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212" windowHeight="8192" windowWidth="16384" xWindow="0" yWindow="0"/>
  </bookViews>
  <sheets>
    <sheet name="Sheet1" sheetId="1" state="visible" r:id="rId2"/>
  </sheets>
  <definedNames/>
  <calcPr iterateCount="100" refMode="A1" iterate="false" iterateDelta="0.001"/>
</workbook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5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1"/>
      <family val="2"/>
      <sz val="12"/>
      <b val="true"/>
    </font>
  </fonts>
  <fills count="2">
    <fill>
      <patternFill patternType="none"/>
    </fill>
    <fill>
      <patternFill patternType="gray125"/>
    </fill>
  </fills>
  <borders count="2">
    <border diagonalDown="false" diagonalUp="false">
      <left/>
      <right/>
      <top/>
      <bottom/>
      <diagonal/>
    </border>
    <border diagonalDown="false" diagonalUp="false">
      <left style="hair"/>
      <right style="hair"/>
      <top style="hair"/>
      <bottom style="hair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7"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5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0" numFmtId="165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0" numFmtId="164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4" numFmtId="165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1645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0" customWidth="true" width="10"/>
    <col collapsed="false" hidden="false" max="2" min="2" style="0" customWidth="true" width="75"/>
    <col collapsed="false" hidden="false" max="3" min="3" style="0" customWidth="true" width="10"/>
    <col collapsed="false" hidden="false" max="4" min="4" style="0" customWidth="true" width="10"/>
    <col collapsed="false" hidden="false" max="1024" min="5" style="0" customWidth="false" width="11.5"/>
  </cols>
  <sheetData>
    <row collapsed="false" customFormat="false" customHeight="false" hidden="false" ht="12.1" outlineLevel="0" r="1">
      <c r="A1" s="2" t="inlineStr">
        <is>
          <t>Прайс лист сгенерирован: 19.03.2024</t>
        </is>
      </c>
    </row>
    <row collapsed="" customFormat="false" customHeight="1" hidden="" ht="14" outlineLevel="0" r="2">
      <c r="A2" s="3"/>
      <c r="B2" s="4"/>
      <c r="C2" s="4" t="inlineStr">
        <is>
          <t>Розница, руб.</t>
        </is>
      </c>
      <c r="D2" s="4" t="inlineStr">
        <is>
          <t>Опт, руб.</t>
        </is>
      </c>
    </row>
    <row collapsed="" customFormat="false" customHeight="" hidden="" ht="12.1" outlineLevel="0" r="3">
      <c r="A3" s="5" t="inlineStr">
        <is>
          <t>Зонты</t>
        </is>
      </c>
      <c r="B3" s="6"/>
      <c r="C3" s="6"/>
      <c r="D3" s="6"/>
    </row>
    <row collapsed="" customFormat="false" customHeight="" hidden="" ht="12.1" outlineLevel="0" r="4">
      <c r="A4" s="5" t="inlineStr">
        <is>
          <t> -  - Оригинальные</t>
        </is>
      </c>
      <c r="B4" s="6"/>
      <c r="C4" s="6"/>
      <c r="D4" s="6"/>
    </row>
    <row collapsed="" customFormat="false" customHeight="1" hidden="" ht="14" outlineLevel="0" r="5">
      <c r="A5" s="3" t="inlineStr">
        <is>
          <t>1</t>
        </is>
      </c>
      <c r="B5" s="4" t="s">
        <f>=HYPERLINK("http://anyluxury.ru/shop/zonty/originalnye/avtomaticheskiy-zontantishtorm-iz-rpet-23-p850401/" , "P850.401 Автоматический зонт-антишторм из RPET 23'")</f>
      </c>
      <c r="C5" s="4" t="n">
        <v>1366.00</v>
      </c>
      <c r="D5" s="4"/>
    </row>
    <row collapsed="" customFormat="false" customHeight="1" hidden="" ht="14" outlineLevel="0" r="6">
      <c r="A6" s="3" t="inlineStr">
        <is>
          <t>2</t>
        </is>
      </c>
      <c r="B6" s="4" t="s">
        <f>=HYPERLINK("http://anyluxury.ru/shop/zonty/originalnye/zont-skladnoy-show-up-so-svetootrazhayushhim-kupolom-zheltiy-1333420/" , "13334.20 Зонт складной Show Up со светоотражающим куполом, желтый")</f>
      </c>
      <c r="C6" s="4" t="n">
        <v>2341.00</v>
      </c>
      <c r="D6" s="4"/>
    </row>
    <row collapsed="" customFormat="false" customHeight="1" hidden="" ht="14" outlineLevel="0" r="7">
      <c r="A7" s="3" t="inlineStr">
        <is>
          <t>3</t>
        </is>
      </c>
      <c r="B7" s="4" t="s">
        <f>=HYPERLINK("http://anyluxury.ru/shop/zonty/originalnye/zont-antishtorm-swiss-peak-tornado-d135-sm-p850120/" , "P850.120 Зонт анти-шторм Swiss Peak Tornado, d135 см")</f>
      </c>
      <c r="C7" s="4" t="n">
        <v>3650.00</v>
      </c>
      <c r="D7" s="4"/>
    </row>
    <row collapsed="" customFormat="false" customHeight="1" hidden="" ht="14" outlineLevel="0" r="8">
      <c r="A8" s="3" t="inlineStr">
        <is>
          <t>4</t>
        </is>
      </c>
      <c r="B8" s="4" t="s">
        <f>=HYPERLINK("http://anyluxury.ru/shop/zonty/originalnye/zontantishtorm-swiss-peak-tornado-iz-rpet-aware-d152-sm-p850441/" , "P850.441 Зонт-антишторм Swiss Peak Tornado из rPET AWARE™, d152 см")</f>
      </c>
      <c r="C8" s="4" t="n">
        <v>4438.00</v>
      </c>
      <c r="D8" s="4"/>
    </row>
    <row collapsed="" customFormat="false" customHeight="1" hidden="" ht="14" outlineLevel="0" r="9">
      <c r="A9" s="3" t="inlineStr">
        <is>
          <t>5</t>
        </is>
      </c>
      <c r="B9" s="4" t="s">
        <f>=HYPERLINK("http://anyluxury.ru/shop/zonty/originalnye/rasshiryayushhiysya-zont-swiss-peak-iz-rpet-aware-d116137-sm-p850451/" , "P850.451 Расширяющийся зонт Swiss Peak из rPET AWARE™, d116-137 см")</f>
      </c>
      <c r="C9" s="4" t="n">
        <v>4800.00</v>
      </c>
      <c r="D9" s="4"/>
    </row>
    <row collapsed="" customFormat="false" customHeight="" hidden="" ht="12.1" outlineLevel="0" r="10">
      <c r="A10" s="5" t="inlineStr">
        <is>
          <t> -  - Складные</t>
        </is>
      </c>
      <c r="B10" s="6"/>
      <c r="C10" s="6"/>
      <c r="D10" s="6"/>
    </row>
    <row collapsed="" customFormat="false" customHeight="1" hidden="" ht="14" outlineLevel="0" r="11">
      <c r="A11" s="3" t="inlineStr">
        <is>
          <t>6</t>
        </is>
      </c>
      <c r="B11" s="4" t="s">
        <f>=HYPERLINK("http://anyluxury.ru/shop/zonty/skladnye/skladnoy-zontavtomat-brolly-215-siniy-p850115/" , "P850.115 Складной зонт-автомат Brolly, d96 см")</f>
      </c>
      <c r="C11" s="4" t="n">
        <v>2219.00</v>
      </c>
      <c r="D11" s="4"/>
    </row>
    <row collapsed="" customFormat="false" customHeight="1" hidden="" ht="14" outlineLevel="0" r="12">
      <c r="A12" s="3" t="inlineStr">
        <is>
          <t>7</t>
        </is>
      </c>
      <c r="B12" s="4" t="s">
        <f>=HYPERLINK("http://anyluxury.ru/shop/zonty/skladnye/skladnoy-zont-deluxe-20-beliy-p850263/" , "P850.263 Складной зонт Deluxe 20', белый")</f>
      </c>
      <c r="C12" s="4" t="n">
        <v>679.00</v>
      </c>
      <c r="D12" s="4"/>
    </row>
    <row collapsed="" customFormat="false" customHeight="1" hidden="" ht="14" outlineLevel="0" r="13">
      <c r="A13" s="3" t="inlineStr">
        <is>
          <t>8</t>
        </is>
      </c>
      <c r="B13" s="4" t="s">
        <f>=HYPERLINK("http://anyluxury.ru/shop/zonty/skladnye/skladnoy-zont-deluxe-20-temnosiniy-p850265/" , "P850.265 Складной зонт Deluxe 20', темно-синий")</f>
      </c>
      <c r="C13" s="4" t="n">
        <v>679.00</v>
      </c>
      <c r="D13" s="4"/>
    </row>
    <row collapsed="" customFormat="false" customHeight="1" hidden="" ht="14" outlineLevel="0" r="14">
      <c r="A14" s="3" t="inlineStr">
        <is>
          <t>9</t>
        </is>
      </c>
      <c r="B14" s="4" t="s">
        <f>=HYPERLINK("http://anyluxury.ru/shop/zonty/skladnye/skladnoy-zontavtomat-deluxe-215-serebryaniy-p850362/" , "P850.362 Складной зонт-автомат Deluxe, d96 см, серебряный")</f>
      </c>
      <c r="C14" s="4" t="n">
        <v>1709.00</v>
      </c>
      <c r="D14" s="4"/>
    </row>
    <row collapsed="" customFormat="false" customHeight="1" hidden="" ht="14" outlineLevel="0" r="15">
      <c r="A15" s="3" t="inlineStr">
        <is>
          <t>10</t>
        </is>
      </c>
      <c r="B15" s="4" t="s">
        <f>=HYPERLINK("http://anyluxury.ru/shop/zonty/skladnye/skladnoy-zont-take-it-duo-cherniy-566830/" , "5668.30 Складной зонт Take It Duo, черный")</f>
      </c>
      <c r="C15" s="4" t="n">
        <v>3833.00</v>
      </c>
      <c r="D15" s="4"/>
    </row>
    <row collapsed="" customFormat="false" customHeight="1" hidden="" ht="14" outlineLevel="0" r="16">
      <c r="A16" s="3" t="inlineStr">
        <is>
          <t>11</t>
        </is>
      </c>
      <c r="B16" s="4" t="s">
        <f>=HYPERLINK("http://anyluxury.ru/shop/zonty/skladnye/skladnoy-zont-magic-s-proyavlyayushhimsya-risunkom-cherniy-566030/" , "5660.30 Складной зонт Magic с проявляющимся рисунком, черный")</f>
      </c>
      <c r="C16" s="4" t="n">
        <v>1607.00</v>
      </c>
      <c r="D16" s="4"/>
    </row>
    <row collapsed="" customFormat="false" customHeight="1" hidden="" ht="14" outlineLevel="0" r="17">
      <c r="A17" s="3" t="inlineStr">
        <is>
          <t>12</t>
        </is>
      </c>
      <c r="B17" s="4" t="s">
        <f>=HYPERLINK("http://anyluxury.ru/shop/zonty/skladnye/skladnoy-zont-magic-s-proyavlyayushhimsya-risunkom-temnosiniy-566042/" , "5660.42 Складной зонт Magic с проявляющимся рисунком, темно-синий")</f>
      </c>
      <c r="C17" s="4" t="n">
        <v>1607.00</v>
      </c>
      <c r="D17" s="4"/>
    </row>
    <row collapsed="" customFormat="false" customHeight="1" hidden="" ht="14" outlineLevel="0" r="18">
      <c r="A18" s="3" t="inlineStr">
        <is>
          <t>13</t>
        </is>
      </c>
      <c r="B18" s="4" t="s">
        <f>=HYPERLINK("http://anyluxury.ru/shop/zonty/skladnye/skladnoy-zont-hogg-trek-cherniy-343430/" , "3434.30 Складной зонт Hogg Trek, черный")</f>
      </c>
      <c r="C18" s="4" t="n">
        <v>1490.00</v>
      </c>
      <c r="D18" s="4"/>
    </row>
    <row collapsed="" customFormat="false" customHeight="1" hidden="" ht="14" outlineLevel="0" r="19">
      <c r="A19" s="3" t="inlineStr">
        <is>
          <t>14</t>
        </is>
      </c>
      <c r="B19" s="4" t="s">
        <f>=HYPERLINK("http://anyluxury.ru/shop/zonty/skladnye/skladnoy-zont-magic-s-proyavlyayushhimsya-risunkom-siniy-566044/" , "5660.44 Складной зонт Magic с проявляющимся рисунком, синий")</f>
      </c>
      <c r="C19" s="4" t="n">
        <v>1670.00</v>
      </c>
      <c r="D19" s="4"/>
    </row>
    <row collapsed="" customFormat="false" customHeight="1" hidden="" ht="14" outlineLevel="0" r="20">
      <c r="A20" s="3" t="inlineStr">
        <is>
          <t>15</t>
        </is>
      </c>
      <c r="B20" s="4" t="s">
        <f>=HYPERLINK("http://anyluxury.ru/shop/zonty/skladnye/zont-skladnoy-aoc-krasniy-710650/" , "7106.50 Зонт складной AOC, красный")</f>
      </c>
      <c r="C20" s="4" t="n">
        <v>2425.00</v>
      </c>
      <c r="D20" s="4"/>
    </row>
    <row collapsed="" customFormat="false" customHeight="1" hidden="" ht="14" outlineLevel="0" r="21">
      <c r="A21" s="3" t="inlineStr">
        <is>
          <t>16</t>
        </is>
      </c>
      <c r="B21" s="4" t="s">
        <f>=HYPERLINK("http://anyluxury.ru/shop/zonty/skladnye/zont-skladnoy-aoc-cherniy-710630/" , "7106.30 Зонт складной AOC, черный")</f>
      </c>
      <c r="C21" s="4" t="n">
        <v>2425.00</v>
      </c>
      <c r="D21" s="4"/>
    </row>
    <row collapsed="" customFormat="false" customHeight="1" hidden="" ht="14" outlineLevel="0" r="22">
      <c r="A22" s="3" t="inlineStr">
        <is>
          <t>17</t>
        </is>
      </c>
      <c r="B22" s="4" t="s">
        <f>=HYPERLINK("http://anyluxury.ru/shop/zonty/skladnye/skladnoy-zont-rainvestment-temnosiniy-melanzh-767540/" , "7675.40 Складной зонт rainVestment, темно-синий меланж")</f>
      </c>
      <c r="C22" s="4" t="n">
        <v>2333.00</v>
      </c>
      <c r="D22" s="4"/>
    </row>
    <row collapsed="" customFormat="false" customHeight="1" hidden="" ht="14" outlineLevel="0" r="23">
      <c r="A23" s="3" t="inlineStr">
        <is>
          <t>18</t>
        </is>
      </c>
      <c r="B23" s="4" t="s">
        <f>=HYPERLINK("http://anyluxury.ru/shop/zonty/skladnye/zont-skladnoy-evergreen-7012590/" , "70125.90 Зонт складной Evergreen")</f>
      </c>
      <c r="C23" s="4" t="n">
        <v>1770.00</v>
      </c>
      <c r="D23" s="4"/>
    </row>
    <row collapsed="" customFormat="false" customHeight="1" hidden="" ht="14" outlineLevel="0" r="24">
      <c r="A24" s="3" t="inlineStr">
        <is>
          <t>19</t>
        </is>
      </c>
      <c r="B24" s="4" t="s">
        <f>=HYPERLINK("http://anyluxury.ru/shop/zonty/skladnye/skladnoy-zont-alu-drop-s-3-slozheniya-mehanicheskiy-siniy-indigo-ck111003/" , "CK1-11003 Складной зонт Alu Drop S, 3 сложения, механический, синий (индиго)")</f>
      </c>
      <c r="C24" s="4" t="n">
        <v>2800.00</v>
      </c>
      <c r="D24" s="4"/>
    </row>
    <row collapsed="" customFormat="false" customHeight="1" hidden="" ht="14" outlineLevel="0" r="25">
      <c r="A25" s="3" t="inlineStr">
        <is>
          <t>20</t>
        </is>
      </c>
      <c r="B25" s="4" t="s">
        <f>=HYPERLINK("http://anyluxury.ru/shop/zonty/skladnye/skladnoy-zont-alu-drop-s-3-slozheniya-mehanicheskiy-zheltiy-gorchichniy-ck126003/" , "CK1-26003 Складной зонт Alu Drop S, 3 сложения, механический, желтый (горчичный)")</f>
      </c>
      <c r="C25" s="4" t="n">
        <v>2800.00</v>
      </c>
      <c r="D25" s="4"/>
    </row>
    <row collapsed="" customFormat="false" customHeight="1" hidden="" ht="14" outlineLevel="0" r="26">
      <c r="A26" s="3" t="inlineStr">
        <is>
          <t>21</t>
        </is>
      </c>
      <c r="B26" s="4" t="s">
        <f>=HYPERLINK("http://anyluxury.ru/shop/zonty/skladnye/skladnoy-zont-alu-drop-s-3-slozheniya-7-spic-avtomat-siniy-indigo-ck111213/" , "CK1-11213 Складной зонт Alu Drop S, 3 сложения, 7 спиц, автомат, синий (индиго)")</f>
      </c>
      <c r="C26" s="4" t="n">
        <v>3900.00</v>
      </c>
      <c r="D26" s="4"/>
    </row>
    <row collapsed="" customFormat="false" customHeight="1" hidden="" ht="14" outlineLevel="0" r="27">
      <c r="A27" s="3" t="inlineStr">
        <is>
          <t>22</t>
        </is>
      </c>
      <c r="B27" s="4" t="s">
        <f>=HYPERLINK("http://anyluxury.ru/shop/zonty/skladnye/skladnoy-zont-alu-drop-s-3-slozheniya-7-spic-avtomat-zheltiy-gorchichniy-ck126213/" , "CK1-26213 Складной зонт Alu Drop S, 3 сложения, 7 спиц, автомат, желтый (горчичный)")</f>
      </c>
      <c r="C27" s="4" t="n">
        <v>3900.00</v>
      </c>
      <c r="D27" s="4"/>
    </row>
    <row collapsed="" customFormat="false" customHeight="1" hidden="" ht="14" outlineLevel="0" r="28">
      <c r="A28" s="3" t="inlineStr">
        <is>
          <t>23</t>
        </is>
      </c>
      <c r="B28" s="4" t="s">
        <f>=HYPERLINK("http://anyluxury.ru/shop/zonty/skladnye/skladnoy-zont-alu-drop-s-4-slozheniya-avtomat-siniy-indigo-ck111004/" , "CK1-11004 Складной зонт Alu Drop S, 4 сложения, автомат, синий (индиго)")</f>
      </c>
      <c r="C28" s="4" t="n">
        <v>3600.00</v>
      </c>
      <c r="D28" s="4"/>
    </row>
    <row collapsed="" customFormat="false" customHeight="1" hidden="" ht="14" outlineLevel="0" r="29">
      <c r="A29" s="3" t="inlineStr">
        <is>
          <t>24</t>
        </is>
      </c>
      <c r="B29" s="4" t="s">
        <f>=HYPERLINK("http://anyluxury.ru/shop/zonty/skladnye/skladnoy-zont-alu-drop-s-4-slozheniya-avtomat-zheltiy-gorchichniy-ck126004/" , "CK1-26004 Складной зонт Alu Drop S, 4 сложения, автомат, желтый (горчичный)")</f>
      </c>
      <c r="C29" s="4" t="n">
        <v>3600.00</v>
      </c>
      <c r="D29" s="4"/>
    </row>
    <row collapsed="" customFormat="false" customHeight="1" hidden="" ht="14" outlineLevel="0" r="30">
      <c r="A30" s="3" t="inlineStr">
        <is>
          <t>25</t>
        </is>
      </c>
      <c r="B30" s="4" t="s">
        <f>=HYPERLINK("http://anyluxury.ru/shop/zonty/skladnye/skladnoy-zont-alu-drop-s-golf-3-slozheniya-avtomat-siniy-ck101303/" , "CK1-01303 Складной зонт Alu Drop S Golf, 3 сложения, автомат, синий")</f>
      </c>
      <c r="C30" s="4" t="n">
        <v>4990.00</v>
      </c>
      <c r="D30" s="4"/>
    </row>
    <row collapsed="" customFormat="false" customHeight="1" hidden="" ht="14" outlineLevel="0" r="31">
      <c r="A31" s="3" t="inlineStr">
        <is>
          <t>26</t>
        </is>
      </c>
      <c r="B31" s="4" t="s">
        <f>=HYPERLINK("http://anyluxury.ru/shop/zonty/skladnye/skladnoy-zont-alu-drop-s-golf-3-slozheniya-avtomat-cherniy-ck109303/" , "CK1-09303 Складной зонт Alu Drop S Golf, 3 сложения, автомат, черный")</f>
      </c>
      <c r="C31" s="4" t="n">
        <v>4990.00</v>
      </c>
      <c r="D31" s="4"/>
    </row>
    <row collapsed="" customFormat="false" customHeight="1" hidden="" ht="14" outlineLevel="0" r="32">
      <c r="A32" s="3" t="inlineStr">
        <is>
          <t>27</t>
        </is>
      </c>
      <c r="B32" s="4" t="s">
        <f>=HYPERLINK("http://anyluxury.ru/shop/zonty/skladnye/skladnoy-zont-alu-drop-s-5-slozheniy-mehanicheskiy-siniy-ck101005/" , "CK1-01005 Складной зонт Alu Drop S, 5 сложений, механический, синий")</f>
      </c>
      <c r="C32" s="4" t="n">
        <v>3500.00</v>
      </c>
      <c r="D32" s="4"/>
    </row>
    <row collapsed="" customFormat="false" customHeight="1" hidden="" ht="14" outlineLevel="0" r="33">
      <c r="A33" s="3" t="inlineStr">
        <is>
          <t>28</t>
        </is>
      </c>
      <c r="B33" s="4" t="s">
        <f>=HYPERLINK("http://anyluxury.ru/shop/zonty/skladnye/skladnoy-zont-alu-drop-s-5-slozheniy-mehanicheskiy-cherniy-ck109005/" , "CK1-09005 Складной зонт Alu Drop S, 5 сложений, механический, черный")</f>
      </c>
      <c r="C33" s="4" t="n">
        <v>3500.00</v>
      </c>
      <c r="D33" s="4"/>
    </row>
    <row collapsed="" customFormat="false" customHeight="1" hidden="" ht="14" outlineLevel="0" r="34">
      <c r="A34" s="3" t="inlineStr">
        <is>
          <t>29</t>
        </is>
      </c>
      <c r="B34" s="4" t="s">
        <f>=HYPERLINK("http://anyluxury.ru/shop/zonty/skladnye/skladnoy-zont-alu-drop-s-3-slozheniya-8-spic-avtomat-cherniy-ck109203/" , "CK1-09203 Складной зонт Alu Drop S, 3 сложения, 8 спиц, автомат, черный")</f>
      </c>
      <c r="C34" s="4" t="n">
        <v>4300.00</v>
      </c>
      <c r="D34" s="4"/>
    </row>
    <row collapsed="" customFormat="false" customHeight="1" hidden="" ht="14" outlineLevel="0" r="35">
      <c r="A35" s="3" t="inlineStr">
        <is>
          <t>30</t>
        </is>
      </c>
      <c r="B35" s="4" t="s">
        <f>=HYPERLINK("http://anyluxury.ru/shop/zonty/skladnye/skladnoy-zont-alu-drop-s-3-slozheniya-8-spic-avtomat-krasniy-ck110203/" , "CK1-10203 Складной зонт Alu Drop S, 3 сложения, 8 спиц, автомат, красный")</f>
      </c>
      <c r="C35" s="4" t="n">
        <v>4300.00</v>
      </c>
      <c r="D35" s="4"/>
    </row>
    <row collapsed="" customFormat="false" customHeight="1" hidden="" ht="14" outlineLevel="0" r="36">
      <c r="A36" s="3" t="inlineStr">
        <is>
          <t>31</t>
        </is>
      </c>
      <c r="B36" s="4" t="s">
        <f>=HYPERLINK("http://anyluxury.ru/shop/zonty/skladnye/skladnoy-zont-wood-classic-s-cherniy-ck309013/" , "CK3-09013 Складной зонт Wood Classic S, черный")</f>
      </c>
      <c r="C36" s="4" t="n">
        <v>4500.00</v>
      </c>
      <c r="D36" s="4"/>
    </row>
    <row collapsed="" customFormat="false" customHeight="1" hidden="" ht="14" outlineLevel="0" r="37">
      <c r="A37" s="3" t="inlineStr">
        <is>
          <t>32</t>
        </is>
      </c>
      <c r="B37" s="4" t="s">
        <f>=HYPERLINK("http://anyluxury.ru/shop/zonty/skladnye/skladnoy-zont-wood-classic-s-siniy-v-kletku-ck321013/" , "CK3-21013 Складной зонт Wood Classic S, синий в клетку")</f>
      </c>
      <c r="C37" s="4" t="n">
        <v>3600.00</v>
      </c>
      <c r="D37" s="4"/>
    </row>
    <row collapsed="" customFormat="false" customHeight="1" hidden="" ht="14" outlineLevel="0" r="38">
      <c r="A38" s="3" t="inlineStr">
        <is>
          <t>33</t>
        </is>
      </c>
      <c r="B38" s="4" t="s">
        <f>=HYPERLINK("http://anyluxury.ru/shop/zonty/skladnye/skladnoy-zont-wood-classic-s-krasniy-v-kletku-ck330013/" , "CK3-30013 Складной зонт Wood Classic S, красный в клетку")</f>
      </c>
      <c r="C38" s="4" t="n">
        <v>3600.00</v>
      </c>
      <c r="D38" s="4"/>
    </row>
    <row collapsed="" customFormat="false" customHeight="1" hidden="" ht="14" outlineLevel="0" r="39">
      <c r="A39" s="3" t="inlineStr">
        <is>
          <t>34</t>
        </is>
      </c>
      <c r="B39" s="4" t="s">
        <f>=HYPERLINK("http://anyluxury.ru/shop/zonty/skladnye/skladnoy-zont-wood-classic-s-s-pryamoy-ruchkoy-cherniy-ck309023/" , "CK3-09023 Складной зонт Wood Classic S с прямой ручкой, черный")</f>
      </c>
      <c r="C39" s="4" t="n">
        <v>4500.00</v>
      </c>
      <c r="D39" s="4"/>
    </row>
    <row collapsed="" customFormat="false" customHeight="1" hidden="" ht="14" outlineLevel="0" r="40">
      <c r="A40" s="3" t="inlineStr">
        <is>
          <t>35</t>
        </is>
      </c>
      <c r="B40" s="4" t="s">
        <f>=HYPERLINK("http://anyluxury.ru/shop/zonty/skladnye/skladnoy-zont-wood-classic-s-s-pryamoy-ruchkoy-siniy-v-kletku-ck321023/" , "CK3-21023 Складной зонт Wood Classic S с прямой ручкой, синий в клетку")</f>
      </c>
      <c r="C40" s="4" t="n">
        <v>4500.00</v>
      </c>
      <c r="D40" s="4"/>
    </row>
    <row collapsed="" customFormat="false" customHeight="1" hidden="" ht="14" outlineLevel="0" r="41">
      <c r="A41" s="3" t="inlineStr">
        <is>
          <t>36</t>
        </is>
      </c>
      <c r="B41" s="4" t="s">
        <f>=HYPERLINK("http://anyluxury.ru/shop/zonty/skladnye/skladnoy-zont-wood-classic-s-s-pryamoy-ruchkoy-krasniy-v-kletku-ck330023/" , "CK3-30023 Складной зонт Wood Classic S с прямой ручкой, красный в клетку")</f>
      </c>
      <c r="C41" s="4" t="n">
        <v>4500.00</v>
      </c>
      <c r="D41" s="4"/>
    </row>
    <row collapsed="" customFormat="false" customHeight="1" hidden="" ht="14" outlineLevel="0" r="42">
      <c r="A42" s="3" t="inlineStr">
        <is>
          <t>37</t>
        </is>
      </c>
      <c r="B42" s="4" t="s">
        <f>=HYPERLINK("http://anyluxury.ru/shop/zonty/skladnye/zont-skladnoy-minipli-colori-s-siniy-indigo-cj601005/" , "CJ6-01005 Зонт складной Minipli Colori S, синий (индиго)")</f>
      </c>
      <c r="C42" s="4" t="n">
        <v>3500.00</v>
      </c>
      <c r="D42" s="4"/>
    </row>
    <row collapsed="" customFormat="false" customHeight="1" hidden="" ht="14" outlineLevel="0" r="43">
      <c r="A43" s="3" t="inlineStr">
        <is>
          <t>38</t>
        </is>
      </c>
      <c r="B43" s="4" t="s">
        <f>=HYPERLINK("http://anyluxury.ru/shop/zonty/skladnye/zont-skladnoy-minipli-colori-s-cherniy-cj609005/" , "CJ6-09005 Зонт складной Minipli Colori S, черный")</f>
      </c>
      <c r="C43" s="4" t="n">
        <v>3500.00</v>
      </c>
      <c r="D43" s="4"/>
    </row>
    <row collapsed="" customFormat="false" customHeight="1" hidden="" ht="14" outlineLevel="0" r="44">
      <c r="A44" s="3" t="inlineStr">
        <is>
          <t>39</t>
        </is>
      </c>
      <c r="B44" s="4" t="s">
        <f>=HYPERLINK("http://anyluxury.ru/shop/zonty/skladnye/zont-skladnoy-minipli-colori-s-goluboy-cj611005/" , "CJ6-11005 Зонт складной Minipli Colori S, голубой")</f>
      </c>
      <c r="C44" s="4" t="n">
        <v>3500.00</v>
      </c>
      <c r="D44" s="4"/>
    </row>
    <row collapsed="" customFormat="false" customHeight="1" hidden="" ht="14" outlineLevel="0" r="45">
      <c r="A45" s="3" t="inlineStr">
        <is>
          <t>40</t>
        </is>
      </c>
      <c r="B45" s="4" t="s">
        <f>=HYPERLINK("http://anyluxury.ru/shop/zonty/skladnye/zont-skladnoy-minipli-colori-s-zeleniy-olivkoviy-cj624005/" , "CJ6-24005 Зонт складной Minipli Colori S, зеленый (оливковый)")</f>
      </c>
      <c r="C45" s="4" t="n">
        <v>3500.00</v>
      </c>
      <c r="D45" s="4"/>
    </row>
    <row collapsed="" customFormat="false" customHeight="1" hidden="" ht="14" outlineLevel="0" r="46">
      <c r="A46" s="3" t="inlineStr">
        <is>
          <t>41</t>
        </is>
      </c>
      <c r="B46" s="4" t="s">
        <f>=HYPERLINK("http://anyluxury.ru/shop/zonty/skladnye/zont-skladnoy-minipli-colori-s-oranzheviy-kirpichniy-cj630005/" , "CJ6-30005 Зонт складной Minipli Colori S, оранжевый (кирпичный)")</f>
      </c>
      <c r="C46" s="4" t="n">
        <v>3500.00</v>
      </c>
      <c r="D46" s="4"/>
    </row>
    <row collapsed="" customFormat="false" customHeight="1" hidden="" ht="14" outlineLevel="0" r="47">
      <c r="A47" s="3" t="inlineStr">
        <is>
          <t>42</t>
        </is>
      </c>
      <c r="B47" s="4" t="s">
        <f>=HYPERLINK("http://anyluxury.ru/shop/zonty/skladnye/zont-skladnoy-minipli-colori-s-korichneviy-cj650005/" , "CJ6-50005 Зонт складной Minipli Colori S, коричневый")</f>
      </c>
      <c r="C47" s="4" t="n">
        <v>3500.00</v>
      </c>
      <c r="D47" s="4"/>
    </row>
    <row collapsed="" customFormat="false" customHeight="1" hidden="" ht="14" outlineLevel="0" r="48">
      <c r="A48" s="3" t="inlineStr">
        <is>
          <t>43</t>
        </is>
      </c>
      <c r="B48" s="4" t="s">
        <f>=HYPERLINK("http://anyluxury.ru/shop/zonty/skladnye/zont-skladnoy-rain-pro-mini-flat-siniy-97u01403/" , "97U-01403 Зонт складной Rain Pro Mini Flat, синий")</f>
      </c>
      <c r="C48" s="4" t="n">
        <v>3500.00</v>
      </c>
      <c r="D48" s="4"/>
    </row>
    <row collapsed="" customFormat="false" customHeight="1" hidden="" ht="14" outlineLevel="0" r="49">
      <c r="A49" s="3" t="inlineStr">
        <is>
          <t>44</t>
        </is>
      </c>
      <c r="B49" s="4" t="s">
        <f>=HYPERLINK("http://anyluxury.ru/shop/zonty/skladnye/zont-skladnoy-rain-pro-mini-flat-cherniy-97u09403/" , "97U-09403 Зонт складной Rain Pro Mini Flat, черный")</f>
      </c>
      <c r="C49" s="4" t="n">
        <v>3500.00</v>
      </c>
      <c r="D49" s="4"/>
    </row>
    <row collapsed="" customFormat="false" customHeight="1" hidden="" ht="14" outlineLevel="0" r="50">
      <c r="A50" s="3" t="inlineStr">
        <is>
          <t>45</t>
        </is>
      </c>
      <c r="B50" s="4" t="s">
        <f>=HYPERLINK("http://anyluxury.ru/shop/zonty/skladnye/zont-skladnoy-rain-pro-mini-flat-zeleniy-olivkoviy-97u24403/" , "97U-24403 Зонт складной Rain Pro Mini Flat, зеленый (оливковый)")</f>
      </c>
      <c r="C50" s="4" t="n">
        <v>3500.00</v>
      </c>
      <c r="D50" s="4"/>
    </row>
    <row collapsed="" customFormat="false" customHeight="1" hidden="" ht="14" outlineLevel="0" r="51">
      <c r="A51" s="3" t="inlineStr">
        <is>
          <t>46</t>
        </is>
      </c>
      <c r="B51" s="4" t="s">
        <f>=HYPERLINK("http://anyluxury.ru/shop/zonty/skladnye/zont-skladnoy-rain-pro-flat-siniy-97u01003/" , "97U-01003 Зонт складной Rain Pro Flat, синий")</f>
      </c>
      <c r="C51" s="4" t="n">
        <v>3900.00</v>
      </c>
      <c r="D51" s="4"/>
    </row>
    <row collapsed="" customFormat="false" customHeight="1" hidden="" ht="14" outlineLevel="0" r="52">
      <c r="A52" s="3" t="inlineStr">
        <is>
          <t>47</t>
        </is>
      </c>
      <c r="B52" s="4" t="s">
        <f>=HYPERLINK("http://anyluxury.ru/shop/zonty/skladnye/zont-skladnoy-rain-pro-flat-cherniy-97u09003/" , "97U-09003 Зонт складной Rain Pro Flat, черный")</f>
      </c>
      <c r="C52" s="4" t="n">
        <v>3900.00</v>
      </c>
      <c r="D52" s="4"/>
    </row>
    <row collapsed="" customFormat="false" customHeight="1" hidden="" ht="14" outlineLevel="0" r="53">
      <c r="A53" s="3" t="inlineStr">
        <is>
          <t>48</t>
        </is>
      </c>
      <c r="B53" s="4" t="s">
        <f>=HYPERLINK("http://anyluxury.ru/shop/zonty/skladnye/zont-skladnoy-rain-pro-flat-seriy-97u24003/" , "97U-24003 Зонт складной Rain Pro Flat, серый")</f>
      </c>
      <c r="C53" s="4" t="n">
        <v>3900.00</v>
      </c>
      <c r="D53" s="4"/>
    </row>
    <row collapsed="" customFormat="false" customHeight="1" hidden="" ht="14" outlineLevel="0" r="54">
      <c r="A54" s="3" t="inlineStr">
        <is>
          <t>49</t>
        </is>
      </c>
      <c r="B54" s="4" t="s">
        <f>=HYPERLINK("http://anyluxury.ru/shop/zonty/skladnye/zont-skladnoy-rain-pro-siniy-97u01203/" , "97U-01203 Зонт складной Rain Pro, синий")</f>
      </c>
      <c r="C54" s="4" t="n">
        <v>4400.00</v>
      </c>
      <c r="D54" s="4"/>
    </row>
    <row collapsed="" customFormat="false" customHeight="1" hidden="" ht="14" outlineLevel="0" r="55">
      <c r="A55" s="3" t="inlineStr">
        <is>
          <t>50</t>
        </is>
      </c>
      <c r="B55" s="4" t="s">
        <f>=HYPERLINK("http://anyluxury.ru/shop/zonty/skladnye/zont-skladnoy-rain-pro-cherniy-97u09203/" , "97U-09203 Зонт складной Rain Pro, черный")</f>
      </c>
      <c r="C55" s="4" t="n">
        <v>4400.00</v>
      </c>
      <c r="D55" s="4"/>
    </row>
    <row collapsed="" customFormat="false" customHeight="1" hidden="" ht="14" outlineLevel="0" r="56">
      <c r="A56" s="3" t="inlineStr">
        <is>
          <t>51</t>
        </is>
      </c>
      <c r="B56" s="4" t="s">
        <f>=HYPERLINK("http://anyluxury.ru/shop/zonty/skladnye/zont-skladnoy-rain-pro-zeleniy-olivkoviy-97u24203/" , "97U-24203 Зонт складной Rain Pro, зеленый (оливковый)")</f>
      </c>
      <c r="C56" s="4" t="n">
        <v>4400.00</v>
      </c>
      <c r="D56" s="4"/>
    </row>
    <row collapsed="" customFormat="false" customHeight="1" hidden="" ht="14" outlineLevel="0" r="57">
      <c r="A57" s="3" t="inlineStr">
        <is>
          <t>52</t>
        </is>
      </c>
      <c r="B57" s="4" t="s">
        <f>=HYPERLINK("http://anyluxury.ru/shop/zonty/skladnye/zont-skladnoy-karissa-ultra-mini-mehanicheskiy-cherniy-cj909403/" , "CJ9-09403 Зонт складной Karissa Ultra Mini, механический, черный")</f>
      </c>
      <c r="C57" s="4" t="n">
        <v>4200.00</v>
      </c>
      <c r="D57" s="4"/>
    </row>
    <row collapsed="" customFormat="false" customHeight="1" hidden="" ht="14" outlineLevel="0" r="58">
      <c r="A58" s="3" t="inlineStr">
        <is>
          <t>53</t>
        </is>
      </c>
      <c r="B58" s="4" t="s">
        <f>=HYPERLINK("http://anyluxury.ru/shop/zonty/skladnye/zont-skladnoy-karissa-ultra-mini-mehanicheskiy-krasniy-cj940403/" , "CJ9-40403 Зонт складной Karissa Ultra Mini, механический, красный")</f>
      </c>
      <c r="C58" s="4" t="n">
        <v>4200.00</v>
      </c>
      <c r="D58" s="4"/>
    </row>
    <row collapsed="" customFormat="false" customHeight="1" hidden="" ht="14" outlineLevel="0" r="59">
      <c r="A59" s="3" t="inlineStr">
        <is>
          <t>54</t>
        </is>
      </c>
      <c r="B59" s="4" t="s">
        <f>=HYPERLINK("http://anyluxury.ru/shop/zonty/skladnye/zont-skladnoy-karissa-slim-avtomat-cherniy-cj909213/" , "CJ9-09213 Зонт складной Karissa Slim, автомат, черный")</f>
      </c>
      <c r="C59" s="4" t="n">
        <v>4200.00</v>
      </c>
      <c r="D59" s="4"/>
    </row>
    <row collapsed="" customFormat="false" customHeight="1" hidden="" ht="14" outlineLevel="0" r="60">
      <c r="A60" s="3" t="inlineStr">
        <is>
          <t>55</t>
        </is>
      </c>
      <c r="B60" s="4" t="s">
        <f>=HYPERLINK("http://anyluxury.ru/shop/zonty/skladnye/zont-skladnoy-karissa-slim-avtomat-krasniy-cj940213/" , "CJ9-40213 Зонт складной Karissa Slim, автомат, красный")</f>
      </c>
      <c r="C60" s="4" t="n">
        <v>4200.00</v>
      </c>
      <c r="D60" s="4"/>
    </row>
    <row collapsed="" customFormat="false" customHeight="1" hidden="" ht="14" outlineLevel="0" r="61">
      <c r="A61" s="3" t="inlineStr">
        <is>
          <t>56</t>
        </is>
      </c>
      <c r="B61" s="4" t="s">
        <f>=HYPERLINK("http://anyluxury.ru/shop/zonty/skladnye/zont-skladnoy-up-way-mehanicheskiy-siniy-s-oranzhevim-cj701003/" , "CJ7-01003 Зонт складной Up Way, механический, синий с оранжевым")</f>
      </c>
      <c r="C61" s="4" t="n">
        <v>2300.00</v>
      </c>
      <c r="D61" s="4"/>
    </row>
    <row collapsed="" customFormat="false" customHeight="1" hidden="" ht="14" outlineLevel="0" r="62">
      <c r="A62" s="3" t="inlineStr">
        <is>
          <t>57</t>
        </is>
      </c>
      <c r="B62" s="4" t="s">
        <f>=HYPERLINK("http://anyluxury.ru/shop/zonty/skladnye/zont-skladnoy-up-way-mehanicheskiy-seriy-s-zheltim-cj712003/" , "CJ7-12003 Зонт складной Up Way, механический, серый с желтым")</f>
      </c>
      <c r="C62" s="4" t="n">
        <v>2300.00</v>
      </c>
      <c r="D62" s="4"/>
    </row>
    <row collapsed="" customFormat="false" customHeight="1" hidden="" ht="14" outlineLevel="0" r="63">
      <c r="A63" s="3" t="inlineStr">
        <is>
          <t>58</t>
        </is>
      </c>
      <c r="B63" s="4" t="s">
        <f>=HYPERLINK("http://anyluxury.ru/shop/zonty/skladnye/zont-skladnoy-up-way-avtomat-siniy-s-oranzhevim-cj701203/" , "CJ7-01203 Зонт складной Up Way, автомат, синий с оранжевым")</f>
      </c>
      <c r="C63" s="4" t="n">
        <v>3900.00</v>
      </c>
      <c r="D63" s="4"/>
    </row>
    <row collapsed="" customFormat="false" customHeight="1" hidden="" ht="14" outlineLevel="0" r="64">
      <c r="A64" s="3" t="inlineStr">
        <is>
          <t>59</t>
        </is>
      </c>
      <c r="B64" s="4" t="s">
        <f>=HYPERLINK("http://anyluxury.ru/shop/zonty/skladnye/zont-skladnoy-up-way-avtomat-seriy-s-zheltim-cj712203/" , "CJ7-12203 Зонт складной Up Way, автомат, серый с желтым")</f>
      </c>
      <c r="C64" s="4" t="n">
        <v>3900.00</v>
      </c>
      <c r="D64" s="4"/>
    </row>
    <row collapsed="" customFormat="false" customHeight="1" hidden="" ht="14" outlineLevel="0" r="65">
      <c r="A65" s="3" t="inlineStr">
        <is>
          <t>60</t>
        </is>
      </c>
      <c r="B65" s="4" t="s">
        <f>=HYPERLINK("http://anyluxury.ru/shop/zonty/skladnye/zont-skladnoy-r-pattern-cherniy-v-beliy-goroh-s-zheltim-kantom-cj873003/" , "CJ8-73003 Зонт складной R Pattern, черный в белый горох с желтым кантом")</f>
      </c>
      <c r="C65" s="4" t="n">
        <v>1990.00</v>
      </c>
      <c r="D65" s="4"/>
    </row>
    <row collapsed="" customFormat="false" customHeight="1" hidden="" ht="14" outlineLevel="0" r="66">
      <c r="A66" s="3" t="inlineStr">
        <is>
          <t>61</t>
        </is>
      </c>
      <c r="B66" s="4" t="s">
        <f>=HYPERLINK("http://anyluxury.ru/shop/zonty/skladnye/zont-skladnoy-r-pattern-cherniy-v-beliy-goroh-s-krasnim-kantom-cj874003/" , "CJ8-74003 Зонт складной R Pattern, черный в белый горох с красным кантом")</f>
      </c>
      <c r="C66" s="4" t="n">
        <v>1990.00</v>
      </c>
      <c r="D66" s="4"/>
    </row>
    <row collapsed="" customFormat="false" customHeight="1" hidden="" ht="14" outlineLevel="0" r="67">
      <c r="A67" s="3" t="inlineStr">
        <is>
          <t>62</t>
        </is>
      </c>
      <c r="B67" s="4" t="s">
        <f>=HYPERLINK("http://anyluxury.ru/shop/zonty/skladnye/zont-skladnoy-r-pattern-chernobeliy-v-polosku-s-rozovim-kantom-cj875003/" , "CJ8-75003 Зонт складной R Pattern, черно-белый в полоску с розовым кантом")</f>
      </c>
      <c r="C67" s="4" t="n">
        <v>1990.00</v>
      </c>
      <c r="D67" s="4"/>
    </row>
    <row collapsed="" customFormat="false" customHeight="1" hidden="" ht="14" outlineLevel="0" r="68">
      <c r="A68" s="3" t="inlineStr">
        <is>
          <t>63</t>
        </is>
      </c>
      <c r="B68" s="4" t="s">
        <f>=HYPERLINK("http://anyluxury.ru/shop/zonty/skladnye/zont-skladnoy-r-pattern-chernobeliy-v-polosku-s-golubim-kantom-cj876003/" , "CJ8-76003 Зонт складной R Pattern, черно-белый в полоску с голубым кантом")</f>
      </c>
      <c r="C68" s="4" t="n">
        <v>1990.00</v>
      </c>
      <c r="D68" s="4"/>
    </row>
    <row collapsed="" customFormat="false" customHeight="1" hidden="" ht="14" outlineLevel="0" r="69">
      <c r="A69" s="3" t="inlineStr">
        <is>
          <t>64</t>
        </is>
      </c>
      <c r="B69" s="4" t="s">
        <f>=HYPERLINK("http://anyluxury.ru/shop/zonty/skladnye/zont-skladnoy-c-collection-temnosiniy-ck001403/" , "CK0-01403 Зонт складной C Collection, темно-синий")</f>
      </c>
      <c r="C69" s="4" t="n">
        <v>2600.00</v>
      </c>
      <c r="D69" s="4"/>
    </row>
    <row collapsed="" customFormat="false" customHeight="1" hidden="" ht="14" outlineLevel="0" r="70">
      <c r="A70" s="3" t="inlineStr">
        <is>
          <t>65</t>
        </is>
      </c>
      <c r="B70" s="4" t="s">
        <f>=HYPERLINK("http://anyluxury.ru/shop/zonty/skladnye/zont-skladnoy-c-collection-cherniy-ck009403/" , "CK0-09403 Зонт складной C Collection, черный")</f>
      </c>
      <c r="C70" s="4" t="n">
        <v>2600.00</v>
      </c>
      <c r="D70" s="4"/>
    </row>
    <row collapsed="" customFormat="false" customHeight="1" hidden="" ht="14" outlineLevel="0" r="71">
      <c r="A71" s="3" t="inlineStr">
        <is>
          <t>66</t>
        </is>
      </c>
      <c r="B71" s="4" t="s">
        <f>=HYPERLINK("http://anyluxury.ru/shop/zonty/skladnye/skladnoy-zont-gems-siniy-1701340/" , "17013.40 Складной зонт Gems, синий")</f>
      </c>
      <c r="C71" s="4" t="n">
        <v>1481.00</v>
      </c>
      <c r="D71" s="4"/>
    </row>
    <row collapsed="" customFormat="false" customHeight="1" hidden="" ht="14" outlineLevel="0" r="72">
      <c r="A72" s="3" t="inlineStr">
        <is>
          <t>67</t>
        </is>
      </c>
      <c r="B72" s="4" t="s">
        <f>=HYPERLINK("http://anyluxury.ru/shop/zonty/skladnye/zont-skladnoy-portobello-nord-siniy-ruchka-plastik-soft-touch-u192030030s/" , "U192030-030/s Зонт складной Portobello Nord, синий, ручка пластик, soft touch")</f>
      </c>
      <c r="C72" s="4" t="n">
        <v>1095.00</v>
      </c>
      <c r="D72" s="4"/>
    </row>
    <row collapsed="" customFormat="false" customHeight="1" hidden="" ht="14" outlineLevel="0" r="73">
      <c r="A73" s="3" t="inlineStr">
        <is>
          <t>68</t>
        </is>
      </c>
      <c r="B73" s="4" t="s">
        <f>=HYPERLINK("http://anyluxury.ru/shop/zonty/skladnye/zont-skladnoy-zero-99-cherniy-1185530/" , "11855.30 Зонт складной Zero 99, черный")</f>
      </c>
      <c r="C73" s="4" t="n">
        <v>2673.00</v>
      </c>
      <c r="D73" s="4"/>
    </row>
    <row collapsed="" customFormat="false" customHeight="1" hidden="" ht="14" outlineLevel="0" r="74">
      <c r="A74" s="3" t="inlineStr">
        <is>
          <t>69</t>
        </is>
      </c>
      <c r="B74" s="4" t="s">
        <f>=HYPERLINK("http://anyluxury.ru/shop/zonty/skladnye/zont-skladnoy-zero-99-goluboy-1185541/" , "11855.41 Зонт складной Zero 99, голубой")</f>
      </c>
      <c r="C74" s="4" t="n">
        <v>2673.00</v>
      </c>
      <c r="D74" s="4"/>
    </row>
    <row collapsed="" customFormat="false" customHeight="1" hidden="" ht="14" outlineLevel="0" r="75">
      <c r="A75" s="3" t="inlineStr">
        <is>
          <t>70</t>
        </is>
      </c>
      <c r="B75" s="4" t="s">
        <f>=HYPERLINK("http://anyluxury.ru/shop/zonty/skladnye/zont-skladnoy-carbonsteel-slim-cherniy-1185830/" , "11858.30 Зонт складной Carbonsteel Slim, черный")</f>
      </c>
      <c r="C75" s="4" t="n">
        <v>3409.00</v>
      </c>
      <c r="D75" s="4"/>
    </row>
    <row collapsed="" customFormat="false" customHeight="1" hidden="" ht="14" outlineLevel="0" r="76">
      <c r="A76" s="3" t="inlineStr">
        <is>
          <t>71</t>
        </is>
      </c>
      <c r="B76" s="4" t="s">
        <f>=HYPERLINK("http://anyluxury.ru/shop/zonty/skladnye/zont-skladnoy-carbonsteel-slim-temnosiniy-1185840/" , "11858.40 Зонт складной Carbonsteel Slim, темно-синий")</f>
      </c>
      <c r="C76" s="4" t="n">
        <v>3409.00</v>
      </c>
      <c r="D76" s="4"/>
    </row>
    <row collapsed="" customFormat="false" customHeight="1" hidden="" ht="14" outlineLevel="0" r="77">
      <c r="A77" s="3" t="inlineStr">
        <is>
          <t>72</t>
        </is>
      </c>
      <c r="B77" s="4" t="s">
        <f>=HYPERLINK("http://anyluxury.ru/shop/zonty/skladnye/zont-skladnoy-hit-mini-seriy-1183911/" , "11839.11 Зонт складной Hit Mini, серый")</f>
      </c>
      <c r="C77" s="4" t="n">
        <v>1003.00</v>
      </c>
      <c r="D77" s="4"/>
    </row>
    <row collapsed="" customFormat="false" customHeight="1" hidden="" ht="14" outlineLevel="0" r="78">
      <c r="A78" s="3" t="inlineStr">
        <is>
          <t>73</t>
        </is>
      </c>
      <c r="B78" s="4" t="s">
        <f>=HYPERLINK("http://anyluxury.ru/shop/zonty/skladnye/zont-skladnoy-hit-mini-krasniy-1183950/" , "11839.50 Зонт складной Hit Mini, красный")</f>
      </c>
      <c r="C78" s="4" t="n">
        <v>1003.00</v>
      </c>
      <c r="D78" s="4"/>
    </row>
    <row collapsed="" customFormat="false" customHeight="1" hidden="" ht="14" outlineLevel="0" r="79">
      <c r="A79" s="3" t="inlineStr">
        <is>
          <t>74</t>
        </is>
      </c>
      <c r="B79" s="4" t="s">
        <f>=HYPERLINK("http://anyluxury.ru/shop/zonty/skladnye/zont-skladnoy-hit-mini-bordoviy-1183955/" , "11839.55 Зонт складной Hit Mini, бордовый")</f>
      </c>
      <c r="C79" s="4" t="n">
        <v>1003.00</v>
      </c>
      <c r="D79" s="4"/>
    </row>
    <row collapsed="" customFormat="false" customHeight="1" hidden="" ht="14" outlineLevel="0" r="80">
      <c r="A80" s="3" t="inlineStr">
        <is>
          <t>75</t>
        </is>
      </c>
      <c r="B80" s="4" t="s">
        <f>=HYPERLINK("http://anyluxury.ru/shop/zonty/skladnye/zont-skladnoy-mini-hit-dryset-krasniy-1184150/" , "11841.50 Зонт складной Mini Hit Dry-Set, красный")</f>
      </c>
      <c r="C80" s="4" t="n">
        <v>1489.00</v>
      </c>
      <c r="D80" s="4"/>
    </row>
    <row collapsed="" customFormat="false" customHeight="1" hidden="" ht="14" outlineLevel="0" r="81">
      <c r="A81" s="3" t="inlineStr">
        <is>
          <t>76</t>
        </is>
      </c>
      <c r="B81" s="4" t="s">
        <f>=HYPERLINK("http://anyluxury.ru/shop/zonty/skladnye/zont-skladnoy-mini-hit-dryset-zheltiy-1184180/" , "11841.80 Зонт складной Mini Hit Dry-Set, желтый")</f>
      </c>
      <c r="C81" s="4" t="n">
        <v>1489.00</v>
      </c>
      <c r="D81" s="4"/>
    </row>
    <row collapsed="" customFormat="false" customHeight="1" hidden="" ht="14" outlineLevel="0" r="82">
      <c r="A82" s="3" t="inlineStr">
        <is>
          <t>77</t>
        </is>
      </c>
      <c r="B82" s="4" t="s">
        <f>=HYPERLINK("http://anyluxury.ru/shop/zonty/skladnye/zont-skladnoy-hit-mini-ac-bordoviy-1184255/" , "11842.55 Зонт складной Hit Mini AC, бордовый")</f>
      </c>
      <c r="C82" s="4" t="n">
        <v>1662.00</v>
      </c>
      <c r="D82" s="4"/>
    </row>
    <row collapsed="" customFormat="false" customHeight="1" hidden="" ht="14" outlineLevel="0" r="83">
      <c r="A83" s="3" t="inlineStr">
        <is>
          <t>78</t>
        </is>
      </c>
      <c r="B83" s="4" t="s">
        <f>=HYPERLINK("http://anyluxury.ru/shop/zonty/skladnye/zont-skladnoy-fiber-alu-light-krasniy-1184850/" , "11848.50 Зонт складной Fiber Alu Light, красный")</f>
      </c>
      <c r="C83" s="4" t="n">
        <v>2158.00</v>
      </c>
      <c r="D83" s="4"/>
    </row>
    <row collapsed="" customFormat="false" customHeight="1" hidden="" ht="14" outlineLevel="0" r="84">
      <c r="A84" s="3" t="inlineStr">
        <is>
          <t>79</t>
        </is>
      </c>
      <c r="B84" s="4" t="s">
        <f>=HYPERLINK("http://anyluxury.ru/shop/zonty/skladnye/zont-skladnoy-fiber-alu-light-cherniy-1184830/" , "11848.30 Зонт складной Fiber Alu Light, черный")</f>
      </c>
      <c r="C84" s="4" t="n">
        <v>2158.00</v>
      </c>
      <c r="D84" s="4"/>
    </row>
    <row collapsed="" customFormat="false" customHeight="1" hidden="" ht="14" outlineLevel="0" r="85">
      <c r="A85" s="3" t="inlineStr">
        <is>
          <t>80</t>
        </is>
      </c>
      <c r="B85" s="4" t="s">
        <f>=HYPERLINK("http://anyluxury.ru/shop/zonty/skladnye/zont-skladnoy-fiber-alu-light-beliy-1184860/" , "11848.60 Зонт складной Fiber Alu Light, белый")</f>
      </c>
      <c r="C85" s="4" t="n">
        <v>2158.00</v>
      </c>
      <c r="D85" s="4"/>
    </row>
    <row collapsed="" customFormat="false" customHeight="1" hidden="" ht="14" outlineLevel="0" r="86">
      <c r="A86" s="3" t="inlineStr">
        <is>
          <t>81</t>
        </is>
      </c>
      <c r="B86" s="4" t="s">
        <f>=HYPERLINK("http://anyluxury.ru/shop/zonty/skladnye/zont-skladnoy-hit-magic-temnosiniy-1185240/" , "11852.40 Зонт складной Hit Magic, темно-синий")</f>
      </c>
      <c r="C86" s="4" t="n">
        <v>1967.00</v>
      </c>
      <c r="D86" s="4"/>
    </row>
    <row collapsed="" customFormat="false" customHeight="1" hidden="" ht="14" outlineLevel="0" r="87">
      <c r="A87" s="3" t="inlineStr">
        <is>
          <t>82</t>
        </is>
      </c>
      <c r="B87" s="4" t="s">
        <f>=HYPERLINK("http://anyluxury.ru/shop/zonty/skladnye/zont-skladnoy-hit-magic-krasniy-1185250/" , "11852.50 Зонт складной Hit Magic, красный")</f>
      </c>
      <c r="C87" s="4" t="n">
        <v>1967.00</v>
      </c>
      <c r="D87" s="4"/>
    </row>
    <row collapsed="" customFormat="false" customHeight="1" hidden="" ht="14" outlineLevel="0" r="88">
      <c r="A88" s="3" t="inlineStr">
        <is>
          <t>83</t>
        </is>
      </c>
      <c r="B88" s="4" t="s">
        <f>=HYPERLINK("http://anyluxury.ru/shop/zonty/skladnye/zont-skladnoy-hit-magic-beliy-1185260/" , "11852.60 Зонт складной Hit Magic, белый")</f>
      </c>
      <c r="C88" s="4" t="n">
        <v>1967.00</v>
      </c>
      <c r="D88" s="4"/>
    </row>
    <row collapsed="" customFormat="false" customHeight="1" hidden="" ht="14" outlineLevel="0" r="89">
      <c r="A89" s="3" t="inlineStr">
        <is>
          <t>84</t>
        </is>
      </c>
      <c r="B89" s="4" t="s">
        <f>=HYPERLINK("http://anyluxury.ru/shop/zonty/skladnye/zont-skladnoy-hit-magic-bordoviy-1185255/" , "11852.55 Зонт складной Hit Magic, бордовый")</f>
      </c>
      <c r="C89" s="4" t="n">
        <v>1967.00</v>
      </c>
      <c r="D89" s="4"/>
    </row>
    <row collapsed="" customFormat="false" customHeight="1" hidden="" ht="14" outlineLevel="0" r="90">
      <c r="A90" s="3" t="inlineStr">
        <is>
          <t>85</t>
        </is>
      </c>
      <c r="B90" s="4" t="s">
        <f>=HYPERLINK("http://anyluxury.ru/shop/zonty/skladnye/zont-skladnoy-zero-99-siniy-1185540/" , "11855.40 Зонт складной Zero 99, синий")</f>
      </c>
      <c r="C90" s="4" t="n">
        <v>2673.00</v>
      </c>
      <c r="D90" s="4"/>
    </row>
    <row collapsed="" customFormat="false" customHeight="1" hidden="" ht="14" outlineLevel="0" r="91">
      <c r="A91" s="3" t="inlineStr">
        <is>
          <t>86</t>
        </is>
      </c>
      <c r="B91" s="4" t="s">
        <f>=HYPERLINK("http://anyluxury.ru/shop/zonty/skladnye/zont-skladnoy-zero-99-krasniy-1185550/" , "11855.50 Зонт складной Zero 99, красный")</f>
      </c>
      <c r="C91" s="4" t="n">
        <v>2673.00</v>
      </c>
      <c r="D91" s="4"/>
    </row>
    <row collapsed="" customFormat="false" customHeight="1" hidden="" ht="14" outlineLevel="0" r="92">
      <c r="A92" s="3" t="inlineStr">
        <is>
          <t>87</t>
        </is>
      </c>
      <c r="B92" s="4" t="s">
        <f>=HYPERLINK("http://anyluxury.ru/shop/zonty/skladnye/zont-skladnoy-zero-99-oranzheviy-1185520/" , "11855.20 Зонт складной Zero 99, оранжевый")</f>
      </c>
      <c r="C92" s="4" t="n">
        <v>2673.00</v>
      </c>
      <c r="D92" s="4"/>
    </row>
    <row collapsed="" customFormat="false" customHeight="1" hidden="" ht="14" outlineLevel="0" r="93">
      <c r="A93" s="3" t="inlineStr">
        <is>
          <t>88</t>
        </is>
      </c>
      <c r="B93" s="4" t="s">
        <f>=HYPERLINK("http://anyluxury.ru/shop/zonty/skladnye/zont-skladnoy-zero-99-zeleniy-1185590/" , "11855.90 Зонт складной Zero 99, зеленый")</f>
      </c>
      <c r="C93" s="4" t="n">
        <v>2673.00</v>
      </c>
      <c r="D93" s="4"/>
    </row>
    <row collapsed="" customFormat="false" customHeight="1" hidden="" ht="14" outlineLevel="0" r="94">
      <c r="A94" s="3" t="inlineStr">
        <is>
          <t>89</t>
        </is>
      </c>
      <c r="B94" s="4" t="s">
        <f>=HYPERLINK("http://anyluxury.ru/shop/zonty/skladnye/zont-skladnoy-zero-99-fioletoviy-1185570/" , "11855.70 Зонт складной Zero 99, фиолетовый")</f>
      </c>
      <c r="C94" s="4" t="n">
        <v>2673.00</v>
      </c>
      <c r="D94" s="4"/>
    </row>
    <row collapsed="" customFormat="false" customHeight="1" hidden="" ht="14" outlineLevel="0" r="95">
      <c r="A95" s="3" t="inlineStr">
        <is>
          <t>90</t>
        </is>
      </c>
      <c r="B95" s="4" t="s">
        <f>=HYPERLINK("http://anyluxury.ru/shop/zonty/skladnye/zont-skladnoy-fiber-magic-seriy-1185611/" , "11856.11 Зонт складной Fiber Magic, серый")</f>
      </c>
      <c r="C95" s="4" t="n">
        <v>3423.00</v>
      </c>
      <c r="D95" s="4"/>
    </row>
    <row collapsed="" customFormat="false" customHeight="1" hidden="" ht="14" outlineLevel="0" r="96">
      <c r="A96" s="3" t="inlineStr">
        <is>
          <t>91</t>
        </is>
      </c>
      <c r="B96" s="4" t="s">
        <f>=HYPERLINK("http://anyluxury.ru/shop/zonty/skladnye/zont-skladnoy-fiber-magic-temnosiniy-1185640/" , "11856.40 Зонт складной Fiber Magic, темно-синий")</f>
      </c>
      <c r="C96" s="4" t="n">
        <v>3186.00</v>
      </c>
      <c r="D96" s="4"/>
    </row>
    <row collapsed="" customFormat="false" customHeight="1" hidden="" ht="14" outlineLevel="0" r="97">
      <c r="A97" s="3" t="inlineStr">
        <is>
          <t>92</t>
        </is>
      </c>
      <c r="B97" s="4" t="s">
        <f>=HYPERLINK("http://anyluxury.ru/shop/zonty/skladnye/zont-skladnoy-fiber-magic-krasniy-1185650/" , "11856.50 Зонт складной Fiber Magic, красный")</f>
      </c>
      <c r="C97" s="4" t="n">
        <v>3186.00</v>
      </c>
      <c r="D97" s="4"/>
    </row>
    <row collapsed="" customFormat="false" customHeight="1" hidden="" ht="14" outlineLevel="0" r="98">
      <c r="A98" s="3" t="inlineStr">
        <is>
          <t>93</t>
        </is>
      </c>
      <c r="B98" s="4" t="s">
        <f>=HYPERLINK("http://anyluxury.ru/shop/zonty/skladnye/zont-skladnoy-fiber-magic-cherniy-1185630/" , "11856.30 Зонт складной Fiber Magic, черный")</f>
      </c>
      <c r="C98" s="4" t="n">
        <v>3423.00</v>
      </c>
      <c r="D98" s="4"/>
    </row>
    <row collapsed="" customFormat="false" customHeight="1" hidden="" ht="14" outlineLevel="0" r="99">
      <c r="A99" s="3" t="inlineStr">
        <is>
          <t>94</t>
        </is>
      </c>
      <c r="B99" s="4" t="s">
        <f>=HYPERLINK("http://anyluxury.ru/shop/zonty/skladnye/zont-skladnoy-carbonsteel-slim-krasniy-1185850/" , "11858.50 Зонт складной Carbonsteel Slim, красный")</f>
      </c>
      <c r="C99" s="4" t="n">
        <v>3409.00</v>
      </c>
      <c r="D99" s="4"/>
    </row>
    <row collapsed="" customFormat="false" customHeight="1" hidden="" ht="14" outlineLevel="0" r="100">
      <c r="A100" s="3" t="inlineStr">
        <is>
          <t>95</t>
        </is>
      </c>
      <c r="B100" s="4" t="s">
        <f>=HYPERLINK("http://anyluxury.ru/shop/zonty/skladnye/zont-skladnoy-carbonsteel-magic-temnosiniy-1185940/" , "11859.40 Зонт складной Carbonsteel Magic, темно-синий")</f>
      </c>
      <c r="C100" s="4" t="n">
        <v>3895.00</v>
      </c>
      <c r="D100" s="4"/>
    </row>
    <row collapsed="" customFormat="false" customHeight="1" hidden="" ht="14" outlineLevel="0" r="101">
      <c r="A101" s="3" t="inlineStr">
        <is>
          <t>96</t>
        </is>
      </c>
      <c r="B101" s="4" t="s">
        <f>=HYPERLINK("http://anyluxury.ru/shop/zonty/skladnye/zont-skladnoy-carbonsteel-magic-krasniy-1185950/" , "11859.50 Зонт складной Carbonsteel Magic, красный")</f>
      </c>
      <c r="C101" s="4" t="n">
        <v>3895.00</v>
      </c>
      <c r="D101" s="4"/>
    </row>
    <row collapsed="" customFormat="false" customHeight="1" hidden="" ht="14" outlineLevel="0" r="102">
      <c r="A102" s="3" t="inlineStr">
        <is>
          <t>97</t>
        </is>
      </c>
      <c r="B102" s="4" t="s">
        <f>=HYPERLINK("http://anyluxury.ru/shop/zonty/skladnye/zont-skladnoy-carbonsteel-magic-cherniy-1185930/" , "11859.30 Зонт складной Carbonsteel Magic, черный")</f>
      </c>
      <c r="C102" s="4" t="n">
        <v>3895.00</v>
      </c>
      <c r="D102" s="4"/>
    </row>
    <row collapsed="" customFormat="false" customHeight="1" hidden="" ht="14" outlineLevel="0" r="103">
      <c r="A103" s="3" t="inlineStr">
        <is>
          <t>98</t>
        </is>
      </c>
      <c r="B103" s="4" t="s">
        <f>=HYPERLINK("http://anyluxury.ru/shop/zonty/skladnye/zont-skladnoy-magic-xm-carbon-cherniy-1186130/" , "11861.30 Зонт складной Magic XM Carbon, черный")</f>
      </c>
      <c r="C103" s="4" t="n">
        <v>4900.00</v>
      </c>
      <c r="D103" s="4"/>
    </row>
    <row collapsed="" customFormat="false" customHeight="1" hidden="" ht="14" outlineLevel="0" r="104">
      <c r="A104" s="3" t="inlineStr">
        <is>
          <t>99</t>
        </is>
      </c>
      <c r="B104" s="4" t="s">
        <f>=HYPERLINK("http://anyluxury.ru/shop/zonty/skladnye/zont-skladnoy-mini-hit-flach-temnosiniy-1184040/" , "11840.40 Зонт складной Mini Hit Flach, темно-синий")</f>
      </c>
      <c r="C104" s="4" t="n">
        <v>1323.00</v>
      </c>
      <c r="D104" s="4"/>
    </row>
    <row collapsed="" customFormat="false" customHeight="1" hidden="" ht="14" outlineLevel="0" r="105">
      <c r="A105" s="3" t="inlineStr">
        <is>
          <t>100</t>
        </is>
      </c>
      <c r="B105" s="4" t="s">
        <f>=HYPERLINK("http://anyluxury.ru/shop/zonty/skladnye/zont-skladnoy-mini-hit-flach-seriy-1184011/" , "11840.11 Зонт складной Mini Hit Flach, серый")</f>
      </c>
      <c r="C105" s="4" t="n">
        <v>1323.00</v>
      </c>
      <c r="D105" s="4"/>
    </row>
    <row collapsed="" customFormat="false" customHeight="1" hidden="" ht="14" outlineLevel="0" r="106">
      <c r="A106" s="3" t="inlineStr">
        <is>
          <t>101</t>
        </is>
      </c>
      <c r="B106" s="4" t="s">
        <f>=HYPERLINK("http://anyluxury.ru/shop/zonty/skladnye/zont-skladnoy-mini-hit-flach-cherniy-1184030/" , "11840.30 Зонт складной Mini Hit Flach, черный")</f>
      </c>
      <c r="C106" s="4" t="n">
        <v>1323.00</v>
      </c>
      <c r="D106" s="4"/>
    </row>
    <row collapsed="" customFormat="false" customHeight="1" hidden="" ht="14" outlineLevel="0" r="107">
      <c r="A107" s="3" t="inlineStr">
        <is>
          <t>102</t>
        </is>
      </c>
      <c r="B107" s="4" t="s">
        <f>=HYPERLINK("http://anyluxury.ru/shop/zonty/skladnye/zont-skladnoy-fiber-alu-flach-cherniy-1185130/" , "11851.30 Зонт складной Fiber Alu Flach, черный")</f>
      </c>
      <c r="C107" s="4" t="n">
        <v>1880.00</v>
      </c>
      <c r="D107" s="4"/>
    </row>
    <row collapsed="" customFormat="false" customHeight="1" hidden="" ht="14" outlineLevel="0" r="108">
      <c r="A108" s="3" t="inlineStr">
        <is>
          <t>103</t>
        </is>
      </c>
      <c r="B108" s="4" t="s">
        <f>=HYPERLINK("http://anyluxury.ru/shop/zonty/skladnye/zont-skladnoy-fiber-alu-flach-seriy-1185111/" , "11851.11 Зонт складной Fiber Alu Flach, серый")</f>
      </c>
      <c r="C108" s="4" t="n">
        <v>1880.00</v>
      </c>
      <c r="D108" s="4"/>
    </row>
    <row collapsed="" customFormat="false" customHeight="1" hidden="" ht="14" outlineLevel="0" r="109">
      <c r="A109" s="3" t="inlineStr">
        <is>
          <t>104</t>
        </is>
      </c>
      <c r="B109" s="4" t="s">
        <f>=HYPERLINK("http://anyluxury.ru/shop/zonty/skladnye/zont-skladnoy-e200-ver-2-cherniy-578233/" , "5782.33 Зонт складной E.200, черный")</f>
      </c>
      <c r="C109" s="4" t="n">
        <v>4627.00</v>
      </c>
      <c r="D109" s="4"/>
    </row>
    <row collapsed="" customFormat="false" customHeight="1" hidden="" ht="14" outlineLevel="0" r="110">
      <c r="A110" s="3" t="inlineStr">
        <is>
          <t>105</t>
        </is>
      </c>
      <c r="B110" s="4" t="s">
        <f>=HYPERLINK("http://anyluxury.ru/shop/zonty/skladnye/zont-skladnoy-e200-ver-2-temnosiniy-578244/" , "5782.44 Зонт складной E.200, темно-синий")</f>
      </c>
      <c r="C110" s="4" t="n">
        <v>4627.00</v>
      </c>
      <c r="D110" s="4"/>
    </row>
    <row collapsed="" customFormat="false" customHeight="1" hidden="" ht="14" outlineLevel="0" r="111">
      <c r="A111" s="3" t="inlineStr">
        <is>
          <t>106</t>
        </is>
      </c>
      <c r="B111" s="4" t="s">
        <f>=HYPERLINK("http://anyluxury.ru/shop/zonty/skladnye/zont-skladnoy-hard-work-seriy-7700610/" , "77006.10 Зонт складной Hard Work, серый")</f>
      </c>
      <c r="C111" s="4" t="n">
        <v>2000.00</v>
      </c>
      <c r="D111" s="4"/>
    </row>
    <row collapsed="" customFormat="false" customHeight="1" hidden="" ht="14" outlineLevel="0" r="112">
      <c r="A112" s="3" t="inlineStr">
        <is>
          <t>107</t>
        </is>
      </c>
      <c r="B112" s="4" t="s">
        <f>=HYPERLINK("http://anyluxury.ru/shop/zonty/skladnye/zont-skladnoy-manifest-so-svetootrazhayushhim-kupolom-seriy-1236811/" , "12368.11 Зонт складной Manifest со светоотражающим куполом, серый")</f>
      </c>
      <c r="C112" s="4" t="n">
        <v>2200.00</v>
      </c>
      <c r="D112" s="4"/>
    </row>
    <row collapsed="" customFormat="false" customHeight="1" hidden="" ht="14" outlineLevel="0" r="113">
      <c r="A113" s="3" t="inlineStr">
        <is>
          <t>108</t>
        </is>
      </c>
      <c r="B113" s="4" t="s">
        <f>=HYPERLINK("http://anyluxury.ru/shop/zonty/skladnye/skladnoy-zont-gems-krasniy-1701350/" , "17013.50 Складной зонт Gems, красный")</f>
      </c>
      <c r="C113" s="4" t="n">
        <v>1481.00</v>
      </c>
      <c r="D113" s="4"/>
    </row>
    <row collapsed="" customFormat="false" customHeight="1" hidden="" ht="14" outlineLevel="0" r="114">
      <c r="A114" s="3" t="inlineStr">
        <is>
          <t>109</t>
        </is>
      </c>
      <c r="B114" s="4" t="s">
        <f>=HYPERLINK("http://anyluxury.ru/shop/zonty/skladnye/zont-skladnoy-aoc-mini-s-cvetnimi-spicami-ver2-zelenoe-yabloko-6471594/" , "64715.94 Зонт складной AOC Mini с цветными спицами, зеленое яблоко")</f>
      </c>
      <c r="C114" s="4" t="n">
        <v>3137.00</v>
      </c>
      <c r="D114" s="4"/>
    </row>
    <row collapsed="" customFormat="false" customHeight="1" hidden="" ht="14" outlineLevel="0" r="115">
      <c r="A115" s="3" t="inlineStr">
        <is>
          <t>110</t>
        </is>
      </c>
      <c r="B115" s="4" t="s">
        <f>=HYPERLINK("http://anyluxury.ru/shop/zonty/skladnye/zont-skladnoy-aoc-mini-s-cvetnimi-spicami-ver2-krasniy-6471550/" , "64715.50 Зонт складной AOC Mini с цветными спицами, красный")</f>
      </c>
      <c r="C115" s="4" t="n">
        <v>3137.00</v>
      </c>
      <c r="D115" s="4"/>
    </row>
    <row collapsed="" customFormat="false" customHeight="1" hidden="" ht="14" outlineLevel="0" r="116">
      <c r="A116" s="3" t="inlineStr">
        <is>
          <t>111</t>
        </is>
      </c>
      <c r="B116" s="4" t="s">
        <f>=HYPERLINK("http://anyluxury.ru/shop/zonty/skladnye/zont-skladnoy-aoc-mini-s-cvetnimi-spicami-ver2-siniy-6471540/" , "64715.40 Зонт складной AOC Mini с цветными спицами, синий")</f>
      </c>
      <c r="C116" s="4" t="n">
        <v>3137.00</v>
      </c>
      <c r="D116" s="4"/>
    </row>
    <row collapsed="" customFormat="false" customHeight="1" hidden="" ht="14" outlineLevel="0" r="117">
      <c r="A117" s="3" t="inlineStr">
        <is>
          <t>112</t>
        </is>
      </c>
      <c r="B117" s="4" t="s">
        <f>=HYPERLINK("http://anyluxury.ru/shop/zonty/skladnye/zont-skladnoy-monsoon-cherniy-1451830/" , "14518.30 Зонт складной Monsoon, черный")</f>
      </c>
      <c r="C117" s="4" t="n">
        <v>1670.00</v>
      </c>
      <c r="D117" s="4"/>
    </row>
    <row collapsed="" customFormat="false" customHeight="1" hidden="" ht="14" outlineLevel="0" r="118">
      <c r="A118" s="3" t="inlineStr">
        <is>
          <t>113</t>
        </is>
      </c>
      <c r="B118" s="4" t="s">
        <f>=HYPERLINK("http://anyluxury.ru/shop/zonty/skladnye/zont-skladnoy-monsoon-temnosiniy-1451843/" , "14518.43 Зонт складной Monsoon, темно-синий")</f>
      </c>
      <c r="C118" s="4" t="n">
        <v>1670.00</v>
      </c>
      <c r="D118" s="4"/>
    </row>
    <row collapsed="" customFormat="false" customHeight="1" hidden="" ht="14" outlineLevel="0" r="119">
      <c r="A119" s="3" t="inlineStr">
        <is>
          <t>114</t>
        </is>
      </c>
      <c r="B119" s="4" t="s">
        <f>=HYPERLINK("http://anyluxury.ru/shop/zonty/skladnye/skladnoy-zont-doubledub-siniy-1206340/" , "12063.40 Складной зонт doubleDub, синий")</f>
      </c>
      <c r="C119" s="4" t="n">
        <v>2307.00</v>
      </c>
      <c r="D119" s="4"/>
    </row>
    <row collapsed="" customFormat="false" customHeight="1" hidden="" ht="14" outlineLevel="0" r="120">
      <c r="A120" s="3" t="inlineStr">
        <is>
          <t>115</t>
        </is>
      </c>
      <c r="B120" s="4" t="s">
        <f>=HYPERLINK("http://anyluxury.ru/shop/zonty/skladnye/skladnoy-zont-doubledub-temnosiniy-1206330/" , "12063.30 Складной зонт doubleDub, темно-синий")</f>
      </c>
      <c r="C120" s="4" t="n">
        <v>2307.00</v>
      </c>
      <c r="D120" s="4"/>
    </row>
    <row collapsed="" customFormat="false" customHeight="1" hidden="" ht="14" outlineLevel="0" r="121">
      <c r="A121" s="3" t="inlineStr">
        <is>
          <t>116</t>
        </is>
      </c>
      <c r="B121" s="4" t="s">
        <f>=HYPERLINK("http://anyluxury.ru/shop/zonty/skladnye/zont-skladnoy-luft-trek-cherniy-1505630/" , "15056.30 Зонт складной Luft Trek, черный")</f>
      </c>
      <c r="C121" s="4" t="n">
        <v>1435.00</v>
      </c>
      <c r="D121" s="4"/>
    </row>
    <row collapsed="" customFormat="false" customHeight="1" hidden="" ht="14" outlineLevel="0" r="122">
      <c r="A122" s="3" t="inlineStr">
        <is>
          <t>117</t>
        </is>
      </c>
      <c r="B122" s="4" t="s">
        <f>=HYPERLINK("http://anyluxury.ru/shop/zonty/skladnye/zont-skladnoy-luft-trek-temnosiniy-1505640/" , "15056.40 Зонт складной Luft Trek, темно-синий")</f>
      </c>
      <c r="C122" s="4" t="n">
        <v>1435.00</v>
      </c>
      <c r="D122" s="4"/>
    </row>
    <row collapsed="" customFormat="false" customHeight="1" hidden="" ht="14" outlineLevel="0" r="123">
      <c r="A123" s="3" t="inlineStr">
        <is>
          <t>118</t>
        </is>
      </c>
      <c r="B123" s="4" t="s">
        <f>=HYPERLINK("http://anyluxury.ru/shop/zonty/skladnye/zont-skladnoy-luft-trek-beliy-1505660/" , "15056.60 Зонт складной Luft Trek, белый")</f>
      </c>
      <c r="C123" s="4" t="n">
        <v>1209.00</v>
      </c>
      <c r="D123" s="4"/>
    </row>
    <row collapsed="" customFormat="false" customHeight="1" hidden="" ht="14" outlineLevel="0" r="124">
      <c r="A124" s="3" t="inlineStr">
        <is>
          <t>119</t>
        </is>
      </c>
      <c r="B124" s="4" t="s">
        <f>=HYPERLINK("http://anyluxury.ru/shop/zonty/skladnye/zont-skladnoy-luft-trek-seriy-1505611/" , "15056.11 Зонт складной Luft Trek, серый")</f>
      </c>
      <c r="C124" s="4" t="n">
        <v>1435.00</v>
      </c>
      <c r="D124" s="4"/>
    </row>
    <row collapsed="" customFormat="false" customHeight="1" hidden="" ht="14" outlineLevel="0" r="125">
      <c r="A125" s="3" t="inlineStr">
        <is>
          <t>120</t>
        </is>
      </c>
      <c r="B125" s="4" t="s">
        <f>=HYPERLINK("http://anyluxury.ru/shop/zonty/skladnye/zont-skladnoy-aoc-siniy-710644/" , "7106.44 Зонт складной AOC, синий")</f>
      </c>
      <c r="C125" s="4" t="n">
        <v>2425.00</v>
      </c>
      <c r="D125" s="4"/>
    </row>
    <row collapsed="" customFormat="false" customHeight="1" hidden="" ht="14" outlineLevel="0" r="126">
      <c r="A126" s="3" t="inlineStr">
        <is>
          <t>121</t>
        </is>
      </c>
      <c r="B126" s="4" t="s">
        <f>=HYPERLINK("http://anyluxury.ru/shop/zonty/skladnye/zont-skladnoy-zero-large-cherniy-1459430/" , "14594.30 Зонт складной Zero Large, черный")</f>
      </c>
      <c r="C126" s="4" t="n">
        <v>3015.00</v>
      </c>
      <c r="D126" s="4"/>
    </row>
    <row collapsed="" customFormat="false" customHeight="1" hidden="" ht="14" outlineLevel="0" r="127">
      <c r="A127" s="3" t="inlineStr">
        <is>
          <t>122</t>
        </is>
      </c>
      <c r="B127" s="4" t="s">
        <f>=HYPERLINK("http://anyluxury.ru/shop/zonty/skladnye/zont-skladnoy-zero-magic-large-cherniy-1459530/" , "14595.30 Зонт складной Zero Magic Large, черный")</f>
      </c>
      <c r="C127" s="4" t="n">
        <v>3590.00</v>
      </c>
      <c r="D127" s="4"/>
    </row>
    <row collapsed="" customFormat="false" customHeight="1" hidden="" ht="14" outlineLevel="0" r="128">
      <c r="A128" s="3" t="inlineStr">
        <is>
          <t>123</t>
        </is>
      </c>
      <c r="B128" s="4" t="s">
        <f>=HYPERLINK("http://anyluxury.ru/shop/zonty/skladnye/zont-skladnoy-zero-magic-large-siniy-1459540/" , "14595.40 Зонт складной Zero Magic Large, синий")</f>
      </c>
      <c r="C128" s="4" t="n">
        <v>3590.00</v>
      </c>
      <c r="D128" s="4"/>
    </row>
    <row collapsed="" customFormat="false" customHeight="1" hidden="" ht="14" outlineLevel="0" r="129">
      <c r="A129" s="3" t="inlineStr">
        <is>
          <t>124</t>
        </is>
      </c>
      <c r="B129" s="4" t="s">
        <f>=HYPERLINK("http://anyluxury.ru/shop/zonty/skladnye/zont-skladnoy-fiber-magic-major-s-keysom-cherniy-1459630/" , "14596.30 Зонт складной Fiber Magic Major с кейсом, черный")</f>
      </c>
      <c r="C129" s="4" t="n">
        <v>4458.00</v>
      </c>
      <c r="D129" s="4"/>
    </row>
    <row collapsed="" customFormat="false" customHeight="1" hidden="" ht="14" outlineLevel="0" r="130">
      <c r="A130" s="3" t="inlineStr">
        <is>
          <t>125</t>
        </is>
      </c>
      <c r="B130" s="4" t="s">
        <f>=HYPERLINK("http://anyluxury.ru/shop/zonty/skladnye/zont-skladnoy-us050-cherniy-1459730/" , "14597.30 Зонт складной US.050, черный")</f>
      </c>
      <c r="C130" s="4" t="n">
        <v>3849.00</v>
      </c>
      <c r="D130" s="4"/>
    </row>
    <row collapsed="" customFormat="false" customHeight="1" hidden="" ht="14" outlineLevel="0" r="131">
      <c r="A131" s="3" t="inlineStr">
        <is>
          <t>126</t>
        </is>
      </c>
      <c r="B131" s="4" t="s">
        <f>=HYPERLINK("http://anyluxury.ru/shop/zonty/skladnye/zont-skladnoy-us050-temnosiniy-1459740/" , "14597.40 Зонт складной US.050, темно-синий")</f>
      </c>
      <c r="C131" s="4" t="n">
        <v>3849.00</v>
      </c>
      <c r="D131" s="4"/>
    </row>
    <row collapsed="" customFormat="false" customHeight="1" hidden="" ht="14" outlineLevel="0" r="132">
      <c r="A132" s="3" t="inlineStr">
        <is>
          <t>127</t>
        </is>
      </c>
      <c r="B132" s="4" t="s">
        <f>=HYPERLINK("http://anyluxury.ru/shop/zonty/skladnye/zont-skladnoy-us050-krasniy-1459750/" , "14597.50 Зонт складной US.050, красный")</f>
      </c>
      <c r="C132" s="4" t="n">
        <v>3849.00</v>
      </c>
      <c r="D132" s="4"/>
    </row>
    <row collapsed="" customFormat="false" customHeight="1" hidden="" ht="14" outlineLevel="0" r="133">
      <c r="A133" s="3" t="inlineStr">
        <is>
          <t>128</t>
        </is>
      </c>
      <c r="B133" s="4" t="s">
        <f>=HYPERLINK("http://anyluxury.ru/shop/zonty/skladnye/zont-skladnoy-us050-zeleniy-1459790/" , "14597.90 Зонт складной US.050, зеленый")</f>
      </c>
      <c r="C133" s="4" t="n">
        <v>3849.00</v>
      </c>
      <c r="D133" s="4"/>
    </row>
    <row collapsed="" customFormat="false" customHeight="1" hidden="" ht="14" outlineLevel="0" r="134">
      <c r="A134" s="3" t="inlineStr">
        <is>
          <t>129</t>
        </is>
      </c>
      <c r="B134" s="4" t="s">
        <f>=HYPERLINK("http://anyluxury.ru/shop/zonty/skladnye/zont-skladnoy-us050-fioletoviy-1459770/" , "14597.70 Зонт складной US.050, фиолетовый")</f>
      </c>
      <c r="C134" s="4" t="n">
        <v>3849.00</v>
      </c>
      <c r="D134" s="4"/>
    </row>
    <row collapsed="" customFormat="false" customHeight="1" hidden="" ht="14" outlineLevel="0" r="135">
      <c r="A135" s="3" t="inlineStr">
        <is>
          <t>130</t>
        </is>
      </c>
      <c r="B135" s="4" t="s">
        <f>=HYPERLINK("http://anyluxury.ru/shop/zonty/skladnye/zont-skladnoy-us050-biryuzoviy-1459714/" , "14597.14 Зонт складной US.050, бирюзовый")</f>
      </c>
      <c r="C135" s="4" t="n">
        <v>3849.00</v>
      </c>
      <c r="D135" s="4"/>
    </row>
    <row collapsed="" customFormat="false" customHeight="1" hidden="" ht="14" outlineLevel="0" r="136">
      <c r="A136" s="3" t="inlineStr">
        <is>
          <t>131</t>
        </is>
      </c>
      <c r="B136" s="4" t="s">
        <f>=HYPERLINK("http://anyluxury.ru/shop/zonty/skladnye/zont-skladnoy-us050-zheltiy-1459780/" , "14597.80 Зонт складной US.050, желтый")</f>
      </c>
      <c r="C136" s="4" t="n">
        <v>3849.00</v>
      </c>
      <c r="D136" s="4"/>
    </row>
    <row collapsed="" customFormat="false" customHeight="1" hidden="" ht="14" outlineLevel="0" r="137">
      <c r="A137" s="3" t="inlineStr">
        <is>
          <t>132</t>
        </is>
      </c>
      <c r="B137" s="4" t="s">
        <f>=HYPERLINK("http://anyluxury.ru/shop/zonty/skladnye/zont-skladnoy-us050-yarkorozoviy-fuksiya-1459757/" , "14597.57 Зонт складной US.050, ярко-розовый (фуксия)")</f>
      </c>
      <c r="C137" s="4" t="n">
        <v>3849.00</v>
      </c>
      <c r="D137" s="4"/>
    </row>
    <row collapsed="" customFormat="false" customHeight="1" hidden="" ht="14" outlineLevel="0" r="138">
      <c r="A138" s="3" t="inlineStr">
        <is>
          <t>133</t>
        </is>
      </c>
      <c r="B138" s="4" t="s">
        <f>=HYPERLINK("http://anyluxury.ru/shop/zonty/skladnye/zont-skladnoy-us050-zelenoe-yabloko-1459794/" , "14597.94 Зонт складной US.050, зеленое яблоко")</f>
      </c>
      <c r="C138" s="4" t="n">
        <v>3849.00</v>
      </c>
      <c r="D138" s="4"/>
    </row>
    <row collapsed="" customFormat="false" customHeight="1" hidden="" ht="14" outlineLevel="0" r="139">
      <c r="A139" s="3" t="inlineStr">
        <is>
          <t>134</t>
        </is>
      </c>
      <c r="B139" s="4" t="s">
        <f>=HYPERLINK("http://anyluxury.ru/shop/zonty/skladnye/zont-skladnoy-us050-cherniy-s-neonovoy-petley-1459733/" , "14597.33 Зонт складной US.050, черный с неоновой петлей")</f>
      </c>
      <c r="C139" s="4" t="n">
        <v>3849.00</v>
      </c>
      <c r="D139" s="4"/>
    </row>
    <row collapsed="" customFormat="false" customHeight="1" hidden="" ht="14" outlineLevel="0" r="140">
      <c r="A140" s="3" t="inlineStr">
        <is>
          <t>135</t>
        </is>
      </c>
      <c r="B140" s="4" t="s">
        <f>=HYPERLINK("http://anyluxury.ru/shop/zonty/skladnye/skladnoy-zont-u200-cherniy-1459830/" , "14598.30 Складной зонт U.200, черный")</f>
      </c>
      <c r="C140" s="4" t="n">
        <v>4829.00</v>
      </c>
      <c r="D140" s="4"/>
    </row>
    <row collapsed="" customFormat="false" customHeight="1" hidden="" ht="14" outlineLevel="0" r="141">
      <c r="A141" s="3" t="inlineStr">
        <is>
          <t>136</t>
        </is>
      </c>
      <c r="B141" s="4" t="s">
        <f>=HYPERLINK("http://anyluxury.ru/shop/zonty/skladnye/skladnoy-zont-u200-krasniy-1459850/" , "14598.50 Складной зонт U.200, красный")</f>
      </c>
      <c r="C141" s="4" t="n">
        <v>4829.00</v>
      </c>
      <c r="D141" s="4"/>
    </row>
    <row collapsed="" customFormat="false" customHeight="1" hidden="" ht="14" outlineLevel="0" r="142">
      <c r="A142" s="3" t="inlineStr">
        <is>
          <t>137</t>
        </is>
      </c>
      <c r="B142" s="4" t="s">
        <f>=HYPERLINK("http://anyluxury.ru/shop/zonty/skladnye/skladnoy-zont-u200-zeleniy-1459890/" , "14598.90 Складной зонт U.200, зеленый")</f>
      </c>
      <c r="C142" s="4" t="n">
        <v>4829.00</v>
      </c>
      <c r="D142" s="4"/>
    </row>
    <row collapsed="" customFormat="false" customHeight="1" hidden="" ht="14" outlineLevel="0" r="143">
      <c r="A143" s="3" t="inlineStr">
        <is>
          <t>138</t>
        </is>
      </c>
      <c r="B143" s="4" t="s">
        <f>=HYPERLINK("http://anyluxury.ru/shop/zonty/skladnye/skladnoy-zont-u200-fioletoviy-1459870/" , "14598.70 Складной зонт U.200, фиолетовый")</f>
      </c>
      <c r="C143" s="4" t="n">
        <v>4829.00</v>
      </c>
      <c r="D143" s="4"/>
    </row>
    <row collapsed="" customFormat="false" customHeight="1" hidden="" ht="14" outlineLevel="0" r="144">
      <c r="A144" s="3" t="inlineStr">
        <is>
          <t>139</t>
        </is>
      </c>
      <c r="B144" s="4" t="s">
        <f>=HYPERLINK("http://anyluxury.ru/shop/zonty/skladnye/skladnoy-zont-u200-biryuzoviy-1459814/" , "14598.14 Складной зонт U.200, бирюзовый")</f>
      </c>
      <c r="C144" s="4" t="n">
        <v>4829.00</v>
      </c>
      <c r="D144" s="4"/>
    </row>
    <row collapsed="" customFormat="false" customHeight="1" hidden="" ht="14" outlineLevel="0" r="145">
      <c r="A145" s="3" t="inlineStr">
        <is>
          <t>140</t>
        </is>
      </c>
      <c r="B145" s="4" t="s">
        <f>=HYPERLINK("http://anyluxury.ru/shop/zonty/skladnye/skladnoy-zont-u200-zheltiy-1459880/" , "14598.80 Складной зонт U.200, желтый")</f>
      </c>
      <c r="C145" s="4" t="n">
        <v>4829.00</v>
      </c>
      <c r="D145" s="4"/>
    </row>
    <row collapsed="" customFormat="false" customHeight="1" hidden="" ht="14" outlineLevel="0" r="146">
      <c r="A146" s="3" t="inlineStr">
        <is>
          <t>141</t>
        </is>
      </c>
      <c r="B146" s="4" t="s">
        <f>=HYPERLINK("http://anyluxury.ru/shop/zonty/skladnye/skladnoy-zont-u200-yarkorozoviy-1459857/" , "14598.57 Складной зонт U.200, ярко-розовый")</f>
      </c>
      <c r="C146" s="4" t="n">
        <v>3722.00</v>
      </c>
      <c r="D146" s="4"/>
    </row>
    <row collapsed="" customFormat="false" customHeight="1" hidden="" ht="14" outlineLevel="0" r="147">
      <c r="A147" s="3" t="inlineStr">
        <is>
          <t>142</t>
        </is>
      </c>
      <c r="B147" s="4" t="s">
        <f>=HYPERLINK("http://anyluxury.ru/shop/zonty/skladnye/skladnoy-zont-u200-zelenoe-yabloko-1459894/" , "14598.94 Складной зонт U.200, зеленое яблоко")</f>
      </c>
      <c r="C147" s="4" t="n">
        <v>4829.00</v>
      </c>
      <c r="D147" s="4"/>
    </row>
    <row collapsed="" customFormat="false" customHeight="1" hidden="" ht="14" outlineLevel="0" r="148">
      <c r="A148" s="3" t="inlineStr">
        <is>
          <t>143</t>
        </is>
      </c>
      <c r="B148" s="4" t="s">
        <f>=HYPERLINK("http://anyluxury.ru/shop/zonty/skladnye/skladnoy-zont-u200-cherniy-s-neonovoy-petley-1459833/" , "14598.33 Складной зонт U.200, черный с неоновой петлей")</f>
      </c>
      <c r="C148" s="4" t="n">
        <v>4829.00</v>
      </c>
      <c r="D148" s="4"/>
    </row>
    <row collapsed="" customFormat="false" customHeight="1" hidden="" ht="14" outlineLevel="0" r="149">
      <c r="A149" s="3" t="inlineStr">
        <is>
          <t>144</t>
        </is>
      </c>
      <c r="B149" s="4" t="s">
        <f>=HYPERLINK("http://anyluxury.ru/shop/zonty/skladnye/zont-skladnoy-hoopy-s-ruchkoykarabinom-krasniy-1303550/" , "13035.50 Зонт складной Hoopy с ручкой-карабином, красный")</f>
      </c>
      <c r="C149" s="4" t="n">
        <v>1267.00</v>
      </c>
      <c r="D149" s="4"/>
    </row>
    <row collapsed="" customFormat="false" customHeight="1" hidden="" ht="14" outlineLevel="0" r="150">
      <c r="A150" s="3" t="inlineStr">
        <is>
          <t>145</t>
        </is>
      </c>
      <c r="B150" s="4" t="s">
        <f>=HYPERLINK("http://anyluxury.ru/shop/zonty/skladnye/zont-skladnoy-hoopy-s-ruchkoykarabinom-beliy-1303560/" , "13035.60 Зонт складной Hoopy с ручкой-карабином, белый")</f>
      </c>
      <c r="C150" s="4" t="n">
        <v>1267.00</v>
      </c>
      <c r="D150" s="4"/>
    </row>
    <row collapsed="" customFormat="false" customHeight="1" hidden="" ht="14" outlineLevel="0" r="151">
      <c r="A151" s="3" t="inlineStr">
        <is>
          <t>146</t>
        </is>
      </c>
      <c r="B151" s="4" t="s">
        <f>=HYPERLINK("http://anyluxury.ru/shop/zonty/skladnye/zont-skladnoy-hoopy-s-ruchkoykarabinom-temnosiniy-1303540/" , "13035.40 Зонт складной Hoopy с ручкой-карабином, темно-синий")</f>
      </c>
      <c r="C151" s="4" t="n">
        <v>1267.00</v>
      </c>
      <c r="D151" s="4"/>
    </row>
    <row collapsed="" customFormat="false" customHeight="1" hidden="" ht="14" outlineLevel="0" r="152">
      <c r="A152" s="3" t="inlineStr">
        <is>
          <t>147</t>
        </is>
      </c>
      <c r="B152" s="4" t="s">
        <f>=HYPERLINK("http://anyluxury.ru/shop/zonty/skladnye/skladnoy-zont-tomas-krasniy-7913950/" , "79139.50 Складной зонт Tomas, красный")</f>
      </c>
      <c r="C152" s="4" t="n">
        <v>1404.00</v>
      </c>
      <c r="D152" s="4"/>
    </row>
    <row collapsed="" customFormat="false" customHeight="1" hidden="" ht="14" outlineLevel="0" r="153">
      <c r="A153" s="3" t="inlineStr">
        <is>
          <t>148</t>
        </is>
      </c>
      <c r="B153" s="4" t="s">
        <f>=HYPERLINK("http://anyluxury.ru/shop/zonty/skladnye/skladnoy-zont-tomas-siniy-7913940/" , "79139.40 Складной зонт Tomas, синий")</f>
      </c>
      <c r="C153" s="4" t="n">
        <v>1401.00</v>
      </c>
      <c r="D153" s="4"/>
    </row>
    <row collapsed="" customFormat="false" customHeight="1" hidden="" ht="14" outlineLevel="0" r="154">
      <c r="A154" s="3" t="inlineStr">
        <is>
          <t>149</t>
        </is>
      </c>
      <c r="B154" s="4" t="s">
        <f>=HYPERLINK("http://anyluxury.ru/shop/zonty/skladnye/skladnoy-zont-tomas-zelenoe-yabloko-7913994/" , "79139.94 Складной зонт Tomas, зеленое яблоко")</f>
      </c>
      <c r="C154" s="4" t="n">
        <v>1404.00</v>
      </c>
      <c r="D154" s="4"/>
    </row>
    <row collapsed="" customFormat="false" customHeight="1" hidden="" ht="14" outlineLevel="0" r="155">
      <c r="A155" s="3" t="inlineStr">
        <is>
          <t>150</t>
        </is>
      </c>
      <c r="B155" s="4" t="s">
        <f>=HYPERLINK("http://anyluxury.ru/shop/zonty/skladnye/skladnoy-zont-tomas-oranzheviy-7913920/" , "79139.20 Складной зонт Tomas, оранжевый")</f>
      </c>
      <c r="C155" s="4" t="n">
        <v>1404.00</v>
      </c>
      <c r="D155" s="4"/>
    </row>
    <row collapsed="" customFormat="false" customHeight="1" hidden="" ht="14" outlineLevel="0" r="156">
      <c r="A156" s="3" t="inlineStr">
        <is>
          <t>151</t>
        </is>
      </c>
      <c r="B156" s="4" t="s">
        <f>=HYPERLINK("http://anyluxury.ru/shop/zonty/skladnye/skladnoy-zont-fiber-magic-superstrong-bordoviy-1411350/" , "14113.50 Складной зонт Fiber Magic Superstrong, бордовый")</f>
      </c>
      <c r="C156" s="4" t="n">
        <v>3622.00</v>
      </c>
      <c r="D156" s="4"/>
    </row>
    <row collapsed="" customFormat="false" customHeight="1" hidden="" ht="14" outlineLevel="0" r="157">
      <c r="A157" s="3" t="inlineStr">
        <is>
          <t>152</t>
        </is>
      </c>
      <c r="B157" s="4" t="s">
        <f>=HYPERLINK("http://anyluxury.ru/shop/zonty/skladnye/skladnoy-zont-fiber-magic-superstrong-zeleniy-1411390/" , "14113.90 Складной зонт Fiber Magic Superstrong, зеленый")</f>
      </c>
      <c r="C157" s="4" t="n">
        <v>3622.00</v>
      </c>
      <c r="D157" s="4"/>
    </row>
    <row collapsed="" customFormat="false" customHeight="1" hidden="" ht="14" outlineLevel="0" r="158">
      <c r="A158" s="3" t="inlineStr">
        <is>
          <t>153</t>
        </is>
      </c>
      <c r="B158" s="4" t="s">
        <f>=HYPERLINK("http://anyluxury.ru/shop/zonty/skladnye/skladnoy-zont-fiber-magic-superstrong-goluboy-1411314/" , "14113.14 Складной зонт Fiber Magic Superstrong, голубой")</f>
      </c>
      <c r="C158" s="4" t="n">
        <v>3622.00</v>
      </c>
      <c r="D158" s="4"/>
    </row>
    <row collapsed="" customFormat="false" customHeight="1" hidden="" ht="14" outlineLevel="0" r="159">
      <c r="A159" s="3" t="inlineStr">
        <is>
          <t>154</t>
        </is>
      </c>
      <c r="B159" s="4" t="s">
        <f>=HYPERLINK("http://anyluxury.ru/shop/zonty/skladnye/skladnoy-zont-fiber-magic-superstrong-cherniy-1411330/" , "14113.30 Складной зонт Fiber Magic Superstrong, черный")</f>
      </c>
      <c r="C159" s="4" t="n">
        <v>3622.00</v>
      </c>
      <c r="D159" s="4"/>
    </row>
    <row collapsed="" customFormat="false" customHeight="1" hidden="" ht="14" outlineLevel="0" r="160">
      <c r="A160" s="3" t="inlineStr">
        <is>
          <t>155</t>
        </is>
      </c>
      <c r="B160" s="4" t="s">
        <f>=HYPERLINK("http://anyluxury.ru/shop/zonty/skladnye/skladnoy-zont-fiber-magic-superstrong-seriy-v-kletku-1411311/" , "14113.11 Складной зонт Fiber Magic Superstrong, серый в клетку")</f>
      </c>
      <c r="C160" s="4" t="n">
        <v>3622.00</v>
      </c>
      <c r="D160" s="4"/>
    </row>
    <row collapsed="" customFormat="false" customHeight="1" hidden="" ht="14" outlineLevel="0" r="161">
      <c r="A161" s="3" t="inlineStr">
        <is>
          <t>156</t>
        </is>
      </c>
      <c r="B161" s="4" t="s">
        <f>=HYPERLINK("http://anyluxury.ru/shop/zonty/skladnye/skladnoy-zont-fiber-magic-superstrong-seriy-v-polosku-1411312/" , "14113.12 Складной зонт Fiber Magic Superstrong, серый в полоску")</f>
      </c>
      <c r="C161" s="4" t="n">
        <v>3622.00</v>
      </c>
      <c r="D161" s="4"/>
    </row>
    <row collapsed="" customFormat="false" customHeight="1" hidden="" ht="14" outlineLevel="0" r="162">
      <c r="A162" s="3" t="inlineStr">
        <is>
          <t>157</t>
        </is>
      </c>
      <c r="B162" s="4" t="s">
        <f>=HYPERLINK("http://anyluxury.ru/shop/zonty/skladnye/skladnoy-zont-fiber-magic-superstrong-seriy-1411313/" , "14113.13 Складной зонт Fiber Magic Superstrong, серый")</f>
      </c>
      <c r="C162" s="4" t="n">
        <v>3622.00</v>
      </c>
      <c r="D162" s="4"/>
    </row>
    <row collapsed="" customFormat="false" customHeight="1" hidden="" ht="14" outlineLevel="0" r="163">
      <c r="A163" s="3" t="inlineStr">
        <is>
          <t>158</t>
        </is>
      </c>
      <c r="B163" s="4" t="s">
        <f>=HYPERLINK("http://anyluxury.ru/shop/zonty/skladnye/skladnoy-zont-u090-cherniy-1388430/" , "13884.30 Складной зонт U.090, черный")</f>
      </c>
      <c r="C163" s="4" t="n">
        <v>6824.00</v>
      </c>
      <c r="D163" s="4"/>
    </row>
    <row collapsed="" customFormat="false" customHeight="1" hidden="" ht="14" outlineLevel="0" r="164">
      <c r="A164" s="3" t="inlineStr">
        <is>
          <t>159</t>
        </is>
      </c>
      <c r="B164" s="4" t="s">
        <f>=HYPERLINK("http://anyluxury.ru/shop/zonty/skladnye/skladnoy-zont-u090-siniy-1388440/" , "13884.40 Складной зонт U.090, синий")</f>
      </c>
      <c r="C164" s="4" t="n">
        <v>6852.00</v>
      </c>
      <c r="D164" s="4"/>
    </row>
    <row collapsed="" customFormat="false" customHeight="1" hidden="" ht="14" outlineLevel="0" r="165">
      <c r="A165" s="3" t="inlineStr">
        <is>
          <t>160</t>
        </is>
      </c>
      <c r="B165" s="4" t="s">
        <f>=HYPERLINK("http://anyluxury.ru/shop/zonty/skladnye/skladnoy-zont-u090-krasniy-1388450/" , "13884.50 Складной зонт U.090, красный")</f>
      </c>
      <c r="C165" s="4" t="n">
        <v>6852.00</v>
      </c>
      <c r="D165" s="4"/>
    </row>
    <row collapsed="" customFormat="false" customHeight="1" hidden="" ht="14" outlineLevel="0" r="166">
      <c r="A166" s="3" t="inlineStr">
        <is>
          <t>161</t>
        </is>
      </c>
      <c r="B166" s="4" t="s">
        <f>=HYPERLINK("http://anyluxury.ru/shop/zonty/skladnye/skladnoy-zont-u090-fioletoviy-1388470/" , "13884.70 Складной зонт U.090, фиолетовый")</f>
      </c>
      <c r="C166" s="4" t="n">
        <v>6852.00</v>
      </c>
      <c r="D166" s="4"/>
    </row>
    <row collapsed="" customFormat="false" customHeight="1" hidden="" ht="14" outlineLevel="0" r="167">
      <c r="A167" s="3" t="inlineStr">
        <is>
          <t>162</t>
        </is>
      </c>
      <c r="B167" s="4" t="s">
        <f>=HYPERLINK("http://anyluxury.ru/shop/zonty/skladnye/skladnoy-zont-u090-biryuzoviy-1388414/" , "13884.14 Складной зонт U.090, бирюзовый")</f>
      </c>
      <c r="C167" s="4" t="n">
        <v>6852.00</v>
      </c>
      <c r="D167" s="4"/>
    </row>
    <row collapsed="" customFormat="false" customHeight="1" hidden="" ht="14" outlineLevel="0" r="168">
      <c r="A168" s="3" t="inlineStr">
        <is>
          <t>163</t>
        </is>
      </c>
      <c r="B168" s="4" t="s">
        <f>=HYPERLINK("http://anyluxury.ru/shop/zonty/skladnye/skladnoy-zont-u090-zheltiy-1388480/" , "13884.80 Складной зонт U.090, желтый")</f>
      </c>
      <c r="C168" s="4" t="n">
        <v>6852.00</v>
      </c>
      <c r="D168" s="4"/>
    </row>
    <row collapsed="" customFormat="false" customHeight="1" hidden="" ht="14" outlineLevel="0" r="169">
      <c r="A169" s="3" t="inlineStr">
        <is>
          <t>164</t>
        </is>
      </c>
      <c r="B169" s="4" t="s">
        <f>=HYPERLINK("http://anyluxury.ru/shop/zonty/skladnye/skladnoy-zont-u090-zeleniy-1388490/" , "13884.90 Складной зонт U.090, зеленый")</f>
      </c>
      <c r="C169" s="4" t="n">
        <v>6852.00</v>
      </c>
      <c r="D169" s="4"/>
    </row>
    <row collapsed="" customFormat="false" customHeight="1" hidden="" ht="14" outlineLevel="0" r="170">
      <c r="A170" s="3" t="inlineStr">
        <is>
          <t>165</t>
        </is>
      </c>
      <c r="B170" s="4" t="s">
        <f>=HYPERLINK("http://anyluxury.ru/shop/zonty/skladnye/skladnoy-zont-u090-rozoviy-1388457/" , "13884.57 Складной зонт U.090, розовый")</f>
      </c>
      <c r="C170" s="4" t="n">
        <v>6852.00</v>
      </c>
      <c r="D170" s="4"/>
    </row>
    <row collapsed="" customFormat="false" customHeight="1" hidden="" ht="14" outlineLevel="0" r="171">
      <c r="A171" s="3" t="inlineStr">
        <is>
          <t>166</t>
        </is>
      </c>
      <c r="B171" s="4" t="s">
        <f>=HYPERLINK("http://anyluxury.ru/shop/zonty/skladnye/skladnoy-zont-u090-zelenoe-yabloko-1388494/" , "13884.94 Складной зонт U.090, зеленое яблоко")</f>
      </c>
      <c r="C171" s="4" t="n">
        <v>6852.00</v>
      </c>
      <c r="D171" s="4"/>
    </row>
    <row collapsed="" customFormat="false" customHeight="1" hidden="" ht="14" outlineLevel="0" r="172">
      <c r="A172" s="3" t="inlineStr">
        <is>
          <t>167</t>
        </is>
      </c>
      <c r="B172" s="4" t="s">
        <f>=HYPERLINK("http://anyluxury.ru/shop/zonty/skladnye/skladnoy-zont-u090-cherniy-s-neonovozelenim-1388433/" , "13884.33 Складной зонт U.090, черный с неоново-зеленым")</f>
      </c>
      <c r="C172" s="4" t="n">
        <v>6852.00</v>
      </c>
      <c r="D172" s="4"/>
    </row>
    <row collapsed="" customFormat="false" customHeight="1" hidden="" ht="14" outlineLevel="0" r="173">
      <c r="A173" s="3" t="inlineStr">
        <is>
          <t>168</t>
        </is>
      </c>
      <c r="B173" s="4" t="s">
        <f>=HYPERLINK("http://anyluxury.ru/shop/zonty/skladnye/skladnoy-zont-drizzle-cherniy-s-krasnim-7915050/" , "79150.50 Складной зонт Drizzle, черный с красным")</f>
      </c>
      <c r="C173" s="4" t="n">
        <v>2198.00</v>
      </c>
      <c r="D173" s="4"/>
    </row>
    <row collapsed="" customFormat="false" customHeight="1" hidden="" ht="14" outlineLevel="0" r="174">
      <c r="A174" s="3" t="inlineStr">
        <is>
          <t>169</t>
        </is>
      </c>
      <c r="B174" s="4" t="s">
        <f>=HYPERLINK("http://anyluxury.ru/shop/zonty/skladnye/skladnoy-zont-drizzle-cherniy-s-belim-7915060/" , "79150.60 Складной зонт Drizzle, черный с белым")</f>
      </c>
      <c r="C174" s="4" t="n">
        <v>2198.00</v>
      </c>
      <c r="D174" s="4"/>
    </row>
    <row collapsed="" customFormat="false" customHeight="1" hidden="" ht="14" outlineLevel="0" r="175">
      <c r="A175" s="3" t="inlineStr">
        <is>
          <t>170</t>
        </is>
      </c>
      <c r="B175" s="4" t="s">
        <f>=HYPERLINK("http://anyluxury.ru/shop/zonty/skladnye/skladnoy-zont-drizzle-cherniy-s-sinim-7915040/" , "79150.40 Складной зонт Drizzle, черный с синим")</f>
      </c>
      <c r="C175" s="4" t="n">
        <v>2198.00</v>
      </c>
      <c r="D175" s="4"/>
    </row>
    <row collapsed="" customFormat="false" customHeight="1" hidden="" ht="14" outlineLevel="0" r="176">
      <c r="A176" s="3" t="inlineStr">
        <is>
          <t>171</t>
        </is>
      </c>
      <c r="B176" s="4" t="s">
        <f>=HYPERLINK("http://anyluxury.ru/shop/zonty/skladnye/skladnoy-zont-drizzle-chernim-s-zelenim-7915094/" , "79150.94 Складной зонт Drizzle, черным с зеленым")</f>
      </c>
      <c r="C176" s="4" t="n">
        <v>2198.00</v>
      </c>
      <c r="D176" s="4"/>
    </row>
    <row collapsed="" customFormat="false" customHeight="1" hidden="" ht="14" outlineLevel="0" r="177">
      <c r="A177" s="3" t="inlineStr">
        <is>
          <t>172</t>
        </is>
      </c>
      <c r="B177" s="4" t="s">
        <f>=HYPERLINK("http://anyluxury.ru/shop/zonty/skladnye/zont-skladnoy-fiber-magic-major-cherniy-1459930/" , "14599.30 Зонт складной Fiber Magic Major, черный")</f>
      </c>
      <c r="C177" s="4" t="n">
        <v>4152.00</v>
      </c>
      <c r="D177" s="4"/>
    </row>
    <row collapsed="" customFormat="false" customHeight="1" hidden="" ht="14" outlineLevel="0" r="178">
      <c r="A178" s="3" t="inlineStr">
        <is>
          <t>173</t>
        </is>
      </c>
      <c r="B178" s="4" t="s">
        <f>=HYPERLINK("http://anyluxury.ru/shop/zonty/skladnye/zont-skladnoy-nord-siniy-192030030/" , "192030.030 Зонт складной Nord, синий")</f>
      </c>
      <c r="C178" s="4" t="n">
        <v>2360.00</v>
      </c>
      <c r="D178" s="4"/>
    </row>
    <row collapsed="" customFormat="false" customHeight="1" hidden="" ht="14" outlineLevel="0" r="179">
      <c r="A179" s="3" t="inlineStr">
        <is>
          <t>174</t>
        </is>
      </c>
      <c r="B179" s="4" t="s">
        <f>=HYPERLINK("http://anyluxury.ru/shop/zonty/skladnye/zont-skladnoy-nord-cherniy-192030010/" , "192030.010 Зонт складной Nord, черный")</f>
      </c>
      <c r="C179" s="4" t="n">
        <v>2360.00</v>
      </c>
      <c r="D179" s="4"/>
    </row>
    <row collapsed="" customFormat="false" customHeight="1" hidden="" ht="14" outlineLevel="0" r="180">
      <c r="A180" s="3" t="inlineStr">
        <is>
          <t>175</t>
        </is>
      </c>
      <c r="B180" s="4" t="s">
        <f>=HYPERLINK("http://anyluxury.ru/shop/zonty/skladnye/zont-skladnoy-solana-cherniy-212021010/" , "212021.010 Зонт складной Solana, черный")</f>
      </c>
      <c r="C180" s="4" t="n">
        <v>1470.00</v>
      </c>
      <c r="D180" s="4"/>
    </row>
    <row collapsed="" customFormat="false" customHeight="1" hidden="" ht="14" outlineLevel="0" r="181">
      <c r="A181" s="3" t="inlineStr">
        <is>
          <t>176</t>
        </is>
      </c>
      <c r="B181" s="4" t="s">
        <f>=HYPERLINK("http://anyluxury.ru/shop/zonty/skladnye/zont-skladnoy-monsoon-krasniy-1451850/" , "14518.50 Зонт складной Monsoon, красный")</f>
      </c>
      <c r="C181" s="4" t="n">
        <v>1670.00</v>
      </c>
      <c r="D181" s="4"/>
    </row>
    <row collapsed="" customFormat="false" customHeight="1" hidden="" ht="14" outlineLevel="0" r="182">
      <c r="A182" s="3" t="inlineStr">
        <is>
          <t>177</t>
        </is>
      </c>
      <c r="B182" s="4" t="s">
        <f>=HYPERLINK("http://anyluxury.ru/shop/zonty/skladnye/zont-skladnoy-monsoon-zeleniy-1451890/" , "14518.90 Зонт складной Monsoon, зеленый")</f>
      </c>
      <c r="C182" s="4" t="n">
        <v>1670.00</v>
      </c>
      <c r="D182" s="4"/>
    </row>
    <row collapsed="" customFormat="false" customHeight="1" hidden="" ht="14" outlineLevel="0" r="183">
      <c r="A183" s="3" t="inlineStr">
        <is>
          <t>178</t>
        </is>
      </c>
      <c r="B183" s="4" t="s">
        <f>=HYPERLINK("http://anyluxury.ru/shop/zonty/skladnye/zont-skladnoy-monsoon-oranzheviy-1451820/" , "14518.20 Зонт складной Monsoon, оранжевый")</f>
      </c>
      <c r="C183" s="4" t="n">
        <v>1670.00</v>
      </c>
      <c r="D183" s="4"/>
    </row>
    <row collapsed="" customFormat="false" customHeight="1" hidden="" ht="14" outlineLevel="0" r="184">
      <c r="A184" s="3" t="inlineStr">
        <is>
          <t>179</t>
        </is>
      </c>
      <c r="B184" s="4" t="s">
        <f>=HYPERLINK("http://anyluxury.ru/shop/zonty/skladnye/zont-skladnoy-monsoon-seriy-1451810/" , "14518.10 Зонт складной Monsoon, серый")</f>
      </c>
      <c r="C184" s="4" t="n">
        <v>1670.00</v>
      </c>
      <c r="D184" s="4"/>
    </row>
    <row collapsed="" customFormat="false" customHeight="1" hidden="" ht="14" outlineLevel="0" r="185">
      <c r="A185" s="3" t="inlineStr">
        <is>
          <t>180</t>
        </is>
      </c>
      <c r="B185" s="4" t="s">
        <f>=HYPERLINK("http://anyluxury.ru/shop/zonty/skladnye/zont-skladnoy-show-up-so-svetootrazhayushhim-kupolom-cherniy-1333430/" , "13334.30 Зонт складной Manifest Color со светоотражающим куполом, черный")</f>
      </c>
      <c r="C185" s="4" t="n">
        <v>2100.00</v>
      </c>
      <c r="D185" s="4"/>
    </row>
    <row collapsed="" customFormat="false" customHeight="1" hidden="" ht="14" outlineLevel="0" r="186">
      <c r="A186" s="3" t="inlineStr">
        <is>
          <t>181</t>
        </is>
      </c>
      <c r="B186" s="4" t="s">
        <f>=HYPERLINK("http://anyluxury.ru/shop/zonty/skladnye/zont-skladnoy-show-up-so-svetootrazhayushhim-kupolom-krasniy-1333450/" , "13334.50 Зонт складной Manifest Color со светоотражающим куполом, красный")</f>
      </c>
      <c r="C186" s="4" t="n">
        <v>2207.00</v>
      </c>
      <c r="D186" s="4"/>
    </row>
    <row collapsed="" customFormat="false" customHeight="1" hidden="" ht="14" outlineLevel="0" r="187">
      <c r="A187" s="3" t="inlineStr">
        <is>
          <t>182</t>
        </is>
      </c>
      <c r="B187" s="4" t="s">
        <f>=HYPERLINK("http://anyluxury.ru/shop/zonty/skladnye/zont-skladnoy-show-up-so-svetootrazhayushhim-kupolom-siniy-1333440/" , "13334.40 Зонт складной Manifest Color со светоотражающим куполом, синий")</f>
      </c>
      <c r="C187" s="4" t="n">
        <v>2207.00</v>
      </c>
      <c r="D187" s="4"/>
    </row>
    <row collapsed="" customFormat="false" customHeight="1" hidden="" ht="14" outlineLevel="0" r="188">
      <c r="A188" s="3" t="inlineStr">
        <is>
          <t>183</t>
        </is>
      </c>
      <c r="B188" s="4" t="s">
        <f>=HYPERLINK("http://anyluxury.ru/shop/zonty/skladnye/zont-skladnoy-fillit-siniy-1357544/" , "13575.44 Зонт складной Fillit, синий")</f>
      </c>
      <c r="C188" s="4" t="n">
        <v>1707.00</v>
      </c>
      <c r="D188" s="4"/>
    </row>
    <row collapsed="" customFormat="false" customHeight="1" hidden="" ht="14" outlineLevel="0" r="189">
      <c r="A189" s="3" t="inlineStr">
        <is>
          <t>184</t>
        </is>
      </c>
      <c r="B189" s="4" t="s">
        <f>=HYPERLINK("http://anyluxury.ru/shop/zonty/skladnye/zont-skladnoy-fillit-seriy-1357511/" , "13575.11 Зонт складной Fillit, серый")</f>
      </c>
      <c r="C189" s="4" t="n">
        <v>1707.00</v>
      </c>
      <c r="D189" s="4"/>
    </row>
    <row collapsed="" customFormat="false" customHeight="1" hidden="" ht="14" outlineLevel="0" r="190">
      <c r="A190" s="3" t="inlineStr">
        <is>
          <t>185</t>
        </is>
      </c>
      <c r="B190" s="4" t="s">
        <f>=HYPERLINK("http://anyluxury.ru/shop/zonty/skladnye/zont-skladnoy-fillit-temnosiniy-1357540/" , "13575.40 Зонт складной Fillit, темно-синий")</f>
      </c>
      <c r="C190" s="4" t="n">
        <v>1707.00</v>
      </c>
      <c r="D190" s="4"/>
    </row>
    <row collapsed="" customFormat="false" customHeight="1" hidden="" ht="14" outlineLevel="0" r="191">
      <c r="A191" s="3" t="inlineStr">
        <is>
          <t>186</t>
        </is>
      </c>
      <c r="B191" s="4" t="s">
        <f>=HYPERLINK("http://anyluxury.ru/shop/zonty/skladnye/zont-skladnoy-fillit-cherniy-1357530/" , "13575.30 Зонт складной Fillit, черный")</f>
      </c>
      <c r="C191" s="4" t="n">
        <v>1707.00</v>
      </c>
      <c r="D191" s="4"/>
    </row>
    <row collapsed="" customFormat="false" customHeight="1" hidden="" ht="14" outlineLevel="0" r="192">
      <c r="A192" s="3" t="inlineStr">
        <is>
          <t>187</t>
        </is>
      </c>
      <c r="B192" s="4" t="s">
        <f>=HYPERLINK("http://anyluxury.ru/shop/zonty/skladnye/zont-skladnoy-fillit-beliy-1357560/" , "13575.60 Зонт складной Fillit, белый")</f>
      </c>
      <c r="C192" s="4" t="n">
        <v>1707.00</v>
      </c>
      <c r="D192" s="4"/>
    </row>
    <row collapsed="" customFormat="false" customHeight="1" hidden="" ht="14" outlineLevel="0" r="193">
      <c r="A193" s="3" t="inlineStr">
        <is>
          <t>188</t>
        </is>
      </c>
      <c r="B193" s="4" t="s">
        <f>=HYPERLINK("http://anyluxury.ru/shop/zonty/skladnye/zont-skladnoy-okobrella-seriy-1357611/" , "13576.11 Зонт складной OkoBrella, серый")</f>
      </c>
      <c r="C193" s="4" t="n">
        <v>1888.00</v>
      </c>
      <c r="D193" s="4"/>
    </row>
    <row collapsed="" customFormat="false" customHeight="1" hidden="" ht="14" outlineLevel="0" r="194">
      <c r="A194" s="3" t="inlineStr">
        <is>
          <t>189</t>
        </is>
      </c>
      <c r="B194" s="4" t="s">
        <f>=HYPERLINK("http://anyluxury.ru/shop/zonty/skladnye/zont-skladnoy-okobrella-temnosiniy-1357640/" , "13576.40 Зонт складной OkoBrella, темно-синий")</f>
      </c>
      <c r="C194" s="4" t="n">
        <v>1888.00</v>
      </c>
      <c r="D194" s="4"/>
    </row>
    <row collapsed="" customFormat="false" customHeight="1" hidden="" ht="14" outlineLevel="0" r="195">
      <c r="A195" s="3" t="inlineStr">
        <is>
          <t>190</t>
        </is>
      </c>
      <c r="B195" s="4" t="s">
        <f>=HYPERLINK("http://anyluxury.ru/shop/zonty/skladnye/zont-skladnoy-okobrella-krasniy-1357650/" , "13576.50 Зонт складной OkoBrella, красный")</f>
      </c>
      <c r="C195" s="4" t="n">
        <v>1888.00</v>
      </c>
      <c r="D195" s="4"/>
    </row>
    <row collapsed="" customFormat="false" customHeight="1" hidden="" ht="14" outlineLevel="0" r="196">
      <c r="A196" s="3" t="inlineStr">
        <is>
          <t>191</t>
        </is>
      </c>
      <c r="B196" s="4" t="s">
        <f>=HYPERLINK("http://anyluxury.ru/shop/zonty/skladnye/zont-skladnoy-okobrella-cherniy-1357630/" , "13576.30 Зонт складной OkoBrella, черный")</f>
      </c>
      <c r="C196" s="4" t="n">
        <v>1888.00</v>
      </c>
      <c r="D196" s="4"/>
    </row>
    <row collapsed="" customFormat="false" customHeight="1" hidden="" ht="14" outlineLevel="0" r="197">
      <c r="A197" s="3" t="inlineStr">
        <is>
          <t>192</t>
        </is>
      </c>
      <c r="B197" s="4" t="s">
        <f>=HYPERLINK("http://anyluxury.ru/shop/zonty/skladnye/zont-skladnoy-okobrella-beliy-1357660/" , "13576.60 Зонт складной OkoBrella, белый")</f>
      </c>
      <c r="C197" s="4" t="n">
        <v>1888.00</v>
      </c>
      <c r="D197" s="4"/>
    </row>
    <row collapsed="" customFormat="false" customHeight="1" hidden="" ht="14" outlineLevel="0" r="198">
      <c r="A198" s="3" t="inlineStr">
        <is>
          <t>193</t>
        </is>
      </c>
      <c r="B198" s="4" t="s">
        <f>=HYPERLINK("http://anyluxury.ru/shop/zonty/skladnye/zont-skladnoy-safebrella-seriy-1357711/" , "13577.11 Зонт складной Safebrella, серый")</f>
      </c>
      <c r="C198" s="4" t="n">
        <v>2285.00</v>
      </c>
      <c r="D198" s="4"/>
    </row>
    <row collapsed="" customFormat="false" customHeight="1" hidden="" ht="14" outlineLevel="0" r="199">
      <c r="A199" s="3" t="inlineStr">
        <is>
          <t>194</t>
        </is>
      </c>
      <c r="B199" s="4" t="s">
        <f>=HYPERLINK("http://anyluxury.ru/shop/zonty/skladnye/zont-skladnoy-safebrella-temnosiniy-1357740/" , "13577.40 Зонт складной Safebrella, темно-синий")</f>
      </c>
      <c r="C199" s="4" t="n">
        <v>2285.00</v>
      </c>
      <c r="D199" s="4"/>
    </row>
    <row collapsed="" customFormat="false" customHeight="1" hidden="" ht="14" outlineLevel="0" r="200">
      <c r="A200" s="3" t="inlineStr">
        <is>
          <t>195</t>
        </is>
      </c>
      <c r="B200" s="4" t="s">
        <f>=HYPERLINK("http://anyluxury.ru/shop/zonty/skladnye/zont-skladnoy-safebrella-cherniy-1357730/" , "13577.30 Зонт складной Safebrella, черный")</f>
      </c>
      <c r="C200" s="4" t="n">
        <v>2285.00</v>
      </c>
      <c r="D200" s="4"/>
    </row>
    <row collapsed="" customFormat="false" customHeight="1" hidden="" ht="14" outlineLevel="0" r="201">
      <c r="A201" s="3" t="inlineStr">
        <is>
          <t>196</t>
        </is>
      </c>
      <c r="B201" s="4" t="s">
        <f>=HYPERLINK("http://anyluxury.ru/shop/zonty/skladnye/zont-skladnoy-aoc-colorline-zheltiy-1357880/" , "13578.80 Зонт складной AOC Colorline, желтый")</f>
      </c>
      <c r="C201" s="4" t="n">
        <v>3569.00</v>
      </c>
      <c r="D201" s="4"/>
    </row>
    <row collapsed="" customFormat="false" customHeight="1" hidden="" ht="14" outlineLevel="0" r="202">
      <c r="A202" s="3" t="inlineStr">
        <is>
          <t>197</t>
        </is>
      </c>
      <c r="B202" s="4" t="s">
        <f>=HYPERLINK("http://anyluxury.ru/shop/zonty/skladnye/zont-skladnoy-aoc-colorline-seriy-1357811/" , "13578.11 Зонт складной AOC Colorline, серый")</f>
      </c>
      <c r="C202" s="4" t="n">
        <v>3569.00</v>
      </c>
      <c r="D202" s="4"/>
    </row>
    <row collapsed="" customFormat="false" customHeight="1" hidden="" ht="14" outlineLevel="0" r="203">
      <c r="A203" s="3" t="inlineStr">
        <is>
          <t>198</t>
        </is>
      </c>
      <c r="B203" s="4" t="s">
        <f>=HYPERLINK("http://anyluxury.ru/shop/zonty/skladnye/zont-skladnoy-aoc-colorline-zelenoe-yabloko-1357894/" , "13578.94 Зонт складной AOC Colorline, зеленое яблоко")</f>
      </c>
      <c r="C203" s="4" t="n">
        <v>3569.00</v>
      </c>
      <c r="D203" s="4"/>
    </row>
    <row collapsed="" customFormat="false" customHeight="1" hidden="" ht="14" outlineLevel="0" r="204">
      <c r="A204" s="3" t="inlineStr">
        <is>
          <t>199</t>
        </is>
      </c>
      <c r="B204" s="4" t="s">
        <f>=HYPERLINK("http://anyluxury.ru/shop/zonty/skladnye/zont-skladnoy-aoc-colorline-oranzheviy-1357820/" , "13578.20 Зонт складной AOC Colorline, оранжевый")</f>
      </c>
      <c r="C204" s="4" t="n">
        <v>3569.00</v>
      </c>
      <c r="D204" s="4"/>
    </row>
    <row collapsed="" customFormat="false" customHeight="1" hidden="" ht="14" outlineLevel="0" r="205">
      <c r="A205" s="3" t="inlineStr">
        <is>
          <t>200</t>
        </is>
      </c>
      <c r="B205" s="4" t="s">
        <f>=HYPERLINK("http://anyluxury.ru/shop/zonty/skladnye/zont-skladnoy-steel-cherniy-1357930/" , "13579.30 Зонт складной Steel, черный")</f>
      </c>
      <c r="C205" s="4" t="n">
        <v>5629.00</v>
      </c>
      <c r="D205" s="4"/>
    </row>
    <row collapsed="" customFormat="false" customHeight="1" hidden="" ht="14" outlineLevel="0" r="206">
      <c r="A206" s="3" t="inlineStr">
        <is>
          <t>201</t>
        </is>
      </c>
      <c r="B206" s="4" t="s">
        <f>=HYPERLINK("http://anyluxury.ru/shop/zonty/skladnye/zont-skladnoy-aoc-sireneviy-710670/" , "7106.70 Зонт складной AOC, сиреневый")</f>
      </c>
      <c r="C206" s="4" t="n">
        <v>2425.00</v>
      </c>
      <c r="D206" s="4"/>
    </row>
    <row collapsed="" customFormat="false" customHeight="1" hidden="" ht="14" outlineLevel="0" r="207">
      <c r="A207" s="3" t="inlineStr">
        <is>
          <t>202</t>
        </is>
      </c>
      <c r="B207" s="4" t="s">
        <f>=HYPERLINK("http://anyluxury.ru/shop/zonty/skladnye/zont-skladnoy-aoc-zheltiy-710680/" , "7106.80 Зонт складной AOC, желтый")</f>
      </c>
      <c r="C207" s="4" t="n">
        <v>2425.00</v>
      </c>
      <c r="D207" s="4"/>
    </row>
    <row collapsed="" customFormat="false" customHeight="1" hidden="" ht="14" outlineLevel="0" r="208">
      <c r="A208" s="3" t="inlineStr">
        <is>
          <t>203</t>
        </is>
      </c>
      <c r="B208" s="4" t="s">
        <f>=HYPERLINK("http://anyluxury.ru/shop/zonty/skladnye/zont-skladnoy-aoc-seriy-710611/" , "7106.11 Зонт складной AOC, серый")</f>
      </c>
      <c r="C208" s="4" t="n">
        <v>2425.00</v>
      </c>
      <c r="D208" s="4"/>
    </row>
    <row collapsed="" customFormat="false" customHeight="1" hidden="" ht="14" outlineLevel="0" r="209">
      <c r="A209" s="3" t="inlineStr">
        <is>
          <t>204</t>
        </is>
      </c>
      <c r="B209" s="4" t="s">
        <f>=HYPERLINK("http://anyluxury.ru/shop/zonty/skladnye/zont-skladnoy-aoc-oranzheviy-710620/" , "7106.20 Зонт складной AOC, оранжевый")</f>
      </c>
      <c r="C209" s="4" t="n">
        <v>2425.00</v>
      </c>
      <c r="D209" s="4"/>
    </row>
    <row collapsed="" customFormat="false" customHeight="1" hidden="" ht="14" outlineLevel="0" r="210">
      <c r="A210" s="3" t="inlineStr">
        <is>
          <t>205</t>
        </is>
      </c>
      <c r="B210" s="4" t="s">
        <f>=HYPERLINK("http://anyluxury.ru/shop/zonty/skladnye/zont-skladnoy-aoc-beliy-710660/" , "7106.60 Зонт складной AOC, белый")</f>
      </c>
      <c r="C210" s="4" t="n">
        <v>2425.00</v>
      </c>
      <c r="D210" s="4"/>
    </row>
    <row collapsed="" customFormat="false" customHeight="1" hidden="" ht="14" outlineLevel="0" r="211">
      <c r="A211" s="3" t="inlineStr">
        <is>
          <t>206</t>
        </is>
      </c>
      <c r="B211" s="4" t="s">
        <f>=HYPERLINK("http://anyluxury.ru/shop/zonty/skladnye/zont-skladnoy-aoc-mini-s-cvetnimi-spicami-zheltiy-6471580/" , "64715.80 Зонт складной AOC Mini с цветными спицами, желтый")</f>
      </c>
      <c r="C211" s="4" t="n">
        <v>3137.00</v>
      </c>
      <c r="D211" s="4"/>
    </row>
    <row collapsed="" customFormat="false" customHeight="1" hidden="" ht="14" outlineLevel="0" r="212">
      <c r="A212" s="3" t="inlineStr">
        <is>
          <t>207</t>
        </is>
      </c>
      <c r="B212" s="4" t="s">
        <f>=HYPERLINK("http://anyluxury.ru/shop/zonty/skladnye/zont-skladnoy-aoc-mini-s-cvetnimi-spicami-temnosiniy-6471543/" , "64715.43 Зонт складной AOC Mini с цветными спицами, темно-синий")</f>
      </c>
      <c r="C212" s="4" t="n">
        <v>3137.00</v>
      </c>
      <c r="D212" s="4"/>
    </row>
    <row collapsed="" customFormat="false" customHeight="1" hidden="" ht="14" outlineLevel="0" r="213">
      <c r="A213" s="3" t="inlineStr">
        <is>
          <t>208</t>
        </is>
      </c>
      <c r="B213" s="4" t="s">
        <f>=HYPERLINK("http://anyluxury.ru/shop/zonty/skladnye/zont-skladnoy-aoc-mini-s-cvetnimi-spicami-beliy-6471560/" , "64715.60 Зонт складной AOC Mini с цветными спицами, белый")</f>
      </c>
      <c r="C213" s="4" t="n">
        <v>3137.00</v>
      </c>
      <c r="D213" s="4"/>
    </row>
    <row collapsed="" customFormat="false" customHeight="1" hidden="" ht="14" outlineLevel="0" r="214">
      <c r="A214" s="3" t="inlineStr">
        <is>
          <t>209</t>
        </is>
      </c>
      <c r="B214" s="4" t="s">
        <f>=HYPERLINK("http://anyluxury.ru/shop/zonty/skladnye/zont-skladnoy-show-up-so-svetootrazhayushhim-kupolom-zheltiy-1333480/" , "13334.80 Зонт складной Manifest Color со светоотражающим куполом, желтый")</f>
      </c>
      <c r="C214" s="4" t="n">
        <v>2207.00</v>
      </c>
      <c r="D214" s="4"/>
    </row>
    <row collapsed="" customFormat="false" customHeight="1" hidden="" ht="14" outlineLevel="0" r="215">
      <c r="A215" s="3" t="inlineStr">
        <is>
          <t>210</t>
        </is>
      </c>
      <c r="B215" s="4" t="s">
        <f>=HYPERLINK("http://anyluxury.ru/shop/zonty/skladnye/avtomaticheskiy-plotniy-zont-impact-iz-rpet-aware-21-p850604/" , "P850.604 Плотный зонт-автомат Impact из RPET AWARE™, d94 см ")</f>
      </c>
      <c r="C215" s="4" t="n">
        <v>2666.00</v>
      </c>
      <c r="D215" s="4"/>
    </row>
    <row collapsed="" customFormat="false" customHeight="1" hidden="" ht="14" outlineLevel="0" r="216">
      <c r="A216" s="3" t="inlineStr">
        <is>
          <t>211</t>
        </is>
      </c>
      <c r="B216" s="4" t="s">
        <f>=HYPERLINK("http://anyluxury.ru/shop/zonty/skladnye/avtomaticheskiy-plotniy-zont-impact-iz-rpet-aware-21-p850605/" , "P850.605 Плотный зонт-автомат Impact из RPET AWARE™, d94 см ")</f>
      </c>
      <c r="C216" s="4" t="n">
        <v>2666.00</v>
      </c>
      <c r="D216" s="4"/>
    </row>
    <row collapsed="" customFormat="false" customHeight="1" hidden="" ht="14" outlineLevel="0" r="217">
      <c r="A217" s="3" t="inlineStr">
        <is>
          <t>212</t>
        </is>
      </c>
      <c r="B217" s="4" t="s">
        <f>=HYPERLINK("http://anyluxury.ru/shop/zonty/skladnye/avtomaticheskiy-plotniy-zont-impact-iz-rpet-aware-21-p850603/" , "P850.603 Плотный зонт-автомат Impact из RPET AWARE™, d94 см ")</f>
      </c>
      <c r="C217" s="4" t="n">
        <v>2666.00</v>
      </c>
      <c r="D217" s="4"/>
    </row>
    <row collapsed="" customFormat="false" customHeight="1" hidden="" ht="14" outlineLevel="0" r="218">
      <c r="A218" s="3" t="inlineStr">
        <is>
          <t>213</t>
        </is>
      </c>
      <c r="B218" s="4" t="s">
        <f>=HYPERLINK("http://anyluxury.ru/shop/zonty/skladnye/avtomaticheskiy-plotniy-zont-impact-iz-rpet-aware-21-p850602/" , "P850.602 Плотный зонт-автомат Impact из RPET AWARE™, d94 см ")</f>
      </c>
      <c r="C218" s="4" t="n">
        <v>2666.00</v>
      </c>
      <c r="D218" s="4"/>
    </row>
    <row collapsed="" customFormat="false" customHeight="1" hidden="" ht="14" outlineLevel="0" r="219">
      <c r="A219" s="3" t="inlineStr">
        <is>
          <t>214</t>
        </is>
      </c>
      <c r="B219" s="4" t="s">
        <f>=HYPERLINK("http://anyluxury.ru/shop/zonty/skladnye/avtomaticheskiy-plotniy-zont-impact-iz-rpet-aware-21-p850601/" , "P850.601 Плотный зонт-автомат Impact из RPET AWARE™, d94 см ")</f>
      </c>
      <c r="C219" s="4" t="n">
        <v>2666.00</v>
      </c>
      <c r="D219" s="4"/>
    </row>
    <row collapsed="" customFormat="false" customHeight="1" hidden="" ht="14" outlineLevel="0" r="220">
      <c r="A220" s="3" t="inlineStr">
        <is>
          <t>215</t>
        </is>
      </c>
      <c r="B220" s="4" t="s">
        <f>=HYPERLINK("http://anyluxury.ru/shop/zonty/skladnye/kompaktniy-plotniy-zont-impact-iz-rpet-aware-205-p850564/" , "P850.564 Компактный плотный зонт Impact из RPET AWARE™, d97 см ")</f>
      </c>
      <c r="C220" s="4" t="n">
        <v>1594.00</v>
      </c>
      <c r="D220" s="4"/>
    </row>
    <row collapsed="" customFormat="false" customHeight="1" hidden="" ht="14" outlineLevel="0" r="221">
      <c r="A221" s="3" t="inlineStr">
        <is>
          <t>216</t>
        </is>
      </c>
      <c r="B221" s="4" t="s">
        <f>=HYPERLINK("http://anyluxury.ru/shop/zonty/skladnye/kompaktniy-plotniy-zont-impact-iz-rpet-aware-205-p850565/" , "P850.565 Компактный плотный зонт Impact из RPET AWARE™, d97 см ")</f>
      </c>
      <c r="C221" s="4" t="n">
        <v>1594.00</v>
      </c>
      <c r="D221" s="4"/>
    </row>
    <row collapsed="" customFormat="false" customHeight="1" hidden="" ht="14" outlineLevel="0" r="222">
      <c r="A222" s="3" t="inlineStr">
        <is>
          <t>217</t>
        </is>
      </c>
      <c r="B222" s="4" t="s">
        <f>=HYPERLINK("http://anyluxury.ru/shop/zonty/skladnye/kompaktniy-plotniy-zont-impact-iz-rpet-aware-205-p850563/" , "P850.563 Компактный плотный зонт Impact из RPET AWARE™, d97 см ")</f>
      </c>
      <c r="C222" s="4" t="n">
        <v>1549.00</v>
      </c>
      <c r="D222" s="4"/>
    </row>
    <row collapsed="" customFormat="false" customHeight="1" hidden="" ht="14" outlineLevel="0" r="223">
      <c r="A223" s="3" t="inlineStr">
        <is>
          <t>218</t>
        </is>
      </c>
      <c r="B223" s="4" t="s">
        <f>=HYPERLINK("http://anyluxury.ru/shop/zonty/skladnye/kompaktniy-zont-impact-iz-rpet-aware-so-svetootrazhayushhey-polosoy-205-p850542/" , "P850.542 Компактный зонт Impact из RPET AWARE™ со светоотражающей полосой, d96 см ")</f>
      </c>
      <c r="C223" s="4" t="n">
        <v>1899.00</v>
      </c>
      <c r="D223" s="4"/>
    </row>
    <row collapsed="" customFormat="false" customHeight="1" hidden="" ht="14" outlineLevel="0" r="224">
      <c r="A224" s="3" t="inlineStr">
        <is>
          <t>219</t>
        </is>
      </c>
      <c r="B224" s="4" t="s">
        <f>=HYPERLINK("http://anyluxury.ru/shop/zonty/skladnye/kompaktniy-zont-impact-iz-rpet-aware-so-svetootrazhayushhey-polosoy-205-p850541/" , "P850.541 Компактный зонт Impact из RPET AWARE™ со светоотражающей полосой, d96 см ")</f>
      </c>
      <c r="C224" s="4" t="n">
        <v>1899.00</v>
      </c>
      <c r="D224" s="4"/>
    </row>
    <row collapsed="" customFormat="false" customHeight="1" hidden="" ht="14" outlineLevel="0" r="225">
      <c r="A225" s="3" t="inlineStr">
        <is>
          <t>220</t>
        </is>
      </c>
      <c r="B225" s="4" t="s">
        <f>=HYPERLINK("http://anyluxury.ru/shop/zonty/skladnye/kompaktniy-zont-impact-iz-rpet-aware-205-p850587/" , "P850.587 Компактный зонт Impact из RPET AWARE™, d95 см")</f>
      </c>
      <c r="C225" s="4" t="n">
        <v>1416.00</v>
      </c>
      <c r="D225" s="4"/>
    </row>
    <row collapsed="" customFormat="false" customHeight="1" hidden="" ht="14" outlineLevel="0" r="226">
      <c r="A226" s="3" t="inlineStr">
        <is>
          <t>221</t>
        </is>
      </c>
      <c r="B226" s="4" t="s">
        <f>=HYPERLINK("http://anyluxury.ru/shop/zonty/skladnye/kompaktniy-zont-impact-iz-rpet-aware-205-p850585/" , "P850.585 Компактный зонт Impact из RPET AWARE™, d95 см")</f>
      </c>
      <c r="C226" s="4" t="n">
        <v>1416.00</v>
      </c>
      <c r="D226" s="4"/>
    </row>
    <row collapsed="" customFormat="false" customHeight="1" hidden="" ht="14" outlineLevel="0" r="227">
      <c r="A227" s="3" t="inlineStr">
        <is>
          <t>222</t>
        </is>
      </c>
      <c r="B227" s="4" t="s">
        <f>=HYPERLINK("http://anyluxury.ru/shop/zonty/skladnye/kompaktniy-zont-impact-iz-rpet-aware-205-p850584/" , "P850.584 Компактный зонт Impact из RPET AWARE™, d95 см")</f>
      </c>
      <c r="C227" s="4" t="n">
        <v>1319.00</v>
      </c>
      <c r="D227" s="4"/>
    </row>
    <row collapsed="" customFormat="false" customHeight="1" hidden="" ht="14" outlineLevel="0" r="228">
      <c r="A228" s="3" t="inlineStr">
        <is>
          <t>223</t>
        </is>
      </c>
      <c r="B228" s="4" t="s">
        <f>=HYPERLINK("http://anyluxury.ru/shop/zonty/skladnye/kompaktniy-zont-impact-iz-rpet-aware-205-p850583/" , "P850.583 Компактный зонт Impact из RPET AWARE™, d95 см")</f>
      </c>
      <c r="C228" s="4" t="n">
        <v>1416.00</v>
      </c>
      <c r="D228" s="4"/>
    </row>
    <row collapsed="" customFormat="false" customHeight="1" hidden="" ht="14" outlineLevel="0" r="229">
      <c r="A229" s="3" t="inlineStr">
        <is>
          <t>224</t>
        </is>
      </c>
      <c r="B229" s="4" t="s">
        <f>=HYPERLINK("http://anyluxury.ru/shop/zonty/skladnye/kompaktniy-zont-impact-iz-rpet-aware-205-p850582/" , "P850.582 Компактный зонт Impact из RPET AWARE™, d95 см")</f>
      </c>
      <c r="C229" s="4" t="n">
        <v>1416.00</v>
      </c>
      <c r="D229" s="4"/>
    </row>
    <row collapsed="" customFormat="false" customHeight="1" hidden="" ht="14" outlineLevel="0" r="230">
      <c r="A230" s="3" t="inlineStr">
        <is>
          <t>225</t>
        </is>
      </c>
      <c r="B230" s="4" t="s">
        <f>=HYPERLINK("http://anyluxury.ru/shop/zonty/skladnye/kompaktniy-zont-impact-iz-rpet-aware-205-p850581/" , "P850.581 Компактный зонт Impact из RPET AWARE™, d95 см")</f>
      </c>
      <c r="C230" s="4" t="n">
        <v>1416.00</v>
      </c>
      <c r="D230" s="4"/>
    </row>
    <row collapsed="" customFormat="false" customHeight="1" hidden="" ht="14" outlineLevel="0" r="231">
      <c r="A231" s="3" t="inlineStr">
        <is>
          <t>226</t>
        </is>
      </c>
      <c r="B231" s="4" t="s">
        <f>=HYPERLINK("http://anyluxury.ru/shop/zonty/skladnye/kompaktniy-zont-impact-iz-rpet-aware-205-p850580/" , "P850.580 Компактный зонт Impact из RPET AWARE™, d95 см")</f>
      </c>
      <c r="C231" s="4" t="n">
        <v>1416.00</v>
      </c>
      <c r="D231" s="4"/>
    </row>
    <row collapsed="" customFormat="false" customHeight="1" hidden="" ht="14" outlineLevel="0" r="232">
      <c r="A232" s="3" t="inlineStr">
        <is>
          <t>227</t>
        </is>
      </c>
      <c r="B232" s="4" t="s">
        <f>=HYPERLINK("http://anyluxury.ru/shop/zonty/skladnye/avtomaticheskiy-zont-impact-iz-rpet-aware-s-bambukovoy-ruchkoy-d94-sm-p850614/" , "P850.614 Автоматический зонт Impact из RPET AWARE™ с бамбуковой рукояткой, d94 см")</f>
      </c>
      <c r="C232" s="4" t="n">
        <v>2844.00</v>
      </c>
      <c r="D232" s="4"/>
    </row>
    <row collapsed="" customFormat="false" customHeight="1" hidden="" ht="14" outlineLevel="0" r="233">
      <c r="A233" s="3" t="inlineStr">
        <is>
          <t>228</t>
        </is>
      </c>
      <c r="B233" s="4" t="s">
        <f>=HYPERLINK("http://anyluxury.ru/shop/zonty/skladnye/avtomaticheskiy-zont-impact-iz-rpet-aware-s-bambukovoy-ruchkoy-d94-sm-p850611/" , "P850.611 Автоматический зонт Impact из RPET AWARE™ с бамбуковой рукояткой, d94 см")</f>
      </c>
      <c r="C233" s="4" t="n">
        <v>2844.00</v>
      </c>
      <c r="D233" s="4"/>
    </row>
    <row collapsed="" customFormat="false" customHeight="1" hidden="" ht="14" outlineLevel="0" r="234">
      <c r="A234" s="3" t="inlineStr">
        <is>
          <t>229</t>
        </is>
      </c>
      <c r="B234" s="4" t="s">
        <f>=HYPERLINK("http://anyluxury.ru/shop/zonty/skladnye/malenkiy-dvuhcvetniy-zont-impact-iz-rpet-aware-d97-sm-p850555/" , "P850.555 Маленький двухцветный зонт Impact из RPET AWARE™, d97 см")</f>
      </c>
      <c r="C234" s="4" t="n">
        <v>2659.00</v>
      </c>
      <c r="D234" s="4"/>
    </row>
    <row collapsed="" customFormat="false" customHeight="1" hidden="" ht="14" outlineLevel="0" r="235">
      <c r="A235" s="3" t="inlineStr">
        <is>
          <t>230</t>
        </is>
      </c>
      <c r="B235" s="4" t="s">
        <f>=HYPERLINK("http://anyluxury.ru/shop/zonty/skladnye/zont-skladnoy-nord-seriy-192030080/" , "192030.080 Зонт складной Nord, серый")</f>
      </c>
      <c r="C235" s="4" t="n">
        <v>2360.00</v>
      </c>
      <c r="D235" s="4"/>
    </row>
    <row collapsed="" customFormat="false" customHeight="1" hidden="" ht="14" outlineLevel="0" r="236">
      <c r="A236" s="3" t="inlineStr">
        <is>
          <t>231</t>
        </is>
      </c>
      <c r="B236" s="4" t="s">
        <f>=HYPERLINK("http://anyluxury.ru/shop/zonty/skladnye/zont-s-avtomaticheskim-otkrivaniem-impact-iz-rpet-aware-190t-21-p850595/" , "P850.595 Зонт с автоматическим открыванием Impact из RPET AWARE™ 190T, d97 см")</f>
      </c>
      <c r="C236" s="4" t="n">
        <v>1950.00</v>
      </c>
      <c r="D236" s="4"/>
    </row>
    <row collapsed="" customFormat="false" customHeight="1" hidden="" ht="14" outlineLevel="0" r="237">
      <c r="A237" s="3" t="inlineStr">
        <is>
          <t>232</t>
        </is>
      </c>
      <c r="B237" s="4" t="s">
        <f>=HYPERLINK("http://anyluxury.ru/shop/zonty/skladnye/zont-s-avtomaticheskim-otkrivaniem-impact-iz-rpet-aware-190t-21-p850594/" , "P850.594 Зонт с автоматическим открыванием Impact из RPET AWARE™ 190T, d97 см")</f>
      </c>
      <c r="C237" s="4" t="n">
        <v>1950.00</v>
      </c>
      <c r="D237" s="4"/>
    </row>
    <row collapsed="" customFormat="false" customHeight="1" hidden="" ht="14" outlineLevel="0" r="238">
      <c r="A238" s="3" t="inlineStr">
        <is>
          <t>233</t>
        </is>
      </c>
      <c r="B238" s="4" t="s">
        <f>=HYPERLINK("http://anyluxury.ru/shop/zonty/skladnye/zont-s-avtomaticheskim-otkrivaniem-impact-iz-rpet-aware-190t-21-p850592/" , "P850.592 Зонт с автоматическим открыванием Impact из RPET AWARE™ 190T, d97 см")</f>
      </c>
      <c r="C238" s="4" t="n">
        <v>1950.00</v>
      </c>
      <c r="D238" s="4"/>
    </row>
    <row collapsed="" customFormat="false" customHeight="1" hidden="" ht="14" outlineLevel="0" r="239">
      <c r="A239" s="3" t="inlineStr">
        <is>
          <t>234</t>
        </is>
      </c>
      <c r="B239" s="4" t="s">
        <f>=HYPERLINK("http://anyluxury.ru/shop/zonty/skladnye/zont-s-avtomaticheskim-otkrivaniem-impact-iz-rpet-aware-190t-21-p850591/" , "P850.591 Зонт с автоматическим открыванием Impact из RPET AWARE™ 190T, d97 см")</f>
      </c>
      <c r="C239" s="4" t="n">
        <v>1950.00</v>
      </c>
      <c r="D239" s="4"/>
    </row>
    <row collapsed="" customFormat="false" customHeight="1" hidden="" ht="14" outlineLevel="0" r="240">
      <c r="A240" s="3" t="inlineStr">
        <is>
          <t>235</t>
        </is>
      </c>
      <c r="B240" s="4" t="s">
        <f>=HYPERLINK("http://anyluxury.ru/shop/zonty/skladnye/zont-skladnoy-trend-magic-aoc-bordoviy-1503255/" , "15032.55 Зонт складной Trend Magic AOC, бордовый")</f>
      </c>
      <c r="C240" s="4" t="n">
        <v>1773.00</v>
      </c>
      <c r="D240" s="4"/>
    </row>
    <row collapsed="" customFormat="false" customHeight="1" hidden="" ht="14" outlineLevel="0" r="241">
      <c r="A241" s="3" t="inlineStr">
        <is>
          <t>236</t>
        </is>
      </c>
      <c r="B241" s="4" t="s">
        <f>=HYPERLINK("http://anyluxury.ru/shop/zonty/skladnye/zont-skladnoy-trend-magic-aoc-siniy-1503240/" , "15032.40 Зонт складной Trend Magic AOC, голубой")</f>
      </c>
      <c r="C241" s="4" t="n">
        <v>1773.00</v>
      </c>
      <c r="D241" s="4"/>
    </row>
    <row collapsed="" customFormat="false" customHeight="1" hidden="" ht="14" outlineLevel="0" r="242">
      <c r="A242" s="3" t="inlineStr">
        <is>
          <t>237</t>
        </is>
      </c>
      <c r="B242" s="4" t="s">
        <f>=HYPERLINK("http://anyluxury.ru/shop/zonty/skladnye/zont-skladnoy-trend-magic-aoc-zheltiy-1503280/" , "15032.80 Зонт складной Trend Magic AOC, желтый")</f>
      </c>
      <c r="C242" s="4" t="n">
        <v>1773.00</v>
      </c>
      <c r="D242" s="4"/>
    </row>
    <row collapsed="" customFormat="false" customHeight="1" hidden="" ht="14" outlineLevel="0" r="243">
      <c r="A243" s="3" t="inlineStr">
        <is>
          <t>238</t>
        </is>
      </c>
      <c r="B243" s="4" t="s">
        <f>=HYPERLINK("http://anyluxury.ru/shop/zonty/skladnye/zont-skladnoy-trend-magic-aoc-seriy-1503211/" , "15032.11 Зонт складной Trend Magic AOC, серый")</f>
      </c>
      <c r="C243" s="4" t="n">
        <v>1773.00</v>
      </c>
      <c r="D243" s="4"/>
    </row>
    <row collapsed="" customFormat="false" customHeight="1" hidden="" ht="14" outlineLevel="0" r="244">
      <c r="A244" s="3" t="inlineStr">
        <is>
          <t>239</t>
        </is>
      </c>
      <c r="B244" s="4" t="s">
        <f>=HYPERLINK("http://anyluxury.ru/shop/zonty/skladnye/zont-skladnoy-trend-magic-aoc-temnosiniy-1503243/" , "15032.43 Зонт складной Trend Magic AOC, темно-синий")</f>
      </c>
      <c r="C244" s="4" t="n">
        <v>1773.00</v>
      </c>
      <c r="D244" s="4"/>
    </row>
    <row collapsed="" customFormat="false" customHeight="1" hidden="" ht="14" outlineLevel="0" r="245">
      <c r="A245" s="3" t="inlineStr">
        <is>
          <t>240</t>
        </is>
      </c>
      <c r="B245" s="4" t="s">
        <f>=HYPERLINK("http://anyluxury.ru/shop/zonty/skladnye/zont-skladnoy-trend-magic-aoc-krasniy-1503250/" , "15032.50 Зонт складной Trend Magic AOC, красный")</f>
      </c>
      <c r="C245" s="4" t="n">
        <v>1773.00</v>
      </c>
      <c r="D245" s="4"/>
    </row>
    <row collapsed="" customFormat="false" customHeight="1" hidden="" ht="14" outlineLevel="0" r="246">
      <c r="A246" s="3" t="inlineStr">
        <is>
          <t>241</t>
        </is>
      </c>
      <c r="B246" s="4" t="s">
        <f>=HYPERLINK("http://anyluxury.ru/shop/zonty/skladnye/zont-skladnoy-trend-magic-aoc-cherniy-1503230/" , "15032.30 Зонт складной Trend Magic AOC, черный")</f>
      </c>
      <c r="C246" s="4" t="n">
        <v>1773.00</v>
      </c>
      <c r="D246" s="4"/>
    </row>
    <row collapsed="" customFormat="false" customHeight="1" hidden="" ht="14" outlineLevel="0" r="247">
      <c r="A247" s="3" t="inlineStr">
        <is>
          <t>242</t>
        </is>
      </c>
      <c r="B247" s="4" t="s">
        <f>=HYPERLINK("http://anyluxury.ru/shop/zonty/skladnye/zont-skladnoy-trend-mini-automatic-bordoviy-1503355/" , "15033.55 Зонт складной Trend Mini Automatic, бордовый")</f>
      </c>
      <c r="C247" s="4" t="n">
        <v>1406.00</v>
      </c>
      <c r="D247" s="4"/>
    </row>
    <row collapsed="" customFormat="false" customHeight="1" hidden="" ht="14" outlineLevel="0" r="248">
      <c r="A248" s="3" t="inlineStr">
        <is>
          <t>243</t>
        </is>
      </c>
      <c r="B248" s="4" t="s">
        <f>=HYPERLINK("http://anyluxury.ru/shop/zonty/skladnye/zont-skladnoy-trend-mini-automatic-siniy-1503340/" , "15033.40 Зонт складной Trend Mini Automatic, синий")</f>
      </c>
      <c r="C248" s="4" t="n">
        <v>1406.00</v>
      </c>
      <c r="D248" s="4"/>
    </row>
    <row collapsed="" customFormat="false" customHeight="1" hidden="" ht="14" outlineLevel="0" r="249">
      <c r="A249" s="3" t="inlineStr">
        <is>
          <t>244</t>
        </is>
      </c>
      <c r="B249" s="4" t="s">
        <f>=HYPERLINK("http://anyluxury.ru/shop/zonty/skladnye/zont-skladnoy-trend-mini-automatic-zheltiy-1503380/" , "15033.80 Зонт складной Trend Mini Automatic, желтый")</f>
      </c>
      <c r="C249" s="4" t="n">
        <v>1406.00</v>
      </c>
      <c r="D249" s="4"/>
    </row>
    <row collapsed="" customFormat="false" customHeight="1" hidden="" ht="14" outlineLevel="0" r="250">
      <c r="A250" s="3" t="inlineStr">
        <is>
          <t>245</t>
        </is>
      </c>
      <c r="B250" s="4" t="s">
        <f>=HYPERLINK("http://anyluxury.ru/shop/zonty/skladnye/zont-skladnoy-trend-mini-automatic-seriy-1503311/" , "15033.11 Зонт складной Trend Mini Automatic, серый")</f>
      </c>
      <c r="C250" s="4" t="n">
        <v>1406.00</v>
      </c>
      <c r="D250" s="4"/>
    </row>
    <row collapsed="" customFormat="false" customHeight="1" hidden="" ht="14" outlineLevel="0" r="251">
      <c r="A251" s="3" t="inlineStr">
        <is>
          <t>246</t>
        </is>
      </c>
      <c r="B251" s="4" t="s">
        <f>=HYPERLINK("http://anyluxury.ru/shop/zonty/skladnye/zont-skladnoy-trend-mini-automatic-temnosiniy-1503343/" , "15033.43 Зонт складной Trend Mini Automatic, темно-синий")</f>
      </c>
      <c r="C251" s="4" t="n">
        <v>1406.00</v>
      </c>
      <c r="D251" s="4"/>
    </row>
    <row collapsed="" customFormat="false" customHeight="1" hidden="" ht="14" outlineLevel="0" r="252">
      <c r="A252" s="3" t="inlineStr">
        <is>
          <t>247</t>
        </is>
      </c>
      <c r="B252" s="4" t="s">
        <f>=HYPERLINK("http://anyluxury.ru/shop/zonty/skladnye/zont-skladnoy-trend-mini-automatic-krasniy-1503350/" , "15033.50 Зонт складной Trend Mini Automatic, красный")</f>
      </c>
      <c r="C252" s="4" t="n">
        <v>1406.00</v>
      </c>
      <c r="D252" s="4"/>
    </row>
    <row collapsed="" customFormat="false" customHeight="1" hidden="" ht="14" outlineLevel="0" r="253">
      <c r="A253" s="3" t="inlineStr">
        <is>
          <t>248</t>
        </is>
      </c>
      <c r="B253" s="4" t="s">
        <f>=HYPERLINK("http://anyluxury.ru/shop/zonty/skladnye/zont-skladnoy-trend-mini-automatic-cherniy-1503330/" , "15033.30 Зонт складной Trend Mini Automatic, черный")</f>
      </c>
      <c r="C253" s="4" t="n">
        <v>1406.00</v>
      </c>
      <c r="D253" s="4"/>
    </row>
    <row collapsed="" customFormat="false" customHeight="1" hidden="" ht="14" outlineLevel="0" r="254">
      <c r="A254" s="3" t="inlineStr">
        <is>
          <t>249</t>
        </is>
      </c>
      <c r="B254" s="4" t="s">
        <f>=HYPERLINK("http://anyluxury.ru/shop/zonty/skladnye/zont-skladnoy-trend-mini-bordoviy-1503455/" , "15034.55 Зонт складной Trend Mini, бордовый")</f>
      </c>
      <c r="C254" s="4" t="n">
        <v>1096.00</v>
      </c>
      <c r="D254" s="4"/>
    </row>
    <row collapsed="" customFormat="false" customHeight="1" hidden="" ht="14" outlineLevel="0" r="255">
      <c r="A255" s="3" t="inlineStr">
        <is>
          <t>250</t>
        </is>
      </c>
      <c r="B255" s="4" t="s">
        <f>=HYPERLINK("http://anyluxury.ru/shop/zonty/skladnye/zont-skladnoy-trend-mini-siniy-1503440/" , "15034.40 Зонт складной Trend Mini, бирюзовый")</f>
      </c>
      <c r="C255" s="4" t="n">
        <v>1096.00</v>
      </c>
      <c r="D255" s="4"/>
    </row>
    <row collapsed="" customFormat="false" customHeight="1" hidden="" ht="14" outlineLevel="0" r="256">
      <c r="A256" s="3" t="inlineStr">
        <is>
          <t>251</t>
        </is>
      </c>
      <c r="B256" s="4" t="s">
        <f>=HYPERLINK("http://anyluxury.ru/shop/zonty/skladnye/zont-skladnoy-trend-mini-zheltiy-1503480/" , "15034.80 Зонт складной Trend Mini, желтый")</f>
      </c>
      <c r="C256" s="4" t="n">
        <v>1096.00</v>
      </c>
      <c r="D256" s="4"/>
    </row>
    <row collapsed="" customFormat="false" customHeight="1" hidden="" ht="14" outlineLevel="0" r="257">
      <c r="A257" s="3" t="inlineStr">
        <is>
          <t>252</t>
        </is>
      </c>
      <c r="B257" s="4" t="s">
        <f>=HYPERLINK("http://anyluxury.ru/shop/zonty/skladnye/zont-skladnoy-trend-mini-seriy-1503411/" , "15034.11 Зонт складной Trend Mini, серый")</f>
      </c>
      <c r="C257" s="4" t="n">
        <v>1096.00</v>
      </c>
      <c r="D257" s="4"/>
    </row>
    <row collapsed="" customFormat="false" customHeight="1" hidden="" ht="14" outlineLevel="0" r="258">
      <c r="A258" s="3" t="inlineStr">
        <is>
          <t>253</t>
        </is>
      </c>
      <c r="B258" s="4" t="s">
        <f>=HYPERLINK("http://anyluxury.ru/shop/zonty/skladnye/zont-skladnoy-trend-mini-temnosiniy-1503443/" , "15034.43 Зонт складной Trend Mini, темно-синий")</f>
      </c>
      <c r="C258" s="4" t="n">
        <v>1096.00</v>
      </c>
      <c r="D258" s="4"/>
    </row>
    <row collapsed="" customFormat="false" customHeight="1" hidden="" ht="14" outlineLevel="0" r="259">
      <c r="A259" s="3" t="inlineStr">
        <is>
          <t>254</t>
        </is>
      </c>
      <c r="B259" s="4" t="s">
        <f>=HYPERLINK("http://anyluxury.ru/shop/zonty/skladnye/zont-skladnoy-trend-mini-krasniy-1503450/" , "15034.50 Зонт складной Trend Mini, красный")</f>
      </c>
      <c r="C259" s="4" t="n">
        <v>1096.00</v>
      </c>
      <c r="D259" s="4"/>
    </row>
    <row collapsed="" customFormat="false" customHeight="1" hidden="" ht="14" outlineLevel="0" r="260">
      <c r="A260" s="3" t="inlineStr">
        <is>
          <t>255</t>
        </is>
      </c>
      <c r="B260" s="4" t="s">
        <f>=HYPERLINK("http://anyluxury.ru/shop/zonty/skladnye/zont-skladnoy-trend-mini-cherniy-1503430/" , "15034.30 Зонт складной Trend Mini, черный")</f>
      </c>
      <c r="C260" s="4" t="n">
        <v>1096.00</v>
      </c>
      <c r="D260" s="4"/>
    </row>
    <row collapsed="" customFormat="false" customHeight="1" hidden="" ht="14" outlineLevel="0" r="261">
      <c r="A261" s="3" t="inlineStr">
        <is>
          <t>256</t>
        </is>
      </c>
      <c r="B261" s="4" t="s">
        <f>=HYPERLINK("http://anyluxury.ru/shop/zonty/skladnye/zont-skladnoy-nature-mini-seriy-1503611/" , "15036.11 Зонт складной Nature Mini, серый")</f>
      </c>
      <c r="C261" s="4" t="n">
        <v>2950.00</v>
      </c>
      <c r="D261" s="4"/>
    </row>
    <row collapsed="" customFormat="false" customHeight="1" hidden="" ht="14" outlineLevel="0" r="262">
      <c r="A262" s="3" t="inlineStr">
        <is>
          <t>257</t>
        </is>
      </c>
      <c r="B262" s="4" t="s">
        <f>=HYPERLINK("http://anyluxury.ru/shop/zonty/skladnye/zont-skladnoy-nature-mini-siniy-1503640/" , "15036.40 Зонт складной Nature Mini, синий")</f>
      </c>
      <c r="C262" s="4" t="n">
        <v>2950.00</v>
      </c>
      <c r="D262" s="4"/>
    </row>
    <row collapsed="" customFormat="false" customHeight="1" hidden="" ht="14" outlineLevel="0" r="263">
      <c r="A263" s="3" t="inlineStr">
        <is>
          <t>258</t>
        </is>
      </c>
      <c r="B263" s="4" t="s">
        <f>=HYPERLINK("http://anyluxury.ru/shop/zonty/skladnye/zont-skladnoy-nature-mini-zeleniy-1503690/" , "15036.90 Зонт складной Nature Mini, зеленый")</f>
      </c>
      <c r="C263" s="4" t="n">
        <v>2950.00</v>
      </c>
      <c r="D263" s="4"/>
    </row>
    <row collapsed="" customFormat="false" customHeight="1" hidden="" ht="14" outlineLevel="0" r="264">
      <c r="A264" s="3" t="inlineStr">
        <is>
          <t>259</t>
        </is>
      </c>
      <c r="B264" s="4" t="s">
        <f>=HYPERLINK("http://anyluxury.ru/shop/zonty/skladnye/zont-skladnoy-nature-mini-cherniy-1503630/" , "15036.30 Зонт складной Nature Mini, черный")</f>
      </c>
      <c r="C264" s="4" t="n">
        <v>2950.00</v>
      </c>
      <c r="D264" s="4"/>
    </row>
    <row collapsed="" customFormat="false" customHeight="1" hidden="" ht="14" outlineLevel="0" r="265">
      <c r="A265" s="3" t="inlineStr">
        <is>
          <t>260</t>
        </is>
      </c>
      <c r="B265" s="4" t="s">
        <f>=HYPERLINK("http://anyluxury.ru/shop/zonty/skladnye/zont-skladnoy-nature-magic-seriy-1503711/" , "15037.11 Зонт складной Nature Magic, серый")</f>
      </c>
      <c r="C265" s="4" t="n">
        <v>3881.00</v>
      </c>
      <c r="D265" s="4"/>
    </row>
    <row collapsed="" customFormat="false" customHeight="1" hidden="" ht="14" outlineLevel="0" r="266">
      <c r="A266" s="3" t="inlineStr">
        <is>
          <t>261</t>
        </is>
      </c>
      <c r="B266" s="4" t="s">
        <f>=HYPERLINK("http://anyluxury.ru/shop/zonty/skladnye/zont-skladnoy-nature-magic-siniy-1503740/" , "15037.40 Зонт складной Nature Magic, синий")</f>
      </c>
      <c r="C266" s="4" t="n">
        <v>3881.00</v>
      </c>
      <c r="D266" s="4"/>
    </row>
    <row collapsed="" customFormat="false" customHeight="1" hidden="" ht="14" outlineLevel="0" r="267">
      <c r="A267" s="3" t="inlineStr">
        <is>
          <t>262</t>
        </is>
      </c>
      <c r="B267" s="4" t="s">
        <f>=HYPERLINK("http://anyluxury.ru/shop/zonty/skladnye/zont-skladnoy-nature-magic-zeleniy-1503790/" , "15037.90 Зонт складной Nature Magic, зеленый")</f>
      </c>
      <c r="C267" s="4" t="n">
        <v>3881.00</v>
      </c>
      <c r="D267" s="4"/>
    </row>
    <row collapsed="" customFormat="false" customHeight="1" hidden="" ht="14" outlineLevel="0" r="268">
      <c r="A268" s="3" t="inlineStr">
        <is>
          <t>263</t>
        </is>
      </c>
      <c r="B268" s="4" t="s">
        <f>=HYPERLINK("http://anyluxury.ru/shop/zonty/skladnye/zont-skladnoy-nature-magic-cherniy-1503730/" , "15037.30 Зонт складной Nature Magic, черный")</f>
      </c>
      <c r="C268" s="4" t="n">
        <v>3881.00</v>
      </c>
      <c r="D268" s="4"/>
    </row>
    <row collapsed="" customFormat="false" customHeight="1" hidden="" ht="14" outlineLevel="0" r="269">
      <c r="A269" s="3" t="inlineStr">
        <is>
          <t>264</t>
        </is>
      </c>
      <c r="B269" s="4" t="s">
        <f>=HYPERLINK("http://anyluxury.ru/shop/zonty/skladnye/avtomaticheskiy-zont-impact-iz-rpet-aware-s-bambukovoy-rukoyatkoy-d94-sm-p850617/" , "P850.617 Автоматический зонт Impact из RPET AWARE™ с бамбуковой рукояткой, d94 см")</f>
      </c>
      <c r="C269" s="4" t="n">
        <v>2844.00</v>
      </c>
      <c r="D269" s="4"/>
    </row>
    <row collapsed="" customFormat="false" customHeight="1" hidden="" ht="14" outlineLevel="0" r="270">
      <c r="A270" s="3" t="inlineStr">
        <is>
          <t>265</t>
        </is>
      </c>
      <c r="B270" s="4" t="s">
        <f>=HYPERLINK("http://anyluxury.ru/shop/zonty/skladnye/zont-skladnoy-comfort-cherniy-1731530/" , "17315.30 Зонт складной Comfort, черный")</f>
      </c>
      <c r="C270" s="4" t="n">
        <v>1688.00</v>
      </c>
      <c r="D270" s="4"/>
    </row>
    <row collapsed="" customFormat="false" customHeight="1" hidden="" ht="14" outlineLevel="0" r="271">
      <c r="A271" s="3" t="inlineStr">
        <is>
          <t>266</t>
        </is>
      </c>
      <c r="B271" s="4" t="s">
        <f>=HYPERLINK("http://anyluxury.ru/shop/zonty/skladnye/zont-skladnoy-comfort-siniy-1731541/" , "17315.41 Зонт складной Comfort, синий")</f>
      </c>
      <c r="C271" s="4" t="n">
        <v>1688.00</v>
      </c>
      <c r="D271" s="4"/>
    </row>
    <row collapsed="" customFormat="false" customHeight="1" hidden="" ht="14" outlineLevel="0" r="272">
      <c r="A272" s="3" t="inlineStr">
        <is>
          <t>267</t>
        </is>
      </c>
      <c r="B272" s="4" t="s">
        <f>=HYPERLINK("http://anyluxury.ru/shop/zonty/skladnye/zont-skladnoy-light-cherniy-1731630/" , "17316.30 Зонт складной Light, черный")</f>
      </c>
      <c r="C272" s="4" t="n">
        <v>1179.00</v>
      </c>
      <c r="D272" s="4"/>
    </row>
    <row collapsed="" customFormat="false" customHeight="1" hidden="" ht="14" outlineLevel="0" r="273">
      <c r="A273" s="3" t="inlineStr">
        <is>
          <t>268</t>
        </is>
      </c>
      <c r="B273" s="4" t="s">
        <f>=HYPERLINK("http://anyluxury.ru/shop/zonty/skladnye/zont-skladnoy-light-temnosiniy-1731640/" , "17316.40 Зонт складной Light, темно-синий")</f>
      </c>
      <c r="C273" s="4" t="n">
        <v>1179.00</v>
      </c>
      <c r="D273" s="4"/>
    </row>
    <row collapsed="" customFormat="false" customHeight="1" hidden="" ht="14" outlineLevel="0" r="274">
      <c r="A274" s="3" t="inlineStr">
        <is>
          <t>269</t>
        </is>
      </c>
      <c r="B274" s="4" t="s">
        <f>=HYPERLINK("http://anyluxury.ru/shop/zonty/skladnye/zont-skladnoy-basic-oranzheviy-1731720/" , "17317.20 Зонт складной Basic, оранжевый")</f>
      </c>
      <c r="C274" s="4" t="n">
        <v>660.00</v>
      </c>
      <c r="D274" s="4"/>
    </row>
    <row collapsed="" customFormat="false" customHeight="1" hidden="" ht="14" outlineLevel="0" r="275">
      <c r="A275" s="3" t="inlineStr">
        <is>
          <t>270</t>
        </is>
      </c>
      <c r="B275" s="4" t="s">
        <f>=HYPERLINK("http://anyluxury.ru/shop/zonty/skladnye/zont-skladnoy-basic-cherniy-1731730/" , "17317.30 Зонт складной Basic, черный")</f>
      </c>
      <c r="C275" s="4" t="n">
        <v>660.00</v>
      </c>
      <c r="D275" s="4"/>
    </row>
    <row collapsed="" customFormat="false" customHeight="1" hidden="" ht="14" outlineLevel="0" r="276">
      <c r="A276" s="3" t="inlineStr">
        <is>
          <t>271</t>
        </is>
      </c>
      <c r="B276" s="4" t="s">
        <f>=HYPERLINK("http://anyluxury.ru/shop/zonty/skladnye/zont-skladnoy-basic-temnosiniy-1731742/" , "17317.42 Зонт складной Basic, темно-синий")</f>
      </c>
      <c r="C276" s="4" t="n">
        <v>660.00</v>
      </c>
      <c r="D276" s="4"/>
    </row>
    <row collapsed="" customFormat="false" customHeight="1" hidden="" ht="14" outlineLevel="0" r="277">
      <c r="A277" s="3" t="inlineStr">
        <is>
          <t>272</t>
        </is>
      </c>
      <c r="B277" s="4" t="s">
        <f>=HYPERLINK("http://anyluxury.ru/shop/zonty/skladnye/zont-skladnoy-basic-zheltiy-1731780/" , "17317.80 Зонт складной Basic, желтый")</f>
      </c>
      <c r="C277" s="4" t="n">
        <v>660.00</v>
      </c>
      <c r="D277" s="4"/>
    </row>
    <row collapsed="" customFormat="false" customHeight="1" hidden="" ht="14" outlineLevel="0" r="278">
      <c r="A278" s="3" t="inlineStr">
        <is>
          <t>273</t>
        </is>
      </c>
      <c r="B278" s="4" t="s">
        <f>=HYPERLINK("http://anyluxury.ru/shop/zonty/skladnye/zont-skladnoy-basic-zeleniy-1731790/" , "17317.90 Зонт складной Basic, зеленый")</f>
      </c>
      <c r="C278" s="4" t="n">
        <v>660.00</v>
      </c>
      <c r="D278" s="4"/>
    </row>
    <row collapsed="" customFormat="false" customHeight="1" hidden="" ht="14" outlineLevel="0" r="279">
      <c r="A279" s="3" t="inlineStr">
        <is>
          <t>274</t>
        </is>
      </c>
      <c r="B279" s="4" t="s">
        <f>=HYPERLINK("http://anyluxury.ru/shop/zonty/skladnye/zont-skladnoy-basic-zelenoe-yabloko-1731794/" , "17317.94 Зонт складной Basic, зеленое яблоко")</f>
      </c>
      <c r="C279" s="4" t="n">
        <v>660.00</v>
      </c>
      <c r="D279" s="4"/>
    </row>
    <row collapsed="" customFormat="false" customHeight="1" hidden="" ht="14" outlineLevel="0" r="280">
      <c r="A280" s="3" t="inlineStr">
        <is>
          <t>275</t>
        </is>
      </c>
      <c r="B280" s="4" t="s">
        <f>=HYPERLINK("http://anyluxury.ru/shop/zonty/skladnye/zont-skladnoy-classic-cherniy-1731830/" , "17318.30 Зонт складной Classic, черный")</f>
      </c>
      <c r="C280" s="4" t="n">
        <v>1661.00</v>
      </c>
      <c r="D280" s="4"/>
    </row>
    <row collapsed="" customFormat="false" customHeight="1" hidden="" ht="14" outlineLevel="0" r="281">
      <c r="A281" s="3" t="inlineStr">
        <is>
          <t>276</t>
        </is>
      </c>
      <c r="B281" s="4" t="s">
        <f>=HYPERLINK("http://anyluxury.ru/shop/zonty/skladnye/zont-skladnoy-classic-temnosiniy-1731840/" , "17318.40 Зонт складной Classic, темно-синий")</f>
      </c>
      <c r="C281" s="4" t="n">
        <v>1661.00</v>
      </c>
      <c r="D281" s="4"/>
    </row>
    <row collapsed="" customFormat="false" customHeight="1" hidden="" ht="14" outlineLevel="0" r="282">
      <c r="A282" s="3" t="inlineStr">
        <is>
          <t>277</t>
        </is>
      </c>
      <c r="B282" s="4" t="s">
        <f>=HYPERLINK("http://anyluxury.ru/shop/zonty/skladnye/zont-skladnoy-five-oranzheviy-1732020/" , "17320.20 Зонт складной Five, оранжевый")</f>
      </c>
      <c r="C282" s="4" t="n">
        <v>1590.00</v>
      </c>
      <c r="D282" s="4"/>
    </row>
    <row collapsed="" customFormat="false" customHeight="1" hidden="" ht="14" outlineLevel="0" r="283">
      <c r="A283" s="3" t="inlineStr">
        <is>
          <t>278</t>
        </is>
      </c>
      <c r="B283" s="4" t="s">
        <f>=HYPERLINK("http://anyluxury.ru/shop/zonty/skladnye/zont-skladnoy-five-cherniy-1732030/" , "17320.30 Зонт складной Five, черный")</f>
      </c>
      <c r="C283" s="4" t="n">
        <v>1590.00</v>
      </c>
      <c r="D283" s="4"/>
    </row>
    <row collapsed="" customFormat="false" customHeight="1" hidden="" ht="14" outlineLevel="0" r="284">
      <c r="A284" s="3" t="inlineStr">
        <is>
          <t>279</t>
        </is>
      </c>
      <c r="B284" s="4" t="s">
        <f>=HYPERLINK("http://anyluxury.ru/shop/zonty/skladnye/zont-skladnoy-five-siniy-1732040/" , "17320.40 Зонт складной Five, синий")</f>
      </c>
      <c r="C284" s="4" t="n">
        <v>1590.00</v>
      </c>
      <c r="D284" s="4"/>
    </row>
    <row collapsed="" customFormat="false" customHeight="1" hidden="" ht="14" outlineLevel="0" r="285">
      <c r="A285" s="3" t="inlineStr">
        <is>
          <t>280</t>
        </is>
      </c>
      <c r="B285" s="4" t="s">
        <f>=HYPERLINK("http://anyluxury.ru/shop/zonty/skladnye/zont-skladnoy-five-svetlokrasniy-1732050/" , "17320.50 Зонт складной Five, светло-красный")</f>
      </c>
      <c r="C285" s="4" t="n">
        <v>1590.00</v>
      </c>
      <c r="D285" s="4"/>
    </row>
    <row collapsed="" customFormat="false" customHeight="1" hidden="" ht="14" outlineLevel="0" r="286">
      <c r="A286" s="3" t="inlineStr">
        <is>
          <t>281</t>
        </is>
      </c>
      <c r="B286" s="4" t="s">
        <f>=HYPERLINK("http://anyluxury.ru/shop/zonty/skladnye/zont-skladnoy-five-beliy-1732060/" , "17320.60 Зонт складной Five, белый")</f>
      </c>
      <c r="C286" s="4" t="n">
        <v>1599.00</v>
      </c>
      <c r="D286" s="4"/>
    </row>
    <row collapsed="" customFormat="false" customHeight="1" hidden="" ht="14" outlineLevel="0" r="287">
      <c r="A287" s="3" t="inlineStr">
        <is>
          <t>282</t>
        </is>
      </c>
      <c r="B287" s="4" t="s">
        <f>=HYPERLINK("http://anyluxury.ru/shop/zonty/skladnye/zont-skladnoy-fiber-cherniy-1732130/" , "17321.30 Зонт складной Fiber, черный")</f>
      </c>
      <c r="C287" s="4" t="n">
        <v>2276.00</v>
      </c>
      <c r="D287" s="4"/>
    </row>
    <row collapsed="" customFormat="false" customHeight="1" hidden="" ht="14" outlineLevel="0" r="288">
      <c r="A288" s="3" t="inlineStr">
        <is>
          <t>283</t>
        </is>
      </c>
      <c r="B288" s="4" t="s">
        <f>=HYPERLINK("http://anyluxury.ru/shop/zonty/skladnye/zont-skladnoy-fiber-temnosiniy-1732140/" , "17321.40 Зонт складной Fiber, темно-синий")</f>
      </c>
      <c r="C288" s="4" t="n">
        <v>2276.00</v>
      </c>
      <c r="D288" s="4"/>
    </row>
    <row collapsed="" customFormat="false" customHeight="1" hidden="" ht="14" outlineLevel="0" r="289">
      <c r="A289" s="3" t="inlineStr">
        <is>
          <t>284</t>
        </is>
      </c>
      <c r="B289" s="4" t="s">
        <f>=HYPERLINK("http://anyluxury.ru/shop/zonty/skladnye/zont-skladnoy-fiber-yarkosiniy-1732144/" , "17321.44 Зонт складной Fiber, ярко-синий")</f>
      </c>
      <c r="C289" s="4" t="n">
        <v>2276.00</v>
      </c>
      <c r="D289" s="4"/>
    </row>
    <row collapsed="" customFormat="false" customHeight="1" hidden="" ht="14" outlineLevel="0" r="290">
      <c r="A290" s="3" t="inlineStr">
        <is>
          <t>285</t>
        </is>
      </c>
      <c r="B290" s="4" t="s">
        <f>=HYPERLINK("http://anyluxury.ru/shop/zonty/skladnye/zont-skladnoy-hit-mini-ver2-zeleniy-1422690/" , "14226.90 Зонт складной Hit Mini, ver.2, зеленый")</f>
      </c>
      <c r="C290" s="4" t="n">
        <v>1574.00</v>
      </c>
      <c r="D290" s="4"/>
    </row>
    <row collapsed="" customFormat="false" customHeight="1" hidden="" ht="14" outlineLevel="0" r="291">
      <c r="A291" s="3" t="inlineStr">
        <is>
          <t>286</t>
        </is>
      </c>
      <c r="B291" s="4" t="s">
        <f>=HYPERLINK("http://anyluxury.ru/shop/zonty/skladnye/zont-skladnoy-hit-mini-ver2-seriy-1422611/" , "14226.11 Зонт складной Hit Mini, ver.2, серый")</f>
      </c>
      <c r="C291" s="4" t="n">
        <v>1574.00</v>
      </c>
      <c r="D291" s="4"/>
    </row>
    <row collapsed="" customFormat="false" customHeight="1" hidden="" ht="14" outlineLevel="0" r="292">
      <c r="A292" s="3" t="inlineStr">
        <is>
          <t>287</t>
        </is>
      </c>
      <c r="B292" s="4" t="s">
        <f>=HYPERLINK("http://anyluxury.ru/shop/zonty/skladnye/zont-skladnoy-hit-mini-ver2-temnosiniy-1422640/" , "14226.40 Зонт складной Hit Mini, ver.2, темно-синий")</f>
      </c>
      <c r="C292" s="4" t="n">
        <v>1574.00</v>
      </c>
      <c r="D292" s="4"/>
    </row>
    <row collapsed="" customFormat="false" customHeight="1" hidden="" ht="14" outlineLevel="0" r="293">
      <c r="A293" s="3" t="inlineStr">
        <is>
          <t>288</t>
        </is>
      </c>
      <c r="B293" s="4" t="s">
        <f>=HYPERLINK("http://anyluxury.ru/shop/zonty/skladnye/zont-skladnoy-hit-mini-ver2-krasniy-1422650/" , "14226.50 Зонт складной Hit Mini, ver.2, красный")</f>
      </c>
      <c r="C293" s="4" t="n">
        <v>1574.00</v>
      </c>
      <c r="D293" s="4"/>
    </row>
    <row collapsed="" customFormat="false" customHeight="1" hidden="" ht="14" outlineLevel="0" r="294">
      <c r="A294" s="3" t="inlineStr">
        <is>
          <t>289</t>
        </is>
      </c>
      <c r="B294" s="4" t="s">
        <f>=HYPERLINK("http://anyluxury.ru/shop/zonty/skladnye/zont-skladnoy-hit-mini-ver2-cherniy-1422630/" , "14226.30 Зонт складной Hit Mini, ver.2, черный")</f>
      </c>
      <c r="C294" s="4" t="n">
        <v>1574.00</v>
      </c>
      <c r="D294" s="4"/>
    </row>
    <row collapsed="" customFormat="false" customHeight="1" hidden="" ht="14" outlineLevel="0" r="295">
      <c r="A295" s="3" t="inlineStr">
        <is>
          <t>290</t>
        </is>
      </c>
      <c r="B295" s="4" t="s">
        <f>=HYPERLINK("http://anyluxury.ru/shop/zonty/skladnye/zont-skladnoy-hit-mini-ver2-bordoviy-1422655/" , "14226.55 Зонт складной Hit Mini, ver.2, бордовый")</f>
      </c>
      <c r="C295" s="4" t="n">
        <v>1574.00</v>
      </c>
      <c r="D295" s="4"/>
    </row>
    <row collapsed="" customFormat="false" customHeight="1" hidden="" ht="14" outlineLevel="0" r="296">
      <c r="A296" s="3" t="inlineStr">
        <is>
          <t>291</t>
        </is>
      </c>
      <c r="B296" s="4" t="s">
        <f>=HYPERLINK("http://anyluxury.ru/shop/zonty/skladnye/ultralegkiy-avtomaticheskiy-zont-swiss-peak-iz-rpet-205-p850321/" , "P850.321 Ультралегкий автоматический зонт Swiss Peak из rPET, d95 см")</f>
      </c>
      <c r="C296" s="4" t="n">
        <v>2829.00</v>
      </c>
      <c r="D296" s="4"/>
    </row>
    <row collapsed="" customFormat="false" customHeight="1" hidden="" ht="14" outlineLevel="0" r="297">
      <c r="A297" s="3" t="inlineStr">
        <is>
          <t>292</t>
        </is>
      </c>
      <c r="B297" s="4" t="s">
        <f>=HYPERLINK("http://anyluxury.ru/shop/zonty/skladnye/avtomaticheskiy-zont-impact-iz-rpet-aware-190t-21-p850430/" , "P850.430 Автоматический зонт Impact из rPET AWARE™ 190T, d97 см")</f>
      </c>
      <c r="C297" s="4" t="n">
        <v>2303.00</v>
      </c>
      <c r="D297" s="4"/>
    </row>
    <row collapsed="" customFormat="false" customHeight="1" hidden="" ht="14" outlineLevel="0" r="298">
      <c r="A298" s="3" t="inlineStr">
        <is>
          <t>293</t>
        </is>
      </c>
      <c r="B298" s="4" t="s">
        <f>=HYPERLINK("http://anyluxury.ru/shop/zonty/skladnye/avtomaticheskiy-zont-impact-iz-rpet-aware-190t-21-p850435/" , "P850.435 Автоматический зонт Impact из rPET AWARE™ 190T, d97 см")</f>
      </c>
      <c r="C298" s="4" t="n">
        <v>2303.00</v>
      </c>
      <c r="D298" s="4"/>
    </row>
    <row collapsed="" customFormat="false" customHeight="1" hidden="" ht="14" outlineLevel="0" r="299">
      <c r="A299" s="3" t="inlineStr">
        <is>
          <t>294</t>
        </is>
      </c>
      <c r="B299" s="4" t="s">
        <f>=HYPERLINK("http://anyluxury.ru/shop/zonty/skladnye/avtomaticheskiy-zont-impact-iz-rpet-aware-190t-21-p850437/" , "P850.437 Автоматический зонт Impact из rPET AWARE™ 190T, d97 см")</f>
      </c>
      <c r="C299" s="4" t="n">
        <v>2303.00</v>
      </c>
      <c r="D299" s="4"/>
    </row>
    <row collapsed="" customFormat="false" customHeight="1" hidden="" ht="14" outlineLevel="0" r="300">
      <c r="A300" s="3" t="inlineStr">
        <is>
          <t>295</t>
        </is>
      </c>
      <c r="B300" s="4" t="s">
        <f>=HYPERLINK("http://anyluxury.ru/shop/zonty/skladnye/avtomaticheskiy-zont-impact-iz-rpet-aware-190t-21-p850438/" , "P850.438 Автоматический зонт Impact из rPET AWARE™ 190T, d97 см")</f>
      </c>
      <c r="C300" s="4" t="n">
        <v>2303.00</v>
      </c>
      <c r="D300" s="4"/>
    </row>
    <row collapsed="" customFormat="false" customHeight="1" hidden="" ht="14" outlineLevel="0" r="301">
      <c r="A301" s="3" t="inlineStr">
        <is>
          <t>296</t>
        </is>
      </c>
      <c r="B301" s="4" t="s">
        <f>=HYPERLINK("http://anyluxury.ru/shop/zonty/skladnye/zont-skladnoy-monsoon-temnosiniy-bez-chehla-1451844/" , "14518.44 Зонт складной Monsoon, темно-синий, без чехла")</f>
      </c>
      <c r="C301" s="4" t="n">
        <v>1298.00</v>
      </c>
      <c r="D301" s="4"/>
    </row>
    <row collapsed="" customFormat="false" customHeight="1" hidden="" ht="14" outlineLevel="0" r="302">
      <c r="A302" s="3" t="inlineStr">
        <is>
          <t>297</t>
        </is>
      </c>
      <c r="B302" s="4" t="s">
        <f>=HYPERLINK("http://anyluxury.ru/shop/zonty/skladnye/zonttrost-antishtorm-hurricane-aware-d120-sm-p850491/" , "P850.491 Зонт-трость антишторм Hurricane Aware™, d120 см")</f>
      </c>
      <c r="C302" s="4" t="n">
        <v>5650.00</v>
      </c>
      <c r="D302" s="4"/>
    </row>
    <row collapsed="" customFormat="false" customHeight="1" hidden="" ht="14" outlineLevel="0" r="303">
      <c r="A303" s="3" t="inlineStr">
        <is>
          <t>298</t>
        </is>
      </c>
      <c r="B303" s="4" t="s">
        <f>=HYPERLINK("http://anyluxury.ru/shop/zonty/skladnye/zonttrost-antishtorm-hurricane-aware-d120-sm-p850495/" , "P850.495 Зонт-трость антишторм Hurricane Aware™, d120 см")</f>
      </c>
      <c r="C303" s="4" t="n">
        <v>5650.00</v>
      </c>
      <c r="D303" s="4"/>
    </row>
    <row collapsed="" customFormat="false" customHeight="1" hidden="" ht="14" outlineLevel="0" r="304">
      <c r="A304" s="3" t="inlineStr">
        <is>
          <t>299</t>
        </is>
      </c>
      <c r="B304" s="4" t="s">
        <f>=HYPERLINK("http://anyluxury.ru/shop/zonty/skladnye/zont-skladnoy-five-cherniy-bez-futlyara-1732031/" , "17320.31 Зонт складной Five, черный, без футляра")</f>
      </c>
      <c r="C304" s="4" t="n">
        <v>1409.00</v>
      </c>
      <c r="D304" s="4"/>
    </row>
    <row collapsed="" customFormat="false" customHeight="1" hidden="" ht="14" outlineLevel="0" r="305">
      <c r="A305" s="3" t="inlineStr">
        <is>
          <t>300</t>
        </is>
      </c>
      <c r="B305" s="4" t="s">
        <f>=HYPERLINK("http://anyluxury.ru/shop/zonty/skladnye/zont-skladnoy-ribbo-cherniy-1790530/" , "17905.30 Зонт складной Ribbo, черный")</f>
      </c>
      <c r="C305" s="4" t="n">
        <v>1851.00</v>
      </c>
      <c r="D305" s="4"/>
    </row>
    <row collapsed="" customFormat="false" customHeight="1" hidden="" ht="14" outlineLevel="0" r="306">
      <c r="A306" s="3" t="inlineStr">
        <is>
          <t>301</t>
        </is>
      </c>
      <c r="B306" s="4" t="s">
        <f>=HYPERLINK("http://anyluxury.ru/shop/zonty/skladnye/zont-skladnoy-ribbo-temnosiniy-1790540/" , "17905.40 Зонт складной Ribbo, темно-синий")</f>
      </c>
      <c r="C306" s="4" t="n">
        <v>1851.00</v>
      </c>
      <c r="D306" s="4"/>
    </row>
    <row collapsed="" customFormat="false" customHeight="1" hidden="" ht="14" outlineLevel="0" r="307">
      <c r="A307" s="3" t="inlineStr">
        <is>
          <t>302</t>
        </is>
      </c>
      <c r="B307" s="4" t="s">
        <f>=HYPERLINK("http://anyluxury.ru/shop/zonty/skladnye/zont-skladnoy-rain-spell-cherniy-1790730/" , "17907.30 Зонт складной Rain Spell, черный")</f>
      </c>
      <c r="C307" s="4" t="n">
        <v>789.00</v>
      </c>
      <c r="D307" s="4"/>
    </row>
    <row collapsed="" customFormat="false" customHeight="1" hidden="" ht="14" outlineLevel="0" r="308">
      <c r="A308" s="3" t="inlineStr">
        <is>
          <t>303</t>
        </is>
      </c>
      <c r="B308" s="4" t="s">
        <f>=HYPERLINK("http://anyluxury.ru/shop/zonty/skladnye/zont-skladnoy-rain-spell-beliy-1790760/" , "17907.60 Зонт складной Rain Spell, белый")</f>
      </c>
      <c r="C308" s="4" t="n">
        <v>789.00</v>
      </c>
      <c r="D308" s="4"/>
    </row>
    <row collapsed="" customFormat="false" customHeight="1" hidden="" ht="14" outlineLevel="0" r="309">
      <c r="A309" s="3" t="inlineStr">
        <is>
          <t>304</t>
        </is>
      </c>
      <c r="B309" s="4" t="s">
        <f>=HYPERLINK("http://anyluxury.ru/shop/zonty/skladnye/zont-skladnoy-rain-spell-siniy-1790740/" , "17907.40 Зонт складной Rain Spell, синий")</f>
      </c>
      <c r="C309" s="4" t="n">
        <v>789.00</v>
      </c>
      <c r="D309" s="4"/>
    </row>
    <row collapsed="" customFormat="false" customHeight="1" hidden="" ht="14" outlineLevel="0" r="310">
      <c r="A310" s="3" t="inlineStr">
        <is>
          <t>305</t>
        </is>
      </c>
      <c r="B310" s="4" t="s">
        <f>=HYPERLINK("http://anyluxury.ru/shop/zonty/skladnye/zont-skladnoy-rain-spell-krasniy-1790750/" , "17907.50 Зонт складной Rain Spell, красный")</f>
      </c>
      <c r="C310" s="4" t="n">
        <v>789.00</v>
      </c>
      <c r="D310" s="4"/>
    </row>
    <row collapsed="" customFormat="false" customHeight="1" hidden="" ht="14" outlineLevel="0" r="311">
      <c r="A311" s="3" t="inlineStr">
        <is>
          <t>306</t>
        </is>
      </c>
      <c r="B311" s="4" t="s">
        <f>=HYPERLINK("http://anyluxury.ru/shop/zonty/skladnye/zont-skladnoy-rain-spell-zeleniy-1790790/" , "17907.90 Зонт складной Rain Spell, зеленый")</f>
      </c>
      <c r="C311" s="4" t="n">
        <v>789.00</v>
      </c>
      <c r="D311" s="4"/>
    </row>
    <row collapsed="" customFormat="false" customHeight="1" hidden="" ht="14" outlineLevel="0" r="312">
      <c r="A312" s="3" t="inlineStr">
        <is>
          <t>307</t>
        </is>
      </c>
      <c r="B312" s="4" t="s">
        <f>=HYPERLINK("http://anyluxury.ru/shop/zonty/skladnye/zont-skladnoy-rain-spell-oranzheviy-1790720/" , "17907.20 Зонт складной Rain Spell, оранжевый")</f>
      </c>
      <c r="C312" s="4" t="n">
        <v>789.00</v>
      </c>
      <c r="D312" s="4"/>
    </row>
    <row collapsed="" customFormat="false" customHeight="1" hidden="" ht="14" outlineLevel="0" r="313">
      <c r="A313" s="3" t="inlineStr">
        <is>
          <t>308</t>
        </is>
      </c>
      <c r="B313" s="4" t="s">
        <f>=HYPERLINK("http://anyluxury.ru/shop/zonty/skladnye/zontnaoborot-skladnoy-stardome-cherniy-1751230/" , "17512.30 Зонт наоборот складной Stardome, черный")</f>
      </c>
      <c r="C313" s="4" t="n">
        <v>1170.00</v>
      </c>
      <c r="D313" s="4"/>
    </row>
    <row collapsed="" customFormat="false" customHeight="1" hidden="" ht="14" outlineLevel="0" r="314">
      <c r="A314" s="3" t="inlineStr">
        <is>
          <t>309</t>
        </is>
      </c>
      <c r="B314" s="4" t="s">
        <f>=HYPERLINK("http://anyluxury.ru/shop/zonty/skladnye/zontnaoborot-skladnoy-stardome-siniy-1751240/" , "17512.40 Зонт наоборот складной Stardome, синий")</f>
      </c>
      <c r="C314" s="4" t="n">
        <v>1170.00</v>
      </c>
      <c r="D314" s="4"/>
    </row>
    <row collapsed="" customFormat="false" customHeight="1" hidden="" ht="14" outlineLevel="0" r="315">
      <c r="A315" s="3" t="inlineStr">
        <is>
          <t>310</t>
        </is>
      </c>
      <c r="B315" s="4" t="s">
        <f>=HYPERLINK("http://anyluxury.ru/shop/zonty/skladnye/zontnaoborot-skladnoy-stardome-oranzheviy-1751220/" , "17512.20 Зонт наоборот складной Stardome, оранжевый")</f>
      </c>
      <c r="C315" s="4" t="n">
        <v>1170.00</v>
      </c>
      <c r="D315" s="4"/>
    </row>
    <row collapsed="" customFormat="false" customHeight="1" hidden="" ht="14" outlineLevel="0" r="316">
      <c r="A316" s="3" t="inlineStr">
        <is>
          <t>311</t>
        </is>
      </c>
      <c r="B316" s="4" t="s">
        <f>=HYPERLINK("http://anyluxury.ru/shop/zonty/skladnye/zontnaoborot-skladnoy-stardome-krasniy-1751250/" , "17512.50 Зонт наоборот складной Stardome, красный")</f>
      </c>
      <c r="C316" s="4" t="n">
        <v>1170.00</v>
      </c>
      <c r="D316" s="4"/>
    </row>
    <row collapsed="" customFormat="false" customHeight="1" hidden="" ht="14" outlineLevel="0" r="317">
      <c r="A317" s="3" t="inlineStr">
        <is>
          <t>312</t>
        </is>
      </c>
      <c r="B317" s="4" t="s">
        <f>=HYPERLINK("http://anyluxury.ru/shop/zonty/skladnye/zontpoluavtomat-swiss-peak-traveller-iz-rpet-aware-d106-sm-p850481/" , "P850.481 Зонт-полуавтомат Swiss Peak Traveller из rPET AWARE™, d106 см")</f>
      </c>
      <c r="C317" s="4" t="n">
        <v>3553.00</v>
      </c>
      <c r="D317" s="4"/>
    </row>
    <row collapsed="" customFormat="false" customHeight="1" hidden="" ht="14" outlineLevel="0" r="318">
      <c r="A318" s="3" t="inlineStr">
        <is>
          <t>313</t>
        </is>
      </c>
      <c r="B318" s="4" t="s">
        <f>=HYPERLINK("http://anyluxury.ru/shop/zonty/skladnye/zont-skladnoy-easy-close-cherniy-1719130/" , "17191.30 Зонт складной Easy Close, черный")</f>
      </c>
      <c r="C318" s="4" t="n">
        <v>2292.00</v>
      </c>
      <c r="D318" s="4"/>
    </row>
    <row collapsed="" customFormat="false" customHeight="1" hidden="" ht="14" outlineLevel="0" r="319">
      <c r="A319" s="3" t="inlineStr">
        <is>
          <t>314</t>
        </is>
      </c>
      <c r="B319" s="4" t="s">
        <f>=HYPERLINK("http://anyluxury.ru/shop/zonty/skladnye/zont-skladnoy-cloudburst-cherniy-1719230/" , "17192.30 Зонт складной Cloudburst, черный")</f>
      </c>
      <c r="C319" s="4" t="n">
        <v>2947.00</v>
      </c>
      <c r="D319" s="4"/>
    </row>
    <row collapsed="" customFormat="false" customHeight="1" hidden="" ht="14" outlineLevel="0" r="320">
      <c r="A320" s="3" t="inlineStr">
        <is>
          <t>315</t>
        </is>
      </c>
      <c r="B320" s="4" t="s">
        <f>=HYPERLINK("http://anyluxury.ru/shop/zonty/skladnye/skladnoy-zont-dome-double-s-dvoynim-kupolom-cherniy-1719330/" , "17193.30 Складной зонт Dome Double с двойным куполом, черный")</f>
      </c>
      <c r="C320" s="4" t="n">
        <v>2151.00</v>
      </c>
      <c r="D320" s="4"/>
    </row>
    <row collapsed="" customFormat="false" customHeight="1" hidden="" ht="14" outlineLevel="0" r="321">
      <c r="A321" s="3" t="inlineStr">
        <is>
          <t>316</t>
        </is>
      </c>
      <c r="B321" s="4" t="s">
        <f>=HYPERLINK("http://anyluxury.ru/shop/zonty/skladnye/skladnoy-zont-dome-double-s-dvoynim-kupolom-siniy-1719344/" , "17193.44 Складной зонт Dome Double с двойным куполом, синий")</f>
      </c>
      <c r="C321" s="4" t="n">
        <v>2151.00</v>
      </c>
      <c r="D321" s="4"/>
    </row>
    <row collapsed="" customFormat="false" customHeight="1" hidden="" ht="14" outlineLevel="0" r="322">
      <c r="A322" s="3" t="inlineStr">
        <is>
          <t>317</t>
        </is>
      </c>
      <c r="B322" s="4" t="s">
        <f>=HYPERLINK("http://anyluxury.ru/shop/zonty/skladnye/skladnoy-zont-dome-double-s-dvoynim-kupolom-seriy-1719311/" , "17193.11 Складной зонт Dome Double с двойным куполом, серый")</f>
      </c>
      <c r="C322" s="4" t="n">
        <v>2151.00</v>
      </c>
      <c r="D322" s="4"/>
    </row>
    <row collapsed="" customFormat="false" customHeight="1" hidden="" ht="14" outlineLevel="0" r="323">
      <c r="A323" s="3" t="inlineStr">
        <is>
          <t>318</t>
        </is>
      </c>
      <c r="B323" s="4" t="s">
        <f>=HYPERLINK("http://anyluxury.ru/shop/zonty/skladnye/skladnoy-zont-dome-double-s-dvoynim-kupolom-temnosiniy-1719340/" , "17193.40 Складной зонт Dome Double с двойным куполом, темно-синий")</f>
      </c>
      <c r="C323" s="4" t="n">
        <v>2151.00</v>
      </c>
      <c r="D323" s="4"/>
    </row>
    <row collapsed="" customFormat="false" customHeight="1" hidden="" ht="14" outlineLevel="0" r="324">
      <c r="A324" s="3" t="inlineStr">
        <is>
          <t>319</t>
        </is>
      </c>
      <c r="B324" s="4" t="s">
        <f>=HYPERLINK("http://anyluxury.ru/shop/zonty/skladnye/skladnoy-zontnaoborot-savelight-so-svetootrazhayushhim-kantom-1719430/" , "17194.30 Складной зонт-наоборот Savelight со светоотражающим кантом")</f>
      </c>
      <c r="C324" s="4" t="n">
        <v>2814.00</v>
      </c>
      <c r="D324" s="4"/>
    </row>
    <row collapsed="" customFormat="false" customHeight="1" hidden="" ht="14" outlineLevel="0" r="325">
      <c r="A325" s="3" t="inlineStr">
        <is>
          <t>320</t>
        </is>
      </c>
      <c r="B325" s="4" t="s">
        <f>=HYPERLINK("http://anyluxury.ru/shop/zonty/skladnye/zont-skladnoy-hard-work-s-proyavlyayushhimsya-risunkom-seriy-1719511/" , "17195.11 Зонт складной Hard Work с проявляющимся рисунком, серый")</f>
      </c>
      <c r="C325" s="4" t="n">
        <v>1823.00</v>
      </c>
      <c r="D325" s="4"/>
    </row>
    <row collapsed="" customFormat="false" customHeight="1" hidden="" ht="14" outlineLevel="0" r="326">
      <c r="A326" s="3" t="inlineStr">
        <is>
          <t>321</t>
        </is>
      </c>
      <c r="B326" s="4" t="s">
        <f>=HYPERLINK("http://anyluxury.ru/shop/zonty/skladnye/zont-skladnoy-levante-cherniy-236020010/" , "236020.010 Зонт складной Levante, черный")</f>
      </c>
      <c r="C326" s="4" t="n">
        <v>1900.00</v>
      </c>
      <c r="D326" s="4"/>
    </row>
    <row collapsed="" customFormat="false" customHeight="" hidden="" ht="12.1" outlineLevel="0" r="327">
      <c r="A327" s="5" t="inlineStr">
        <is>
          <t> -  - Трости</t>
        </is>
      </c>
      <c r="B327" s="6"/>
      <c r="C327" s="6"/>
      <c r="D327" s="6"/>
    </row>
    <row collapsed="" customFormat="false" customHeight="1" hidden="" ht="14" outlineLevel="0" r="328">
      <c r="A328" s="3" t="inlineStr">
        <is>
          <t>322</t>
        </is>
      </c>
      <c r="B328" s="4" t="s">
        <f>=HYPERLINK("http://anyluxury.ru/shop/zonty/trosti/avtomaticheskiy-zonttrost-23-krasniy-p850524/" , "P850.524 Зонт-трость полуавтомат, d115 см")</f>
      </c>
      <c r="C328" s="4" t="n">
        <v>799.00</v>
      </c>
      <c r="D328" s="4"/>
    </row>
    <row collapsed="" customFormat="false" customHeight="1" hidden="" ht="14" outlineLevel="0" r="329">
      <c r="A329" s="3" t="inlineStr">
        <is>
          <t>323</t>
        </is>
      </c>
      <c r="B329" s="4" t="s">
        <f>=HYPERLINK("http://anyluxury.ru/shop/zonty/trosti/avtomaticheskiy-zonttrost-23-siniy-p850525/" , "P850.525 Зонт-трость полуавтомат, d115 см")</f>
      </c>
      <c r="C329" s="4" t="n">
        <v>799.00</v>
      </c>
      <c r="D329" s="4"/>
    </row>
    <row collapsed="" customFormat="false" customHeight="1" hidden="" ht="14" outlineLevel="0" r="330">
      <c r="A330" s="3" t="inlineStr">
        <is>
          <t>324</t>
        </is>
      </c>
      <c r="B330" s="4" t="s">
        <f>=HYPERLINK("http://anyluxury.ru/shop/zonty/trosti/zontantishtorm-iz-steklovolokna-23-p850211/" , "P850.211 Зонт-антишторм из стекловолокна 23'")</f>
      </c>
      <c r="C330" s="4" t="n">
        <v>990.00</v>
      </c>
      <c r="D330" s="4"/>
    </row>
    <row collapsed="" customFormat="false" customHeight="1" hidden="" ht="14" outlineLevel="0" r="331">
      <c r="A331" s="3" t="inlineStr">
        <is>
          <t>325</t>
        </is>
      </c>
      <c r="B331" s="4" t="s">
        <f>=HYPERLINK("http://anyluxury.ru/shop/zonty/trosti/zonttrost-iz-steklovolokna-23-p850045/" , "P850.045 Зонт-трость из стекловолокна, d103 см ")</f>
      </c>
      <c r="C331" s="4" t="n">
        <v>990.00</v>
      </c>
      <c r="D331" s="4"/>
    </row>
    <row collapsed="" customFormat="false" customHeight="1" hidden="" ht="14" outlineLevel="0" r="332">
      <c r="A332" s="3" t="inlineStr">
        <is>
          <t>326</t>
        </is>
      </c>
      <c r="B332" s="4" t="s">
        <f>=HYPERLINK("http://anyluxury.ru/shop/zonty/trosti/zonttrost-deluxe-23-salatoviy-p850207/" , "P850.207 Зонт-трость Deluxe d103 см")</f>
      </c>
      <c r="C332" s="4" t="n">
        <v>1279.00</v>
      </c>
      <c r="D332" s="4"/>
    </row>
    <row collapsed="" customFormat="false" customHeight="1" hidden="" ht="14" outlineLevel="0" r="333">
      <c r="A333" s="3" t="inlineStr">
        <is>
          <t>327</t>
        </is>
      </c>
      <c r="B333" s="4" t="s">
        <f>=HYPERLINK("http://anyluxury.ru/shop/zonty/trosti/zonttrost-antishtorm-hurricane-27-seriy-p850502/" , "P850.502 Зонт-трость антишторм Hurricane, d120 см")</f>
      </c>
      <c r="C333" s="4" t="n">
        <v>3890.00</v>
      </c>
      <c r="D333" s="4"/>
    </row>
    <row collapsed="" customFormat="false" customHeight="1" hidden="" ht="14" outlineLevel="0" r="334">
      <c r="A334" s="3" t="inlineStr">
        <is>
          <t>328</t>
        </is>
      </c>
      <c r="B334" s="4" t="s">
        <f>=HYPERLINK("http://anyluxury.ru/shop/zonty/trosti/prozrachniy-zonttrost-clear-538260/" , "5382.60 Прозрачный зонт-трость Clear")</f>
      </c>
      <c r="C334" s="4" t="n">
        <v>1248.00</v>
      </c>
      <c r="D334" s="4"/>
    </row>
    <row collapsed="" customFormat="false" customHeight="1" hidden="" ht="14" outlineLevel="0" r="335">
      <c r="A335" s="3" t="inlineStr">
        <is>
          <t>329</t>
        </is>
      </c>
      <c r="B335" s="4" t="s">
        <f>=HYPERLINK("http://anyluxury.ru/shop/zonty/trosti/zonttrost-alessio-cherniy-340430/" , "3404.30 Зонт-трость Alessio, черный")</f>
      </c>
      <c r="C335" s="4" t="n">
        <v>1974.00</v>
      </c>
      <c r="D335" s="4"/>
    </row>
    <row collapsed="" customFormat="false" customHeight="1" hidden="" ht="14" outlineLevel="0" r="336">
      <c r="A336" s="3" t="inlineStr">
        <is>
          <t>330</t>
        </is>
      </c>
      <c r="B336" s="4" t="s">
        <f>=HYPERLINK("http://anyluxury.ru/shop/zonty/trosti/zonttrost-alessio-temnosiniy-340440/" , "3404.40 Зонт-трость Alessio, темно-синий")</f>
      </c>
      <c r="C336" s="4" t="n">
        <v>1974.00</v>
      </c>
      <c r="D336" s="4"/>
    </row>
    <row collapsed="" customFormat="false" customHeight="1" hidden="" ht="14" outlineLevel="0" r="337">
      <c r="A337" s="3" t="inlineStr">
        <is>
          <t>331</t>
        </is>
      </c>
      <c r="B337" s="4" t="s">
        <f>=HYPERLINK("http://anyluxury.ru/shop/zonty/trosti/zonttrost-palermo-3709/" , "3709 Зонт-трость Palermo")</f>
      </c>
      <c r="C337" s="4" t="n">
        <v>3686.00</v>
      </c>
      <c r="D337" s="4"/>
    </row>
    <row collapsed="" customFormat="false" customHeight="1" hidden="" ht="14" outlineLevel="0" r="338">
      <c r="A338" s="3" t="inlineStr">
        <is>
          <t>332</t>
        </is>
      </c>
      <c r="B338" s="4" t="s">
        <f>=HYPERLINK("http://anyluxury.ru/shop/zonty/trosti/zonttrost-lui-cherniy-611630/" , "6116.30 Зонт-трость Lui, черный")</f>
      </c>
      <c r="C338" s="4" t="n">
        <v>3847.00</v>
      </c>
      <c r="D338" s="4"/>
    </row>
    <row collapsed="" customFormat="false" customHeight="1" hidden="" ht="14" outlineLevel="0" r="339">
      <c r="A339" s="3" t="inlineStr">
        <is>
          <t>333</t>
        </is>
      </c>
      <c r="B339" s="4" t="s">
        <f>=HYPERLINK("http://anyluxury.ru/shop/zonty/trosti/zonttrost-magic-s-proyavlyayushhimsya-risunkom-v-kletku-temnosiniy-1701240/" , "17012.40 Зонт-трость Magic с проявляющимся рисунком в клетку, темно-синий")</f>
      </c>
      <c r="C339" s="4" t="n">
        <v>1670.00</v>
      </c>
      <c r="D339" s="4"/>
    </row>
    <row collapsed="" customFormat="false" customHeight="1" hidden="" ht="14" outlineLevel="0" r="340">
      <c r="A340" s="3" t="inlineStr">
        <is>
          <t>334</t>
        </is>
      </c>
      <c r="B340" s="4" t="s">
        <f>=HYPERLINK("http://anyluxury.ru/shop/zonty/trosti/zonttrost-magic-s-proyavlyayushhimsya-cvetochnim-risunkom-temnosiniy-1701244/" , "17012.44 Зонт-трость Magic с проявляющимся цветочным рисунком, темно-синий")</f>
      </c>
      <c r="C340" s="4" t="n">
        <v>1670.00</v>
      </c>
      <c r="D340" s="4"/>
    </row>
    <row collapsed="" customFormat="false" customHeight="1" hidden="" ht="14" outlineLevel="0" r="341">
      <c r="A341" s="3" t="inlineStr">
        <is>
          <t>335</t>
        </is>
      </c>
      <c r="B341" s="4" t="s">
        <f>=HYPERLINK("http://anyluxury.ru/shop/zonty/trosti/avtomaticheskiy-zontantishtorm-iz-rpet-23-p850407/" , "P850.407 Автоматический зонт-антишторм из RPET 23'")</f>
      </c>
      <c r="C341" s="4" t="n">
        <v>1359.00</v>
      </c>
      <c r="D341" s="4"/>
    </row>
    <row collapsed="" customFormat="false" customHeight="1" hidden="" ht="14" outlineLevel="0" r="342">
      <c r="A342" s="3" t="inlineStr">
        <is>
          <t>336</t>
        </is>
      </c>
      <c r="B342" s="4" t="s">
        <f>=HYPERLINK("http://anyluxury.ru/shop/zonty/trosti/zonttrost-dublin-temnosiniy-1184540/" , "11845.40 Зонт-трость Dublin, темно-синий")</f>
      </c>
      <c r="C342" s="4" t="n">
        <v>2541.00</v>
      </c>
      <c r="D342" s="4"/>
    </row>
    <row collapsed="" customFormat="false" customHeight="1" hidden="" ht="14" outlineLevel="0" r="343">
      <c r="A343" s="3" t="inlineStr">
        <is>
          <t>337</t>
        </is>
      </c>
      <c r="B343" s="4" t="s">
        <f>=HYPERLINK("http://anyluxury.ru/shop/zonty/trosti/zonttrost-dublin-cherniy-1184530/" , "11845.30 Зонт-трость Dublin, черный")</f>
      </c>
      <c r="C343" s="4" t="n">
        <v>2541.00</v>
      </c>
      <c r="D343" s="4"/>
    </row>
    <row collapsed="" customFormat="false" customHeight="1" hidden="" ht="14" outlineLevel="0" r="344">
      <c r="A344" s="3" t="inlineStr">
        <is>
          <t>338</t>
        </is>
      </c>
      <c r="B344" s="4" t="s">
        <f>=HYPERLINK("http://anyluxury.ru/shop/zonty/trosti/zonttrost-alu-ac-temnosiniy-1184340/" , "11843.40 Зонт-трость Alu AC, темно-синий")</f>
      </c>
      <c r="C344" s="4" t="n">
        <v>2400.00</v>
      </c>
      <c r="D344" s="4"/>
    </row>
    <row collapsed="" customFormat="false" customHeight="1" hidden="" ht="14" outlineLevel="0" r="345">
      <c r="A345" s="3" t="inlineStr">
        <is>
          <t>339</t>
        </is>
      </c>
      <c r="B345" s="4" t="s">
        <f>=HYPERLINK("http://anyluxury.ru/shop/zonty/trosti/zonttrost-alu-ac-krasniy-1184350/" , "11843.50 Зонт-трость Alu AC, красный")</f>
      </c>
      <c r="C345" s="4" t="n">
        <v>2400.00</v>
      </c>
      <c r="D345" s="4"/>
    </row>
    <row collapsed="" customFormat="false" customHeight="1" hidden="" ht="14" outlineLevel="0" r="346">
      <c r="A346" s="3" t="inlineStr">
        <is>
          <t>340</t>
        </is>
      </c>
      <c r="B346" s="4" t="s">
        <f>=HYPERLINK("http://anyluxury.ru/shop/zonty/trosti/zonttrost-alu-ac-cherniy-1184330/" , "11843.30 Зонт-трость Alu AC, черный")</f>
      </c>
      <c r="C346" s="4" t="n">
        <v>2400.00</v>
      </c>
      <c r="D346" s="4"/>
    </row>
    <row collapsed="" customFormat="false" customHeight="1" hidden="" ht="14" outlineLevel="0" r="347">
      <c r="A347" s="3" t="inlineStr">
        <is>
          <t>341</t>
        </is>
      </c>
      <c r="B347" s="4" t="s">
        <f>=HYPERLINK("http://anyluxury.ru/shop/zonty/trosti/zonttrost-alu-acbeliy-1184360/" , "11843.60 Зонт-трость Alu AC,белый")</f>
      </c>
      <c r="C347" s="4" t="n">
        <v>2400.00</v>
      </c>
      <c r="D347" s="4"/>
    </row>
    <row collapsed="" customFormat="false" customHeight="1" hidden="" ht="14" outlineLevel="0" r="348">
      <c r="A348" s="3" t="inlineStr">
        <is>
          <t>342</t>
        </is>
      </c>
      <c r="B348" s="4" t="s">
        <f>=HYPERLINK("http://anyluxury.ru/shop/zonty/trosti/zonttrost-alu-ac-bordoviy-1184355/" , "11843.55 Зонт-трость Alu AC, бордовый")</f>
      </c>
      <c r="C348" s="4" t="n">
        <v>2400.00</v>
      </c>
      <c r="D348" s="4"/>
    </row>
    <row collapsed="" customFormat="false" customHeight="1" hidden="" ht="14" outlineLevel="0" r="349">
      <c r="A349" s="3" t="inlineStr">
        <is>
          <t>343</t>
        </is>
      </c>
      <c r="B349" s="4" t="s">
        <f>=HYPERLINK("http://anyluxury.ru/shop/zonty/trosti/zonttrost-bristol-ac-seriy-1184411/" , "11844.11 Зонт-трость Bristol AC, серый")</f>
      </c>
      <c r="C349" s="4" t="n">
        <v>1981.00</v>
      </c>
      <c r="D349" s="4"/>
    </row>
    <row collapsed="" customFormat="false" customHeight="1" hidden="" ht="14" outlineLevel="0" r="350">
      <c r="A350" s="3" t="inlineStr">
        <is>
          <t>344</t>
        </is>
      </c>
      <c r="B350" s="4" t="s">
        <f>=HYPERLINK("http://anyluxury.ru/shop/zonty/trosti/zonttrost-bristol-ac-temnosiniy-1184440/" , "11844.40 Зонт-трость Bristol AC, темно-синий")</f>
      </c>
      <c r="C350" s="4" t="n">
        <v>1981.00</v>
      </c>
      <c r="D350" s="4"/>
    </row>
    <row collapsed="" customFormat="false" customHeight="1" hidden="" ht="14" outlineLevel="0" r="351">
      <c r="A351" s="3" t="inlineStr">
        <is>
          <t>345</t>
        </is>
      </c>
      <c r="B351" s="4" t="s">
        <f>=HYPERLINK("http://anyluxury.ru/shop/zonty/trosti/zonttrost-bristol-ac-krasniy-1184450/" , "11844.50 Зонт-трость Bristol AC, красный")</f>
      </c>
      <c r="C351" s="4" t="n">
        <v>1981.00</v>
      </c>
      <c r="D351" s="4"/>
    </row>
    <row collapsed="" customFormat="false" customHeight="1" hidden="" ht="14" outlineLevel="0" r="352">
      <c r="A352" s="3" t="inlineStr">
        <is>
          <t>346</t>
        </is>
      </c>
      <c r="B352" s="4" t="s">
        <f>=HYPERLINK("http://anyluxury.ru/shop/zonty/trosti/zonttrost-bristol-ac-cherniy-1184430/" , "11844.30 Зонт-трость Bristol AC, черный")</f>
      </c>
      <c r="C352" s="4" t="n">
        <v>1981.00</v>
      </c>
      <c r="D352" s="4"/>
    </row>
    <row collapsed="" customFormat="false" customHeight="1" hidden="" ht="14" outlineLevel="0" r="353">
      <c r="A353" s="3" t="inlineStr">
        <is>
          <t>347</t>
        </is>
      </c>
      <c r="B353" s="4" t="s">
        <f>=HYPERLINK("http://anyluxury.ru/shop/zonty/trosti/zonttrost-bristol-ac-beliy-1184460/" , "11844.60 Зонт-трость Bristol AC, белый")</f>
      </c>
      <c r="C353" s="4" t="n">
        <v>1981.00</v>
      </c>
      <c r="D353" s="4"/>
    </row>
    <row collapsed="" customFormat="false" customHeight="1" hidden="" ht="14" outlineLevel="0" r="354">
      <c r="A354" s="3" t="inlineStr">
        <is>
          <t>348</t>
        </is>
      </c>
      <c r="B354" s="4" t="s">
        <f>=HYPERLINK("http://anyluxury.ru/shop/zonty/trosti/zonttrost-bristol-ac-bordoviy-1184455/" , "11844.55 Зонт-трость Bristol AC, бордовый")</f>
      </c>
      <c r="C354" s="4" t="n">
        <v>1981.00</v>
      </c>
      <c r="D354" s="4"/>
    </row>
    <row collapsed="" customFormat="false" customHeight="1" hidden="" ht="14" outlineLevel="0" r="355">
      <c r="A355" s="3" t="inlineStr">
        <is>
          <t>349</t>
        </is>
      </c>
      <c r="B355" s="4" t="s">
        <f>=HYPERLINK("http://anyluxury.ru/shop/zonty/trosti/zonttrost-dublin-zeleniy-1184590/" , "11845.90 Зонт-трость Dublin, зеленый")</f>
      </c>
      <c r="C355" s="4" t="n">
        <v>2541.00</v>
      </c>
      <c r="D355" s="4"/>
    </row>
    <row collapsed="" customFormat="false" customHeight="1" hidden="" ht="14" outlineLevel="0" r="356">
      <c r="A356" s="3" t="inlineStr">
        <is>
          <t>350</t>
        </is>
      </c>
      <c r="B356" s="4" t="s">
        <f>=HYPERLINK("http://anyluxury.ru/shop/zonty/trosti/zonttrost-dublin-seriy-1184511/" , "11845.11 Зонт-трость Dublin, серый")</f>
      </c>
      <c r="C356" s="4" t="n">
        <v>2541.00</v>
      </c>
      <c r="D356" s="4"/>
    </row>
    <row collapsed="" customFormat="false" customHeight="1" hidden="" ht="14" outlineLevel="0" r="357">
      <c r="A357" s="3" t="inlineStr">
        <is>
          <t>351</t>
        </is>
      </c>
      <c r="B357" s="4" t="s">
        <f>=HYPERLINK("http://anyluxury.ru/shop/zonty/trosti/zonttrost-dublin-bordoviy-1184555/" , "11845.55 Зонт-трость Dublin, бордовый")</f>
      </c>
      <c r="C357" s="4" t="n">
        <v>2541.00</v>
      </c>
      <c r="D357" s="4"/>
    </row>
    <row collapsed="" customFormat="false" customHeight="1" hidden="" ht="14" outlineLevel="0" r="358">
      <c r="A358" s="3" t="inlineStr">
        <is>
          <t>352</t>
        </is>
      </c>
      <c r="B358" s="4" t="s">
        <f>=HYPERLINK("http://anyluxury.ru/shop/zonty/trosti/zonttrost-oslo-ac-zeleniy-1184790/" , "11847.90 Зонт-трость Oslo AC, зеленый")</f>
      </c>
      <c r="C358" s="4" t="n">
        <v>1972.00</v>
      </c>
      <c r="D358" s="4"/>
    </row>
    <row collapsed="" customFormat="false" customHeight="1" hidden="" ht="14" outlineLevel="0" r="359">
      <c r="A359" s="3" t="inlineStr">
        <is>
          <t>353</t>
        </is>
      </c>
      <c r="B359" s="4" t="s">
        <f>=HYPERLINK("http://anyluxury.ru/shop/zonty/trosti/zonttrost-oslo-ac-seriy-1184711/" , "11847.11 Зонт-трость Oslo AC, серый")</f>
      </c>
      <c r="C359" s="4" t="n">
        <v>1972.00</v>
      </c>
      <c r="D359" s="4"/>
    </row>
    <row collapsed="" customFormat="false" customHeight="1" hidden="" ht="14" outlineLevel="0" r="360">
      <c r="A360" s="3" t="inlineStr">
        <is>
          <t>354</t>
        </is>
      </c>
      <c r="B360" s="4" t="s">
        <f>=HYPERLINK("http://anyluxury.ru/shop/zonty/trosti/zonttrost-oslo-ac-temnosiniy-1184740/" , "11847.40 Зонт-трость Oslo AC, темно-синий")</f>
      </c>
      <c r="C360" s="4" t="n">
        <v>1972.00</v>
      </c>
      <c r="D360" s="4"/>
    </row>
    <row collapsed="" customFormat="false" customHeight="1" hidden="" ht="14" outlineLevel="0" r="361">
      <c r="A361" s="3" t="inlineStr">
        <is>
          <t>355</t>
        </is>
      </c>
      <c r="B361" s="4" t="s">
        <f>=HYPERLINK("http://anyluxury.ru/shop/zonty/trosti/zonttrost-oslo-ac-krasniy-1184750/" , "11847.50 Зонт-трость Oslo AC, красный")</f>
      </c>
      <c r="C361" s="4" t="n">
        <v>1972.00</v>
      </c>
      <c r="D361" s="4"/>
    </row>
    <row collapsed="" customFormat="false" customHeight="1" hidden="" ht="14" outlineLevel="0" r="362">
      <c r="A362" s="3" t="inlineStr">
        <is>
          <t>356</t>
        </is>
      </c>
      <c r="B362" s="4" t="s">
        <f>=HYPERLINK("http://anyluxury.ru/shop/zonty/trosti/zonttrost-oslo-ac-cherniy-1184730/" , "11847.30 Зонт-трость Oslo AC, черный")</f>
      </c>
      <c r="C362" s="4" t="n">
        <v>1972.00</v>
      </c>
      <c r="D362" s="4"/>
    </row>
    <row collapsed="" customFormat="false" customHeight="1" hidden="" ht="14" outlineLevel="0" r="363">
      <c r="A363" s="3" t="inlineStr">
        <is>
          <t>357</t>
        </is>
      </c>
      <c r="B363" s="4" t="s">
        <f>=HYPERLINK("http://anyluxury.ru/shop/zonty/trosti/zonttrost-oslo-ac-beliy-1184760/" , "11847.60 Зонт-трость Oslo AC, белый")</f>
      </c>
      <c r="C363" s="4" t="n">
        <v>1972.00</v>
      </c>
      <c r="D363" s="4"/>
    </row>
    <row collapsed="" customFormat="false" customHeight="1" hidden="" ht="14" outlineLevel="0" r="364">
      <c r="A364" s="3" t="inlineStr">
        <is>
          <t>358</t>
        </is>
      </c>
      <c r="B364" s="4" t="s">
        <f>=HYPERLINK("http://anyluxury.ru/shop/zonty/trosti/zonttrost-oslo-ac-bordoviy-1184755/" , "11847.55 Зонт-трость Oslo AC, бордовый")</f>
      </c>
      <c r="C364" s="4" t="n">
        <v>1972.00</v>
      </c>
      <c r="D364" s="4"/>
    </row>
    <row collapsed="" customFormat="false" customHeight="1" hidden="" ht="14" outlineLevel="0" r="365">
      <c r="A365" s="3" t="inlineStr">
        <is>
          <t>359</t>
        </is>
      </c>
      <c r="B365" s="4" t="s">
        <f>=HYPERLINK("http://anyluxury.ru/shop/zonty/trosti/zonttrost-hit-golf-ac-zeleniy-1184990/" , "11849.90 Зонт-трость Hit Golf AC, зеленый")</f>
      </c>
      <c r="C365" s="4" t="n">
        <v>2163.00</v>
      </c>
      <c r="D365" s="4"/>
    </row>
    <row collapsed="" customFormat="false" customHeight="1" hidden="" ht="14" outlineLevel="0" r="366">
      <c r="A366" s="3" t="inlineStr">
        <is>
          <t>360</t>
        </is>
      </c>
      <c r="B366" s="4" t="s">
        <f>=HYPERLINK("http://anyluxury.ru/shop/zonty/trosti/zonttrost-hit-golf-ac-temnosiniy-1184940/" , "11849.40 Зонт-трость Hit Golf AC, темно-синий")</f>
      </c>
      <c r="C366" s="4" t="n">
        <v>2163.00</v>
      </c>
      <c r="D366" s="4"/>
    </row>
    <row collapsed="" customFormat="false" customHeight="1" hidden="" ht="14" outlineLevel="0" r="367">
      <c r="A367" s="3" t="inlineStr">
        <is>
          <t>361</t>
        </is>
      </c>
      <c r="B367" s="4" t="s">
        <f>=HYPERLINK("http://anyluxury.ru/shop/zonty/trosti/zonttrost-hit-golf-ac-krasniy-1184950/" , "11849.50 Зонт-трость Hit Golf AC, красный")</f>
      </c>
      <c r="C367" s="4" t="n">
        <v>2163.00</v>
      </c>
      <c r="D367" s="4"/>
    </row>
    <row collapsed="" customFormat="false" customHeight="1" hidden="" ht="14" outlineLevel="0" r="368">
      <c r="A368" s="3" t="inlineStr">
        <is>
          <t>362</t>
        </is>
      </c>
      <c r="B368" s="4" t="s">
        <f>=HYPERLINK("http://anyluxury.ru/shop/zonty/trosti/zonttrost-hit-golf-ac-beliy-1184960/" , "11849.60 Зонт-трость Hit Golf AC, белый")</f>
      </c>
      <c r="C368" s="4" t="n">
        <v>2163.00</v>
      </c>
      <c r="D368" s="4"/>
    </row>
    <row collapsed="" customFormat="false" customHeight="1" hidden="" ht="14" outlineLevel="0" r="369">
      <c r="A369" s="3" t="inlineStr">
        <is>
          <t>363</t>
        </is>
      </c>
      <c r="B369" s="4" t="s">
        <f>=HYPERLINK("http://anyluxury.ru/shop/zonty/trosti/zonttrost-alu-golf-ac-zeleniy-1185090/" , "11850.90 Зонт-трость Alu Golf AC, зеленый")</f>
      </c>
      <c r="C369" s="4" t="n">
        <v>2650.00</v>
      </c>
      <c r="D369" s="4"/>
    </row>
    <row collapsed="" customFormat="false" customHeight="1" hidden="" ht="14" outlineLevel="0" r="370">
      <c r="A370" s="3" t="inlineStr">
        <is>
          <t>364</t>
        </is>
      </c>
      <c r="B370" s="4" t="s">
        <f>=HYPERLINK("http://anyluxury.ru/shop/zonty/trosti/zonttrost-alu-golf-ac-seriy-1185011/" , "11850.11 Зонт-трость Alu Golf AC, серый")</f>
      </c>
      <c r="C370" s="4" t="n">
        <v>2650.00</v>
      </c>
      <c r="D370" s="4"/>
    </row>
    <row collapsed="" customFormat="false" customHeight="1" hidden="" ht="14" outlineLevel="0" r="371">
      <c r="A371" s="3" t="inlineStr">
        <is>
          <t>365</t>
        </is>
      </c>
      <c r="B371" s="4" t="s">
        <f>=HYPERLINK("http://anyluxury.ru/shop/zonty/trosti/zonttrost-alu-golf-ac-cherniy-1185030/" , "11850.30 Зонт-трость Alu Golf AC, черный")</f>
      </c>
      <c r="C371" s="4" t="n">
        <v>2650.00</v>
      </c>
      <c r="D371" s="4"/>
    </row>
    <row collapsed="" customFormat="false" customHeight="1" hidden="" ht="14" outlineLevel="0" r="372">
      <c r="A372" s="3" t="inlineStr">
        <is>
          <t>366</t>
        </is>
      </c>
      <c r="B372" s="4" t="s">
        <f>=HYPERLINK("http://anyluxury.ru/shop/zonty/trosti/zonttrost-alu-golf-ac-krasniy-1185050/" , "11850.50 Зонт-трость Alu Golf AC, красный")</f>
      </c>
      <c r="C372" s="4" t="n">
        <v>2650.00</v>
      </c>
      <c r="D372" s="4"/>
    </row>
    <row collapsed="" customFormat="false" customHeight="1" hidden="" ht="14" outlineLevel="0" r="373">
      <c r="A373" s="3" t="inlineStr">
        <is>
          <t>367</t>
        </is>
      </c>
      <c r="B373" s="4" t="s">
        <f>=HYPERLINK("http://anyluxury.ru/shop/zonty/trosti/zonttrost-alu-golf-ac-beliy-1185060/" , "11850.60 Зонт-трость Alu Golf AC, белый")</f>
      </c>
      <c r="C373" s="4" t="n">
        <v>2650.00</v>
      </c>
      <c r="D373" s="4"/>
    </row>
    <row collapsed="" customFormat="false" customHeight="1" hidden="" ht="14" outlineLevel="0" r="374">
      <c r="A374" s="3" t="inlineStr">
        <is>
          <t>368</t>
        </is>
      </c>
      <c r="B374" s="4" t="s">
        <f>=HYPERLINK("http://anyluxury.ru/shop/zonty/trosti/zonttrost-alu-golf-ac-bordoviy-1185055/" , "11850.55 Зонт-трость Alu Golf AC, бордовый")</f>
      </c>
      <c r="C374" s="4" t="n">
        <v>2650.00</v>
      </c>
      <c r="D374" s="4"/>
    </row>
    <row collapsed="" customFormat="false" customHeight="1" hidden="" ht="14" outlineLevel="0" r="375">
      <c r="A375" s="3" t="inlineStr">
        <is>
          <t>369</t>
        </is>
      </c>
      <c r="B375" s="4" t="s">
        <f>=HYPERLINK("http://anyluxury.ru/shop/zonty/trosti/zonttrost-fiber-flex-temnosiniy-1185340/" , "11853.40 Зонт-трость Fiber Flex, темно-синий")</f>
      </c>
      <c r="C375" s="4" t="n">
        <v>3257.00</v>
      </c>
      <c r="D375" s="4"/>
    </row>
    <row collapsed="" customFormat="false" customHeight="1" hidden="" ht="14" outlineLevel="0" r="376">
      <c r="A376" s="3" t="inlineStr">
        <is>
          <t>370</t>
        </is>
      </c>
      <c r="B376" s="4" t="s">
        <f>=HYPERLINK("http://anyluxury.ru/shop/zonty/trosti/zonttrost-fiber-flex-cherniy-1185330/" , "11853.30 Зонт-трость Fiber Flex, черный")</f>
      </c>
      <c r="C376" s="4" t="n">
        <v>3257.00</v>
      </c>
      <c r="D376" s="4"/>
    </row>
    <row collapsed="" customFormat="false" customHeight="1" hidden="" ht="14" outlineLevel="0" r="377">
      <c r="A377" s="3" t="inlineStr">
        <is>
          <t>371</t>
        </is>
      </c>
      <c r="B377" s="4" t="s">
        <f>=HYPERLINK("http://anyluxury.ru/shop/zonty/trosti/zonttrost-fiber-move-ac-cherniy-s-krasnim-1185435/" , "11854.35 Зонт-трость Fiber Move AC, черный с красным")</f>
      </c>
      <c r="C377" s="4" t="n">
        <v>3487.00</v>
      </c>
      <c r="D377" s="4"/>
    </row>
    <row collapsed="" customFormat="false" customHeight="1" hidden="" ht="14" outlineLevel="0" r="378">
      <c r="A378" s="3" t="inlineStr">
        <is>
          <t>372</t>
        </is>
      </c>
      <c r="B378" s="4" t="s">
        <f>=HYPERLINK("http://anyluxury.ru/shop/zonty/trosti/zonttrost-fiber-move-ac-cherniy-s-serim-1185431/" , "11854.31 Зонт-трость Fiber Move AC, черный с серым")</f>
      </c>
      <c r="C378" s="4" t="n">
        <v>3487.00</v>
      </c>
      <c r="D378" s="4"/>
    </row>
    <row collapsed="" customFormat="false" customHeight="1" hidden="" ht="14" outlineLevel="0" r="379">
      <c r="A379" s="3" t="inlineStr">
        <is>
          <t>373</t>
        </is>
      </c>
      <c r="B379" s="4" t="s">
        <f>=HYPERLINK("http://anyluxury.ru/shop/zonty/trosti/zonttrost-fiber-move-ac-temnosiniy-s-zheltim-1185438/" , "11854.38 Зонт-трость Fiber Move AC, темно-синий с желтым")</f>
      </c>
      <c r="C379" s="4" t="n">
        <v>3487.00</v>
      </c>
      <c r="D379" s="4"/>
    </row>
    <row collapsed="" customFormat="false" customHeight="1" hidden="" ht="14" outlineLevel="0" r="380">
      <c r="A380" s="3" t="inlineStr">
        <is>
          <t>374</t>
        </is>
      </c>
      <c r="B380" s="4" t="s">
        <f>=HYPERLINK("http://anyluxury.ru/shop/zonty/trosti/zonttrost-fiber-golf-fiberglas-krasniy-1185750/" , "11857.50 Зонт-трость Fiber Golf Fiberglas, красный")</f>
      </c>
      <c r="C380" s="4" t="n">
        <v>2625.00</v>
      </c>
      <c r="D380" s="4"/>
    </row>
    <row collapsed="" customFormat="false" customHeight="1" hidden="" ht="14" outlineLevel="0" r="381">
      <c r="A381" s="3" t="inlineStr">
        <is>
          <t>375</t>
        </is>
      </c>
      <c r="B381" s="4" t="s">
        <f>=HYPERLINK("http://anyluxury.ru/shop/zonty/trosti/zonttrost-fiber-golf-air-temnosiniy-1186040/" , "11860.40 Зонт-трость Fiber Golf Air, темно-синий")</f>
      </c>
      <c r="C381" s="4" t="n">
        <v>4841.00</v>
      </c>
      <c r="D381" s="4"/>
    </row>
    <row collapsed="" customFormat="false" customHeight="1" hidden="" ht="14" outlineLevel="0" r="382">
      <c r="A382" s="3" t="inlineStr">
        <is>
          <t>376</t>
        </is>
      </c>
      <c r="B382" s="4" t="s">
        <f>=HYPERLINK("http://anyluxury.ru/shop/zonty/trosti/zonttrost-standard-serebristiy-1239301/" , "12393.01 Зонт-трость Standard, белый с серебристым внутри")</f>
      </c>
      <c r="C382" s="4" t="n">
        <v>891.00</v>
      </c>
      <c r="D382" s="4"/>
    </row>
    <row collapsed="" customFormat="false" customHeight="1" hidden="" ht="14" outlineLevel="0" r="383">
      <c r="A383" s="3" t="inlineStr">
        <is>
          <t>377</t>
        </is>
      </c>
      <c r="B383" s="4" t="s">
        <f>=HYPERLINK("http://anyluxury.ru/shop/zonty/trosti/zonttrost-standard-goluboy-1239314/" , "12393.14 Зонт-трость Standard, голубой")</f>
      </c>
      <c r="C383" s="4" t="n">
        <v>892.00</v>
      </c>
      <c r="D383" s="4"/>
    </row>
    <row collapsed="" customFormat="false" customHeight="1" hidden="" ht="14" outlineLevel="0" r="384">
      <c r="A384" s="3" t="inlineStr">
        <is>
          <t>378</t>
        </is>
      </c>
      <c r="B384" s="4" t="s">
        <f>=HYPERLINK("http://anyluxury.ru/shop/zonty/trosti/zonttrost-standard-oranzheviy-1239320/" , "12393.20 Зонт-трость Standard, оранжевый")</f>
      </c>
      <c r="C384" s="4" t="n">
        <v>936.00</v>
      </c>
      <c r="D384" s="4"/>
    </row>
    <row collapsed="" customFormat="false" customHeight="1" hidden="" ht="14" outlineLevel="0" r="385">
      <c r="A385" s="3" t="inlineStr">
        <is>
          <t>379</t>
        </is>
      </c>
      <c r="B385" s="4" t="s">
        <f>=HYPERLINK("http://anyluxury.ru/shop/zonty/trosti/zonttrost-standard-cherniy-1239330/" , "12393.30 Зонт-трость Standard, черный")</f>
      </c>
      <c r="C385" s="4" t="n">
        <v>892.00</v>
      </c>
      <c r="D385" s="4"/>
    </row>
    <row collapsed="" customFormat="false" customHeight="1" hidden="" ht="14" outlineLevel="0" r="386">
      <c r="A386" s="3" t="inlineStr">
        <is>
          <t>380</t>
        </is>
      </c>
      <c r="B386" s="4" t="s">
        <f>=HYPERLINK("http://anyluxury.ru/shop/zonty/trosti/zonttrost-standard-temnosiniy-1239340/" , "12393.40 Зонт-трость Standard, темно-синий")</f>
      </c>
      <c r="C386" s="4" t="n">
        <v>892.00</v>
      </c>
      <c r="D386" s="4"/>
    </row>
    <row collapsed="" customFormat="false" customHeight="1" hidden="" ht="14" outlineLevel="0" r="387">
      <c r="A387" s="3" t="inlineStr">
        <is>
          <t>381</t>
        </is>
      </c>
      <c r="B387" s="4" t="s">
        <f>=HYPERLINK("http://anyluxury.ru/shop/zonty/trosti/zonttrost-standard-yarkosiniy-1239344/" , "12393.44 Зонт-трость Standard, ярко-синий")</f>
      </c>
      <c r="C387" s="4" t="n">
        <v>892.00</v>
      </c>
      <c r="D387" s="4"/>
    </row>
    <row collapsed="" customFormat="false" customHeight="1" hidden="" ht="14" outlineLevel="0" r="388">
      <c r="A388" s="3" t="inlineStr">
        <is>
          <t>382</t>
        </is>
      </c>
      <c r="B388" s="4" t="s">
        <f>=HYPERLINK("http://anyluxury.ru/shop/zonty/trosti/zonttrost-standard-krasniy-1239350/" , "12393.50 Зонт-трость Standard, красный")</f>
      </c>
      <c r="C388" s="4" t="n">
        <v>892.00</v>
      </c>
      <c r="D388" s="4"/>
    </row>
    <row collapsed="" customFormat="false" customHeight="1" hidden="" ht="14" outlineLevel="0" r="389">
      <c r="A389" s="3" t="inlineStr">
        <is>
          <t>383</t>
        </is>
      </c>
      <c r="B389" s="4" t="s">
        <f>=HYPERLINK("http://anyluxury.ru/shop/zonty/trosti/zonttrost-standard-bordoviy-1239355/" , "12393.55 Зонт-трость Standard, бордовый")</f>
      </c>
      <c r="C389" s="4" t="n">
        <v>892.00</v>
      </c>
      <c r="D389" s="4"/>
    </row>
    <row collapsed="" customFormat="false" customHeight="1" hidden="" ht="14" outlineLevel="0" r="390">
      <c r="A390" s="3" t="inlineStr">
        <is>
          <t>384</t>
        </is>
      </c>
      <c r="B390" s="4" t="s">
        <f>=HYPERLINK("http://anyluxury.ru/shop/zonty/trosti/zonttrost-standard-yarkorozoviy-fuksiya-1239357/" , "12393.57 Зонт-трость Standard, ярко-розовый (фуксия)")</f>
      </c>
      <c r="C390" s="4" t="n">
        <v>892.00</v>
      </c>
      <c r="D390" s="4"/>
    </row>
    <row collapsed="" customFormat="false" customHeight="1" hidden="" ht="14" outlineLevel="0" r="391">
      <c r="A391" s="3" t="inlineStr">
        <is>
          <t>385</t>
        </is>
      </c>
      <c r="B391" s="4" t="s">
        <f>=HYPERLINK("http://anyluxury.ru/shop/zonty/trosti/zonttrost-standard-beliy-1239366/" , "12393.66 Зонт-трость Standard, белый")</f>
      </c>
      <c r="C391" s="4" t="n">
        <v>892.00</v>
      </c>
      <c r="D391" s="4"/>
    </row>
    <row collapsed="" customFormat="false" customHeight="1" hidden="" ht="14" outlineLevel="0" r="392">
      <c r="A392" s="3" t="inlineStr">
        <is>
          <t>386</t>
        </is>
      </c>
      <c r="B392" s="4" t="s">
        <f>=HYPERLINK("http://anyluxury.ru/shop/zonty/trosti/zonttrost-standard-fioletoviy-1239377/" , "12393.77 Зонт-трость Standard, фиолетовый")</f>
      </c>
      <c r="C392" s="4" t="n">
        <v>892.00</v>
      </c>
      <c r="D392" s="4"/>
    </row>
    <row collapsed="" customFormat="false" customHeight="1" hidden="" ht="14" outlineLevel="0" r="393">
      <c r="A393" s="3" t="inlineStr">
        <is>
          <t>387</t>
        </is>
      </c>
      <c r="B393" s="4" t="s">
        <f>=HYPERLINK("http://anyluxury.ru/shop/zonty/trosti/zonttrost-standard-zheltiy-1239380/" , "12393.80 Зонт-трость Standard, желтый")</f>
      </c>
      <c r="C393" s="4" t="n">
        <v>892.00</v>
      </c>
      <c r="D393" s="4"/>
    </row>
    <row collapsed="" customFormat="false" customHeight="1" hidden="" ht="14" outlineLevel="0" r="394">
      <c r="A394" s="3" t="inlineStr">
        <is>
          <t>388</t>
        </is>
      </c>
      <c r="B394" s="4" t="s">
        <f>=HYPERLINK("http://anyluxury.ru/shop/zonty/trosti/zonttrost-standard-zeleniy-1239390/" , "12393.90 Зонт-трость Standard, зеленый")</f>
      </c>
      <c r="C394" s="4" t="n">
        <v>892.00</v>
      </c>
      <c r="D394" s="4"/>
    </row>
    <row collapsed="" customFormat="false" customHeight="1" hidden="" ht="14" outlineLevel="0" r="395">
      <c r="A395" s="3" t="inlineStr">
        <is>
          <t>389</t>
        </is>
      </c>
      <c r="B395" s="4" t="s">
        <f>=HYPERLINK("http://anyluxury.ru/shop/zonty/trosti/zonttrost-standard-zelenoe-yabloko-1239394/" , "12393.94 Зонт-трость Standard, зеленое яблоко")</f>
      </c>
      <c r="C395" s="4" t="n">
        <v>892.00</v>
      </c>
      <c r="D395" s="4"/>
    </row>
    <row collapsed="" customFormat="false" customHeight="1" hidden="" ht="14" outlineLevel="0" r="396">
      <c r="A396" s="3" t="inlineStr">
        <is>
          <t>390</t>
        </is>
      </c>
      <c r="B396" s="4" t="s">
        <f>=HYPERLINK("http://anyluxury.ru/shop/zonty/trosti/zonttrost-s-cvetnimi-spicami-color-style-ver2-zelenoe-yabloko-6471694/" , "64716.94 Зонт-трость с цветными спицами Color Style, зеленое яблоко, с серой ручкой")</f>
      </c>
      <c r="C396" s="4" t="n">
        <v>3492.00</v>
      </c>
      <c r="D396" s="4"/>
    </row>
    <row collapsed="" customFormat="false" customHeight="1" hidden="" ht="14" outlineLevel="0" r="397">
      <c r="A397" s="3" t="inlineStr">
        <is>
          <t>391</t>
        </is>
      </c>
      <c r="B397" s="4" t="s">
        <f>=HYPERLINK("http://anyluxury.ru/shop/zonty/trosti/zonttrost-s-cvetnimi-spicami-color-style-ver2-krasniy-6471650/" , "64716.50 Зонт-трость с цветными спицами Color Style, красный с черной ручкой")</f>
      </c>
      <c r="C397" s="4" t="n">
        <v>3492.00</v>
      </c>
      <c r="D397" s="4"/>
    </row>
    <row collapsed="" customFormat="false" customHeight="1" hidden="" ht="14" outlineLevel="0" r="398">
      <c r="A398" s="3" t="inlineStr">
        <is>
          <t>392</t>
        </is>
      </c>
      <c r="B398" s="4" t="s">
        <f>=HYPERLINK("http://anyluxury.ru/shop/zonty/trosti/zonttrost-s-cvetnimi-spicami-color-style-ver2-siniy-6471640/" , "64716.40 Зонт-трость с цветными спицами Color Style, синий с черной ручкой")</f>
      </c>
      <c r="C398" s="4" t="n">
        <v>3492.00</v>
      </c>
      <c r="D398" s="4"/>
    </row>
    <row collapsed="" customFormat="false" customHeight="1" hidden="" ht="14" outlineLevel="0" r="399">
      <c r="A399" s="3" t="inlineStr">
        <is>
          <t>393</t>
        </is>
      </c>
      <c r="B399" s="4" t="s">
        <f>=HYPERLINK("http://anyluxury.ru/shop/zonty/trosti/zonttrost-s-cvetnimi-spicami-color-style-ver2-yarkosiniy-6471644/" , "64716.44 Зонт-трость с цветными спицами Color Style, ярко-синий")</f>
      </c>
      <c r="C399" s="4" t="n">
        <v>3492.00</v>
      </c>
      <c r="D399" s="4"/>
    </row>
    <row collapsed="" customFormat="false" customHeight="1" hidden="" ht="14" outlineLevel="0" r="400">
      <c r="A400" s="3" t="inlineStr">
        <is>
          <t>394</t>
        </is>
      </c>
      <c r="B400" s="4" t="s">
        <f>=HYPERLINK("http://anyluxury.ru/shop/zonty/trosti/zonttrost-rainvestment-temnosiniy-melanzh-1206240/" , "12062.40 Зонт-трость rainVestment, темно-синий меланж")</f>
      </c>
      <c r="C400" s="4" t="n">
        <v>2331.00</v>
      </c>
      <c r="D400" s="4"/>
    </row>
    <row collapsed="" customFormat="false" customHeight="1" hidden="" ht="14" outlineLevel="0" r="401">
      <c r="A401" s="3" t="inlineStr">
        <is>
          <t>395</t>
        </is>
      </c>
      <c r="B401" s="4" t="s">
        <f>=HYPERLINK("http://anyluxury.ru/shop/zonty/trosti/zonttrost-rainvestment-svetloseriy-melanzh-1206210/" , "12062.10 Зонт-трость rainVestment, светло-серый меланж")</f>
      </c>
      <c r="C401" s="4" t="n">
        <v>2331.00</v>
      </c>
      <c r="D401" s="4"/>
    </row>
    <row collapsed="" customFormat="false" customHeight="1" hidden="" ht="14" outlineLevel="0" r="402">
      <c r="A402" s="3" t="inlineStr">
        <is>
          <t>396</t>
        </is>
      </c>
      <c r="B402" s="4" t="s">
        <f>=HYPERLINK("http://anyluxury.ru/shop/zonty/trosti/zonttrost-charme-siniy-1303644/" , "13036.44 Зонт-трость Charme, синий")</f>
      </c>
      <c r="C402" s="4" t="n">
        <v>1070.00</v>
      </c>
      <c r="D402" s="4"/>
    </row>
    <row collapsed="" customFormat="false" customHeight="1" hidden="" ht="14" outlineLevel="0" r="403">
      <c r="A403" s="3" t="inlineStr">
        <is>
          <t>397</t>
        </is>
      </c>
      <c r="B403" s="4" t="s">
        <f>=HYPERLINK("http://anyluxury.ru/shop/zonty/trosti/zonttrost-charme-krasniy-1303650/" , "13036.50 Зонт-трость Charme, красный")</f>
      </c>
      <c r="C403" s="4" t="n">
        <v>1070.00</v>
      </c>
      <c r="D403" s="4"/>
    </row>
    <row collapsed="" customFormat="false" customHeight="1" hidden="" ht="14" outlineLevel="0" r="404">
      <c r="A404" s="3" t="inlineStr">
        <is>
          <t>398</t>
        </is>
      </c>
      <c r="B404" s="4" t="s">
        <f>=HYPERLINK("http://anyluxury.ru/shop/zonty/trosti/zonttrost-lido-cherniy-1303930/" , "13039.30 Зонт-трость Lido, черный")</f>
      </c>
      <c r="C404" s="4" t="n">
        <v>1015.00</v>
      </c>
      <c r="D404" s="4"/>
    </row>
    <row collapsed="" customFormat="false" customHeight="1" hidden="" ht="14" outlineLevel="0" r="405">
      <c r="A405" s="3" t="inlineStr">
        <is>
          <t>399</t>
        </is>
      </c>
      <c r="B405" s="4" t="s">
        <f>=HYPERLINK("http://anyluxury.ru/shop/zonty/trosti/zonttrost-lido-siniy-1303944/" , "13039.44 Зонт-трость Lido, синий")</f>
      </c>
      <c r="C405" s="4" t="n">
        <v>1015.00</v>
      </c>
      <c r="D405" s="4"/>
    </row>
    <row collapsed="" customFormat="false" customHeight="1" hidden="" ht="14" outlineLevel="0" r="406">
      <c r="A406" s="3" t="inlineStr">
        <is>
          <t>400</t>
        </is>
      </c>
      <c r="B406" s="4" t="s">
        <f>=HYPERLINK("http://anyluxury.ru/shop/zonty/trosti/zonttrost-lido-krasniy-1303950/" , "13039.50 Зонт-трость Lido, красный")</f>
      </c>
      <c r="C406" s="4" t="n">
        <v>1015.00</v>
      </c>
      <c r="D406" s="4"/>
    </row>
    <row collapsed="" customFormat="false" customHeight="1" hidden="" ht="14" outlineLevel="0" r="407">
      <c r="A407" s="3" t="inlineStr">
        <is>
          <t>401</t>
        </is>
      </c>
      <c r="B407" s="4" t="s">
        <f>=HYPERLINK("http://anyluxury.ru/shop/zonty/trosti/zonttrost-lido-oranzheviy-1303920/" , "13039.20 Зонт-трость Lido, оранжевый")</f>
      </c>
      <c r="C407" s="4" t="n">
        <v>1015.00</v>
      </c>
      <c r="D407" s="4"/>
    </row>
    <row collapsed="" customFormat="false" customHeight="1" hidden="" ht="14" outlineLevel="0" r="408">
      <c r="A408" s="3" t="inlineStr">
        <is>
          <t>402</t>
        </is>
      </c>
      <c r="B408" s="4" t="s">
        <f>=HYPERLINK("http://anyluxury.ru/shop/zonty/trosti/zonttrost-lido-temnosiniy-1303940/" , "13039.40 Зонт-трость Lido, темно-синий")</f>
      </c>
      <c r="C408" s="4" t="n">
        <v>1015.00</v>
      </c>
      <c r="D408" s="4"/>
    </row>
    <row collapsed="" customFormat="false" customHeight="1" hidden="" ht="14" outlineLevel="0" r="409">
      <c r="A409" s="3" t="inlineStr">
        <is>
          <t>403</t>
        </is>
      </c>
      <c r="B409" s="4" t="s">
        <f>=HYPERLINK("http://anyluxury.ru/shop/zonty/trosti/zonttrost-zero-xxl-cherniy-1459330/" , "14593.30 Зонт-трость Zero XXL, черный")</f>
      </c>
      <c r="C409" s="4" t="n">
        <v>3890.00</v>
      </c>
      <c r="D409" s="4"/>
    </row>
    <row collapsed="" customFormat="false" customHeight="1" hidden="" ht="14" outlineLevel="0" r="410">
      <c r="A410" s="3" t="inlineStr">
        <is>
          <t>404</t>
        </is>
      </c>
      <c r="B410" s="4" t="s">
        <f>=HYPERLINK("http://anyluxury.ru/shop/zonty/trosti/zonttrost-zero-xxl-temnosiniy-1459340/" , "14593.40 Зонт-трость Zero XXL, темно-синий")</f>
      </c>
      <c r="C410" s="4" t="n">
        <v>3890.00</v>
      </c>
      <c r="D410" s="4"/>
    </row>
    <row collapsed="" customFormat="false" customHeight="1" hidden="" ht="14" outlineLevel="0" r="411">
      <c r="A411" s="3" t="inlineStr">
        <is>
          <t>405</t>
        </is>
      </c>
      <c r="B411" s="4" t="s">
        <f>=HYPERLINK("http://anyluxury.ru/shop/zonty/trosti/zonttrost-zero-xxl-biryuzoviy-1459314/" , "14593.14 Зонт-трость Zero XXL, бирюзовый")</f>
      </c>
      <c r="C411" s="4" t="n">
        <v>3890.00</v>
      </c>
      <c r="D411" s="4"/>
    </row>
    <row collapsed="" customFormat="false" customHeight="1" hidden="" ht="14" outlineLevel="0" r="412">
      <c r="A412" s="3" t="inlineStr">
        <is>
          <t>406</t>
        </is>
      </c>
      <c r="B412" s="4" t="s">
        <f>=HYPERLINK("http://anyluxury.ru/shop/zonty/trosti/zonttrost-zero-xxl-bordoviy-1459355/" , "14593.55 Зонт-трость Zero XXL, бордовый")</f>
      </c>
      <c r="C412" s="4" t="n">
        <v>3890.00</v>
      </c>
      <c r="D412" s="4"/>
    </row>
    <row collapsed="" customFormat="false" customHeight="1" hidden="" ht="14" outlineLevel="0" r="413">
      <c r="A413" s="3" t="inlineStr">
        <is>
          <t>407</t>
        </is>
      </c>
      <c r="B413" s="4" t="s">
        <f>=HYPERLINK("http://anyluxury.ru/shop/zonty/trosti/zonttrost-charme-zheltiy-1303680/" , "13036.80 Зонт-трость Charme, желтый")</f>
      </c>
      <c r="C413" s="4" t="n">
        <v>892.00</v>
      </c>
      <c r="D413" s="4"/>
    </row>
    <row collapsed="" customFormat="false" customHeight="1" hidden="" ht="14" outlineLevel="0" r="414">
      <c r="A414" s="3" t="inlineStr">
        <is>
          <t>408</t>
        </is>
      </c>
      <c r="B414" s="4" t="s">
        <f>=HYPERLINK("http://anyluxury.ru/shop/zonty/trosti/zonttrost-charme-zeleniy-1303690/" , "13036.90 Зонт-трость Charme, зеленый")</f>
      </c>
      <c r="C414" s="4" t="n">
        <v>1070.00</v>
      </c>
      <c r="D414" s="4"/>
    </row>
    <row collapsed="" customFormat="false" customHeight="1" hidden="" ht="14" outlineLevel="0" r="415">
      <c r="A415" s="3" t="inlineStr">
        <is>
          <t>409</t>
        </is>
      </c>
      <c r="B415" s="4" t="s">
        <f>=HYPERLINK("http://anyluxury.ru/shop/zonty/trosti/zonttrost-charme-temnosiniy-1303640/" , "13036.40 Зонт-трость Charme, темно-синий")</f>
      </c>
      <c r="C415" s="4" t="n">
        <v>892.00</v>
      </c>
      <c r="D415" s="4"/>
    </row>
    <row collapsed="" customFormat="false" customHeight="1" hidden="" ht="14" outlineLevel="0" r="416">
      <c r="A416" s="3" t="inlineStr">
        <is>
          <t>410</t>
        </is>
      </c>
      <c r="B416" s="4" t="s">
        <f>=HYPERLINK("http://anyluxury.ru/shop/zonty/trosti/zonttrost-highlight-cherniy-s-rozovim-1303715/" , "13037.15 Зонт-трость Highlight, черный с розовым")</f>
      </c>
      <c r="C416" s="4" t="n">
        <v>1656.00</v>
      </c>
      <c r="D416" s="4"/>
    </row>
    <row collapsed="" customFormat="false" customHeight="1" hidden="" ht="14" outlineLevel="0" r="417">
      <c r="A417" s="3" t="inlineStr">
        <is>
          <t>411</t>
        </is>
      </c>
      <c r="B417" s="4" t="s">
        <f>=HYPERLINK("http://anyluxury.ru/shop/zonty/trosti/zonttrost-highlight-cherniy-s-fioletovim-1303737/" , "13037.37 Зонт-трость Highlight, черный с фиолетовым")</f>
      </c>
      <c r="C417" s="4" t="n">
        <v>1656.00</v>
      </c>
      <c r="D417" s="4"/>
    </row>
    <row collapsed="" customFormat="false" customHeight="1" hidden="" ht="14" outlineLevel="0" r="418">
      <c r="A418" s="3" t="inlineStr">
        <is>
          <t>412</t>
        </is>
      </c>
      <c r="B418" s="4" t="s">
        <f>=HYPERLINK("http://anyluxury.ru/shop/zonty/trosti/zonttrost-highlight-cherniy-s-zelenim-1303739/" , "13037.39 Зонт-трость Highlight, черный с зеленым")</f>
      </c>
      <c r="C418" s="4" t="n">
        <v>1656.00</v>
      </c>
      <c r="D418" s="4"/>
    </row>
    <row collapsed="" customFormat="false" customHeight="1" hidden="" ht="14" outlineLevel="0" r="419">
      <c r="A419" s="3" t="inlineStr">
        <is>
          <t>413</t>
        </is>
      </c>
      <c r="B419" s="4" t="s">
        <f>=HYPERLINK("http://anyluxury.ru/shop/zonty/trosti/zonttrost-milkshake-beliy-s-zheltim-1303868/" , "13038.68 Зонт-трость Milkshake, белый с желтым")</f>
      </c>
      <c r="C419" s="4" t="n">
        <v>945.00</v>
      </c>
      <c r="D419" s="4"/>
    </row>
    <row collapsed="" customFormat="false" customHeight="1" hidden="" ht="14" outlineLevel="0" r="420">
      <c r="A420" s="3" t="inlineStr">
        <is>
          <t>414</t>
        </is>
      </c>
      <c r="B420" s="4" t="s">
        <f>=HYPERLINK("http://anyluxury.ru/shop/zonty/trosti/zonttrost-lido-beliy-1303960/" , "13039.60 Зонт-трость Lido, белый")</f>
      </c>
      <c r="C420" s="4" t="n">
        <v>1015.00</v>
      </c>
      <c r="D420" s="4"/>
    </row>
    <row collapsed="" customFormat="false" customHeight="1" hidden="" ht="14" outlineLevel="0" r="421">
      <c r="A421" s="3" t="inlineStr">
        <is>
          <t>415</t>
        </is>
      </c>
      <c r="B421" s="4" t="s">
        <f>=HYPERLINK("http://anyluxury.ru/shop/zonty/trosti/zonttrost-lido-zheltiy-1303980/" , "13039.80 Зонт-трость Lido, желтый")</f>
      </c>
      <c r="C421" s="4" t="n">
        <v>1015.00</v>
      </c>
      <c r="D421" s="4"/>
    </row>
    <row collapsed="" customFormat="false" customHeight="1" hidden="" ht="14" outlineLevel="0" r="422">
      <c r="A422" s="3" t="inlineStr">
        <is>
          <t>416</t>
        </is>
      </c>
      <c r="B422" s="4" t="s">
        <f>=HYPERLINK("http://anyluxury.ru/shop/zonty/trosti/zonttrost-lido-zeleniy-1303990/" , "13039.90 Зонт-трость Lido, зеленый")</f>
      </c>
      <c r="C422" s="4" t="n">
        <v>1015.00</v>
      </c>
      <c r="D422" s="4"/>
    </row>
    <row collapsed="" customFormat="false" customHeight="1" hidden="" ht="14" outlineLevel="0" r="423">
      <c r="A423" s="3" t="inlineStr">
        <is>
          <t>417</t>
        </is>
      </c>
      <c r="B423" s="4" t="s">
        <f>=HYPERLINK("http://anyluxury.ru/shop/zonty/trosti/zonttrost-downtown-cherniy-s-sinim-1304034/" , "13040.34 Зонт-трость Downtown, черный с синим")</f>
      </c>
      <c r="C423" s="4" t="n">
        <v>2083.00</v>
      </c>
      <c r="D423" s="4"/>
    </row>
    <row collapsed="" customFormat="false" customHeight="1" hidden="" ht="14" outlineLevel="0" r="424">
      <c r="A424" s="3" t="inlineStr">
        <is>
          <t>418</t>
        </is>
      </c>
      <c r="B424" s="4" t="s">
        <f>=HYPERLINK("http://anyluxury.ru/shop/zonty/trosti/zonttrost-downtown-cherniy-s-serim-1304031/" , "13040.31 Зонт-трость Downtown, черный с серым")</f>
      </c>
      <c r="C424" s="4" t="n">
        <v>2083.00</v>
      </c>
      <c r="D424" s="4"/>
    </row>
    <row collapsed="" customFormat="false" customHeight="1" hidden="" ht="14" outlineLevel="0" r="425">
      <c r="A425" s="3" t="inlineStr">
        <is>
          <t>419</t>
        </is>
      </c>
      <c r="B425" s="4" t="s">
        <f>=HYPERLINK("http://anyluxury.ru/shop/zonty/trosti/zonttrost-s-dvoynim-kupolom-cherniy-s-zheltim-1304038/" , "13040.38 Зонт-трость Downtown, черный с желтым")</f>
      </c>
      <c r="C425" s="4" t="n">
        <v>2083.00</v>
      </c>
      <c r="D425" s="4"/>
    </row>
    <row collapsed="" customFormat="false" customHeight="1" hidden="" ht="14" outlineLevel="0" r="426">
      <c r="A426" s="3" t="inlineStr">
        <is>
          <t>420</t>
        </is>
      </c>
      <c r="B426" s="4" t="s">
        <f>=HYPERLINK("http://anyluxury.ru/shop/zonty/trosti/zonttrost-downtown-cherniy-s-zelenim-1304039/" , "13040.39 Зонт-трость Downtown, черный с зеленым")</f>
      </c>
      <c r="C426" s="4" t="n">
        <v>2083.00</v>
      </c>
      <c r="D426" s="4"/>
    </row>
    <row collapsed="" customFormat="false" customHeight="1" hidden="" ht="14" outlineLevel="0" r="427">
      <c r="A427" s="3" t="inlineStr">
        <is>
          <t>421</t>
        </is>
      </c>
      <c r="B427" s="4" t="s">
        <f>=HYPERLINK("http://anyluxury.ru/shop/zonty/trosti/zonttrost-downtown-cherniy-s-zolotistim-1304030/" , "13040.30 Зонт-трость Downtown, черный с золотистым")</f>
      </c>
      <c r="C427" s="4" t="n">
        <v>2083.00</v>
      </c>
      <c r="D427" s="4"/>
    </row>
    <row collapsed="" customFormat="false" customHeight="1" hidden="" ht="14" outlineLevel="0" r="428">
      <c r="A428" s="3" t="inlineStr">
        <is>
          <t>422</t>
        </is>
      </c>
      <c r="B428" s="4" t="s">
        <f>=HYPERLINK("http://anyluxury.ru/shop/zonty/trosti/zonttrost-pulla-siniy-7915640/" , "79156.40 Зонт-трость Pulla, синий")</f>
      </c>
      <c r="C428" s="4" t="n">
        <v>2730.00</v>
      </c>
      <c r="D428" s="4"/>
    </row>
    <row collapsed="" customFormat="false" customHeight="1" hidden="" ht="14" outlineLevel="0" r="429">
      <c r="A429" s="3" t="inlineStr">
        <is>
          <t>423</t>
        </is>
      </c>
      <c r="B429" s="4" t="s">
        <f>=HYPERLINK("http://anyluxury.ru/shop/zonty/trosti/zonttrost-pulla-krasniy-7915650/" , "79156.50 Зонт-трость Pulla, красный")</f>
      </c>
      <c r="C429" s="4" t="n">
        <v>2730.00</v>
      </c>
      <c r="D429" s="4"/>
    </row>
    <row collapsed="" customFormat="false" customHeight="1" hidden="" ht="14" outlineLevel="0" r="430">
      <c r="A430" s="3" t="inlineStr">
        <is>
          <t>424</t>
        </is>
      </c>
      <c r="B430" s="4" t="s">
        <f>=HYPERLINK("http://anyluxury.ru/shop/zonty/trosti/zonttrost-jenna-cherniy-s-zheltim-7913780/" , "79137.80 Зонт-трость Jenna, черный с желтым")</f>
      </c>
      <c r="C430" s="4" t="n">
        <v>1462.00</v>
      </c>
      <c r="D430" s="4"/>
    </row>
    <row collapsed="" customFormat="false" customHeight="1" hidden="" ht="14" outlineLevel="0" r="431">
      <c r="A431" s="3" t="inlineStr">
        <is>
          <t>425</t>
        </is>
      </c>
      <c r="B431" s="4" t="s">
        <f>=HYPERLINK("http://anyluxury.ru/shop/zonty/trosti/zonttrost-jenna-cherniy-s-sinim-7913740/" , "79137.40 Зонт-трость Jenna, черный с синим")</f>
      </c>
      <c r="C431" s="4" t="n">
        <v>1462.00</v>
      </c>
      <c r="D431" s="4"/>
    </row>
    <row collapsed="" customFormat="false" customHeight="1" hidden="" ht="14" outlineLevel="0" r="432">
      <c r="A432" s="3" t="inlineStr">
        <is>
          <t>426</t>
        </is>
      </c>
      <c r="B432" s="4" t="s">
        <f>=HYPERLINK("http://anyluxury.ru/shop/zonty/trosti/zonttrost-jenna-cherniy-s-serim-7913711/" , "79137.11 Зонт-трость Jenna, черный с серым")</f>
      </c>
      <c r="C432" s="4" t="n">
        <v>1462.00</v>
      </c>
      <c r="D432" s="4"/>
    </row>
    <row collapsed="" customFormat="false" customHeight="1" hidden="" ht="14" outlineLevel="0" r="433">
      <c r="A433" s="3" t="inlineStr">
        <is>
          <t>427</t>
        </is>
      </c>
      <c r="B433" s="4" t="s">
        <f>=HYPERLINK("http://anyluxury.ru/shop/zonty/trosti/zonttrost-jenna-cherniy-s-oranzhevim-7913720/" , "79137.20 Зонт-трость Jenna, черный с оранжевым")</f>
      </c>
      <c r="C433" s="4" t="n">
        <v>1462.00</v>
      </c>
      <c r="D433" s="4"/>
    </row>
    <row collapsed="" customFormat="false" customHeight="1" hidden="" ht="14" outlineLevel="0" r="434">
      <c r="A434" s="3" t="inlineStr">
        <is>
          <t>428</t>
        </is>
      </c>
      <c r="B434" s="4" t="s">
        <f>=HYPERLINK("http://anyluxury.ru/shop/zonty/trosti/zonttrost-u900-cherniy-1388530/" , "13885.30 Зонт-трость U.900, черный")</f>
      </c>
      <c r="C434" s="4" t="n">
        <v>8705.00</v>
      </c>
      <c r="D434" s="4"/>
    </row>
    <row collapsed="" customFormat="false" customHeight="1" hidden="" ht="14" outlineLevel="0" r="435">
      <c r="A435" s="3" t="inlineStr">
        <is>
          <t>429</t>
        </is>
      </c>
      <c r="B435" s="4" t="s">
        <f>=HYPERLINK("http://anyluxury.ru/shop/zonty/trosti/zonttrost-u900-siniy-1388540/" , "13885.40 Зонт-трость U.900, синий")</f>
      </c>
      <c r="C435" s="4" t="n">
        <v>8705.00</v>
      </c>
      <c r="D435" s="4"/>
    </row>
    <row collapsed="" customFormat="false" customHeight="1" hidden="" ht="14" outlineLevel="0" r="436">
      <c r="A436" s="3" t="inlineStr">
        <is>
          <t>430</t>
        </is>
      </c>
      <c r="B436" s="4" t="s">
        <f>=HYPERLINK("http://anyluxury.ru/shop/zonty/trosti/zonttrost-u900-krasniy-1388550/" , "13885.50 Зонт-трость U.900, красный")</f>
      </c>
      <c r="C436" s="4" t="n">
        <v>8705.00</v>
      </c>
      <c r="D436" s="4"/>
    </row>
    <row collapsed="" customFormat="false" customHeight="1" hidden="" ht="14" outlineLevel="0" r="437">
      <c r="A437" s="3" t="inlineStr">
        <is>
          <t>431</t>
        </is>
      </c>
      <c r="B437" s="4" t="s">
        <f>=HYPERLINK("http://anyluxury.ru/shop/zonty/trosti/zonttrost-u900-fioletoviy-1388570/" , "13885.70 Зонт-трость U.900, фиолетовый")</f>
      </c>
      <c r="C437" s="4" t="n">
        <v>8705.00</v>
      </c>
      <c r="D437" s="4"/>
    </row>
    <row collapsed="" customFormat="false" customHeight="1" hidden="" ht="14" outlineLevel="0" r="438">
      <c r="A438" s="3" t="inlineStr">
        <is>
          <t>432</t>
        </is>
      </c>
      <c r="B438" s="4" t="s">
        <f>=HYPERLINK("http://anyluxury.ru/shop/zonty/trosti/zonttrost-u900-biryuzoviy-1388514/" , "13885.14 Зонт-трость U.900, бирюзовый")</f>
      </c>
      <c r="C438" s="4" t="n">
        <v>8705.00</v>
      </c>
      <c r="D438" s="4"/>
    </row>
    <row collapsed="" customFormat="false" customHeight="1" hidden="" ht="14" outlineLevel="0" r="439">
      <c r="A439" s="3" t="inlineStr">
        <is>
          <t>433</t>
        </is>
      </c>
      <c r="B439" s="4" t="s">
        <f>=HYPERLINK("http://anyluxury.ru/shop/zonty/trosti/zonttrost-u900-zheltiy-1388580/" , "13885.80 Зонт-трость U.900, желтый")</f>
      </c>
      <c r="C439" s="4" t="n">
        <v>8705.00</v>
      </c>
      <c r="D439" s="4"/>
    </row>
    <row collapsed="" customFormat="false" customHeight="1" hidden="" ht="14" outlineLevel="0" r="440">
      <c r="A440" s="3" t="inlineStr">
        <is>
          <t>434</t>
        </is>
      </c>
      <c r="B440" s="4" t="s">
        <f>=HYPERLINK("http://anyluxury.ru/shop/zonty/trosti/zonttrost-u900-zeleniy-1388590/" , "13885.90 Зонт-трость U.900, зеленый")</f>
      </c>
      <c r="C440" s="4" t="n">
        <v>8705.00</v>
      </c>
      <c r="D440" s="4"/>
    </row>
    <row collapsed="" customFormat="false" customHeight="1" hidden="" ht="14" outlineLevel="0" r="441">
      <c r="A441" s="3" t="inlineStr">
        <is>
          <t>435</t>
        </is>
      </c>
      <c r="B441" s="4" t="s">
        <f>=HYPERLINK("http://anyluxury.ru/shop/zonty/trosti/zonttrost-u900-rozoviy-1388557/" , "13885.57 Зонт-трость U.900, розовый")</f>
      </c>
      <c r="C441" s="4" t="n">
        <v>8705.00</v>
      </c>
      <c r="D441" s="4"/>
    </row>
    <row collapsed="" customFormat="false" customHeight="1" hidden="" ht="14" outlineLevel="0" r="442">
      <c r="A442" s="3" t="inlineStr">
        <is>
          <t>436</t>
        </is>
      </c>
      <c r="B442" s="4" t="s">
        <f>=HYPERLINK("http://anyluxury.ru/shop/zonty/trosti/zonttrost-u900-zelenoe-yabloko-1388594/" , "13885.94 Зонт-трость U.900, зеленое яблоко")</f>
      </c>
      <c r="C442" s="4" t="n">
        <v>8705.00</v>
      </c>
      <c r="D442" s="4"/>
    </row>
    <row collapsed="" customFormat="false" customHeight="1" hidden="" ht="14" outlineLevel="0" r="443">
      <c r="A443" s="3" t="inlineStr">
        <is>
          <t>437</t>
        </is>
      </c>
      <c r="B443" s="4" t="s">
        <f>=HYPERLINK("http://anyluxury.ru/shop/zonty/trosti/zonttrost-u900-cherniy-s-neonovozelenim-1388533/" , "13885.33 Зонт-трость U.900, черный с неоново-зеленым")</f>
      </c>
      <c r="C443" s="4" t="n">
        <v>8705.00</v>
      </c>
      <c r="D443" s="4"/>
    </row>
    <row collapsed="" customFormat="false" customHeight="1" hidden="" ht="14" outlineLevel="0" r="444">
      <c r="A444" s="3" t="inlineStr">
        <is>
          <t>438</t>
        </is>
      </c>
      <c r="B444" s="4" t="s">
        <f>=HYPERLINK("http://anyluxury.ru/shop/zonty/trosti/zonttrost-charme-oranzhneviy-1303620/" , "13036.20 Зонт-трость Charme, оранжевый")</f>
      </c>
      <c r="C444" s="4" t="n">
        <v>892.00</v>
      </c>
      <c r="D444" s="4"/>
    </row>
    <row collapsed="" customFormat="false" customHeight="1" hidden="" ht="14" outlineLevel="0" r="445">
      <c r="A445" s="3" t="inlineStr">
        <is>
          <t>439</t>
        </is>
      </c>
      <c r="B445" s="4" t="s">
        <f>=HYPERLINK("http://anyluxury.ru/shop/zonty/trosti/zonttrost-downtown-cherniy-s-korichnevim-1304032/" , "13040.32 Зонт-трость Downtown, черный с коричневым")</f>
      </c>
      <c r="C445" s="4" t="n">
        <v>2083.00</v>
      </c>
      <c r="D445" s="4"/>
    </row>
    <row collapsed="" customFormat="false" customHeight="1" hidden="" ht="14" outlineLevel="0" r="446">
      <c r="A446" s="3" t="inlineStr">
        <is>
          <t>440</t>
        </is>
      </c>
      <c r="B446" s="4" t="s">
        <f>=HYPERLINK("http://anyluxury.ru/shop/zonty/trosti/avtomaticheskiy-zonttrost-s-bambukovoy-ruchkoy-impact-iz-rpet-aware-23-p850653/" , "P850.653 Автоматический зонт-трость с бамбуковой рукояткой Impact из RPET AWARE™, d103 см ")</f>
      </c>
      <c r="C446" s="4" t="n">
        <v>2303.00</v>
      </c>
      <c r="D446" s="4"/>
    </row>
    <row collapsed="" customFormat="false" customHeight="1" hidden="" ht="14" outlineLevel="0" r="447">
      <c r="A447" s="3" t="inlineStr">
        <is>
          <t>441</t>
        </is>
      </c>
      <c r="B447" s="4" t="s">
        <f>=HYPERLINK("http://anyluxury.ru/shop/zonty/trosti/avtomaticheskiy-zonttrost-impact-iz-rpet-aware-23-p850647/" , "P850.647 Автоматический зонт-трость Impact из RPET AWARE™, d103 см ")</f>
      </c>
      <c r="C447" s="4" t="n">
        <v>1559.00</v>
      </c>
      <c r="D447" s="4"/>
    </row>
    <row collapsed="" customFormat="false" customHeight="1" hidden="" ht="14" outlineLevel="0" r="448">
      <c r="A448" s="3" t="inlineStr">
        <is>
          <t>442</t>
        </is>
      </c>
      <c r="B448" s="4" t="s">
        <f>=HYPERLINK("http://anyluxury.ru/shop/zonty/trosti/avtomaticheskiy-zonttrost-impact-iz-rpet-aware-23-p850642/" , "P850.642 Автоматический зонт-трость Impact из RPET AWARE™, d103 см ")</f>
      </c>
      <c r="C448" s="4" t="n">
        <v>1697.00</v>
      </c>
      <c r="D448" s="4"/>
    </row>
    <row collapsed="" customFormat="false" customHeight="1" hidden="" ht="14" outlineLevel="0" r="449">
      <c r="A449" s="3" t="inlineStr">
        <is>
          <t>443</t>
        </is>
      </c>
      <c r="B449" s="4" t="s">
        <f>=HYPERLINK("http://anyluxury.ru/shop/zonty/trosti/avtomaticheskiy-zonttrost-impact-iz-rpet-aware-23-p850641/" , "P850.641 Автоматический зонт-трость Impact из RPET AWARE™, d103 см ")</f>
      </c>
      <c r="C449" s="4" t="n">
        <v>1772.00</v>
      </c>
      <c r="D449" s="4"/>
    </row>
    <row collapsed="" customFormat="false" customHeight="1" hidden="" ht="14" outlineLevel="0" r="450">
      <c r="A450" s="3" t="inlineStr">
        <is>
          <t>444</t>
        </is>
      </c>
      <c r="B450" s="4" t="s">
        <f>=HYPERLINK("http://anyluxury.ru/shop/zonty/trosti/avtomaticheskiy-zonttrost-impact-iz-rpet-aware-23-p850640/" , "P850.640 Автоматический зонт-трость Impact из RPET AWARE™, d103 см ")</f>
      </c>
      <c r="C450" s="4" t="n">
        <v>1772.00</v>
      </c>
      <c r="D450" s="4"/>
    </row>
    <row collapsed="" customFormat="false" customHeight="1" hidden="" ht="14" outlineLevel="0" r="451">
      <c r="A451" s="3" t="inlineStr">
        <is>
          <t>445</t>
        </is>
      </c>
      <c r="B451" s="4" t="s">
        <f>=HYPERLINK("http://anyluxury.ru/shop/zonty/trosti/zonttrost-manifest-so-svetootrazhayushhim-kupolom-seriy-1333010/" , "13330.10 Зонт-трость Manifest со светоотражающим куполом, серый")</f>
      </c>
      <c r="C451" s="4" t="n">
        <v>2363.00</v>
      </c>
      <c r="D451" s="4"/>
    </row>
    <row collapsed="" customFormat="false" customHeight="1" hidden="" ht="14" outlineLevel="0" r="452">
      <c r="A452" s="3" t="inlineStr">
        <is>
          <t>446</t>
        </is>
      </c>
      <c r="B452" s="4" t="s">
        <f>=HYPERLINK("http://anyluxury.ru/shop/zonty/trosti/zonttrost-torino-siniy-194030030/" , "194030.030 Зонт-трость Torino, синий")</f>
      </c>
      <c r="C452" s="4" t="n">
        <v>2548.00</v>
      </c>
      <c r="D452" s="4"/>
    </row>
    <row collapsed="" customFormat="false" customHeight="1" hidden="" ht="14" outlineLevel="0" r="453">
      <c r="A453" s="3" t="inlineStr">
        <is>
          <t>447</t>
        </is>
      </c>
      <c r="B453" s="4" t="s">
        <f>=HYPERLINK("http://anyluxury.ru/shop/zonty/trosti/zonttrost-torino-cherniy-194030010/" , "194030.010 Зонт-трость Torino, черный")</f>
      </c>
      <c r="C453" s="4" t="n">
        <v>2548.00</v>
      </c>
      <c r="D453" s="4"/>
    </row>
    <row collapsed="" customFormat="false" customHeight="1" hidden="" ht="14" outlineLevel="0" r="454">
      <c r="A454" s="3" t="inlineStr">
        <is>
          <t>448</t>
        </is>
      </c>
      <c r="B454" s="4" t="s">
        <f>=HYPERLINK("http://anyluxury.ru/shop/zonty/trosti/zonttrost-lanzer-zheltiy-1356380/" , "13563.80 Зонт-трость Lanzer, желтый")</f>
      </c>
      <c r="C454" s="4" t="n">
        <v>1803.00</v>
      </c>
      <c r="D454" s="4"/>
    </row>
    <row collapsed="" customFormat="false" customHeight="1" hidden="" ht="14" outlineLevel="0" r="455">
      <c r="A455" s="3" t="inlineStr">
        <is>
          <t>449</t>
        </is>
      </c>
      <c r="B455" s="4" t="s">
        <f>=HYPERLINK("http://anyluxury.ru/shop/zonty/trosti/zonttrost-lanzer-seriy-1356311/" , "13563.11 Зонт-трость Lanzer, серый")</f>
      </c>
      <c r="C455" s="4" t="n">
        <v>1803.00</v>
      </c>
      <c r="D455" s="4"/>
    </row>
    <row collapsed="" customFormat="false" customHeight="1" hidden="" ht="14" outlineLevel="0" r="456">
      <c r="A456" s="3" t="inlineStr">
        <is>
          <t>450</t>
        </is>
      </c>
      <c r="B456" s="4" t="s">
        <f>=HYPERLINK("http://anyluxury.ru/shop/zonty/trosti/zonttrost-lanzer-svetlozeleniy-1356391/" , "13563.91 Зонт-трость Lanzer, светло-зеленый")</f>
      </c>
      <c r="C456" s="4" t="n">
        <v>1803.00</v>
      </c>
      <c r="D456" s="4"/>
    </row>
    <row collapsed="" customFormat="false" customHeight="1" hidden="" ht="14" outlineLevel="0" r="457">
      <c r="A457" s="3" t="inlineStr">
        <is>
          <t>451</t>
        </is>
      </c>
      <c r="B457" s="4" t="s">
        <f>=HYPERLINK("http://anyluxury.ru/shop/zonty/trosti/zonttrost-lanzer-temnosiniy-1356340/" , "13563.40 Зонт-трость Lanzer, темно-синий")</f>
      </c>
      <c r="C457" s="4" t="n">
        <v>1803.00</v>
      </c>
      <c r="D457" s="4"/>
    </row>
    <row collapsed="" customFormat="false" customHeight="1" hidden="" ht="14" outlineLevel="0" r="458">
      <c r="A458" s="3" t="inlineStr">
        <is>
          <t>452</t>
        </is>
      </c>
      <c r="B458" s="4" t="s">
        <f>=HYPERLINK("http://anyluxury.ru/shop/zonty/trosti/zonttrost-lanzer-oranzheviy-1356320/" , "13563.20 Зонт-трость Lanzer, оранжевый")</f>
      </c>
      <c r="C458" s="4" t="n">
        <v>1803.00</v>
      </c>
      <c r="D458" s="4"/>
    </row>
    <row collapsed="" customFormat="false" customHeight="1" hidden="" ht="14" outlineLevel="0" r="459">
      <c r="A459" s="3" t="inlineStr">
        <is>
          <t>453</t>
        </is>
      </c>
      <c r="B459" s="4" t="s">
        <f>=HYPERLINK("http://anyluxury.ru/shop/zonty/trosti/zonttrost-lanzer-biryuzoviy-1356341/" , "13563.41 Зонт-трость Lanzer, бирюзовый")</f>
      </c>
      <c r="C459" s="4" t="n">
        <v>1803.00</v>
      </c>
      <c r="D459" s="4"/>
    </row>
    <row collapsed="" customFormat="false" customHeight="1" hidden="" ht="14" outlineLevel="0" r="460">
      <c r="A460" s="3" t="inlineStr">
        <is>
          <t>454</t>
        </is>
      </c>
      <c r="B460" s="4" t="s">
        <f>=HYPERLINK("http://anyluxury.ru/shop/zonty/trosti/zonttrost-lanzer-krasniy-1356350/" , "13563.50 Зонт-трость Lanzer, красный")</f>
      </c>
      <c r="C460" s="4" t="n">
        <v>1803.00</v>
      </c>
      <c r="D460" s="4"/>
    </row>
    <row collapsed="" customFormat="false" customHeight="1" hidden="" ht="14" outlineLevel="0" r="461">
      <c r="A461" s="3" t="inlineStr">
        <is>
          <t>455</t>
        </is>
      </c>
      <c r="B461" s="4" t="s">
        <f>=HYPERLINK("http://anyluxury.ru/shop/zonty/trosti/zonttrost-lanzer-cherniy-1356330/" , "13563.30 Зонт-трость Lanzer, черный")</f>
      </c>
      <c r="C461" s="4" t="n">
        <v>1803.00</v>
      </c>
      <c r="D461" s="4"/>
    </row>
    <row collapsed="" customFormat="false" customHeight="1" hidden="" ht="14" outlineLevel="0" r="462">
      <c r="A462" s="3" t="inlineStr">
        <is>
          <t>456</t>
        </is>
      </c>
      <c r="B462" s="4" t="s">
        <f>=HYPERLINK("http://anyluxury.ru/shop/zonty/trosti/zonttrost-lanzer-beliy-1356360/" , "13563.60 Зонт-трость Lanzer, белый")</f>
      </c>
      <c r="C462" s="4" t="n">
        <v>1803.00</v>
      </c>
      <c r="D462" s="4"/>
    </row>
    <row collapsed="" customFormat="false" customHeight="1" hidden="" ht="14" outlineLevel="0" r="463">
      <c r="A463" s="3" t="inlineStr">
        <is>
          <t>457</t>
        </is>
      </c>
      <c r="B463" s="4" t="s">
        <f>=HYPERLINK("http://anyluxury.ru/shop/zonty/trosti/zonttrost-okobrella-seriy-1356411/" , "13564.11 Зонт-трость OkoBrella, серый")</f>
      </c>
      <c r="C463" s="4" t="n">
        <v>2143.00</v>
      </c>
      <c r="D463" s="4"/>
    </row>
    <row collapsed="" customFormat="false" customHeight="1" hidden="" ht="14" outlineLevel="0" r="464">
      <c r="A464" s="3" t="inlineStr">
        <is>
          <t>458</t>
        </is>
      </c>
      <c r="B464" s="4" t="s">
        <f>=HYPERLINK("http://anyluxury.ru/shop/zonty/trosti/zonttrost-okobrella-zelenoe-yabloko-1356491/" , "13564.91 Зонт-трость OkoBrella, зеленое яблоко")</f>
      </c>
      <c r="C464" s="4" t="n">
        <v>2143.00</v>
      </c>
      <c r="D464" s="4"/>
    </row>
    <row collapsed="" customFormat="false" customHeight="1" hidden="" ht="14" outlineLevel="0" r="465">
      <c r="A465" s="3" t="inlineStr">
        <is>
          <t>459</t>
        </is>
      </c>
      <c r="B465" s="4" t="s">
        <f>=HYPERLINK("http://anyluxury.ru/shop/zonty/trosti/zonttrost-okobrella-temnosiniy-1356440/" , "13564.40 Зонт-трость OkoBrella, темно-синий")</f>
      </c>
      <c r="C465" s="4" t="n">
        <v>2143.00</v>
      </c>
      <c r="D465" s="4"/>
    </row>
    <row collapsed="" customFormat="false" customHeight="1" hidden="" ht="14" outlineLevel="0" r="466">
      <c r="A466" s="3" t="inlineStr">
        <is>
          <t>460</t>
        </is>
      </c>
      <c r="B466" s="4" t="s">
        <f>=HYPERLINK("http://anyluxury.ru/shop/zonty/trosti/zonttrost-okobrella-krasniy-1356450/" , "13564.50 Зонт-трость OkoBrella, красный")</f>
      </c>
      <c r="C466" s="4" t="n">
        <v>2143.00</v>
      </c>
      <c r="D466" s="4"/>
    </row>
    <row collapsed="" customFormat="false" customHeight="1" hidden="" ht="14" outlineLevel="0" r="467">
      <c r="A467" s="3" t="inlineStr">
        <is>
          <t>461</t>
        </is>
      </c>
      <c r="B467" s="4" t="s">
        <f>=HYPERLINK("http://anyluxury.ru/shop/zonty/trosti/zonttrost-okobrella-beliy-1356460/" , "13564.60 Зонт-трость OkoBrella, белый")</f>
      </c>
      <c r="C467" s="4" t="n">
        <v>2143.00</v>
      </c>
      <c r="D467" s="4"/>
    </row>
    <row collapsed="" customFormat="false" customHeight="1" hidden="" ht="14" outlineLevel="0" r="468">
      <c r="A468" s="3" t="inlineStr">
        <is>
          <t>462</t>
        </is>
      </c>
      <c r="B468" s="4" t="s">
        <f>=HYPERLINK("http://anyluxury.ru/shop/zonty/trosti/zonttrost-lockwood-ver2-seriy-1356511/" , "13565.11 Зонт-трость LockWood, серый")</f>
      </c>
      <c r="C468" s="4" t="n">
        <v>2185.00</v>
      </c>
      <c r="D468" s="4"/>
    </row>
    <row collapsed="" customFormat="false" customHeight="1" hidden="" ht="14" outlineLevel="0" r="469">
      <c r="A469" s="3" t="inlineStr">
        <is>
          <t>463</t>
        </is>
      </c>
      <c r="B469" s="4" t="s">
        <f>=HYPERLINK("http://anyluxury.ru/shop/zonty/trosti/zonttrost-lockwood-ver2-zeleniy-1356590/" , "13565.90 Зонт-трость LockWood, зеленый")</f>
      </c>
      <c r="C469" s="4" t="n">
        <v>2185.00</v>
      </c>
      <c r="D469" s="4"/>
    </row>
    <row collapsed="" customFormat="false" customHeight="1" hidden="" ht="14" outlineLevel="0" r="470">
      <c r="A470" s="3" t="inlineStr">
        <is>
          <t>464</t>
        </is>
      </c>
      <c r="B470" s="4" t="s">
        <f>=HYPERLINK("http://anyluxury.ru/shop/zonty/trosti/zonttrost-lockwood-ver2-temnosiniy-1356540/" , "13565.40 Зонт-трость LockWood, темно-синий")</f>
      </c>
      <c r="C470" s="4" t="n">
        <v>2185.00</v>
      </c>
      <c r="D470" s="4"/>
    </row>
    <row collapsed="" customFormat="false" customHeight="1" hidden="" ht="14" outlineLevel="0" r="471">
      <c r="A471" s="3" t="inlineStr">
        <is>
          <t>465</t>
        </is>
      </c>
      <c r="B471" s="4" t="s">
        <f>=HYPERLINK("http://anyluxury.ru/shop/zonty/trosti/zonttrost-lockwood-ver2-cherniy-1356530/" , "13565.30 Зонт-трость LockWood, черный")</f>
      </c>
      <c r="C471" s="4" t="n">
        <v>2185.00</v>
      </c>
      <c r="D471" s="4"/>
    </row>
    <row collapsed="" customFormat="false" customHeight="1" hidden="" ht="14" outlineLevel="0" r="472">
      <c r="A472" s="3" t="inlineStr">
        <is>
          <t>466</t>
        </is>
      </c>
      <c r="B472" s="4" t="s">
        <f>=HYPERLINK("http://anyluxury.ru/shop/zonty/trosti/zonttrost-fashion-rozoviy-1356657/" , "13566.57 Зонт-трость Fashion, розовый")</f>
      </c>
      <c r="C472" s="4" t="n">
        <v>2612.00</v>
      </c>
      <c r="D472" s="4"/>
    </row>
    <row collapsed="" customFormat="false" customHeight="1" hidden="" ht="14" outlineLevel="0" r="473">
      <c r="A473" s="3" t="inlineStr">
        <is>
          <t>467</t>
        </is>
      </c>
      <c r="B473" s="4" t="s">
        <f>=HYPERLINK("http://anyluxury.ru/shop/zonty/trosti/zonttrost-fashion-korichneviy-1356655/" , "13566.55 Зонт-трость Fashion, коричневый")</f>
      </c>
      <c r="C473" s="4" t="n">
        <v>2612.00</v>
      </c>
      <c r="D473" s="4"/>
    </row>
    <row collapsed="" customFormat="false" customHeight="1" hidden="" ht="14" outlineLevel="0" r="474">
      <c r="A474" s="3" t="inlineStr">
        <is>
          <t>468</t>
        </is>
      </c>
      <c r="B474" s="4" t="s">
        <f>=HYPERLINK("http://anyluxury.ru/shop/zonty/trosti/zonttrost-fashion-krasniy-1356650/" , "13566.50 Зонт-трость Fashion, красный")</f>
      </c>
      <c r="C474" s="4" t="n">
        <v>2612.00</v>
      </c>
      <c r="D474" s="4"/>
    </row>
    <row collapsed="" customFormat="false" customHeight="1" hidden="" ht="14" outlineLevel="0" r="475">
      <c r="A475" s="3" t="inlineStr">
        <is>
          <t>469</t>
        </is>
      </c>
      <c r="B475" s="4" t="s">
        <f>=HYPERLINK("http://anyluxury.ru/shop/zonty/trosti/zonttrost-vento-siniy-1356744/" , "13567.44 Зонт-трость Vento, синий")</f>
      </c>
      <c r="C475" s="4" t="n">
        <v>2441.00</v>
      </c>
      <c r="D475" s="4"/>
    </row>
    <row collapsed="" customFormat="false" customHeight="1" hidden="" ht="14" outlineLevel="0" r="476">
      <c r="A476" s="3" t="inlineStr">
        <is>
          <t>470</t>
        </is>
      </c>
      <c r="B476" s="4" t="s">
        <f>=HYPERLINK("http://anyluxury.ru/shop/zonty/trosti/zonttrost-vento-zelenoe-yabloko-1356791/" , "13567.91 Зонт-трость Vento, зеленое яблоко")</f>
      </c>
      <c r="C476" s="4" t="n">
        <v>2354.00</v>
      </c>
      <c r="D476" s="4"/>
    </row>
    <row collapsed="" customFormat="false" customHeight="1" hidden="" ht="14" outlineLevel="0" r="477">
      <c r="A477" s="3" t="inlineStr">
        <is>
          <t>471</t>
        </is>
      </c>
      <c r="B477" s="4" t="s">
        <f>=HYPERLINK("http://anyluxury.ru/shop/zonty/trosti/zonttrost-vento-temnosiniy-1356740/" , "13567.40 Зонт-трость Vento, темно-синий")</f>
      </c>
      <c r="C477" s="4" t="n">
        <v>2441.00</v>
      </c>
      <c r="D477" s="4"/>
    </row>
    <row collapsed="" customFormat="false" customHeight="1" hidden="" ht="14" outlineLevel="0" r="478">
      <c r="A478" s="3" t="inlineStr">
        <is>
          <t>472</t>
        </is>
      </c>
      <c r="B478" s="4" t="s">
        <f>=HYPERLINK("http://anyluxury.ru/shop/zonty/trosti/zonttrost-vento-krasniy-1356750/" , "13567.50 Зонт-трость Vento, красный")</f>
      </c>
      <c r="C478" s="4" t="n">
        <v>2441.00</v>
      </c>
      <c r="D478" s="4"/>
    </row>
    <row collapsed="" customFormat="false" customHeight="1" hidden="" ht="14" outlineLevel="0" r="479">
      <c r="A479" s="3" t="inlineStr">
        <is>
          <t>473</t>
        </is>
      </c>
      <c r="B479" s="4" t="s">
        <f>=HYPERLINK("http://anyluxury.ru/shop/zonty/trosti/zonttrost-vento-cherniy-1356730/" , "13567.30 Зонт-трость Vento, черный")</f>
      </c>
      <c r="C479" s="4" t="n">
        <v>2441.00</v>
      </c>
      <c r="D479" s="4"/>
    </row>
    <row collapsed="" customFormat="false" customHeight="1" hidden="" ht="14" outlineLevel="0" r="480">
      <c r="A480" s="3" t="inlineStr">
        <is>
          <t>474</t>
        </is>
      </c>
      <c r="B480" s="4" t="s">
        <f>=HYPERLINK("http://anyluxury.ru/shop/zonty/trosti/zonttrost-vento-beliy-1356760/" , "13567.60 Зонт-трость Vento, белый")</f>
      </c>
      <c r="C480" s="4" t="n">
        <v>2354.00</v>
      </c>
      <c r="D480" s="4"/>
    </row>
    <row collapsed="" customFormat="false" customHeight="1" hidden="" ht="14" outlineLevel="0" r="481">
      <c r="A481" s="3" t="inlineStr">
        <is>
          <t>475</t>
        </is>
      </c>
      <c r="B481" s="4" t="s">
        <f>=HYPERLINK("http://anyluxury.ru/shop/zonty/trosti/zonttrost-seam-goluboy-1356841/" , "13568.41 Зонт-трость Seam, голубой")</f>
      </c>
      <c r="C481" s="4" t="n">
        <v>3061.00</v>
      </c>
      <c r="D481" s="4"/>
    </row>
    <row collapsed="" customFormat="false" customHeight="1" hidden="" ht="14" outlineLevel="0" r="482">
      <c r="A482" s="3" t="inlineStr">
        <is>
          <t>476</t>
        </is>
      </c>
      <c r="B482" s="4" t="s">
        <f>=HYPERLINK("http://anyluxury.ru/shop/zonty/trosti/zonttrost-seam-siniy-1356840/" , "13568.40 Зонт-трость Seam, синий")</f>
      </c>
      <c r="C482" s="4" t="n">
        <v>3061.00</v>
      </c>
      <c r="D482" s="4"/>
    </row>
    <row collapsed="" customFormat="false" customHeight="1" hidden="" ht="14" outlineLevel="0" r="483">
      <c r="A483" s="3" t="inlineStr">
        <is>
          <t>477</t>
        </is>
      </c>
      <c r="B483" s="4" t="s">
        <f>=HYPERLINK("http://anyluxury.ru/shop/zonty/trosti/zonttrost-seam-zheltiy-1356880/" , "13568.80 Зонт-трость Seam, желтый")</f>
      </c>
      <c r="C483" s="4" t="n">
        <v>3061.00</v>
      </c>
      <c r="D483" s="4"/>
    </row>
    <row collapsed="" customFormat="false" customHeight="1" hidden="" ht="14" outlineLevel="0" r="484">
      <c r="A484" s="3" t="inlineStr">
        <is>
          <t>478</t>
        </is>
      </c>
      <c r="B484" s="4" t="s">
        <f>=HYPERLINK("http://anyluxury.ru/shop/zonty/trosti/zonttrost-seam-svetloseriy-1356811/" , "13568.11 Зонт-трость Seam, светло-серый")</f>
      </c>
      <c r="C484" s="4" t="n">
        <v>3061.00</v>
      </c>
      <c r="D484" s="4"/>
    </row>
    <row collapsed="" customFormat="false" customHeight="1" hidden="" ht="14" outlineLevel="0" r="485">
      <c r="A485" s="3" t="inlineStr">
        <is>
          <t>479</t>
        </is>
      </c>
      <c r="B485" s="4" t="s">
        <f>=HYPERLINK("http://anyluxury.ru/shop/zonty/trosti/zonttrost-seam-zelenoe-yabloko-1356891/" , "13568.91 Зонт-трость Seam, зеленое яблоко")</f>
      </c>
      <c r="C485" s="4" t="n">
        <v>3061.00</v>
      </c>
      <c r="D485" s="4"/>
    </row>
    <row collapsed="" customFormat="false" customHeight="1" hidden="" ht="14" outlineLevel="0" r="486">
      <c r="A486" s="3" t="inlineStr">
        <is>
          <t>480</t>
        </is>
      </c>
      <c r="B486" s="4" t="s">
        <f>=HYPERLINK("http://anyluxury.ru/shop/zonty/trosti/zonttrost-seam-oranzheviy-1356820/" , "13568.20 Зонт-трость Seam, оранжевый")</f>
      </c>
      <c r="C486" s="4" t="n">
        <v>3061.00</v>
      </c>
      <c r="D486" s="4"/>
    </row>
    <row collapsed="" customFormat="false" customHeight="1" hidden="" ht="14" outlineLevel="0" r="487">
      <c r="A487" s="3" t="inlineStr">
        <is>
          <t>481</t>
        </is>
      </c>
      <c r="B487" s="4" t="s">
        <f>=HYPERLINK("http://anyluxury.ru/shop/zonty/trosti/zonttrost-seam-krasniy-1356850/" , "13568.50 Зонт-трость Seam, красный")</f>
      </c>
      <c r="C487" s="4" t="n">
        <v>3061.00</v>
      </c>
      <c r="D487" s="4"/>
    </row>
    <row collapsed="" customFormat="false" customHeight="1" hidden="" ht="14" outlineLevel="0" r="488">
      <c r="A488" s="3" t="inlineStr">
        <is>
          <t>482</t>
        </is>
      </c>
      <c r="B488" s="4" t="s">
        <f>=HYPERLINK("http://anyluxury.ru/shop/zonty/trosti/zonttrost-s-cvetnimi-spicami-color-style-zheltiy-6471680/" , "64716.80 Зонт-трость с цветными спицами Color Style, желтый")</f>
      </c>
      <c r="C488" s="4" t="n">
        <v>3492.00</v>
      </c>
      <c r="D488" s="4"/>
    </row>
    <row collapsed="" customFormat="false" customHeight="1" hidden="" ht="14" outlineLevel="0" r="489">
      <c r="A489" s="3" t="inlineStr">
        <is>
          <t>483</t>
        </is>
      </c>
      <c r="B489" s="4" t="s">
        <f>=HYPERLINK("http://anyluxury.ru/shop/zonty/trosti/zonttrost-s-cvetnimi-spicami-color-style-seriy-6471611/" , "64716.11 Зонт-трость с цветными спицами Color Style, серый")</f>
      </c>
      <c r="C489" s="4" t="n">
        <v>3492.00</v>
      </c>
      <c r="D489" s="4"/>
    </row>
    <row collapsed="" customFormat="false" customHeight="1" hidden="" ht="14" outlineLevel="0" r="490">
      <c r="A490" s="3" t="inlineStr">
        <is>
          <t>484</t>
        </is>
      </c>
      <c r="B490" s="4" t="s">
        <f>=HYPERLINK("http://anyluxury.ru/shop/zonty/trosti/zonttrost-s-cvetnimi-spicami-color-style-oranzheviy-6471620/" , "64716.20 Зонт-трость с цветными спицами Color Style, оранжевый")</f>
      </c>
      <c r="C490" s="4" t="n">
        <v>3492.00</v>
      </c>
      <c r="D490" s="4"/>
    </row>
    <row collapsed="" customFormat="false" customHeight="1" hidden="" ht="14" outlineLevel="0" r="491">
      <c r="A491" s="3" t="inlineStr">
        <is>
          <t>485</t>
        </is>
      </c>
      <c r="B491" s="4" t="s">
        <f>=HYPERLINK("http://anyluxury.ru/shop/zonty/trosti/zonttrost-s-cvetnimi-spicami-color-style-biryuzoviy-6471641/" , "64716.41 Зонт-трость с цветными спицами Color Style, бирюзовый")</f>
      </c>
      <c r="C491" s="4" t="n">
        <v>3492.00</v>
      </c>
      <c r="D491" s="4"/>
    </row>
    <row collapsed="" customFormat="false" customHeight="1" hidden="" ht="14" outlineLevel="0" r="492">
      <c r="A492" s="3" t="inlineStr">
        <is>
          <t>486</t>
        </is>
      </c>
      <c r="B492" s="4" t="s">
        <f>=HYPERLINK("http://anyluxury.ru/shop/zonty/trosti/zonttrost-s-cvetnimi-spicami-color-style-beliy-6471660/" , "64716.60 Зонт-трость с цветными спицами Color Style, белый")</f>
      </c>
      <c r="C492" s="4" t="n">
        <v>3492.00</v>
      </c>
      <c r="D492" s="4"/>
    </row>
    <row collapsed="" customFormat="false" customHeight="1" hidden="" ht="14" outlineLevel="0" r="493">
      <c r="A493" s="3" t="inlineStr">
        <is>
          <t>487</t>
        </is>
      </c>
      <c r="B493" s="4" t="s">
        <f>=HYPERLINK("http://anyluxury.ru/shop/zonty/trosti/zontantishtorm-impact-iz-rpet-aware-30-p850695/" , "P850.695 Зонт-антишторм Impact из RPET AWARE™, d130 см ")</f>
      </c>
      <c r="C493" s="4" t="n">
        <v>2834.00</v>
      </c>
      <c r="D493" s="4"/>
    </row>
    <row collapsed="" customFormat="false" customHeight="1" hidden="" ht="14" outlineLevel="0" r="494">
      <c r="A494" s="3" t="inlineStr">
        <is>
          <t>488</t>
        </is>
      </c>
      <c r="B494" s="4" t="s">
        <f>=HYPERLINK("http://anyluxury.ru/shop/zonty/trosti/zontantishtorm-impact-iz-rpet-aware-30-p850693/" , "P850.693 Зонт-антишторм Impact из RPET AWARE™, d130 см ")</f>
      </c>
      <c r="C494" s="4" t="n">
        <v>2834.00</v>
      </c>
      <c r="D494" s="4"/>
    </row>
    <row collapsed="" customFormat="false" customHeight="1" hidden="" ht="14" outlineLevel="0" r="495">
      <c r="A495" s="3" t="inlineStr">
        <is>
          <t>489</t>
        </is>
      </c>
      <c r="B495" s="4" t="s">
        <f>=HYPERLINK("http://anyluxury.ru/shop/zonty/trosti/dvuhcvetniy-plotniy-zont-impact-iz-rpet-aware-s-avtomaticheskim-otkrivaniem-27-p850675/" , "P850.675 Двухцветный плотный зонт Impact из RPET AWARE™ с автоматическим открыванием, d120 см")</f>
      </c>
      <c r="C495" s="4" t="n">
        <v>2899.00</v>
      </c>
      <c r="D495" s="4"/>
    </row>
    <row collapsed="" customFormat="false" customHeight="1" hidden="" ht="14" outlineLevel="0" r="496">
      <c r="A496" s="3" t="inlineStr">
        <is>
          <t>490</t>
        </is>
      </c>
      <c r="B496" s="4" t="s">
        <f>=HYPERLINK("http://anyluxury.ru/shop/zonty/trosti/dvuhcvetniy-plotniy-zont-impact-iz-rpet-aware-s-avtomaticheskim-otkrivaniem-27-p850672/" , "P850.672 Двухцветный плотный зонт Impact из RPET AWARE™ с автоматическим открыванием, d120 см")</f>
      </c>
      <c r="C496" s="4" t="n">
        <v>2899.00</v>
      </c>
      <c r="D496" s="4"/>
    </row>
    <row collapsed="" customFormat="false" customHeight="1" hidden="" ht="14" outlineLevel="0" r="497">
      <c r="A497" s="3" t="inlineStr">
        <is>
          <t>491</t>
        </is>
      </c>
      <c r="B497" s="4" t="s">
        <f>=HYPERLINK("http://anyluxury.ru/shop/zonty/trosti/plotniy-zont-impact-iz-rpet-aware-s-avtomaticheskim-otkrivaniem-27-p850665/" , "P850.665 Плотный зонт Impact из RPET AWARE™ с автоматическим открыванием, d120 см")</f>
      </c>
      <c r="C497" s="4" t="n">
        <v>2659.00</v>
      </c>
      <c r="D497" s="4"/>
    </row>
    <row collapsed="" customFormat="false" customHeight="1" hidden="" ht="14" outlineLevel="0" r="498">
      <c r="A498" s="3" t="inlineStr">
        <is>
          <t>492</t>
        </is>
      </c>
      <c r="B498" s="4" t="s">
        <f>=HYPERLINK("http://anyluxury.ru/shop/zonty/trosti/plotniy-zont-impact-iz-rpet-aware-s-avtomaticheskim-otkrivaniem-27-p850664/" , "P850.664 Плотный зонт Impact из RPET AWARE™ с автоматическим открыванием, d120 см")</f>
      </c>
      <c r="C498" s="4" t="n">
        <v>2659.00</v>
      </c>
      <c r="D498" s="4"/>
    </row>
    <row collapsed="" customFormat="false" customHeight="1" hidden="" ht="14" outlineLevel="0" r="499">
      <c r="A499" s="3" t="inlineStr">
        <is>
          <t>493</t>
        </is>
      </c>
      <c r="B499" s="4" t="s">
        <f>=HYPERLINK("http://anyluxury.ru/shop/zonty/trosti/plotniy-zont-impact-iz-rpet-aware-s-avtomaticheskim-otkrivaniem-27-p850663/" , "P850.663 Плотный зонт Impact из RPET AWARE™ с автоматическим открыванием, d120 см")</f>
      </c>
      <c r="C499" s="4" t="n">
        <v>2659.00</v>
      </c>
      <c r="D499" s="4"/>
    </row>
    <row collapsed="" customFormat="false" customHeight="1" hidden="" ht="14" outlineLevel="0" r="500">
      <c r="A500" s="3" t="inlineStr">
        <is>
          <t>494</t>
        </is>
      </c>
      <c r="B500" s="4" t="s">
        <f>=HYPERLINK("http://anyluxury.ru/shop/zonty/trosti/plotniy-zont-impact-iz-rpet-aware-s-avtomaticheskim-otkrivaniem-27-p850662/" , "P850.662 Плотный зонт Impact из RPET AWARE™ с автоматическим открыванием, d120 см")</f>
      </c>
      <c r="C500" s="4" t="n">
        <v>2459.00</v>
      </c>
      <c r="D500" s="4"/>
    </row>
    <row collapsed="" customFormat="false" customHeight="1" hidden="" ht="14" outlineLevel="0" r="501">
      <c r="A501" s="3" t="inlineStr">
        <is>
          <t>495</t>
        </is>
      </c>
      <c r="B501" s="4" t="s">
        <f>=HYPERLINK("http://anyluxury.ru/shop/zonty/trosti/plotniy-zont-impact-iz-rpet-aware-s-avtomaticheskim-otkrivaniem-27-p850661/" , "P850.661 Плотный зонт Impact из RPET AWARE™ с автоматическим открыванием, d120 см")</f>
      </c>
      <c r="C501" s="4" t="n">
        <v>2659.00</v>
      </c>
      <c r="D501" s="4"/>
    </row>
    <row collapsed="" customFormat="false" customHeight="1" hidden="" ht="14" outlineLevel="0" r="502">
      <c r="A502" s="3" t="inlineStr">
        <is>
          <t>496</t>
        </is>
      </c>
      <c r="B502" s="4" t="s">
        <f>=HYPERLINK("http://anyluxury.ru/shop/zonty/trosti/kompaktniy-zont-impact-iz-rpet-aware-s-bambukovoy-ruchkoy-205-p850575/" , "P850.575 Компактный зонт Impact из RPET AWARE™ с бамбуковой рукояткой, d96 см ")</f>
      </c>
      <c r="C502" s="4" t="n">
        <v>1513.00</v>
      </c>
      <c r="D502" s="4"/>
    </row>
    <row collapsed="" customFormat="false" customHeight="1" hidden="" ht="14" outlineLevel="0" r="503">
      <c r="A503" s="3" t="inlineStr">
        <is>
          <t>497</t>
        </is>
      </c>
      <c r="B503" s="4" t="s">
        <f>=HYPERLINK("http://anyluxury.ru/shop/zonty/trosti/kompaktniy-zont-impact-iz-rpet-aware-s-bambukovoy-ruchkoy-205-p850574/" , "P850.574 Компактный зонт Impact из RPET AWARE™ с бамбуковой рукояткой, d96 см ")</f>
      </c>
      <c r="C503" s="4" t="n">
        <v>1449.00</v>
      </c>
      <c r="D503" s="4"/>
    </row>
    <row collapsed="" customFormat="false" customHeight="1" hidden="" ht="14" outlineLevel="0" r="504">
      <c r="A504" s="3" t="inlineStr">
        <is>
          <t>498</t>
        </is>
      </c>
      <c r="B504" s="4" t="s">
        <f>=HYPERLINK("http://anyluxury.ru/shop/zonty/trosti/kompaktniy-zont-impact-iz-rpet-aware-s-bambukovoy-ruchkoy-205-p850573/" , "P850.573 Компактный зонт Impact из RPET AWARE™ с бамбуковой рукояткой, d96 см ")</f>
      </c>
      <c r="C504" s="4" t="n">
        <v>1513.00</v>
      </c>
      <c r="D504" s="4"/>
    </row>
    <row collapsed="" customFormat="false" customHeight="1" hidden="" ht="14" outlineLevel="0" r="505">
      <c r="A505" s="3" t="inlineStr">
        <is>
          <t>499</t>
        </is>
      </c>
      <c r="B505" s="4" t="s">
        <f>=HYPERLINK("http://anyluxury.ru/shop/zonty/trosti/kompaktniy-zont-impact-iz-rpet-aware-s-bambukovoy-ruchkoy-205-p850572/" , "P850.572 Компактный зонт Impact из RPET AWARE™ с бамбуковой рукояткой, d96 см ")</f>
      </c>
      <c r="C505" s="4" t="n">
        <v>1513.00</v>
      </c>
      <c r="D505" s="4"/>
    </row>
    <row collapsed="" customFormat="false" customHeight="1" hidden="" ht="14" outlineLevel="0" r="506">
      <c r="A506" s="3" t="inlineStr">
        <is>
          <t>500</t>
        </is>
      </c>
      <c r="B506" s="4" t="s">
        <f>=HYPERLINK("http://anyluxury.ru/shop/zonty/trosti/kompaktniy-zont-impact-iz-rpet-aware-s-bambukovoy-ruchkoy-205-p850571/" , "P850.571 Компактный зонт Impact из RPET AWARE™ с бамбуковой рукояткой, d96 см ")</f>
      </c>
      <c r="C506" s="4" t="n">
        <v>1513.00</v>
      </c>
      <c r="D506" s="4"/>
    </row>
    <row collapsed="" customFormat="false" customHeight="1" hidden="" ht="14" outlineLevel="0" r="507">
      <c r="A507" s="3" t="inlineStr">
        <is>
          <t>501</t>
        </is>
      </c>
      <c r="B507" s="4" t="s">
        <f>=HYPERLINK("http://anyluxury.ru/shop/zonty/trosti/zontantishtorm-impact-iz-rpet-aware-23-p850627/" , "P850.627 Зонт-антишторм Impact из RPET AWARE™, d103 см ")</f>
      </c>
      <c r="C507" s="4" t="n">
        <v>1772.00</v>
      </c>
      <c r="D507" s="4"/>
    </row>
    <row collapsed="" customFormat="false" customHeight="1" hidden="" ht="14" outlineLevel="0" r="508">
      <c r="A508" s="3" t="inlineStr">
        <is>
          <t>502</t>
        </is>
      </c>
      <c r="B508" s="4" t="s">
        <f>=HYPERLINK("http://anyluxury.ru/shop/zonty/trosti/zontantishtorm-impact-iz-rpet-aware-23-p850622/" , "P850.622 Зонт-антишторм Impact из RPET AWARE™, d103 см ")</f>
      </c>
      <c r="C508" s="4" t="n">
        <v>1772.00</v>
      </c>
      <c r="D508" s="4"/>
    </row>
    <row collapsed="" customFormat="false" customHeight="1" hidden="" ht="14" outlineLevel="0" r="509">
      <c r="A509" s="3" t="inlineStr">
        <is>
          <t>503</t>
        </is>
      </c>
      <c r="B509" s="4" t="s">
        <f>=HYPERLINK("http://anyluxury.ru/shop/zonty/trosti/zontantishtorm-impact-iz-rpet-aware-190t-27-p850685/" , "P850.685 Зонт-антишторм Impact из RPET AWARE™ 190T, d120 см")</f>
      </c>
      <c r="C509" s="4" t="n">
        <v>2834.00</v>
      </c>
      <c r="D509" s="4"/>
    </row>
    <row collapsed="" customFormat="false" customHeight="1" hidden="" ht="14" outlineLevel="0" r="510">
      <c r="A510" s="3" t="inlineStr">
        <is>
          <t>504</t>
        </is>
      </c>
      <c r="B510" s="4" t="s">
        <f>=HYPERLINK("http://anyluxury.ru/shop/zonty/trosti/zontantishtorm-impact-iz-rpet-aware-190t-27-p850684/" , "P850.684 Зонт-антишторм Impact из RPET AWARE™ 190T, d120 см")</f>
      </c>
      <c r="C510" s="4" t="n">
        <v>2834.00</v>
      </c>
      <c r="D510" s="4"/>
    </row>
    <row collapsed="" customFormat="false" customHeight="1" hidden="" ht="14" outlineLevel="0" r="511">
      <c r="A511" s="3" t="inlineStr">
        <is>
          <t>505</t>
        </is>
      </c>
      <c r="B511" s="4" t="s">
        <f>=HYPERLINK("http://anyluxury.ru/shop/zonty/trosti/dvustoronniy-zont-impact-iz-rpet-aware-190t-23-p850635/" , "P850.635 Двусторонний зонт Impact из RPET AWARE™ 190T, d105 см")</f>
      </c>
      <c r="C511" s="4" t="n">
        <v>3197.00</v>
      </c>
      <c r="D511" s="4"/>
    </row>
    <row collapsed="" customFormat="false" customHeight="1" hidden="" ht="14" outlineLevel="0" r="512">
      <c r="A512" s="3" t="inlineStr">
        <is>
          <t>506</t>
        </is>
      </c>
      <c r="B512" s="4" t="s">
        <f>=HYPERLINK("http://anyluxury.ru/shop/zonty/trosti/dvustoronniy-zont-impact-iz-rpet-aware-190t-23-p850632/" , "P850.632 Двусторонний зонт Impact из RPET AWARE™ 190T, d105 см")</f>
      </c>
      <c r="C512" s="4" t="n">
        <v>3197.00</v>
      </c>
      <c r="D512" s="4"/>
    </row>
    <row collapsed="" customFormat="false" customHeight="1" hidden="" ht="14" outlineLevel="0" r="513">
      <c r="A513" s="3" t="inlineStr">
        <is>
          <t>507</t>
        </is>
      </c>
      <c r="B513" s="4" t="s">
        <f>=HYPERLINK("http://anyluxury.ru/shop/zonty/trosti/avtomaticheskiy-zont-impact-iz-rpet-aware-s-bambukovoy-ruchkoy-d94-sm-p850612/" , "P850.612 Автоматический зонт Impact из RPET AWARE™ с бамбуковой рукояткой, d94 см")</f>
      </c>
      <c r="C513" s="4" t="n">
        <v>2844.00</v>
      </c>
      <c r="D513" s="4"/>
    </row>
    <row collapsed="" customFormat="false" customHeight="1" hidden="" ht="14" outlineLevel="0" r="514">
      <c r="A514" s="3" t="inlineStr">
        <is>
          <t>508</t>
        </is>
      </c>
      <c r="B514" s="4" t="s">
        <f>=HYPERLINK("http://anyluxury.ru/shop/zonty/trosti/zonttrost-dune-siniy-212020030/" , "212020.030 Зонт-трость Dune, синий")</f>
      </c>
      <c r="C514" s="4" t="n">
        <v>2360.00</v>
      </c>
      <c r="D514" s="4"/>
    </row>
    <row collapsed="" customFormat="false" customHeight="1" hidden="" ht="14" outlineLevel="0" r="515">
      <c r="A515" s="3" t="inlineStr">
        <is>
          <t>509</t>
        </is>
      </c>
      <c r="B515" s="4" t="s">
        <f>=HYPERLINK("http://anyluxury.ru/shop/zonty/trosti/zonttrost-dune-cherniy-212020010/" , "212020.010 Зонт-трость Dune, черный")</f>
      </c>
      <c r="C515" s="4" t="n">
        <v>2360.00</v>
      </c>
      <c r="D515" s="4"/>
    </row>
    <row collapsed="" customFormat="false" customHeight="1" hidden="" ht="14" outlineLevel="0" r="516">
      <c r="A516" s="3" t="inlineStr">
        <is>
          <t>510</t>
        </is>
      </c>
      <c r="B516" s="4" t="s">
        <f>=HYPERLINK("http://anyluxury.ru/shop/zonty/trosti/zonttrost-bora-cherniy-212019010/" , "212019.010 Зонт-трость Bora, черный")</f>
      </c>
      <c r="C516" s="4" t="n">
        <v>2360.00</v>
      </c>
      <c r="D516" s="4"/>
    </row>
    <row collapsed="" customFormat="false" customHeight="1" hidden="" ht="14" outlineLevel="0" r="517">
      <c r="A517" s="3" t="inlineStr">
        <is>
          <t>511</t>
        </is>
      </c>
      <c r="B517" s="4" t="s">
        <f>=HYPERLINK("http://anyluxury.ru/shop/zonty/trosti/zonttrost-polka-dot-7139631/" , "71396.31 Зонт-трость Polka Dot")</f>
      </c>
      <c r="C517" s="4" t="n">
        <v>1890.00</v>
      </c>
      <c r="D517" s="4"/>
    </row>
    <row collapsed="" customFormat="false" customHeight="1" hidden="" ht="14" outlineLevel="0" r="518">
      <c r="A518" s="3" t="inlineStr">
        <is>
          <t>512</t>
        </is>
      </c>
      <c r="B518" s="4" t="s">
        <f>=HYPERLINK("http://anyluxury.ru/shop/zonty/trosti/zonttrost-tiedye-7139632/" , "71396.32 Зонт-трость Tie-Dye")</f>
      </c>
      <c r="C518" s="4" t="n">
        <v>1890.00</v>
      </c>
      <c r="D518" s="4"/>
    </row>
    <row collapsed="" customFormat="false" customHeight="1" hidden="" ht="14" outlineLevel="0" r="519">
      <c r="A519" s="3" t="inlineStr">
        <is>
          <t>513</t>
        </is>
      </c>
      <c r="B519" s="4" t="s">
        <f>=HYPERLINK("http://anyluxury.ru/shop/zonty/trosti/zonttrost-letterain-7139633/" , "71396.33 Зонт-трость Letterain")</f>
      </c>
      <c r="C519" s="4" t="n">
        <v>1890.00</v>
      </c>
      <c r="D519" s="4"/>
    </row>
    <row collapsed="" customFormat="false" customHeight="1" hidden="" ht="14" outlineLevel="0" r="520">
      <c r="A520" s="3" t="inlineStr">
        <is>
          <t>514</t>
        </is>
      </c>
      <c r="B520" s="4" t="s">
        <f>=HYPERLINK("http://anyluxury.ru/shop/zonty/trosti/zonttrost-terrazzo-7139634/" , "71396.34 Зонт-трость Terrazzo")</f>
      </c>
      <c r="C520" s="4" t="n">
        <v>1890.00</v>
      </c>
      <c r="D520" s="4"/>
    </row>
    <row collapsed="" customFormat="false" customHeight="1" hidden="" ht="14" outlineLevel="0" r="521">
      <c r="A521" s="3" t="inlineStr">
        <is>
          <t>515</t>
        </is>
      </c>
      <c r="B521" s="4" t="s">
        <f>=HYPERLINK("http://anyluxury.ru/shop/zonty/trosti/zonttrost-muertos-7139635/" , "71396.35 Зонт-трость Muertos")</f>
      </c>
      <c r="C521" s="4" t="n">
        <v>1890.00</v>
      </c>
      <c r="D521" s="4"/>
    </row>
    <row collapsed="" customFormat="false" customHeight="1" hidden="" ht="14" outlineLevel="0" r="522">
      <c r="A522" s="3" t="inlineStr">
        <is>
          <t>516</t>
        </is>
      </c>
      <c r="B522" s="4" t="s">
        <f>=HYPERLINK("http://anyluxury.ru/shop/zonty/trosti/zonttrost-pink-marble-7139636/" , "71396.36 Зонт-трость Pink Marble")</f>
      </c>
      <c r="C522" s="4" t="n">
        <v>1890.00</v>
      </c>
      <c r="D522" s="4"/>
    </row>
    <row collapsed="" customFormat="false" customHeight="1" hidden="" ht="14" outlineLevel="0" r="523">
      <c r="A523" s="3" t="inlineStr">
        <is>
          <t>517</t>
        </is>
      </c>
      <c r="B523" s="4" t="s">
        <f>=HYPERLINK("http://anyluxury.ru/shop/zonty/trosti/zonttrost-trend-golf-ac-siniy-1503140/" , "15031.40 Зонт-трость Trend Golf AC, голубой")</f>
      </c>
      <c r="C523" s="4" t="n">
        <v>1847.00</v>
      </c>
      <c r="D523" s="4"/>
    </row>
    <row collapsed="" customFormat="false" customHeight="1" hidden="" ht="14" outlineLevel="0" r="524">
      <c r="A524" s="3" t="inlineStr">
        <is>
          <t>518</t>
        </is>
      </c>
      <c r="B524" s="4" t="s">
        <f>=HYPERLINK("http://anyluxury.ru/shop/zonty/trosti/zonttrost-trend-golf-ac-seriy-1503111/" , "15031.11 Зонт-трость Trend Golf AC, серый")</f>
      </c>
      <c r="C524" s="4" t="n">
        <v>1847.00</v>
      </c>
      <c r="D524" s="4"/>
    </row>
    <row collapsed="" customFormat="false" customHeight="1" hidden="" ht="14" outlineLevel="0" r="525">
      <c r="A525" s="3" t="inlineStr">
        <is>
          <t>519</t>
        </is>
      </c>
      <c r="B525" s="4" t="s">
        <f>=HYPERLINK("http://anyluxury.ru/shop/zonty/trosti/zonttrost-trend-golf-ac-krasniy-1503150/" , "15031.50 Зонт-трость Trend Golf AC, красный")</f>
      </c>
      <c r="C525" s="4" t="n">
        <v>1847.00</v>
      </c>
      <c r="D525" s="4"/>
    </row>
    <row collapsed="" customFormat="false" customHeight="1" hidden="" ht="14" outlineLevel="0" r="526">
      <c r="A526" s="3" t="inlineStr">
        <is>
          <t>520</t>
        </is>
      </c>
      <c r="B526" s="4" t="s">
        <f>=HYPERLINK("http://anyluxury.ru/shop/zonty/trosti/zonttrost-trend-golf-ac-cherniy-1503130/" , "15031.30 Зонт-трость Trend Golf AC, черный")</f>
      </c>
      <c r="C526" s="4" t="n">
        <v>1847.00</v>
      </c>
      <c r="D526" s="4"/>
    </row>
    <row collapsed="" customFormat="false" customHeight="1" hidden="" ht="14" outlineLevel="0" r="527">
      <c r="A527" s="3" t="inlineStr">
        <is>
          <t>521</t>
        </is>
      </c>
      <c r="B527" s="4" t="s">
        <f>=HYPERLINK("http://anyluxury.ru/shop/zonty/trosti/zonttrost-hit-golf-cherniy-1503530/" , "15035.30 Зонт-трость Hit Golf, черный")</f>
      </c>
      <c r="C527" s="4" t="n">
        <v>2341.00</v>
      </c>
      <c r="D527" s="4"/>
    </row>
    <row collapsed="" customFormat="false" customHeight="1" hidden="" ht="14" outlineLevel="0" r="528">
      <c r="A528" s="3" t="inlineStr">
        <is>
          <t>522</t>
        </is>
      </c>
      <c r="B528" s="4" t="s">
        <f>=HYPERLINK("http://anyluxury.ru/shop/zonty/trosti/zonttrost-hit-golf-temnosiniy-1503543/" , "15035.43 Зонт-трость Hit Golf, темно-синий")</f>
      </c>
      <c r="C528" s="4" t="n">
        <v>2341.00</v>
      </c>
      <c r="D528" s="4"/>
    </row>
    <row collapsed="" customFormat="false" customHeight="1" hidden="" ht="14" outlineLevel="0" r="529">
      <c r="A529" s="3" t="inlineStr">
        <is>
          <t>523</t>
        </is>
      </c>
      <c r="B529" s="4" t="s">
        <f>=HYPERLINK("http://anyluxury.ru/shop/zonty/trosti/zonttrost-nature-stick-ac-seriy-1503811/" , "15038.11 Зонт-трость Nature Stick AC, серый")</f>
      </c>
      <c r="C529" s="4" t="n">
        <v>3521.00</v>
      </c>
      <c r="D529" s="4"/>
    </row>
    <row collapsed="" customFormat="false" customHeight="1" hidden="" ht="14" outlineLevel="0" r="530">
      <c r="A530" s="3" t="inlineStr">
        <is>
          <t>524</t>
        </is>
      </c>
      <c r="B530" s="4" t="s">
        <f>=HYPERLINK("http://anyluxury.ru/shop/zonty/trosti/zonttrost-nature-stick-ac-siniy-1503840/" , "15038.40 Зонт-трость Nature Stick AC, синий")</f>
      </c>
      <c r="C530" s="4" t="n">
        <v>3521.00</v>
      </c>
      <c r="D530" s="4"/>
    </row>
    <row collapsed="" customFormat="false" customHeight="1" hidden="" ht="14" outlineLevel="0" r="531">
      <c r="A531" s="3" t="inlineStr">
        <is>
          <t>525</t>
        </is>
      </c>
      <c r="B531" s="4" t="s">
        <f>=HYPERLINK("http://anyluxury.ru/shop/zonty/trosti/zonttrost-nature-stick-ac-zeleniy-1503890/" , "15038.90 Зонт-трость Nature Stick AC, зеленый")</f>
      </c>
      <c r="C531" s="4" t="n">
        <v>3521.00</v>
      </c>
      <c r="D531" s="4"/>
    </row>
    <row collapsed="" customFormat="false" customHeight="1" hidden="" ht="14" outlineLevel="0" r="532">
      <c r="A532" s="3" t="inlineStr">
        <is>
          <t>526</t>
        </is>
      </c>
      <c r="B532" s="4" t="s">
        <f>=HYPERLINK("http://anyluxury.ru/shop/zonty/trosti/zonttrost-nature-stick-ac-cherniy-1503830/" , "15038.30 Зонт-трость Nature Stick AC, черный")</f>
      </c>
      <c r="C532" s="4" t="n">
        <v>3521.00</v>
      </c>
      <c r="D532" s="4"/>
    </row>
    <row collapsed="" customFormat="false" customHeight="1" hidden="" ht="14" outlineLevel="0" r="533">
      <c r="A533" s="3" t="inlineStr">
        <is>
          <t>527</t>
        </is>
      </c>
      <c r="B533" s="4" t="s">
        <f>=HYPERLINK("http://anyluxury.ru/shop/zonty/trosti/zonttrost-nature-golf-automatic-seriy-1503911/" , "15039.11 Зонт-трость Nature Golf Automatic, серый")</f>
      </c>
      <c r="C533" s="4" t="n">
        <v>3691.00</v>
      </c>
      <c r="D533" s="4"/>
    </row>
    <row collapsed="" customFormat="false" customHeight="1" hidden="" ht="14" outlineLevel="0" r="534">
      <c r="A534" s="3" t="inlineStr">
        <is>
          <t>528</t>
        </is>
      </c>
      <c r="B534" s="4" t="s">
        <f>=HYPERLINK("http://anyluxury.ru/shop/zonty/trosti/zonttrost-nature-golf-automatic-siniy-1503940/" , "15039.40 Зонт-трость Nature Golf Automatic, синий")</f>
      </c>
      <c r="C534" s="4" t="n">
        <v>3691.00</v>
      </c>
      <c r="D534" s="4"/>
    </row>
    <row collapsed="" customFormat="false" customHeight="1" hidden="" ht="14" outlineLevel="0" r="535">
      <c r="A535" s="3" t="inlineStr">
        <is>
          <t>529</t>
        </is>
      </c>
      <c r="B535" s="4" t="s">
        <f>=HYPERLINK("http://anyluxury.ru/shop/zonty/trosti/zonttrost-nature-golf-automatic-zeleniy-1503990/" , "15039.90 Зонт-трость Nature Golf Automatic, зеленый")</f>
      </c>
      <c r="C535" s="4" t="n">
        <v>3691.00</v>
      </c>
      <c r="D535" s="4"/>
    </row>
    <row collapsed="" customFormat="false" customHeight="1" hidden="" ht="14" outlineLevel="0" r="536">
      <c r="A536" s="3" t="inlineStr">
        <is>
          <t>530</t>
        </is>
      </c>
      <c r="B536" s="4" t="s">
        <f>=HYPERLINK("http://anyluxury.ru/shop/zonty/trosti/zonttrost-nature-golf-automatic-cherniy-1503930/" , "15039.30 Зонт-трость Nature Golf Automatic, черный")</f>
      </c>
      <c r="C536" s="4" t="n">
        <v>3691.00</v>
      </c>
      <c r="D536" s="4"/>
    </row>
    <row collapsed="" customFormat="false" customHeight="1" hidden="" ht="14" outlineLevel="0" r="537">
      <c r="A537" s="3" t="inlineStr">
        <is>
          <t>531</t>
        </is>
      </c>
      <c r="B537" s="4" t="s">
        <f>=HYPERLINK("http://anyluxury.ru/shop/zonty/trosti/plotniy-zont-impact-iz-rpet-aware-s-avtomaticheskim-otkrivaniem-d120-sm-p850667/" , "P850.667 Плотный зонт Impact из RPET AWARE™ с автоматическим открыванием, d120 см")</f>
      </c>
      <c r="C537" s="4" t="n">
        <v>2659.00</v>
      </c>
      <c r="D537" s="4"/>
    </row>
    <row collapsed="" customFormat="false" customHeight="1" hidden="" ht="14" outlineLevel="0" r="538">
      <c r="A538" s="3" t="inlineStr">
        <is>
          <t>532</t>
        </is>
      </c>
      <c r="B538" s="4" t="s">
        <f>=HYPERLINK("http://anyluxury.ru/shop/zonty/trosti/avtomaticheskiy-zonttrost-s-bambukovoy-rukoyatkoy-impact-iz-rpet-aware-d103-sm-p850657/" , "P850.657 Автоматический зонт-трость с бамбуковой рукояткой Impact из RPET AWARE™, d103 см")</f>
      </c>
      <c r="C538" s="4" t="n">
        <v>2303.00</v>
      </c>
      <c r="D538" s="4"/>
    </row>
    <row collapsed="" customFormat="false" customHeight="1" hidden="" ht="14" outlineLevel="0" r="539">
      <c r="A539" s="3" t="inlineStr">
        <is>
          <t>533</t>
        </is>
      </c>
      <c r="B539" s="4" t="s">
        <f>=HYPERLINK("http://anyluxury.ru/shop/zonty/trosti/avtomaticheskiy-zont-impact-iz-rpet-aware-s-bambukovoy-rukoyatkoy-d94-sm-p850577/" , "P850.577 Компактный зонт Impact из RPET AWARE™ с бамбуковой рукояткой, d96 см ")</f>
      </c>
      <c r="C539" s="4" t="n">
        <v>1513.00</v>
      </c>
      <c r="D539" s="4"/>
    </row>
    <row collapsed="" customFormat="false" customHeight="1" hidden="" ht="14" outlineLevel="0" r="540">
      <c r="A540" s="3" t="inlineStr">
        <is>
          <t>534</t>
        </is>
      </c>
      <c r="B540" s="4" t="s">
        <f>=HYPERLINK("http://anyluxury.ru/shop/zonty/trosti/zonttrost-wind-serebristiy-1598010/" , "15980.10 Зонт-трость Wind, серебристый")</f>
      </c>
      <c r="C540" s="4" t="n">
        <v>1531.00</v>
      </c>
      <c r="D540" s="4"/>
    </row>
    <row collapsed="" customFormat="false" customHeight="1" hidden="" ht="14" outlineLevel="0" r="541">
      <c r="A541" s="3" t="inlineStr">
        <is>
          <t>535</t>
        </is>
      </c>
      <c r="B541" s="4" t="s">
        <f>=HYPERLINK("http://anyluxury.ru/shop/zonty/trosti/zonttrost-wind-cherniy-1598030/" , "15980.30 Зонт-трость Wind, черный")</f>
      </c>
      <c r="C541" s="4" t="n">
        <v>1530.00</v>
      </c>
      <c r="D541" s="4"/>
    </row>
    <row collapsed="" customFormat="false" customHeight="1" hidden="" ht="14" outlineLevel="0" r="542">
      <c r="A542" s="3" t="inlineStr">
        <is>
          <t>536</t>
        </is>
      </c>
      <c r="B542" s="4" t="s">
        <f>=HYPERLINK("http://anyluxury.ru/shop/zonty/trosti/zonttrost-wind-siniy-1598040/" , "15980.40 Зонт-трость Wind, темно-синий")</f>
      </c>
      <c r="C542" s="4" t="n">
        <v>1530.00</v>
      </c>
      <c r="D542" s="4"/>
    </row>
    <row collapsed="" customFormat="false" customHeight="1" hidden="" ht="14" outlineLevel="0" r="543">
      <c r="A543" s="3" t="inlineStr">
        <is>
          <t>537</t>
        </is>
      </c>
      <c r="B543" s="4" t="s">
        <f>=HYPERLINK("http://anyluxury.ru/shop/zonty/trosti/zont-naoborot-style-trost-cherniy-1598130/" , "15981.30 Зонт наоборот Style, трость, черный")</f>
      </c>
      <c r="C543" s="4" t="n">
        <v>2063.00</v>
      </c>
      <c r="D543" s="4"/>
    </row>
    <row collapsed="" customFormat="false" customHeight="1" hidden="" ht="14" outlineLevel="0" r="544">
      <c r="A544" s="3" t="inlineStr">
        <is>
          <t>538</t>
        </is>
      </c>
      <c r="B544" s="4" t="s">
        <f>=HYPERLINK("http://anyluxury.ru/shop/zonty/trosti/zont-naoborot-style-trost-sinegoluboy-1598140/" , "15981.40 Зонт наоборот Style, трость, сине-голубой")</f>
      </c>
      <c r="C544" s="4" t="n">
        <v>2063.00</v>
      </c>
      <c r="D544" s="4"/>
    </row>
    <row collapsed="" customFormat="false" customHeight="1" hidden="" ht="14" outlineLevel="0" r="545">
      <c r="A545" s="3" t="inlineStr">
        <is>
          <t>539</t>
        </is>
      </c>
      <c r="B545" s="4" t="s">
        <f>=HYPERLINK("http://anyluxury.ru/shop/zonty/trosti/zont-naoborot-style-trost-temnosiniy-1598144/" , "15981.44 Зонт наоборот Style, трость, темно-синий")</f>
      </c>
      <c r="C545" s="4" t="n">
        <v>2063.00</v>
      </c>
      <c r="D545" s="4"/>
    </row>
    <row collapsed="" customFormat="false" customHeight="1" hidden="" ht="14" outlineLevel="0" r="546">
      <c r="A546" s="3" t="inlineStr">
        <is>
          <t>540</t>
        </is>
      </c>
      <c r="B546" s="4" t="s">
        <f>=HYPERLINK("http://anyluxury.ru/shop/zonty/trosti/zont-naoborot-style-trost-sinekrasniy-1598145/" , "15981.45 Зонт наоборот Style, трость, сине-красный")</f>
      </c>
      <c r="C546" s="4" t="n">
        <v>2063.00</v>
      </c>
      <c r="D546" s="4"/>
    </row>
    <row collapsed="" customFormat="false" customHeight="1" hidden="" ht="14" outlineLevel="0" r="547">
      <c r="A547" s="3" t="inlineStr">
        <is>
          <t>541</t>
        </is>
      </c>
      <c r="B547" s="4" t="s">
        <f>=HYPERLINK("http://anyluxury.ru/shop/zonty/trosti/zonttrost-promo-goluboy-1731414/" , "17314.14 Зонт-трость Promo, голубой")</f>
      </c>
      <c r="C547" s="4" t="n">
        <v>695.00</v>
      </c>
      <c r="D547" s="4"/>
    </row>
    <row collapsed="" customFormat="false" customHeight="1" hidden="" ht="14" outlineLevel="0" r="548">
      <c r="A548" s="3" t="inlineStr">
        <is>
          <t>542</t>
        </is>
      </c>
      <c r="B548" s="4" t="s">
        <f>=HYPERLINK("http://anyluxury.ru/shop/zonty/trosti/zonttrost-promo-oranzheviy-1731420/" , "17314.20 Зонт-трость Promo, оранжевый")</f>
      </c>
      <c r="C548" s="4" t="n">
        <v>695.00</v>
      </c>
      <c r="D548" s="4"/>
    </row>
    <row collapsed="" customFormat="false" customHeight="1" hidden="" ht="14" outlineLevel="0" r="549">
      <c r="A549" s="3" t="inlineStr">
        <is>
          <t>543</t>
        </is>
      </c>
      <c r="B549" s="4" t="s">
        <f>=HYPERLINK("http://anyluxury.ru/shop/zonty/trosti/zonttrost-promo-cherniy-1731430/" , "17314.30 Зонт-трость Promo, черный")</f>
      </c>
      <c r="C549" s="4" t="n">
        <v>695.00</v>
      </c>
      <c r="D549" s="4"/>
    </row>
    <row collapsed="" customFormat="false" customHeight="1" hidden="" ht="14" outlineLevel="0" r="550">
      <c r="A550" s="3" t="inlineStr">
        <is>
          <t>544</t>
        </is>
      </c>
      <c r="B550" s="4" t="s">
        <f>=HYPERLINK("http://anyluxury.ru/shop/zonty/trosti/zonttrost-promo-siniy-1731440/" , "17314.40 Зонт-трость Promo, синий")</f>
      </c>
      <c r="C550" s="4" t="n">
        <v>695.00</v>
      </c>
      <c r="D550" s="4"/>
    </row>
    <row collapsed="" customFormat="false" customHeight="1" hidden="" ht="14" outlineLevel="0" r="551">
      <c r="A551" s="3" t="inlineStr">
        <is>
          <t>545</t>
        </is>
      </c>
      <c r="B551" s="4" t="s">
        <f>=HYPERLINK("http://anyluxury.ru/shop/zonty/trosti/zonttrost-promo-temnosiniy-1731443/" , "17314.43 Зонт-трость Promo, темно-синий")</f>
      </c>
      <c r="C551" s="4" t="n">
        <v>695.00</v>
      </c>
      <c r="D551" s="4"/>
    </row>
    <row collapsed="" customFormat="false" customHeight="1" hidden="" ht="14" outlineLevel="0" r="552">
      <c r="A552" s="3" t="inlineStr">
        <is>
          <t>546</t>
        </is>
      </c>
      <c r="B552" s="4" t="s">
        <f>=HYPERLINK("http://anyluxury.ru/shop/zonty/trosti/zonttrost-promo-krasniy-1731450/" , "17314.50 Зонт-трость Promo, красный")</f>
      </c>
      <c r="C552" s="4" t="n">
        <v>695.00</v>
      </c>
      <c r="D552" s="4"/>
    </row>
    <row collapsed="" customFormat="false" customHeight="1" hidden="" ht="14" outlineLevel="0" r="553">
      <c r="A553" s="3" t="inlineStr">
        <is>
          <t>547</t>
        </is>
      </c>
      <c r="B553" s="4" t="s">
        <f>=HYPERLINK("http://anyluxury.ru/shop/zonty/trosti/zonttrost-promo-beliy-1731466/" , "17314.66 Зонт-трость Promo, белый")</f>
      </c>
      <c r="C553" s="4" t="n">
        <v>695.00</v>
      </c>
      <c r="D553" s="4"/>
    </row>
    <row collapsed="" customFormat="false" customHeight="1" hidden="" ht="14" outlineLevel="0" r="554">
      <c r="A554" s="3" t="inlineStr">
        <is>
          <t>548</t>
        </is>
      </c>
      <c r="B554" s="4" t="s">
        <f>=HYPERLINK("http://anyluxury.ru/shop/zonty/trosti/zonttrost-promo-zheltiy-1731480/" , "17314.80 Зонт-трость Promo, желтый")</f>
      </c>
      <c r="C554" s="4" t="n">
        <v>695.00</v>
      </c>
      <c r="D554" s="4"/>
    </row>
    <row collapsed="" customFormat="false" customHeight="1" hidden="" ht="14" outlineLevel="0" r="555">
      <c r="A555" s="3" t="inlineStr">
        <is>
          <t>549</t>
        </is>
      </c>
      <c r="B555" s="4" t="s">
        <f>=HYPERLINK("http://anyluxury.ru/shop/zonty/trosti/zonttrost-promo-zeleniy-1731490/" , "17314.90 Зонт-трость Promo, зеленый")</f>
      </c>
      <c r="C555" s="4" t="n">
        <v>695.00</v>
      </c>
      <c r="D555" s="4"/>
    </row>
    <row collapsed="" customFormat="false" customHeight="1" hidden="" ht="14" outlineLevel="0" r="556">
      <c r="A556" s="3" t="inlineStr">
        <is>
          <t>550</t>
        </is>
      </c>
      <c r="B556" s="4" t="s">
        <f>=HYPERLINK("http://anyluxury.ru/shop/zonty/trosti/zonttrost-promo-temnozeleniy-1731493/" , "17314.93 Зонт-трость Promo, темно-зеленый")</f>
      </c>
      <c r="C556" s="4" t="n">
        <v>695.00</v>
      </c>
      <c r="D556" s="4"/>
    </row>
    <row collapsed="" customFormat="false" customHeight="1" hidden="" ht="14" outlineLevel="0" r="557">
      <c r="A557" s="3" t="inlineStr">
        <is>
          <t>551</t>
        </is>
      </c>
      <c r="B557" s="4" t="s">
        <f>=HYPERLINK("http://anyluxury.ru/shop/zonty/trosti/zonttrost-svetootrazhayushhiy-reflect-cherniy-1731930/" , "17319.30 Зонт-трость светоотражающий Reflect, черный")</f>
      </c>
      <c r="C557" s="4" t="n">
        <v>1483.00</v>
      </c>
      <c r="D557" s="4"/>
    </row>
    <row collapsed="" customFormat="false" customHeight="1" hidden="" ht="14" outlineLevel="0" r="558">
      <c r="A558" s="3" t="inlineStr">
        <is>
          <t>552</t>
        </is>
      </c>
      <c r="B558" s="4" t="s">
        <f>=HYPERLINK("http://anyluxury.ru/shop/zonty/trosti/zonttrost-svetootrazhayushhiy-reflect-siniy-1731940/" , "17319.40 Зонт-трость светоотражающий Reflect, синий")</f>
      </c>
      <c r="C558" s="4" t="n">
        <v>1483.00</v>
      </c>
      <c r="D558" s="4"/>
    </row>
    <row collapsed="" customFormat="false" customHeight="1" hidden="" ht="14" outlineLevel="0" r="559">
      <c r="A559" s="3" t="inlineStr">
        <is>
          <t>553</t>
        </is>
      </c>
      <c r="B559" s="4" t="s">
        <f>=HYPERLINK("http://anyluxury.ru/shop/zonty/trosti/zonttrost-classic-cherniy-1732230/" , "17322.30 Зонт-трость Classic, черный")</f>
      </c>
      <c r="C559" s="4" t="n">
        <v>1581.00</v>
      </c>
      <c r="D559" s="4"/>
    </row>
    <row collapsed="" customFormat="false" customHeight="1" hidden="" ht="14" outlineLevel="0" r="560">
      <c r="A560" s="3" t="inlineStr">
        <is>
          <t>554</t>
        </is>
      </c>
      <c r="B560" s="4" t="s">
        <f>=HYPERLINK("http://anyluxury.ru/shop/zonty/trosti/zonttrost-classic-temnosiniy-1732240/" , "17322.40 Зонт-трость Classic, темно-синий")</f>
      </c>
      <c r="C560" s="4" t="n">
        <v>1581.00</v>
      </c>
      <c r="D560" s="4"/>
    </row>
    <row collapsed="" customFormat="false" customHeight="1" hidden="" ht="14" outlineLevel="0" r="561">
      <c r="A561" s="3" t="inlineStr">
        <is>
          <t>555</t>
        </is>
      </c>
      <c r="B561" s="4" t="s">
        <f>=HYPERLINK("http://anyluxury.ru/shop/zonty/trosti/zonttrost-classic-korichneviy-1732259/" , "17322.59 Зонт-трость Classic, коричневый")</f>
      </c>
      <c r="C561" s="4" t="n">
        <v>1581.00</v>
      </c>
      <c r="D561" s="4"/>
    </row>
    <row collapsed="" customFormat="false" customHeight="1" hidden="" ht="14" outlineLevel="0" r="562">
      <c r="A562" s="3" t="inlineStr">
        <is>
          <t>556</t>
        </is>
      </c>
      <c r="B562" s="4" t="s">
        <f>=HYPERLINK("http://anyluxury.ru/shop/zonty/trosti/ultralegkiy-zonttrost-swiss-peak-iz-rpet-aware-25-p850381/" , "P850.381 Ультралегкий зонт-трость Swiss Peak из rPET Aware™, d112 см")</f>
      </c>
      <c r="C562" s="4" t="n">
        <v>2844.00</v>
      </c>
      <c r="D562" s="4"/>
    </row>
    <row collapsed="" customFormat="false" customHeight="1" hidden="" ht="14" outlineLevel="0" r="563">
      <c r="A563" s="3" t="inlineStr">
        <is>
          <t>557</t>
        </is>
      </c>
      <c r="B563" s="4" t="s">
        <f>=HYPERLINK("http://anyluxury.ru/shop/zonty/trosti/zonttrost-bergwind-siniy-236040030/" , "236040.030 Зонт-трость, Bergwind, синий")</f>
      </c>
      <c r="C563" s="4" t="n">
        <v>1199.00</v>
      </c>
      <c r="D563" s="4"/>
    </row>
    <row collapsed="" customFormat="false" customHeight="1" hidden="" ht="14" outlineLevel="0" r="564">
      <c r="A564" s="3" t="inlineStr">
        <is>
          <t>558</t>
        </is>
      </c>
      <c r="B564" s="4" t="s">
        <f>=HYPERLINK("http://anyluxury.ru/shop/zonty/trosti/zonttrost-tellado-na-zakaz-dostavka-avia-1823801avi/" , "18238.01.avi Зонт-трость Tellado на заказ, доставка авиа")</f>
      </c>
      <c r="C564" s="4" t="n">
        <v>26.23</v>
      </c>
      <c r="D564" s="4"/>
    </row>
    <row collapsed="" customFormat="false" customHeight="1" hidden="" ht="14" outlineLevel="0" r="565">
      <c r="A565" s="3" t="inlineStr">
        <is>
          <t>559</t>
        </is>
      </c>
      <c r="B565" s="4" t="s">
        <f>=HYPERLINK("http://anyluxury.ru/shop/zonty/trosti/zonttrost-tellado-na-zakaz-dostavka-zhd-1823801rail/" , "18238.01.rail Зонт-трость Tellado на заказ, доставка ж/д")</f>
      </c>
      <c r="C565" s="4" t="n">
        <v>21.93</v>
      </c>
      <c r="D565" s="4"/>
    </row>
    <row collapsed="" customFormat="false" customHeight="1" hidden="" ht="14" outlineLevel="0" r="566">
      <c r="A566" s="3" t="inlineStr">
        <is>
          <t>560</t>
        </is>
      </c>
      <c r="B566" s="4" t="s">
        <f>=HYPERLINK("http://anyluxury.ru/shop/zonty/trosti/avtomaticheskiy-skladnoy-zont-swiss-peak-iz-rpet-aware-d116-sm-p850461/" , "P850.461 Автоматический складной зонт Swiss Peak из rPET AWARE™, d116 см")</f>
      </c>
      <c r="C566" s="4" t="n">
        <v>3022.00</v>
      </c>
      <c r="D566" s="4"/>
    </row>
    <row collapsed="" customFormat="false" customHeight="1" hidden="" ht="14" outlineLevel="0" r="567">
      <c r="A567" s="3" t="inlineStr">
        <is>
          <t>561</t>
        </is>
      </c>
      <c r="B567" s="4" t="s">
        <f>=HYPERLINK("http://anyluxury.ru/shop/zonty/trosti/zont-vinga-bosler-iz-rpet-aware-d106-sm-v850001/" , "V850001 Зонт VINGA Bosler из rPET AWARE™, d106 см")</f>
      </c>
      <c r="C567" s="4" t="n">
        <v>7122.00</v>
      </c>
      <c r="D567" s="4"/>
    </row>
    <row collapsed="" customFormat="false" customHeight="1" hidden="" ht="14" outlineLevel="0" r="568">
      <c r="A568" s="3" t="inlineStr">
        <is>
          <t>562</t>
        </is>
      </c>
      <c r="B568" s="4" t="s">
        <f>=HYPERLINK("http://anyluxury.ru/shop/zonty/trosti/zont-vinga-bosler-iz-rpet-aware-d106-sm-v850005/" , "V850005 Зонт VINGA Bosler из rPET AWARE™, d106 см")</f>
      </c>
      <c r="C568" s="4" t="n">
        <v>7122.00</v>
      </c>
      <c r="D568" s="4"/>
    </row>
    <row collapsed="" customFormat="false" customHeight="1" hidden="" ht="14" outlineLevel="0" r="569">
      <c r="A569" s="3" t="inlineStr">
        <is>
          <t>563</t>
        </is>
      </c>
      <c r="B569" s="4" t="s">
        <f>=HYPERLINK("http://anyluxury.ru/shop/zonty/trosti/zont-vinga-bosler-iz-rpet-aware-d106-sm-v850007/" , "V850007 Зонт VINGA Bosler из rPET AWARE™, d106 см")</f>
      </c>
      <c r="C569" s="4" t="n">
        <v>7122.00</v>
      </c>
      <c r="D569" s="4"/>
    </row>
    <row collapsed="" customFormat="false" customHeight="1" hidden="" ht="14" outlineLevel="0" r="570">
      <c r="A570" s="3" t="inlineStr">
        <is>
          <t>564</t>
        </is>
      </c>
      <c r="B570" s="4" t="s">
        <f>=HYPERLINK("http://anyluxury.ru/shop/zonty/trosti/zont-vinga-bosler-iz-rpet-aware-d106-sm-v850009/" , "V850009 Зонт VINGA Bosler из rPET AWARE™, d106 см")</f>
      </c>
      <c r="C570" s="4" t="n">
        <v>7122.00</v>
      </c>
      <c r="D570" s="4"/>
    </row>
    <row collapsed="" customFormat="false" customHeight="1" hidden="" ht="14" outlineLevel="0" r="571">
      <c r="A571" s="3" t="inlineStr">
        <is>
          <t>565</t>
        </is>
      </c>
      <c r="B571" s="4" t="s">
        <f>=HYPERLINK("http://anyluxury.ru/shop/zonty/trosti/zonttrost-represent-cherniy-1790430/" , "17904.30 Зонт-трость Represent, черный")</f>
      </c>
      <c r="C571" s="4" t="n">
        <v>2301.00</v>
      </c>
      <c r="D571" s="4"/>
    </row>
    <row collapsed="" customFormat="false" customHeight="1" hidden="" ht="14" outlineLevel="0" r="572">
      <c r="A572" s="3" t="inlineStr">
        <is>
          <t>566</t>
        </is>
      </c>
      <c r="B572" s="4" t="s">
        <f>=HYPERLINK("http://anyluxury.ru/shop/zonty/trosti/zonttrost-represent-temnosiniy-1790440/" , "17904.40 Зонт-трость Represent, темно-синий")</f>
      </c>
      <c r="C572" s="4" t="n">
        <v>2301.00</v>
      </c>
      <c r="D572" s="4"/>
    </row>
    <row collapsed="" customFormat="false" customHeight="1" hidden="" ht="14" outlineLevel="0" r="573">
      <c r="A573" s="3" t="inlineStr">
        <is>
          <t>567</t>
        </is>
      </c>
      <c r="B573" s="4" t="s">
        <f>=HYPERLINK("http://anyluxury.ru/shop/zonty/trosti/zonttrost-silverine-cherniy-1790630/" , "17906.30 Зонт-трость Silverine, черный")</f>
      </c>
      <c r="C573" s="4" t="n">
        <v>1090.00</v>
      </c>
      <c r="D573" s="4"/>
    </row>
    <row collapsed="" customFormat="false" customHeight="1" hidden="" ht="14" outlineLevel="0" r="574">
      <c r="A574" s="3" t="inlineStr">
        <is>
          <t>568</t>
        </is>
      </c>
      <c r="B574" s="4" t="s">
        <f>=HYPERLINK("http://anyluxury.ru/shop/zonty/trosti/zonttrost-silverine-siniy-1790640/" , "17906.40 Зонт-трость Silverine, синий")</f>
      </c>
      <c r="C574" s="4" t="n">
        <v>1090.00</v>
      </c>
      <c r="D574" s="4"/>
    </row>
    <row collapsed="" customFormat="false" customHeight="1" hidden="" ht="14" outlineLevel="0" r="575">
      <c r="A575" s="3" t="inlineStr">
        <is>
          <t>569</t>
        </is>
      </c>
      <c r="B575" s="4" t="s">
        <f>=HYPERLINK("http://anyluxury.ru/shop/zonty/trosti/zonttrost-silverine-krasniy-1790650/" , "17906.50 Зонт-трость Silverine, красный")</f>
      </c>
      <c r="C575" s="4" t="n">
        <v>1090.00</v>
      </c>
      <c r="D575" s="4"/>
    </row>
    <row collapsed="" customFormat="false" customHeight="1" hidden="" ht="14" outlineLevel="0" r="576">
      <c r="A576" s="3" t="inlineStr">
        <is>
          <t>570</t>
        </is>
      </c>
      <c r="B576" s="4" t="s">
        <f>=HYPERLINK("http://anyluxury.ru/shop/zonty/trosti/zonttrost-silverine-zeleniy-1790690/" , "17906.90 Зонт-трость Silverine, зеленый")</f>
      </c>
      <c r="C576" s="4" t="n">
        <v>1090.00</v>
      </c>
      <c r="D576" s="4"/>
    </row>
    <row collapsed="" customFormat="false" customHeight="1" hidden="" ht="14" outlineLevel="0" r="577">
      <c r="A577" s="3" t="inlineStr">
        <is>
          <t>571</t>
        </is>
      </c>
      <c r="B577" s="4" t="s">
        <f>=HYPERLINK("http://anyluxury.ru/shop/zonty/trosti/zonttrost-domelike-cherniy-1584030/" , "15840.30 Зонт-трость Domelike, черный")</f>
      </c>
      <c r="C577" s="4" t="n">
        <v>1839.00</v>
      </c>
      <c r="D577" s="4"/>
    </row>
    <row collapsed="" customFormat="false" customHeight="1" hidden="" ht="14" outlineLevel="0" r="578">
      <c r="A578" s="3" t="inlineStr">
        <is>
          <t>572</t>
        </is>
      </c>
      <c r="B578" s="4" t="s">
        <f>=HYPERLINK("http://anyluxury.ru/shop/zonty/trosti/zonttrost-domelike-temnosiniy-1584040/" , "15840.40 Зонт-трость Domelike, темно-синий")</f>
      </c>
      <c r="C578" s="4" t="n">
        <v>1839.00</v>
      </c>
      <c r="D578" s="4"/>
    </row>
    <row collapsed="" customFormat="false" customHeight="1" hidden="" ht="14" outlineLevel="0" r="579">
      <c r="A579" s="3" t="inlineStr">
        <is>
          <t>573</t>
        </is>
      </c>
      <c r="B579" s="4" t="s">
        <f>=HYPERLINK("http://anyluxury.ru/shop/zonty/trosti/zonttrost-domelike-seriy-1584011/" , "15840.11 Зонт-трость Domelike, серый")</f>
      </c>
      <c r="C579" s="4" t="n">
        <v>1839.00</v>
      </c>
      <c r="D579" s="4"/>
    </row>
    <row collapsed="" customFormat="false" customHeight="1" hidden="" ht="14" outlineLevel="0" r="580">
      <c r="A580" s="3" t="inlineStr">
        <is>
          <t>574</t>
        </is>
      </c>
      <c r="B580" s="4" t="s">
        <f>=HYPERLINK("http://anyluxury.ru/shop/zonty/trosti/prozrachniy-zonttrost-clear-16-1584500/" , "15845.00 Прозрачный зонт-трость Clear 16")</f>
      </c>
      <c r="C580" s="4" t="n">
        <v>2091.00</v>
      </c>
      <c r="D580" s="4"/>
    </row>
    <row collapsed="" customFormat="false" customHeight="1" hidden="" ht="14" outlineLevel="0" r="581">
      <c r="A581" s="3" t="inlineStr">
        <is>
          <t>575</t>
        </is>
      </c>
      <c r="B581" s="4" t="s">
        <f>=HYPERLINK("http://anyluxury.ru/shop/zonty/trosti/zonttrost-standard-seriy-1239311/" , "12393.11 Зонт-трость Standard, серый")</f>
      </c>
      <c r="C581" s="4" t="n">
        <v>892.00</v>
      </c>
      <c r="D581" s="4"/>
    </row>
    <row collapsed="" customFormat="false" customHeight="1" hidden="" ht="14" outlineLevel="0" r="582">
      <c r="A582" s="3" t="inlineStr">
        <is>
          <t>576</t>
        </is>
      </c>
      <c r="B582" s="4" t="s">
        <f>=HYPERLINK("http://anyluxury.ru/shop/zonty/trosti/zonttrost-standard-biryuzoviy-1239349/" , "12393.49 Зонт-трость Standard, бирюзовый")</f>
      </c>
      <c r="C582" s="4" t="n">
        <v>892.00</v>
      </c>
      <c r="D582" s="4"/>
    </row>
    <row collapsed="" customFormat="false" customHeight="1" hidden="" ht="14" outlineLevel="0" r="583">
      <c r="A583" s="3" t="inlineStr">
        <is>
          <t>577</t>
        </is>
      </c>
      <c r="B583" s="4" t="s">
        <f>=HYPERLINK("http://anyluxury.ru/shop/zonty/trosti/zonttrost-standard-zheltiy-neon-1239389/" , "12393.89 Зонт-трость Standard, желтый неон")</f>
      </c>
      <c r="C583" s="4" t="n">
        <v>892.00</v>
      </c>
      <c r="D583" s="4"/>
    </row>
    <row collapsed="" customFormat="false" customHeight="1" hidden="" ht="14" outlineLevel="0" r="584">
      <c r="A584" s="3" t="inlineStr">
        <is>
          <t>578</t>
        </is>
      </c>
      <c r="B584" s="4" t="s">
        <f>=HYPERLINK("http://anyluxury.ru/shop/zonty/trosti/zonttrost-standard-oranzheviy-neon-1239329/" , "12393.29 Зонт-трость Standard, оранжевый неон")</f>
      </c>
      <c r="C584" s="4" t="n">
        <v>892.00</v>
      </c>
      <c r="D584" s="4"/>
    </row>
    <row collapsed="" customFormat="false" customHeight="1" hidden="" ht="14" outlineLevel="0" r="585">
      <c r="A585" s="3" t="inlineStr">
        <is>
          <t>579</t>
        </is>
      </c>
      <c r="B585" s="4" t="s">
        <f>=HYPERLINK("http://anyluxury.ru/shop/zonty/trosti/zonttrost-standard-bezheviy-1239300/" , "12393.00 Зонт-трость Standard, бежевый")</f>
      </c>
      <c r="C585" s="4" t="n">
        <v>892.00</v>
      </c>
      <c r="D585" s="4"/>
    </row>
    <row collapsed="" customFormat="false" customHeight="1" hidden="" ht="14" outlineLevel="0" r="586">
      <c r="A586" s="3" t="inlineStr">
        <is>
          <t>580</t>
        </is>
      </c>
      <c r="B586" s="4" t="s">
        <f>=HYPERLINK("http://anyluxury.ru/shop/zonty/trosti/zonttrost-undercolor-s-cvetnimi-spicami-goluboy-1751340/" , "17513.40 Зонт-трость Undercolor с цветными спицами, голубой")</f>
      </c>
      <c r="C586" s="4" t="n">
        <v>1940.00</v>
      </c>
      <c r="D586" s="4"/>
    </row>
    <row collapsed="" customFormat="false" customHeight="1" hidden="" ht="14" outlineLevel="0" r="587">
      <c r="A587" s="3" t="inlineStr">
        <is>
          <t>581</t>
        </is>
      </c>
      <c r="B587" s="4" t="s">
        <f>=HYPERLINK("http://anyluxury.ru/shop/zonty/trosti/zonttrost-undercolor-s-cvetnimi-spicami-krasniy-1751350/" , "17513.50 Зонт-трость Undercolor с цветными спицами, красный")</f>
      </c>
      <c r="C587" s="4" t="n">
        <v>1940.00</v>
      </c>
      <c r="D587" s="4"/>
    </row>
    <row collapsed="" customFormat="false" customHeight="1" hidden="" ht="14" outlineLevel="0" r="588">
      <c r="A588" s="3" t="inlineStr">
        <is>
          <t>582</t>
        </is>
      </c>
      <c r="B588" s="4" t="s">
        <f>=HYPERLINK("http://anyluxury.ru/shop/zonty/trosti/zonttrost-undercolor-s-cvetnimi-spicami-oranzheviy-1751320/" , "17513.20 Зонт-трость Undercolor с цветными спицами, оранжевый")</f>
      </c>
      <c r="C588" s="4" t="n">
        <v>999.00</v>
      </c>
      <c r="D588" s="4"/>
    </row>
    <row collapsed="" customFormat="false" customHeight="1" hidden="" ht="14" outlineLevel="0" r="589">
      <c r="A589" s="3" t="inlineStr">
        <is>
          <t>583</t>
        </is>
      </c>
      <c r="B589" s="4" t="s">
        <f>=HYPERLINK("http://anyluxury.ru/shop/zonty/trosti/zonttrost-undercolor-s-cvetnimi-spicami-zelenoe-yabloko-1751394/" , "17513.94 Зонт-трость Undercolor с цветными спицами, зеленое яблоко")</f>
      </c>
      <c r="C589" s="4" t="n">
        <v>999.00</v>
      </c>
      <c r="D589" s="4"/>
    </row>
    <row collapsed="" customFormat="false" customHeight="1" hidden="" ht="14" outlineLevel="0" r="590">
      <c r="A590" s="3" t="inlineStr">
        <is>
          <t>584</t>
        </is>
      </c>
      <c r="B590" s="4" t="s">
        <f>=HYPERLINK("http://anyluxury.ru/shop/zonty/trosti/zonttrost-undercolor-s-cvetnimi-spicami-biryuzoviy-1751349/" , "17513.49 Зонт-трость Undercolor с цветными спицами, бирюзовый")</f>
      </c>
      <c r="C590" s="4" t="n">
        <v>1940.00</v>
      </c>
      <c r="D590" s="4"/>
    </row>
    <row collapsed="" customFormat="false" customHeight="1" hidden="" ht="14" outlineLevel="0" r="591">
      <c r="A591" s="3" t="inlineStr">
        <is>
          <t>585</t>
        </is>
      </c>
      <c r="B591" s="4" t="s">
        <f>=HYPERLINK("http://anyluxury.ru/shop/zonty/trosti/zonttrost-undercolor-s-cvetnimi-spicami-siniy-1751343/" , "17513.43 Зонт-трость Undercolor с цветными спицами, синий")</f>
      </c>
      <c r="C591" s="4" t="n">
        <v>1940.00</v>
      </c>
      <c r="D591" s="4"/>
    </row>
    <row collapsed="" customFormat="false" customHeight="1" hidden="" ht="14" outlineLevel="0" r="592">
      <c r="A592" s="3" t="inlineStr">
        <is>
          <t>586</t>
        </is>
      </c>
      <c r="B592" s="4" t="s">
        <f>=HYPERLINK("http://anyluxury.ru/shop/zonty/trosti/zonttrost-color-play-siniy-1751440/" , "17514.40 Зонт-трость Color Play, синий")</f>
      </c>
      <c r="C592" s="4" t="n">
        <v>500.00</v>
      </c>
      <c r="D592" s="4"/>
    </row>
    <row collapsed="" customFormat="false" customHeight="1" hidden="" ht="14" outlineLevel="0" r="593">
      <c r="A593" s="3" t="inlineStr">
        <is>
          <t>587</t>
        </is>
      </c>
      <c r="B593" s="4" t="s">
        <f>=HYPERLINK("http://anyluxury.ru/shop/zonty/trosti/zonttrost-color-play-oranzheviy-1751420/" , "17514.20 Зонт-трость Color Play, оранжевый")</f>
      </c>
      <c r="C593" s="4" t="n">
        <v>500.00</v>
      </c>
      <c r="D593" s="4"/>
    </row>
    <row collapsed="" customFormat="false" customHeight="1" hidden="" ht="14" outlineLevel="0" r="594">
      <c r="A594" s="3" t="inlineStr">
        <is>
          <t>588</t>
        </is>
      </c>
      <c r="B594" s="4" t="s">
        <f>=HYPERLINK("http://anyluxury.ru/shop/zonty/trosti/zonttrost-color-play-krasniy-1751450/" , "17514.50 Зонт-трость Color Play, красный")</f>
      </c>
      <c r="C594" s="4" t="n">
        <v>500.00</v>
      </c>
      <c r="D594" s="4"/>
    </row>
    <row collapsed="" customFormat="false" customHeight="1" hidden="" ht="14" outlineLevel="0" r="595">
      <c r="A595" s="3" t="inlineStr">
        <is>
          <t>589</t>
        </is>
      </c>
      <c r="B595" s="4" t="s">
        <f>=HYPERLINK("http://anyluxury.ru/shop/zonty/trosti/zonttrost-color-play-zeleniy-1751490/" , "17514.90 Зонт-трость Color Play, зеленый")</f>
      </c>
      <c r="C595" s="4" t="n">
        <v>500.00</v>
      </c>
      <c r="D595" s="4"/>
    </row>
    <row collapsed="" customFormat="false" customHeight="1" hidden="" ht="14" outlineLevel="0" r="596">
      <c r="A596" s="3" t="inlineStr">
        <is>
          <t>590</t>
        </is>
      </c>
      <c r="B596" s="4" t="s">
        <f>=HYPERLINK("http://anyluxury.ru/shop/zonty/trosti/zonttrost-color-play-cherniy-1751430/" , "17514.30 Зонт-трость Color Play, черный")</f>
      </c>
      <c r="C596" s="4" t="n">
        <v>500.00</v>
      </c>
      <c r="D596" s="4"/>
    </row>
    <row collapsed="" customFormat="false" customHeight="1" hidden="" ht="14" outlineLevel="0" r="597">
      <c r="A597" s="3" t="inlineStr">
        <is>
          <t>591</t>
        </is>
      </c>
      <c r="B597" s="4" t="s">
        <f>=HYPERLINK("http://anyluxury.ru/shop/zonty/trosti/zonttrost-antishtorm-swiss-peak-tornado-iz-rpet-aware-d116-sm-p850471/" , "P850.471 Зонт-трость антишторм Swiss Peak Tornado из rPET AWARE™, d116 см")</f>
      </c>
      <c r="C597" s="4" t="n">
        <v>4094.00</v>
      </c>
      <c r="D597" s="4"/>
    </row>
    <row collapsed="" customFormat="false" customHeight="1" hidden="" ht="14" outlineLevel="0" r="598">
      <c r="A598" s="3" t="inlineStr">
        <is>
          <t>592</t>
        </is>
      </c>
      <c r="B598" s="4" t="s">
        <f>=HYPERLINK("http://anyluxury.ru/shop/zonty/trosti/zont-skladnoy-big-arc-cherniy-1718930/" , "17189.30 Зонт складной Big Arc, черный")</f>
      </c>
      <c r="C598" s="4" t="n">
        <v>2136.00</v>
      </c>
      <c r="D598" s="4"/>
    </row>
    <row collapsed="" customFormat="false" customHeight="1" hidden="" ht="14" outlineLevel="0" r="599">
      <c r="A599" s="3" t="inlineStr">
        <is>
          <t>593</t>
        </is>
      </c>
      <c r="B599" s="4" t="s">
        <f>=HYPERLINK("http://anyluxury.ru/shop/zonty/trosti/zont-skladnoy-city-guardian-elektricheskiy-cherniy-1719030/" , "17190.30 Зонт складной City Guardian, электрический, черный")</f>
      </c>
      <c r="C599" s="4" t="n">
        <v>7481.00</v>
      </c>
      <c r="D599" s="4"/>
    </row>
    <row collapsed="" customFormat="false" customHeight="1" hidden="" ht="14" outlineLevel="0" r="600">
      <c r="A600" s="3" t="inlineStr">
        <is>
          <t>594</t>
        </is>
      </c>
      <c r="B600" s="4" t="s">
        <f>=HYPERLINK("http://anyluxury.ru/shop/zonty/trosti/zonttrost-s-kvadratnim-kupolom-mistral-cherniy-236030010/" , "236030.010 Зонт-трость с квадратным куполом Mistral, черный")</f>
      </c>
      <c r="C600" s="4" t="n">
        <v>1885.00</v>
      </c>
      <c r="D600" s="4"/>
    </row>
    <row collapsed="" customFormat="false" customHeight="1" hidden="" ht="14" outlineLevel="0" r="601">
      <c r="A601" s="3" t="inlineStr">
        <is>
          <t>595</t>
        </is>
      </c>
      <c r="B601" s="4" t="s">
        <f>=HYPERLINK("http://anyluxury.ru/shop/zonty/trosti/zonttrost-bergwind-cherniy-236040010/" , "236040.010 Зонт-трость, Bergwind, черный")</f>
      </c>
      <c r="C601" s="4" t="n">
        <v>1199.00</v>
      </c>
      <c r="D601" s="4"/>
    </row>
    <row collapsed="" customFormat="false" customHeight="" hidden="" ht="12.1" outlineLevel="0" r="602">
      <c r="A602" s="5" t="inlineStr">
        <is>
          <t>Инструменты</t>
        </is>
      </c>
      <c r="B602" s="6"/>
      <c r="C602" s="6"/>
      <c r="D602" s="6"/>
    </row>
    <row collapsed="" customFormat="false" customHeight="" hidden="" ht="12.1" outlineLevel="0" r="603">
      <c r="A603" s="5" t="inlineStr">
        <is>
          <t> -  - Мультитулы и ножи</t>
        </is>
      </c>
      <c r="B603" s="6"/>
      <c r="C603" s="6"/>
      <c r="D603" s="6"/>
    </row>
    <row collapsed="" customFormat="false" customHeight="1" hidden="" ht="14" outlineLevel="0" r="604">
      <c r="A604" s="3" t="inlineStr">
        <is>
          <t>596</t>
        </is>
      </c>
      <c r="B604" s="4" t="s">
        <f>=HYPERLINK("http://anyluxury.ru/shop/instrumenty/multituly-i-nozhi/multitul-wood-korichneviy-p221369/" , "P221.369 Мультитул Wood")</f>
      </c>
      <c r="C604" s="4" t="n">
        <v>3022.00</v>
      </c>
      <c r="D604" s="4"/>
    </row>
    <row collapsed="" customFormat="false" customHeight="1" hidden="" ht="14" outlineLevel="0" r="605">
      <c r="A605" s="3" t="inlineStr">
        <is>
          <t>597</t>
        </is>
      </c>
      <c r="B605" s="4" t="s">
        <f>=HYPERLINK("http://anyluxury.ru/shop/instrumenty/multituly-i-nozhi/minimultitul-wood-korichneviy-p221379/" , "P221.379 Мини-мультитул Wood, коричневый")</f>
      </c>
      <c r="C605" s="4" t="n">
        <v>1238.00</v>
      </c>
      <c r="D605" s="4"/>
    </row>
    <row collapsed="" customFormat="false" customHeight="1" hidden="" ht="14" outlineLevel="0" r="606">
      <c r="A606" s="3" t="inlineStr">
        <is>
          <t>598</t>
        </is>
      </c>
      <c r="B606" s="4" t="s">
        <f>=HYPERLINK("http://anyluxury.ru/shop/instrumenty/multituly-i-nozhi/karmanniy-nozh-wood-korichneviy-p221389/" , "P221.389 Карманный нож Wood")</f>
      </c>
      <c r="C606" s="4" t="n">
        <v>2125.00</v>
      </c>
      <c r="D606" s="4"/>
    </row>
    <row collapsed="" customFormat="false" customHeight="1" hidden="" ht="14" outlineLevel="0" r="607">
      <c r="A607" s="3" t="inlineStr">
        <is>
          <t>599</t>
        </is>
      </c>
      <c r="B607" s="4" t="s">
        <f>=HYPERLINK("http://anyluxury.ru/shop/instrumenty/multituly-i-nozhi/multitul-excalibur-i-ploskogubci-cherniy-p221431/" , "P221.431 Мультитул Excalibur и плоскогубцы")</f>
      </c>
      <c r="C607" s="4" t="n">
        <v>3553.00</v>
      </c>
      <c r="D607" s="4"/>
    </row>
    <row collapsed="" customFormat="false" customHeight="1" hidden="" ht="14" outlineLevel="0" r="608">
      <c r="A608" s="3" t="inlineStr">
        <is>
          <t>600</t>
        </is>
      </c>
      <c r="B608" s="4" t="s">
        <f>=HYPERLINK("http://anyluxury.ru/shop/instrumenty/multituly-i-nozhi/multitul-mini-fix-cherniy-p221171/" , "P221.171 Мультитул Mini Fix с пассатижами")</f>
      </c>
      <c r="C608" s="4" t="n">
        <v>1156.00</v>
      </c>
      <c r="D608" s="4"/>
    </row>
    <row collapsed="" customFormat="false" customHeight="1" hidden="" ht="14" outlineLevel="0" r="609">
      <c r="A609" s="3" t="inlineStr">
        <is>
          <t>601</t>
        </is>
      </c>
      <c r="B609" s="4" t="s">
        <f>=HYPERLINK("http://anyluxury.ru/shop/instrumenty/multituly-i-nozhi/multitul-s-karabinom-siniy-p221335/" , "P221.335 Мультитул с карабином")</f>
      </c>
      <c r="C609" s="4" t="n">
        <v>3375.00</v>
      </c>
      <c r="D609" s="4"/>
    </row>
    <row collapsed="" customFormat="false" customHeight="1" hidden="" ht="14" outlineLevel="0" r="610">
      <c r="A610" s="3" t="inlineStr">
        <is>
          <t>602</t>
        </is>
      </c>
      <c r="B610" s="4" t="s">
        <f>=HYPERLINK("http://anyluxury.ru/shop/instrumenty/multituly-i-nozhi/multitul-s-karabinom-serebryaniy-p221332/" , "P221.332 Мультитул с карабином")</f>
      </c>
      <c r="C610" s="4" t="n">
        <v>3375.00</v>
      </c>
      <c r="D610" s="4"/>
    </row>
    <row collapsed="" customFormat="false" customHeight="1" hidden="" ht="14" outlineLevel="0" r="611">
      <c r="A611" s="3" t="inlineStr">
        <is>
          <t>603</t>
        </is>
      </c>
      <c r="B611" s="4" t="s">
        <f>=HYPERLINK("http://anyluxury.ru/shop/instrumenty/multituly-i-nozhi/multitul-s-karabinom-cherniy-p221331/" , "P221.331 Мультитул с карабином")</f>
      </c>
      <c r="C611" s="4" t="n">
        <v>3375.00</v>
      </c>
      <c r="D611" s="4"/>
    </row>
    <row collapsed="" customFormat="false" customHeight="1" hidden="" ht="14" outlineLevel="0" r="612">
      <c r="A612" s="3" t="inlineStr">
        <is>
          <t>604</t>
        </is>
      </c>
      <c r="B612" s="4" t="s">
        <f>=HYPERLINK("http://anyluxury.ru/shop/instrumenty/multituly-i-nozhi/multitul-cherniy-p221351/" , "P221.351 Мультитул")</f>
      </c>
      <c r="C612" s="4" t="n">
        <v>2666.00</v>
      </c>
      <c r="D612" s="4"/>
    </row>
    <row collapsed="" customFormat="false" customHeight="1" hidden="" ht="14" outlineLevel="0" r="613">
      <c r="A613" s="3" t="inlineStr">
        <is>
          <t>605</t>
        </is>
      </c>
      <c r="B613" s="4" t="s">
        <f>=HYPERLINK("http://anyluxury.ru/shop/instrumenty/multituly-i-nozhi/mnogofunkcionalnaya-ruchka-5-v-1-zheltiy-p221556/" , "P221.556 Многофункциональная ручка 5 в 1")</f>
      </c>
      <c r="C613" s="4" t="n">
        <v>1006.00</v>
      </c>
      <c r="D613" s="4"/>
    </row>
    <row collapsed="" customFormat="false" customHeight="1" hidden="" ht="14" outlineLevel="0" r="614">
      <c r="A614" s="3" t="inlineStr">
        <is>
          <t>606</t>
        </is>
      </c>
      <c r="B614" s="4" t="s">
        <f>=HYPERLINK("http://anyluxury.ru/shop/instrumenty/multituly-i-nozhi/stroitelniy-nozh-reload-p215035/" , "P215.035 Строительный нож Reload")</f>
      </c>
      <c r="C614" s="4" t="n">
        <v>881.00</v>
      </c>
      <c r="D614" s="4"/>
    </row>
    <row collapsed="" customFormat="false" customHeight="1" hidden="" ht="14" outlineLevel="0" r="615">
      <c r="A615" s="3" t="inlineStr">
        <is>
          <t>607</t>
        </is>
      </c>
      <c r="B615" s="4" t="s">
        <f>=HYPERLINK("http://anyluxury.ru/shop/instrumenty/multituly-i-nozhi/stroitelniy-nozh-retractable-p215082/" , "P215.082 Строительный нож Retractable")</f>
      </c>
      <c r="C615" s="4" t="n">
        <v>353.00</v>
      </c>
      <c r="D615" s="4"/>
    </row>
    <row collapsed="" customFormat="false" customHeight="1" hidden="" ht="14" outlineLevel="0" r="616">
      <c r="A616" s="3" t="inlineStr">
        <is>
          <t>608</t>
        </is>
      </c>
      <c r="B616" s="4" t="s">
        <f>=HYPERLINK("http://anyluxury.ru/shop/instrumenty/multituly-i-nozhi/multitul-fix-s-passatizhami-siniy-p221135/" , "P221.135 Мультитул Fix с пассатижами")</f>
      </c>
      <c r="C616" s="4" t="n">
        <v>1738.00</v>
      </c>
      <c r="D616" s="4"/>
    </row>
    <row collapsed="" customFormat="false" customHeight="1" hidden="" ht="14" outlineLevel="0" r="617">
      <c r="A617" s="3" t="inlineStr">
        <is>
          <t>609</t>
        </is>
      </c>
      <c r="B617" s="4" t="s">
        <f>=HYPERLINK("http://anyluxury.ru/shop/instrumenty/multituly-i-nozhi/multitul-mini-fix-s-passatizhami-serebryaniy-p221172/" , "P221.172 Мультитул Mini Fix с пассатижами")</f>
      </c>
      <c r="C617" s="4" t="n">
        <v>1156.00</v>
      </c>
      <c r="D617" s="4"/>
    </row>
    <row collapsed="" customFormat="false" customHeight="1" hidden="" ht="14" outlineLevel="0" r="618">
      <c r="A618" s="3" t="inlineStr">
        <is>
          <t>610</t>
        </is>
      </c>
      <c r="B618" s="4" t="s">
        <f>=HYPERLINK("http://anyluxury.ru/shop/instrumenty/multituly-i-nozhi/multitul-mini-fix-s-passatizhami-siniy-p221175/" , "P221.175 Мультитул Mini Fix с пассатижами")</f>
      </c>
      <c r="C618" s="4" t="n">
        <v>1156.00</v>
      </c>
      <c r="D618" s="4"/>
    </row>
    <row collapsed="" customFormat="false" customHeight="1" hidden="" ht="14" outlineLevel="0" r="619">
      <c r="A619" s="3" t="inlineStr">
        <is>
          <t>611</t>
        </is>
      </c>
      <c r="B619" s="4" t="s">
        <f>=HYPERLINK("http://anyluxury.ru/shop/instrumenty/multituly-i-nozhi/multitul-fix-grip-s-passatizhami-p221401/" , "P221.401 Мультитул Fix grip с пассатижами")</f>
      </c>
      <c r="C619" s="4" t="n">
        <v>2659.00</v>
      </c>
      <c r="D619" s="4"/>
    </row>
    <row collapsed="" customFormat="false" customHeight="1" hidden="" ht="14" outlineLevel="0" r="620">
      <c r="A620" s="3" t="inlineStr">
        <is>
          <t>612</t>
        </is>
      </c>
      <c r="B620" s="4" t="s">
        <f>=HYPERLINK("http://anyluxury.ru/shop/instrumenty/multituly-i-nozhi/nabor-multitul-i-fonarik-seriy-p238082/" , "P238.082 Набор: мультитул и фонарик")</f>
      </c>
      <c r="C620" s="4" t="n">
        <v>3713.00</v>
      </c>
      <c r="D620" s="4"/>
    </row>
    <row collapsed="" customFormat="false" customHeight="1" hidden="" ht="14" outlineLevel="0" r="621">
      <c r="A621" s="3" t="inlineStr">
        <is>
          <t>613</t>
        </is>
      </c>
      <c r="B621" s="4" t="s">
        <f>=HYPERLINK("http://anyluxury.ru/shop/instrumenty/multituly-i-nozhi/nabor-multitul-i-fonarik-siniy-p238085/" , "P238.085 Набор: мультитул и фонарик")</f>
      </c>
      <c r="C621" s="4" t="n">
        <v>3916.00</v>
      </c>
      <c r="D621" s="4"/>
    </row>
    <row collapsed="" customFormat="false" customHeight="1" hidden="" ht="14" outlineLevel="0" r="622">
      <c r="A622" s="3" t="inlineStr">
        <is>
          <t>614</t>
        </is>
      </c>
      <c r="B622" s="4" t="s">
        <f>=HYPERLINK("http://anyluxury.ru/shop/instrumenty/multituly-i-nozhi/nabor-instrumentov-swisscard-siniy-770345/" , "7703.45 Набор инструментов SwissCard, синий")</f>
      </c>
      <c r="C622" s="4" t="n">
        <v>3249.00</v>
      </c>
      <c r="D622" s="4"/>
    </row>
    <row collapsed="" customFormat="false" customHeight="1" hidden="" ht="14" outlineLevel="0" r="623">
      <c r="A623" s="3" t="inlineStr">
        <is>
          <t>615</t>
        </is>
      </c>
      <c r="B623" s="4" t="s">
        <f>=HYPERLINK("http://anyluxury.ru/shop/instrumenty/multituly-i-nozhi/multitul-swisstool-spirit-xc-v-kozhanom-chehle-7706/" , "7706 Мультитул SwissTool Spirit XC в кожаном чехле")</f>
      </c>
      <c r="C623" s="4" t="n">
        <v>24740.00</v>
      </c>
      <c r="D623" s="4"/>
    </row>
    <row collapsed="" customFormat="false" customHeight="1" hidden="" ht="14" outlineLevel="0" r="624">
      <c r="A624" s="3" t="inlineStr">
        <is>
          <t>616</t>
        </is>
      </c>
      <c r="B624" s="4" t="s">
        <f>=HYPERLINK("http://anyluxury.ru/shop/instrumenty/multituly-i-nozhi/multitul-swisstool-spirit-xc-s-povorotnim-mehanizmom-v-kozhanom-chehle-7707/" , "7707 Мультитул SwissTool Spirit XC с поворотным механизмом, в кожаном чехле")</f>
      </c>
      <c r="C624" s="4" t="n">
        <v>15590.00</v>
      </c>
      <c r="D624" s="4"/>
    </row>
    <row collapsed="" customFormat="false" customHeight="1" hidden="" ht="14" outlineLevel="0" r="625">
      <c r="A625" s="3" t="inlineStr">
        <is>
          <t>617</t>
        </is>
      </c>
      <c r="B625" s="4" t="s">
        <f>=HYPERLINK("http://anyluxury.ru/shop/instrumenty/multituly-i-nozhi/multitul-swisstool-spirit-x-v-kozhanom-chehle-7708/" , "7708 Мультитул SwissTool Spirit X в кожаном чехле")</f>
      </c>
      <c r="C625" s="4" t="n">
        <v>25380.00</v>
      </c>
      <c r="D625" s="4"/>
    </row>
    <row collapsed="" customFormat="false" customHeight="1" hidden="" ht="14" outlineLevel="0" r="626">
      <c r="A626" s="3" t="inlineStr">
        <is>
          <t>618</t>
        </is>
      </c>
      <c r="B626" s="4" t="s">
        <f>=HYPERLINK("http://anyluxury.ru/shop/instrumenty/multituly-i-nozhi/multitul-swisstool-spirit-xc-plus-v-kozhanom-chehle-7709/" , "7709 Мультитул SwissTool Spirit XC Plus в кожаном чехле")</f>
      </c>
      <c r="C626" s="4" t="n">
        <v>14890.00</v>
      </c>
      <c r="D626" s="4"/>
    </row>
    <row collapsed="" customFormat="false" customHeight="1" hidden="" ht="14" outlineLevel="0" r="627">
      <c r="A627" s="3" t="inlineStr">
        <is>
          <t>619</t>
        </is>
      </c>
      <c r="B627" s="4" t="s">
        <f>=HYPERLINK("http://anyluxury.ru/shop/instrumenty/multituly-i-nozhi/multitul-swisstool-spirit-xc-plus-ratchet-v-kozhanom-chehle-7710/" , "7710 Мультитул SwissTool Spirit XC Plus Ratchet в кожаном чехле")</f>
      </c>
      <c r="C627" s="4" t="n">
        <v>21990.00</v>
      </c>
      <c r="D627" s="4"/>
    </row>
    <row collapsed="" customFormat="false" customHeight="1" hidden="" ht="14" outlineLevel="0" r="628">
      <c r="A628" s="3" t="inlineStr">
        <is>
          <t>620</t>
        </is>
      </c>
      <c r="B628" s="4" t="s">
        <f>=HYPERLINK("http://anyluxury.ru/shop/instrumenty/multituly-i-nozhi/nabor-expedition-kit-7711/" , "7711 Набор Expedition Kit")</f>
      </c>
      <c r="C628" s="4" t="n">
        <v>18990.00</v>
      </c>
      <c r="D628" s="4"/>
    </row>
    <row collapsed="" customFormat="false" customHeight="1" hidden="" ht="14" outlineLevel="0" r="629">
      <c r="A629" s="3" t="inlineStr">
        <is>
          <t>621</t>
        </is>
      </c>
      <c r="B629" s="4" t="s">
        <f>=HYPERLINK("http://anyluxury.ru/shop/instrumenty/multituly-i-nozhi/nabor-sosset-krasniy-7712/" , "7712 Набор SOS-Set, красный")</f>
      </c>
      <c r="C629" s="4" t="n">
        <v>18449.00</v>
      </c>
      <c r="D629" s="4"/>
    </row>
    <row collapsed="" customFormat="false" customHeight="1" hidden="" ht="14" outlineLevel="0" r="630">
      <c r="A630" s="3" t="inlineStr">
        <is>
          <t>622</t>
        </is>
      </c>
      <c r="B630" s="4" t="s">
        <f>=HYPERLINK("http://anyluxury.ru/shop/instrumenty/multituly-i-nozhi/nabor-traveller-set-7714/" , "7714 Набор Traveller Set")</f>
      </c>
      <c r="C630" s="4" t="n">
        <v>11990.00</v>
      </c>
      <c r="D630" s="4"/>
    </row>
    <row collapsed="" customFormat="false" customHeight="1" hidden="" ht="14" outlineLevel="0" r="631">
      <c r="A631" s="3" t="inlineStr">
        <is>
          <t>623</t>
        </is>
      </c>
      <c r="B631" s="4" t="s">
        <f>=HYPERLINK("http://anyluxury.ru/shop/instrumenty/multituly-i-nozhi/nozhbrelok-classic-58-s-otvertkoy-siniy-771640/" , "7716.40 Нож-брелок Classic 58 с отверткой, синий")</f>
      </c>
      <c r="C631" s="4" t="n">
        <v>3630.00</v>
      </c>
      <c r="D631" s="4"/>
    </row>
    <row collapsed="" customFormat="false" customHeight="1" hidden="" ht="14" outlineLevel="0" r="632">
      <c r="A632" s="3" t="inlineStr">
        <is>
          <t>624</t>
        </is>
      </c>
      <c r="B632" s="4" t="s">
        <f>=HYPERLINK("http://anyluxury.ru/shop/instrumenty/multituly-i-nozhi/oficerskiy-nozh-explorer-91-krasniy-772050/" , "7720.50 Офицерский нож Explorer 91, красный")</f>
      </c>
      <c r="C632" s="4" t="n">
        <v>4749.00</v>
      </c>
      <c r="D632" s="4"/>
    </row>
    <row collapsed="" customFormat="false" customHeight="1" hidden="" ht="14" outlineLevel="0" r="633">
      <c r="A633" s="3" t="inlineStr">
        <is>
          <t>625</t>
        </is>
      </c>
      <c r="B633" s="4" t="s">
        <f>=HYPERLINK("http://anyluxury.ru/shop/instrumenty/multituly-i-nozhi/soldatskiy-nozh-s-fiksatorom-lezviya-forester-cherniy-772230/" , "7722.30 Солдатский нож с фиксатором лезвия Forester, черный")</f>
      </c>
      <c r="C633" s="4" t="n">
        <v>4990.00</v>
      </c>
      <c r="D633" s="4"/>
    </row>
    <row collapsed="" customFormat="false" customHeight="1" hidden="" ht="14" outlineLevel="0" r="634">
      <c r="A634" s="3" t="inlineStr">
        <is>
          <t>626</t>
        </is>
      </c>
      <c r="B634" s="4" t="s">
        <f>=HYPERLINK("http://anyluxury.ru/shop/instrumenty/multituly-i-nozhi/oficerskiy-nozh-handyman-91-krasniy-772450/" , "7724.50 Офицерский нож Handyman 91, красный")</f>
      </c>
      <c r="C634" s="4" t="n">
        <v>7149.00</v>
      </c>
      <c r="D634" s="4"/>
    </row>
    <row collapsed="" customFormat="false" customHeight="1" hidden="" ht="14" outlineLevel="0" r="635">
      <c r="A635" s="3" t="inlineStr">
        <is>
          <t>627</t>
        </is>
      </c>
      <c r="B635" s="4" t="s">
        <f>=HYPERLINK("http://anyluxury.ru/shop/instrumenty/multituly-i-nozhi/soldatskiy-nozh-s-fiksatorom-lezviya-hercules-krasniy-772550/" , "7725.50 Солдатский нож с фиксатором лезвия Hercules, красный")</f>
      </c>
      <c r="C635" s="4" t="n">
        <v>5749.00</v>
      </c>
      <c r="D635" s="4"/>
    </row>
    <row collapsed="" customFormat="false" customHeight="1" hidden="" ht="14" outlineLevel="0" r="636">
      <c r="A636" s="3" t="inlineStr">
        <is>
          <t>628</t>
        </is>
      </c>
      <c r="B636" s="4" t="s">
        <f>=HYPERLINK("http://anyluxury.ru/shop/instrumenty/multituly-i-nozhi/soldatskiy-nozh-s-fiksatorom-lezviya-hercules-cherniy-772530/" , "7725.30 Солдатский нож с фиксатором лезвия Hercules, черный")</f>
      </c>
      <c r="C636" s="4" t="n">
        <v>5749.00</v>
      </c>
      <c r="D636" s="4"/>
    </row>
    <row collapsed="" customFormat="false" customHeight="1" hidden="" ht="14" outlineLevel="0" r="637">
      <c r="A637" s="3" t="inlineStr">
        <is>
          <t>629</t>
        </is>
      </c>
      <c r="B637" s="4" t="s">
        <f>=HYPERLINK("http://anyluxury.ru/shop/instrumenty/multituly-i-nozhi/oficerskiy-nozh-hiker-91-krasniy-772650/" , "7726.50 Офицерский нож Hiker 91, красный")</f>
      </c>
      <c r="C637" s="4" t="n">
        <v>2549.00</v>
      </c>
      <c r="D637" s="4"/>
    </row>
    <row collapsed="" customFormat="false" customHeight="1" hidden="" ht="14" outlineLevel="0" r="638">
      <c r="A638" s="3" t="inlineStr">
        <is>
          <t>630</t>
        </is>
      </c>
      <c r="B638" s="4" t="s">
        <f>=HYPERLINK("http://anyluxury.ru/shop/instrumenty/multituly-i-nozhi/oficerskiy-nozh-huntsman-91-prozrachniy-krasniy-772755/" , "7727.55 Офицерский нож Huntsman 91, прозрачный красный")</f>
      </c>
      <c r="C638" s="4" t="n">
        <v>3890.00</v>
      </c>
      <c r="D638" s="4"/>
    </row>
    <row collapsed="" customFormat="false" customHeight="1" hidden="" ht="14" outlineLevel="0" r="639">
      <c r="A639" s="3" t="inlineStr">
        <is>
          <t>631</t>
        </is>
      </c>
      <c r="B639" s="4" t="s">
        <f>=HYPERLINK("http://anyluxury.ru/shop/instrumenty/multituly-i-nozhi/oficerskiy-nozh-huntsman-91-prozrachniy-siniy-772745/" , "7727.45 Офицерский нож Huntsman 91, прозрачный синий")</f>
      </c>
      <c r="C639" s="4" t="n">
        <v>3890.00</v>
      </c>
      <c r="D639" s="4"/>
    </row>
    <row collapsed="" customFormat="false" customHeight="1" hidden="" ht="14" outlineLevel="0" r="640">
      <c r="A640" s="3" t="inlineStr">
        <is>
          <t>632</t>
        </is>
      </c>
      <c r="B640" s="4" t="s">
        <f>=HYPERLINK("http://anyluxury.ru/shop/instrumenty/multituly-i-nozhi/nozhbrelok-minichamp-58-krasniy-772850/" , "7728.50 Нож-брелок MiniChamp 58, красный")</f>
      </c>
      <c r="C640" s="4" t="n">
        <v>4690.00</v>
      </c>
      <c r="D640" s="4"/>
    </row>
    <row collapsed="" customFormat="false" customHeight="1" hidden="" ht="14" outlineLevel="0" r="641">
      <c r="A641" s="3" t="inlineStr">
        <is>
          <t>633</t>
        </is>
      </c>
      <c r="B641" s="4" t="s">
        <f>=HYPERLINK("http://anyluxury.ru/shop/instrumenty/multituly-i-nozhi/oficerskiy-nozh-mountaineer-91-krasniy-772950/" , "7729.50 Офицерский нож Mountaineer 91, красный")</f>
      </c>
      <c r="C641" s="4" t="n">
        <v>4249.00</v>
      </c>
      <c r="D641" s="4"/>
    </row>
    <row collapsed="" customFormat="false" customHeight="1" hidden="" ht="14" outlineLevel="0" r="642">
      <c r="A642" s="3" t="inlineStr">
        <is>
          <t>634</t>
        </is>
      </c>
      <c r="B642" s="4" t="s">
        <f>=HYPERLINK("http://anyluxury.ru/shop/instrumenty/multituly-i-nozhi/soldatskiy-nozh-s-fiksatorom-lezviya-picknicker-krasniy-773150/" , "7731.50 Солдатский нож с фиксатором лезвия Picknicker, красный")</f>
      </c>
      <c r="C642" s="4" t="n">
        <v>2890.00</v>
      </c>
      <c r="D642" s="4"/>
    </row>
    <row collapsed="" customFormat="false" customHeight="1" hidden="" ht="14" outlineLevel="0" r="643">
      <c r="A643" s="3" t="inlineStr">
        <is>
          <t>635</t>
        </is>
      </c>
      <c r="B643" s="4" t="s">
        <f>=HYPERLINK("http://anyluxury.ru/shop/instrumenty/multituly-i-nozhi/oficerskiy-nozh-ranger-91-krasniy-773450/" , "7734.50 Офицерский нож Ranger 91, красный")</f>
      </c>
      <c r="C643" s="4" t="n">
        <v>5349.00</v>
      </c>
      <c r="D643" s="4"/>
    </row>
    <row collapsed="" customFormat="false" customHeight="1" hidden="" ht="14" outlineLevel="0" r="644">
      <c r="A644" s="3" t="inlineStr">
        <is>
          <t>636</t>
        </is>
      </c>
      <c r="B644" s="4" t="s">
        <f>=HYPERLINK("http://anyluxury.ru/shop/instrumenty/multituly-i-nozhi/oficerskiy-nozh-climber-91-prozrachniy-krasniy-504955/" , "5049.55 Офицерский нож Climber 91, прозрачный красный")</f>
      </c>
      <c r="C644" s="4" t="n">
        <v>4139.00</v>
      </c>
      <c r="D644" s="4"/>
    </row>
    <row collapsed="" customFormat="false" customHeight="1" hidden="" ht="14" outlineLevel="0" r="645">
      <c r="A645" s="3" t="inlineStr">
        <is>
          <t>637</t>
        </is>
      </c>
      <c r="B645" s="4" t="s">
        <f>=HYPERLINK("http://anyluxury.ru/shop/instrumenty/multituly-i-nozhi/oficerskiy-nozh-climber-91-prozrachniy-siniy-504945/" , "5049.45 Офицерский нож Climber 91, прозрачный синий")</f>
      </c>
      <c r="C645" s="4" t="n">
        <v>4139.00</v>
      </c>
      <c r="D645" s="4"/>
    </row>
    <row collapsed="" customFormat="false" customHeight="1" hidden="" ht="14" outlineLevel="0" r="646">
      <c r="A646" s="3" t="inlineStr">
        <is>
          <t>638</t>
        </is>
      </c>
      <c r="B646" s="4" t="s">
        <f>=HYPERLINK("http://anyluxury.ru/shop/instrumenty/multituly-i-nozhi/oficerskiy-nozh-climber-91-prozrachniy-serebristiy-504915/" , "5049.15 Офицерский нож Climber 91, прозрачный серебристый")</f>
      </c>
      <c r="C646" s="4" t="n">
        <v>4139.00</v>
      </c>
      <c r="D646" s="4"/>
    </row>
    <row collapsed="" customFormat="false" customHeight="1" hidden="" ht="14" outlineLevel="0" r="647">
      <c r="A647" s="3" t="inlineStr">
        <is>
          <t>639</t>
        </is>
      </c>
      <c r="B647" s="4" t="s">
        <f>=HYPERLINK("http://anyluxury.ru/shop/instrumenty/multituly-i-nozhi/oficerskiy-nozh-super-tinker-91-krasniy-773750/" , "7737.50 Офицерский нож Super Tinker 91, красный")</f>
      </c>
      <c r="C647" s="4" t="n">
        <v>3549.00</v>
      </c>
      <c r="D647" s="4"/>
    </row>
    <row collapsed="" customFormat="false" customHeight="1" hidden="" ht="14" outlineLevel="0" r="648">
      <c r="A648" s="3" t="inlineStr">
        <is>
          <t>640</t>
        </is>
      </c>
      <c r="B648" s="4" t="s">
        <f>=HYPERLINK("http://anyluxury.ru/shop/instrumenty/multituly-i-nozhi/oficerskiy-nozh-swisschamp-91-cherniy-505730/" , "5057.30 Офицерский нож SWISSCHAMP 91, черный")</f>
      </c>
      <c r="C648" s="4" t="n">
        <v>9690.00</v>
      </c>
      <c r="D648" s="4"/>
    </row>
    <row collapsed="" customFormat="false" customHeight="1" hidden="" ht="14" outlineLevel="0" r="649">
      <c r="A649" s="3" t="inlineStr">
        <is>
          <t>641</t>
        </is>
      </c>
      <c r="B649" s="4" t="s">
        <f>=HYPERLINK("http://anyluxury.ru/shop/instrumenty/multituly-i-nozhi/oficerskiy-nozh-swisschamp-xlt-91-prozrachniy-krasniy-773850/" , "7738.50 Офицерский нож SwissChamp XLT 91, прозрачный красный")</f>
      </c>
      <c r="C649" s="4" t="n">
        <v>25490.00</v>
      </c>
      <c r="D649" s="4"/>
    </row>
    <row collapsed="" customFormat="false" customHeight="1" hidden="" ht="14" outlineLevel="0" r="650">
      <c r="A650" s="3" t="inlineStr">
        <is>
          <t>642</t>
        </is>
      </c>
      <c r="B650" s="4" t="s">
        <f>=HYPERLINK("http://anyluxury.ru/shop/instrumenty/multituly-i-nozhi/oficerskiy-nozh-tinker-91-krasniy-773950/" , "7739.50 Офицерский нож Tinker 91, красный")</f>
      </c>
      <c r="C650" s="4" t="n">
        <v>2199.00</v>
      </c>
      <c r="D650" s="4"/>
    </row>
    <row collapsed="" customFormat="false" customHeight="1" hidden="" ht="14" outlineLevel="0" r="651">
      <c r="A651" s="3" t="inlineStr">
        <is>
          <t>643</t>
        </is>
      </c>
      <c r="B651" s="4" t="s">
        <f>=HYPERLINK("http://anyluxury.ru/shop/instrumenty/multituly-i-nozhi/soldatskiy-nozh-s-fiksatorom-lezviya-workchamp-krasniy-774450/" , "7744.50 Солдатский нож с фиксатором лезвия WorkChamp, красный")</f>
      </c>
      <c r="C651" s="4" t="n">
        <v>6699.00</v>
      </c>
      <c r="D651" s="4"/>
    </row>
    <row collapsed="" customFormat="false" customHeight="1" hidden="" ht="14" outlineLevel="0" r="652">
      <c r="A652" s="3" t="inlineStr">
        <is>
          <t>644</t>
        </is>
      </c>
      <c r="B652" s="4" t="s">
        <f>=HYPERLINK("http://anyluxury.ru/shop/instrumenty/multituly-i-nozhi/soldatskiy-nozh-s-fiksatorom-lezviya-workchamp-cherniy-774430/" , "7744.30 Солдатский нож с фиксатором лезвия WorkChamp, черный")</f>
      </c>
      <c r="C652" s="4" t="n">
        <v>6699.00</v>
      </c>
      <c r="D652" s="4"/>
    </row>
    <row collapsed="" customFormat="false" customHeight="1" hidden="" ht="14" outlineLevel="0" r="653">
      <c r="A653" s="3" t="inlineStr">
        <is>
          <t>645</t>
        </is>
      </c>
      <c r="B653" s="4" t="s">
        <f>=HYPERLINK("http://anyluxury.ru/shop/instrumenty/multituly-i-nozhi/oficerskiy-nozh-spartan-91-prozrachniy-siniy-504645/" , "5046.45 Офицерский нож Spartan 91, прозрачный синий")</f>
      </c>
      <c r="C653" s="4" t="n">
        <v>2249.00</v>
      </c>
      <c r="D653" s="4"/>
    </row>
    <row collapsed="" customFormat="false" customHeight="1" hidden="" ht="14" outlineLevel="0" r="654">
      <c r="A654" s="3" t="inlineStr">
        <is>
          <t>646</t>
        </is>
      </c>
      <c r="B654" s="4" t="s">
        <f>=HYPERLINK("http://anyluxury.ru/shop/instrumenty/multituly-i-nozhi/oficerskiy-nozh-cybertool-s-prozrachniy-krasniy-774555/" , "7745.55 Офицерский нож CyberTool S, прозрачный красный")</f>
      </c>
      <c r="C654" s="4" t="n">
        <v>8149.00</v>
      </c>
      <c r="D654" s="4"/>
    </row>
    <row collapsed="" customFormat="false" customHeight="1" hidden="" ht="14" outlineLevel="0" r="655">
      <c r="A655" s="3" t="inlineStr">
        <is>
          <t>647</t>
        </is>
      </c>
      <c r="B655" s="4" t="s">
        <f>=HYPERLINK("http://anyluxury.ru/shop/instrumenty/multituly-i-nozhi/oficerskiy-nozh-cybertool-l-prozrachniy-krasniy-774655/" , "7746.55 Офицерский нож CyberTool L, прозрачный красный")</f>
      </c>
      <c r="C655" s="4" t="n">
        <v>10849.00</v>
      </c>
      <c r="D655" s="4"/>
    </row>
    <row collapsed="" customFormat="false" customHeight="1" hidden="" ht="14" outlineLevel="0" r="656">
      <c r="A656" s="3" t="inlineStr">
        <is>
          <t>648</t>
        </is>
      </c>
      <c r="B656" s="4" t="s">
        <f>=HYPERLINK("http://anyluxury.ru/shop/instrumenty/multituly-i-nozhi/oficerskiy-nozh-cybertool-l-poluprozrachniy-krasniy-774755/" , "7747.55 Офицерский нож CyberTool L, полупрозрачный красный")</f>
      </c>
      <c r="C656" s="4" t="n">
        <v>12690.00</v>
      </c>
      <c r="D656" s="4"/>
    </row>
    <row collapsed="" customFormat="false" customHeight="1" hidden="" ht="14" outlineLevel="0" r="657">
      <c r="A657" s="3" t="inlineStr">
        <is>
          <t>649</t>
        </is>
      </c>
      <c r="B657" s="4" t="s">
        <f>=HYPERLINK("http://anyluxury.ru/shop/instrumenty/multituly-i-nozhi/soldatskiy-nozh-s-fiksatorom-lezviya-sentinel-one-hand-clip-cherniy-775030/" , "7750.30 Солдатский нож с фиксатором лезвия Sentinel One Hand Clip, черный")</f>
      </c>
      <c r="C657" s="4" t="n">
        <v>3549.00</v>
      </c>
      <c r="D657" s="4"/>
    </row>
    <row collapsed="" customFormat="false" customHeight="1" hidden="" ht="14" outlineLevel="0" r="658">
      <c r="A658" s="3" t="inlineStr">
        <is>
          <t>650</t>
        </is>
      </c>
      <c r="B658" s="4" t="s">
        <f>=HYPERLINK("http://anyluxury.ru/shop/instrumenty/multituly-i-nozhi/soldatskiy-nozh-s-fiksatorom-lezviya-adventurer-krasniy-775250/" , "7752.50 Солдатский нож с фиксатором лезвия Adventurer, красный")</f>
      </c>
      <c r="C658" s="4" t="n">
        <v>2599.00</v>
      </c>
      <c r="D658" s="4"/>
    </row>
    <row collapsed="" customFormat="false" customHeight="1" hidden="" ht="14" outlineLevel="0" r="659">
      <c r="A659" s="3" t="inlineStr">
        <is>
          <t>651</t>
        </is>
      </c>
      <c r="B659" s="4" t="s">
        <f>=HYPERLINK("http://anyluxury.ru/shop/instrumenty/multituly-i-nozhi/soldatskiy-nozh-s-fiksatorom-lezviya-atlas-krasniy-775450/" , "7754.50 Солдатский нож с фиксатором лезвия Atlas, красный")</f>
      </c>
      <c r="C659" s="4" t="n">
        <v>5149.00</v>
      </c>
      <c r="D659" s="4"/>
    </row>
    <row collapsed="" customFormat="false" customHeight="1" hidden="" ht="14" outlineLevel="0" r="660">
      <c r="A660" s="3" t="inlineStr">
        <is>
          <t>652</t>
        </is>
      </c>
      <c r="B660" s="4" t="s">
        <f>=HYPERLINK("http://anyluxury.ru/shop/instrumenty/multituly-i-nozhi/soldatskiy-nozh-s-fiksatorom-lezviya-atlas-cherniy-775430/" , "7754.30 Солдатский нож с фиксатором лезвия Atlas, черный")</f>
      </c>
      <c r="C660" s="4" t="n">
        <v>5149.00</v>
      </c>
      <c r="D660" s="4"/>
    </row>
    <row collapsed="" customFormat="false" customHeight="1" hidden="" ht="14" outlineLevel="0" r="661">
      <c r="A661" s="3" t="inlineStr">
        <is>
          <t>653</t>
        </is>
      </c>
      <c r="B661" s="4" t="s">
        <f>=HYPERLINK("http://anyluxury.ru/shop/instrumenty/multituly-i-nozhi/tochilka-dlya-nozhey-7767/" , "7767 Точилка для ножей")</f>
      </c>
      <c r="C661" s="4" t="n">
        <v>429.00</v>
      </c>
      <c r="D661" s="4"/>
    </row>
    <row collapsed="" customFormat="false" customHeight="1" hidden="" ht="14" outlineLevel="0" r="662">
      <c r="A662" s="3" t="inlineStr">
        <is>
          <t>654</t>
        </is>
      </c>
      <c r="B662" s="4" t="s">
        <f>=HYPERLINK("http://anyluxury.ru/shop/instrumenty/multituly-i-nozhi/karmannaya-tochilka-dlya-nozhey-7769/" , "7769 Карманная точилка для ножей")</f>
      </c>
      <c r="C662" s="4" t="n">
        <v>1449.00</v>
      </c>
      <c r="D662" s="4"/>
    </row>
    <row collapsed="" customFormat="false" customHeight="1" hidden="" ht="14" outlineLevel="0" r="663">
      <c r="A663" s="3" t="inlineStr">
        <is>
          <t>655</t>
        </is>
      </c>
      <c r="B663" s="4" t="s">
        <f>=HYPERLINK("http://anyluxury.ru/shop/instrumenty/multituly-i-nozhi/nozh-perochinniy-huntsman-91-zeleniy-kamuflyazh-1137297/" , "11372.97 Нож перочинный Huntsman 91, зеленый камуфляж")</f>
      </c>
      <c r="C663" s="4" t="n">
        <v>4390.00</v>
      </c>
      <c r="D663" s="4"/>
    </row>
    <row collapsed="" customFormat="false" customHeight="1" hidden="" ht="14" outlineLevel="0" r="664">
      <c r="A664" s="3" t="inlineStr">
        <is>
          <t>656</t>
        </is>
      </c>
      <c r="B664" s="4" t="s">
        <f>=HYPERLINK("http://anyluxury.ru/shop/instrumenty/multituly-i-nozhi/multitul-scout-siniy-482040/" , "4820.40 Мультитул Scout, синий")</f>
      </c>
      <c r="C664" s="4" t="n">
        <v>990.00</v>
      </c>
      <c r="D664" s="4"/>
    </row>
    <row collapsed="" customFormat="false" customHeight="1" hidden="" ht="14" outlineLevel="0" r="665">
      <c r="A665" s="3" t="inlineStr">
        <is>
          <t>657</t>
        </is>
      </c>
      <c r="B665" s="4" t="s">
        <f>=HYPERLINK("http://anyluxury.ru/shop/instrumenty/multituly-i-nozhi/multitul-scout-krasniy-482050/" , "4820.50 Мультитул Scout, красный")</f>
      </c>
      <c r="C665" s="4" t="n">
        <v>990.00</v>
      </c>
      <c r="D665" s="4"/>
    </row>
    <row collapsed="" customFormat="false" customHeight="1" hidden="" ht="14" outlineLevel="0" r="666">
      <c r="A666" s="3" t="inlineStr">
        <is>
          <t>658</t>
        </is>
      </c>
      <c r="B666" s="4" t="s">
        <f>=HYPERLINK("http://anyluxury.ru/shop/instrumenty/multituly-i-nozhi/multitul-scout-serebristiy-482010/" , "4820.10 Мультитул Scout, серебристый")</f>
      </c>
      <c r="C666" s="4" t="n">
        <v>990.00</v>
      </c>
      <c r="D666" s="4"/>
    </row>
    <row collapsed="" customFormat="false" customHeight="1" hidden="" ht="14" outlineLevel="0" r="667">
      <c r="A667" s="3" t="inlineStr">
        <is>
          <t>659</t>
        </is>
      </c>
      <c r="B667" s="4" t="s">
        <f>=HYPERLINK("http://anyluxury.ru/shop/instrumenty/multituly-i-nozhi/multitul-scout-cherniy-482030/" , "4820.30 Мультитул Scout, черный")</f>
      </c>
      <c r="C667" s="4" t="n">
        <v>990.00</v>
      </c>
      <c r="D667" s="4"/>
    </row>
    <row collapsed="" customFormat="false" customHeight="1" hidden="" ht="14" outlineLevel="0" r="668">
      <c r="A668" s="3" t="inlineStr">
        <is>
          <t>660</t>
        </is>
      </c>
      <c r="B668" s="4" t="s">
        <f>=HYPERLINK("http://anyluxury.ru/shop/instrumenty/multituly-i-nozhi/oficerskiy-nozh-tinker-91-cherniy-773930/" , "7739.30 Офицерский нож Tinker 91, черный")</f>
      </c>
      <c r="C668" s="4" t="n">
        <v>2199.00</v>
      </c>
      <c r="D668" s="4"/>
    </row>
    <row collapsed="" customFormat="false" customHeight="1" hidden="" ht="14" outlineLevel="0" r="669">
      <c r="A669" s="3" t="inlineStr">
        <is>
          <t>661</t>
        </is>
      </c>
      <c r="B669" s="4" t="s">
        <f>=HYPERLINK("http://anyluxury.ru/shop/instrumenty/multituly-i-nozhi/nozh-perochinniy-walker-84-krasniy-1133250/" , "11332.50 Нож перочинный Walker 84, красный")</f>
      </c>
      <c r="C669" s="4" t="n">
        <v>1899.00</v>
      </c>
      <c r="D669" s="4"/>
    </row>
    <row collapsed="" customFormat="false" customHeight="1" hidden="" ht="14" outlineLevel="0" r="670">
      <c r="A670" s="3" t="inlineStr">
        <is>
          <t>662</t>
        </is>
      </c>
      <c r="B670" s="4" t="s">
        <f>=HYPERLINK("http://anyluxury.ru/shop/instrumenty/multituly-i-nozhi/nozh-perochinniy-classic-58-zeleniy-kamuflyazh-1016997/" , "10169.97 Нож перочинный Classic 58, зеленый камуфляж")</f>
      </c>
      <c r="C670" s="4" t="n">
        <v>2279.00</v>
      </c>
      <c r="D670" s="4"/>
    </row>
    <row collapsed="" customFormat="false" customHeight="1" hidden="" ht="14" outlineLevel="0" r="671">
      <c r="A671" s="3" t="inlineStr">
        <is>
          <t>663</t>
        </is>
      </c>
      <c r="B671" s="4" t="s">
        <f>=HYPERLINK("http://anyluxury.ru/shop/instrumenty/multituly-i-nozhi/nozh-perochinniy-classic-58-bezheviy-kamuflyazh-1016917/" , "10169.17 Нож перочинный Classic 58, бежевый камуфляж")</f>
      </c>
      <c r="C671" s="4" t="n">
        <v>2279.00</v>
      </c>
      <c r="D671" s="4"/>
    </row>
    <row collapsed="" customFormat="false" customHeight="1" hidden="" ht="14" outlineLevel="0" r="672">
      <c r="A672" s="3" t="inlineStr">
        <is>
          <t>664</t>
        </is>
      </c>
      <c r="B672" s="4" t="s">
        <f>=HYPERLINK("http://anyluxury.ru/shop/instrumenty/multituly-i-nozhi/oficerskiy-nozh-spartan-91-zeleniy-kamuflyazh-1125797/" , "11257.97 Офицерский нож Spartan 91, зеленый камуфляж")</f>
      </c>
      <c r="C672" s="4" t="n">
        <v>2690.00</v>
      </c>
      <c r="D672" s="4"/>
    </row>
    <row collapsed="" customFormat="false" customHeight="1" hidden="" ht="14" outlineLevel="0" r="673">
      <c r="A673" s="3" t="inlineStr">
        <is>
          <t>665</t>
        </is>
      </c>
      <c r="B673" s="4" t="s">
        <f>=HYPERLINK("http://anyluxury.ru/shop/instrumenty/multituly-i-nozhi/nozh-perochinniy-huntsman-wood-91-1137101/" , "11371.01 Нож перочинный Huntsman Wood 91")</f>
      </c>
      <c r="C673" s="4" t="n">
        <v>5590.00</v>
      </c>
      <c r="D673" s="4"/>
    </row>
    <row collapsed="" customFormat="false" customHeight="1" hidden="" ht="14" outlineLevel="0" r="674">
      <c r="A674" s="3" t="inlineStr">
        <is>
          <t>666</t>
        </is>
      </c>
      <c r="B674" s="4" t="s">
        <f>=HYPERLINK("http://anyluxury.ru/shop/instrumenty/multituly-i-nozhi/nabor-instrumentov-fix-it-7412230/" , "74122.30 Набор инструментов Fix It")</f>
      </c>
      <c r="C674" s="4" t="n">
        <v>746.00</v>
      </c>
      <c r="D674" s="4"/>
    </row>
    <row collapsed="" customFormat="false" customHeight="1" hidden="" ht="14" outlineLevel="0" r="675">
      <c r="A675" s="3" t="inlineStr">
        <is>
          <t>667</t>
        </is>
      </c>
      <c r="B675" s="4" t="s">
        <f>=HYPERLINK("http://anyluxury.ru/shop/instrumenty/multituly-i-nozhi/shveycarskiy-nozh-d01-krasniy-1070250/" , "10702.50 Швейцарский нож D01, красный")</f>
      </c>
      <c r="C675" s="4" t="n">
        <v>2400.00</v>
      </c>
      <c r="D675" s="4"/>
    </row>
    <row collapsed="" customFormat="false" customHeight="1" hidden="" ht="14" outlineLevel="0" r="676">
      <c r="A676" s="3" t="inlineStr">
        <is>
          <t>668</t>
        </is>
      </c>
      <c r="B676" s="4" t="s">
        <f>=HYPERLINK("http://anyluxury.ru/shop/instrumenty/multituly-i-nozhi/shveycarskiy-nozh-d03-krasniy-1070350/" , "10703.50 Швейцарский нож D03, красный")</f>
      </c>
      <c r="C676" s="4" t="n">
        <v>3000.00</v>
      </c>
      <c r="D676" s="4"/>
    </row>
    <row collapsed="" customFormat="false" customHeight="1" hidden="" ht="14" outlineLevel="0" r="677">
      <c r="A677" s="3" t="inlineStr">
        <is>
          <t>669</t>
        </is>
      </c>
      <c r="B677" s="4" t="s">
        <f>=HYPERLINK("http://anyluxury.ru/shop/instrumenty/multituly-i-nozhi/multitul-mako-ti-1083013/" , "10830.13 Мультитул Mako Ti")</f>
      </c>
      <c r="C677" s="4" t="n">
        <v>3194.00</v>
      </c>
      <c r="D677" s="4"/>
    </row>
    <row collapsed="" customFormat="false" customHeight="1" hidden="" ht="14" outlineLevel="0" r="678">
      <c r="A678" s="3" t="inlineStr">
        <is>
          <t>670</t>
        </is>
      </c>
      <c r="B678" s="4" t="s">
        <f>=HYPERLINK("http://anyluxury.ru/shop/instrumenty/multituly-i-nozhi/multitul-oht-cherniy-1083130/" , "10831.30 Мультитул OHT, черный")</f>
      </c>
      <c r="C678" s="4" t="n">
        <v>12990.00</v>
      </c>
      <c r="D678" s="4"/>
    </row>
    <row collapsed="" customFormat="false" customHeight="1" hidden="" ht="14" outlineLevel="0" r="679">
      <c r="A679" s="3" t="inlineStr">
        <is>
          <t>671</t>
        </is>
      </c>
      <c r="B679" s="4" t="s">
        <f>=HYPERLINK("http://anyluxury.ru/shop/instrumenty/multituly-i-nozhi/multitul-oht-haki-1083199/" , "10831.99 Мультитул OHT, хаки")</f>
      </c>
      <c r="C679" s="4" t="n">
        <v>14100.00</v>
      </c>
      <c r="D679" s="4"/>
    </row>
    <row collapsed="" customFormat="false" customHeight="1" hidden="" ht="14" outlineLevel="0" r="680">
      <c r="A680" s="3" t="inlineStr">
        <is>
          <t>672</t>
        </is>
      </c>
      <c r="B680" s="4" t="s">
        <f>=HYPERLINK("http://anyluxury.ru/shop/instrumenty/multituly-i-nozhi/multitul-oht-serebristiy-1083110/" , "10831.10 Мультитул OHT, серебристый")</f>
      </c>
      <c r="C680" s="4" t="n">
        <v>11740.00</v>
      </c>
      <c r="D680" s="4"/>
    </row>
    <row collapsed="" customFormat="false" customHeight="1" hidden="" ht="14" outlineLevel="0" r="681">
      <c r="A681" s="3" t="inlineStr">
        <is>
          <t>673</t>
        </is>
      </c>
      <c r="B681" s="4" t="s">
        <f>=HYPERLINK("http://anyluxury.ru/shop/instrumenty/multituly-i-nozhi/multitul-wave-plus-s-kozhanim-chehlom-serebristiy-1083210/" , "10832.10 Мультитул Wave Plus, стальной")</f>
      </c>
      <c r="C681" s="4" t="n">
        <v>23790.00</v>
      </c>
      <c r="D681" s="4"/>
    </row>
    <row collapsed="" customFormat="false" customHeight="1" hidden="" ht="14" outlineLevel="0" r="682">
      <c r="A682" s="3" t="inlineStr">
        <is>
          <t>674</t>
        </is>
      </c>
      <c r="B682" s="4" t="s">
        <f>=HYPERLINK("http://anyluxury.ru/shop/instrumenty/multituly-i-nozhi/multitul-wave-plus-s-neylonovim-chehlom-cherniy-1083330/" , "10833.30 Мультитул Wave Plus с нейлоновым чехлом, черный")</f>
      </c>
      <c r="C682" s="4" t="n">
        <v>27250.00</v>
      </c>
      <c r="D682" s="4"/>
    </row>
    <row collapsed="" customFormat="false" customHeight="1" hidden="" ht="14" outlineLevel="0" r="683">
      <c r="A683" s="3" t="inlineStr">
        <is>
          <t>675</t>
        </is>
      </c>
      <c r="B683" s="4" t="s">
        <f>=HYPERLINK("http://anyluxury.ru/shop/instrumenty/multituly-i-nozhi/multitul-wingman-1083410/" , "10834.10 Мультитул Wingman, стальной")</f>
      </c>
      <c r="C683" s="4" t="n">
        <v>15490.00</v>
      </c>
      <c r="D683" s="4"/>
    </row>
    <row collapsed="" customFormat="false" customHeight="1" hidden="" ht="14" outlineLevel="0" r="684">
      <c r="A684" s="3" t="inlineStr">
        <is>
          <t>676</t>
        </is>
      </c>
      <c r="B684" s="4" t="s">
        <f>=HYPERLINK("http://anyluxury.ru/shop/instrumenty/multituly-i-nozhi/multitul-juice-s2-oranzheviy-1083520/" , "10835.20 Мультитул Juice S2, оранжевый")</f>
      </c>
      <c r="C684" s="4" t="n">
        <v>6947.00</v>
      </c>
      <c r="D684" s="4"/>
    </row>
    <row collapsed="" customFormat="false" customHeight="1" hidden="" ht="14" outlineLevel="0" r="685">
      <c r="A685" s="3" t="inlineStr">
        <is>
          <t>677</t>
        </is>
      </c>
      <c r="B685" s="4" t="s">
        <f>=HYPERLINK("http://anyluxury.ru/shop/instrumenty/multituly-i-nozhi/multitul-juice-s2-temnoseriy-1083511/" , "10835.11 Мультитул Juice S2, темно-серый")</f>
      </c>
      <c r="C685" s="4" t="n">
        <v>6947.00</v>
      </c>
      <c r="D685" s="4"/>
    </row>
    <row collapsed="" customFormat="false" customHeight="1" hidden="" ht="14" outlineLevel="0" r="686">
      <c r="A686" s="3" t="inlineStr">
        <is>
          <t>678</t>
        </is>
      </c>
      <c r="B686" s="4" t="s">
        <f>=HYPERLINK("http://anyluxury.ru/shop/instrumenty/multituly-i-nozhi/multitul-crunch-1083610/" , "10836.10 Мультитул Crunch")</f>
      </c>
      <c r="C686" s="4" t="n">
        <v>14120.00</v>
      </c>
      <c r="D686" s="4"/>
    </row>
    <row collapsed="" customFormat="false" customHeight="1" hidden="" ht="14" outlineLevel="0" r="687">
      <c r="A687" s="3" t="inlineStr">
        <is>
          <t>679</t>
        </is>
      </c>
      <c r="B687" s="4" t="s">
        <f>=HYPERLINK("http://anyluxury.ru/shop/instrumenty/multituly-i-nozhi/multitul-rebar-s-kozhanim-chehlom-1083810/" , "10838.10 Мультитул Rebar с кожаным чехлом")</f>
      </c>
      <c r="C687" s="4" t="n">
        <v>14639.00</v>
      </c>
      <c r="D687" s="4"/>
    </row>
    <row collapsed="" customFormat="false" customHeight="1" hidden="" ht="14" outlineLevel="0" r="688">
      <c r="A688" s="3" t="inlineStr">
        <is>
          <t>680</t>
        </is>
      </c>
      <c r="B688" s="4" t="s">
        <f>=HYPERLINK("http://anyluxury.ru/shop/instrumenty/multituly-i-nozhi/multitul-rebar-s-neylonovim-chehlom-haki-1083999/" , "10839.99 Мультитул Rebar Coyote, коричневый")</f>
      </c>
      <c r="C688" s="4" t="n">
        <v>17880.00</v>
      </c>
      <c r="D688" s="4"/>
    </row>
    <row collapsed="" customFormat="false" customHeight="1" hidden="" ht="14" outlineLevel="0" r="689">
      <c r="A689" s="3" t="inlineStr">
        <is>
          <t>681</t>
        </is>
      </c>
      <c r="B689" s="4" t="s">
        <f>=HYPERLINK("http://anyluxury.ru/shop/instrumenty/multituly-i-nozhi/multitul-rebar-s-neylonovim-chehlom-cherniy-1083930/" , "10839.30 Мультитул Rebar с нейлоновым чехлом, черный")</f>
      </c>
      <c r="C689" s="4" t="n">
        <v>9370.00</v>
      </c>
      <c r="D689" s="4"/>
    </row>
    <row collapsed="" customFormat="false" customHeight="1" hidden="" ht="14" outlineLevel="0" r="690">
      <c r="A690" s="3" t="inlineStr">
        <is>
          <t>682</t>
        </is>
      </c>
      <c r="B690" s="4" t="s">
        <f>=HYPERLINK("http://anyluxury.ru/shop/instrumenty/multituly-i-nozhi/multitul-rev-s-chehlom-1086610/" , "10866.10 Мультитул Rev, серебристый")</f>
      </c>
      <c r="C690" s="4" t="n">
        <v>12490.00</v>
      </c>
      <c r="D690" s="4"/>
    </row>
    <row collapsed="" customFormat="false" customHeight="1" hidden="" ht="14" outlineLevel="0" r="691">
      <c r="A691" s="3" t="inlineStr">
        <is>
          <t>683</t>
        </is>
      </c>
      <c r="B691" s="4" t="s">
        <f>=HYPERLINK("http://anyluxury.ru/shop/instrumenty/multituly-i-nozhi/multitul-rev-bez-chehla-1084011/" , "10840.11 Мультитул Rev, без чехла")</f>
      </c>
      <c r="C691" s="4" t="n">
        <v>4860.00</v>
      </c>
      <c r="D691" s="4"/>
    </row>
    <row collapsed="" customFormat="false" customHeight="1" hidden="" ht="14" outlineLevel="0" r="692">
      <c r="A692" s="3" t="inlineStr">
        <is>
          <t>684</t>
        </is>
      </c>
      <c r="B692" s="4" t="s">
        <f>=HYPERLINK("http://anyluxury.ru/shop/instrumenty/multituly-i-nozhi/multitul-sidekick-1084110/" , "10841.10 Мультитул Sidekick, серебристый")</f>
      </c>
      <c r="C692" s="4" t="n">
        <v>15490.00</v>
      </c>
      <c r="D692" s="4"/>
    </row>
    <row collapsed="" customFormat="false" customHeight="1" hidden="" ht="14" outlineLevel="0" r="693">
      <c r="A693" s="3" t="inlineStr">
        <is>
          <t>685</t>
        </is>
      </c>
      <c r="B693" s="4" t="s">
        <f>=HYPERLINK("http://anyluxury.ru/shop/instrumenty/multituly-i-nozhi/multitul-signal-1084213/" , "10842.13 Мультитул Signal, стальной-черный")</f>
      </c>
      <c r="C693" s="4" t="n">
        <v>30175.00</v>
      </c>
      <c r="D693" s="4"/>
    </row>
    <row collapsed="" customFormat="false" customHeight="1" hidden="" ht="14" outlineLevel="0" r="694">
      <c r="A694" s="3" t="inlineStr">
        <is>
          <t>686</t>
        </is>
      </c>
      <c r="B694" s="4" t="s">
        <f>=HYPERLINK("http://anyluxury.ru/shop/instrumenty/multituly-i-nozhi/multitul-squirt-es4-krasniy-1084350/" , "10843.50 Мультитул Squirt ES4, красный")</f>
      </c>
      <c r="C694" s="4" t="n">
        <v>3741.00</v>
      </c>
      <c r="D694" s="4"/>
    </row>
    <row collapsed="" customFormat="false" customHeight="1" hidden="" ht="14" outlineLevel="0" r="695">
      <c r="A695" s="3" t="inlineStr">
        <is>
          <t>687</t>
        </is>
      </c>
      <c r="B695" s="4" t="s">
        <f>=HYPERLINK("http://anyluxury.ru/shop/instrumenty/multituly-i-nozhi/multitul-squirt-es4-siniy-1084340/" , "10843.40 Мультитул Squirt ES4, синий")</f>
      </c>
      <c r="C695" s="4" t="n">
        <v>3741.00</v>
      </c>
      <c r="D695" s="4"/>
    </row>
    <row collapsed="" customFormat="false" customHeight="1" hidden="" ht="14" outlineLevel="0" r="696">
      <c r="A696" s="3" t="inlineStr">
        <is>
          <t>688</t>
        </is>
      </c>
      <c r="B696" s="4" t="s">
        <f>=HYPERLINK("http://anyluxury.ru/shop/instrumenty/multituly-i-nozhi/multitul-squirt-es4-cherniy-1084330/" , "10843.30 Мультитул Squirt ES4, черный")</f>
      </c>
      <c r="C696" s="4" t="n">
        <v>3741.00</v>
      </c>
      <c r="D696" s="4"/>
    </row>
    <row collapsed="" customFormat="false" customHeight="1" hidden="" ht="14" outlineLevel="0" r="697">
      <c r="A697" s="3" t="inlineStr">
        <is>
          <t>689</t>
        </is>
      </c>
      <c r="B697" s="4" t="s">
        <f>=HYPERLINK("http://anyluxury.ru/shop/instrumenty/multituly-i-nozhi/multitul-squirt-ps4-krasniy-1084450/" , "10844.50 Мультитул Squirt PS4, красный")</f>
      </c>
      <c r="C697" s="4" t="n">
        <v>3741.00</v>
      </c>
      <c r="D697" s="4"/>
    </row>
    <row collapsed="" customFormat="false" customHeight="1" hidden="" ht="14" outlineLevel="0" r="698">
      <c r="A698" s="3" t="inlineStr">
        <is>
          <t>690</t>
        </is>
      </c>
      <c r="B698" s="4" t="s">
        <f>=HYPERLINK("http://anyluxury.ru/shop/instrumenty/multituly-i-nozhi/multitul-squirt-ps4-siniy-1084440/" , "10844.40 Мультитул Squirt PS4, синий")</f>
      </c>
      <c r="C698" s="4" t="n">
        <v>3741.00</v>
      </c>
      <c r="D698" s="4"/>
    </row>
    <row collapsed="" customFormat="false" customHeight="1" hidden="" ht="14" outlineLevel="0" r="699">
      <c r="A699" s="3" t="inlineStr">
        <is>
          <t>691</t>
        </is>
      </c>
      <c r="B699" s="4" t="s">
        <f>=HYPERLINK("http://anyluxury.ru/shop/instrumenty/multituly-i-nozhi/multitul-squirt-ps4-cherniy-1084430/" , "10844.30 Мультитул Squirt PS4, черный")</f>
      </c>
      <c r="C699" s="4" t="n">
        <v>3741.00</v>
      </c>
      <c r="D699" s="4"/>
    </row>
    <row collapsed="" customFormat="false" customHeight="1" hidden="" ht="14" outlineLevel="0" r="700">
      <c r="A700" s="3" t="inlineStr">
        <is>
          <t>692</t>
        </is>
      </c>
      <c r="B700" s="4" t="s">
        <f>=HYPERLINK("http://anyluxury.ru/shop/instrumenty/multituly-i-nozhi/multitul-skeletool-serebristiy-1084510/" , "10845.10 Мультитул Skeletool, серебристый")</f>
      </c>
      <c r="C700" s="4" t="n">
        <v>15100.00</v>
      </c>
      <c r="D700" s="4"/>
    </row>
    <row collapsed="" customFormat="false" customHeight="1" hidden="" ht="14" outlineLevel="0" r="701">
      <c r="A701" s="3" t="inlineStr">
        <is>
          <t>693</t>
        </is>
      </c>
      <c r="B701" s="4" t="s">
        <f>=HYPERLINK("http://anyluxury.ru/shop/instrumenty/multituly-i-nozhi/multitul-skeletool-haki-1084599/" , "10845.99 Мультитул Skeletool, хаки")</f>
      </c>
      <c r="C701" s="4" t="n">
        <v>18490.00</v>
      </c>
      <c r="D701" s="4"/>
    </row>
    <row collapsed="" customFormat="false" customHeight="1" hidden="" ht="14" outlineLevel="0" r="702">
      <c r="A702" s="3" t="inlineStr">
        <is>
          <t>694</t>
        </is>
      </c>
      <c r="B702" s="4" t="s">
        <f>=HYPERLINK("http://anyluxury.ru/shop/instrumenty/multituly-i-nozhi/multitul-skeletool-cx-1084613/" , "10846.13 Мультитул Skeletool CX, стальной с черным")</f>
      </c>
      <c r="C702" s="4" t="n">
        <v>24590.00</v>
      </c>
      <c r="D702" s="4"/>
    </row>
    <row collapsed="" customFormat="false" customHeight="1" hidden="" ht="14" outlineLevel="0" r="703">
      <c r="A703" s="3" t="inlineStr">
        <is>
          <t>695</t>
        </is>
      </c>
      <c r="B703" s="4" t="s">
        <f>=HYPERLINK("http://anyluxury.ru/shop/instrumenty/multituly-i-nozhi/nozh-skeletool-kbx-serebristiy-1084710/" , "10847.10 Нож Skeletool KBX, серебристый")</f>
      </c>
      <c r="C703" s="4" t="n">
        <v>4270.00</v>
      </c>
      <c r="D703" s="4"/>
    </row>
    <row collapsed="" customFormat="false" customHeight="1" hidden="" ht="14" outlineLevel="0" r="704">
      <c r="A704" s="3" t="inlineStr">
        <is>
          <t>696</t>
        </is>
      </c>
      <c r="B704" s="4" t="s">
        <f>=HYPERLINK("http://anyluxury.ru/shop/instrumenty/multituly-i-nozhi/nozh-skeletool-kbx-haki-1084799/" , "10847.99 Нож Skeletool KBX, хаки")</f>
      </c>
      <c r="C704" s="4" t="n">
        <v>4270.00</v>
      </c>
      <c r="D704" s="4"/>
    </row>
    <row collapsed="" customFormat="false" customHeight="1" hidden="" ht="14" outlineLevel="0" r="705">
      <c r="A705" s="3" t="inlineStr">
        <is>
          <t>697</t>
        </is>
      </c>
      <c r="B705" s="4" t="s">
        <f>=HYPERLINK("http://anyluxury.ru/shop/instrumenty/multituly-i-nozhi/nozh-skeletool-kbx-serebristocherniy-1084713/" , "10847.13 Нож Skeletool KBX, серебристо-черный")</f>
      </c>
      <c r="C705" s="4" t="n">
        <v>4270.00</v>
      </c>
      <c r="D705" s="4"/>
    </row>
    <row collapsed="" customFormat="false" customHeight="1" hidden="" ht="14" outlineLevel="0" r="706">
      <c r="A706" s="3" t="inlineStr">
        <is>
          <t>698</t>
        </is>
      </c>
      <c r="B706" s="4" t="s">
        <f>=HYPERLINK("http://anyluxury.ru/shop/instrumenty/multituly-i-nozhi/multitul-skeletool-rx-1084850/" , "10848.50 Мультитул Skeletool RX")</f>
      </c>
      <c r="C706" s="4" t="n">
        <v>24590.00</v>
      </c>
      <c r="D706" s="4"/>
    </row>
    <row collapsed="" customFormat="false" customHeight="1" hidden="" ht="14" outlineLevel="0" r="707">
      <c r="A707" s="3" t="inlineStr">
        <is>
          <t>699</t>
        </is>
      </c>
      <c r="B707" s="4" t="s">
        <f>=HYPERLINK("http://anyluxury.ru/shop/instrumenty/multituly-i-nozhi/multitul-style-ps-1085010/" , "10850.10 Мультитул Style PS")</f>
      </c>
      <c r="C707" s="4" t="n">
        <v>8250.00</v>
      </c>
      <c r="D707" s="4"/>
    </row>
    <row collapsed="" customFormat="false" customHeight="1" hidden="" ht="14" outlineLevel="0" r="708">
      <c r="A708" s="3" t="inlineStr">
        <is>
          <t>700</t>
        </is>
      </c>
      <c r="B708" s="4" t="s">
        <f>=HYPERLINK("http://anyluxury.ru/shop/instrumenty/multituly-i-nozhi/multitul-super-tool-300-1085110/" , "10851.10 Мультитул Super Tool 300")</f>
      </c>
      <c r="C708" s="4" t="n">
        <v>11800.00</v>
      </c>
      <c r="D708" s="4"/>
    </row>
    <row collapsed="" customFormat="false" customHeight="1" hidden="" ht="14" outlineLevel="0" r="709">
      <c r="A709" s="3" t="inlineStr">
        <is>
          <t>701</t>
        </is>
      </c>
      <c r="B709" s="4" t="s">
        <f>=HYPERLINK("http://anyluxury.ru/shop/instrumenty/multituly-i-nozhi/multitul-super-tool-300-eod-1085230/" , "10852.30 Мультитул Super Tool 300 EOD")</f>
      </c>
      <c r="C709" s="4" t="n">
        <v>22900.00</v>
      </c>
      <c r="D709" s="4"/>
    </row>
    <row collapsed="" customFormat="false" customHeight="1" hidden="" ht="14" outlineLevel="0" r="710">
      <c r="A710" s="3" t="inlineStr">
        <is>
          <t>702</t>
        </is>
      </c>
      <c r="B710" s="4" t="s">
        <f>=HYPERLINK("http://anyluxury.ru/shop/instrumenty/multituly-i-nozhi/multitul-super-tool-300-black-1085330/" , "10853.30 Мультитул Super Tool 300 Black")</f>
      </c>
      <c r="C710" s="4" t="n">
        <v>28500.00</v>
      </c>
      <c r="D710" s="4"/>
    </row>
    <row collapsed="" customFormat="false" customHeight="1" hidden="" ht="14" outlineLevel="0" r="711">
      <c r="A711" s="3" t="inlineStr">
        <is>
          <t>703</t>
        </is>
      </c>
      <c r="B711" s="4" t="s">
        <f>=HYPERLINK("http://anyluxury.ru/shop/instrumenty/multituly-i-nozhi/multitul-surge-1085430/" , "10854.30 Мультитул Surge Black")</f>
      </c>
      <c r="C711" s="4" t="n">
        <v>30590.00</v>
      </c>
      <c r="D711" s="4"/>
    </row>
    <row collapsed="" customFormat="false" customHeight="1" hidden="" ht="14" outlineLevel="0" r="712">
      <c r="A712" s="3" t="inlineStr">
        <is>
          <t>704</t>
        </is>
      </c>
      <c r="B712" s="4" t="s">
        <f>=HYPERLINK("http://anyluxury.ru/shop/instrumenty/multituly-i-nozhi/multitul-free-p2-1085510/" , "10855.10 Мультитул Free P2")</f>
      </c>
      <c r="C712" s="4" t="n">
        <v>15420.00</v>
      </c>
      <c r="D712" s="4"/>
    </row>
    <row collapsed="" customFormat="false" customHeight="1" hidden="" ht="14" outlineLevel="0" r="713">
      <c r="A713" s="3" t="inlineStr">
        <is>
          <t>705</t>
        </is>
      </c>
      <c r="B713" s="4" t="s">
        <f>=HYPERLINK("http://anyluxury.ru/shop/instrumenty/multituly-i-nozhi/multitul-free-p4-1085610/" , "10856.10 Мультитул Free P4")</f>
      </c>
      <c r="C713" s="4" t="n">
        <v>16660.00</v>
      </c>
      <c r="D713" s="4"/>
    </row>
    <row collapsed="" customFormat="false" customHeight="1" hidden="" ht="14" outlineLevel="0" r="714">
      <c r="A714" s="3" t="inlineStr">
        <is>
          <t>706</t>
        </is>
      </c>
      <c r="B714" s="4" t="s">
        <f>=HYPERLINK("http://anyluxury.ru/shop/instrumenty/multituly-i-nozhi/multitul-carge-plus-serebristocherniy-1085713/" , "10857.13 Мультитул Charge Plus, серебристо-черный")</f>
      </c>
      <c r="C714" s="4" t="n">
        <v>32490.00</v>
      </c>
      <c r="D714" s="4"/>
    </row>
    <row collapsed="" customFormat="false" customHeight="1" hidden="" ht="14" outlineLevel="0" r="715">
      <c r="A715" s="3" t="inlineStr">
        <is>
          <t>707</t>
        </is>
      </c>
      <c r="B715" s="4" t="s">
        <f>=HYPERLINK("http://anyluxury.ru/shop/instrumenty/multituly-i-nozhi/multitul-carge-plus-zeleniy-kamuflyazh-1085797/" , "10857.97 Мультитул Charge Plus, зеленый камуфляж")</f>
      </c>
      <c r="C715" s="4" t="n">
        <v>33350.00</v>
      </c>
      <c r="D715" s="4"/>
    </row>
    <row collapsed="" customFormat="false" customHeight="1" hidden="" ht="14" outlineLevel="0" r="716">
      <c r="A716" s="3" t="inlineStr">
        <is>
          <t>708</t>
        </is>
      </c>
      <c r="B716" s="4" t="s">
        <f>=HYPERLINK("http://anyluxury.ru/shop/instrumenty/multituly-i-nozhi/multitul-carge-plus-tti-1085813/" , "10858.13 Мультитул Charge Plus TTI, стальной")</f>
      </c>
      <c r="C716" s="4" t="n">
        <v>45500.00</v>
      </c>
      <c r="D716" s="4"/>
    </row>
    <row collapsed="" customFormat="false" customHeight="1" hidden="" ht="14" outlineLevel="0" r="717">
      <c r="A717" s="3" t="inlineStr">
        <is>
          <t>709</t>
        </is>
      </c>
      <c r="B717" s="4" t="s">
        <f>=HYPERLINK("http://anyluxury.ru/shop/instrumenty/multituly-i-nozhi/nozh-crater-c33-1085930/" , "10859.30 Нож Crater C33")</f>
      </c>
      <c r="C717" s="4" t="n">
        <v>2870.00</v>
      </c>
      <c r="D717" s="4"/>
    </row>
    <row collapsed="" customFormat="false" customHeight="1" hidden="" ht="14" outlineLevel="0" r="718">
      <c r="A718" s="3" t="inlineStr">
        <is>
          <t>710</t>
        </is>
      </c>
      <c r="B718" s="4" t="s">
        <f>=HYPERLINK("http://anyluxury.ru/shop/instrumenty/multituly-i-nozhi/multiinstrument-pocket-card-l-23-1032010/" , "10320.10 Мультиинструмент Pocket Card L 23+")</f>
      </c>
      <c r="C718" s="4" t="n">
        <v>459.00</v>
      </c>
      <c r="D718" s="4"/>
    </row>
    <row collapsed="" customFormat="false" customHeight="1" hidden="" ht="14" outlineLevel="0" r="719">
      <c r="A719" s="3" t="inlineStr">
        <is>
          <t>711</t>
        </is>
      </c>
      <c r="B719" s="4" t="s">
        <f>=HYPERLINK("http://anyluxury.ru/shop/instrumenty/multituly-i-nozhi/multiinstrument-hantwerk-seriy-1046210/" , "10462.10 Мультиинструмент Hantwerk, серый")</f>
      </c>
      <c r="C719" s="4" t="n">
        <v>2550.00</v>
      </c>
      <c r="D719" s="4"/>
    </row>
    <row collapsed="" customFormat="false" customHeight="1" hidden="" ht="14" outlineLevel="0" r="720">
      <c r="A720" s="3" t="inlineStr">
        <is>
          <t>712</t>
        </is>
      </c>
      <c r="B720" s="4" t="s">
        <f>=HYPERLINK("http://anyluxury.ru/shop/instrumenty/multituly-i-nozhi/otkrivalka-dlya-posilok-p215041/" , "P215.041 Открывалка для посылок")</f>
      </c>
      <c r="C720" s="4" t="n">
        <v>531.00</v>
      </c>
      <c r="D720" s="4"/>
    </row>
    <row collapsed="" customFormat="false" customHeight="1" hidden="" ht="14" outlineLevel="0" r="721">
      <c r="A721" s="3" t="inlineStr">
        <is>
          <t>713</t>
        </is>
      </c>
      <c r="B721" s="4" t="s">
        <f>=HYPERLINK("http://anyluxury.ru/shop/instrumenty/multituly-i-nozhi/bezopasniy-stroitelniy-nozh-iz-cinkovogo-splava-p215102/" , "P215.102 Безопасный строительный нож из цинкового сплава")</f>
      </c>
      <c r="C721" s="4" t="n">
        <v>881.00</v>
      </c>
      <c r="D721" s="4"/>
    </row>
    <row collapsed="" customFormat="false" customHeight="1" hidden="" ht="14" outlineLevel="0" r="722">
      <c r="A722" s="3" t="inlineStr">
        <is>
          <t>714</t>
        </is>
      </c>
      <c r="B722" s="4" t="s">
        <f>=HYPERLINK("http://anyluxury.ru/shop/instrumenty/multituly-i-nozhi/multiinstrument-ardvark-serebristiy-1309010/" , "13090.10 Мультиинструмент Ardvark, серебристый")</f>
      </c>
      <c r="C722" s="4" t="n">
        <v>1250.00</v>
      </c>
      <c r="D722" s="4"/>
    </row>
    <row collapsed="" customFormat="false" customHeight="1" hidden="" ht="14" outlineLevel="0" r="723">
      <c r="A723" s="3" t="inlineStr">
        <is>
          <t>715</t>
        </is>
      </c>
      <c r="B723" s="4" t="s">
        <f>=HYPERLINK("http://anyluxury.ru/shop/instrumenty/multituly-i-nozhi/multiinstrument-ardvark-siniy-1309040/" , "13090.40 Мультиинструмент Ardvark, синий")</f>
      </c>
      <c r="C723" s="4" t="n">
        <v>1250.00</v>
      </c>
      <c r="D723" s="4"/>
    </row>
    <row collapsed="" customFormat="false" customHeight="1" hidden="" ht="14" outlineLevel="0" r="724">
      <c r="A724" s="3" t="inlineStr">
        <is>
          <t>716</t>
        </is>
      </c>
      <c r="B724" s="4" t="s">
        <f>=HYPERLINK("http://anyluxury.ru/shop/instrumenty/multituly-i-nozhi/multiinstrument-ardvark-cherniy-1309030/" , "13090.30 Мультиинструмент Ardvark, черный")</f>
      </c>
      <c r="C724" s="4" t="n">
        <v>1250.00</v>
      </c>
      <c r="D724" s="4"/>
    </row>
    <row collapsed="" customFormat="false" customHeight="1" hidden="" ht="14" outlineLevel="0" r="725">
      <c r="A725" s="3" t="inlineStr">
        <is>
          <t>717</t>
        </is>
      </c>
      <c r="B725" s="4" t="s">
        <f>=HYPERLINK("http://anyluxury.ru/shop/instrumenty/multituly-i-nozhi/multitul-velosipedniy-velofix-cherniy-11881/" , "11881 Мультитул велосипедный Velofix, черный")</f>
      </c>
      <c r="C725" s="4" t="n">
        <v>476.00</v>
      </c>
      <c r="D725" s="4"/>
    </row>
    <row collapsed="" customFormat="false" customHeight="1" hidden="" ht="14" outlineLevel="0" r="726">
      <c r="A726" s="3" t="inlineStr">
        <is>
          <t>718</t>
        </is>
      </c>
      <c r="B726" s="4" t="s">
        <f>=HYPERLINK("http://anyluxury.ru/shop/instrumenty/multituly-i-nozhi/multitul-velosipedniy-tandem-seriy-1704210/" , "17042.10 Мультитул велосипедный Tandem, серый")</f>
      </c>
      <c r="C726" s="4" t="n">
        <v>1320.00</v>
      </c>
      <c r="D726" s="4"/>
    </row>
    <row collapsed="" customFormat="false" customHeight="1" hidden="" ht="14" outlineLevel="0" r="727">
      <c r="A727" s="3" t="inlineStr">
        <is>
          <t>719</t>
        </is>
      </c>
      <c r="B727" s="4" t="s">
        <f>=HYPERLINK("http://anyluxury.ru/shop/instrumenty/multituly-i-nozhi/multitul-toolinator-cherniy-1372330/" , "13723.30 Мультитул Toolinator, черный")</f>
      </c>
      <c r="C727" s="4" t="n">
        <v>2240.00</v>
      </c>
      <c r="D727" s="4"/>
    </row>
    <row collapsed="" customFormat="false" customHeight="1" hidden="" ht="14" outlineLevel="0" r="728">
      <c r="A728" s="3" t="inlineStr">
        <is>
          <t>720</t>
        </is>
      </c>
      <c r="B728" s="4" t="s">
        <f>=HYPERLINK("http://anyluxury.ru/shop/instrumenty/multituly-i-nozhi/multitul-toolinator-zolotoy-1372300/" , "13723.00 Мультитул Toolinator, золотой")</f>
      </c>
      <c r="C728" s="4" t="n">
        <v>1475.00</v>
      </c>
      <c r="D728" s="4"/>
    </row>
    <row collapsed="" customFormat="false" customHeight="1" hidden="" ht="14" outlineLevel="0" r="729">
      <c r="A729" s="3" t="inlineStr">
        <is>
          <t>721</t>
        </is>
      </c>
      <c r="B729" s="4" t="s">
        <f>=HYPERLINK("http://anyluxury.ru/shop/instrumenty/multituly-i-nozhi/multitul-toolinator-krasniy-1372350/" , "13723.50 Мультитул Toolinator, красный")</f>
      </c>
      <c r="C729" s="4" t="n">
        <v>1475.00</v>
      </c>
      <c r="D729" s="4"/>
    </row>
    <row collapsed="" customFormat="false" customHeight="1" hidden="" ht="14" outlineLevel="0" r="730">
      <c r="A730" s="3" t="inlineStr">
        <is>
          <t>722</t>
        </is>
      </c>
      <c r="B730" s="4" t="s">
        <f>=HYPERLINK("http://anyluxury.ru/shop/instrumenty/multituly-i-nozhi/multitul-egon-krasniy-1372450/" , "13724.50 Мультитул Egon, красный")</f>
      </c>
      <c r="C730" s="4" t="n">
        <v>970.00</v>
      </c>
      <c r="D730" s="4"/>
    </row>
    <row collapsed="" customFormat="false" customHeight="1" hidden="" ht="14" outlineLevel="0" r="731">
      <c r="A731" s="3" t="inlineStr">
        <is>
          <t>723</t>
        </is>
      </c>
      <c r="B731" s="4" t="s">
        <f>=HYPERLINK("http://anyluxury.ru/shop/instrumenty/multituly-i-nozhi/multitul-egon-zolotistiy-1372400/" , "13724.00 Мультитул Egon, золотистый")</f>
      </c>
      <c r="C731" s="4" t="n">
        <v>970.00</v>
      </c>
      <c r="D731" s="4"/>
    </row>
    <row collapsed="" customFormat="false" customHeight="1" hidden="" ht="14" outlineLevel="0" r="732">
      <c r="A732" s="3" t="inlineStr">
        <is>
          <t>724</t>
        </is>
      </c>
      <c r="B732" s="4" t="s">
        <f>=HYPERLINK("http://anyluxury.ru/shop/instrumenty/multituly-i-nozhi/nabor-otvertok-s-podsvetkoy-6-v-1-p221161/" , "P221.161 Набор отверток с подсветкой 6 в 1")</f>
      </c>
      <c r="C732" s="4" t="n">
        <v>990.00</v>
      </c>
      <c r="D732" s="4"/>
    </row>
    <row collapsed="" customFormat="false" customHeight="1" hidden="" ht="14" outlineLevel="0" r="733">
      <c r="A733" s="3" t="inlineStr">
        <is>
          <t>725</t>
        </is>
      </c>
      <c r="B733" s="4" t="s">
        <f>=HYPERLINK("http://anyluxury.ru/shop/instrumenty/multituly-i-nozhi/multitul-huo-hou-mini-multitools-cherniy-1387330/" , "13873.30 Мультитул HuoHou Mini Multi-Tools, черный")</f>
      </c>
      <c r="C733" s="4" t="n">
        <v>1890.00</v>
      </c>
      <c r="D733" s="4"/>
    </row>
    <row collapsed="" customFormat="false" customHeight="1" hidden="" ht="14" outlineLevel="0" r="734">
      <c r="A734" s="3" t="inlineStr">
        <is>
          <t>726</t>
        </is>
      </c>
      <c r="B734" s="4" t="s">
        <f>=HYPERLINK("http://anyluxury.ru/shop/instrumenty/multituly-i-nozhi/multitul-nextool-n1-cherniy-1387430/" , "13874.30 Мультитул NexTool N1, черный")</f>
      </c>
      <c r="C734" s="4" t="n">
        <v>2600.00</v>
      </c>
      <c r="D734" s="4"/>
    </row>
    <row collapsed="" customFormat="false" customHeight="1" hidden="" ht="14" outlineLevel="0" r="735">
      <c r="A735" s="3" t="inlineStr">
        <is>
          <t>727</t>
        </is>
      </c>
      <c r="B735" s="4" t="s">
        <f>=HYPERLINK("http://anyluxury.ru/shop/instrumenty/multituly-i-nozhi/bezopasniy-stroitelniy-nozh-dlya-posilok-p215141/" , "P215.141 Безопасный строительный нож для посылок")</f>
      </c>
      <c r="C735" s="4" t="n">
        <v>249.00</v>
      </c>
      <c r="D735" s="4"/>
    </row>
    <row collapsed="" customFormat="false" customHeight="1" hidden="" ht="14" outlineLevel="0" r="736">
      <c r="A736" s="3" t="inlineStr">
        <is>
          <t>728</t>
        </is>
      </c>
      <c r="B736" s="4" t="s">
        <f>=HYPERLINK("http://anyluxury.ru/shop/instrumenty/multituly-i-nozhi/karmanniy-nozh-gear-x-p221221/" , "P221.221 Карманный нож Gear X")</f>
      </c>
      <c r="C736" s="4" t="n">
        <v>2125.00</v>
      </c>
      <c r="D736" s="4"/>
    </row>
    <row collapsed="" customFormat="false" customHeight="1" hidden="" ht="14" outlineLevel="0" r="737">
      <c r="A737" s="3" t="inlineStr">
        <is>
          <t>729</t>
        </is>
      </c>
      <c r="B737" s="4" t="s">
        <f>=HYPERLINK("http://anyluxury.ru/shop/instrumenty/multituly-i-nozhi/multitul-dlya-remonta-velosipeda-gear-x-p221241/" , "P221.241 Мультитул для ремонта велосипеда Gear X")</f>
      </c>
      <c r="C737" s="4" t="n">
        <v>3553.00</v>
      </c>
      <c r="D737" s="4"/>
    </row>
    <row collapsed="" customFormat="false" customHeight="1" hidden="" ht="14" outlineLevel="0" r="738">
      <c r="A738" s="3" t="inlineStr">
        <is>
          <t>730</t>
        </is>
      </c>
      <c r="B738" s="4" t="s">
        <f>=HYPERLINK("http://anyluxury.ru/shop/instrumenty/multituly-i-nozhi/multitul-gear-x-s-passatizhami-p221251/" , "P221.251 Мультитул Gear X с пассатижами")</f>
      </c>
      <c r="C738" s="4" t="n">
        <v>4447.00</v>
      </c>
      <c r="D738" s="4"/>
    </row>
    <row collapsed="" customFormat="false" customHeight="1" hidden="" ht="14" outlineLevel="0" r="739">
      <c r="A739" s="3" t="inlineStr">
        <is>
          <t>731</t>
        </is>
      </c>
      <c r="B739" s="4" t="s">
        <f>=HYPERLINK("http://anyluxury.ru/shop/instrumenty/multituly-i-nozhi/multitul-ganzo-g202-cherniy-1428330/" , "14283.30 Мультитул Ganzo G202, черный")</f>
      </c>
      <c r="C739" s="4" t="n">
        <v>3500.00</v>
      </c>
      <c r="D739" s="4"/>
    </row>
    <row collapsed="" customFormat="false" customHeight="1" hidden="" ht="14" outlineLevel="0" r="740">
      <c r="A740" s="3" t="inlineStr">
        <is>
          <t>732</t>
        </is>
      </c>
      <c r="B740" s="4" t="s">
        <f>=HYPERLINK("http://anyluxury.ru/shop/instrumenty/multituly-i-nozhi/multitul-ganzo-g202-serebristiy-1428310/" , "14283.10 Мультитул Ganzo G202, серебристый")</f>
      </c>
      <c r="C740" s="4" t="n">
        <v>3500.00</v>
      </c>
      <c r="D740" s="4"/>
    </row>
    <row collapsed="" customFormat="false" customHeight="1" hidden="" ht="14" outlineLevel="0" r="741">
      <c r="A741" s="3" t="inlineStr">
        <is>
          <t>733</t>
        </is>
      </c>
      <c r="B741" s="4" t="s">
        <f>=HYPERLINK("http://anyluxury.ru/shop/instrumenty/multituly-i-nozhi/multitul-ganzo-g104-serebristiy-1428410/" , "14284.10 Мультитул Ganzo G104S, серебристый")</f>
      </c>
      <c r="C741" s="4" t="n">
        <v>1800.00</v>
      </c>
      <c r="D741" s="4"/>
    </row>
    <row collapsed="" customFormat="false" customHeight="1" hidden="" ht="14" outlineLevel="0" r="742">
      <c r="A742" s="3" t="inlineStr">
        <is>
          <t>734</t>
        </is>
      </c>
      <c r="B742" s="4" t="s">
        <f>=HYPERLINK("http://anyluxury.ru/shop/instrumenty/multituly-i-nozhi/multitul-ganzo-g302-cherniy-1428530/" , "14285.30 Мультитул Ganzo G302, черный")</f>
      </c>
      <c r="C742" s="4" t="n">
        <v>7990.00</v>
      </c>
      <c r="D742" s="4"/>
    </row>
    <row collapsed="" customFormat="false" customHeight="1" hidden="" ht="14" outlineLevel="0" r="743">
      <c r="A743" s="3" t="inlineStr">
        <is>
          <t>735</t>
        </is>
      </c>
      <c r="B743" s="4" t="s">
        <f>=HYPERLINK("http://anyluxury.ru/shop/instrumenty/multituly-i-nozhi/multitul-ganzo-g302-serebristiy-1428510/" , "14285.10 Мультитул Ganzo G302, серебристый")</f>
      </c>
      <c r="C743" s="4" t="n">
        <v>7990.00</v>
      </c>
      <c r="D743" s="4"/>
    </row>
    <row collapsed="" customFormat="false" customHeight="1" hidden="" ht="14" outlineLevel="0" r="744">
      <c r="A744" s="3" t="inlineStr">
        <is>
          <t>736</t>
        </is>
      </c>
      <c r="B744" s="4" t="s">
        <f>=HYPERLINK("http://anyluxury.ru/shop/instrumenty/multituly-i-nozhi/multitul-phantom-serebristiy-1428710/" , "14287.10 Мультитул Phantom, серебристый")</f>
      </c>
      <c r="C744" s="4" t="n">
        <v>8500.00</v>
      </c>
      <c r="D744" s="4"/>
    </row>
    <row collapsed="" customFormat="false" customHeight="1" hidden="" ht="14" outlineLevel="0" r="745">
      <c r="A745" s="3" t="inlineStr">
        <is>
          <t>737</t>
        </is>
      </c>
      <c r="B745" s="4" t="s">
        <f>=HYPERLINK("http://anyluxury.ru/shop/instrumenty/multituly-i-nozhi/multitul-storm-serebristiy-1428810/" , "14288.10 Мультитул Storm, серебристый")</f>
      </c>
      <c r="C745" s="4" t="n">
        <v>6250.00</v>
      </c>
      <c r="D745" s="4"/>
    </row>
    <row collapsed="" customFormat="false" customHeight="1" hidden="" ht="14" outlineLevel="0" r="746">
      <c r="A746" s="3" t="inlineStr">
        <is>
          <t>738</t>
        </is>
      </c>
      <c r="B746" s="4" t="s">
        <f>=HYPERLINK("http://anyluxury.ru/shop/instrumenty/multituly-i-nozhi/multitul-mini-m2-1468410/" , "14684.10 Мультитул Mini M2")</f>
      </c>
      <c r="C746" s="4" t="n">
        <v>3280.00</v>
      </c>
      <c r="D746" s="4"/>
    </row>
    <row collapsed="" customFormat="false" customHeight="1" hidden="" ht="14" outlineLevel="0" r="747">
      <c r="A747" s="3" t="inlineStr">
        <is>
          <t>739</t>
        </is>
      </c>
      <c r="B747" s="4" t="s">
        <f>=HYPERLINK("http://anyluxury.ru/shop/instrumenty/multituly-i-nozhi/multitul-mini-m3-1468510/" , "14685.10 Мультитул Mini M3")</f>
      </c>
      <c r="C747" s="4" t="n">
        <v>2380.00</v>
      </c>
      <c r="D747" s="4"/>
    </row>
    <row collapsed="" customFormat="false" customHeight="1" hidden="" ht="14" outlineLevel="0" r="748">
      <c r="A748" s="3" t="inlineStr">
        <is>
          <t>740</t>
        </is>
      </c>
      <c r="B748" s="4" t="s">
        <f>=HYPERLINK("http://anyluxury.ru/shop/instrumenty/multituly-i-nozhi/multitul-stinger-11-serebristiy-1494910/" , "14949.10 Мультитул Stinger 11, серебристый")</f>
      </c>
      <c r="C748" s="4" t="n">
        <v>2660.00</v>
      </c>
      <c r="D748" s="4"/>
    </row>
    <row collapsed="" customFormat="false" customHeight="1" hidden="" ht="14" outlineLevel="0" r="749">
      <c r="A749" s="3" t="inlineStr">
        <is>
          <t>741</t>
        </is>
      </c>
      <c r="B749" s="4" t="s">
        <f>=HYPERLINK("http://anyluxury.ru/shop/instrumenty/multituly-i-nozhi/multitul-stinger-11-cherniy-1494930/" , "14949.30 Мультитул Stinger 11, черный")</f>
      </c>
      <c r="C749" s="4" t="n">
        <v>2680.00</v>
      </c>
      <c r="D749" s="4"/>
    </row>
    <row collapsed="" customFormat="false" customHeight="1" hidden="" ht="14" outlineLevel="0" r="750">
      <c r="A750" s="3" t="inlineStr">
        <is>
          <t>742</t>
        </is>
      </c>
      <c r="B750" s="4" t="s">
        <f>=HYPERLINK("http://anyluxury.ru/shop/instrumenty/multituly-i-nozhi/multitul-ganzo-g104-cherniy-1517230/" , "15172.30 Мультитул Ganzo G104, черный")</f>
      </c>
      <c r="C750" s="4" t="n">
        <v>3350.00</v>
      </c>
      <c r="D750" s="4"/>
    </row>
    <row collapsed="" customFormat="false" customHeight="1" hidden="" ht="14" outlineLevel="0" r="751">
      <c r="A751" s="3" t="inlineStr">
        <is>
          <t>743</t>
        </is>
      </c>
      <c r="B751" s="4" t="s">
        <f>=HYPERLINK("http://anyluxury.ru/shop/instrumenty/multituly-i-nozhi/nozhbrelok-classic-58-s-otvertkoy-cherniy-771630/" , "7716.30 Нож-брелок Classic 58 с отверткой, черный")</f>
      </c>
      <c r="C751" s="4" t="n">
        <v>4315.00</v>
      </c>
      <c r="D751" s="4"/>
    </row>
    <row collapsed="" customFormat="false" customHeight="1" hidden="" ht="14" outlineLevel="0" r="752">
      <c r="A752" s="3" t="inlineStr">
        <is>
          <t>744</t>
        </is>
      </c>
      <c r="B752" s="4" t="s">
        <f>=HYPERLINK("http://anyluxury.ru/shop/instrumenty/multituly-i-nozhi/nozhbrelok-classic-58-s-otvertkoy-zeleniy-771690/" , "7716.90 Нож-брелок Classic 58 с отверткой, зеленый")</f>
      </c>
      <c r="C752" s="4" t="n">
        <v>3030.00</v>
      </c>
      <c r="D752" s="4"/>
    </row>
    <row collapsed="" customFormat="false" customHeight="1" hidden="" ht="14" outlineLevel="0" r="753">
      <c r="A753" s="3" t="inlineStr">
        <is>
          <t>745</t>
        </is>
      </c>
      <c r="B753" s="4" t="s">
        <f>=HYPERLINK("http://anyluxury.ru/shop/instrumenty/multituly-i-nozhi/nozhbrelok-classic-58-s-otvertkoy-zheltiy-771680/" , "7716.80 Нож-брелок Classic 58 с отверткой, желтый")</f>
      </c>
      <c r="C753" s="4" t="n">
        <v>3630.00</v>
      </c>
      <c r="D753" s="4"/>
    </row>
    <row collapsed="" customFormat="false" customHeight="1" hidden="" ht="14" outlineLevel="0" r="754">
      <c r="A754" s="3" t="inlineStr">
        <is>
          <t>746</t>
        </is>
      </c>
      <c r="B754" s="4" t="s">
        <f>=HYPERLINK("http://anyluxury.ru/shop/instrumenty/multituly-i-nozhi/multitul-mauls-seriy-1810210/" , "18102.10 Мультитул Mauls, серый")</f>
      </c>
      <c r="C754" s="4" t="n">
        <v>4510.00</v>
      </c>
      <c r="D754" s="4"/>
    </row>
    <row collapsed="" customFormat="false" customHeight="1" hidden="" ht="14" outlineLevel="0" r="755">
      <c r="A755" s="3" t="inlineStr">
        <is>
          <t>747</t>
        </is>
      </c>
      <c r="B755" s="4" t="s">
        <f>=HYPERLINK("http://anyluxury.ru/shop/instrumenty/multituly-i-nozhi/nozhbrelok-knight-edc-zeleniy-1524090/" , "15240.90 Нож-брелок NexTool Knight EDC, зеленый")</f>
      </c>
      <c r="C755" s="4" t="n">
        <v>850.00</v>
      </c>
      <c r="D755" s="4"/>
    </row>
    <row collapsed="" customFormat="false" customHeight="1" hidden="" ht="14" outlineLevel="0" r="756">
      <c r="A756" s="3" t="inlineStr">
        <is>
          <t>748</t>
        </is>
      </c>
      <c r="B756" s="4" t="s">
        <f>=HYPERLINK("http://anyluxury.ru/shop/instrumenty/multituly-i-nozhi/nozhbrelok-knight-edc-siniy-1524040/" , "15240.40 Нож-брелок NexTool Knight EDC, синий")</f>
      </c>
      <c r="C756" s="4" t="n">
        <v>850.00</v>
      </c>
      <c r="D756" s="4"/>
    </row>
    <row collapsed="" customFormat="false" customHeight="1" hidden="" ht="14" outlineLevel="0" r="757">
      <c r="A757" s="3" t="inlineStr">
        <is>
          <t>749</t>
        </is>
      </c>
      <c r="B757" s="4" t="s">
        <f>=HYPERLINK("http://anyluxury.ru/shop/instrumenty/multituly-i-nozhi/nozhbrelok-knight-edc-cherniy-1524030/" , "15240.30 Нож-брелок NexTool Knight EDC, черный")</f>
      </c>
      <c r="C757" s="4" t="n">
        <v>850.00</v>
      </c>
      <c r="D757" s="4"/>
    </row>
    <row collapsed="" customFormat="false" customHeight="1" hidden="" ht="14" outlineLevel="0" r="758">
      <c r="A758" s="3" t="inlineStr">
        <is>
          <t>750</t>
        </is>
      </c>
      <c r="B758" s="4" t="s">
        <f>=HYPERLINK("http://anyluxury.ru/shop/instrumenty/multituly-i-nozhi/nozhbrelok-nextool-mini-zeleniy-1524190/" , "15241.90 Нож-брелок NexTool Mini, зеленый")</f>
      </c>
      <c r="C758" s="4" t="n">
        <v>1150.00</v>
      </c>
      <c r="D758" s="4"/>
    </row>
    <row collapsed="" customFormat="false" customHeight="1" hidden="" ht="14" outlineLevel="0" r="759">
      <c r="A759" s="3" t="inlineStr">
        <is>
          <t>751</t>
        </is>
      </c>
      <c r="B759" s="4" t="s">
        <f>=HYPERLINK("http://anyluxury.ru/shop/instrumenty/multituly-i-nozhi/nozhbrelok-nextool-mini-krasniy-1524150/" , "15241.50 Нож-брелок NexTool Mini, красный")</f>
      </c>
      <c r="C759" s="4" t="n">
        <v>1150.00</v>
      </c>
      <c r="D759" s="4"/>
    </row>
    <row collapsed="" customFormat="false" customHeight="1" hidden="" ht="14" outlineLevel="0" r="760">
      <c r="A760" s="3" t="inlineStr">
        <is>
          <t>752</t>
        </is>
      </c>
      <c r="B760" s="4" t="s">
        <f>=HYPERLINK("http://anyluxury.ru/shop/instrumenty/multituly-i-nozhi/nozhbrelok-nextool-mini-cherniy-1524130/" , "15241.30 Нож-брелок NexTool Mini, черный")</f>
      </c>
      <c r="C760" s="4" t="n">
        <v>1150.00</v>
      </c>
      <c r="D760" s="4"/>
    </row>
    <row collapsed="" customFormat="false" customHeight="1" hidden="" ht="14" outlineLevel="0" r="761">
      <c r="A761" s="3" t="inlineStr">
        <is>
          <t>753</t>
        </is>
      </c>
      <c r="B761" s="4" t="s">
        <f>=HYPERLINK("http://anyluxury.ru/shop/instrumenty/multituly-i-nozhi/nozhbrelok-knight-edc-haki-1524099/" , "15240.99 Нож-брелок NexTool Knight EDC, хаки")</f>
      </c>
      <c r="C761" s="4" t="n">
        <v>850.00</v>
      </c>
      <c r="D761" s="4"/>
    </row>
    <row collapsed="" customFormat="false" customHeight="1" hidden="" ht="14" outlineLevel="0" r="762">
      <c r="A762" s="3" t="inlineStr">
        <is>
          <t>754</t>
        </is>
      </c>
      <c r="B762" s="4" t="s">
        <f>=HYPERLINK("http://anyluxury.ru/shop/instrumenty/multituly-i-nozhi/multitul-fire-tool-14-seriy-2205510/" , "22055.10 Мультитул Fire Tool 14, серый")</f>
      </c>
      <c r="C762" s="4" t="n">
        <v>4595.00</v>
      </c>
      <c r="D762" s="4"/>
    </row>
    <row collapsed="" customFormat="false" customHeight="1" hidden="" ht="14" outlineLevel="0" r="763">
      <c r="A763" s="3" t="inlineStr">
        <is>
          <t>755</t>
        </is>
      </c>
      <c r="B763" s="4" t="s">
        <f>=HYPERLINK("http://anyluxury.ru/shop/instrumenty/multituly-i-nozhi/multitul-leatherman-bond-1469910/" , "14699.10 Мультитул Leatherman Bond")</f>
      </c>
      <c r="C763" s="4" t="n">
        <v>13590.00</v>
      </c>
      <c r="D763" s="4"/>
    </row>
    <row collapsed="" customFormat="false" customHeight="1" hidden="" ht="14" outlineLevel="0" r="764">
      <c r="A764" s="3" t="inlineStr">
        <is>
          <t>756</t>
        </is>
      </c>
      <c r="B764" s="4" t="s">
        <f>=HYPERLINK("http://anyluxury.ru/shop/instrumenty/multituly-i-nozhi/derevyanniy-multitul-s-molotkom-p221209/" , "P221.209 Деревянный мультитул с молотком")</f>
      </c>
      <c r="C764" s="4" t="n">
        <v>3553.00</v>
      </c>
      <c r="D764" s="4"/>
    </row>
    <row collapsed="" customFormat="false" customHeight="1" hidden="" ht="14" outlineLevel="0" r="765">
      <c r="A765" s="3" t="inlineStr">
        <is>
          <t>757</t>
        </is>
      </c>
      <c r="B765" s="4" t="s">
        <f>=HYPERLINK("http://anyluxury.ru/shop/instrumenty/multituly-i-nozhi/multitul-rucksack-tool-seriy-2241110/" , "22411.10 Мультитул Rucksack Tool, серый")</f>
      </c>
      <c r="C765" s="4" t="n">
        <v>2915.00</v>
      </c>
      <c r="D765" s="4"/>
    </row>
    <row collapsed="" customFormat="false" customHeight="" hidden="" ht="12.1" outlineLevel="0" r="766">
      <c r="A766" s="5" t="inlineStr">
        <is>
          <t> -  - Наборы инструментов</t>
        </is>
      </c>
      <c r="B766" s="6"/>
      <c r="C766" s="6"/>
      <c r="D766" s="6"/>
    </row>
    <row collapsed="" customFormat="false" customHeight="1" hidden="" ht="14" outlineLevel="0" r="767">
      <c r="A767" s="3" t="inlineStr">
        <is>
          <t>758</t>
        </is>
      </c>
      <c r="B767" s="4" t="s">
        <f>=HYPERLINK("http://anyluxury.ru/shop/instrumenty/nabory-instrumentov/multitul-excalibur-s-naborom-nasadok-cherniy-p221421/" , "P221.421 Мультитул Excalibur с набором насадок")</f>
      </c>
      <c r="C767" s="4" t="n">
        <v>4625.00</v>
      </c>
      <c r="D767" s="4"/>
    </row>
    <row collapsed="" customFormat="false" customHeight="1" hidden="" ht="14" outlineLevel="0" r="768">
      <c r="A768" s="3" t="inlineStr">
        <is>
          <t>759</t>
        </is>
      </c>
      <c r="B768" s="4" t="s">
        <f>=HYPERLINK("http://anyluxury.ru/shop/instrumenty/nabory-instrumentov/nabor-quatro-multitul-i-fonarik-serebryaniy-p221192/" , "P221.192 Набор Quatro: мультитул и фонарик")</f>
      </c>
      <c r="C768" s="4" t="n">
        <v>2134.00</v>
      </c>
      <c r="D768" s="4"/>
    </row>
    <row collapsed="" customFormat="false" customHeight="1" hidden="" ht="14" outlineLevel="0" r="769">
      <c r="A769" s="3" t="inlineStr">
        <is>
          <t>760</t>
        </is>
      </c>
      <c r="B769" s="4" t="s">
        <f>=HYPERLINK("http://anyluxury.ru/shop/instrumenty/nabory-instrumentov/nabor-dlya-remonta-velosipeda-p416331/" , "P416.331 Набор для ремонта велосипеда")</f>
      </c>
      <c r="C769" s="4" t="n">
        <v>1772.00</v>
      </c>
      <c r="D769" s="4"/>
    </row>
    <row collapsed="" customFormat="false" customHeight="1" hidden="" ht="14" outlineLevel="0" r="770">
      <c r="A770" s="3" t="inlineStr">
        <is>
          <t>761</t>
        </is>
      </c>
      <c r="B770" s="4" t="s">
        <f>=HYPERLINK("http://anyluxury.ru/shop/instrumenty/nabory-instrumentov/ruchka-sharikovaya-construction-multiinstrument-chernaya-646230/" , "6462.30 Ручка шариковая Construction, мультиинструмент, черная")</f>
      </c>
      <c r="C770" s="4" t="n">
        <v>2750.00</v>
      </c>
      <c r="D770" s="4"/>
    </row>
    <row collapsed="" customFormat="false" customHeight="1" hidden="" ht="14" outlineLevel="0" r="771">
      <c r="A771" s="3" t="inlineStr">
        <is>
          <t>762</t>
        </is>
      </c>
      <c r="B771" s="4" t="s">
        <f>=HYPERLINK("http://anyluxury.ru/shop/instrumenty/nabory-instrumentov/nabor-instrumentov-swisscard-lite-siniy-770245/" , "7702.45 Набор инструментов SwissCard Lite, синий")</f>
      </c>
      <c r="C771" s="4" t="n">
        <v>7790.00</v>
      </c>
      <c r="D771" s="4"/>
    </row>
    <row collapsed="" customFormat="false" customHeight="1" hidden="" ht="14" outlineLevel="0" r="772">
      <c r="A772" s="3" t="inlineStr">
        <is>
          <t>763</t>
        </is>
      </c>
      <c r="B772" s="4" t="s">
        <f>=HYPERLINK("http://anyluxury.ru/shop/instrumenty/nabory-instrumentov/nabor-instrumentov-swisscard-quattro-krasniy-770455/" , "7704.55 Набор инструментов SwissCard Quattro, красный")</f>
      </c>
      <c r="C772" s="4" t="n">
        <v>3490.00</v>
      </c>
      <c r="D772" s="4"/>
    </row>
    <row collapsed="" customFormat="false" customHeight="1" hidden="" ht="14" outlineLevel="0" r="773">
      <c r="A773" s="3" t="inlineStr">
        <is>
          <t>764</t>
        </is>
      </c>
      <c r="B773" s="4" t="s">
        <f>=HYPERLINK("http://anyluxury.ru/shop/instrumenty/nabory-instrumentov/nabor-instrumentov-swisscard-quattro-siniy-770445/" , "7704.45 Набор инструментов SwissCard Quattro, синий")</f>
      </c>
      <c r="C773" s="4" t="n">
        <v>3490.00</v>
      </c>
      <c r="D773" s="4"/>
    </row>
    <row collapsed="" customFormat="false" customHeight="1" hidden="" ht="14" outlineLevel="0" r="774">
      <c r="A774" s="3" t="inlineStr">
        <is>
          <t>765</t>
        </is>
      </c>
      <c r="B774" s="4" t="s">
        <f>=HYPERLINK("http://anyluxury.ru/shop/instrumenty/nabory-instrumentov/nabor-instrumentov-swisscard-nailcare-goluboy-777045/" , "7770.45 Набор инструментов SwissCard Nailcare, голубой")</f>
      </c>
      <c r="C774" s="4" t="n">
        <v>8080.00</v>
      </c>
      <c r="D774" s="4"/>
    </row>
    <row collapsed="" customFormat="false" customHeight="1" hidden="" ht="14" outlineLevel="0" r="775">
      <c r="A775" s="3" t="inlineStr">
        <is>
          <t>766</t>
        </is>
      </c>
      <c r="B775" s="4" t="s">
        <f>=HYPERLINK("http://anyluxury.ru/shop/instrumenty/nabory-instrumentov/nabor-instrumentov-swisscard-nailcare-krasniy-777055/" , "7770.55 Набор инструментов SwissCard Nailcare, красный")</f>
      </c>
      <c r="C775" s="4" t="n">
        <v>8080.00</v>
      </c>
      <c r="D775" s="4"/>
    </row>
    <row collapsed="" customFormat="false" customHeight="1" hidden="" ht="14" outlineLevel="0" r="776">
      <c r="A776" s="3" t="inlineStr">
        <is>
          <t>767</t>
        </is>
      </c>
      <c r="B776" s="4" t="s">
        <f>=HYPERLINK("http://anyluxury.ru/shop/instrumenty/nabory-instrumentov/ruchka-sharikovaya-construction-multiinstrument-krasnaya-646250/" , "6462.50 Ручка шариковая Construction, мультиинструмент, красная")</f>
      </c>
      <c r="C776" s="4" t="n">
        <v>2750.00</v>
      </c>
      <c r="D776" s="4"/>
    </row>
    <row collapsed="" customFormat="false" customHeight="1" hidden="" ht="14" outlineLevel="0" r="777">
      <c r="A777" s="3" t="inlineStr">
        <is>
          <t>768</t>
        </is>
      </c>
      <c r="B777" s="4" t="s">
        <f>=HYPERLINK("http://anyluxury.ru/shop/instrumenty/nabory-instrumentov/ruchka-sharikovaya-construction-multiinstrument-zolotistaya-646200/" , "6462.00 Ручка шариковая Construction, мультиинструмент, розовое золото")</f>
      </c>
      <c r="C777" s="4" t="n">
        <v>2295.00</v>
      </c>
      <c r="D777" s="4"/>
    </row>
    <row collapsed="" customFormat="false" customHeight="1" hidden="" ht="14" outlineLevel="0" r="778">
      <c r="A778" s="3" t="inlineStr">
        <is>
          <t>769</t>
        </is>
      </c>
      <c r="B778" s="4" t="s">
        <f>=HYPERLINK("http://anyluxury.ru/shop/instrumenty/nabory-instrumentov/ruchka-sharikovaya-construction-multiinstrument-serebristaya-646210/" , "6462.10 Ручка шариковая Construction, мультиинструмент, серебристая")</f>
      </c>
      <c r="C778" s="4" t="n">
        <v>2750.00</v>
      </c>
      <c r="D778" s="4"/>
    </row>
    <row collapsed="" customFormat="false" customHeight="1" hidden="" ht="14" outlineLevel="0" r="779">
      <c r="A779" s="3" t="inlineStr">
        <is>
          <t>770</t>
        </is>
      </c>
      <c r="B779" s="4" t="s">
        <f>=HYPERLINK("http://anyluxury.ru/shop/instrumenty/nabory-instrumentov/magnit-teleskopicheskiy-carpe-retractum-10385/" , "10385 Магнит телескопический Carpe Retractum, серебристый")</f>
      </c>
      <c r="C779" s="4" t="n">
        <v>399.00</v>
      </c>
      <c r="D779" s="4"/>
    </row>
    <row collapsed="" customFormat="false" customHeight="1" hidden="" ht="14" outlineLevel="0" r="780">
      <c r="A780" s="3" t="inlineStr">
        <is>
          <t>771</t>
        </is>
      </c>
      <c r="B780" s="4" t="s">
        <f>=HYPERLINK("http://anyluxury.ru/shop/instrumenty/nabory-instrumentov/magnitnaya-tarelka-all-together-10386/" , "10386 Магнитная тарелка All Together")</f>
      </c>
      <c r="C780" s="4" t="n">
        <v>550.00</v>
      </c>
      <c r="D780" s="4"/>
    </row>
    <row collapsed="" customFormat="false" customHeight="1" hidden="" ht="14" outlineLevel="0" r="781">
      <c r="A781" s="3" t="inlineStr">
        <is>
          <t>772</t>
        </is>
      </c>
      <c r="B781" s="4" t="s">
        <f>=HYPERLINK("http://anyluxury.ru/shop/instrumenty/nabory-instrumentov/nabor-instrumentov-fix-it-box-7412330/" , "74123.30 Набор инструментов Fix It Box")</f>
      </c>
      <c r="C781" s="4" t="n">
        <v>1978.00</v>
      </c>
      <c r="D781" s="4"/>
    </row>
    <row collapsed="" customFormat="false" customHeight="1" hidden="" ht="14" outlineLevel="0" r="782">
      <c r="A782" s="3" t="inlineStr">
        <is>
          <t>773</t>
        </is>
      </c>
      <c r="B782" s="4" t="s">
        <f>=HYPERLINK("http://anyluxury.ru/shop/instrumenty/nabory-instrumentov/ruletka-roll-over-3-metra-7415310/" , "74153.10 Рулетка Roll Over, 3 метра")</f>
      </c>
      <c r="C782" s="4" t="n">
        <v>650.00</v>
      </c>
      <c r="D782" s="4"/>
    </row>
    <row collapsed="" customFormat="false" customHeight="1" hidden="" ht="14" outlineLevel="0" r="783">
      <c r="A783" s="3" t="inlineStr">
        <is>
          <t>774</t>
        </is>
      </c>
      <c r="B783" s="4" t="s">
        <f>=HYPERLINK("http://anyluxury.ru/shop/instrumenty/nabory-instrumentov/ruletka-roll-over-5-metrov-7415410/" , "74154.10 Рулетка Roll Over, 5 метров")</f>
      </c>
      <c r="C783" s="4" t="n">
        <v>950.00</v>
      </c>
      <c r="D783" s="4"/>
    </row>
    <row collapsed="" customFormat="false" customHeight="1" hidden="" ht="14" outlineLevel="0" r="784">
      <c r="A784" s="3" t="inlineStr">
        <is>
          <t>775</t>
        </is>
      </c>
      <c r="B784" s="4" t="s">
        <f>=HYPERLINK("http://anyluxury.ru/shop/instrumenty/nabory-instrumentov/multitul-tool-pen-mini-serebristiy-1233910/" , "12339.10 Мультитул Tool Pen Mini, серебристый")</f>
      </c>
      <c r="C784" s="4" t="n">
        <v>4500.00</v>
      </c>
      <c r="D784" s="4"/>
    </row>
    <row collapsed="" customFormat="false" customHeight="1" hidden="" ht="14" outlineLevel="0" r="785">
      <c r="A785" s="3" t="inlineStr">
        <is>
          <t>776</t>
        </is>
      </c>
      <c r="B785" s="4" t="s">
        <f>=HYPERLINK("http://anyluxury.ru/shop/instrumenty/nabory-instrumentov/multitul-tool-pen-mini-zolotistiy-1233900/" , "12339.00 Мультитул Tool Pen Mini, золотистый")</f>
      </c>
      <c r="C785" s="4" t="n">
        <v>4500.00</v>
      </c>
      <c r="D785" s="4"/>
    </row>
    <row collapsed="" customFormat="false" customHeight="1" hidden="" ht="14" outlineLevel="0" r="786">
      <c r="A786" s="3" t="inlineStr">
        <is>
          <t>777</t>
        </is>
      </c>
      <c r="B786" s="4" t="s">
        <f>=HYPERLINK("http://anyluxury.ru/shop/instrumenty/nabory-instrumentov/multitul-tool-pen-mini-temnoseriy-1233913/" , "12339.13 Мультитул Tool Pen Mini, темно-серый")</f>
      </c>
      <c r="C786" s="4" t="n">
        <v>4500.00</v>
      </c>
      <c r="D786" s="4"/>
    </row>
    <row collapsed="" customFormat="false" customHeight="1" hidden="" ht="14" outlineLevel="0" r="787">
      <c r="A787" s="3" t="inlineStr">
        <is>
          <t>778</t>
        </is>
      </c>
      <c r="B787" s="4" t="s">
        <f>=HYPERLINK("http://anyluxury.ru/shop/instrumenty/nabory-instrumentov/multitul-xcissor-pen-standard-serebristiy-1234010/" , "12340.10 Мультитул Xcissor Pen Standard, серебристый")</f>
      </c>
      <c r="C787" s="4" t="n">
        <v>3480.00</v>
      </c>
      <c r="D787" s="4"/>
    </row>
    <row collapsed="" customFormat="false" customHeight="1" hidden="" ht="14" outlineLevel="0" r="788">
      <c r="A788" s="3" t="inlineStr">
        <is>
          <t>779</t>
        </is>
      </c>
      <c r="B788" s="4" t="s">
        <f>=HYPERLINK("http://anyluxury.ru/shop/instrumenty/nabory-instrumentov/multitul-xcissor-pen-standard-cherniy-1234030/" , "12340.30 Мультитул Xcissor Pen Standard, черный")</f>
      </c>
      <c r="C788" s="4" t="n">
        <v>3480.00</v>
      </c>
      <c r="D788" s="4"/>
    </row>
    <row collapsed="" customFormat="false" customHeight="1" hidden="" ht="14" outlineLevel="0" r="789">
      <c r="A789" s="3" t="inlineStr">
        <is>
          <t>780</t>
        </is>
      </c>
      <c r="B789" s="4" t="s">
        <f>=HYPERLINK("http://anyluxury.ru/shop/instrumenty/nabory-instrumentov/multitul-xcissor-pen-full-set-cherniy-1234130/" , "12341.30 Мультитул Xcissor Pen Full Set, черный")</f>
      </c>
      <c r="C789" s="4" t="n">
        <v>4140.00</v>
      </c>
      <c r="D789" s="4"/>
    </row>
    <row collapsed="" customFormat="false" customHeight="1" hidden="" ht="14" outlineLevel="0" r="790">
      <c r="A790" s="3" t="inlineStr">
        <is>
          <t>781</t>
        </is>
      </c>
      <c r="B790" s="4" t="s">
        <f>=HYPERLINK("http://anyluxury.ru/shop/instrumenty/nabory-instrumentov/multitul-xcissor-pen-full-set-serebristiy-1234110/" , "12341.10 Мультитул Xcissor Pen Full Set, серебристый")</f>
      </c>
      <c r="C790" s="4" t="n">
        <v>4140.00</v>
      </c>
      <c r="D790" s="4"/>
    </row>
    <row collapsed="" customFormat="false" customHeight="1" hidden="" ht="14" outlineLevel="0" r="791">
      <c r="A791" s="3" t="inlineStr">
        <is>
          <t>782</t>
        </is>
      </c>
      <c r="B791" s="4" t="s">
        <f>=HYPERLINK("http://anyluxury.ru/shop/instrumenty/nabory-instrumentov/multitul-tool-pen-zolotistiy-1234200/" , "12342.00 Мультитул Tool Pen, золотистый")</f>
      </c>
      <c r="C791" s="4" t="n">
        <v>3480.00</v>
      </c>
      <c r="D791" s="4"/>
    </row>
    <row collapsed="" customFormat="false" customHeight="1" hidden="" ht="14" outlineLevel="0" r="792">
      <c r="A792" s="3" t="inlineStr">
        <is>
          <t>783</t>
        </is>
      </c>
      <c r="B792" s="4" t="s">
        <f>=HYPERLINK("http://anyluxury.ru/shop/instrumenty/nabory-instrumentov/multitul-tool-pen-serebristiy-1234210/" , "12342.10 Мультитул Tool Pen, серебристый")</f>
      </c>
      <c r="C792" s="4" t="n">
        <v>3480.00</v>
      </c>
      <c r="D792" s="4"/>
    </row>
    <row collapsed="" customFormat="false" customHeight="1" hidden="" ht="14" outlineLevel="0" r="793">
      <c r="A793" s="3" t="inlineStr">
        <is>
          <t>784</t>
        </is>
      </c>
      <c r="B793" s="4" t="s">
        <f>=HYPERLINK("http://anyluxury.ru/shop/instrumenty/nabory-instrumentov/multitul-tool-pen-temnoseriy-1234213/" , "12342.13 Мультитул Tool Pen, темно-серый")</f>
      </c>
      <c r="C793" s="4" t="n">
        <v>3480.00</v>
      </c>
      <c r="D793" s="4"/>
    </row>
    <row collapsed="" customFormat="false" customHeight="1" hidden="" ht="14" outlineLevel="0" r="794">
      <c r="A794" s="3" t="inlineStr">
        <is>
          <t>785</t>
        </is>
      </c>
      <c r="B794" s="4" t="s">
        <f>=HYPERLINK("http://anyluxury.ru/shop/instrumenty/nabory-instrumentov/nabor-otvertok-everybit-1095810/" , "10958.10 Набор отверток Everybit")</f>
      </c>
      <c r="C794" s="4" t="n">
        <v>2490.00</v>
      </c>
      <c r="D794" s="4"/>
    </row>
    <row collapsed="" customFormat="false" customHeight="1" hidden="" ht="14" outlineLevel="0" r="795">
      <c r="A795" s="3" t="inlineStr">
        <is>
          <t>786</t>
        </is>
      </c>
      <c r="B795" s="4" t="s">
        <f>=HYPERLINK("http://anyluxury.ru/shop/instrumenty/nabory-instrumentov/teleskopicheskiy-fonar-s-magnitom-flexion-12385/" , "12385 Телескопический фонарь с магнитом Flexion, черный")</f>
      </c>
      <c r="C795" s="4" t="n">
        <v>950.00</v>
      </c>
      <c r="D795" s="4"/>
    </row>
    <row collapsed="" customFormat="false" customHeight="1" hidden="" ht="14" outlineLevel="0" r="796">
      <c r="A796" s="3" t="inlineStr">
        <is>
          <t>787</t>
        </is>
      </c>
      <c r="B796" s="4" t="s">
        <f>=HYPERLINK("http://anyluxury.ru/shop/instrumenty/nabory-instrumentov/nabor-instrumentov-stinger-13-seriy-1296311/" , "12963.11 Набор инструментов Stinger 13, серый")</f>
      </c>
      <c r="C796" s="4" t="n">
        <v>3800.00</v>
      </c>
      <c r="D796" s="4"/>
    </row>
    <row collapsed="" customFormat="false" customHeight="1" hidden="" ht="14" outlineLevel="0" r="797">
      <c r="A797" s="3" t="inlineStr">
        <is>
          <t>788</t>
        </is>
      </c>
      <c r="B797" s="4" t="s">
        <f>=HYPERLINK("http://anyluxury.ru/shop/instrumenty/nabory-instrumentov/nabor-instrumentov-stinger-15-siniy-1296440/" , "12964.40 Набор инструментов Stinger 15, синий")</f>
      </c>
      <c r="C797" s="4" t="n">
        <v>4500.00</v>
      </c>
      <c r="D797" s="4"/>
    </row>
    <row collapsed="" customFormat="false" customHeight="1" hidden="" ht="14" outlineLevel="0" r="798">
      <c r="A798" s="3" t="inlineStr">
        <is>
          <t>789</t>
        </is>
      </c>
      <c r="B798" s="4" t="s">
        <f>=HYPERLINK("http://anyluxury.ru/shop/instrumenty/nabory-instrumentov/nabor-instrumentov-stinger-19-beliy-1296560/" , "12965.60 Набор инструментов Stinger 19, белый")</f>
      </c>
      <c r="C798" s="4" t="n">
        <v>1290.00</v>
      </c>
      <c r="D798" s="4"/>
    </row>
    <row collapsed="" customFormat="false" customHeight="1" hidden="" ht="14" outlineLevel="0" r="799">
      <c r="A799" s="3" t="inlineStr">
        <is>
          <t>790</t>
        </is>
      </c>
      <c r="B799" s="4" t="s">
        <f>=HYPERLINK("http://anyluxury.ru/shop/instrumenty/nabory-instrumentov/nabor-instrumentov-stinger-20-zheltiy-1296680/" , "12966.80 Набор инструментов Stinger 20, желтый")</f>
      </c>
      <c r="C799" s="4" t="n">
        <v>1740.00</v>
      </c>
      <c r="D799" s="4"/>
    </row>
    <row collapsed="" customFormat="false" customHeight="1" hidden="" ht="14" outlineLevel="0" r="800">
      <c r="A800" s="3" t="inlineStr">
        <is>
          <t>791</t>
        </is>
      </c>
      <c r="B800" s="4" t="s">
        <f>=HYPERLINK("http://anyluxury.ru/shop/instrumenty/nabory-instrumentov/nabor-instrumentov-stinger-26-cherniy-1296730/" , "12967.30 Набор инструментов Stinger 26, черный")</f>
      </c>
      <c r="C800" s="4" t="n">
        <v>1550.00</v>
      </c>
      <c r="D800" s="4"/>
    </row>
    <row collapsed="" customFormat="false" customHeight="1" hidden="" ht="14" outlineLevel="0" r="801">
      <c r="A801" s="3" t="inlineStr">
        <is>
          <t>792</t>
        </is>
      </c>
      <c r="B801" s="4" t="s">
        <f>=HYPERLINK("http://anyluxury.ru/shop/instrumenty/nabory-instrumentov/nabor-instrumentov-stinger-26-seriy-1296811/" , "12968.11 Набор инструментов Stinger 26, серый")</f>
      </c>
      <c r="C801" s="4" t="n">
        <v>1850.00</v>
      </c>
      <c r="D801" s="4"/>
    </row>
    <row collapsed="" customFormat="false" customHeight="1" hidden="" ht="14" outlineLevel="0" r="802">
      <c r="A802" s="3" t="inlineStr">
        <is>
          <t>793</t>
        </is>
      </c>
      <c r="B802" s="4" t="s">
        <f>=HYPERLINK("http://anyluxury.ru/shop/instrumenty/nabory-instrumentov/nabor-instrumentov-stinger-26-siniy-1296940/" , "12969.40 Набор инструментов Stinger 25, синий")</f>
      </c>
      <c r="C802" s="4" t="n">
        <v>2290.00</v>
      </c>
      <c r="D802" s="4"/>
    </row>
    <row collapsed="" customFormat="false" customHeight="1" hidden="" ht="14" outlineLevel="0" r="803">
      <c r="A803" s="3" t="inlineStr">
        <is>
          <t>794</t>
        </is>
      </c>
      <c r="B803" s="4" t="s">
        <f>=HYPERLINK("http://anyluxury.ru/shop/instrumenty/nabory-instrumentov/nabor-instrumentov-stinger-26-temnoseriy-1297011/" , "12970.11 Набор инструментов Stinger 25, темно-серый")</f>
      </c>
      <c r="C803" s="4" t="n">
        <v>3110.00</v>
      </c>
      <c r="D803" s="4"/>
    </row>
    <row collapsed="" customFormat="false" customHeight="1" hidden="" ht="14" outlineLevel="0" r="804">
      <c r="A804" s="3" t="inlineStr">
        <is>
          <t>795</t>
        </is>
      </c>
      <c r="B804" s="4" t="s">
        <f>=HYPERLINK("http://anyluxury.ru/shop/instrumenty/nabory-instrumentov/nabor-sadovih-instrumentov-3-sht-p221629/" , "P221.629 Набор садовых инструментов, 3 предмета")</f>
      </c>
      <c r="C804" s="4" t="n">
        <v>881.00</v>
      </c>
      <c r="D804" s="4"/>
    </row>
    <row collapsed="" customFormat="false" customHeight="1" hidden="" ht="14" outlineLevel="0" r="805">
      <c r="A805" s="3" t="inlineStr">
        <is>
          <t>796</t>
        </is>
      </c>
      <c r="B805" s="4" t="s">
        <f>=HYPERLINK("http://anyluxury.ru/shop/instrumenty/nabory-instrumentov/karmanniy-nabor-bit-13-predmetov-p221581/" , "P221.581 Карманный набор бит, 13 предметов")</f>
      </c>
      <c r="C805" s="4" t="n">
        <v>784.00</v>
      </c>
      <c r="D805" s="4"/>
    </row>
    <row collapsed="" customFormat="false" customHeight="1" hidden="" ht="14" outlineLevel="0" r="806">
      <c r="A806" s="3" t="inlineStr">
        <is>
          <t>797</t>
        </is>
      </c>
      <c r="B806" s="4" t="s">
        <f>=HYPERLINK("http://anyluxury.ru/shop/instrumenty/nabory-instrumentov/karmanniy-nabor-bit-13-predmetov-p221585/" , "P221.585 Карманный набор бит, 13 предметов")</f>
      </c>
      <c r="C806" s="4" t="n">
        <v>784.00</v>
      </c>
      <c r="D806" s="4"/>
    </row>
    <row collapsed="" customFormat="false" customHeight="1" hidden="" ht="14" outlineLevel="0" r="807">
      <c r="A807" s="3" t="inlineStr">
        <is>
          <t>798</t>
        </is>
      </c>
      <c r="B807" s="4" t="s">
        <f>=HYPERLINK("http://anyluxury.ru/shop/instrumenty/nabory-instrumentov/nabor-instrumentov-iz-38-predmetov-p221521/" , "P221.521 Набор инструментов из 38 предметов")</f>
      </c>
      <c r="C807" s="4" t="n">
        <v>1594.00</v>
      </c>
      <c r="D807" s="4"/>
    </row>
    <row collapsed="" customFormat="false" customHeight="1" hidden="" ht="14" outlineLevel="0" r="808">
      <c r="A808" s="3" t="inlineStr">
        <is>
          <t>799</t>
        </is>
      </c>
      <c r="B808" s="4" t="s">
        <f>=HYPERLINK("http://anyluxury.ru/shop/instrumenty/nabory-instrumentov/mnogofunkcionalniy-topor-axe003-cherniy-1472330/" , "14723.30 Многофункциональный топор Axe-003, черный")</f>
      </c>
      <c r="C808" s="4" t="n">
        <v>8000.00</v>
      </c>
      <c r="D808" s="4"/>
    </row>
    <row collapsed="" customFormat="false" customHeight="1" hidden="" ht="14" outlineLevel="0" r="809">
      <c r="A809" s="3" t="inlineStr">
        <is>
          <t>800</t>
        </is>
      </c>
      <c r="B809" s="4" t="s">
        <f>=HYPERLINK("http://anyluxury.ru/shop/instrumenty/nabory-instrumentov/mnogofunkcionalnaya-lopata-hk001-chernaya-1472430/" , "14724.30 Многофункциональная лопата HK001, черная")</f>
      </c>
      <c r="C809" s="4" t="n">
        <v>7950.00</v>
      </c>
      <c r="D809" s="4"/>
    </row>
    <row collapsed="" customFormat="false" customHeight="1" hidden="" ht="14" outlineLevel="0" r="810">
      <c r="A810" s="3" t="inlineStr">
        <is>
          <t>801</t>
        </is>
      </c>
      <c r="B810" s="4" t="s">
        <f>=HYPERLINK("http://anyluxury.ru/shop/instrumenty/nabory-instrumentov/mnogofunkcionalnaya-lopata-hk002-chernaya-1472530/" , "14725.30 Многофункциональная лопата HK002, черная")</f>
      </c>
      <c r="C810" s="4" t="n">
        <v>6250.00</v>
      </c>
      <c r="D810" s="4"/>
    </row>
    <row collapsed="" customFormat="false" customHeight="1" hidden="" ht="14" outlineLevel="0" r="811">
      <c r="A811" s="3" t="inlineStr">
        <is>
          <t>802</t>
        </is>
      </c>
      <c r="B811" s="4" t="s">
        <f>=HYPERLINK("http://anyluxury.ru/shop/instrumenty/nabory-instrumentov/mnogofunkcionalnaya-ruchnaya-lopata-hike-and-dig-serebristaya-1472610/" , "14726.10 Многофункциональная ручная лопата Hike and Dig, серебристая")</f>
      </c>
      <c r="C811" s="4" t="n">
        <v>2400.00</v>
      </c>
      <c r="D811" s="4"/>
    </row>
    <row collapsed="" customFormat="false" customHeight="1" hidden="" ht="14" outlineLevel="0" r="812">
      <c r="A812" s="3" t="inlineStr">
        <is>
          <t>803</t>
        </is>
      </c>
      <c r="B812" s="4" t="s">
        <f>=HYPERLINK("http://anyluxury.ru/shop/instrumenty/nabory-instrumentov/nabor-precizionnih-otvertok-gear-x-31v1-p221531/" , "P221.531 Набор прецизионных отверток Gear X 31-в-1")</f>
      </c>
      <c r="C812" s="4" t="n">
        <v>3790.00</v>
      </c>
      <c r="D812" s="4"/>
    </row>
    <row collapsed="" customFormat="false" customHeight="1" hidden="" ht="14" outlineLevel="0" r="813">
      <c r="A813" s="3" t="inlineStr">
        <is>
          <t>804</t>
        </is>
      </c>
      <c r="B813" s="4" t="s">
        <f>=HYPERLINK("http://anyluxury.ru/shop/instrumenty/nabory-instrumentov/nabor-instrumentov-swisscard-poluprozrachniy-cherniy-770335/" , "7703.35 Набор инструментов SwissCard, полупрозрачный черный")</f>
      </c>
      <c r="C813" s="4" t="n">
        <v>6590.00</v>
      </c>
      <c r="D813" s="4"/>
    </row>
    <row collapsed="" customFormat="false" customHeight="1" hidden="" ht="14" outlineLevel="0" r="814">
      <c r="A814" s="3" t="inlineStr">
        <is>
          <t>805</t>
        </is>
      </c>
      <c r="B814" s="4" t="s">
        <f>=HYPERLINK("http://anyluxury.ru/shop/instrumenty/nabory-instrumentov/nabor-instrumentov-swisscard-poluprozrachniy-krasniy-770355/" , "7703.55 Набор инструментов SwissCard, полупрозрачный красный")</f>
      </c>
      <c r="C814" s="4" t="n">
        <v>5580.00</v>
      </c>
      <c r="D814" s="4"/>
    </row>
    <row collapsed="" customFormat="false" customHeight="1" hidden="" ht="14" outlineLevel="0" r="815">
      <c r="A815" s="3" t="inlineStr">
        <is>
          <t>806</t>
        </is>
      </c>
      <c r="B815" s="4" t="s">
        <f>=HYPERLINK("http://anyluxury.ru/shop/instrumenty/nabory-instrumentov/derevyanniy-nabor-shestigrannih-klyuchey-p221089/" , "P221.089 Деревянный набор шестигранных ключей")</f>
      </c>
      <c r="C815" s="4" t="n">
        <v>2481.00</v>
      </c>
      <c r="D815" s="4"/>
    </row>
    <row collapsed="" customFormat="false" customHeight="1" hidden="" ht="14" outlineLevel="0" r="816">
      <c r="A816" s="3" t="inlineStr">
        <is>
          <t>807</t>
        </is>
      </c>
      <c r="B816" s="4" t="s">
        <f>=HYPERLINK("http://anyluxury.ru/shop/instrumenty/nabory-instrumentov/nabor-instrumentov-carvine-v-bambukovom-keyse-21-sht-p221709/" , "P221.709 Набор инструментов Carvine в бамбуковом кейсе, 21 шт.")</f>
      </c>
      <c r="C816" s="4" t="n">
        <v>2666.00</v>
      </c>
      <c r="D816" s="4"/>
    </row>
    <row collapsed="" customFormat="false" customHeight="1" hidden="" ht="14" outlineLevel="0" r="817">
      <c r="A817" s="3" t="inlineStr">
        <is>
          <t>808</t>
        </is>
      </c>
      <c r="B817" s="4" t="s">
        <f>=HYPERLINK("http://anyluxury.ru/shop/instrumenty/nabory-instrumentov/nabor-otvertok-vinto-serogoluboy-1770213/" , "17702.13 Набор отверток Vinto, серо-голубой")</f>
      </c>
      <c r="C817" s="4" t="n">
        <v>1750.00</v>
      </c>
      <c r="D817" s="4"/>
    </row>
    <row collapsed="" customFormat="false" customHeight="1" hidden="" ht="14" outlineLevel="0" r="818">
      <c r="A818" s="3" t="inlineStr">
        <is>
          <t>809</t>
        </is>
      </c>
      <c r="B818" s="4" t="s">
        <f>=HYPERLINK("http://anyluxury.ru/shop/instrumenty/nabory-instrumentov/nabor-precizionnih-otvertok-gear-x-iz-pererabotannogo-alyuminiya-rcs-56-sht-p221261/" , "P221.261 Набор прецизионных отверток Gear X из переработанного алюминия RCS, 56 шт.")</f>
      </c>
      <c r="C818" s="4" t="n">
        <v>6228.00</v>
      </c>
      <c r="D818" s="4"/>
    </row>
    <row collapsed="" customFormat="false" customHeight="" hidden="" ht="12.1" outlineLevel="0" r="819">
      <c r="A819" s="5" t="inlineStr">
        <is>
          <t> -  - Рулетки</t>
        </is>
      </c>
      <c r="B819" s="6"/>
      <c r="C819" s="6"/>
      <c r="D819" s="6"/>
    </row>
    <row collapsed="" customFormat="false" customHeight="1" hidden="" ht="14" outlineLevel="0" r="820">
      <c r="A820" s="3" t="inlineStr">
        <is>
          <t>810</t>
        </is>
      </c>
      <c r="B820" s="4" t="s">
        <f>=HYPERLINK("http://anyluxury.ru/shop/instrumenty/ruletki/ruletka-s-fonarikom-2v1-seriy-p113271/" , "P113.271 Рулетка с фонариком 2-в-1")</f>
      </c>
      <c r="C820" s="4" t="n">
        <v>1449.00</v>
      </c>
      <c r="D820" s="4"/>
    </row>
    <row collapsed="" customFormat="false" customHeight="1" hidden="" ht="14" outlineLevel="0" r="821">
      <c r="A821" s="3" t="inlineStr">
        <is>
          <t>811</t>
        </is>
      </c>
      <c r="B821" s="4" t="s">
        <f>=HYPERLINK("http://anyluxury.ru/shop/instrumenty/ruletki/ruletka-5m19mm-cherniy-p113261/" , "P113.261 Рулетка  - 5м/19 мм")</f>
      </c>
      <c r="C821" s="4" t="n">
        <v>675.00</v>
      </c>
      <c r="D821" s="4"/>
    </row>
    <row collapsed="" customFormat="false" customHeight="1" hidden="" ht="14" outlineLevel="0" r="822">
      <c r="A822" s="3" t="inlineStr">
        <is>
          <t>812</t>
        </is>
      </c>
      <c r="B822" s="4" t="s">
        <f>=HYPERLINK("http://anyluxury.ru/shop/instrumenty/ruletki/ruletka-3-m-p112341/" , "P112.341 Рулетка, 3 м")</f>
      </c>
      <c r="C822" s="4" t="n">
        <v>206.00</v>
      </c>
      <c r="D822" s="4"/>
    </row>
    <row collapsed="" customFormat="false" customHeight="1" hidden="" ht="14" outlineLevel="0" r="823">
      <c r="A823" s="3" t="inlineStr">
        <is>
          <t>813</t>
        </is>
      </c>
      <c r="B823" s="4" t="s">
        <f>=HYPERLINK("http://anyluxury.ru/shop/instrumenty/ruletki/santimetr-tailor-15-m-p110015/" , "P110.015 Сантиметр Tailor, 1,5 м")</f>
      </c>
      <c r="C823" s="4" t="n">
        <v>194.00</v>
      </c>
      <c r="D823" s="4"/>
    </row>
    <row collapsed="" customFormat="false" customHeight="1" hidden="" ht="14" outlineLevel="0" r="824">
      <c r="A824" s="3" t="inlineStr">
        <is>
          <t>814</t>
        </is>
      </c>
      <c r="B824" s="4" t="s">
        <f>=HYPERLINK("http://anyluxury.ru/shop/instrumenty/ruletki/skladnaya-lineyka-mini-50-sm-p112003/" , "P112.003 Складная линейка Mini, 50 см")</f>
      </c>
      <c r="C824" s="4" t="n">
        <v>347.00</v>
      </c>
      <c r="D824" s="4"/>
    </row>
    <row collapsed="" customFormat="false" customHeight="1" hidden="" ht="14" outlineLevel="0" r="825">
      <c r="A825" s="3" t="inlineStr">
        <is>
          <t>815</t>
        </is>
      </c>
      <c r="B825" s="4" t="s">
        <f>=HYPERLINK("http://anyluxury.ru/shop/instrumenty/ruletki/ruletka-economic-3-m-p112032/" , "P112.032 Рулетка Economic, 3 м")</f>
      </c>
      <c r="C825" s="4" t="n">
        <v>703.00</v>
      </c>
      <c r="D825" s="4"/>
    </row>
    <row collapsed="" customFormat="false" customHeight="1" hidden="" ht="14" outlineLevel="0" r="826">
      <c r="A826" s="3" t="inlineStr">
        <is>
          <t>816</t>
        </is>
      </c>
      <c r="B826" s="4" t="s">
        <f>=HYPERLINK("http://anyluxury.ru/shop/instrumenty/ruletki/ruletka-5-m-p112352/" , "P112.352 Рулетка, 5 м")</f>
      </c>
      <c r="C826" s="4" t="n">
        <v>719.00</v>
      </c>
      <c r="D826" s="4"/>
    </row>
    <row collapsed="" customFormat="false" customHeight="1" hidden="" ht="14" outlineLevel="0" r="827">
      <c r="A827" s="3" t="inlineStr">
        <is>
          <t>817</t>
        </is>
      </c>
      <c r="B827" s="4" t="s">
        <f>=HYPERLINK("http://anyluxury.ru/shop/instrumenty/ruletki/ruletka-kiev-5-m-siniy-p112455/" , "P112.455 Рулетка Kiev, 5 м")</f>
      </c>
      <c r="C827" s="4" t="n">
        <v>589.00</v>
      </c>
      <c r="D827" s="4"/>
    </row>
    <row collapsed="" customFormat="false" customHeight="1" hidden="" ht="14" outlineLevel="0" r="828">
      <c r="A828" s="3" t="inlineStr">
        <is>
          <t>818</t>
        </is>
      </c>
      <c r="B828" s="4" t="s">
        <f>=HYPERLINK("http://anyluxury.ru/shop/instrumenty/ruletki/ruletka-grip-5-m-p113452/" , "P113.452 Рулетка Grip, 5 м")</f>
      </c>
      <c r="C828" s="4" t="n">
        <v>699.00</v>
      </c>
      <c r="D828" s="4"/>
    </row>
    <row collapsed="" customFormat="false" customHeight="1" hidden="" ht="14" outlineLevel="0" r="829">
      <c r="A829" s="3" t="inlineStr">
        <is>
          <t>819</t>
        </is>
      </c>
      <c r="B829" s="4" t="s">
        <f>=HYPERLINK("http://anyluxury.ru/shop/instrumenty/ruletki/ruletka-s-karabinom-5-m-p113652/" , "P113.652 Рулетка с карабином, 5 м")</f>
      </c>
      <c r="C829" s="4" t="n">
        <v>1059.00</v>
      </c>
      <c r="D829" s="4"/>
    </row>
    <row collapsed="" customFormat="false" customHeight="1" hidden="" ht="14" outlineLevel="0" r="830">
      <c r="A830" s="3" t="inlineStr">
        <is>
          <t>820</t>
        </is>
      </c>
      <c r="B830" s="4" t="s">
        <f>=HYPERLINK("http://anyluxury.ru/shop/instrumenty/ruletki/stalnaya-ruletka-5-m-p115652/" , "P115.652 Стальная рулетка, 5 м")</f>
      </c>
      <c r="C830" s="4" t="n">
        <v>1594.00</v>
      </c>
      <c r="D830" s="4"/>
    </row>
    <row collapsed="" customFormat="false" customHeight="1" hidden="" ht="14" outlineLevel="0" r="831">
      <c r="A831" s="3" t="inlineStr">
        <is>
          <t>821</t>
        </is>
      </c>
      <c r="B831" s="4" t="s">
        <f>=HYPERLINK("http://anyluxury.ru/shop/instrumenty/ruletki/puzirkoviy-uroven-large-p221712/" , "P221.712 Пузырьковый уровень Large")</f>
      </c>
      <c r="C831" s="4" t="n">
        <v>1399.00</v>
      </c>
      <c r="D831" s="4"/>
    </row>
    <row collapsed="" customFormat="false" customHeight="1" hidden="" ht="14" outlineLevel="0" r="832">
      <c r="A832" s="3" t="inlineStr">
        <is>
          <t>822</t>
        </is>
      </c>
      <c r="B832" s="4" t="s">
        <f>=HYPERLINK("http://anyluxury.ru/shop/instrumenty/ruletki/ruletka-gear-x-5-m-s-funkciey-medlennogobistrogo-vtyagivaniya-p113201/" , "P113.201 Рулетка Gear X 5 м с функцией медленного/быстрого втягивания")</f>
      </c>
      <c r="C832" s="4" t="n">
        <v>1594.00</v>
      </c>
      <c r="D832" s="4"/>
    </row>
    <row collapsed="" customFormat="false" customHeight="1" hidden="" ht="14" outlineLevel="0" r="833">
      <c r="A833" s="3" t="inlineStr">
        <is>
          <t>823</t>
        </is>
      </c>
      <c r="B833" s="4" t="s">
        <f>=HYPERLINK("http://anyluxury.ru/shop/instrumenty/ruletki/ruletka-5-m-gear-x-s-lazernim-dalnomerom-30-m-p113211/" , "P113.211 Рулетка 5 м Gear X с лазерным дальномером 30 м")</f>
      </c>
      <c r="C833" s="4" t="n">
        <v>12463.00</v>
      </c>
      <c r="D833" s="4"/>
    </row>
    <row collapsed="" customFormat="false" customHeight="1" hidden="" ht="14" outlineLevel="0" r="834">
      <c r="A834" s="3" t="inlineStr">
        <is>
          <t>824</t>
        </is>
      </c>
      <c r="B834" s="4" t="s">
        <f>=HYPERLINK("http://anyluxury.ru/shop/instrumenty/ruletki/ruletka-iz-pererabotannogo-plastika-rcs-3m16-mm-p112101/" , "P112.101 Рулетка из переработанного пластика RCS, 3м/16 мм")</f>
      </c>
      <c r="C834" s="4" t="n">
        <v>603.00</v>
      </c>
      <c r="D834" s="4"/>
    </row>
    <row collapsed="" customFormat="false" customHeight="1" hidden="" ht="14" outlineLevel="0" r="835">
      <c r="A835" s="3" t="inlineStr">
        <is>
          <t>825</t>
        </is>
      </c>
      <c r="B835" s="4" t="s">
        <f>=HYPERLINK("http://anyluxury.ru/shop/instrumenty/ruletki/ruletka-iz-pererabotannogo-plastika-rcs-3m16-mm-p112106/" , "P112.106 Рулетка из переработанного пластика RCS, 3м/16 мм")</f>
      </c>
      <c r="C835" s="4" t="n">
        <v>603.00</v>
      </c>
      <c r="D835" s="4"/>
    </row>
    <row collapsed="" customFormat="false" customHeight="1" hidden="" ht="14" outlineLevel="0" r="836">
      <c r="A836" s="3" t="inlineStr">
        <is>
          <t>826</t>
        </is>
      </c>
      <c r="B836" s="4" t="s">
        <f>=HYPERLINK("http://anyluxury.ru/shop/instrumenty/ruletki/ruletka-iz-pererabotannogo-plastika-rcs-3m16-mm-p112121/" , "P112.121 Рулетка из переработанного пластика RCS с кнопкой блокировки, 3м/16 мм")</f>
      </c>
      <c r="C836" s="4" t="n">
        <v>684.00</v>
      </c>
      <c r="D836" s="4"/>
    </row>
    <row collapsed="" customFormat="false" customHeight="1" hidden="" ht="14" outlineLevel="0" r="837">
      <c r="A837" s="3" t="inlineStr">
        <is>
          <t>827</t>
        </is>
      </c>
      <c r="B837" s="4" t="s">
        <f>=HYPERLINK("http://anyluxury.ru/shop/instrumenty/ruletki/ruletka-iz-pererabotannogo-plastika-rcs-3m16-mm-p112126/" , "P112.126 Рулетка из переработанного пластика RCS с кнопкой блокировки, 3м/16 мм")</f>
      </c>
      <c r="C837" s="4" t="n">
        <v>684.00</v>
      </c>
      <c r="D837" s="4"/>
    </row>
    <row collapsed="" customFormat="false" customHeight="1" hidden="" ht="14" outlineLevel="0" r="838">
      <c r="A838" s="3" t="inlineStr">
        <is>
          <t>828</t>
        </is>
      </c>
      <c r="B838" s="4" t="s">
        <f>=HYPERLINK("http://anyluxury.ru/shop/instrumenty/ruletki/ruletka-grip-iz-pererabotannogo-plastika-rcs-3-m16-mm-p112141/" , "P112.141 Рулетка Grip из переработанного пластика RCS, 3 м/16 мм")</f>
      </c>
      <c r="C838" s="4" t="n">
        <v>709.00</v>
      </c>
      <c r="D838" s="4"/>
    </row>
    <row collapsed="" customFormat="false" customHeight="1" hidden="" ht="14" outlineLevel="0" r="839">
      <c r="A839" s="3" t="inlineStr">
        <is>
          <t>829</t>
        </is>
      </c>
      <c r="B839" s="4" t="s">
        <f>=HYPERLINK("http://anyluxury.ru/shop/instrumenty/ruletki/ruletka-auto-stop-iz-pererabotannogo-plastika-rcs-8m25-mm-p112181/" , "P112.181 Рулетка Auto Stop из переработанного пластика RCS, 8м/25 мм")</f>
      </c>
      <c r="C839" s="4" t="n">
        <v>1594.00</v>
      </c>
      <c r="D839" s="4"/>
    </row>
    <row collapsed="" customFormat="false" customHeight="1" hidden="" ht="14" outlineLevel="0" r="840">
      <c r="A840" s="3" t="inlineStr">
        <is>
          <t>830</t>
        </is>
      </c>
      <c r="B840" s="4" t="s">
        <f>=HYPERLINK("http://anyluxury.ru/shop/instrumenty/ruletki/ruletka-iz-pererabotannogo-plastika-rcs-5m19-mm-p112111/" , "P112.111 Рулетка из переработанного пластика RCS, 5м/19 мм")</f>
      </c>
      <c r="C840" s="4" t="n">
        <v>881.00</v>
      </c>
      <c r="D840" s="4"/>
    </row>
    <row collapsed="" customFormat="false" customHeight="1" hidden="" ht="14" outlineLevel="0" r="841">
      <c r="A841" s="3" t="inlineStr">
        <is>
          <t>831</t>
        </is>
      </c>
      <c r="B841" s="4" t="s">
        <f>=HYPERLINK("http://anyluxury.ru/shop/instrumenty/ruletki/ruletka-iz-pererabotannogo-plastika-rcs-5m19-mm-p112116/" , "P112.116 Рулетка из переработанного пластика RCS, 5м/19 мм")</f>
      </c>
      <c r="C841" s="4" t="n">
        <v>881.00</v>
      </c>
      <c r="D841" s="4"/>
    </row>
    <row collapsed="" customFormat="false" customHeight="1" hidden="" ht="14" outlineLevel="0" r="842">
      <c r="A842" s="3" t="inlineStr">
        <is>
          <t>832</t>
        </is>
      </c>
      <c r="B842" s="4" t="s">
        <f>=HYPERLINK("http://anyluxury.ru/shop/instrumenty/ruletki/ruletka-grip-iz-pererabotannogo-plastika-rcs-5m19-mm-p112151/" , "P112.151 Рулетка Grip из переработанного пластика RCS, 5м/19 мм")</f>
      </c>
      <c r="C842" s="4" t="n">
        <v>1031.00</v>
      </c>
      <c r="D842" s="4"/>
    </row>
    <row collapsed="" customFormat="false" customHeight="1" hidden="" ht="14" outlineLevel="0" r="843">
      <c r="A843" s="3" t="inlineStr">
        <is>
          <t>833</t>
        </is>
      </c>
      <c r="B843" s="4" t="s">
        <f>=HYPERLINK("http://anyluxury.ru/shop/instrumenty/ruletki/ruletka-auto-stop-iz-pererabotannogo-plastika-rcs-3m16-mm-p112161/" , "P112.161 Рулетка Auto Stop из переработанного пластика RCS, 3м/16 мм")</f>
      </c>
      <c r="C843" s="4" t="n">
        <v>709.00</v>
      </c>
      <c r="D843" s="4"/>
    </row>
    <row collapsed="" customFormat="false" customHeight="1" hidden="" ht="14" outlineLevel="0" r="844">
      <c r="A844" s="3" t="inlineStr">
        <is>
          <t>834</t>
        </is>
      </c>
      <c r="B844" s="4" t="s">
        <f>=HYPERLINK("http://anyluxury.ru/shop/instrumenty/ruletki/ruletka-auto-stop-iz-pererabotannogo-plastika-rcs-5m19-mm-p112171/" , "P112.171 Рулетка Auto Stop из переработанного пластика RCS, 5м/19 мм")</f>
      </c>
      <c r="C844" s="4" t="n">
        <v>1059.00</v>
      </c>
      <c r="D844" s="4"/>
    </row>
    <row collapsed="" customFormat="false" customHeight="1" hidden="" ht="14" outlineLevel="0" r="845">
      <c r="A845" s="3" t="inlineStr">
        <is>
          <t>835</t>
        </is>
      </c>
      <c r="B845" s="4" t="s">
        <f>=HYPERLINK("http://anyluxury.ru/shop/instrumenty/ruletki/ruletka-bamboo-iz-pererabotannogo-plastika-rcs-5m19-mm-p112191/" , "P112.191 Рулетка Bamboo из переработанного пластика RCS, 5м/19 мм")</f>
      </c>
      <c r="C845" s="4" t="n">
        <v>1238.00</v>
      </c>
      <c r="D845" s="4"/>
    </row>
    <row collapsed="" customFormat="false" customHeight="1" hidden="" ht="14" outlineLevel="0" r="846">
      <c r="A846" s="3" t="inlineStr">
        <is>
          <t>836</t>
        </is>
      </c>
      <c r="B846" s="4" t="s">
        <f>=HYPERLINK("http://anyluxury.ru/shop/instrumenty/ruletki/ruletka-bamboo-iz-pererabotannogo-plastika-rcs-5m19-mm-p112193/" , "P112.193 Рулетка Bamboo из переработанного пластика RCS, 5м/19 мм")</f>
      </c>
      <c r="C846" s="4" t="n">
        <v>1238.00</v>
      </c>
      <c r="D846" s="4"/>
    </row>
    <row collapsed="" customFormat="false" customHeight="1" hidden="" ht="14" outlineLevel="0" r="847">
      <c r="A847" s="3" t="inlineStr">
        <is>
          <t>837</t>
        </is>
      </c>
      <c r="B847" s="4" t="s">
        <f>=HYPERLINK("http://anyluxury.ru/shop/instrumenty/ruletki/pryamougolnaya-lineyka-s-urovnem-30-sm-p112402/" , "P112.402 Прямоугольная линейка с уровнем, 30 см")</f>
      </c>
      <c r="C847" s="4" t="n">
        <v>1238.00</v>
      </c>
      <c r="D847" s="4"/>
    </row>
    <row collapsed="" customFormat="false" customHeight="" hidden="" ht="12.1" outlineLevel="0" r="848">
      <c r="A848" s="5" t="inlineStr">
        <is>
          <t>Корпоративные подарки</t>
        </is>
      </c>
      <c r="B848" s="6"/>
      <c r="C848" s="6"/>
      <c r="D848" s="6"/>
    </row>
    <row collapsed="" customFormat="false" customHeight="" hidden="" ht="12.1" outlineLevel="0" r="849">
      <c r="A849" s="5" t="inlineStr">
        <is>
          <t> -  - Визитницы</t>
        </is>
      </c>
      <c r="B849" s="6"/>
      <c r="C849" s="6"/>
      <c r="D849" s="6"/>
    </row>
    <row collapsed="" customFormat="false" customHeight="1" hidden="" ht="14" outlineLevel="0" r="850">
      <c r="A850" s="3" t="inlineStr">
        <is>
          <t>838</t>
        </is>
      </c>
      <c r="B850" s="4" t="s">
        <f>=HYPERLINK("http://anyluxury.ru/shop/korporativnye-podarki/vizitnitsy/vizitnitsa-9ss-1926-montblanc-heritage-troynogo-slozheniya/" , "116823 Визитница 9сс 1926 Montblanc Heritage тройного сложения")</f>
      </c>
      <c r="C850" s="4" t="n">
        <v>16700.00</v>
      </c>
      <c r="D850" s="4"/>
    </row>
    <row collapsed="" customFormat="false" customHeight="1" hidden="" ht="14" outlineLevel="0" r="851">
      <c r="A851" s="3" t="inlineStr">
        <is>
          <t>839</t>
        </is>
      </c>
      <c r="B851" s="4" t="s">
        <f>=HYPERLINK("http://anyluxury.ru/shop/korporativnye-podarki/vizitnitsy/vizitnica-bella-na-96-kart-125-h-260-mm-iskusstvennaya-kozha-vizitnicabellab/" , "VIZITNICA-BELLA-B Визитница BELLA на 96 карт, 125 х 260 мм, искусственная кожа")</f>
      </c>
      <c r="C851" s="4" t="n">
        <v>945.00</v>
      </c>
      <c r="D851" s="4"/>
    </row>
    <row collapsed="" customFormat="false" customHeight="1" hidden="" ht="14" outlineLevel="0" r="852">
      <c r="A852" s="3" t="inlineStr">
        <is>
          <t>840</t>
        </is>
      </c>
      <c r="B852" s="4" t="s">
        <f>=HYPERLINK("http://anyluxury.ru/shop/korporativnye-podarki/vizitnitsy/kardholder-promo-67-h-100-mm-iskusstvennaya-kozha-cardpromob/" , "CARD-PROMO-B Кардхолдер PROMO, 67 х 100 мм, искусственная кожа")</f>
      </c>
      <c r="C852" s="4" t="n">
        <v>186.00</v>
      </c>
      <c r="D852" s="4"/>
    </row>
    <row collapsed="" customFormat="false" customHeight="1" hidden="" ht="14" outlineLevel="0" r="853">
      <c r="A853" s="3" t="inlineStr">
        <is>
          <t>841</t>
        </is>
      </c>
      <c r="B853" s="4" t="s">
        <f>=HYPERLINK("http://anyluxury.ru/shop/korporativnye-podarki/vizitnitsy/vizitnica-s-cvetkom-z7808/" , "Z7808 Визитница Enamel, розовая")</f>
      </c>
      <c r="C853" s="4" t="n">
        <v>290.00</v>
      </c>
      <c r="D853" s="4"/>
    </row>
    <row collapsed="" customFormat="false" customHeight="1" hidden="" ht="14" outlineLevel="0" r="854">
      <c r="A854" s="3" t="inlineStr">
        <is>
          <t>842</t>
        </is>
      </c>
      <c r="B854" s="4" t="s">
        <f>=HYPERLINK("http://anyluxury.ru/shop/korporativnye-podarki/vizitnitsy/futlyar-dlya-vizitok-korichneviy-470555/" , "4705.55 Футляр для визиток Handshake, коричневый")</f>
      </c>
      <c r="C854" s="4" t="n">
        <v>605.00</v>
      </c>
      <c r="D854" s="4"/>
    </row>
    <row collapsed="" customFormat="false" customHeight="1" hidden="" ht="14" outlineLevel="0" r="855">
      <c r="A855" s="3" t="inlineStr">
        <is>
          <t>843</t>
        </is>
      </c>
      <c r="B855" s="4" t="s">
        <f>=HYPERLINK("http://anyluxury.ru/shop/korporativnye-podarki/vizitnitsy/futlyar-dlya-vizitok-cherniy-470530/" , "4705.30 Футляр для визиток Handshake, черный")</f>
      </c>
      <c r="C855" s="4" t="n">
        <v>605.00</v>
      </c>
      <c r="D855" s="4"/>
    </row>
    <row collapsed="" customFormat="false" customHeight="1" hidden="" ht="14" outlineLevel="0" r="856">
      <c r="A856" s="3" t="inlineStr">
        <is>
          <t>844</t>
        </is>
      </c>
      <c r="B856" s="4" t="s">
        <f>=HYPERLINK("http://anyluxury.ru/shop/korporativnye-podarki/vizitnitsy/futlyar-dlya-vizitok-palermo-siniy-5268/" , "5268 Футляр для визиток Palermo, синий")</f>
      </c>
      <c r="C856" s="4" t="n">
        <v>2550.00</v>
      </c>
      <c r="D856" s="4"/>
    </row>
    <row collapsed="" customFormat="false" customHeight="1" hidden="" ht="14" outlineLevel="0" r="857">
      <c r="A857" s="3" t="inlineStr">
        <is>
          <t>845</t>
        </is>
      </c>
      <c r="B857" s="4" t="s">
        <f>=HYPERLINK("http://anyluxury.ru/shop/korporativnye-podarki/vizitnitsy/futlyar-dlya-vizitok-belladonna-meeting-cherniy-643930/" , "6439.30 Футляр для визиток Belladonna Meeting, черный")</f>
      </c>
      <c r="C857" s="4" t="n">
        <v>1056.00</v>
      </c>
      <c r="D857" s="4"/>
    </row>
    <row collapsed="" customFormat="false" customHeight="1" hidden="" ht="14" outlineLevel="0" r="858">
      <c r="A858" s="3" t="inlineStr">
        <is>
          <t>846</t>
        </is>
      </c>
      <c r="B858" s="4" t="s">
        <f>=HYPERLINK("http://anyluxury.ru/shop/korporativnye-podarki/vizitnitsy/vizitnica-nebraska-sinyaya-104440/" , "1044.40 Визитница Nebraska, синяя")</f>
      </c>
      <c r="C858" s="4" t="n">
        <v>1228.00</v>
      </c>
      <c r="D858" s="4"/>
    </row>
    <row collapsed="" customFormat="false" customHeight="1" hidden="" ht="14" outlineLevel="0" r="859">
      <c r="A859" s="3" t="inlineStr">
        <is>
          <t>847</t>
        </is>
      </c>
      <c r="B859" s="4" t="s">
        <f>=HYPERLINK("http://anyluxury.ru/shop/korporativnye-podarki/vizitnitsy/vizitnica-brand-sinyaya-266540/" , "2665.40 Визитница Brand, синяя")</f>
      </c>
      <c r="C859" s="4" t="n">
        <v>790.00</v>
      </c>
      <c r="D859" s="4"/>
    </row>
    <row collapsed="" customFormat="false" customHeight="1" hidden="" ht="14" outlineLevel="0" r="860">
      <c r="A860" s="3" t="inlineStr">
        <is>
          <t>848</t>
        </is>
      </c>
      <c r="B860" s="4" t="s">
        <f>=HYPERLINK("http://anyluxury.ru/shop/korporativnye-podarki/vizitnitsy/vizitnica-brand-krasnaya-266550/" , "2665.50 Визитница Brand, красная")</f>
      </c>
      <c r="C860" s="4" t="n">
        <v>790.00</v>
      </c>
      <c r="D860" s="4"/>
    </row>
    <row collapsed="" customFormat="false" customHeight="1" hidden="" ht="14" outlineLevel="0" r="861">
      <c r="A861" s="3" t="inlineStr">
        <is>
          <t>849</t>
        </is>
      </c>
      <c r="B861" s="4" t="s">
        <f>=HYPERLINK("http://anyluxury.ru/shop/korporativnye-podarki/vizitnitsy/vizitnica-brand-chernaya-266530/" , "2665.30 Визитница Brand, черная")</f>
      </c>
      <c r="C861" s="4" t="n">
        <v>790.00</v>
      </c>
      <c r="D861" s="4"/>
    </row>
    <row collapsed="" customFormat="false" customHeight="1" hidden="" ht="14" outlineLevel="0" r="862">
      <c r="A862" s="3" t="inlineStr">
        <is>
          <t>850</t>
        </is>
      </c>
      <c r="B862" s="4" t="s">
        <f>=HYPERLINK("http://anyluxury.ru/shop/korporativnye-podarki/vizitnitsy/vizitnica-brand-oranzhevaya-266520/" , "2665.20 Визитница Brand, оранжевая")</f>
      </c>
      <c r="C862" s="4" t="n">
        <v>790.00</v>
      </c>
      <c r="D862" s="4"/>
    </row>
    <row collapsed="" customFormat="false" customHeight="1" hidden="" ht="14" outlineLevel="0" r="863">
      <c r="A863" s="3" t="inlineStr">
        <is>
          <t>851</t>
        </is>
      </c>
      <c r="B863" s="4" t="s">
        <f>=HYPERLINK("http://anyluxury.ru/shop/korporativnye-podarki/vizitnitsy/vizitnica-brand-seraya-266510/" , "2665.10 Визитница Brand, серая")</f>
      </c>
      <c r="C863" s="4" t="n">
        <v>690.00</v>
      </c>
      <c r="D863" s="4"/>
    </row>
    <row collapsed="" customFormat="false" customHeight="1" hidden="" ht="14" outlineLevel="0" r="864">
      <c r="A864" s="3" t="inlineStr">
        <is>
          <t>852</t>
        </is>
      </c>
      <c r="B864" s="4" t="s">
        <f>=HYPERLINK("http://anyluxury.ru/shop/korporativnye-podarki/vizitnitsy/futlyar-dlya-vizitnih-kart-gianni-cherniy-z5407030/" , "Z54070.30 Футляр для визитных карточек Gianni, черный")</f>
      </c>
      <c r="C864" s="4" t="n">
        <v>2946.00</v>
      </c>
      <c r="D864" s="4"/>
    </row>
    <row collapsed="" customFormat="false" customHeight="1" hidden="" ht="14" outlineLevel="0" r="865">
      <c r="A865" s="3" t="inlineStr">
        <is>
          <t>853</t>
        </is>
      </c>
      <c r="B865" s="4" t="s">
        <f>=HYPERLINK("http://anyluxury.ru/shop/korporativnye-podarki/vizitnitsy/vizitnica-palermo-sinyaya-6729/" , "6729 Визитница Palermo, синяя")</f>
      </c>
      <c r="C865" s="4" t="n">
        <v>5095.00</v>
      </c>
      <c r="D865" s="4"/>
    </row>
    <row collapsed="" customFormat="false" customHeight="1" hidden="" ht="14" outlineLevel="0" r="866">
      <c r="A866" s="3" t="inlineStr">
        <is>
          <t>854</t>
        </is>
      </c>
      <c r="B866" s="4" t="s">
        <f>=HYPERLINK("http://anyluxury.ru/shop/korporativnye-podarki/vizitnitsy/futlyar-dlya-vizitnih-kart-slim-cherniy-z5409630/" , "Z54096.30 Футляр для визитных карт Slim, черный")</f>
      </c>
      <c r="C866" s="4" t="n">
        <v>2548.00</v>
      </c>
      <c r="D866" s="4"/>
    </row>
    <row collapsed="" customFormat="false" customHeight="1" hidden="" ht="14" outlineLevel="0" r="867">
      <c r="A867" s="3" t="inlineStr">
        <is>
          <t>855</t>
        </is>
      </c>
      <c r="B867" s="4" t="s">
        <f>=HYPERLINK("http://anyluxury.ru/shop/korporativnye-podarki/vizitnitsy/futlyar-dlya-vizitok-i-plastikovih-kart-cardi-cherniy-7413930/" , "74139.30 Футляр для визиток и пластиковых карт Cardi, черный")</f>
      </c>
      <c r="C867" s="4" t="n">
        <v>250.00</v>
      </c>
      <c r="D867" s="4"/>
    </row>
    <row collapsed="" customFormat="false" customHeight="1" hidden="" ht="14" outlineLevel="0" r="868">
      <c r="A868" s="3" t="inlineStr">
        <is>
          <t>856</t>
        </is>
      </c>
      <c r="B868" s="4" t="s">
        <f>=HYPERLINK("http://anyluxury.ru/shop/korporativnye-podarki/vizitnitsy/futlyar-dlya-vizitok-i-plastikovih-kart-cardi-serebristiy-7413910/" , "74139.10 Футляр для визиток и пластиковых карт Cardi, серебристый")</f>
      </c>
      <c r="C868" s="4" t="n">
        <v>268.00</v>
      </c>
      <c r="D868" s="4"/>
    </row>
    <row collapsed="" customFormat="false" customHeight="1" hidden="" ht="14" outlineLevel="0" r="869">
      <c r="A869" s="3" t="inlineStr">
        <is>
          <t>857</t>
        </is>
      </c>
      <c r="B869" s="4" t="s">
        <f>=HYPERLINK("http://anyluxury.ru/shop/korporativnye-podarki/vizitnitsy/vizitnica-italico-krasnaya-5204450/" , "52044.50 Визитница Italico, красная")</f>
      </c>
      <c r="C869" s="4" t="n">
        <v>2880.00</v>
      </c>
      <c r="D869" s="4"/>
    </row>
    <row collapsed="" customFormat="false" customHeight="1" hidden="" ht="14" outlineLevel="0" r="870">
      <c r="A870" s="3" t="inlineStr">
        <is>
          <t>858</t>
        </is>
      </c>
      <c r="B870" s="4" t="s">
        <f>=HYPERLINK("http://anyluxury.ru/shop/korporativnye-podarki/vizitnitsy/vizitnica-italico-chernaya-5204430/" , "52044.30 Визитница Italico, черная")</f>
      </c>
      <c r="C870" s="4" t="n">
        <v>2880.00</v>
      </c>
      <c r="D870" s="4"/>
    </row>
    <row collapsed="" customFormat="false" customHeight="1" hidden="" ht="14" outlineLevel="0" r="871">
      <c r="A871" s="3" t="inlineStr">
        <is>
          <t>859</t>
        </is>
      </c>
      <c r="B871" s="4" t="s">
        <f>=HYPERLINK("http://anyluxury.ru/shop/korporativnye-podarki/vizitnitsy/futlyar-dlya-kartochek-i-vizitok-signature-siniy-s-golubim-1402044/" , "14020.44 Футляр для карточек и визиток Signature, синий")</f>
      </c>
      <c r="C871" s="4" t="n">
        <v>1782.00</v>
      </c>
      <c r="D871" s="4"/>
    </row>
    <row collapsed="" customFormat="false" customHeight="" hidden="" ht="12.1" outlineLevel="0" r="872">
      <c r="A872" s="5" t="inlineStr">
        <is>
          <t> -  - Косметички и несессеры</t>
        </is>
      </c>
      <c r="B872" s="6"/>
      <c r="C872" s="6"/>
      <c r="D872" s="6"/>
    </row>
    <row collapsed="" customFormat="false" customHeight="1" hidden="" ht="14" outlineLevel="0" r="873">
      <c r="A873" s="3" t="inlineStr">
        <is>
          <t>860</t>
        </is>
      </c>
      <c r="B873" s="4" t="s">
        <f>=HYPERLINK("http://anyluxury.ru/shop/korporativnye-podarki/kosmetichki-i-nesessery/organayzer-dlya-ukrasheniy-caffelatte-172810/" , "1728.10 Органайзер для украшений Caffelatte")</f>
      </c>
      <c r="C873" s="4" t="n">
        <v>7251.00</v>
      </c>
      <c r="D873" s="4"/>
    </row>
    <row collapsed="" customFormat="false" customHeight="1" hidden="" ht="14" outlineLevel="0" r="874">
      <c r="A874" s="3" t="inlineStr">
        <is>
          <t>861</t>
        </is>
      </c>
      <c r="B874" s="4" t="s">
        <f>=HYPERLINK("http://anyluxury.ru/shop/korporativnye-podarki/kosmetichki-i-nesessery/kosmetichka-aurora-belaya-s-temnosinim-02086904tun/" , "02086904TUN Косметичка Aurora, белая с темно-синим")</f>
      </c>
      <c r="C874" s="4" t="n">
        <v>871.00</v>
      </c>
      <c r="D874" s="4"/>
    </row>
    <row collapsed="" customFormat="false" customHeight="1" hidden="" ht="14" outlineLevel="0" r="875">
      <c r="A875" s="3" t="inlineStr">
        <is>
          <t>862</t>
        </is>
      </c>
      <c r="B875" s="4" t="s">
        <f>=HYPERLINK("http://anyluxury.ru/shop/korporativnye-podarki/kosmetichki-i-nesessery/kosmetichka-aurora-belaya-s-krasnim-02086987tun/" , "02086987TUN Косметичка AURORA белая с красным")</f>
      </c>
      <c r="C875" s="4" t="n">
        <v>466.00</v>
      </c>
      <c r="D875" s="4"/>
    </row>
    <row collapsed="" customFormat="false" customHeight="1" hidden="" ht="14" outlineLevel="0" r="876">
      <c r="A876" s="3" t="inlineStr">
        <is>
          <t>863</t>
        </is>
      </c>
      <c r="B876" s="4" t="s">
        <f>=HYPERLINK("http://anyluxury.ru/shop/korporativnye-podarki/kosmetichki-i-nesessery/kosmetichka-plume-accessoires-sinyaya-p5432007/" , "P54-32007 Косметичка Plume Accessoires, синяя")</f>
      </c>
      <c r="C876" s="4" t="n">
        <v>3500.00</v>
      </c>
      <c r="D876" s="4"/>
    </row>
    <row collapsed="" customFormat="false" customHeight="1" hidden="" ht="14" outlineLevel="0" r="877">
      <c r="A877" s="3" t="inlineStr">
        <is>
          <t>864</t>
        </is>
      </c>
      <c r="B877" s="4" t="s">
        <f>=HYPERLINK("http://anyluxury.ru/shop/korporativnye-podarki/kosmetichki-i-nesessery/kosmetichka-foster-beauty-box-bezhevaya-1134300/" , "11343.00 Косметичка Foster Beauty Box, бежевая")</f>
      </c>
      <c r="C877" s="4" t="n">
        <v>188.00</v>
      </c>
      <c r="D877" s="4"/>
    </row>
    <row collapsed="" customFormat="false" customHeight="1" hidden="" ht="14" outlineLevel="0" r="878">
      <c r="A878" s="3" t="inlineStr">
        <is>
          <t>865</t>
        </is>
      </c>
      <c r="B878" s="4" t="s">
        <f>=HYPERLINK("http://anyluxury.ru/shop/korporativnye-podarki/kosmetichki-i-nesessery/nesesser-overnight-essentials-kit-krasniy-1070450/" , "10704.50 Несессер Overnight Essentials Kit, красный")</f>
      </c>
      <c r="C878" s="4" t="n">
        <v>3470.00</v>
      </c>
      <c r="D878" s="4"/>
    </row>
    <row collapsed="" customFormat="false" customHeight="1" hidden="" ht="14" outlineLevel="0" r="879">
      <c r="A879" s="3" t="inlineStr">
        <is>
          <t>866</t>
        </is>
      </c>
      <c r="B879" s="4" t="s">
        <f>=HYPERLINK("http://anyluxury.ru/shop/korporativnye-podarki/kosmetichki-i-nesessery/nesesser-overnight-essentials-kit-cherniy-1070430/" , "10704.30 Несессер Overnight Essentials Kit, черный")</f>
      </c>
      <c r="C879" s="4" t="n">
        <v>3470.00</v>
      </c>
      <c r="D879" s="4"/>
    </row>
    <row collapsed="" customFormat="false" customHeight="1" hidden="" ht="14" outlineLevel="0" r="880">
      <c r="A880" s="3" t="inlineStr">
        <is>
          <t>867</t>
        </is>
      </c>
      <c r="B880" s="4" t="s">
        <f>=HYPERLINK("http://anyluxury.ru/shop/korporativnye-podarki/kosmetichki-i-nesessery/nesesser-heather-toiletry-kit-seriy-1071411/" , "10714.11 Несессер Heather Toiletry Kit, серый")</f>
      </c>
      <c r="C880" s="4" t="n">
        <v>2420.00</v>
      </c>
      <c r="D880" s="4"/>
    </row>
    <row collapsed="" customFormat="false" customHeight="1" hidden="" ht="14" outlineLevel="0" r="881">
      <c r="A881" s="3" t="inlineStr">
        <is>
          <t>868</t>
        </is>
      </c>
      <c r="B881" s="4" t="s">
        <f>=HYPERLINK("http://anyluxury.ru/shop/korporativnye-podarki/kosmetichki-i-nesessery/nesesser-accessories-toiletry-kit-cherniy-1071630/" , "10716.30 Несессер Accessories Toiletry Kit, черный")</f>
      </c>
      <c r="C881" s="4" t="n">
        <v>778.00</v>
      </c>
      <c r="D881" s="4"/>
    </row>
    <row collapsed="" customFormat="false" customHeight="1" hidden="" ht="14" outlineLevel="0" r="882">
      <c r="A882" s="3" t="inlineStr">
        <is>
          <t>869</t>
        </is>
      </c>
      <c r="B882" s="4" t="s">
        <f>=HYPERLINK("http://anyluxury.ru/shop/korporativnye-podarki/kosmetichki-i-nesessery/kosmetichka-italico-chernaya-5204030/" , "52040.30 Косметичка Italico, черная")</f>
      </c>
      <c r="C882" s="4" t="n">
        <v>3456.00</v>
      </c>
      <c r="D882" s="4"/>
    </row>
    <row collapsed="" customFormat="false" customHeight="1" hidden="" ht="14" outlineLevel="0" r="883">
      <c r="A883" s="3" t="inlineStr">
        <is>
          <t>870</t>
        </is>
      </c>
      <c r="B883" s="4" t="s">
        <f>=HYPERLINK("http://anyluxury.ru/shop/korporativnye-podarki/kosmetichki-i-nesessery/kosmetichka-italico-s-zerkalom-krasnaya-5204350/" , "52043.50 Косметичка Italico с зеркалом, красная")</f>
      </c>
      <c r="C883" s="4" t="n">
        <v>4560.00</v>
      </c>
      <c r="D883" s="4"/>
    </row>
    <row collapsed="" customFormat="false" customHeight="1" hidden="" ht="14" outlineLevel="0" r="884">
      <c r="A884" s="3" t="inlineStr">
        <is>
          <t>871</t>
        </is>
      </c>
      <c r="B884" s="4" t="s">
        <f>=HYPERLINK("http://anyluxury.ru/shop/korporativnye-podarki/kosmetichki-i-nesessery/kosmetichka-italico-s-zerkalom-chernaya-5204330/" , "52043.30 Косметичка Italico с зеркалом, черная")</f>
      </c>
      <c r="C884" s="4" t="n">
        <v>4560.00</v>
      </c>
      <c r="D884" s="4"/>
    </row>
    <row collapsed="" customFormat="false" customHeight="1" hidden="" ht="14" outlineLevel="0" r="885">
      <c r="A885" s="3" t="inlineStr">
        <is>
          <t>872</t>
        </is>
      </c>
      <c r="B885" s="4" t="s">
        <f>=HYPERLINK("http://anyluxury.ru/shop/korporativnye-podarki/kosmetichki-i-nesessery/kosmetichka-amalfi-chernaya-5204830/" , "52048.30 Косметичка Amalfi, черная")</f>
      </c>
      <c r="C885" s="4" t="n">
        <v>3360.00</v>
      </c>
      <c r="D885" s="4"/>
    </row>
    <row collapsed="" customFormat="false" customHeight="1" hidden="" ht="14" outlineLevel="0" r="886">
      <c r="A886" s="3" t="inlineStr">
        <is>
          <t>873</t>
        </is>
      </c>
      <c r="B886" s="4" t="s">
        <f>=HYPERLINK("http://anyluxury.ru/shop/korporativnye-podarki/kosmetichki-i-nesessery/kosmetichka-amalfi-krasnaya-5204850/" , "52048.50 Косметичка Amalfi, красная")</f>
      </c>
      <c r="C886" s="4" t="n">
        <v>3360.00</v>
      </c>
      <c r="D886" s="4"/>
    </row>
    <row collapsed="" customFormat="false" customHeight="1" hidden="" ht="14" outlineLevel="0" r="887">
      <c r="A887" s="3" t="inlineStr">
        <is>
          <t>874</t>
        </is>
      </c>
      <c r="B887" s="4" t="s">
        <f>=HYPERLINK("http://anyluxury.ru/shop/korporativnye-podarki/kosmetichki-i-nesessery/nesesser-swissgear-toiletry-case-bolshoy-cherniy-1213930/" , "12139.30 Несессер Swissgear Toiletry Case, большой, черный")</f>
      </c>
      <c r="C887" s="4" t="n">
        <v>1940.00</v>
      </c>
      <c r="D887" s="4"/>
    </row>
    <row collapsed="" customFormat="false" customHeight="1" hidden="" ht="14" outlineLevel="0" r="888">
      <c r="A888" s="3" t="inlineStr">
        <is>
          <t>875</t>
        </is>
      </c>
      <c r="B888" s="4" t="s">
        <f>=HYPERLINK("http://anyluxury.ru/shop/korporativnye-podarki/kosmetichki-i-nesessery/kosmetichka-italico-mini-krasnaya-5208650/" , "52086.50 Косметичка Italico Mini, красная")</f>
      </c>
      <c r="C888" s="4" t="n">
        <v>3320.00</v>
      </c>
      <c r="D888" s="4"/>
    </row>
    <row collapsed="" customFormat="false" customHeight="1" hidden="" ht="14" outlineLevel="0" r="889">
      <c r="A889" s="3" t="inlineStr">
        <is>
          <t>876</t>
        </is>
      </c>
      <c r="B889" s="4" t="s">
        <f>=HYPERLINK("http://anyluxury.ru/shop/korporativnye-podarki/kosmetichki-i-nesessery/futlyar-dlya-ochkov-dorset-krasniy-1264750/" , "12647.50 Футляр для очков Dorset, красный")</f>
      </c>
      <c r="C889" s="4" t="n">
        <v>416.00</v>
      </c>
      <c r="D889" s="4"/>
    </row>
    <row collapsed="" customFormat="false" customHeight="1" hidden="" ht="14" outlineLevel="0" r="890">
      <c r="A890" s="3" t="inlineStr">
        <is>
          <t>877</t>
        </is>
      </c>
      <c r="B890" s="4" t="s">
        <f>=HYPERLINK("http://anyluxury.ru/shop/korporativnye-podarki/kosmetichki-i-nesessery/futlyar-dlya-ochkov-dorset-seriy-1264710/" , "12647.10 Футляр для очков Dorset, серый")</f>
      </c>
      <c r="C890" s="4" t="n">
        <v>416.00</v>
      </c>
      <c r="D890" s="4"/>
    </row>
    <row collapsed="" customFormat="false" customHeight="1" hidden="" ht="14" outlineLevel="0" r="891">
      <c r="A891" s="3" t="inlineStr">
        <is>
          <t>878</t>
        </is>
      </c>
      <c r="B891" s="4" t="s">
        <f>=HYPERLINK("http://anyluxury.ru/shop/korporativnye-podarki/kosmetichki-i-nesessery/futlyar-dlya-ochkov-dorset-siniy-1264740/" , "12647.40 Футляр для очков Dorset, синий")</f>
      </c>
      <c r="C891" s="4" t="n">
        <v>416.00</v>
      </c>
      <c r="D891" s="4"/>
    </row>
    <row collapsed="" customFormat="false" customHeight="1" hidden="" ht="14" outlineLevel="0" r="892">
      <c r="A892" s="3" t="inlineStr">
        <is>
          <t>879</t>
        </is>
      </c>
      <c r="B892" s="4" t="s">
        <f>=HYPERLINK("http://anyluxury.ru/shop/korporativnye-podarki/kosmetichki-i-nesessery/penal-na-rezinke-dorset-siniy-1264840/" , "12648.40 Пенал на резинке Dorset, синий")</f>
      </c>
      <c r="C892" s="4" t="n">
        <v>429.00</v>
      </c>
      <c r="D892" s="4"/>
    </row>
    <row collapsed="" customFormat="false" customHeight="1" hidden="" ht="14" outlineLevel="0" r="893">
      <c r="A893" s="3" t="inlineStr">
        <is>
          <t>880</t>
        </is>
      </c>
      <c r="B893" s="4" t="s">
        <f>=HYPERLINK("http://anyluxury.ru/shop/korporativnye-podarki/kosmetichki-i-nesessery/penal-manifold-cherniy-1589230/" , "15892.30 Пенал Manifold, черный")</f>
      </c>
      <c r="C893" s="4" t="n">
        <v>935.00</v>
      </c>
      <c r="D893" s="4"/>
    </row>
    <row collapsed="" customFormat="false" customHeight="1" hidden="" ht="14" outlineLevel="0" r="894">
      <c r="A894" s="3" t="inlineStr">
        <is>
          <t>881</t>
        </is>
      </c>
      <c r="B894" s="4" t="s">
        <f>=HYPERLINK("http://anyluxury.ru/shop/korporativnye-podarki/kosmetichki-i-nesessery/penal-manifold-rozoviy-1589215/" , "15892.15 Пенал Manifold, розовый")</f>
      </c>
      <c r="C894" s="4" t="n">
        <v>857.00</v>
      </c>
      <c r="D894" s="4"/>
    </row>
    <row collapsed="" customFormat="false" customHeight="1" hidden="" ht="14" outlineLevel="0" r="895">
      <c r="A895" s="3" t="inlineStr">
        <is>
          <t>882</t>
        </is>
      </c>
      <c r="B895" s="4" t="s">
        <f>=HYPERLINK("http://anyluxury.ru/shop/korporativnye-podarki/kosmetichki-i-nesessery/nesesser-nessi-cherniy-1249130/" , "12491.30 Несессер Nessi, черный")</f>
      </c>
      <c r="C895" s="4" t="n">
        <v>538.00</v>
      </c>
      <c r="D895" s="4"/>
    </row>
    <row collapsed="" customFormat="false" customHeight="1" hidden="" ht="14" outlineLevel="0" r="896">
      <c r="A896" s="3" t="inlineStr">
        <is>
          <t>883</t>
        </is>
      </c>
      <c r="B896" s="4" t="s">
        <f>=HYPERLINK("http://anyluxury.ru/shop/korporativnye-podarki/kosmetichki-i-nesessery/nesesser-nessi-siniy-1249140/" , "12491.40 Несессер Nessi, синий")</f>
      </c>
      <c r="C896" s="4" t="n">
        <v>538.00</v>
      </c>
      <c r="D896" s="4"/>
    </row>
    <row collapsed="" customFormat="false" customHeight="1" hidden="" ht="14" outlineLevel="0" r="897">
      <c r="A897" s="3" t="inlineStr">
        <is>
          <t>884</t>
        </is>
      </c>
      <c r="B897" s="4" t="s">
        <f>=HYPERLINK("http://anyluxury.ru/shop/korporativnye-podarki/kosmetichki-i-nesessery/nesesser-nessi-seriy-1249110/" , "12491.10 Несессер Nessi, серый")</f>
      </c>
      <c r="C897" s="4" t="n">
        <v>538.00</v>
      </c>
      <c r="D897" s="4"/>
    </row>
    <row collapsed="" customFormat="false" customHeight="1" hidden="" ht="14" outlineLevel="0" r="898">
      <c r="A898" s="3" t="inlineStr">
        <is>
          <t>885</t>
        </is>
      </c>
      <c r="B898" s="4" t="s">
        <f>=HYPERLINK("http://anyluxury.ru/shop/korporativnye-podarki/kosmetichki-i-nesessery/nesesser-triangel-siniy-1242644/" , "12426.44 Несессер Triangel, синий")</f>
      </c>
      <c r="C898" s="4" t="n">
        <v>999.00</v>
      </c>
      <c r="D898" s="4"/>
    </row>
    <row collapsed="" customFormat="false" customHeight="1" hidden="" ht="14" outlineLevel="0" r="899">
      <c r="A899" s="3" t="inlineStr">
        <is>
          <t>886</t>
        </is>
      </c>
      <c r="B899" s="4" t="s">
        <f>=HYPERLINK("http://anyluxury.ru/shop/korporativnye-podarki/kosmetichki-i-nesessery/nesesser-washbag-cherniy-1509230/" , "15092.30 Несессер Washbag, черный")</f>
      </c>
      <c r="C899" s="4" t="n">
        <v>1990.00</v>
      </c>
      <c r="D899" s="4"/>
    </row>
    <row collapsed="" customFormat="false" customHeight="1" hidden="" ht="14" outlineLevel="0" r="900">
      <c r="A900" s="3" t="inlineStr">
        <is>
          <t>887</t>
        </is>
      </c>
      <c r="B900" s="4" t="s">
        <f>=HYPERLINK("http://anyluxury.ru/shop/korporativnye-podarki/kosmetichki-i-nesessery/kosmetichka-anytime-sinyaya-1380344/" , "13803.44 Косметичка Anytime, синяя")</f>
      </c>
      <c r="C900" s="4" t="n">
        <v>299.00</v>
      </c>
      <c r="D900" s="4"/>
    </row>
    <row collapsed="" customFormat="false" customHeight="1" hidden="" ht="14" outlineLevel="0" r="901">
      <c r="A901" s="3" t="inlineStr">
        <is>
          <t>888</t>
        </is>
      </c>
      <c r="B901" s="4" t="s">
        <f>=HYPERLINK("http://anyluxury.ru/shop/korporativnye-podarki/kosmetichki-i-nesessery/penal-penhouse-cherniy-1380730/" , "13807.30 Пенал Penhouse, черный")</f>
      </c>
      <c r="C901" s="4" t="n">
        <v>179.00</v>
      </c>
      <c r="D901" s="4"/>
    </row>
    <row collapsed="" customFormat="false" customHeight="1" hidden="" ht="14" outlineLevel="0" r="902">
      <c r="A902" s="3" t="inlineStr">
        <is>
          <t>889</t>
        </is>
      </c>
      <c r="B902" s="4" t="s">
        <f>=HYPERLINK("http://anyluxury.ru/shop/korporativnye-podarki/kosmetichki-i-nesessery/futlyar-dlya-ochkov-signature-siniy-s-golubim-1401844/" , "14018.44 Футляр для очков Signature, синий")</f>
      </c>
      <c r="C902" s="4" t="n">
        <v>1900.00</v>
      </c>
      <c r="D902" s="4"/>
    </row>
    <row collapsed="" customFormat="false" customHeight="1" hidden="" ht="14" outlineLevel="0" r="903">
      <c r="A903" s="3" t="inlineStr">
        <is>
          <t>890</t>
        </is>
      </c>
      <c r="B903" s="4" t="s">
        <f>=HYPERLINK("http://anyluxury.ru/shop/korporativnye-podarki/kosmetichki-i-nesessery/kosmetichka-anytime-krasnaya-1380350/" , "13803.50 Косметичка Anytime, красная")</f>
      </c>
      <c r="C903" s="4" t="n">
        <v>299.00</v>
      </c>
      <c r="D903" s="4"/>
    </row>
    <row collapsed="" customFormat="false" customHeight="1" hidden="" ht="14" outlineLevel="0" r="904">
      <c r="A904" s="3" t="inlineStr">
        <is>
          <t>891</t>
        </is>
      </c>
      <c r="B904" s="4" t="s">
        <f>=HYPERLINK("http://anyluxury.ru/shop/korporativnye-podarki/kosmetichki-i-nesessery/penal-penhouse-siniy-1380744/" , "13807.44 Пенал Penhouse, синий")</f>
      </c>
      <c r="C904" s="4" t="n">
        <v>179.00</v>
      </c>
      <c r="D904" s="4"/>
    </row>
    <row collapsed="" customFormat="false" customHeight="1" hidden="" ht="14" outlineLevel="0" r="905">
      <c r="A905" s="3" t="inlineStr">
        <is>
          <t>892</t>
        </is>
      </c>
      <c r="B905" s="4" t="s">
        <f>=HYPERLINK("http://anyluxury.ru/shop/korporativnye-podarki/kosmetichki-i-nesessery/kosmetichka-anytime-chernaya-1380330/" , "13803.30 Косметичка Anytime, черная")</f>
      </c>
      <c r="C905" s="4" t="n">
        <v>299.00</v>
      </c>
      <c r="D905" s="4"/>
    </row>
    <row collapsed="" customFormat="false" customHeight="1" hidden="" ht="14" outlineLevel="0" r="906">
      <c r="A906" s="3" t="inlineStr">
        <is>
          <t>893</t>
        </is>
      </c>
      <c r="B906" s="4" t="s">
        <f>=HYPERLINK("http://anyluxury.ru/shop/korporativnye-podarki/kosmetichki-i-nesessery/nesesser-sensa-seriy-s-sinim-1382414/" , "13824.14 Несессер Sensa, серый с синим")</f>
      </c>
      <c r="C906" s="4" t="n">
        <v>387.00</v>
      </c>
      <c r="D906" s="4"/>
    </row>
    <row collapsed="" customFormat="false" customHeight="1" hidden="" ht="14" outlineLevel="0" r="907">
      <c r="A907" s="3" t="inlineStr">
        <is>
          <t>894</t>
        </is>
      </c>
      <c r="B907" s="4" t="s">
        <f>=HYPERLINK("http://anyluxury.ru/shop/korporativnye-podarki/kosmetichki-i-nesessery/nesesser-sensa-seriy-s-bezhevim-1382411/" , "13824.11 Несессер Sensa, серый с бежевым")</f>
      </c>
      <c r="C907" s="4" t="n">
        <v>387.00</v>
      </c>
      <c r="D907" s="4"/>
    </row>
    <row collapsed="" customFormat="false" customHeight="1" hidden="" ht="14" outlineLevel="0" r="908">
      <c r="A908" s="3" t="inlineStr">
        <is>
          <t>895</t>
        </is>
      </c>
      <c r="B908" s="4" t="s">
        <f>=HYPERLINK("http://anyluxury.ru/shop/korporativnye-podarki/kosmetichki-i-nesessery/nesesser-sensa-seriy-s-oranzhevim-1382412/" , "13824.12 Несессер Sensa, серый с оранжевым")</f>
      </c>
      <c r="C908" s="4" t="n">
        <v>387.00</v>
      </c>
      <c r="D908" s="4"/>
    </row>
    <row collapsed="" customFormat="false" customHeight="1" hidden="" ht="14" outlineLevel="0" r="909">
      <c r="A909" s="3" t="inlineStr">
        <is>
          <t>896</t>
        </is>
      </c>
      <c r="B909" s="4" t="s">
        <f>=HYPERLINK("http://anyluxury.ru/shop/korporativnye-podarki/kosmetichki-i-nesessery/nesesser-jussi-seriy-1391810/" , "13918.10 Несессер Jussi, серый")</f>
      </c>
      <c r="C909" s="4" t="n">
        <v>351.00</v>
      </c>
      <c r="D909" s="4"/>
    </row>
    <row collapsed="" customFormat="false" customHeight="1" hidden="" ht="14" outlineLevel="0" r="910">
      <c r="A910" s="3" t="inlineStr">
        <is>
          <t>897</t>
        </is>
      </c>
      <c r="B910" s="4" t="s">
        <f>=HYPERLINK("http://anyluxury.ru/shop/korporativnye-podarki/kosmetichki-i-nesessery/nesesser-jussi-cherniy-1391830/" , "13918.30 Несессер Jussi, черный")</f>
      </c>
      <c r="C910" s="4" t="n">
        <v>351.00</v>
      </c>
      <c r="D910" s="4"/>
    </row>
    <row collapsed="" customFormat="false" customHeight="1" hidden="" ht="14" outlineLevel="0" r="911">
      <c r="A911" s="3" t="inlineStr">
        <is>
          <t>898</t>
        </is>
      </c>
      <c r="B911" s="4" t="s">
        <f>=HYPERLINK("http://anyluxury.ru/shop/korporativnye-podarki/kosmetichki-i-nesessery/nesesser-jussi-siniy-1391845/" , "13918.45 Несессер Jussi, синий")</f>
      </c>
      <c r="C911" s="4" t="n">
        <v>351.00</v>
      </c>
      <c r="D911" s="4"/>
    </row>
    <row collapsed="" customFormat="false" customHeight="1" hidden="" ht="14" outlineLevel="0" r="912">
      <c r="A912" s="3" t="inlineStr">
        <is>
          <t>899</t>
        </is>
      </c>
      <c r="B912" s="4" t="s">
        <f>=HYPERLINK("http://anyluxury.ru/shop/korporativnye-podarki/kosmetichki-i-nesessery/nesesser-simon-seriy-1392210/" , "13922.10 Несессер Simon, серый")</f>
      </c>
      <c r="C912" s="4" t="n">
        <v>993.00</v>
      </c>
      <c r="D912" s="4"/>
    </row>
    <row collapsed="" customFormat="false" customHeight="1" hidden="" ht="14" outlineLevel="0" r="913">
      <c r="A913" s="3" t="inlineStr">
        <is>
          <t>900</t>
        </is>
      </c>
      <c r="B913" s="4" t="s">
        <f>=HYPERLINK("http://anyluxury.ru/shop/korporativnye-podarki/kosmetichki-i-nesessery/nesesser-simon-bordoviy-1392255/" , "13922.55 Несессер Simon, бордовый")</f>
      </c>
      <c r="C913" s="4" t="n">
        <v>993.00</v>
      </c>
      <c r="D913" s="4"/>
    </row>
    <row collapsed="" customFormat="false" customHeight="1" hidden="" ht="14" outlineLevel="0" r="914">
      <c r="A914" s="3" t="inlineStr">
        <is>
          <t>901</t>
        </is>
      </c>
      <c r="B914" s="4" t="s">
        <f>=HYPERLINK("http://anyluxury.ru/shop/korporativnye-podarki/kosmetichki-i-nesessery/nesesser-simon-siniy-1392245/" , "13922.45 Несессер Simon, синий")</f>
      </c>
      <c r="C914" s="4" t="n">
        <v>993.00</v>
      </c>
      <c r="D914" s="4"/>
    </row>
    <row collapsed="" customFormat="false" customHeight="1" hidden="" ht="14" outlineLevel="0" r="915">
      <c r="A915" s="3" t="inlineStr">
        <is>
          <t>902</t>
        </is>
      </c>
      <c r="B915" s="4" t="s">
        <f>=HYPERLINK("http://anyluxury.ru/shop/korporativnye-podarki/kosmetichki-i-nesessery/nesesser-simon-zeleniy-1392290/" , "13922.90 Несессер Simon, зеленый")</f>
      </c>
      <c r="C915" s="4" t="n">
        <v>993.00</v>
      </c>
      <c r="D915" s="4"/>
    </row>
    <row collapsed="" customFormat="false" customHeight="1" hidden="" ht="14" outlineLevel="0" r="916">
      <c r="A916" s="3" t="inlineStr">
        <is>
          <t>903</t>
        </is>
      </c>
      <c r="B916" s="4" t="s">
        <f>=HYPERLINK("http://anyluxury.ru/shop/korporativnye-podarki/kosmetichki-i-nesessery/penal-manifold-rozoviy-persikoviy-1589251/" , "15892.51 Пенал Manifold, розовый (персиковый)")</f>
      </c>
      <c r="C916" s="4" t="n">
        <v>935.00</v>
      </c>
      <c r="D916" s="4"/>
    </row>
    <row collapsed="" customFormat="false" customHeight="1" hidden="" ht="14" outlineLevel="0" r="917">
      <c r="A917" s="3" t="inlineStr">
        <is>
          <t>904</t>
        </is>
      </c>
      <c r="B917" s="4" t="s">
        <f>=HYPERLINK("http://anyluxury.ru/shop/korporativnye-podarki/kosmetichki-i-nesessery/organayzer-dlya-aksessuarov-ringlink-cherniy-1387630/" , "13876.30 Органайзер для аксессуаров ringLink, черный")</f>
      </c>
      <c r="C917" s="4" t="n">
        <v>790.00</v>
      </c>
      <c r="D917" s="4"/>
    </row>
    <row collapsed="" customFormat="false" customHeight="1" hidden="" ht="14" outlineLevel="0" r="918">
      <c r="A918" s="3" t="inlineStr">
        <is>
          <t>905</t>
        </is>
      </c>
      <c r="B918" s="4" t="s">
        <f>=HYPERLINK("http://anyluxury.ru/shop/korporativnye-podarki/kosmetichki-i-nesessery/kosmetichkapenal-remark-seraya-1548610/" , "15486.10 Косметичка-пенал Remark, серая")</f>
      </c>
      <c r="C918" s="4" t="n">
        <v>287.00</v>
      </c>
      <c r="D918" s="4"/>
    </row>
    <row collapsed="" customFormat="false" customHeight="1" hidden="" ht="14" outlineLevel="0" r="919">
      <c r="A919" s="3" t="inlineStr">
        <is>
          <t>906</t>
        </is>
      </c>
      <c r="B919" s="4" t="s">
        <f>=HYPERLINK("http://anyluxury.ru/shop/korporativnye-podarki/kosmetichki-i-nesessery/dorozhnaya-kosmetichka-cubo-bezhevaya-s-logotipom-1383406/" , "13834.06 Дорожная косметичка Cubo, бежевая с логотипом")</f>
      </c>
      <c r="C919" s="4" t="n">
        <v>1390.00</v>
      </c>
      <c r="D919" s="4"/>
    </row>
    <row collapsed="" customFormat="false" customHeight="1" hidden="" ht="14" outlineLevel="0" r="920">
      <c r="A920" s="3" t="inlineStr">
        <is>
          <t>907</t>
        </is>
      </c>
      <c r="B920" s="4" t="s">
        <f>=HYPERLINK("http://anyluxury.ru/shop/korporativnye-podarki/kosmetichki-i-nesessery/dorozhnaya-kosmetichka-cubo-seraya-s-logotipom-1383411/" , "13834.11 Дорожная косметичка Cubo, серая с логотипом")</f>
      </c>
      <c r="C920" s="4" t="n">
        <v>1390.00</v>
      </c>
      <c r="D920" s="4"/>
    </row>
    <row collapsed="" customFormat="false" customHeight="1" hidden="" ht="14" outlineLevel="0" r="921">
      <c r="A921" s="3" t="inlineStr">
        <is>
          <t>908</t>
        </is>
      </c>
      <c r="B921" s="4" t="s">
        <f>=HYPERLINK("http://anyluxury.ru/shop/korporativnye-podarki/kosmetichki-i-nesessery/nesesser-feria-seriy-1579910/" , "15799.10 Несессер Feria, серый")</f>
      </c>
      <c r="C921" s="4" t="n">
        <v>1690.00</v>
      </c>
      <c r="D921" s="4"/>
    </row>
    <row collapsed="" customFormat="false" customHeight="1" hidden="" ht="14" outlineLevel="0" r="922">
      <c r="A922" s="3" t="inlineStr">
        <is>
          <t>909</t>
        </is>
      </c>
      <c r="B922" s="4" t="s">
        <f>=HYPERLINK("http://anyluxury.ru/shop/korporativnye-podarki/kosmetichki-i-nesessery/nesesser-feria-bezheviy-1579916/" , "15799.16 Несессер Feria, бежевый")</f>
      </c>
      <c r="C922" s="4" t="n">
        <v>1690.00</v>
      </c>
      <c r="D922" s="4"/>
    </row>
    <row collapsed="" customFormat="false" customHeight="1" hidden="" ht="14" outlineLevel="0" r="923">
      <c r="A923" s="3" t="inlineStr">
        <is>
          <t>910</t>
        </is>
      </c>
      <c r="B923" s="4" t="s">
        <f>=HYPERLINK("http://anyluxury.ru/shop/korporativnye-podarki/kosmetichki-i-nesessery/nesesser-feria-cherniy-1579930/" , "15799.30 Несессер Feria, черный")</f>
      </c>
      <c r="C923" s="4" t="n">
        <v>1690.00</v>
      </c>
      <c r="D923" s="4"/>
    </row>
    <row collapsed="" customFormat="false" customHeight="" hidden="" ht="12.1" outlineLevel="0" r="924">
      <c r="A924" s="5" t="inlineStr">
        <is>
          <t> -  - Обложки для документов</t>
        </is>
      </c>
      <c r="B924" s="6"/>
      <c r="C924" s="6"/>
      <c r="D924" s="6"/>
    </row>
    <row collapsed="" customFormat="false" customHeight="1" hidden="" ht="14" outlineLevel="0" r="925">
      <c r="A925" s="3" t="inlineStr">
        <is>
          <t>911</t>
        </is>
      </c>
      <c r="B925" s="4" t="s">
        <f>=HYPERLINK("http://anyluxury.ru/shop/korporativnye-podarki/oblozhki-dlya-dokumentov/oblozhka-dlya-pasporta-1926-montblanc-heritage/" , "116824 Обложка для паспорта 1926 Montblanc Heritage")</f>
      </c>
      <c r="C925" s="4" t="n">
        <v>14100.00</v>
      </c>
      <c r="D925" s="4"/>
    </row>
    <row collapsed="" customFormat="false" customHeight="1" hidden="" ht="14" outlineLevel="0" r="926">
      <c r="A926" s="3" t="inlineStr">
        <is>
          <t>912</t>
        </is>
      </c>
      <c r="B926" s="4" t="s">
        <f>=HYPERLINK("http://anyluxury.ru/shop/korporativnye-podarki/oblozhki-dlya-dokumentov/oblozhka-na-pasport-brink-100-h-145-mm-iskusstvennaya-kozha-passportbrinkb/" , "PASSPORT-BRINK-B Обложка на паспорт BRINK, 100 х 145 мм, искусственная кожа")</f>
      </c>
      <c r="C926" s="4" t="n">
        <v>527.00</v>
      </c>
      <c r="D926" s="4"/>
    </row>
    <row collapsed="" customFormat="false" customHeight="1" hidden="" ht="14" outlineLevel="0" r="927">
      <c r="A927" s="3" t="inlineStr">
        <is>
          <t>913</t>
        </is>
      </c>
      <c r="B927" s="4" t="s">
        <f>=HYPERLINK("http://anyluxury.ru/shop/korporativnye-podarki/oblozhki-dlya-dokumentov/oblozhka-na-pasport-promo-100-h-140-mm-iskusstvennaya-kozha-passportpromob/" , "PASSPORT-PROMO-B Обложка на паспорт PROMO, 100 х 140 мм, искусственная кожа")</f>
      </c>
      <c r="C927" s="4" t="n">
        <v>218.00</v>
      </c>
      <c r="D927" s="4"/>
    </row>
    <row collapsed="" customFormat="false" customHeight="1" hidden="" ht="14" outlineLevel="0" r="928">
      <c r="A928" s="3" t="inlineStr">
        <is>
          <t>914</t>
        </is>
      </c>
      <c r="B928" s="4" t="s">
        <f>=HYPERLINK("http://anyluxury.ru/shop/korporativnye-podarki/oblozhki-dlya-dokumentov/chehol-dlya-pasporta-pure-14090-mm-zastezhka-na-knopke-naturalnaya-kozha-gladkaya-krasniy-nk410024060/" , "NK410024-060 Чехол для паспорта PURE 140*100 мм., застежка на кнопке, натуральная кожа (гладкая), красный")</f>
      </c>
      <c r="C928" s="4" t="n">
        <v>941.00</v>
      </c>
      <c r="D928" s="4"/>
    </row>
    <row collapsed="" customFormat="false" customHeight="1" hidden="" ht="14" outlineLevel="0" r="929">
      <c r="A929" s="3" t="inlineStr">
        <is>
          <t>915</t>
        </is>
      </c>
      <c r="B929" s="4" t="s">
        <f>=HYPERLINK("http://anyluxury.ru/shop/korporativnye-podarki/oblozhki-dlya-dokumentov/chehol-dlya-pasporta-pure-14090-mm-zastezhka-na-knopke-naturalnaya-kozha-gladkaya-siniy-nk410024030/" , "NK410024-030 Чехол для паспорта PURE 140*100 мм., застежка на кнопке, натуральная кожа (гладкая), синий")</f>
      </c>
      <c r="C929" s="4" t="n">
        <v>941.00</v>
      </c>
      <c r="D929" s="4"/>
    </row>
    <row collapsed="" customFormat="false" customHeight="1" hidden="" ht="14" outlineLevel="0" r="930">
      <c r="A930" s="3" t="inlineStr">
        <is>
          <t>916</t>
        </is>
      </c>
      <c r="B930" s="4" t="s">
        <f>=HYPERLINK("http://anyluxury.ru/shop/korporativnye-podarki/oblozhki-dlya-dokumentov/chehol-dlya-pasporta-pure-14090-mm-zastezhka-na-knopke-naturalnaya-kozha-fakturnaya-krasniy-nk4100240601/" , "NK410024-060/1 Чехол для паспорта PURE 140*100 мм., застежка на кнопке, натуральная кожа (фактурная), красный")</f>
      </c>
      <c r="C930" s="4" t="n">
        <v>941.00</v>
      </c>
      <c r="D930" s="4"/>
    </row>
    <row collapsed="" customFormat="false" customHeight="1" hidden="" ht="14" outlineLevel="0" r="931">
      <c r="A931" s="3" t="inlineStr">
        <is>
          <t>917</t>
        </is>
      </c>
      <c r="B931" s="4" t="s">
        <f>=HYPERLINK("http://anyluxury.ru/shop/korporativnye-podarki/oblozhki-dlya-dokumentov/chehol-dlya-pasporta-pure-14090-mm-zastezhka-na-knopke-naturalnaya-kozha-fakturnaya-siniy-nk4100240301/" , "NK410024-030/1 Чехол для паспорта PURE 140*100 мм., застежка на кнопке, натуральная кожа (фактурная), синий")</f>
      </c>
      <c r="C931" s="4" t="n">
        <v>941.00</v>
      </c>
      <c r="D931" s="4"/>
    </row>
    <row collapsed="" customFormat="false" customHeight="1" hidden="" ht="14" outlineLevel="0" r="932">
      <c r="A932" s="3" t="inlineStr">
        <is>
          <t>918</t>
        </is>
      </c>
      <c r="B932" s="4" t="s">
        <f>=HYPERLINK("http://anyluxury.ru/shop/korporativnye-podarki/oblozhki-dlya-dokumentov/alyuminieviy-derzhatel-dlya-kart-csecure-serebryaniy-p820492/" , "P820.492 Алюминиевый держатель для карт C-Secure")</f>
      </c>
      <c r="C932" s="4" t="n">
        <v>4438.00</v>
      </c>
      <c r="D932" s="4"/>
    </row>
    <row collapsed="" customFormat="false" customHeight="1" hidden="" ht="14" outlineLevel="0" r="933">
      <c r="A933" s="3" t="inlineStr">
        <is>
          <t>919</t>
        </is>
      </c>
      <c r="B933" s="4" t="s">
        <f>=HYPERLINK("http://anyluxury.ru/shop/korporativnye-podarki/oblozhki-dlya-dokumentov/kartholder-c-rfid-zashhitoy-dlya-telefona-3v1-p820741/" , "P820.741 Картхолдер c RFID защитой для телефона 3-в-1")</f>
      </c>
      <c r="C933" s="4" t="n">
        <v>531.00</v>
      </c>
      <c r="D933" s="4"/>
    </row>
    <row collapsed="" customFormat="false" customHeight="1" hidden="" ht="14" outlineLevel="0" r="934">
      <c r="A934" s="3" t="inlineStr">
        <is>
          <t>920</t>
        </is>
      </c>
      <c r="B934" s="4" t="s">
        <f>=HYPERLINK("http://anyluxury.ru/shop/korporativnye-podarki/oblozhki-dlya-dokumentov/oblozhka-dlya-avtodokumentov-i-pasporta-omnia-mea-1715/" , "1715 Обложка для автодокументов и паспорта Omnia Mea")</f>
      </c>
      <c r="C934" s="4" t="n">
        <v>1990.00</v>
      </c>
      <c r="D934" s="4"/>
    </row>
    <row collapsed="" customFormat="false" customHeight="1" hidden="" ht="14" outlineLevel="0" r="935">
      <c r="A935" s="3" t="inlineStr">
        <is>
          <t>921</t>
        </is>
      </c>
      <c r="B935" s="4" t="s">
        <f>=HYPERLINK("http://anyluxury.ru/shop/korporativnye-podarki/oblozhki-dlya-dokumentov/oblozhka-dlya-pasporta-cover-chernaya-470230/" , "4702.30 Обложка для паспорта Cover, черная")</f>
      </c>
      <c r="C935" s="4" t="n">
        <v>725.00</v>
      </c>
      <c r="D935" s="4"/>
    </row>
    <row collapsed="" customFormat="false" customHeight="1" hidden="" ht="14" outlineLevel="0" r="936">
      <c r="A936" s="3" t="inlineStr">
        <is>
          <t>922</t>
        </is>
      </c>
      <c r="B936" s="4" t="s">
        <f>=HYPERLINK("http://anyluxury.ru/shop/korporativnye-podarki/oblozhki-dlya-dokumentov/oblozhka-dlya-avtodokumentov-komfort-chernaya-470330/" , "4703.30 Обложка для автодокументов «Комфорт», черная")</f>
      </c>
      <c r="C936" s="4" t="n">
        <v>897.00</v>
      </c>
      <c r="D936" s="4"/>
    </row>
    <row collapsed="" customFormat="false" customHeight="1" hidden="" ht="14" outlineLevel="0" r="937">
      <c r="A937" s="3" t="inlineStr">
        <is>
          <t>923</t>
        </is>
      </c>
      <c r="B937" s="4" t="s">
        <f>=HYPERLINK("http://anyluxury.ru/shop/korporativnye-podarki/oblozhki-dlya-dokumentov/oblozhka-dlya-avtodokumentov-eterno-6502/" , "6502 Портмоне для автодокументов Eterno")</f>
      </c>
      <c r="C937" s="4" t="n">
        <v>1806.00</v>
      </c>
      <c r="D937" s="4"/>
    </row>
    <row collapsed="" customFormat="false" customHeight="1" hidden="" ht="14" outlineLevel="0" r="938">
      <c r="A938" s="3" t="inlineStr">
        <is>
          <t>924</t>
        </is>
      </c>
      <c r="B938" s="4" t="s">
        <f>=HYPERLINK("http://anyluxury.ru/shop/korporativnye-podarki/oblozhki-dlya-dokumentov/oblozhka-dlya-pasporta-twill-krasnaya-669650/" , "6696.50 Обложка для паспорта Twill, красная")</f>
      </c>
      <c r="C938" s="4" t="n">
        <v>319.00</v>
      </c>
      <c r="D938" s="4"/>
    </row>
    <row collapsed="" customFormat="false" customHeight="1" hidden="" ht="14" outlineLevel="0" r="939">
      <c r="A939" s="3" t="inlineStr">
        <is>
          <t>925</t>
        </is>
      </c>
      <c r="B939" s="4" t="s">
        <f>=HYPERLINK("http://anyluxury.ru/shop/korporativnye-podarki/oblozhki-dlya-dokumentov/oblozhka-dlya-pasporta-twill-bezhevaya-669611/" , "6696.11 Обложка для паспорта Twill, бежевая")</f>
      </c>
      <c r="C939" s="4" t="n">
        <v>319.00</v>
      </c>
      <c r="D939" s="4"/>
    </row>
    <row collapsed="" customFormat="false" customHeight="1" hidden="" ht="14" outlineLevel="0" r="940">
      <c r="A940" s="3" t="inlineStr">
        <is>
          <t>926</t>
        </is>
      </c>
      <c r="B940" s="4" t="s">
        <f>=HYPERLINK("http://anyluxury.ru/shop/korporativnye-podarki/oblozhki-dlya-dokumentov/oblozhka-dlya-pasporta-twill-seraya-669610/" , "6696.10 Обложка для паспорта Twill, серая")</f>
      </c>
      <c r="C940" s="4" t="n">
        <v>319.00</v>
      </c>
      <c r="D940" s="4"/>
    </row>
    <row collapsed="" customFormat="false" customHeight="1" hidden="" ht="14" outlineLevel="0" r="941">
      <c r="A941" s="3" t="inlineStr">
        <is>
          <t>927</t>
        </is>
      </c>
      <c r="B941" s="4" t="s">
        <f>=HYPERLINK("http://anyluxury.ru/shop/korporativnye-podarki/oblozhki-dlya-dokumentov/oblozhka-dlya-avtodokumentov-twill-chernaya-669730/" , "6697.30 Обложка для автодокументов Twill, черная")</f>
      </c>
      <c r="C941" s="4" t="n">
        <v>424.00</v>
      </c>
      <c r="D941" s="4"/>
    </row>
    <row collapsed="" customFormat="false" customHeight="1" hidden="" ht="14" outlineLevel="0" r="942">
      <c r="A942" s="3" t="inlineStr">
        <is>
          <t>928</t>
        </is>
      </c>
      <c r="B942" s="4" t="s">
        <f>=HYPERLINK("http://anyluxury.ru/shop/korporativnye-podarki/oblozhki-dlya-dokumentov/oblozhka-dlya-avtodokumentov-twill-krasnaya-669750/" , "6697.50 Обложка для автодокументов Twill, красная")</f>
      </c>
      <c r="C942" s="4" t="n">
        <v>424.00</v>
      </c>
      <c r="D942" s="4"/>
    </row>
    <row collapsed="" customFormat="false" customHeight="1" hidden="" ht="14" outlineLevel="0" r="943">
      <c r="A943" s="3" t="inlineStr">
        <is>
          <t>929</t>
        </is>
      </c>
      <c r="B943" s="4" t="s">
        <f>=HYPERLINK("http://anyluxury.ru/shop/korporativnye-podarki/oblozhki-dlya-dokumentov/bumazhnik-voditelya-apache-siniy-344240/" , "3442.40 Бумажник водителя Apache, синий")</f>
      </c>
      <c r="C943" s="4" t="n">
        <v>1974.00</v>
      </c>
      <c r="D943" s="4"/>
    </row>
    <row collapsed="" customFormat="false" customHeight="1" hidden="" ht="14" outlineLevel="0" r="944">
      <c r="A944" s="3" t="inlineStr">
        <is>
          <t>930</t>
        </is>
      </c>
      <c r="B944" s="4" t="s">
        <f>=HYPERLINK("http://anyluxury.ru/shop/korporativnye-podarki/oblozhki-dlya-dokumentov/oblozhka-dlya-avtodokumentov-twill-sirenevaya-669770/" , "6697.70 Обложка для автодокументов Twill, сиреневая")</f>
      </c>
      <c r="C944" s="4" t="n">
        <v>424.00</v>
      </c>
      <c r="D944" s="4"/>
    </row>
    <row collapsed="" customFormat="false" customHeight="1" hidden="" ht="14" outlineLevel="0" r="945">
      <c r="A945" s="3" t="inlineStr">
        <is>
          <t>931</t>
        </is>
      </c>
      <c r="B945" s="4" t="s">
        <f>=HYPERLINK("http://anyluxury.ru/shop/korporativnye-podarki/oblozhki-dlya-dokumentov/oblozhka-dlya-pasporta-twill-zelenaya-669690/" , "6696.90 Обложка для паспорта Twill, зеленая")</f>
      </c>
      <c r="C945" s="4" t="n">
        <v>319.00</v>
      </c>
      <c r="D945" s="4"/>
    </row>
    <row collapsed="" customFormat="false" customHeight="1" hidden="" ht="14" outlineLevel="0" r="946">
      <c r="A946" s="3" t="inlineStr">
        <is>
          <t>932</t>
        </is>
      </c>
      <c r="B946" s="4" t="s">
        <f>=HYPERLINK("http://anyluxury.ru/shop/korporativnye-podarki/oblozhki-dlya-dokumentov/oblozhka-dlya-pasporta-twill-fioletovaya-669677/" , "6696.77 Обложка для паспорта Twill, фиолетовая")</f>
      </c>
      <c r="C946" s="4" t="n">
        <v>319.00</v>
      </c>
      <c r="D946" s="4"/>
    </row>
    <row collapsed="" customFormat="false" customHeight="1" hidden="" ht="14" outlineLevel="0" r="947">
      <c r="A947" s="3" t="inlineStr">
        <is>
          <t>933</t>
        </is>
      </c>
      <c r="B947" s="4" t="s">
        <f>=HYPERLINK("http://anyluxury.ru/shop/korporativnye-podarki/oblozhki-dlya-dokumentov/oblozhka-dlya-avtodokumentov-komfort-temnokorichnevaya-470359/" , "4703.59 Обложка для автодокументов «Комфорт», темно-коричневая")</f>
      </c>
      <c r="C947" s="4" t="n">
        <v>897.00</v>
      </c>
      <c r="D947" s="4"/>
    </row>
    <row collapsed="" customFormat="false" customHeight="1" hidden="" ht="14" outlineLevel="0" r="948">
      <c r="A948" s="3" t="inlineStr">
        <is>
          <t>934</t>
        </is>
      </c>
      <c r="B948" s="4" t="s">
        <f>=HYPERLINK("http://anyluxury.ru/shop/korporativnye-podarki/oblozhki-dlya-dokumentov/oblozhka-dlya-pasporta-devon-chernaya-1026630/" , "10266.30 Обложка для паспорта Devon, черная")</f>
      </c>
      <c r="C948" s="4" t="n">
        <v>469.00</v>
      </c>
      <c r="D948" s="4"/>
    </row>
    <row collapsed="" customFormat="false" customHeight="1" hidden="" ht="14" outlineLevel="0" r="949">
      <c r="A949" s="3" t="inlineStr">
        <is>
          <t>935</t>
        </is>
      </c>
      <c r="B949" s="4" t="s">
        <f>=HYPERLINK("http://anyluxury.ru/shop/korporativnye-podarki/oblozhki-dlya-dokumentov/oblozhka-dlya-pasporta-devon-krasnaya-1026650/" , "10266.50 Обложка для паспорта Devon, красная")</f>
      </c>
      <c r="C949" s="4" t="n">
        <v>469.00</v>
      </c>
      <c r="D949" s="4"/>
    </row>
    <row collapsed="" customFormat="false" customHeight="1" hidden="" ht="14" outlineLevel="0" r="950">
      <c r="A950" s="3" t="inlineStr">
        <is>
          <t>936</t>
        </is>
      </c>
      <c r="B950" s="4" t="s">
        <f>=HYPERLINK("http://anyluxury.ru/shop/korporativnye-podarki/oblozhki-dlya-dokumentov/oblozhka-dlya-pasporta-devon-sinyaya-1026640/" , "10266.40 Обложка для паспорта Devon, синяя")</f>
      </c>
      <c r="C950" s="4" t="n">
        <v>469.00</v>
      </c>
      <c r="D950" s="4"/>
    </row>
    <row collapsed="" customFormat="false" customHeight="1" hidden="" ht="14" outlineLevel="0" r="951">
      <c r="A951" s="3" t="inlineStr">
        <is>
          <t>937</t>
        </is>
      </c>
      <c r="B951" s="4" t="s">
        <f>=HYPERLINK("http://anyluxury.ru/shop/korporativnye-podarki/oblozhki-dlya-dokumentov/oblozhka-dlya-pasporta-devon-zelenaya-1026690/" , "10266.90 Обложка для паспорта Devon, зеленая")</f>
      </c>
      <c r="C951" s="4" t="n">
        <v>469.00</v>
      </c>
      <c r="D951" s="4"/>
    </row>
    <row collapsed="" customFormat="false" customHeight="1" hidden="" ht="14" outlineLevel="0" r="952">
      <c r="A952" s="3" t="inlineStr">
        <is>
          <t>938</t>
        </is>
      </c>
      <c r="B952" s="4" t="s">
        <f>=HYPERLINK("http://anyluxury.ru/shop/korporativnye-podarki/oblozhki-dlya-dokumentov/oblozhka-dlya-pasporta-devon-oranzhevaya-1026620/" , "10266.20 Обложка для паспорта Devon, оранжевая")</f>
      </c>
      <c r="C952" s="4" t="n">
        <v>469.00</v>
      </c>
      <c r="D952" s="4"/>
    </row>
    <row collapsed="" customFormat="false" customHeight="1" hidden="" ht="14" outlineLevel="0" r="953">
      <c r="A953" s="3" t="inlineStr">
        <is>
          <t>939</t>
        </is>
      </c>
      <c r="B953" s="4" t="s">
        <f>=HYPERLINK("http://anyluxury.ru/shop/korporativnye-podarki/oblozhki-dlya-dokumentov/bumazhnik-voditelya-apache-cherniy-344230/" , "3442.30 Бумажник водителя Apache, черный")</f>
      </c>
      <c r="C953" s="4" t="n">
        <v>1974.00</v>
      </c>
      <c r="D953" s="4"/>
    </row>
    <row collapsed="" customFormat="false" customHeight="1" hidden="" ht="14" outlineLevel="0" r="954">
      <c r="A954" s="3" t="inlineStr">
        <is>
          <t>940</t>
        </is>
      </c>
      <c r="B954" s="4" t="s">
        <f>=HYPERLINK("http://anyluxury.ru/shop/korporativnye-podarki/oblozhki-dlya-dokumentov/oblozhka-dlya-avtodokumentov-i-pasporta-vintage-korichnevaya-5202759/" , "52027.59 Обложка для автодокументов и паспорта Vintage, коричневая")</f>
      </c>
      <c r="C954" s="4" t="n">
        <v>2040.00</v>
      </c>
      <c r="D954" s="4"/>
    </row>
    <row collapsed="" customFormat="false" customHeight="1" hidden="" ht="14" outlineLevel="0" r="955">
      <c r="A955" s="3" t="inlineStr">
        <is>
          <t>941</t>
        </is>
      </c>
      <c r="B955" s="4" t="s">
        <f>=HYPERLINK("http://anyluxury.ru/shop/korporativnye-podarki/oblozhki-dlya-dokumentov/oblozhka-dlya-avtodokumentov-i-pasporta-vintage-svetlokorichnevaya-konyachnaya-5202756/" , "52027.56 Обложка для автодокументов и паспорта Vintage, светло-коричневая (коньячная)")</f>
      </c>
      <c r="C955" s="4" t="n">
        <v>2040.00</v>
      </c>
      <c r="D955" s="4"/>
    </row>
    <row collapsed="" customFormat="false" customHeight="1" hidden="" ht="14" outlineLevel="0" r="956">
      <c r="A956" s="3" t="inlineStr">
        <is>
          <t>942</t>
        </is>
      </c>
      <c r="B956" s="4" t="s">
        <f>=HYPERLINK("http://anyluxury.ru/shop/korporativnye-podarki/oblozhki-dlya-dokumentov/oblozhka-dlya-avtodokumentov-i-pasporta-amalfi-krasnaya-5205050/" , "52050.50 Обложка для автодокументов и паспорта Amalfi, красная")</f>
      </c>
      <c r="C956" s="4" t="n">
        <v>2880.00</v>
      </c>
      <c r="D956" s="4"/>
    </row>
    <row collapsed="" customFormat="false" customHeight="1" hidden="" ht="14" outlineLevel="0" r="957">
      <c r="A957" s="3" t="inlineStr">
        <is>
          <t>943</t>
        </is>
      </c>
      <c r="B957" s="4" t="s">
        <f>=HYPERLINK("http://anyluxury.ru/shop/korporativnye-podarki/oblozhki-dlya-dokumentov/oblozhka-avtodokumentov-i-pasporta-amalfi-chernaya-5205030/" , "52050.30 Обложка автодокументов и паспорта Amalfi, черная")</f>
      </c>
      <c r="C957" s="4" t="n">
        <v>2880.00</v>
      </c>
      <c r="D957" s="4"/>
    </row>
    <row collapsed="" customFormat="false" customHeight="1" hidden="" ht="14" outlineLevel="0" r="958">
      <c r="A958" s="3" t="inlineStr">
        <is>
          <t>944</t>
        </is>
      </c>
      <c r="B958" s="4" t="s">
        <f>=HYPERLINK("http://anyluxury.ru/shop/korporativnye-podarki/oblozhki-dlya-dokumentov/oblozhka-dlya-dokumentov-contatto-chernaya-5205530/" , "52055.30 Обложка для документов Contatto, черная")</f>
      </c>
      <c r="C958" s="4" t="n">
        <v>2640.00</v>
      </c>
      <c r="D958" s="4"/>
    </row>
    <row collapsed="" customFormat="false" customHeight="1" hidden="" ht="14" outlineLevel="0" r="959">
      <c r="A959" s="3" t="inlineStr">
        <is>
          <t>945</t>
        </is>
      </c>
      <c r="B959" s="4" t="s">
        <f>=HYPERLINK("http://anyluxury.ru/shop/korporativnye-podarki/oblozhki-dlya-dokumentov/oblozhka-dlya-pasporta-dotmode-chernaya-1176530/" , "11765.30 Обложка для паспорта dotMODE, черная")</f>
      </c>
      <c r="C959" s="4" t="n">
        <v>795.00</v>
      </c>
      <c r="D959" s="4"/>
    </row>
    <row collapsed="" customFormat="false" customHeight="1" hidden="" ht="14" outlineLevel="0" r="960">
      <c r="A960" s="3" t="inlineStr">
        <is>
          <t>946</t>
        </is>
      </c>
      <c r="B960" s="4" t="s">
        <f>=HYPERLINK("http://anyluxury.ru/shop/korporativnye-podarki/oblozhki-dlya-dokumentov/avtobumazhnik-dotmode-cherniy-1176930/" , "11769.30 Автобумажник dotMODE, черный")</f>
      </c>
      <c r="C960" s="4" t="n">
        <v>1890.00</v>
      </c>
      <c r="D960" s="4"/>
    </row>
    <row collapsed="" customFormat="false" customHeight="1" hidden="" ht="14" outlineLevel="0" r="961">
      <c r="A961" s="3" t="inlineStr">
        <is>
          <t>947</t>
        </is>
      </c>
      <c r="B961" s="4" t="s">
        <f>=HYPERLINK("http://anyluxury.ru/shop/korporativnye-podarki/oblozhki-dlya-dokumentov/oblozhka-dlya-pasporta-nebraska-sinyaya-1287940/" , "12879.40 Обложка для паспорта Nebraska, синяя")</f>
      </c>
      <c r="C961" s="4" t="n">
        <v>624.00</v>
      </c>
      <c r="D961" s="4"/>
    </row>
    <row collapsed="" customFormat="false" customHeight="1" hidden="" ht="14" outlineLevel="0" r="962">
      <c r="A962" s="3" t="inlineStr">
        <is>
          <t>948</t>
        </is>
      </c>
      <c r="B962" s="4" t="s">
        <f>=HYPERLINK("http://anyluxury.ru/shop/korporativnye-podarki/oblozhki-dlya-dokumentov/oblozhka-dlya-pasporta-nebraska-krasnaya-1287950/" , "12879.50 Обложка для паспорта Nebraska, красная")</f>
      </c>
      <c r="C962" s="4" t="n">
        <v>624.00</v>
      </c>
      <c r="D962" s="4"/>
    </row>
    <row collapsed="" customFormat="false" customHeight="1" hidden="" ht="14" outlineLevel="0" r="963">
      <c r="A963" s="3" t="inlineStr">
        <is>
          <t>949</t>
        </is>
      </c>
      <c r="B963" s="4" t="s">
        <f>=HYPERLINK("http://anyluxury.ru/shop/korporativnye-podarki/oblozhki-dlya-dokumentov/oblozhka-dlya-pasporta-nebraska-chernaya-1287930/" , "12879.30 Обложка для паспорта Nebraska, черная")</f>
      </c>
      <c r="C963" s="4" t="n">
        <v>624.00</v>
      </c>
      <c r="D963" s="4"/>
    </row>
    <row collapsed="" customFormat="false" customHeight="1" hidden="" ht="14" outlineLevel="0" r="964">
      <c r="A964" s="3" t="inlineStr">
        <is>
          <t>950</t>
        </is>
      </c>
      <c r="B964" s="4" t="s">
        <f>=HYPERLINK("http://anyluxury.ru/shop/korporativnye-podarki/oblozhki-dlya-dokumentov/oblozhka-dlya-pasporta-apache-korichnevaya-343759/" , "3437.59 Обложка для паспорта Apache, коричневая (какао)")</f>
      </c>
      <c r="C964" s="4" t="n">
        <v>1427.00</v>
      </c>
      <c r="D964" s="4"/>
    </row>
    <row collapsed="" customFormat="false" customHeight="1" hidden="" ht="14" outlineLevel="0" r="965">
      <c r="A965" s="3" t="inlineStr">
        <is>
          <t>951</t>
        </is>
      </c>
      <c r="B965" s="4" t="s">
        <f>=HYPERLINK("http://anyluxury.ru/shop/korporativnye-podarki/oblozhki-dlya-dokumentov/oblozhka-dlya-pasporta-palermo-sinyaya-15268/" , "15268 Обложка для паспорта Palermo, синяя")</f>
      </c>
      <c r="C965" s="4" t="n">
        <v>3220.00</v>
      </c>
      <c r="D965" s="4"/>
    </row>
    <row collapsed="" customFormat="false" customHeight="1" hidden="" ht="14" outlineLevel="0" r="966">
      <c r="A966" s="3" t="inlineStr">
        <is>
          <t>952</t>
        </is>
      </c>
      <c r="B966" s="4" t="s">
        <f>=HYPERLINK("http://anyluxury.ru/shop/korporativnye-podarki/oblozhki-dlya-dokumentov/oblozhka-dlya-pasporta-devon-seraya-1026611/" , "10266.11 Обложка для паспорта Devon, серая")</f>
      </c>
      <c r="C966" s="4" t="n">
        <v>469.00</v>
      </c>
      <c r="D966" s="4"/>
    </row>
    <row collapsed="" customFormat="false" customHeight="1" hidden="" ht="14" outlineLevel="0" r="967">
      <c r="A967" s="3" t="inlineStr">
        <is>
          <t>953</t>
        </is>
      </c>
      <c r="B967" s="4" t="s">
        <f>=HYPERLINK("http://anyluxury.ru/shop/korporativnye-podarki/oblozhki-dlya-dokumentov/oblozhka-dlya-pasporta-i-avtodokumentov-italico-korichnevaya-5208059/" , "52080.59 Обложка для паспорта и автодокументов Italico, коричневая")</f>
      </c>
      <c r="C967" s="4" t="n">
        <v>3170.00</v>
      </c>
      <c r="D967" s="4"/>
    </row>
    <row collapsed="" customFormat="false" customHeight="1" hidden="" ht="14" outlineLevel="0" r="968">
      <c r="A968" s="3" t="inlineStr">
        <is>
          <t>954</t>
        </is>
      </c>
      <c r="B968" s="4" t="s">
        <f>=HYPERLINK("http://anyluxury.ru/shop/korporativnye-podarki/oblozhki-dlya-dokumentov/oblozhka-dlya-pasporta-classe-chernaya-5209030/" , "52090.30 Обложка для паспорта Classe, черная")</f>
      </c>
      <c r="C968" s="4" t="n">
        <v>3320.00</v>
      </c>
      <c r="D968" s="4"/>
    </row>
    <row collapsed="" customFormat="false" customHeight="1" hidden="" ht="14" outlineLevel="0" r="969">
      <c r="A969" s="3" t="inlineStr">
        <is>
          <t>955</t>
        </is>
      </c>
      <c r="B969" s="4" t="s">
        <f>=HYPERLINK("http://anyluxury.ru/shop/korporativnye-podarki/oblozhki-dlya-dokumentov/oblozhka-dlya-pasporta-dorset-chernaya-1265030/" , "12650.30 Обложка для паспорта Dorset, черная")</f>
      </c>
      <c r="C969" s="4" t="n">
        <v>398.00</v>
      </c>
      <c r="D969" s="4"/>
    </row>
    <row collapsed="" customFormat="false" customHeight="1" hidden="" ht="14" outlineLevel="0" r="970">
      <c r="A970" s="3" t="inlineStr">
        <is>
          <t>956</t>
        </is>
      </c>
      <c r="B970" s="4" t="s">
        <f>=HYPERLINK("http://anyluxury.ru/shop/korporativnye-podarki/oblozhki-dlya-dokumentov/oblozhka-dlya-pasporta-dorset-krasnaya-1265050/" , "12650.50 Обложка для паспорта Dorset, красная")</f>
      </c>
      <c r="C970" s="4" t="n">
        <v>398.00</v>
      </c>
      <c r="D970" s="4"/>
    </row>
    <row collapsed="" customFormat="false" customHeight="1" hidden="" ht="14" outlineLevel="0" r="971">
      <c r="A971" s="3" t="inlineStr">
        <is>
          <t>957</t>
        </is>
      </c>
      <c r="B971" s="4" t="s">
        <f>=HYPERLINK("http://anyluxury.ru/shop/korporativnye-podarki/oblozhki-dlya-dokumentov/oblozhka-dlya-pasporta-dorset-seraya-1265010/" , "12650.10 Обложка для паспорта Dorset, серая")</f>
      </c>
      <c r="C971" s="4" t="n">
        <v>398.00</v>
      </c>
      <c r="D971" s="4"/>
    </row>
    <row collapsed="" customFormat="false" customHeight="1" hidden="" ht="14" outlineLevel="0" r="972">
      <c r="A972" s="3" t="inlineStr">
        <is>
          <t>958</t>
        </is>
      </c>
      <c r="B972" s="4" t="s">
        <f>=HYPERLINK("http://anyluxury.ru/shop/korporativnye-podarki/oblozhki-dlya-dokumentov/oblozhka-dlya-pasporta-dorset-sinyaya-1265040/" , "12650.40 Обложка для паспорта Dorset, синяя")</f>
      </c>
      <c r="C972" s="4" t="n">
        <v>398.00</v>
      </c>
      <c r="D972" s="4"/>
    </row>
    <row collapsed="" customFormat="false" customHeight="1" hidden="" ht="14" outlineLevel="0" r="973">
      <c r="A973" s="3" t="inlineStr">
        <is>
          <t>959</t>
        </is>
      </c>
      <c r="B973" s="4" t="s">
        <f>=HYPERLINK("http://anyluxury.ru/shop/korporativnye-podarki/oblozhki-dlya-dokumentov/magnitniy-kartholder-dlya-telefona-p820751/" , "P820.751 Магнитный картхолдер для телефона")</f>
      </c>
      <c r="C973" s="4" t="n">
        <v>1416.00</v>
      </c>
      <c r="D973" s="4"/>
    </row>
    <row collapsed="" customFormat="false" customHeight="1" hidden="" ht="14" outlineLevel="0" r="974">
      <c r="A974" s="3" t="inlineStr">
        <is>
          <t>960</t>
        </is>
      </c>
      <c r="B974" s="4" t="s">
        <f>=HYPERLINK("http://anyluxury.ru/shop/korporativnye-podarki/oblozhki-dlya-dokumentov/oblozhka-dlya-pasporta-kalsa-palermo-sinyaya-15265/" , "15265 Обложка для паспорта Kalsa Palermo, синяя")</f>
      </c>
      <c r="C974" s="4" t="n">
        <v>3229.00</v>
      </c>
      <c r="D974" s="4"/>
    </row>
    <row collapsed="" customFormat="false" customHeight="1" hidden="" ht="14" outlineLevel="0" r="975">
      <c r="A975" s="3" t="inlineStr">
        <is>
          <t>961</t>
        </is>
      </c>
      <c r="B975" s="4" t="s">
        <f>=HYPERLINK("http://anyluxury.ru/shop/korporativnye-podarki/oblozhki-dlya-dokumentov/oblozhka-dlya-pasporta-alaska-seraya-2100811/" , "21008.11 Обложка для паспорта Alaska, серая")</f>
      </c>
      <c r="C975" s="4" t="n">
        <v>1320.00</v>
      </c>
      <c r="D975" s="4"/>
    </row>
    <row collapsed="" customFormat="false" customHeight="1" hidden="" ht="14" outlineLevel="0" r="976">
      <c r="A976" s="3" t="inlineStr">
        <is>
          <t>962</t>
        </is>
      </c>
      <c r="B976" s="4" t="s">
        <f>=HYPERLINK("http://anyluxury.ru/shop/korporativnye-podarki/oblozhki-dlya-dokumentov/oblozhka-dlya-pasporta-alaska-chernaya-2100833/" , "21008.33 Обложка для паспорта Alaska, черная")</f>
      </c>
      <c r="C976" s="4" t="n">
        <v>1320.00</v>
      </c>
      <c r="D976" s="4"/>
    </row>
    <row collapsed="" customFormat="false" customHeight="1" hidden="" ht="14" outlineLevel="0" r="977">
      <c r="A977" s="3" t="inlineStr">
        <is>
          <t>963</t>
        </is>
      </c>
      <c r="B977" s="4" t="s">
        <f>=HYPERLINK("http://anyluxury.ru/shop/korporativnye-podarki/oblozhki-dlya-dokumentov/oblozhka-dlya-pasporta-alaska-sinyaya-2100844/" , "21008.44 Обложка для паспорта Alaska, синяя")</f>
      </c>
      <c r="C977" s="4" t="n">
        <v>1320.00</v>
      </c>
      <c r="D977" s="4"/>
    </row>
    <row collapsed="" customFormat="false" customHeight="1" hidden="" ht="14" outlineLevel="0" r="978">
      <c r="A978" s="3" t="inlineStr">
        <is>
          <t>964</t>
        </is>
      </c>
      <c r="B978" s="4" t="s">
        <f>=HYPERLINK("http://anyluxury.ru/shop/korporativnye-podarki/oblozhki-dlya-dokumentov/oblozhka-dlya-pasporta-alaska-krasnaya-2100855/" , "21008.55 Обложка для паспорта Alaska, бордовая")</f>
      </c>
      <c r="C978" s="4" t="n">
        <v>1320.00</v>
      </c>
      <c r="D978" s="4"/>
    </row>
    <row collapsed="" customFormat="false" customHeight="1" hidden="" ht="14" outlineLevel="0" r="979">
      <c r="A979" s="3" t="inlineStr">
        <is>
          <t>965</t>
        </is>
      </c>
      <c r="B979" s="4" t="s">
        <f>=HYPERLINK("http://anyluxury.ru/shop/korporativnye-podarki/oblozhki-dlya-dokumentov/oblozhka-dlya-pasporta-instream-chernaya-1555430/" , "15554.30 Обложка для паспорта inStream, черная")</f>
      </c>
      <c r="C979" s="4" t="n">
        <v>1850.00</v>
      </c>
      <c r="D979" s="4"/>
    </row>
    <row collapsed="" customFormat="false" customHeight="1" hidden="" ht="14" outlineLevel="0" r="980">
      <c r="A980" s="3" t="inlineStr">
        <is>
          <t>966</t>
        </is>
      </c>
      <c r="B980" s="4" t="s">
        <f>=HYPERLINK("http://anyluxury.ru/shop/korporativnye-podarki/oblozhki-dlya-dokumentov/oblozhka-dlya-pasporta-industry-energetika-7141810/" , "71418.10 Обложка для паспорта Industry, энергетика")</f>
      </c>
      <c r="C980" s="4" t="n">
        <v>375.00</v>
      </c>
      <c r="D980" s="4"/>
    </row>
    <row collapsed="" customFormat="false" customHeight="1" hidden="" ht="14" outlineLevel="0" r="981">
      <c r="A981" s="3" t="inlineStr">
        <is>
          <t>967</t>
        </is>
      </c>
      <c r="B981" s="4" t="s">
        <f>=HYPERLINK("http://anyluxury.ru/shop/korporativnye-podarki/oblozhki-dlya-dokumentov/oblozhka-dlya-pasporta-industry-neft-i-gaz-7141830/" , "71418.30 Обложка для паспорта Industry, нефть и газ")</f>
      </c>
      <c r="C981" s="4" t="n">
        <v>375.00</v>
      </c>
      <c r="D981" s="4"/>
    </row>
    <row collapsed="" customFormat="false" customHeight="1" hidden="" ht="14" outlineLevel="0" r="982">
      <c r="A982" s="3" t="inlineStr">
        <is>
          <t>968</t>
        </is>
      </c>
      <c r="B982" s="4" t="s">
        <f>=HYPERLINK("http://anyluxury.ru/shop/korporativnye-podarki/oblozhki-dlya-dokumentov/oblozhka-dlya-pasporta-industry-metallurgiya-7141831/" , "71418.31 Обложка для паспорта Industry, металлургия")</f>
      </c>
      <c r="C982" s="4" t="n">
        <v>375.00</v>
      </c>
      <c r="D982" s="4"/>
    </row>
    <row collapsed="" customFormat="false" customHeight="1" hidden="" ht="14" outlineLevel="0" r="983">
      <c r="A983" s="3" t="inlineStr">
        <is>
          <t>969</t>
        </is>
      </c>
      <c r="B983" s="4" t="s">
        <f>=HYPERLINK("http://anyluxury.ru/shop/korporativnye-podarki/oblozhki-dlya-dokumentov/oblozhka-dlya-pasporta-industry-morskaya-7141840/" , "71418.40 Обложка для паспорта Industry, морская")</f>
      </c>
      <c r="C983" s="4" t="n">
        <v>375.00</v>
      </c>
      <c r="D983" s="4"/>
    </row>
    <row collapsed="" customFormat="false" customHeight="1" hidden="" ht="14" outlineLevel="0" r="984">
      <c r="A984" s="3" t="inlineStr">
        <is>
          <t>970</t>
        </is>
      </c>
      <c r="B984" s="4" t="s">
        <f>=HYPERLINK("http://anyluxury.ru/shop/korporativnye-podarki/oblozhki-dlya-dokumentov/oblozhka-dlya-pasporta-na-zakaz-pase-ekokozha-1890401/" , "18904.01 Обложка для паспорта на заказ Pase, экокожа")</f>
      </c>
      <c r="C984" s="4" t="n">
        <v>370.00</v>
      </c>
      <c r="D984" s="4"/>
    </row>
    <row collapsed="" customFormat="false" customHeight="1" hidden="" ht="14" outlineLevel="0" r="985">
      <c r="A985" s="3" t="inlineStr">
        <is>
          <t>971</t>
        </is>
      </c>
      <c r="B985" s="4" t="s">
        <f>=HYPERLINK("http://anyluxury.ru/shop/korporativnye-podarki/oblozhki-dlya-dokumentov/oblozhka-dlya-pasporta-na-zakaz-pase-pvh-1890402/" , "18904.02 Обложка для паспорта на заказ Pase, ПВХ")</f>
      </c>
      <c r="C985" s="4" t="n">
        <v>130.00</v>
      </c>
      <c r="D985" s="4"/>
    </row>
    <row collapsed="" customFormat="false" customHeight="1" hidden="" ht="14" outlineLevel="0" r="986">
      <c r="A986" s="3" t="inlineStr">
        <is>
          <t>972</t>
        </is>
      </c>
      <c r="B986" s="4" t="s">
        <f>=HYPERLINK("http://anyluxury.ru/shop/korporativnye-podarki/oblozhki-dlya-dokumentov/oblozhka-dlya-avtodokumentov-devon-zelenaya-1376290/" , "13762.90 Обложка для автодокументов Devon Light, зеленая")</f>
      </c>
      <c r="C986" s="4" t="n">
        <v>180.00</v>
      </c>
      <c r="D986" s="4"/>
    </row>
    <row collapsed="" customFormat="false" customHeight="1" hidden="" ht="14" outlineLevel="0" r="987">
      <c r="A987" s="3" t="inlineStr">
        <is>
          <t>973</t>
        </is>
      </c>
      <c r="B987" s="4" t="s">
        <f>=HYPERLINK("http://anyluxury.ru/shop/korporativnye-podarki/oblozhki-dlya-dokumentov/oblozhka-dlya-avtodokumentov-devon-oranzhevaya-1376220/" , "13762.20 Обложка для автодокументов Devon Light, оранжевая")</f>
      </c>
      <c r="C987" s="4" t="n">
        <v>348.00</v>
      </c>
      <c r="D987" s="4"/>
    </row>
    <row collapsed="" customFormat="false" customHeight="1" hidden="" ht="14" outlineLevel="0" r="988">
      <c r="A988" s="3" t="inlineStr">
        <is>
          <t>974</t>
        </is>
      </c>
      <c r="B988" s="4" t="s">
        <f>=HYPERLINK("http://anyluxury.ru/shop/korporativnye-podarki/oblozhki-dlya-dokumentov/oblozhka-dlya-avtodokumentov-devon-korichnevaya-1376255/" , "13762.55 Обложка для автодокументов Devon Light, коричневая")</f>
      </c>
      <c r="C988" s="4" t="n">
        <v>280.00</v>
      </c>
      <c r="D988" s="4"/>
    </row>
    <row collapsed="" customFormat="false" customHeight="1" hidden="" ht="14" outlineLevel="0" r="989">
      <c r="A989" s="3" t="inlineStr">
        <is>
          <t>975</t>
        </is>
      </c>
      <c r="B989" s="4" t="s">
        <f>=HYPERLINK("http://anyluxury.ru/shop/korporativnye-podarki/oblozhki-dlya-dokumentov/oblozhka-dlya-pasporta-industry-nauka-7141811/" , "71418.11 Обложка для паспорта Industry, наука и искусство")</f>
      </c>
      <c r="C989" s="4" t="n">
        <v>376.00</v>
      </c>
      <c r="D989" s="4"/>
    </row>
    <row collapsed="" customFormat="false" customHeight="1" hidden="" ht="14" outlineLevel="0" r="990">
      <c r="A990" s="3" t="inlineStr">
        <is>
          <t>976</t>
        </is>
      </c>
      <c r="B990" s="4" t="s">
        <f>=HYPERLINK("http://anyluxury.ru/shop/korporativnye-podarki/oblozhki-dlya-dokumentov/oblozhka-dlya-pasporta-industry-stroitelstvo-7141812/" , "71418.12 Обложка для паспорта Industry, строительство")</f>
      </c>
      <c r="C990" s="4" t="n">
        <v>375.00</v>
      </c>
      <c r="D990" s="4"/>
    </row>
    <row collapsed="" customFormat="false" customHeight="1" hidden="" ht="14" outlineLevel="0" r="991">
      <c r="A991" s="3" t="inlineStr">
        <is>
          <t>977</t>
        </is>
      </c>
      <c r="B991" s="4" t="s">
        <f>=HYPERLINK("http://anyluxury.ru/shop/korporativnye-podarki/oblozhki-dlya-dokumentov/oblozhka-dlya-pasporta-industry-logistika-7141841/" , "71418.41 Обложка для паспорта Industry, логистика")</f>
      </c>
      <c r="C991" s="4" t="n">
        <v>376.00</v>
      </c>
      <c r="D991" s="4"/>
    </row>
    <row collapsed="" customFormat="false" customHeight="1" hidden="" ht="14" outlineLevel="0" r="992">
      <c r="A992" s="3" t="inlineStr">
        <is>
          <t>978</t>
        </is>
      </c>
      <c r="B992" s="4" t="s">
        <f>=HYPERLINK("http://anyluxury.ru/shop/korporativnye-podarki/oblozhki-dlya-dokumentov/oblozhka-dlya-pasporta-industry-kafe-i-restorani-7141852/" , "71418.52 Обложка для паспорта Industry, кафе и рестораны")</f>
      </c>
      <c r="C992" s="4" t="n">
        <v>376.00</v>
      </c>
      <c r="D992" s="4"/>
    </row>
    <row collapsed="" customFormat="false" customHeight="1" hidden="" ht="14" outlineLevel="0" r="993">
      <c r="A993" s="3" t="inlineStr">
        <is>
          <t>979</t>
        </is>
      </c>
      <c r="B993" s="4" t="s">
        <f>=HYPERLINK("http://anyluxury.ru/shop/korporativnye-podarki/oblozhki-dlya-dokumentov/oblozhka-dlya-pasporta-industry-selskoe-hozyaystvo-7141820/" , "71418.20 Обложка для паспорта Industry, сельское хозяйство")</f>
      </c>
      <c r="C993" s="4" t="n">
        <v>376.00</v>
      </c>
      <c r="D993" s="4"/>
    </row>
    <row collapsed="" customFormat="false" customHeight="1" hidden="" ht="14" outlineLevel="0" r="994">
      <c r="A994" s="3" t="inlineStr">
        <is>
          <t>980</t>
        </is>
      </c>
      <c r="B994" s="4" t="s">
        <f>=HYPERLINK("http://anyluxury.ru/shop/korporativnye-podarki/oblozhki-dlya-dokumentov/oblozhka-dlya-pasporta-signature-bordovaya-s-bezhevim-1401715/" , "14017.15 Обложка для паспорта Signature, бордовая")</f>
      </c>
      <c r="C994" s="4" t="n">
        <v>1561.00</v>
      </c>
      <c r="D994" s="4"/>
    </row>
    <row collapsed="" customFormat="false" customHeight="1" hidden="" ht="14" outlineLevel="0" r="995">
      <c r="A995" s="3" t="inlineStr">
        <is>
          <t>981</t>
        </is>
      </c>
      <c r="B995" s="4" t="s">
        <f>=HYPERLINK("http://anyluxury.ru/shop/korporativnye-podarki/oblozhki-dlya-dokumentov/oblozhka-dlya-pasporta-signature-sinyaya-s-golubim-1401744/" , "14017.44 Обложка для паспорта Signature, синяя")</f>
      </c>
      <c r="C995" s="4" t="n">
        <v>1561.00</v>
      </c>
      <c r="D995" s="4"/>
    </row>
    <row collapsed="" customFormat="false" customHeight="1" hidden="" ht="14" outlineLevel="0" r="996">
      <c r="A996" s="3" t="inlineStr">
        <is>
          <t>982</t>
        </is>
      </c>
      <c r="B996" s="4" t="s">
        <f>=HYPERLINK("http://anyluxury.ru/shop/korporativnye-podarki/oblozhki-dlya-dokumentov/oblozhka-dlya-pasporta-shall-krasnaya-1767750/" , "17677.50 Обложка для паспорта Shall, красная")</f>
      </c>
      <c r="C996" s="4" t="n">
        <v>350.00</v>
      </c>
      <c r="D996" s="4"/>
    </row>
    <row collapsed="" customFormat="false" customHeight="1" hidden="" ht="14" outlineLevel="0" r="997">
      <c r="A997" s="3" t="inlineStr">
        <is>
          <t>983</t>
        </is>
      </c>
      <c r="B997" s="4" t="s">
        <f>=HYPERLINK("http://anyluxury.ru/shop/korporativnye-podarki/oblozhki-dlya-dokumentov/oblozhka-dlya-pasporta-shall-sinyaya-1767740/" , "17677.40 Обложка для паспорта Shall, синяя")</f>
      </c>
      <c r="C997" s="4" t="n">
        <v>350.00</v>
      </c>
      <c r="D997" s="4"/>
    </row>
    <row collapsed="" customFormat="false" customHeight="1" hidden="" ht="14" outlineLevel="0" r="998">
      <c r="A998" s="3" t="inlineStr">
        <is>
          <t>984</t>
        </is>
      </c>
      <c r="B998" s="4" t="s">
        <f>=HYPERLINK("http://anyluxury.ru/shop/korporativnye-podarki/oblozhki-dlya-dokumentov/oblozhka-dlya-pasporta-shall-oranzhevaya-1767720/" , "17677.20 Обложка для паспорта Shall, оранжевая")</f>
      </c>
      <c r="C998" s="4" t="n">
        <v>350.00</v>
      </c>
      <c r="D998" s="4"/>
    </row>
    <row collapsed="" customFormat="false" customHeight="1" hidden="" ht="14" outlineLevel="0" r="999">
      <c r="A999" s="3" t="inlineStr">
        <is>
          <t>985</t>
        </is>
      </c>
      <c r="B999" s="4" t="s">
        <f>=HYPERLINK("http://anyluxury.ru/shop/korporativnye-podarki/oblozhki-dlya-dokumentov/oblozhka-dlya-pasporta-shall-zelenaya-1767790/" , "17677.90 Обложка для паспорта Shall, зеленая")</f>
      </c>
      <c r="C999" s="4" t="n">
        <v>350.00</v>
      </c>
      <c r="D999" s="4"/>
    </row>
    <row collapsed="" customFormat="false" customHeight="1" hidden="" ht="14" outlineLevel="0" r="1000">
      <c r="A1000" s="3" t="inlineStr">
        <is>
          <t>986</t>
        </is>
      </c>
      <c r="B1000" s="4" t="s">
        <f>=HYPERLINK("http://anyluxury.ru/shop/korporativnye-podarki/oblozhki-dlya-dokumentov/oblozhka-dlya-pasporta-shall-fioletovaya-1767770/" , "17677.70 Обложка для паспорта Shall, фиолетовая")</f>
      </c>
      <c r="C1000" s="4" t="n">
        <v>350.00</v>
      </c>
      <c r="D1000" s="4"/>
    </row>
    <row collapsed="" customFormat="false" customHeight="1" hidden="" ht="14" outlineLevel="0" r="1001">
      <c r="A1001" s="3" t="inlineStr">
        <is>
          <t>987</t>
        </is>
      </c>
      <c r="B1001" s="4" t="s">
        <f>=HYPERLINK("http://anyluxury.ru/shop/korporativnye-podarki/oblozhki-dlya-dokumentov/oblozhka-dlya-pasporta-nubuk-chernaya-1809030/" , "18090.30 Обложка для паспорта Nubuk, черная")</f>
      </c>
      <c r="C1001" s="4" t="n">
        <v>369.00</v>
      </c>
      <c r="D1001" s="4"/>
    </row>
    <row collapsed="" customFormat="false" customHeight="1" hidden="" ht="14" outlineLevel="0" r="1002">
      <c r="A1002" s="3" t="inlineStr">
        <is>
          <t>988</t>
        </is>
      </c>
      <c r="B1002" s="4" t="s">
        <f>=HYPERLINK("http://anyluxury.ru/shop/korporativnye-podarki/oblozhki-dlya-dokumentov/oblozhka-dlya-pasporta-nubuk-sinyaya-1809040/" , "18090.40 Обложка для паспорта Nubuk, синяя")</f>
      </c>
      <c r="C1002" s="4" t="n">
        <v>369.00</v>
      </c>
      <c r="D1002" s="4"/>
    </row>
    <row collapsed="" customFormat="false" customHeight="1" hidden="" ht="14" outlineLevel="0" r="1003">
      <c r="A1003" s="3" t="inlineStr">
        <is>
          <t>989</t>
        </is>
      </c>
      <c r="B1003" s="4" t="s">
        <f>=HYPERLINK("http://anyluxury.ru/shop/korporativnye-podarki/oblozhki-dlya-dokumentov/oblozhka-dlya-pasporta-nubuck-biryuzovaya-1809049/" , "18090.49 Обложка для паспорта Nubuk, бирюзовая")</f>
      </c>
      <c r="C1003" s="4" t="n">
        <v>369.00</v>
      </c>
      <c r="D1003" s="4"/>
    </row>
    <row collapsed="" customFormat="false" customHeight="1" hidden="" ht="14" outlineLevel="0" r="1004">
      <c r="A1004" s="3" t="inlineStr">
        <is>
          <t>990</t>
        </is>
      </c>
      <c r="B1004" s="4" t="s">
        <f>=HYPERLINK("http://anyluxury.ru/shop/korporativnye-podarki/oblozhki-dlya-dokumentov/oblozhka-dlya-pasporta-shall-seraya-1767710/" , "17677.10 Обложка для паспорта Shall, серая")</f>
      </c>
      <c r="C1004" s="4" t="n">
        <v>350.00</v>
      </c>
      <c r="D1004" s="4"/>
    </row>
    <row collapsed="" customFormat="false" customHeight="1" hidden="" ht="14" outlineLevel="0" r="1005">
      <c r="A1005" s="3" t="inlineStr">
        <is>
          <t>991</t>
        </is>
      </c>
      <c r="B1005" s="4" t="s">
        <f>=HYPERLINK("http://anyluxury.ru/shop/korporativnye-podarki/oblozhki-dlya-dokumentov/oblozhka-dlya-pasporta-shall-chernaya-1767730/" , "17677.30 Обложка для паспорта Shall, черная")</f>
      </c>
      <c r="C1005" s="4" t="n">
        <v>350.00</v>
      </c>
      <c r="D1005" s="4"/>
    </row>
    <row collapsed="" customFormat="false" customHeight="1" hidden="" ht="14" outlineLevel="0" r="1006">
      <c r="A1006" s="3" t="inlineStr">
        <is>
          <t>992</t>
        </is>
      </c>
      <c r="B1006" s="4" t="s">
        <f>=HYPERLINK("http://anyluxury.ru/shop/korporativnye-podarki/oblozhki-dlya-dokumentov/oblozhka-dlya-pasporta-multimo-chernaya-s-krasnim-1734335/" , "17343.35 Обложка для паспорта Multimo, черная с красным")</f>
      </c>
      <c r="C1006" s="4" t="n">
        <v>750.00</v>
      </c>
      <c r="D1006" s="4"/>
    </row>
    <row collapsed="" customFormat="false" customHeight="1" hidden="" ht="14" outlineLevel="0" r="1007">
      <c r="A1007" s="3" t="inlineStr">
        <is>
          <t>993</t>
        </is>
      </c>
      <c r="B1007" s="4" t="s">
        <f>=HYPERLINK("http://anyluxury.ru/shop/korporativnye-podarki/oblozhki-dlya-dokumentov/oblozhka-dlya-pasporta-multimo-chernaya-s-sinim-1734334/" , "17343.34 Обложка для паспорта Multimo, черная с синим")</f>
      </c>
      <c r="C1007" s="4" t="n">
        <v>750.00</v>
      </c>
      <c r="D1007" s="4"/>
    </row>
    <row collapsed="" customFormat="false" customHeight="1" hidden="" ht="14" outlineLevel="0" r="1008">
      <c r="A1008" s="3" t="inlineStr">
        <is>
          <t>994</t>
        </is>
      </c>
      <c r="B1008" s="4" t="s">
        <f>=HYPERLINK("http://anyluxury.ru/shop/korporativnye-podarki/oblozhki-dlya-dokumentov/oblozhka-dlya-pasporta-multimo-chernaya-s-zheltim-1734338/" , "17343.38 Обложка для паспорта Multimo, черная с желтым")</f>
      </c>
      <c r="C1008" s="4" t="n">
        <v>750.00</v>
      </c>
      <c r="D1008" s="4"/>
    </row>
    <row collapsed="" customFormat="false" customHeight="1" hidden="" ht="14" outlineLevel="0" r="1009">
      <c r="A1009" s="3" t="inlineStr">
        <is>
          <t>995</t>
        </is>
      </c>
      <c r="B1009" s="4" t="s">
        <f>=HYPERLINK("http://anyluxury.ru/shop/korporativnye-podarki/oblozhki-dlya-dokumentov/oblozhka-dlya-pasporta-nubuk-svetloseraya-1809011/" , "18090.11 Обложка для паспорта Nubuk, светло-серая")</f>
      </c>
      <c r="C1009" s="4" t="n">
        <v>369.00</v>
      </c>
      <c r="D1009" s="4"/>
    </row>
    <row collapsed="" customFormat="false" customHeight="1" hidden="" ht="14" outlineLevel="0" r="1010">
      <c r="A1010" s="3" t="inlineStr">
        <is>
          <t>996</t>
        </is>
      </c>
      <c r="B1010" s="4" t="s">
        <f>=HYPERLINK("http://anyluxury.ru/shop/korporativnye-podarki/oblozhki-dlya-dokumentov/oblozhka-dlya-avtodokumentov-dorset-sinyaya-1565040/" , "15650.40 Обложка для автодокументов Dorset, синяя")</f>
      </c>
      <c r="C1010" s="4" t="n">
        <v>630.00</v>
      </c>
      <c r="D1010" s="4"/>
    </row>
    <row collapsed="" customFormat="false" customHeight="1" hidden="" ht="14" outlineLevel="0" r="1011">
      <c r="A1011" s="3" t="inlineStr">
        <is>
          <t>997</t>
        </is>
      </c>
      <c r="B1011" s="4" t="s">
        <f>=HYPERLINK("http://anyluxury.ru/shop/korporativnye-podarki/oblozhki-dlya-dokumentov/oblozhka-dlya-avtodokumentov-dorset-chernaya-1565030/" , "15650.30 Обложка для автодокументов Dorset, черная")</f>
      </c>
      <c r="C1011" s="4" t="n">
        <v>630.00</v>
      </c>
      <c r="D1011" s="4"/>
    </row>
    <row collapsed="" customFormat="false" customHeight="1" hidden="" ht="14" outlineLevel="0" r="1012">
      <c r="A1012" s="3" t="inlineStr">
        <is>
          <t>998</t>
        </is>
      </c>
      <c r="B1012" s="4" t="s">
        <f>=HYPERLINK("http://anyluxury.ru/shop/korporativnye-podarki/oblozhki-dlya-dokumentov/oblozhka-dlya-avtodokumentov-dorset-seraya-1565010/" , "15650.10 Обложка для автодокументов Dorset, серая")</f>
      </c>
      <c r="C1012" s="4" t="n">
        <v>630.00</v>
      </c>
      <c r="D1012" s="4"/>
    </row>
    <row collapsed="" customFormat="false" customHeight="1" hidden="" ht="14" outlineLevel="0" r="1013">
      <c r="A1013" s="3" t="inlineStr">
        <is>
          <t>999</t>
        </is>
      </c>
      <c r="B1013" s="4" t="s">
        <f>=HYPERLINK("http://anyluxury.ru/shop/korporativnye-podarki/oblozhki-dlya-dokumentov/oblozhka-dlya-avtodokumentov-devon-light-svetlooranzhevaya-1376222/" , "13762.22 Обложка для автодокументов Devon Light, светло-оранжевая")</f>
      </c>
      <c r="C1013" s="4" t="n">
        <v>348.00</v>
      </c>
      <c r="D1013" s="4"/>
    </row>
    <row collapsed="" customFormat="false" customHeight="1" hidden="" ht="14" outlineLevel="0" r="1014">
      <c r="A1014" s="3" t="inlineStr">
        <is>
          <t>1000</t>
        </is>
      </c>
      <c r="B1014" s="4" t="s">
        <f>=HYPERLINK("http://anyluxury.ru/shop/korporativnye-podarki/oblozhki-dlya-dokumentov/oblozhka-dlya-pasporta-remini-temnosinyaya-5560440/" , "55604.40 Обложка для паспорта Remini, темно-синяя")</f>
      </c>
      <c r="C1014" s="4" t="n">
        <v>1830.00</v>
      </c>
      <c r="D1014" s="4"/>
    </row>
    <row collapsed="" customFormat="false" customHeight="1" hidden="" ht="14" outlineLevel="0" r="1015">
      <c r="A1015" s="3" t="inlineStr">
        <is>
          <t>1001</t>
        </is>
      </c>
      <c r="B1015" s="4" t="s">
        <f>=HYPERLINK("http://anyluxury.ru/shop/korporativnye-podarki/oblozhki-dlya-dokumentov/oblozhka-dlya-pasporta-remini-chernaya-5560430/" , "55604.30 Обложка для паспорта Remini, черная")</f>
      </c>
      <c r="C1015" s="4" t="n">
        <v>1830.00</v>
      </c>
      <c r="D1015" s="4"/>
    </row>
    <row collapsed="" customFormat="false" customHeight="1" hidden="" ht="14" outlineLevel="0" r="1016">
      <c r="A1016" s="3" t="inlineStr">
        <is>
          <t>1002</t>
        </is>
      </c>
      <c r="B1016" s="4" t="s">
        <f>=HYPERLINK("http://anyluxury.ru/shop/korporativnye-podarki/oblozhki-dlya-dokumentov/oblozhka-dlya-pasporta-remini-bezhevaya-5560411/" , "55604.11 Обложка для паспорта Remini, бежевая")</f>
      </c>
      <c r="C1016" s="4" t="n">
        <v>1830.00</v>
      </c>
      <c r="D1016" s="4"/>
    </row>
    <row collapsed="" customFormat="false" customHeight="1" hidden="" ht="14" outlineLevel="0" r="1017">
      <c r="A1017" s="3" t="inlineStr">
        <is>
          <t>1003</t>
        </is>
      </c>
      <c r="B1017" s="4" t="s">
        <f>=HYPERLINK("http://anyluxury.ru/shop/korporativnye-podarki/oblozhki-dlya-dokumentov/avtobumazhnik-arrival-cherniy-s-sinim-1615234/" , "16152.34 Автобумажник Arrival, черный с синим")</f>
      </c>
      <c r="C1017" s="4" t="n">
        <v>3300.00</v>
      </c>
      <c r="D1017" s="4"/>
    </row>
    <row collapsed="" customFormat="false" customHeight="1" hidden="" ht="14" outlineLevel="0" r="1018">
      <c r="A1018" s="3" t="inlineStr">
        <is>
          <t>1004</t>
        </is>
      </c>
      <c r="B1018" s="4" t="s">
        <f>=HYPERLINK("http://anyluxury.ru/shop/korporativnye-podarki/oblozhki-dlya-dokumentov/avtobumazhnik-arrival-cherniy-s-krasnim-1615235/" , "16152.35 Автобумажник Arrival, черный с красным")</f>
      </c>
      <c r="C1018" s="4" t="n">
        <v>3300.00</v>
      </c>
      <c r="D1018" s="4"/>
    </row>
    <row collapsed="" customFormat="false" customHeight="1" hidden="" ht="14" outlineLevel="0" r="1019">
      <c r="A1019" s="3" t="inlineStr">
        <is>
          <t>1005</t>
        </is>
      </c>
      <c r="B1019" s="4" t="s">
        <f>=HYPERLINK("http://anyluxury.ru/shop/korporativnye-podarki/oblozhki-dlya-dokumentov/oblozhka-dlya-pasporta-devon-temnozeleniy-1026699/" , "10266.99 Обложка для паспорта Devon, темно-зеленый")</f>
      </c>
      <c r="C1019" s="4" t="n">
        <v>469.00</v>
      </c>
      <c r="D1019" s="4"/>
    </row>
    <row collapsed="" customFormat="false" customHeight="1" hidden="" ht="14" outlineLevel="0" r="1020">
      <c r="A1020" s="3" t="inlineStr">
        <is>
          <t>1006</t>
        </is>
      </c>
      <c r="B1020" s="4" t="s">
        <f>=HYPERLINK("http://anyluxury.ru/shop/korporativnye-podarki/oblozhki-dlya-dokumentov/oblozhka-dlya-pasporta-devon-zheltaya-1026680/" , "10266.80 Обложка для паспорта Devon, желтая")</f>
      </c>
      <c r="C1020" s="4" t="n">
        <v>469.00</v>
      </c>
      <c r="D1020" s="4"/>
    </row>
    <row collapsed="" customFormat="false" customHeight="1" hidden="" ht="14" outlineLevel="0" r="1021">
      <c r="A1021" s="3" t="inlineStr">
        <is>
          <t>1007</t>
        </is>
      </c>
      <c r="B1021" s="4" t="s">
        <f>=HYPERLINK("http://anyluxury.ru/shop/korporativnye-podarki/oblozhki-dlya-dokumentov/oblozhka-dlya-pasporta-devon-print-na-zakaz-1026600/" , "10266.00 Обложка для паспорта Devon Print на заказ")</f>
      </c>
      <c r="C1021" s="4" t="n">
        <v>528.00</v>
      </c>
      <c r="D1021" s="4"/>
    </row>
    <row collapsed="" customFormat="false" customHeight="1" hidden="" ht="14" outlineLevel="0" r="1022">
      <c r="A1022" s="3" t="inlineStr">
        <is>
          <t>1008</t>
        </is>
      </c>
      <c r="B1022" s="4" t="s">
        <f>=HYPERLINK("http://anyluxury.ru/shop/korporativnye-podarki/oblozhki-dlya-dokumentov/oblozhka-dlya-pasporta-apache-ver2-chernaya-2343730/" , "23437.30 Обложка для паспорта Apache, ver.2, черная")</f>
      </c>
      <c r="C1022" s="4" t="n">
        <v>1152.00</v>
      </c>
      <c r="D1022" s="4"/>
    </row>
    <row collapsed="" customFormat="false" customHeight="1" hidden="" ht="14" outlineLevel="0" r="1023">
      <c r="A1023" s="3" t="inlineStr">
        <is>
          <t>1009</t>
        </is>
      </c>
      <c r="B1023" s="4" t="s">
        <f>=HYPERLINK("http://anyluxury.ru/shop/korporativnye-podarki/oblozhki-dlya-dokumentov/oblozhka-dlya-pasporta-apache-ver2-sinyaya-2343740/" , "23437.40 Обложка для паспорта Apache, ver.2, синяя")</f>
      </c>
      <c r="C1023" s="4" t="n">
        <v>1152.00</v>
      </c>
      <c r="D1023" s="4"/>
    </row>
    <row collapsed="" customFormat="false" customHeight="1" hidden="" ht="14" outlineLevel="0" r="1024">
      <c r="A1024" s="3" t="inlineStr">
        <is>
          <t>1010</t>
        </is>
      </c>
      <c r="B1024" s="4" t="s">
        <f>=HYPERLINK("http://anyluxury.ru/shop/korporativnye-podarki/oblozhki-dlya-dokumentov/oblozhka-dlya-pasporta-apache-ver2-korichnevaya-kakao-2343759/" , "23437.59 Обложка для паспорта Apache, ver.2, коричневая (какао)")</f>
      </c>
      <c r="C1024" s="4" t="n">
        <v>1152.00</v>
      </c>
      <c r="D1024" s="4"/>
    </row>
    <row collapsed="" customFormat="false" customHeight="1" hidden="" ht="14" outlineLevel="0" r="1025">
      <c r="A1025" s="3" t="inlineStr">
        <is>
          <t>1011</t>
        </is>
      </c>
      <c r="B1025" s="4" t="s">
        <f>=HYPERLINK("http://anyluxury.ru/shop/korporativnye-podarki/oblozhki-dlya-dokumentov/oblozhka-dlya-pasporta-apache-ver2-temnokrasnaya-2343705/" , "23437.05 Обложка для паспорта Apache, ver.2, темно-красная")</f>
      </c>
      <c r="C1025" s="4" t="n">
        <v>1152.00</v>
      </c>
      <c r="D1025" s="4"/>
    </row>
    <row collapsed="" customFormat="false" customHeight="1" hidden="" ht="14" outlineLevel="0" r="1026">
      <c r="A1026" s="3" t="inlineStr">
        <is>
          <t>1012</t>
        </is>
      </c>
      <c r="B1026" s="4" t="s">
        <f>=HYPERLINK("http://anyluxury.ru/shop/korporativnye-podarki/oblozhki-dlya-dokumentov/oblozhka-dlya-pasporta-apache-ver2-seraya-2343711/" , "23437.11 Обложка для паспорта Apache, ver.2, серая")</f>
      </c>
      <c r="C1026" s="4" t="n">
        <v>1152.00</v>
      </c>
      <c r="D1026" s="4"/>
    </row>
    <row collapsed="" customFormat="false" customHeight="1" hidden="" ht="14" outlineLevel="0" r="1027">
      <c r="A1027" s="3" t="inlineStr">
        <is>
          <t>1013</t>
        </is>
      </c>
      <c r="B1027" s="4" t="s">
        <f>=HYPERLINK("http://anyluxury.ru/shop/korporativnye-podarki/oblozhki-dlya-dokumentov/oblozhka-dlya-pasporta-apache-ver2-temnozelenaya-2343790/" , "23437.90 Обложка для паспорта Apache, ver.2, темно-зеленая")</f>
      </c>
      <c r="C1027" s="4" t="n">
        <v>1152.00</v>
      </c>
      <c r="D1027" s="4"/>
    </row>
    <row collapsed="" customFormat="false" customHeight="1" hidden="" ht="14" outlineLevel="0" r="1028">
      <c r="A1028" s="3" t="inlineStr">
        <is>
          <t>1014</t>
        </is>
      </c>
      <c r="B1028" s="4" t="s">
        <f>=HYPERLINK("http://anyluxury.ru/shop/korporativnye-podarki/oblozhki-dlya-dokumentov/oblozhka-dlya-pasporta-apache-ver2-temnokorichnevaya-2343755/" , "23437.55 Обложка для паспорта Apache, ver.2, темно-коричневая")</f>
      </c>
      <c r="C1028" s="4" t="n">
        <v>1152.00</v>
      </c>
      <c r="D1028" s="4"/>
    </row>
    <row collapsed="" customFormat="false" customHeight="1" hidden="" ht="14" outlineLevel="0" r="1029">
      <c r="A1029" s="3" t="inlineStr">
        <is>
          <t>1015</t>
        </is>
      </c>
      <c r="B1029" s="4" t="s">
        <f>=HYPERLINK("http://anyluxury.ru/shop/korporativnye-podarki/oblozhki-dlya-dokumentov/oblozhka-dlya-pasporta-apache-ver2-biryuzovaya-2343749/" , "23437.49 Обложка для паспорта Apache, ver.2, бирюзовая")</f>
      </c>
      <c r="C1029" s="4" t="n">
        <v>1152.00</v>
      </c>
      <c r="D1029" s="4"/>
    </row>
    <row collapsed="" customFormat="false" customHeight="1" hidden="" ht="14" outlineLevel="0" r="1030">
      <c r="A1030" s="3" t="inlineStr">
        <is>
          <t>1016</t>
        </is>
      </c>
      <c r="B1030" s="4" t="s">
        <f>=HYPERLINK("http://anyluxury.ru/shop/korporativnye-podarki/oblozhki-dlya-dokumentov/oblozhka-dlya-pasporta-petrus-sinyaya-1552640/" , "15526.40 Обложка для паспорта Petrus, синяя")</f>
      </c>
      <c r="C1030" s="4" t="n">
        <v>766.00</v>
      </c>
      <c r="D1030" s="4"/>
    </row>
    <row collapsed="" customFormat="false" customHeight="1" hidden="" ht="14" outlineLevel="0" r="1031">
      <c r="A1031" s="3" t="inlineStr">
        <is>
          <t>1017</t>
        </is>
      </c>
      <c r="B1031" s="4" t="s">
        <f>=HYPERLINK("http://anyluxury.ru/shop/korporativnye-podarki/oblozhki-dlya-dokumentov/oblozhka-dlya-pasporta-petrus-chernaya-1552630/" , "15526.30 Обложка для паспорта Petrus, черная")</f>
      </c>
      <c r="C1031" s="4" t="n">
        <v>766.00</v>
      </c>
      <c r="D1031" s="4"/>
    </row>
    <row collapsed="" customFormat="false" customHeight="1" hidden="" ht="14" outlineLevel="0" r="1032">
      <c r="A1032" s="3" t="inlineStr">
        <is>
          <t>1018</t>
        </is>
      </c>
      <c r="B1032" s="4" t="s">
        <f>=HYPERLINK("http://anyluxury.ru/shop/korporativnye-podarki/oblozhki-dlya-dokumentov/oblozhka-dlya-pasporta-petrus-krasnaya-1552650/" , "15526.50 Обложка для паспорта Petrus, красная")</f>
      </c>
      <c r="C1032" s="4" t="n">
        <v>766.00</v>
      </c>
      <c r="D1032" s="4"/>
    </row>
    <row collapsed="" customFormat="false" customHeight="1" hidden="" ht="14" outlineLevel="0" r="1033">
      <c r="A1033" s="3" t="inlineStr">
        <is>
          <t>1019</t>
        </is>
      </c>
      <c r="B1033" s="4" t="s">
        <f>=HYPERLINK("http://anyluxury.ru/shop/korporativnye-podarki/oblozhki-dlya-dokumentov/oblozhka-dlya-pasporta-petrus-zelenaya-1552690/" , "15526.90 Обложка для паспорта Petrus, зеленая")</f>
      </c>
      <c r="C1033" s="4" t="n">
        <v>766.00</v>
      </c>
      <c r="D1033" s="4"/>
    </row>
    <row collapsed="" customFormat="false" customHeight="1" hidden="" ht="14" outlineLevel="0" r="1034">
      <c r="A1034" s="3" t="inlineStr">
        <is>
          <t>1020</t>
        </is>
      </c>
      <c r="B1034" s="4" t="s">
        <f>=HYPERLINK("http://anyluxury.ru/shop/korporativnye-podarki/oblozhki-dlya-dokumentov/oblozhka-dlya-pasporta-petrus-oranzhevaya-1552620/" , "15526.20 Обложка для паспорта Petrus, оранжевая")</f>
      </c>
      <c r="C1034" s="4" t="n">
        <v>766.00</v>
      </c>
      <c r="D1034" s="4"/>
    </row>
    <row collapsed="" customFormat="false" customHeight="1" hidden="" ht="14" outlineLevel="0" r="1035">
      <c r="A1035" s="3" t="inlineStr">
        <is>
          <t>1021</t>
        </is>
      </c>
      <c r="B1035" s="4" t="s">
        <f>=HYPERLINK("http://anyluxury.ru/shop/korporativnye-podarki/oblozhki-dlya-dokumentov/oblozhka-dlya-pasporta-instream-korichnevaya-1555459/" , "15554.59 Обложка для паспорта inStream, коричневая")</f>
      </c>
      <c r="C1035" s="4" t="n">
        <v>1850.00</v>
      </c>
      <c r="D1035" s="4"/>
    </row>
    <row collapsed="" customFormat="false" customHeight="1" hidden="" ht="14" outlineLevel="0" r="1036">
      <c r="A1036" s="3" t="inlineStr">
        <is>
          <t>1022</t>
        </is>
      </c>
      <c r="B1036" s="4" t="s">
        <f>=HYPERLINK("http://anyluxury.ru/shop/korporativnye-podarki/oblozhki-dlya-dokumentov/oblozhka-dlya-pasporta-instream-seraya-1555411/" , "15554.11 Обложка для паспорта inStream, серая")</f>
      </c>
      <c r="C1036" s="4" t="n">
        <v>1850.00</v>
      </c>
      <c r="D1036" s="4"/>
    </row>
    <row collapsed="" customFormat="false" customHeight="1" hidden="" ht="14" outlineLevel="0" r="1037">
      <c r="A1037" s="3" t="inlineStr">
        <is>
          <t>1023</t>
        </is>
      </c>
      <c r="B1037" s="4" t="s">
        <f>=HYPERLINK("http://anyluxury.ru/shop/korporativnye-podarki/oblozhki-dlya-dokumentov/nabor-apache-privy-temnozeleniy-1803899/" , "18038.99 Набор Apache Privy, темно-зеленый")</f>
      </c>
      <c r="C1037" s="4" t="n">
        <v>3062.00</v>
      </c>
      <c r="D1037" s="4"/>
    </row>
    <row collapsed="" customFormat="false" customHeight="" hidden="" ht="12.1" outlineLevel="0" r="1038">
      <c r="A1038" s="5" t="inlineStr">
        <is>
          <t> -  - Органайзеры</t>
        </is>
      </c>
      <c r="B1038" s="6"/>
      <c r="C1038" s="6"/>
      <c r="D1038" s="6"/>
    </row>
    <row collapsed="" customFormat="false" customHeight="1" hidden="" ht="14" outlineLevel="0" r="1039">
      <c r="A1039" s="3" t="inlineStr">
        <is>
          <t>1024</t>
        </is>
      </c>
      <c r="B1039" s="4" t="s">
        <f>=HYPERLINK("http://anyluxury.ru/shop/korporativnye-podarki/organayzery/organayzer-dlya-puteshestviy-coretto-172655/" , "1726.55 Органайзер для путешествий Coretto")</f>
      </c>
      <c r="C1039" s="4" t="n">
        <v>7200.00</v>
      </c>
      <c r="D1039" s="4"/>
    </row>
    <row collapsed="" customFormat="false" customHeight="1" hidden="" ht="14" outlineLevel="0" r="1040">
      <c r="A1040" s="3" t="inlineStr">
        <is>
          <t>1025</t>
        </is>
      </c>
      <c r="B1040" s="4" t="s">
        <f>=HYPERLINK("http://anyluxury.ru/shop/korporativnye-podarki/organayzery/organayzer-dlya-puteshestviy-apache-siniy-343840/" , "3438.40 Дорожный органайзер Apache, синий")</f>
      </c>
      <c r="C1040" s="4" t="n">
        <v>3100.00</v>
      </c>
      <c r="D1040" s="4"/>
    </row>
    <row collapsed="" customFormat="false" customHeight="1" hidden="" ht="14" outlineLevel="0" r="1041">
      <c r="A1041" s="3" t="inlineStr">
        <is>
          <t>1026</t>
        </is>
      </c>
      <c r="B1041" s="4" t="s">
        <f>=HYPERLINK("http://anyluxury.ru/shop/korporativnye-podarki/organayzery/organayzer-dlya-puteshestviy-twill-zeleniy-695390/" , "6953.90 Органайзер для путешествий Twill, зеленый")</f>
      </c>
      <c r="C1041" s="4" t="n">
        <v>445.00</v>
      </c>
      <c r="D1041" s="4"/>
    </row>
    <row collapsed="" customFormat="false" customHeight="1" hidden="" ht="14" outlineLevel="0" r="1042">
      <c r="A1042" s="3" t="inlineStr">
        <is>
          <t>1027</t>
        </is>
      </c>
      <c r="B1042" s="4" t="s">
        <f>=HYPERLINK("http://anyluxury.ru/shop/korporativnye-podarki/organayzery/organayzer-dlya-puteshestviy-twill-siniy-695340/" , "6953.40 Органайзер для путешествий Twill, синий")</f>
      </c>
      <c r="C1042" s="4" t="n">
        <v>577.00</v>
      </c>
      <c r="D1042" s="4"/>
    </row>
    <row collapsed="" customFormat="false" customHeight="1" hidden="" ht="14" outlineLevel="0" r="1043">
      <c r="A1043" s="3" t="inlineStr">
        <is>
          <t>1028</t>
        </is>
      </c>
      <c r="B1043" s="4" t="s">
        <f>=HYPERLINK("http://anyluxury.ru/shop/korporativnye-podarki/organayzery/organayzer-dlya-puteshestviy-twill-krasniy-695350/" , "6953.50 Органайзер для путешествий Twill, красный")</f>
      </c>
      <c r="C1043" s="4" t="n">
        <v>380.00</v>
      </c>
      <c r="D1043" s="4"/>
    </row>
    <row collapsed="" customFormat="false" customHeight="1" hidden="" ht="14" outlineLevel="0" r="1044">
      <c r="A1044" s="3" t="inlineStr">
        <is>
          <t>1029</t>
        </is>
      </c>
      <c r="B1044" s="4" t="s">
        <f>=HYPERLINK("http://anyluxury.ru/shop/korporativnye-podarki/organayzery/organayzer-dlya-puteshestviy-devon-cherniy-1026530/" , "10265.30 Органайзер для путешествий Devon, черный")</f>
      </c>
      <c r="C1044" s="4" t="n">
        <v>557.00</v>
      </c>
      <c r="D1044" s="4"/>
    </row>
    <row collapsed="" customFormat="false" customHeight="1" hidden="" ht="14" outlineLevel="0" r="1045">
      <c r="A1045" s="3" t="inlineStr">
        <is>
          <t>1030</t>
        </is>
      </c>
      <c r="B1045" s="4" t="s">
        <f>=HYPERLINK("http://anyluxury.ru/shop/korporativnye-podarki/organayzery/organayzer-dlya-puteshestviy-devon-krasniy-1026550/" , "10265.50 Органайзер для путешествий Devon, красный")</f>
      </c>
      <c r="C1045" s="4" t="n">
        <v>557.00</v>
      </c>
      <c r="D1045" s="4"/>
    </row>
    <row collapsed="" customFormat="false" customHeight="1" hidden="" ht="14" outlineLevel="0" r="1046">
      <c r="A1046" s="3" t="inlineStr">
        <is>
          <t>1031</t>
        </is>
      </c>
      <c r="B1046" s="4" t="s">
        <f>=HYPERLINK("http://anyluxury.ru/shop/korporativnye-podarki/organayzery/organayzer-dlya-puteshestviy-devon-siniy-1026540/" , "10265.40 Органайзер для путешествий Devon, синий")</f>
      </c>
      <c r="C1046" s="4" t="n">
        <v>557.00</v>
      </c>
      <c r="D1046" s="4"/>
    </row>
    <row collapsed="" customFormat="false" customHeight="1" hidden="" ht="14" outlineLevel="0" r="1047">
      <c r="A1047" s="3" t="inlineStr">
        <is>
          <t>1032</t>
        </is>
      </c>
      <c r="B1047" s="4" t="s">
        <f>=HYPERLINK("http://anyluxury.ru/shop/korporativnye-podarki/organayzery/organayzer-dlya-puteshestviy-devon-zeleniy-1026590/" , "10265.90 Органайзер для путешествий Devon, зеленый")</f>
      </c>
      <c r="C1047" s="4" t="n">
        <v>557.00</v>
      </c>
      <c r="D1047" s="4"/>
    </row>
    <row collapsed="" customFormat="false" customHeight="1" hidden="" ht="14" outlineLevel="0" r="1048">
      <c r="A1048" s="3" t="inlineStr">
        <is>
          <t>1033</t>
        </is>
      </c>
      <c r="B1048" s="4" t="s">
        <f>=HYPERLINK("http://anyluxury.ru/shop/korporativnye-podarki/organayzery/organayzer-dlya-puteshestviy-devon-seriy-1026510/" , "10265.10 Органайзер для путешествий Devon, серый")</f>
      </c>
      <c r="C1048" s="4" t="n">
        <v>557.00</v>
      </c>
      <c r="D1048" s="4"/>
    </row>
    <row collapsed="" customFormat="false" customHeight="1" hidden="" ht="14" outlineLevel="0" r="1049">
      <c r="A1049" s="3" t="inlineStr">
        <is>
          <t>1034</t>
        </is>
      </c>
      <c r="B1049" s="4" t="s">
        <f>=HYPERLINK("http://anyluxury.ru/shop/korporativnye-podarki/organayzery/organayzer-dlya-puteshestviy-devon-oranzheviy-1026520/" , "10265.20 Органайзер для путешествий Devon, оранжевый")</f>
      </c>
      <c r="C1049" s="4" t="n">
        <v>557.00</v>
      </c>
      <c r="D1049" s="4"/>
    </row>
    <row collapsed="" customFormat="false" customHeight="1" hidden="" ht="14" outlineLevel="0" r="1050">
      <c r="A1050" s="3" t="inlineStr">
        <is>
          <t>1035</t>
        </is>
      </c>
      <c r="B1050" s="4" t="s">
        <f>=HYPERLINK("http://anyluxury.ru/shop/korporativnye-podarki/organayzery/organayzer-dlya-zaryadnih-ustroystv-apache-siniy-1344340/" , "13443.40 Органайзер для зарядных устройств Apache, синий")</f>
      </c>
      <c r="C1050" s="4" t="n">
        <v>2100.00</v>
      </c>
      <c r="D1050" s="4"/>
    </row>
    <row collapsed="" customFormat="false" customHeight="1" hidden="" ht="14" outlineLevel="0" r="1051">
      <c r="A1051" s="3" t="inlineStr">
        <is>
          <t>1036</t>
        </is>
      </c>
      <c r="B1051" s="4" t="s">
        <f>=HYPERLINK("http://anyluxury.ru/shop/korporativnye-podarki/organayzery/dorozhniy-organayzer-apache-cherniy-343830/" , "3438.30 Дорожный органайзер Apache, черный")</f>
      </c>
      <c r="C1051" s="4" t="n">
        <v>3100.00</v>
      </c>
      <c r="D1051" s="4"/>
    </row>
    <row collapsed="" customFormat="false" customHeight="1" hidden="" ht="14" outlineLevel="0" r="1052">
      <c r="A1052" s="3" t="inlineStr">
        <is>
          <t>1037</t>
        </is>
      </c>
      <c r="B1052" s="4" t="s">
        <f>=HYPERLINK("http://anyluxury.ru/shop/korporativnye-podarki/organayzery/organayzer-vintage-korichneviy-5203059/" , "52030.59 Органайзер Vintage, коричневый")</f>
      </c>
      <c r="C1052" s="4" t="n">
        <v>11040.00</v>
      </c>
      <c r="D1052" s="4"/>
    </row>
    <row collapsed="" customFormat="false" customHeight="1" hidden="" ht="14" outlineLevel="0" r="1053">
      <c r="A1053" s="3" t="inlineStr">
        <is>
          <t>1038</t>
        </is>
      </c>
      <c r="B1053" s="4" t="s">
        <f>=HYPERLINK("http://anyluxury.ru/shop/korporativnye-podarki/organayzery/organayzer-dlya-ukrasheniy-italico-cherniy-5203830/" , "52038.30 Органайзер для украшений Italico, черный")</f>
      </c>
      <c r="C1053" s="4" t="n">
        <v>6480.00</v>
      </c>
      <c r="D1053" s="4"/>
    </row>
    <row collapsed="" customFormat="false" customHeight="1" hidden="" ht="14" outlineLevel="0" r="1054">
      <c r="A1054" s="3" t="inlineStr">
        <is>
          <t>1039</t>
        </is>
      </c>
      <c r="B1054" s="4" t="s">
        <f>=HYPERLINK("http://anyluxury.ru/shop/korporativnye-podarki/organayzery/futlyar-dlya-ochkov-italico-korichneviy-5203959/" , "52039.59 Футляр для очков Italico, коричневый")</f>
      </c>
      <c r="C1054" s="4" t="n">
        <v>2400.00</v>
      </c>
      <c r="D1054" s="4"/>
    </row>
    <row collapsed="" customFormat="false" customHeight="1" hidden="" ht="14" outlineLevel="0" r="1055">
      <c r="A1055" s="3" t="inlineStr">
        <is>
          <t>1040</t>
        </is>
      </c>
      <c r="B1055" s="4" t="s">
        <f>=HYPERLINK("http://anyluxury.ru/shop/korporativnye-podarki/organayzery/organayzer-dlya-zaryadnih-ustroystv-apache-krasniy-1344350/" , "13443.50 Органайзер для зарядных устройств Apache, красный")</f>
      </c>
      <c r="C1055" s="4" t="n">
        <v>2100.00</v>
      </c>
      <c r="D1055" s="4"/>
    </row>
    <row collapsed="" customFormat="false" customHeight="1" hidden="" ht="14" outlineLevel="0" r="1056">
      <c r="A1056" s="3" t="inlineStr">
        <is>
          <t>1041</t>
        </is>
      </c>
      <c r="B1056" s="4" t="s">
        <f>=HYPERLINK("http://anyluxury.ru/shop/korporativnye-podarki/organayzery/organayzer-dlya-ukrasheniy-apache-cherniy-1344530/" , "13445.30 Органайзер для украшений Apache, черный")</f>
      </c>
      <c r="C1056" s="4" t="n">
        <v>2406.00</v>
      </c>
      <c r="D1056" s="4"/>
    </row>
    <row collapsed="" customFormat="false" customHeight="1" hidden="" ht="14" outlineLevel="0" r="1057">
      <c r="A1057" s="3" t="inlineStr">
        <is>
          <t>1042</t>
        </is>
      </c>
      <c r="B1057" s="4" t="s">
        <f>=HYPERLINK("http://anyluxury.ru/shop/korporativnye-podarki/organayzery/dorozhniy-organayzer-dorset-cherniy-1264930/" , "12649.30 Дорожный органайзер Dorset, черный")</f>
      </c>
      <c r="C1057" s="4" t="n">
        <v>557.00</v>
      </c>
      <c r="D1057" s="4"/>
    </row>
    <row collapsed="" customFormat="false" customHeight="1" hidden="" ht="14" outlineLevel="0" r="1058">
      <c r="A1058" s="3" t="inlineStr">
        <is>
          <t>1043</t>
        </is>
      </c>
      <c r="B1058" s="4" t="s">
        <f>=HYPERLINK("http://anyluxury.ru/shop/korporativnye-podarki/organayzery/dorozhniy-organayzer-dorset-krasniy-1264950/" , "12649.50 Дорожный органайзер Dorset, красный")</f>
      </c>
      <c r="C1058" s="4" t="n">
        <v>557.00</v>
      </c>
      <c r="D1058" s="4"/>
    </row>
    <row collapsed="" customFormat="false" customHeight="1" hidden="" ht="14" outlineLevel="0" r="1059">
      <c r="A1059" s="3" t="inlineStr">
        <is>
          <t>1044</t>
        </is>
      </c>
      <c r="B1059" s="4" t="s">
        <f>=HYPERLINK("http://anyluxury.ru/shop/korporativnye-podarki/organayzery/dorozhniy-organayzer-dorset-seriy-1264910/" , "12649.10 Дорожный органайзер Dorset, серый")</f>
      </c>
      <c r="C1059" s="4" t="n">
        <v>557.00</v>
      </c>
      <c r="D1059" s="4"/>
    </row>
    <row collapsed="" customFormat="false" customHeight="1" hidden="" ht="14" outlineLevel="0" r="1060">
      <c r="A1060" s="3" t="inlineStr">
        <is>
          <t>1045</t>
        </is>
      </c>
      <c r="B1060" s="4" t="s">
        <f>=HYPERLINK("http://anyluxury.ru/shop/korporativnye-podarki/organayzery/dorozhniy-organayzer-dorset-siniy-1264940/" , "12649.40 Дорожный органайзер Dorset, синий")</f>
      </c>
      <c r="C1060" s="4" t="n">
        <v>557.00</v>
      </c>
      <c r="D1060" s="4"/>
    </row>
    <row collapsed="" customFormat="false" customHeight="1" hidden="" ht="14" outlineLevel="0" r="1061">
      <c r="A1061" s="3" t="inlineStr">
        <is>
          <t>1046</t>
        </is>
      </c>
      <c r="B1061" s="4" t="s">
        <f>=HYPERLINK("http://anyluxury.ru/shop/korporativnye-podarki/organayzery/dorozhniy-organayzer-kalsa-palermo-siniy-15264/" , "15264 Дорожный органайзер Kalsa Palermo, синий")</f>
      </c>
      <c r="C1061" s="4" t="n">
        <v>7670.00</v>
      </c>
      <c r="D1061" s="4"/>
    </row>
    <row collapsed="" customFormat="false" customHeight="1" hidden="" ht="14" outlineLevel="0" r="1062">
      <c r="A1062" s="3" t="inlineStr">
        <is>
          <t>1047</t>
        </is>
      </c>
      <c r="B1062" s="4" t="s">
        <f>=HYPERLINK("http://anyluxury.ru/shop/korporativnye-podarki/organayzery/sumochka-dlya-telefona-apache-sinyaya-1374740/" , "13747.40 Сумочка для телефона Apache, синяя")</f>
      </c>
      <c r="C1062" s="4" t="n">
        <v>2480.00</v>
      </c>
      <c r="D1062" s="4"/>
    </row>
    <row collapsed="" customFormat="false" customHeight="1" hidden="" ht="14" outlineLevel="0" r="1063">
      <c r="A1063" s="3" t="inlineStr">
        <is>
          <t>1048</t>
        </is>
      </c>
      <c r="B1063" s="4" t="s">
        <f>=HYPERLINK("http://anyluxury.ru/shop/korporativnye-podarki/organayzery/nabor-dorozhniy-kalsa-palermo-siniy-15262/" , "15262 Набор дорожный Kalsa Palermo, синий")</f>
      </c>
      <c r="C1063" s="4" t="n">
        <v>13755.00</v>
      </c>
      <c r="D1063" s="4"/>
    </row>
    <row collapsed="" customFormat="false" customHeight="1" hidden="" ht="14" outlineLevel="0" r="1064">
      <c r="A1064" s="3" t="inlineStr">
        <is>
          <t>1049</t>
        </is>
      </c>
      <c r="B1064" s="4" t="s">
        <f>=HYPERLINK("http://anyluxury.ru/shop/korporativnye-podarki/organayzery/organayzer-instream-cherniy-1555030/" , "15550.30 Органайзер inStream, черный")</f>
      </c>
      <c r="C1064" s="4" t="n">
        <v>4910.00</v>
      </c>
      <c r="D1064" s="4"/>
    </row>
    <row collapsed="" customFormat="false" customHeight="1" hidden="" ht="14" outlineLevel="0" r="1065">
      <c r="A1065" s="3" t="inlineStr">
        <is>
          <t>1050</t>
        </is>
      </c>
      <c r="B1065" s="4" t="s">
        <f>=HYPERLINK("http://anyluxury.ru/shop/korporativnye-podarki/organayzery/sumochka-dlya-telefona-apache-korichnevaya-kakao-1374759/" , "13747.59 Сумочка для телефона Apache, коричневая (какао)")</f>
      </c>
      <c r="C1065" s="4" t="n">
        <v>2480.00</v>
      </c>
      <c r="D1065" s="4"/>
    </row>
    <row collapsed="" customFormat="false" customHeight="1" hidden="" ht="14" outlineLevel="0" r="1066">
      <c r="A1066" s="3" t="inlineStr">
        <is>
          <t>1051</t>
        </is>
      </c>
      <c r="B1066" s="4" t="s">
        <f>=HYPERLINK("http://anyluxury.ru/shop/korporativnye-podarki/organayzery/organayzer-dlya-puteshestviy-industry-energetika-7141910/" , "71419.10 Органайзер для путешествий Industry, энергетика")</f>
      </c>
      <c r="C1066" s="4" t="n">
        <v>469.00</v>
      </c>
      <c r="D1066" s="4"/>
    </row>
    <row collapsed="" customFormat="false" customHeight="1" hidden="" ht="14" outlineLevel="0" r="1067">
      <c r="A1067" s="3" t="inlineStr">
        <is>
          <t>1052</t>
        </is>
      </c>
      <c r="B1067" s="4" t="s">
        <f>=HYPERLINK("http://anyluxury.ru/shop/korporativnye-podarki/organayzery/organayzer-dlya-puteshestviy-industry-neft-i-gaz-7141930/" , "71419.30 Органайзер для путешествий Industry, нефть и газ")</f>
      </c>
      <c r="C1067" s="4" t="n">
        <v>469.00</v>
      </c>
      <c r="D1067" s="4"/>
    </row>
    <row collapsed="" customFormat="false" customHeight="1" hidden="" ht="14" outlineLevel="0" r="1068">
      <c r="A1068" s="3" t="inlineStr">
        <is>
          <t>1053</t>
        </is>
      </c>
      <c r="B1068" s="4" t="s">
        <f>=HYPERLINK("http://anyluxury.ru/shop/korporativnye-podarki/organayzery/organayzer-dlya-puteshestviy-industry-metallurgiya-7141931/" , "71419.31 Органайзер для путешествий Industry, металлургия")</f>
      </c>
      <c r="C1068" s="4" t="n">
        <v>469.00</v>
      </c>
      <c r="D1068" s="4"/>
    </row>
    <row collapsed="" customFormat="false" customHeight="1" hidden="" ht="14" outlineLevel="0" r="1069">
      <c r="A1069" s="3" t="inlineStr">
        <is>
          <t>1054</t>
        </is>
      </c>
      <c r="B1069" s="4" t="s">
        <f>=HYPERLINK("http://anyluxury.ru/shop/korporativnye-podarki/organayzery/organayzer-dlya-puteshestviy-industry-zdravoohranenie-7141950/" , "71419.50 Органайзер для путешествий Industry, здравоохранение")</f>
      </c>
      <c r="C1069" s="4" t="n">
        <v>469.00</v>
      </c>
      <c r="D1069" s="4"/>
    </row>
    <row collapsed="" customFormat="false" customHeight="1" hidden="" ht="14" outlineLevel="0" r="1070">
      <c r="A1070" s="3" t="inlineStr">
        <is>
          <t>1055</t>
        </is>
      </c>
      <c r="B1070" s="4" t="s">
        <f>=HYPERLINK("http://anyluxury.ru/shop/korporativnye-podarki/organayzery/dorozhniy-organayzer-organizer-case-cherniy-1509130/" , "15091.30 Дорожный органайзер Organizer Case, черный")</f>
      </c>
      <c r="C1070" s="4" t="n">
        <v>2402.00</v>
      </c>
      <c r="D1070" s="4"/>
    </row>
    <row collapsed="" customFormat="false" customHeight="1" hidden="" ht="14" outlineLevel="0" r="1071">
      <c r="A1071" s="3" t="inlineStr">
        <is>
          <t>1056</t>
        </is>
      </c>
      <c r="B1071" s="4" t="s">
        <f>=HYPERLINK("http://anyluxury.ru/shop/korporativnye-podarki/organayzery/dorozhniy-organayzer-organizer-case-siniy-1509140/" , "15091.40 Дорожный органайзер Organizer Case, синий")</f>
      </c>
      <c r="C1071" s="4" t="n">
        <v>2402.00</v>
      </c>
      <c r="D1071" s="4"/>
    </row>
    <row collapsed="" customFormat="false" customHeight="1" hidden="" ht="14" outlineLevel="0" r="1072">
      <c r="A1072" s="3" t="inlineStr">
        <is>
          <t>1057</t>
        </is>
      </c>
      <c r="B1072" s="4" t="s">
        <f>=HYPERLINK("http://anyluxury.ru/shop/korporativnye-podarki/organayzery/dorozhniy-organayzer-organizer-case-seriy-1509110/" , "15091.10 Дорожный органайзер Organizer Case, серый")</f>
      </c>
      <c r="C1072" s="4" t="n">
        <v>2402.00</v>
      </c>
      <c r="D1072" s="4"/>
    </row>
    <row collapsed="" customFormat="false" customHeight="1" hidden="" ht="14" outlineLevel="0" r="1073">
      <c r="A1073" s="3" t="inlineStr">
        <is>
          <t>1058</t>
        </is>
      </c>
      <c r="B1073" s="4" t="s">
        <f>=HYPERLINK("http://anyluxury.ru/shop/korporativnye-podarki/organayzery/organayzer-dlya-puteshestviy-saff-travel-na-zakaz-1893101/" , "18931.01 Органайзер для путешествий Devon Print на заказ")</f>
      </c>
      <c r="C1073" s="4" t="n">
        <v>494.00</v>
      </c>
      <c r="D1073" s="4"/>
    </row>
    <row collapsed="" customFormat="false" customHeight="1" hidden="" ht="14" outlineLevel="0" r="1074">
      <c r="A1074" s="3" t="inlineStr">
        <is>
          <t>1059</t>
        </is>
      </c>
      <c r="B1074" s="4" t="s">
        <f>=HYPERLINK("http://anyluxury.ru/shop/korporativnye-podarki/organayzery/organayzer-dlya-puteshestviy-industry-nauka-7141911/" , "71419.11 Органайзер для путешествий Industry, наука и искусство")</f>
      </c>
      <c r="C1074" s="4" t="n">
        <v>470.00</v>
      </c>
      <c r="D1074" s="4"/>
    </row>
    <row collapsed="" customFormat="false" customHeight="1" hidden="" ht="14" outlineLevel="0" r="1075">
      <c r="A1075" s="3" t="inlineStr">
        <is>
          <t>1060</t>
        </is>
      </c>
      <c r="B1075" s="4" t="s">
        <f>=HYPERLINK("http://anyluxury.ru/shop/korporativnye-podarki/organayzery/organayzer-dlya-puteshestviy-industry-stroitelstvo-7141912/" , "71419.12 Органайзер для путешествий Industry, строительство")</f>
      </c>
      <c r="C1075" s="4" t="n">
        <v>469.00</v>
      </c>
      <c r="D1075" s="4"/>
    </row>
    <row collapsed="" customFormat="false" customHeight="1" hidden="" ht="14" outlineLevel="0" r="1076">
      <c r="A1076" s="3" t="inlineStr">
        <is>
          <t>1061</t>
        </is>
      </c>
      <c r="B1076" s="4" t="s">
        <f>=HYPERLINK("http://anyluxury.ru/shop/korporativnye-podarki/organayzery/organayzer-dlya-puteshestviy-industry-logistika-7141941/" , "71419.41 Органайзер для путешествий Industry, логистика")</f>
      </c>
      <c r="C1076" s="4" t="n">
        <v>469.00</v>
      </c>
      <c r="D1076" s="4"/>
    </row>
    <row collapsed="" customFormat="false" customHeight="1" hidden="" ht="14" outlineLevel="0" r="1077">
      <c r="A1077" s="3" t="inlineStr">
        <is>
          <t>1062</t>
        </is>
      </c>
      <c r="B1077" s="4" t="s">
        <f>=HYPERLINK("http://anyluxury.ru/shop/korporativnye-podarki/organayzery/organayzer-dlya-puteshestviy-industry-kafe-i-restorani-7141952/" , "71419.52 Органайзер для путешествий Industry, кафе и рестораны")</f>
      </c>
      <c r="C1077" s="4" t="n">
        <v>470.00</v>
      </c>
      <c r="D1077" s="4"/>
    </row>
    <row collapsed="" customFormat="false" customHeight="1" hidden="" ht="14" outlineLevel="0" r="1078">
      <c r="A1078" s="3" t="inlineStr">
        <is>
          <t>1063</t>
        </is>
      </c>
      <c r="B1078" s="4" t="s">
        <f>=HYPERLINK("http://anyluxury.ru/shop/korporativnye-podarki/organayzery/organayzer-dlya-puteshestviy-industry-selskoe-hozyaystvo-7141920/" , "71419.20 Органайзер для путешествий Industry, сельское хозяйство")</f>
      </c>
      <c r="C1078" s="4" t="n">
        <v>470.00</v>
      </c>
      <c r="D1078" s="4"/>
    </row>
    <row collapsed="" customFormat="false" customHeight="1" hidden="" ht="14" outlineLevel="0" r="1079">
      <c r="A1079" s="3" t="inlineStr">
        <is>
          <t>1064</t>
        </is>
      </c>
      <c r="B1079" s="4" t="s">
        <f>=HYPERLINK("http://anyluxury.ru/shop/korporativnye-podarki/organayzery/dorozhniy-organayzer-multimo-cherniy-s-krasnim-1732335/" , "17323.35 Дорожный органайзер Multimo, черный с красным")</f>
      </c>
      <c r="C1079" s="4" t="n">
        <v>980.00</v>
      </c>
      <c r="D1079" s="4"/>
    </row>
    <row collapsed="" customFormat="false" customHeight="1" hidden="" ht="14" outlineLevel="0" r="1080">
      <c r="A1080" s="3" t="inlineStr">
        <is>
          <t>1065</t>
        </is>
      </c>
      <c r="B1080" s="4" t="s">
        <f>=HYPERLINK("http://anyluxury.ru/shop/korporativnye-podarki/organayzery/dorozhniy-organayzer-multimo-cherniy-s-sinim-1732334/" , "17323.34 Дорожный органайзер Multimo, черный с синим")</f>
      </c>
      <c r="C1080" s="4" t="n">
        <v>980.00</v>
      </c>
      <c r="D1080" s="4"/>
    </row>
    <row collapsed="" customFormat="false" customHeight="1" hidden="" ht="14" outlineLevel="0" r="1081">
      <c r="A1081" s="3" t="inlineStr">
        <is>
          <t>1066</t>
        </is>
      </c>
      <c r="B1081" s="4" t="s">
        <f>=HYPERLINK("http://anyluxury.ru/shop/korporativnye-podarki/organayzery/organayzer-dlya-puteshestviy-devon-svetlooranzheviy-1026522/" , "10265.22 Органайзер для путешествий Devon, светло-оранжевый")</f>
      </c>
      <c r="C1081" s="4" t="n">
        <v>557.00</v>
      </c>
      <c r="D1081" s="4"/>
    </row>
    <row collapsed="" customFormat="false" customHeight="1" hidden="" ht="14" outlineLevel="0" r="1082">
      <c r="A1082" s="3" t="inlineStr">
        <is>
          <t>1067</t>
        </is>
      </c>
      <c r="B1082" s="4" t="s">
        <f>=HYPERLINK("http://anyluxury.ru/shop/korporativnye-podarki/organayzery/dorozhniy-organayzer-remini-temnosiniy-5560840/" , "55608.40 Дорожный органайзер Remini, темно-синий")</f>
      </c>
      <c r="C1082" s="4" t="n">
        <v>3680.00</v>
      </c>
      <c r="D1082" s="4"/>
    </row>
    <row collapsed="" customFormat="false" customHeight="1" hidden="" ht="14" outlineLevel="0" r="1083">
      <c r="A1083" s="3" t="inlineStr">
        <is>
          <t>1068</t>
        </is>
      </c>
      <c r="B1083" s="4" t="s">
        <f>=HYPERLINK("http://anyluxury.ru/shop/korporativnye-podarki/organayzery/dorozhniy-organayzer-remini-cherniy-5560830/" , "55608.30 Дорожный органайзер Remini, черный")</f>
      </c>
      <c r="C1083" s="4" t="n">
        <v>3680.00</v>
      </c>
      <c r="D1083" s="4"/>
    </row>
    <row collapsed="" customFormat="false" customHeight="1" hidden="" ht="14" outlineLevel="0" r="1084">
      <c r="A1084" s="3" t="inlineStr">
        <is>
          <t>1069</t>
        </is>
      </c>
      <c r="B1084" s="4" t="s">
        <f>=HYPERLINK("http://anyluxury.ru/shop/korporativnye-podarki/organayzery/dorozhniy-organayzer-remini-bezheviy-5560811/" , "55608.11 Дорожный органайзер Remini, бежевый")</f>
      </c>
      <c r="C1084" s="4" t="n">
        <v>3680.00</v>
      </c>
      <c r="D1084" s="4"/>
    </row>
    <row collapsed="" customFormat="false" customHeight="1" hidden="" ht="14" outlineLevel="0" r="1085">
      <c r="A1085" s="3" t="inlineStr">
        <is>
          <t>1070</t>
        </is>
      </c>
      <c r="B1085" s="4" t="s">
        <f>=HYPERLINK("http://anyluxury.ru/shop/korporativnye-podarki/organayzery/dorozhniy-organayzer-apache-gorchichniy-343880/" , "3438.80 Дорожный органайзер Apache, горчичный")</f>
      </c>
      <c r="C1085" s="4" t="n">
        <v>3100.00</v>
      </c>
      <c r="D1085" s="4"/>
    </row>
    <row collapsed="" customFormat="false" customHeight="1" hidden="" ht="14" outlineLevel="0" r="1086">
      <c r="A1086" s="3" t="inlineStr">
        <is>
          <t>1071</t>
        </is>
      </c>
      <c r="B1086" s="4" t="s">
        <f>=HYPERLINK("http://anyluxury.ru/shop/korporativnye-podarki/organayzery/organayzer-dlya-zaryadnih-ustroystv-apache-biryuzoviy-1344349/" , "13443.49 Органайзер для зарядных устройств Apache, бирюзовый")</f>
      </c>
      <c r="C1086" s="4" t="n">
        <v>2100.00</v>
      </c>
      <c r="D1086" s="4"/>
    </row>
    <row collapsed="" customFormat="false" customHeight="1" hidden="" ht="14" outlineLevel="0" r="1087">
      <c r="A1087" s="3" t="inlineStr">
        <is>
          <t>1072</t>
        </is>
      </c>
      <c r="B1087" s="4" t="s">
        <f>=HYPERLINK("http://anyluxury.ru/shop/korporativnye-podarki/organayzery/organayzer-dlya-zaryadnih-ustroystv-apache-seriy-1344310/" , "13443.10 Органайзер для зарядных устройств Apache, серый")</f>
      </c>
      <c r="C1087" s="4" t="n">
        <v>2100.00</v>
      </c>
      <c r="D1087" s="4"/>
    </row>
    <row collapsed="" customFormat="false" customHeight="1" hidden="" ht="14" outlineLevel="0" r="1088">
      <c r="A1088" s="3" t="inlineStr">
        <is>
          <t>1073</t>
        </is>
      </c>
      <c r="B1088" s="4" t="s">
        <f>=HYPERLINK("http://anyluxury.ru/shop/korporativnye-podarki/organayzery/organayzer-dlya-zaryadnih-ustroystv-apache-temnokorichneviy-1344351/" , "13443.51 Органайзер для зарядных устройств Apache, темно-коричневый")</f>
      </c>
      <c r="C1088" s="4" t="n">
        <v>2100.00</v>
      </c>
      <c r="D1088" s="4"/>
    </row>
    <row collapsed="" customFormat="false" customHeight="1" hidden="" ht="14" outlineLevel="0" r="1089">
      <c r="A1089" s="3" t="inlineStr">
        <is>
          <t>1074</t>
        </is>
      </c>
      <c r="B1089" s="4" t="s">
        <f>=HYPERLINK("http://anyluxury.ru/shop/korporativnye-podarki/organayzery/dorozhniy-organayzer-apache-biryuzoviy-343849/" , "3438.49 Дорожный органайзер Apache, бирюзовый")</f>
      </c>
      <c r="C1089" s="4" t="n">
        <v>3100.00</v>
      </c>
      <c r="D1089" s="4"/>
    </row>
    <row collapsed="" customFormat="false" customHeight="1" hidden="" ht="14" outlineLevel="0" r="1090">
      <c r="A1090" s="3" t="inlineStr">
        <is>
          <t>1075</t>
        </is>
      </c>
      <c r="B1090" s="4" t="s">
        <f>=HYPERLINK("http://anyluxury.ru/shop/korporativnye-podarki/organayzery/dorozhniy-organayzer-apache-temnokrasniy-343805/" , "3438.05 Дорожный органайзер Apache, темно-красный")</f>
      </c>
      <c r="C1090" s="4" t="n">
        <v>3100.00</v>
      </c>
      <c r="D1090" s="4"/>
    </row>
    <row collapsed="" customFormat="false" customHeight="1" hidden="" ht="14" outlineLevel="0" r="1091">
      <c r="A1091" s="3" t="inlineStr">
        <is>
          <t>1076</t>
        </is>
      </c>
      <c r="B1091" s="4" t="s">
        <f>=HYPERLINK("http://anyluxury.ru/shop/korporativnye-podarki/organayzery/dorozhniy-organayzer-apache-temnozeleniy-343899/" , "3438.99 Дорожный органайзер Apache, темно-зеленый")</f>
      </c>
      <c r="C1091" s="4" t="n">
        <v>3100.00</v>
      </c>
      <c r="D1091" s="4"/>
    </row>
    <row collapsed="" customFormat="false" customHeight="1" hidden="" ht="14" outlineLevel="0" r="1092">
      <c r="A1092" s="3" t="inlineStr">
        <is>
          <t>1077</t>
        </is>
      </c>
      <c r="B1092" s="4" t="s">
        <f>=HYPERLINK("http://anyluxury.ru/shop/korporativnye-podarki/organayzery/dorozhniy-organayzer-apache-seriy-343810/" , "3438.10 Дорожный органайзер Apache, серый")</f>
      </c>
      <c r="C1092" s="4" t="n">
        <v>3100.00</v>
      </c>
      <c r="D1092" s="4"/>
    </row>
    <row collapsed="" customFormat="false" customHeight="1" hidden="" ht="14" outlineLevel="0" r="1093">
      <c r="A1093" s="3" t="inlineStr">
        <is>
          <t>1078</t>
        </is>
      </c>
      <c r="B1093" s="4" t="s">
        <f>=HYPERLINK("http://anyluxury.ru/shop/korporativnye-podarki/organayzery/dorozhniy-organayzer-apache-temnokorichneviy-343851/" , "3438.51 Дорожный органайзер Apache, темно-коричневый")</f>
      </c>
      <c r="C1093" s="4" t="n">
        <v>3100.00</v>
      </c>
      <c r="D1093" s="4"/>
    </row>
    <row collapsed="" customFormat="false" customHeight="1" hidden="" ht="14" outlineLevel="0" r="1094">
      <c r="A1094" s="3" t="inlineStr">
        <is>
          <t>1079</t>
        </is>
      </c>
      <c r="B1094" s="4" t="s">
        <f>=HYPERLINK("http://anyluxury.ru/shop/korporativnye-podarki/organayzery/dorozhniy-organayzer-nubuk-svetloseriy-1807911/" , "18079.11 Дорожный органайзер Nubuk, светло-серый")</f>
      </c>
      <c r="C1094" s="4" t="n">
        <v>1179.00</v>
      </c>
      <c r="D1094" s="4"/>
    </row>
    <row collapsed="" customFormat="false" customHeight="1" hidden="" ht="14" outlineLevel="0" r="1095">
      <c r="A1095" s="3" t="inlineStr">
        <is>
          <t>1080</t>
        </is>
      </c>
      <c r="B1095" s="4" t="s">
        <f>=HYPERLINK("http://anyluxury.ru/shop/korporativnye-podarki/organayzery/dorozhniy-organayzer-nubuk-siniy-1807940/" , "18079.40 Дорожный органайзер Nubuk, синий")</f>
      </c>
      <c r="C1095" s="4" t="n">
        <v>1179.00</v>
      </c>
      <c r="D1095" s="4"/>
    </row>
    <row collapsed="" customFormat="false" customHeight="1" hidden="" ht="14" outlineLevel="0" r="1096">
      <c r="A1096" s="3" t="inlineStr">
        <is>
          <t>1081</t>
        </is>
      </c>
      <c r="B1096" s="4" t="s">
        <f>=HYPERLINK("http://anyluxury.ru/shop/korporativnye-podarki/organayzery/dorozhniy-organayzer-nubuk-cherniy-1807930/" , "18079.30 Дорожный органайзер Nubuk, черный")</f>
      </c>
      <c r="C1096" s="4" t="n">
        <v>1179.00</v>
      </c>
      <c r="D1096" s="4"/>
    </row>
    <row collapsed="" customFormat="false" customHeight="1" hidden="" ht="14" outlineLevel="0" r="1097">
      <c r="A1097" s="3" t="inlineStr">
        <is>
          <t>1082</t>
        </is>
      </c>
      <c r="B1097" s="4" t="s">
        <f>=HYPERLINK("http://anyluxury.ru/shop/korporativnye-podarki/organayzery/organayzer-dlya-puteshestviy-petrus-krasniy-1553050/" , "15530.50 Органайзер для путешествий Petrus, красный")</f>
      </c>
      <c r="C1097" s="4" t="n">
        <v>1020.00</v>
      </c>
      <c r="D1097" s="4"/>
    </row>
    <row collapsed="" customFormat="false" customHeight="1" hidden="" ht="14" outlineLevel="0" r="1098">
      <c r="A1098" s="3" t="inlineStr">
        <is>
          <t>1083</t>
        </is>
      </c>
      <c r="B1098" s="4" t="s">
        <f>=HYPERLINK("http://anyluxury.ru/shop/korporativnye-podarki/organayzery/organayzer-dlya-puteshestviy-petrus-zeleniy-1553090/" , "15530.90 Органайзер для путешествий Petrus, зеленый")</f>
      </c>
      <c r="C1098" s="4" t="n">
        <v>1020.00</v>
      </c>
      <c r="D1098" s="4"/>
    </row>
    <row collapsed="" customFormat="false" customHeight="1" hidden="" ht="14" outlineLevel="0" r="1099">
      <c r="A1099" s="3" t="inlineStr">
        <is>
          <t>1084</t>
        </is>
      </c>
      <c r="B1099" s="4" t="s">
        <f>=HYPERLINK("http://anyluxury.ru/shop/korporativnye-podarki/organayzery/organayzer-dlya-puteshestviy-petrus-oranzheviy-1553020/" , "15530.20 Органайзер для путешествий Petrus, оранжевый")</f>
      </c>
      <c r="C1099" s="4" t="n">
        <v>1020.00</v>
      </c>
      <c r="D1099" s="4"/>
    </row>
    <row collapsed="" customFormat="false" customHeight="1" hidden="" ht="14" outlineLevel="0" r="1100">
      <c r="A1100" s="3" t="inlineStr">
        <is>
          <t>1085</t>
        </is>
      </c>
      <c r="B1100" s="4" t="s">
        <f>=HYPERLINK("http://anyluxury.ru/shop/korporativnye-podarki/organayzery/organayzer-dlya-puteshestviy-petrus-serogoluboy-1553014/" , "15530.14 Органайзер для путешествий Petrus, серо-голубой")</f>
      </c>
      <c r="C1100" s="4" t="n">
        <v>1020.00</v>
      </c>
      <c r="D1100" s="4"/>
    </row>
    <row collapsed="" customFormat="false" customHeight="1" hidden="" ht="14" outlineLevel="0" r="1101">
      <c r="A1101" s="3" t="inlineStr">
        <is>
          <t>1086</t>
        </is>
      </c>
      <c r="B1101" s="4" t="s">
        <f>=HYPERLINK("http://anyluxury.ru/shop/korporativnye-podarki/organayzery/organayzer-dlya-puteshestviy-petrus-siniy-1553040/" , "15530.40 Органайзер для путешествий Petrus, синий")</f>
      </c>
      <c r="C1101" s="4" t="n">
        <v>1020.00</v>
      </c>
      <c r="D1101" s="4"/>
    </row>
    <row collapsed="" customFormat="false" customHeight="1" hidden="" ht="14" outlineLevel="0" r="1102">
      <c r="A1102" s="3" t="inlineStr">
        <is>
          <t>1087</t>
        </is>
      </c>
      <c r="B1102" s="4" t="s">
        <f>=HYPERLINK("http://anyluxury.ru/shop/korporativnye-podarki/organayzery/organayzer-dlya-puteshestviy-petrus-seriy-1553010/" , "15530.10 Органайзер для путешествий Petrus, серый")</f>
      </c>
      <c r="C1102" s="4" t="n">
        <v>1020.00</v>
      </c>
      <c r="D1102" s="4"/>
    </row>
    <row collapsed="" customFormat="false" customHeight="1" hidden="" ht="14" outlineLevel="0" r="1103">
      <c r="A1103" s="3" t="inlineStr">
        <is>
          <t>1088</t>
        </is>
      </c>
      <c r="B1103" s="4" t="s">
        <f>=HYPERLINK("http://anyluxury.ru/shop/korporativnye-podarki/organayzery/organayzer-dlya-puteshestviy-alaska-cherniy-2102830/" , "21028.30 Органайзер для путешествий Alaska, черный")</f>
      </c>
      <c r="C1103" s="4" t="n">
        <v>2630.00</v>
      </c>
      <c r="D1103" s="4"/>
    </row>
    <row collapsed="" customFormat="false" customHeight="1" hidden="" ht="14" outlineLevel="0" r="1104">
      <c r="A1104" s="3" t="inlineStr">
        <is>
          <t>1089</t>
        </is>
      </c>
      <c r="B1104" s="4" t="s">
        <f>=HYPERLINK("http://anyluxury.ru/shop/korporativnye-podarki/organayzery/organayzer-dlya-puteshestviy-alaska-siniy-2102840/" , "21028.40 Органайзер для путешествий Alaska, синий")</f>
      </c>
      <c r="C1104" s="4" t="n">
        <v>2630.00</v>
      </c>
      <c r="D1104" s="4"/>
    </row>
    <row collapsed="" customFormat="false" customHeight="1" hidden="" ht="14" outlineLevel="0" r="1105">
      <c r="A1105" s="3" t="inlineStr">
        <is>
          <t>1090</t>
        </is>
      </c>
      <c r="B1105" s="4" t="s">
        <f>=HYPERLINK("http://anyluxury.ru/shop/korporativnye-podarki/organayzery/organayzer-dlya-puteshestviy-alaska-seriy-2102811/" , "21028.11 Органайзер для путешествий Alaska, серый")</f>
      </c>
      <c r="C1105" s="4" t="n">
        <v>2630.00</v>
      </c>
      <c r="D1105" s="4"/>
    </row>
    <row collapsed="" customFormat="false" customHeight="" hidden="" ht="12.1" outlineLevel="0" r="1106">
      <c r="A1106" s="5" t="inlineStr">
        <is>
          <t> -  - Папки, портфели</t>
        </is>
      </c>
      <c r="B1106" s="6"/>
      <c r="C1106" s="6"/>
      <c r="D1106" s="6"/>
    </row>
    <row collapsed="" customFormat="false" customHeight="1" hidden="" ht="14" outlineLevel="0" r="1107">
      <c r="A1107" s="3" t="inlineStr">
        <is>
          <t>1091</t>
        </is>
      </c>
      <c r="B1107" s="4" t="s">
        <f>=HYPERLINK("http://anyluxury.ru/shop/korporativnye-podarki/papki-portfeli/papka-meisterst-ck-na-molnii/" , "114521 Папка Meisterstück на молнии")</f>
      </c>
      <c r="C1107" s="4" t="n">
        <v>40900.00</v>
      </c>
      <c r="D1107" s="4"/>
    </row>
    <row collapsed="" customFormat="false" customHeight="1" hidden="" ht="14" outlineLevel="0" r="1108">
      <c r="A1108" s="3" t="inlineStr">
        <is>
          <t>1092</t>
        </is>
      </c>
      <c r="B1108" s="4" t="s">
        <f>=HYPERLINK("http://anyluxury.ru/shop/korporativnye-podarki/papki-portfeli/papka-meisterst-ck-na-molnii-1/" , "114519 Папка Meisterstück на молнии")</f>
      </c>
      <c r="C1108" s="4" t="n">
        <v>40900.00</v>
      </c>
      <c r="D1108" s="4"/>
    </row>
    <row collapsed="" customFormat="false" customHeight="1" hidden="" ht="14" outlineLevel="0" r="1109">
      <c r="A1109" s="3" t="inlineStr">
        <is>
          <t>1093</t>
        </is>
      </c>
      <c r="B1109" s="4" t="s">
        <f>=HYPERLINK("http://anyluxury.ru/shop/korporativnye-podarki/papki-portfeli/organayzer-s-besprovodnoy-zaryadkoy-kyoto-cherniy-p773971/" , "P773.971 Органайзер с беспроводной зарядкой Kyoto, черный")</f>
      </c>
      <c r="C1109" s="4" t="n">
        <v>7270.00</v>
      </c>
      <c r="D1109" s="4"/>
    </row>
    <row collapsed="" customFormat="false" customHeight="1" hidden="" ht="14" outlineLevel="0" r="1110">
      <c r="A1110" s="3" t="inlineStr">
        <is>
          <t>1094</t>
        </is>
      </c>
      <c r="B1110" s="4" t="s">
        <f>=HYPERLINK("http://anyluxury.ru/shop/korporativnye-podarki/papki-portfeli/papka-dlya-dokumentov-deluxe-p772981/" , "P772.981 Папка для документов Deluxe")</f>
      </c>
      <c r="C1110" s="4" t="n">
        <v>1634.00</v>
      </c>
      <c r="D1110" s="4"/>
    </row>
    <row collapsed="" customFormat="false" customHeight="1" hidden="" ht="14" outlineLevel="0" r="1111">
      <c r="A1111" s="3" t="inlineStr">
        <is>
          <t>1095</t>
        </is>
      </c>
      <c r="B1111" s="4" t="s">
        <f>=HYPERLINK("http://anyluxury.ru/shop/korporativnye-podarki/papki-portfeli/papka-sobreiro-formata-a4-c-bloknotom-691000/" , "6910.00 Папка Sobreiro формата А4 c блокнотом")</f>
      </c>
      <c r="C1111" s="4" t="n">
        <v>1587.00</v>
      </c>
      <c r="D1111" s="4"/>
    </row>
    <row collapsed="" customFormat="false" customHeight="1" hidden="" ht="14" outlineLevel="0" r="1112">
      <c r="A1112" s="3" t="inlineStr">
        <is>
          <t>1096</t>
        </is>
      </c>
      <c r="B1112" s="4" t="s">
        <f>=HYPERLINK("http://anyluxury.ru/shop/korporativnye-podarki/papki-portfeli/papka-luxe-sinyaya-721340/" , "7213.40 Папка адресная Luxe, синяя")</f>
      </c>
      <c r="C1112" s="4" t="n">
        <v>6200.00</v>
      </c>
      <c r="D1112" s="4"/>
    </row>
    <row collapsed="" customFormat="false" customHeight="1" hidden="" ht="14" outlineLevel="0" r="1113">
      <c r="A1113" s="3" t="inlineStr">
        <is>
          <t>1097</t>
        </is>
      </c>
      <c r="B1113" s="4" t="s">
        <f>=HYPERLINK("http://anyluxury.ru/shop/korporativnye-podarki/papki-portfeli/papka-luxe-chernaya-721330/" , "7213.30 Папка адресная Luxe, черная")</f>
      </c>
      <c r="C1113" s="4" t="n">
        <v>6200.00</v>
      </c>
      <c r="D1113" s="4"/>
    </row>
    <row collapsed="" customFormat="false" customHeight="1" hidden="" ht="14" outlineLevel="0" r="1114">
      <c r="A1114" s="3" t="inlineStr">
        <is>
          <t>1098</t>
        </is>
      </c>
      <c r="B1114" s="4" t="s">
        <f>=HYPERLINK("http://anyluxury.ru/shop/korporativnye-podarki/papki-portfeli/papka-s-bloknotom-visitor-sinyaya-695740/" , "6957.40 Папка с блокнотом Visitor, синяя")</f>
      </c>
      <c r="C1114" s="4" t="n">
        <v>680.00</v>
      </c>
      <c r="D1114" s="4"/>
    </row>
    <row collapsed="" customFormat="false" customHeight="1" hidden="" ht="14" outlineLevel="0" r="1115">
      <c r="A1115" s="3" t="inlineStr">
        <is>
          <t>1099</t>
        </is>
      </c>
      <c r="B1115" s="4" t="s">
        <f>=HYPERLINK("http://anyluxury.ru/shop/korporativnye-podarki/papki-portfeli/karta-vin-satiness-chernaya-791430/" , "7914.30 Карта вин Satiness, черная")</f>
      </c>
      <c r="C1115" s="4" t="n">
        <v>1294.00</v>
      </c>
      <c r="D1115" s="4"/>
    </row>
    <row collapsed="" customFormat="false" customHeight="1" hidden="" ht="14" outlineLevel="0" r="1116">
      <c r="A1116" s="3" t="inlineStr">
        <is>
          <t>1100</t>
        </is>
      </c>
      <c r="B1116" s="4" t="s">
        <f>=HYPERLINK("http://anyluxury.ru/shop/korporativnye-podarki/papki-portfeli/karta-vin-satiness-bordovaya-791455/" , "7914.55 Карта вин Satiness, бордовая")</f>
      </c>
      <c r="C1116" s="4" t="n">
        <v>1294.00</v>
      </c>
      <c r="D1116" s="4"/>
    </row>
    <row collapsed="" customFormat="false" customHeight="1" hidden="" ht="14" outlineLevel="0" r="1117">
      <c r="A1117" s="3" t="inlineStr">
        <is>
          <t>1101</t>
        </is>
      </c>
      <c r="B1117" s="4" t="s">
        <f>=HYPERLINK("http://anyluxury.ru/shop/korporativnye-podarki/papki-portfeli/karta-vin-satiness-korichnevaya-791459/" , "7914.59 Карта вин Satiness, коричневая")</f>
      </c>
      <c r="C1117" s="4" t="n">
        <v>1294.00</v>
      </c>
      <c r="D1117" s="4"/>
    </row>
    <row collapsed="" customFormat="false" customHeight="1" hidden="" ht="14" outlineLevel="0" r="1118">
      <c r="A1118" s="3" t="inlineStr">
        <is>
          <t>1102</t>
        </is>
      </c>
      <c r="B1118" s="4" t="s">
        <f>=HYPERLINK("http://anyluxury.ru/shop/korporativnye-podarki/papki-portfeli/fayl-dlya-karti-vin-satiness-792300/" , "7923.00 Файл для карты вин Satiness")</f>
      </c>
      <c r="C1118" s="4" t="n">
        <v>165.00</v>
      </c>
      <c r="D1118" s="4"/>
    </row>
    <row collapsed="" customFormat="false" customHeight="1" hidden="" ht="14" outlineLevel="0" r="1119">
      <c r="A1119" s="3" t="inlineStr">
        <is>
          <t>1103</t>
        </is>
      </c>
      <c r="B1119" s="4" t="s">
        <f>=HYPERLINK("http://anyluxury.ru/shop/korporativnye-podarki/papki-portfeli/papka-adresnaya-nebraska-bordovaya-1150855/" , "11508.55 Папка адресная Nebraska, бордовая")</f>
      </c>
      <c r="C1119" s="4" t="n">
        <v>1560.00</v>
      </c>
      <c r="D1119" s="4"/>
    </row>
    <row collapsed="" customFormat="false" customHeight="1" hidden="" ht="14" outlineLevel="0" r="1120">
      <c r="A1120" s="3" t="inlineStr">
        <is>
          <t>1104</t>
        </is>
      </c>
      <c r="B1120" s="4" t="s">
        <f>=HYPERLINK("http://anyluxury.ru/shop/korporativnye-podarki/papki-portfeli/papka-italico-tuscania-chernaya-5203430/" , "52034.30 Папка Italico Tuscania, черная")</f>
      </c>
      <c r="C1120" s="4" t="n">
        <v>13680.00</v>
      </c>
      <c r="D1120" s="4"/>
    </row>
    <row collapsed="" customFormat="false" customHeight="1" hidden="" ht="14" outlineLevel="0" r="1121">
      <c r="A1121" s="3" t="inlineStr">
        <is>
          <t>1105</t>
        </is>
      </c>
      <c r="B1121" s="4" t="s">
        <f>=HYPERLINK("http://anyluxury.ru/shop/korporativnye-podarki/papki-portfeli/portfel-italico-tuscania-korichneviy-5203659/" , "52036.59 Портфель Italico Tuscania, коричневый")</f>
      </c>
      <c r="C1121" s="4" t="n">
        <v>33696.00</v>
      </c>
      <c r="D1121" s="4"/>
    </row>
    <row collapsed="" customFormat="false" customHeight="1" hidden="" ht="14" outlineLevel="0" r="1122">
      <c r="A1122" s="3" t="inlineStr">
        <is>
          <t>1106</t>
        </is>
      </c>
      <c r="B1122" s="4" t="s">
        <f>=HYPERLINK("http://anyluxury.ru/shop/korporativnye-podarki/papki-portfeli/portfel-italico-tuscania-s-otdeleniem-dlya-noutbuka-korichneviy-5204159/" , "52041.59 Портфель Italico Tuscania с отделением для ноутбука, коричневый")</f>
      </c>
      <c r="C1122" s="4" t="n">
        <v>31800.00</v>
      </c>
      <c r="D1122" s="4"/>
    </row>
    <row collapsed="" customFormat="false" customHeight="1" hidden="" ht="14" outlineLevel="0" r="1123">
      <c r="A1123" s="3" t="inlineStr">
        <is>
          <t>1107</t>
        </is>
      </c>
      <c r="B1123" s="4" t="s">
        <f>=HYPERLINK("http://anyluxury.ru/shop/korporativnye-podarki/papki-portfeli/papka-dlya-dokumentov-linen-chernaya-1151230/" , "11512.30 Папка для документов Linen, черная")</f>
      </c>
      <c r="C1123" s="4" t="n">
        <v>9258.00</v>
      </c>
      <c r="D1123" s="4"/>
    </row>
    <row collapsed="" customFormat="false" customHeight="1" hidden="" ht="14" outlineLevel="0" r="1124">
      <c r="A1124" s="3" t="inlineStr">
        <is>
          <t>1108</t>
        </is>
      </c>
      <c r="B1124" s="4" t="s">
        <f>=HYPERLINK("http://anyluxury.ru/shop/korporativnye-podarki/papki-portfeli/portfel-dlya-dokumentov-inserto-cherniy-5207330/" , "52073.30 Портфель для документов Inserto, черный")</f>
      </c>
      <c r="C1124" s="4" t="n">
        <v>21456.00</v>
      </c>
      <c r="D1124" s="4"/>
    </row>
    <row collapsed="" customFormat="false" customHeight="1" hidden="" ht="14" outlineLevel="0" r="1125">
      <c r="A1125" s="3" t="inlineStr">
        <is>
          <t>1109</t>
        </is>
      </c>
      <c r="B1125" s="4" t="s">
        <f>=HYPERLINK("http://anyluxury.ru/shop/korporativnye-podarki/papki-portfeli/papka-italico-korichnevaya-5207459/" , "52074.59 Папка Italico, коричневая")</f>
      </c>
      <c r="C1125" s="4" t="n">
        <v>10190.00</v>
      </c>
      <c r="D1125" s="4"/>
    </row>
    <row collapsed="" customFormat="false" customHeight="1" hidden="" ht="14" outlineLevel="0" r="1126">
      <c r="A1126" s="3" t="inlineStr">
        <is>
          <t>1110</t>
        </is>
      </c>
      <c r="B1126" s="4" t="s">
        <f>=HYPERLINK("http://anyluxury.ru/shop/korporativnye-podarki/papki-portfeli/portfel-italico-man-cherniy-5207530/" , "52075.30 Портфель Italico Man, черный")</f>
      </c>
      <c r="C1126" s="4" t="n">
        <v>27333.00</v>
      </c>
      <c r="D1126" s="4"/>
    </row>
    <row collapsed="" customFormat="false" customHeight="1" hidden="" ht="14" outlineLevel="0" r="1127">
      <c r="A1127" s="3" t="inlineStr">
        <is>
          <t>1111</t>
        </is>
      </c>
      <c r="B1127" s="4" t="s">
        <f>=HYPERLINK("http://anyluxury.ru/shop/korporativnye-podarki/papki-portfeli/portfel-italico-man-korichneviy-5207559/" , "52075.59 Портфель Italico Man, коричневый")</f>
      </c>
      <c r="C1127" s="4" t="n">
        <v>27333.00</v>
      </c>
      <c r="D1127" s="4"/>
    </row>
    <row collapsed="" customFormat="false" customHeight="1" hidden="" ht="14" outlineLevel="0" r="1128">
      <c r="A1128" s="3" t="inlineStr">
        <is>
          <t>1112</t>
        </is>
      </c>
      <c r="B1128" s="4" t="s">
        <f>=HYPERLINK("http://anyluxury.ru/shop/korporativnye-podarki/papki-portfeli/papka-tire-s-bloknotom-a4-chernaya-hta902/" , "HTA902 Папка Tire с блокнотом А4, черная")</f>
      </c>
      <c r="C1128" s="4" t="n">
        <v>9826.00</v>
      </c>
      <c r="D1128" s="4"/>
    </row>
    <row collapsed="" customFormat="false" customHeight="1" hidden="" ht="14" outlineLevel="0" r="1129">
      <c r="A1129" s="3" t="inlineStr">
        <is>
          <t>1113</t>
        </is>
      </c>
      <c r="B1129" s="4" t="s">
        <f>=HYPERLINK("http://anyluxury.ru/shop/korporativnye-podarki/papki-portfeli/papka-dlya-hraneniya-dokumentov-devon-maxi-seraya-1643210/" , "16432.10 Папка для хранения документов Devon Maxi, серая")</f>
      </c>
      <c r="C1129" s="4" t="n">
        <v>1900.00</v>
      </c>
      <c r="D1129" s="4"/>
    </row>
    <row collapsed="" customFormat="false" customHeight="1" hidden="" ht="14" outlineLevel="0" r="1130">
      <c r="A1130" s="3" t="inlineStr">
        <is>
          <t>1114</t>
        </is>
      </c>
      <c r="B1130" s="4" t="s">
        <f>=HYPERLINK("http://anyluxury.ru/shop/korporativnye-podarki/papki-portfeli/papkaplanshet-nebraska-sinyaya-1643340/" , "16433.40 Папка-планшет Nebraska, синяя")</f>
      </c>
      <c r="C1130" s="4" t="n">
        <v>995.00</v>
      </c>
      <c r="D1130" s="4"/>
    </row>
    <row collapsed="" customFormat="false" customHeight="1" hidden="" ht="14" outlineLevel="0" r="1131">
      <c r="A1131" s="3" t="inlineStr">
        <is>
          <t>1115</t>
        </is>
      </c>
      <c r="B1131" s="4" t="s">
        <f>=HYPERLINK("http://anyluxury.ru/shop/korporativnye-podarki/papki-portfeli/papkaplanshet-nebraska-chernaya-1643330/" , "16433.30 Папка-планшет Nebraska, черная")</f>
      </c>
      <c r="C1131" s="4" t="n">
        <v>995.00</v>
      </c>
      <c r="D1131" s="4"/>
    </row>
    <row collapsed="" customFormat="false" customHeight="1" hidden="" ht="14" outlineLevel="0" r="1132">
      <c r="A1132" s="3" t="inlineStr">
        <is>
          <t>1116</t>
        </is>
      </c>
      <c r="B1132" s="4" t="s">
        <f>=HYPERLINK("http://anyluxury.ru/shop/korporativnye-podarki/papki-portfeli/papka-duraclip-original-chernaya-1698630/" , "16986.30 Папка Duraclip Original, черная")</f>
      </c>
      <c r="C1132" s="4" t="n">
        <v>169.00</v>
      </c>
      <c r="D1132" s="4"/>
    </row>
    <row collapsed="" customFormat="false" customHeight="1" hidden="" ht="14" outlineLevel="0" r="1133">
      <c r="A1133" s="3" t="inlineStr">
        <is>
          <t>1117</t>
        </is>
      </c>
      <c r="B1133" s="4" t="s">
        <f>=HYPERLINK("http://anyluxury.ru/shop/korporativnye-podarki/papki-portfeli/papka-duraclip-original-krasnaya-1698650/" , "16986.50 Папка Duraclip Original, красная")</f>
      </c>
      <c r="C1133" s="4" t="n">
        <v>169.00</v>
      </c>
      <c r="D1133" s="4"/>
    </row>
    <row collapsed="" customFormat="false" customHeight="1" hidden="" ht="14" outlineLevel="0" r="1134">
      <c r="A1134" s="3" t="inlineStr">
        <is>
          <t>1118</t>
        </is>
      </c>
      <c r="B1134" s="4" t="s">
        <f>=HYPERLINK("http://anyluxury.ru/shop/korporativnye-podarki/papki-portfeli/papka-duraclip-original-belaya-1698660/" , "16986.60 Папка Duraclip Original, белая")</f>
      </c>
      <c r="C1134" s="4" t="n">
        <v>169.00</v>
      </c>
      <c r="D1134" s="4"/>
    </row>
    <row collapsed="" customFormat="false" customHeight="1" hidden="" ht="14" outlineLevel="0" r="1135">
      <c r="A1135" s="3" t="inlineStr">
        <is>
          <t>1119</t>
        </is>
      </c>
      <c r="B1135" s="4" t="s">
        <f>=HYPERLINK("http://anyluxury.ru/shop/korporativnye-podarki/papki-portfeli/papka-duraclip-original-zelenaya-1698699/" , "16986.99 Папка Duraclip Original, зеленая")</f>
      </c>
      <c r="C1135" s="4" t="n">
        <v>169.00</v>
      </c>
      <c r="D1135" s="4"/>
    </row>
    <row collapsed="" customFormat="false" customHeight="1" hidden="" ht="14" outlineLevel="0" r="1136">
      <c r="A1136" s="3" t="inlineStr">
        <is>
          <t>1120</t>
        </is>
      </c>
      <c r="B1136" s="4" t="s">
        <f>=HYPERLINK("http://anyluxury.ru/shop/korporativnye-podarki/papki-portfeli/papka-duraswing-color-seraya-s-oranzhevim-klipom-1698820/" , "16988.20 Папка Duraswing Color, серая с оранжевым клипом")</f>
      </c>
      <c r="C1136" s="4" t="n">
        <v>169.00</v>
      </c>
      <c r="D1136" s="4"/>
    </row>
    <row collapsed="" customFormat="false" customHeight="1" hidden="" ht="14" outlineLevel="0" r="1137">
      <c r="A1137" s="3" t="inlineStr">
        <is>
          <t>1121</t>
        </is>
      </c>
      <c r="B1137" s="4" t="s">
        <f>=HYPERLINK("http://anyluxury.ru/shop/korporativnye-podarki/papki-portfeli/papka-adresnaya-signature-bordovaya-1660155/" , "16601.55 Папка адресная Signature, бордовая")</f>
      </c>
      <c r="C1137" s="4" t="n">
        <v>6897.00</v>
      </c>
      <c r="D1137" s="4"/>
    </row>
    <row collapsed="" customFormat="false" customHeight="1" hidden="" ht="14" outlineLevel="0" r="1138">
      <c r="A1138" s="3" t="inlineStr">
        <is>
          <t>1122</t>
        </is>
      </c>
      <c r="B1138" s="4" t="s">
        <f>=HYPERLINK("http://anyluxury.ru/shop/korporativnye-podarki/papki-portfeli/papka-adresnaya-signature-chernaya-1660130/" , "16601.30 Папка адресная Signature, черная")</f>
      </c>
      <c r="C1138" s="4" t="n">
        <v>6879.00</v>
      </c>
      <c r="D1138" s="4"/>
    </row>
    <row collapsed="" customFormat="false" customHeight="1" hidden="" ht="14" outlineLevel="0" r="1139">
      <c r="A1139" s="3" t="inlineStr">
        <is>
          <t>1123</t>
        </is>
      </c>
      <c r="B1139" s="4" t="s">
        <f>=HYPERLINK("http://anyluxury.ru/shop/korporativnye-podarki/papki-portfeli/papka-s-prizhimom-expert-sinyaya-1414240/" , "14142.40 Папка с прижимом Expert, синяя")</f>
      </c>
      <c r="C1139" s="4" t="n">
        <v>62.00</v>
      </c>
      <c r="D1139" s="4"/>
    </row>
    <row collapsed="" customFormat="false" customHeight="1" hidden="" ht="14" outlineLevel="0" r="1140">
      <c r="A1140" s="3" t="inlineStr">
        <is>
          <t>1124</t>
        </is>
      </c>
      <c r="B1140" s="4" t="s">
        <f>=HYPERLINK("http://anyluxury.ru/shop/korporativnye-podarki/papki-portfeli/papka-s-prizhimom-expert-biryuzovaya-1414249/" , "14142.49 Папка с прижимом Expert, бирюзовая")</f>
      </c>
      <c r="C1140" s="4" t="n">
        <v>62.00</v>
      </c>
      <c r="D1140" s="4"/>
    </row>
    <row collapsed="" customFormat="false" customHeight="1" hidden="" ht="14" outlineLevel="0" r="1141">
      <c r="A1141" s="3" t="inlineStr">
        <is>
          <t>1125</t>
        </is>
      </c>
      <c r="B1141" s="4" t="s">
        <f>=HYPERLINK("http://anyluxury.ru/shop/korporativnye-podarki/papki-portfeli/papka-s-prizhimom-expert-krasnaya-1414250/" , "14142.50 Папка с прижимом Expert, красная")</f>
      </c>
      <c r="C1141" s="4" t="n">
        <v>62.00</v>
      </c>
      <c r="D1141" s="4"/>
    </row>
    <row collapsed="" customFormat="false" customHeight="1" hidden="" ht="14" outlineLevel="0" r="1142">
      <c r="A1142" s="3" t="inlineStr">
        <is>
          <t>1126</t>
        </is>
      </c>
      <c r="B1142" s="4" t="s">
        <f>=HYPERLINK("http://anyluxury.ru/shop/korporativnye-podarki/papki-portfeli/papka-s-faylami-expert-chernaya-1414330/" , "14143.30 Папка с файлами Expert, черная")</f>
      </c>
      <c r="C1142" s="4" t="n">
        <v>55.00</v>
      </c>
      <c r="D1142" s="4"/>
    </row>
    <row collapsed="" customFormat="false" customHeight="1" hidden="" ht="14" outlineLevel="0" r="1143">
      <c r="A1143" s="3" t="inlineStr">
        <is>
          <t>1127</t>
        </is>
      </c>
      <c r="B1143" s="4" t="s">
        <f>=HYPERLINK("http://anyluxury.ru/shop/korporativnye-podarki/papki-portfeli/papkaugolok-na-zakaz-canto-1891201/" , "18912.01 Папка-уголок на заказ Canto")</f>
      </c>
      <c r="C1143" s="4" t="n">
        <v>136.00</v>
      </c>
      <c r="D1143" s="4"/>
    </row>
    <row collapsed="" customFormat="false" customHeight="1" hidden="" ht="14" outlineLevel="0" r="1144">
      <c r="A1144" s="3" t="inlineStr">
        <is>
          <t>1128</t>
        </is>
      </c>
      <c r="B1144" s="4" t="s">
        <f>=HYPERLINK("http://anyluxury.ru/shop/korporativnye-podarki/papki-portfeli/papka-na-knopkah-na-zakaz-knapp-1891301/" , "18913.01 Папка на кнопках Knapp на заказ")</f>
      </c>
      <c r="C1144" s="4" t="n">
        <v>270.00</v>
      </c>
      <c r="D1144" s="4"/>
    </row>
    <row collapsed="" customFormat="false" customHeight="1" hidden="" ht="14" outlineLevel="0" r="1145">
      <c r="A1145" s="3" t="inlineStr">
        <is>
          <t>1129</t>
        </is>
      </c>
      <c r="B1145" s="4" t="s">
        <f>=HYPERLINK("http://anyluxury.ru/shop/korporativnye-podarki/papki-portfeli/papka-s-zamkom-cursore-na-zakaz-1891701/" , "18917.01 Папка с замком Cursore на заказ")</f>
      </c>
      <c r="C1145" s="4" t="n">
        <v>180.00</v>
      </c>
      <c r="D1145" s="4"/>
    </row>
    <row collapsed="" customFormat="false" customHeight="1" hidden="" ht="14" outlineLevel="0" r="1146">
      <c r="A1146" s="3" t="inlineStr">
        <is>
          <t>1130</t>
        </is>
      </c>
      <c r="B1146" s="4" t="s">
        <f>=HYPERLINK("http://anyluxury.ru/shop/korporativnye-podarki/papki-portfeli/papkaplanshet-saff-plus-iz-ekokozhi-na-zakaz-1891801/" , "18918.01 Папка-планшет Saff Plus из экокожи на заказ")</f>
      </c>
      <c r="C1146" s="4" t="n">
        <v>945.00</v>
      </c>
      <c r="D1146" s="4"/>
    </row>
    <row collapsed="" customFormat="false" customHeight="1" hidden="" ht="14" outlineLevel="0" r="1147">
      <c r="A1147" s="3" t="inlineStr">
        <is>
          <t>1131</t>
        </is>
      </c>
      <c r="B1147" s="4" t="s">
        <f>=HYPERLINK("http://anyluxury.ru/shop/korporativnye-podarki/papki-portfeli/papka-dlya-hraneniya-dokumentov-saff-plus-na-zakaz-1892001/" , "18920.01 Папка для хранения документов Devon Maxi Plus на заказ")</f>
      </c>
      <c r="C1147" s="4" t="n">
        <v>2640.00</v>
      </c>
      <c r="D1147" s="4"/>
    </row>
    <row collapsed="" customFormat="false" customHeight="1" hidden="" ht="14" outlineLevel="0" r="1148">
      <c r="A1148" s="3" t="inlineStr">
        <is>
          <t>1132</t>
        </is>
      </c>
      <c r="B1148" s="4" t="s">
        <f>=HYPERLINK("http://anyluxury.ru/shop/korporativnye-podarki/papki-portfeli/papka-dlya-konferenciy-signature-bordovaya-s-bezhevim-1402115/" , "14021.15 Папка для конференций Signature, бордовая")</f>
      </c>
      <c r="C1148" s="4" t="n">
        <v>6757.00</v>
      </c>
      <c r="D1148" s="4"/>
    </row>
    <row collapsed="" customFormat="false" customHeight="1" hidden="" ht="14" outlineLevel="0" r="1149">
      <c r="A1149" s="3" t="inlineStr">
        <is>
          <t>1133</t>
        </is>
      </c>
      <c r="B1149" s="4" t="s">
        <f>=HYPERLINK("http://anyluxury.ru/shop/korporativnye-podarki/papki-portfeli/papka-dlya-dokumentov-signature-sinyaya-s-golubim-1402244/" , "14022.44 Папка для документов Signature, синяя")</f>
      </c>
      <c r="C1149" s="4" t="n">
        <v>6590.00</v>
      </c>
      <c r="D1149" s="4"/>
    </row>
    <row collapsed="" customFormat="false" customHeight="1" hidden="" ht="14" outlineLevel="0" r="1150">
      <c r="A1150" s="3" t="inlineStr">
        <is>
          <t>1134</t>
        </is>
      </c>
      <c r="B1150" s="4" t="s">
        <f>=HYPERLINK("http://anyluxury.ru/shop/korporativnye-podarki/papki-portfeli/papka-adresnaya-nebraska-temnosinyaya-1150844/" , "11508.44 Папка адресная Nebraska, синяя")</f>
      </c>
      <c r="C1150" s="4" t="n">
        <v>1560.00</v>
      </c>
      <c r="D1150" s="4"/>
    </row>
    <row collapsed="" customFormat="false" customHeight="1" hidden="" ht="14" outlineLevel="0" r="1151">
      <c r="A1151" s="3" t="inlineStr">
        <is>
          <t>1135</t>
        </is>
      </c>
      <c r="B1151" s="4" t="s">
        <f>=HYPERLINK("http://anyluxury.ru/shop/korporativnye-podarki/papki-portfeli/papkaplanshet-devon-chernaya-1594130/" , "15941.30 Папка-планшет Devon, черная")</f>
      </c>
      <c r="C1151" s="4" t="n">
        <v>1161.00</v>
      </c>
      <c r="D1151" s="4"/>
    </row>
    <row collapsed="" customFormat="false" customHeight="1" hidden="" ht="14" outlineLevel="0" r="1152">
      <c r="A1152" s="3" t="inlineStr">
        <is>
          <t>1136</t>
        </is>
      </c>
      <c r="B1152" s="4" t="s">
        <f>=HYPERLINK("http://anyluxury.ru/shop/korporativnye-podarki/papki-portfeli/papkaplanshet-devon-sinyaya-1594140/" , "15941.40 Папка-планшет Devon, синяя")</f>
      </c>
      <c r="C1152" s="4" t="n">
        <v>1161.00</v>
      </c>
      <c r="D1152" s="4"/>
    </row>
    <row collapsed="" customFormat="false" customHeight="1" hidden="" ht="14" outlineLevel="0" r="1153">
      <c r="A1153" s="3" t="inlineStr">
        <is>
          <t>1137</t>
        </is>
      </c>
      <c r="B1153" s="4" t="s">
        <f>=HYPERLINK("http://anyluxury.ru/shop/korporativnye-podarki/papki-portfeli/papka-dlya-hraneniya-dokumentov-devon-maxi-sinyaya-16-faylov-1643244/" , "16432.44 Папка для хранения документов Devon Maxi, синяя")</f>
      </c>
      <c r="C1153" s="4" t="n">
        <v>1900.00</v>
      </c>
      <c r="D1153" s="4"/>
    </row>
    <row collapsed="" customFormat="false" customHeight="1" hidden="" ht="14" outlineLevel="0" r="1154">
      <c r="A1154" s="3" t="inlineStr">
        <is>
          <t>1138</t>
        </is>
      </c>
      <c r="B1154" s="4" t="s">
        <f>=HYPERLINK("http://anyluxury.ru/shop/korporativnye-podarki/papki-portfeli/papka-dlya-hraneniya-dokumentov-devon-maxi-krasnaya-16-faylov-1643255/" , "16432.55 Папка для хранения документов Devon Maxi, красная")</f>
      </c>
      <c r="C1154" s="4" t="n">
        <v>1900.00</v>
      </c>
      <c r="D1154" s="4"/>
    </row>
    <row collapsed="" customFormat="false" customHeight="1" hidden="" ht="14" outlineLevel="0" r="1155">
      <c r="A1155" s="3" t="inlineStr">
        <is>
          <t>1139</t>
        </is>
      </c>
      <c r="B1155" s="4" t="s">
        <f>=HYPERLINK("http://anyluxury.ru/shop/korporativnye-podarki/papki-portfeli/papka-adresnaya-signature-sinyaya-1660144/" , "16601.44 Папка адресная Signature, синяя")</f>
      </c>
      <c r="C1155" s="4" t="n">
        <v>6879.00</v>
      </c>
      <c r="D1155" s="4"/>
    </row>
    <row collapsed="" customFormat="false" customHeight="1" hidden="" ht="14" outlineLevel="0" r="1156">
      <c r="A1156" s="3" t="inlineStr">
        <is>
          <t>1140</t>
        </is>
      </c>
      <c r="B1156" s="4" t="s">
        <f>=HYPERLINK("http://anyluxury.ru/shop/korporativnye-podarki/papki-portfeli/papkaplanshet-dlya-bumag-petrus-temnosinyaya-1552940/" , "15529.40 Папка-планшет для бумаг Petrus, темно-синяя")</f>
      </c>
      <c r="C1156" s="4" t="n">
        <v>2850.00</v>
      </c>
      <c r="D1156" s="4"/>
    </row>
    <row collapsed="" customFormat="false" customHeight="1" hidden="" ht="14" outlineLevel="0" r="1157">
      <c r="A1157" s="3" t="inlineStr">
        <is>
          <t>1141</t>
        </is>
      </c>
      <c r="B1157" s="4" t="s">
        <f>=HYPERLINK("http://anyluxury.ru/shop/korporativnye-podarki/papki-portfeli/papka-adresnaya-nebraska-chernaya-1150833/" , "11508.33 Папка адресная Nebraska, черная")</f>
      </c>
      <c r="C1157" s="4" t="n">
        <v>1560.00</v>
      </c>
      <c r="D1157" s="4"/>
    </row>
    <row collapsed="" customFormat="false" customHeight="1" hidden="" ht="14" outlineLevel="0" r="1158">
      <c r="A1158" s="3" t="inlineStr">
        <is>
          <t>1142</t>
        </is>
      </c>
      <c r="B1158" s="4" t="s">
        <f>=HYPERLINK("http://anyluxury.ru/shop/korporativnye-podarki/papki-portfeli/papka-adresnaya-nebraska-zelenaya-1150899/" , "11508.99 Папка адресная Nebraska, зеленая")</f>
      </c>
      <c r="C1158" s="4" t="n">
        <v>1560.00</v>
      </c>
      <c r="D1158" s="4"/>
    </row>
    <row collapsed="" customFormat="false" customHeight="" hidden="" ht="12.1" outlineLevel="0" r="1159">
      <c r="A1159" s="5" t="inlineStr">
        <is>
          <t> -  - Подарочные книги</t>
        </is>
      </c>
      <c r="B1159" s="6"/>
      <c r="C1159" s="6"/>
      <c r="D1159" s="6"/>
    </row>
    <row collapsed="" customFormat="false" customHeight="1" hidden="" ht="14" outlineLevel="0" r="1160">
      <c r="A1160" s="3" t="inlineStr">
        <is>
          <t>1143</t>
        </is>
      </c>
      <c r="B1160" s="4" t="s">
        <f>=HYPERLINK("http://anyluxury.ru/shop/korporativnye-podarki/podarochnye-knigi/otkritka-iz-serii-hod-konem-z16033/" , "Z16033 Открытка из серии «Ход конем» ")</f>
      </c>
      <c r="C1160" s="4" t="n">
        <v>152.00</v>
      </c>
      <c r="D1160" s="4"/>
    </row>
    <row collapsed="" customFormat="false" customHeight="1" hidden="" ht="14" outlineLevel="0" r="1161">
      <c r="A1161" s="3" t="inlineStr">
        <is>
          <t>1144</t>
        </is>
      </c>
      <c r="B1161" s="4" t="s">
        <f>=HYPERLINK("http://anyluxury.ru/shop/korporativnye-podarki/podarochnye-knigi/kniga-rossiya-simvoli-vlasti-3396/" , "3396 Книга «Россия. Символы власти», серебряный обрез")</f>
      </c>
      <c r="C1161" s="4" t="n">
        <v>14855.00</v>
      </c>
      <c r="D1161" s="4"/>
    </row>
    <row collapsed="" customFormat="false" customHeight="1" hidden="" ht="14" outlineLevel="0" r="1162">
      <c r="A1162" s="3" t="inlineStr">
        <is>
          <t>1145</t>
        </is>
      </c>
      <c r="B1162" s="4" t="s">
        <f>=HYPERLINK("http://anyluxury.ru/shop/korporativnye-podarki/podarochnye-knigi/kniga-kofeman-10345/" , "10345 Книга «Кофеман»")</f>
      </c>
      <c r="C1162" s="4" t="n">
        <v>640.00</v>
      </c>
      <c r="D1162" s="4"/>
    </row>
    <row collapsed="" customFormat="false" customHeight="1" hidden="" ht="14" outlineLevel="0" r="1163">
      <c r="A1163" s="3" t="inlineStr">
        <is>
          <t>1146</t>
        </is>
      </c>
      <c r="B1163" s="4" t="s">
        <f>=HYPERLINK("http://anyluxury.ru/shop/korporativnye-podarki/podarochnye-knigi/kniga-lagom-shvedskie-sekreti-schastlivoy-zhizni-10350/" , "10350 Книга «Лагом. Шведские секреты счастливой жизни»")</f>
      </c>
      <c r="C1163" s="4" t="n">
        <v>751.00</v>
      </c>
      <c r="D1163" s="4"/>
    </row>
    <row collapsed="" customFormat="false" customHeight="1" hidden="" ht="14" outlineLevel="0" r="1164">
      <c r="A1164" s="3" t="inlineStr">
        <is>
          <t>1147</t>
        </is>
      </c>
      <c r="B1164" s="4" t="s">
        <f>=HYPERLINK("http://anyluxury.ru/shop/korporativnye-podarki/podarochnye-knigi/kniga-letopis-dvuh-stolic-1017/" , "1017 Книга «Летопись двух столиц»")</f>
      </c>
      <c r="C1164" s="4" t="n">
        <v>24900.00</v>
      </c>
      <c r="D1164" s="4"/>
    </row>
    <row collapsed="" customFormat="false" customHeight="1" hidden="" ht="14" outlineLevel="0" r="1165">
      <c r="A1165" s="3" t="inlineStr">
        <is>
          <t>1148</t>
        </is>
      </c>
      <c r="B1165" s="4" t="s">
        <f>=HYPERLINK("http://anyluxury.ru/shop/korporativnye-podarki/podarochnye-knigi/kniga-istoriya-moskvi-708/" , "708 Книга «История Москвы»")</f>
      </c>
      <c r="C1165" s="4" t="n">
        <v>14900.00</v>
      </c>
      <c r="D1165" s="4"/>
    </row>
    <row collapsed="" customFormat="false" customHeight="1" hidden="" ht="14" outlineLevel="0" r="1166">
      <c r="A1166" s="3" t="inlineStr">
        <is>
          <t>1149</t>
        </is>
      </c>
      <c r="B1166" s="4" t="s">
        <f>=HYPERLINK("http://anyluxury.ru/shop/korporativnye-podarki/podarochnye-knigi/kniga-istoriya-rossiyskogo-flota-3722/" , "3722 Книга «История Российского флота»")</f>
      </c>
      <c r="C1166" s="4" t="n">
        <v>14900.00</v>
      </c>
      <c r="D1166" s="4"/>
    </row>
    <row collapsed="" customFormat="false" customHeight="1" hidden="" ht="14" outlineLevel="0" r="1167">
      <c r="A1167" s="3" t="inlineStr">
        <is>
          <t>1150</t>
        </is>
      </c>
      <c r="B1167" s="4" t="s">
        <f>=HYPERLINK("http://anyluxury.ru/shop/korporativnye-podarki/podarochnye-knigi/kniga-zolotoe-kolco-istoriya-gorodov-3723/" , "3723 Книга «Золотое кольцо. История городов»")</f>
      </c>
      <c r="C1167" s="4" t="n">
        <v>14900.00</v>
      </c>
      <c r="D1167" s="4"/>
    </row>
    <row collapsed="" customFormat="false" customHeight="1" hidden="" ht="14" outlineLevel="0" r="1168">
      <c r="A1168" s="3" t="inlineStr">
        <is>
          <t>1151</t>
        </is>
      </c>
      <c r="B1168" s="4" t="s">
        <f>=HYPERLINK("http://anyluxury.ru/shop/korporativnye-podarki/podarochnye-knigi/kniga-moskva-i-moskvichi-5018/" , "5018 Книга «Москва и москвичи»")</f>
      </c>
      <c r="C1168" s="4" t="n">
        <v>60000.00</v>
      </c>
      <c r="D1168" s="4"/>
    </row>
    <row collapsed="" customFormat="false" customHeight="1" hidden="" ht="14" outlineLevel="0" r="1169">
      <c r="A1169" s="3" t="inlineStr">
        <is>
          <t>1152</t>
        </is>
      </c>
      <c r="B1169" s="4" t="s">
        <f>=HYPERLINK("http://anyluxury.ru/shop/korporativnye-podarki/podarochnye-knigi/kniga-peterburg-i-peterburzhci-5019/" , "5019 Книга «Петербург и петербуржцы»")</f>
      </c>
      <c r="C1169" s="4" t="n">
        <v>60000.00</v>
      </c>
      <c r="D1169" s="4"/>
    </row>
    <row collapsed="" customFormat="false" customHeight="1" hidden="" ht="14" outlineLevel="0" r="1170">
      <c r="A1170" s="3" t="inlineStr">
        <is>
          <t>1153</t>
        </is>
      </c>
      <c r="B1170" s="4" t="s">
        <f>=HYPERLINK("http://anyluxury.ru/shop/korporativnye-podarki/podarochnye-knigi/kniga-pro-noviy-god-5858/" , "5858 Книга «Про Новый год»")</f>
      </c>
      <c r="C1170" s="4" t="n">
        <v>9800.00</v>
      </c>
      <c r="D1170" s="4"/>
    </row>
    <row collapsed="" customFormat="false" customHeight="1" hidden="" ht="14" outlineLevel="0" r="1171">
      <c r="A1171" s="3" t="inlineStr">
        <is>
          <t>1154</t>
        </is>
      </c>
      <c r="B1171" s="4" t="s">
        <f>=HYPERLINK("http://anyluxury.ru/shop/korporativnye-podarki/podarochnye-knigi/kniga-goroda-velikoy-rossii-6636/" , "6636 Книга «Города великой России»")</f>
      </c>
      <c r="C1171" s="4" t="n">
        <v>14900.00</v>
      </c>
      <c r="D1171" s="4"/>
    </row>
    <row collapsed="" customFormat="false" customHeight="1" hidden="" ht="14" outlineLevel="0" r="1172">
      <c r="A1172" s="3" t="inlineStr">
        <is>
          <t>1155</t>
        </is>
      </c>
      <c r="B1172" s="4" t="s">
        <f>=HYPERLINK("http://anyluxury.ru/shop/korporativnye-podarki/podarochnye-knigi/kniga-dlya-zapisi-receptov-sireneviy-provans-7800370/" , "78003.70 Книга для записи рецептов «Сиреневый Прованс»")</f>
      </c>
      <c r="C1172" s="4" t="n">
        <v>380.00</v>
      </c>
      <c r="D1172" s="4"/>
    </row>
    <row collapsed="" customFormat="false" customHeight="1" hidden="" ht="14" outlineLevel="0" r="1173">
      <c r="A1173" s="3" t="inlineStr">
        <is>
          <t>1156</t>
        </is>
      </c>
      <c r="B1173" s="4" t="s">
        <f>=HYPERLINK("http://anyluxury.ru/shop/korporativnye-podarki/podarochnye-knigi/kniga-wine-folly-7800230/" , "78002.30 Книга Wine Folly")</f>
      </c>
      <c r="C1173" s="4" t="n">
        <v>2393.00</v>
      </c>
      <c r="D1173" s="4"/>
    </row>
    <row collapsed="" customFormat="false" customHeight="1" hidden="" ht="14" outlineLevel="0" r="1174">
      <c r="A1174" s="3" t="inlineStr">
        <is>
          <t>1157</t>
        </is>
      </c>
      <c r="B1174" s="4" t="s">
        <f>=HYPERLINK("http://anyluxury.ru/shop/korporativnye-podarki/podarochnye-knigi/kniga-dlya-zapisi-receptov-rozovaya-burgundiya-7800315/" , "78003.15 Книга для записи рецептов «Розовая Бургундия»")</f>
      </c>
      <c r="C1174" s="4" t="n">
        <v>380.00</v>
      </c>
      <c r="D1174" s="4"/>
    </row>
    <row collapsed="" customFormat="false" customHeight="1" hidden="" ht="14" outlineLevel="0" r="1175">
      <c r="A1175" s="3" t="inlineStr">
        <is>
          <t>1158</t>
        </is>
      </c>
      <c r="B1175" s="4" t="s">
        <f>=HYPERLINK("http://anyluxury.ru/shop/korporativnye-podarki/podarochnye-knigi/komplekt-knig-aforizmi-vidayushhihsya-lyudey-ver2-417500/" , "4175.00 Комплект книг «Афоризмы выдающихся людей», ver.2")</f>
      </c>
      <c r="C1175" s="4" t="n">
        <v>5460.00</v>
      </c>
      <c r="D1175" s="4"/>
    </row>
    <row collapsed="" customFormat="false" customHeight="1" hidden="" ht="14" outlineLevel="0" r="1176">
      <c r="A1176" s="3" t="inlineStr">
        <is>
          <t>1159</t>
        </is>
      </c>
      <c r="B1176" s="4" t="s">
        <f>=HYPERLINK("http://anyluxury.ru/shop/korporativnye-podarki/podarochnye-knigi/kniga-aforizmi-mudrosti-6811450/" , "68114.50 Книга «Афоризмы мудрости»")</f>
      </c>
      <c r="C1176" s="4" t="n">
        <v>16895.00</v>
      </c>
      <c r="D1176" s="4"/>
    </row>
    <row collapsed="" customFormat="false" customHeight="1" hidden="" ht="14" outlineLevel="0" r="1177">
      <c r="A1177" s="3" t="inlineStr">
        <is>
          <t>1160</t>
        </is>
      </c>
      <c r="B1177" s="4" t="s">
        <f>=HYPERLINK("http://anyluxury.ru/shop/korporativnye-podarki/podarochnye-knigi/kniga-goroda-rossii-6811555/" , "68115.55 Книга «Города России»")</f>
      </c>
      <c r="C1177" s="4" t="n">
        <v>16895.00</v>
      </c>
      <c r="D1177" s="4"/>
    </row>
    <row collapsed="" customFormat="false" customHeight="1" hidden="" ht="14" outlineLevel="0" r="1178">
      <c r="A1178" s="3" t="inlineStr">
        <is>
          <t>1161</t>
        </is>
      </c>
      <c r="B1178" s="4" t="s">
        <f>=HYPERLINK("http://anyluxury.ru/shop/korporativnye-podarki/podarochnye-knigi/kniga-zolotaya-kniga-russkoy-kulturi-6811650/" , "68116.50 Книга «Золотая книга русской культуры»")</f>
      </c>
      <c r="C1178" s="4" t="n">
        <v>16895.00</v>
      </c>
      <c r="D1178" s="4"/>
    </row>
    <row collapsed="" customFormat="false" customHeight="1" hidden="" ht="14" outlineLevel="0" r="1179">
      <c r="A1179" s="3" t="inlineStr">
        <is>
          <t>1162</t>
        </is>
      </c>
      <c r="B1179" s="4" t="s">
        <f>=HYPERLINK("http://anyluxury.ru/shop/korporativnye-podarki/podarochnye-knigi/nabor-otkritok-ya-tozhe-tak-mogu-68009500/" , "680095.00 Набор открыток «Я тоже так могу»")</f>
      </c>
      <c r="C1179" s="4" t="n">
        <v>140.00</v>
      </c>
      <c r="D1179" s="4"/>
    </row>
    <row collapsed="" customFormat="false" customHeight="1" hidden="" ht="14" outlineLevel="0" r="1180">
      <c r="A1180" s="3" t="inlineStr">
        <is>
          <t>1163</t>
        </is>
      </c>
      <c r="B1180" s="4" t="s">
        <f>=HYPERLINK("http://anyluxury.ru/shop/korporativnye-podarki/podarochnye-knigi/kniga-tainstvenniy-sad-1512800/" , "15128.00 Книга «Таинственный сад»")</f>
      </c>
      <c r="C1180" s="4" t="n">
        <v>717.00</v>
      </c>
      <c r="D1180" s="4"/>
    </row>
    <row collapsed="" customFormat="false" customHeight="1" hidden="" ht="14" outlineLevel="0" r="1181">
      <c r="A1181" s="3" t="inlineStr">
        <is>
          <t>1164</t>
        </is>
      </c>
      <c r="B1181" s="4" t="s">
        <f>=HYPERLINK("http://anyluxury.ru/shop/korporativnye-podarki/podarochnye-knigi/kniga-sam-sebe-barmen-1512900/" , "15129.00 Книга «Сам себе бармен»")</f>
      </c>
      <c r="C1181" s="4" t="n">
        <v>960.00</v>
      </c>
      <c r="D1181" s="4"/>
    </row>
    <row collapsed="" customFormat="false" customHeight="1" hidden="" ht="14" outlineLevel="0" r="1182">
      <c r="A1182" s="3" t="inlineStr">
        <is>
          <t>1165</t>
        </is>
      </c>
      <c r="B1182" s="4" t="s">
        <f>=HYPERLINK("http://anyluxury.ru/shop/korporativnye-podarki/podarochnye-knigi/kniga-pro-vino-1513000/" , "15130.00 Книга «Про вино»")</f>
      </c>
      <c r="C1182" s="4" t="n">
        <v>1185.00</v>
      </c>
      <c r="D1182" s="4"/>
    </row>
    <row collapsed="" customFormat="false" customHeight="1" hidden="" ht="14" outlineLevel="0" r="1183">
      <c r="A1183" s="3" t="inlineStr">
        <is>
          <t>1166</t>
        </is>
      </c>
      <c r="B1183" s="4" t="s">
        <f>=HYPERLINK("http://anyluxury.ru/shop/korporativnye-podarki/podarochnye-knigi/kniga-pasta-a-eshhe-lazanya-ravioli-i-kannelloni-1513100/" , "15131.00 Книга «Паста, а еще лазанья, равиоли и каннеллони»")</f>
      </c>
      <c r="C1183" s="4" t="n">
        <v>600.00</v>
      </c>
      <c r="D1183" s="4"/>
    </row>
    <row collapsed="" customFormat="false" customHeight="1" hidden="" ht="14" outlineLevel="0" r="1184">
      <c r="A1184" s="3" t="inlineStr">
        <is>
          <t>1167</t>
        </is>
      </c>
      <c r="B1184" s="4" t="s">
        <f>=HYPERLINK("http://anyluxury.ru/shop/korporativnye-podarki/podarochnye-knigi/kniga-vino-prosto-1513200/" , "15132.00 Книга «Вино просто»")</f>
      </c>
      <c r="C1184" s="4" t="n">
        <v>1530.00</v>
      </c>
      <c r="D1184" s="4"/>
    </row>
    <row collapsed="" customFormat="false" customHeight="1" hidden="" ht="14" outlineLevel="0" r="1185">
      <c r="A1185" s="3" t="inlineStr">
        <is>
          <t>1168</t>
        </is>
      </c>
      <c r="B1185" s="4" t="s">
        <f>=HYPERLINK("http://anyluxury.ru/shop/korporativnye-podarki/podarochnye-knigi/kniga-simplissime-samaya-prostaya-kulinarnaya-kniga-1513300/" , "15133.00 Книга «Simplissime: Самая простая кулинарная книга»")</f>
      </c>
      <c r="C1185" s="4" t="n">
        <v>1530.00</v>
      </c>
      <c r="D1185" s="4"/>
    </row>
    <row collapsed="" customFormat="false" customHeight="1" hidden="" ht="14" outlineLevel="0" r="1186">
      <c r="A1186" s="3" t="inlineStr">
        <is>
          <t>1169</t>
        </is>
      </c>
      <c r="B1186" s="4" t="s">
        <f>=HYPERLINK("http://anyluxury.ru/shop/korporativnye-podarki/podarochnye-knigi/kniga-vinniy-ekspert-za-24-chasa-1513400/" , "15134.00 Книга «Винный эксперт за 24 часа»")</f>
      </c>
      <c r="C1186" s="4" t="n">
        <v>530.00</v>
      </c>
      <c r="D1186" s="4"/>
    </row>
    <row collapsed="" customFormat="false" customHeight="1" hidden="" ht="14" outlineLevel="0" r="1187">
      <c r="A1187" s="3" t="inlineStr">
        <is>
          <t>1170</t>
        </is>
      </c>
      <c r="B1187" s="4" t="s">
        <f>=HYPERLINK("http://anyluxury.ru/shop/korporativnye-podarki/podarochnye-knigi/kniga-sirniy-atlas-gurmana-1513500/" , "15135.00 Книга «Сырный атлас гурмана»")</f>
      </c>
      <c r="C1187" s="4" t="n">
        <v>1530.00</v>
      </c>
      <c r="D1187" s="4"/>
    </row>
    <row collapsed="" customFormat="false" customHeight="1" hidden="" ht="14" outlineLevel="0" r="1188">
      <c r="A1188" s="3" t="inlineStr">
        <is>
          <t>1171</t>
        </is>
      </c>
      <c r="B1188" s="4" t="s">
        <f>=HYPERLINK("http://anyluxury.ru/shop/korporativnye-podarki/podarochnye-knigi/kniga-bolshaya-kniga-o-prirode-v-kartinkah-1513600/" , "15136.00 Книга «Большая книга о природе в картинках»")</f>
      </c>
      <c r="C1188" s="4" t="n">
        <v>770.00</v>
      </c>
      <c r="D1188" s="4"/>
    </row>
    <row collapsed="" customFormat="false" customHeight="" hidden="" ht="12.1" outlineLevel="0" r="1189">
      <c r="A1189" s="5" t="inlineStr">
        <is>
          <t> -  - Портмоне и зажимы для денег</t>
        </is>
      </c>
      <c r="B1189" s="6"/>
      <c r="C1189" s="6"/>
      <c r="D1189" s="6"/>
    </row>
    <row collapsed="" customFormat="false" customHeight="1" hidden="" ht="14" outlineLevel="0" r="1190">
      <c r="A1190" s="3" t="inlineStr">
        <is>
          <t>1172</t>
        </is>
      </c>
      <c r="B1190" s="4" t="s">
        <f>=HYPERLINK("http://anyluxury.ru/shop/korporativnye-podarki/portmone-i-zazhimy-dlya-deneg/bumazhnik-6cc-urban-racing-spirit/" , "118713 Бумажник 6cc Urban Racing Spirit")</f>
      </c>
      <c r="C1190" s="4" t="n">
        <v>20100.00</v>
      </c>
      <c r="D1190" s="4"/>
    </row>
    <row collapsed="" customFormat="false" customHeight="1" hidden="" ht="14" outlineLevel="0" r="1191">
      <c r="A1191" s="3" t="inlineStr">
        <is>
          <t>1173</t>
        </is>
      </c>
      <c r="B1191" s="4" t="s">
        <f>=HYPERLINK("http://anyluxury.ru/shop/korporativnye-podarki/portmone-i-zazhimy-dlya-deneg/zazhim-dlya-banknot-4810-westside/" , "116395 Зажим для банкнот 4810 Westside")</f>
      </c>
      <c r="C1191" s="4" t="n">
        <v>6700.00</v>
      </c>
      <c r="D1191" s="4"/>
    </row>
    <row collapsed="" customFormat="false" customHeight="1" hidden="" ht="14" outlineLevel="0" r="1192">
      <c r="A1192" s="3" t="inlineStr">
        <is>
          <t>1174</t>
        </is>
      </c>
      <c r="B1192" s="4" t="s">
        <f>=HYPERLINK("http://anyluxury.ru/shop/korporativnye-podarki/portmone-i-zazhimy-dlya-deneg/bumazhnik-6cc-1926-montblanc-heritage-so-semnym-otdeleniem-dlya-kart/" , "116818 Бумажник 6cc 1926 Montblanc Heritage со съемным отделением для карт")</f>
      </c>
      <c r="C1192" s="4" t="n">
        <v>25700.00</v>
      </c>
      <c r="D1192" s="4"/>
    </row>
    <row collapsed="" customFormat="false" customHeight="1" hidden="" ht="14" outlineLevel="0" r="1193">
      <c r="A1193" s="3" t="inlineStr">
        <is>
          <t>1175</t>
        </is>
      </c>
      <c r="B1193" s="4" t="s">
        <f>=HYPERLINK("http://anyluxury.ru/shop/korporativnye-podarki/portmone-i-zazhimy-dlya-deneg/birka-na-chemodan-promo-70-h-120-mm-iskusstvennaya-kozha-birkapromob/" , "BIRKA-PROMO-B Бирка на чемодан PROMO, 70 х 120 мм, искусственная кожа")</f>
      </c>
      <c r="C1193" s="4" t="n">
        <v>193.00</v>
      </c>
      <c r="D1193" s="4"/>
    </row>
    <row collapsed="" customFormat="false" customHeight="1" hidden="" ht="14" outlineLevel="0" r="1194">
      <c r="A1194" s="3" t="inlineStr">
        <is>
          <t>1176</t>
        </is>
      </c>
      <c r="B1194" s="4" t="s">
        <f>=HYPERLINK("http://anyluxury.ru/shop/korporativnye-podarki/portmone-i-zazhimy-dlya-deneg/treveller-road-120-h-240-mm-iskusstvennaya-kozha-travellerroadb/" , "TRAVELLER-ROAD-B Тревеллер ROAD, 120 х 240 мм, искусственная кожа")</f>
      </c>
      <c r="C1194" s="4" t="n">
        <v>871.00</v>
      </c>
      <c r="D1194" s="4"/>
    </row>
    <row collapsed="" customFormat="false" customHeight="1" hidden="" ht="14" outlineLevel="0" r="1195">
      <c r="A1195" s="3" t="inlineStr">
        <is>
          <t>1177</t>
        </is>
      </c>
      <c r="B1195" s="4" t="s">
        <f>=HYPERLINK("http://anyluxury.ru/shop/korporativnye-podarki/portmone-i-zazhimy-dlya-deneg/koshelek-salamander-seriy-675110/" , "6751.10 Кошелек Salamander, серый")</f>
      </c>
      <c r="C1195" s="4" t="n">
        <v>490.00</v>
      </c>
      <c r="D1195" s="4"/>
    </row>
    <row collapsed="" customFormat="false" customHeight="1" hidden="" ht="14" outlineLevel="0" r="1196">
      <c r="A1196" s="3" t="inlineStr">
        <is>
          <t>1178</t>
        </is>
      </c>
      <c r="B1196" s="4" t="s">
        <f>=HYPERLINK("http://anyluxury.ru/shop/korporativnye-podarki/portmone-i-zazhimy-dlya-deneg/portmone-security-korichnevoe-686655/" , "6866.55 Портмоне Security, коричневое")</f>
      </c>
      <c r="C1196" s="4" t="n">
        <v>1103.00</v>
      </c>
      <c r="D1196" s="4"/>
    </row>
    <row collapsed="" customFormat="false" customHeight="1" hidden="" ht="14" outlineLevel="0" r="1197">
      <c r="A1197" s="3" t="inlineStr">
        <is>
          <t>1179</t>
        </is>
      </c>
      <c r="B1197" s="4" t="s">
        <f>=HYPERLINK("http://anyluxury.ru/shop/korporativnye-podarki/portmone-i-zazhimy-dlya-deneg/portmone-dandy-krasnoe-733950/" , "7339.50 Портмоне Dandy, красное")</f>
      </c>
      <c r="C1197" s="4" t="n">
        <v>998.00</v>
      </c>
      <c r="D1197" s="4"/>
    </row>
    <row collapsed="" customFormat="false" customHeight="1" hidden="" ht="14" outlineLevel="0" r="1198">
      <c r="A1198" s="3" t="inlineStr">
        <is>
          <t>1180</t>
        </is>
      </c>
      <c r="B1198" s="4" t="s">
        <f>=HYPERLINK("http://anyluxury.ru/shop/korporativnye-podarki/portmone-i-zazhimy-dlya-deneg/zazhim-dlya-banknot-giorgio-cherniy-z5409330/" , "Z54093.30 Зажим для банкнот Giorgio, черный")</f>
      </c>
      <c r="C1198" s="4" t="n">
        <v>991.00</v>
      </c>
      <c r="D1198" s="4"/>
    </row>
    <row collapsed="" customFormat="false" customHeight="1" hidden="" ht="14" outlineLevel="0" r="1199">
      <c r="A1199" s="3" t="inlineStr">
        <is>
          <t>1181</t>
        </is>
      </c>
      <c r="B1199" s="4" t="s">
        <f>=HYPERLINK("http://anyluxury.ru/shop/korporativnye-podarki/portmone-i-zazhimy-dlya-deneg/portmone-belladonna-chernoe-698430/" , "6984.30 Портмоне Belladonna, черное")</f>
      </c>
      <c r="C1199" s="4" t="n">
        <v>3860.00</v>
      </c>
      <c r="D1199" s="4"/>
    </row>
    <row collapsed="" customFormat="false" customHeight="1" hidden="" ht="14" outlineLevel="0" r="1200">
      <c r="A1200" s="3" t="inlineStr">
        <is>
          <t>1182</t>
        </is>
      </c>
      <c r="B1200" s="4" t="s">
        <f>=HYPERLINK("http://anyluxury.ru/shop/korporativnye-podarki/portmone-i-zazhimy-dlya-deneg/koshelek-salamander-minimal-siniy-675240/" , "6752.40 Кошелек Salamander Minimal, синий")</f>
      </c>
      <c r="C1200" s="4" t="n">
        <v>607.00</v>
      </c>
      <c r="D1200" s="4"/>
    </row>
    <row collapsed="" customFormat="false" customHeight="1" hidden="" ht="14" outlineLevel="0" r="1201">
      <c r="A1201" s="3" t="inlineStr">
        <is>
          <t>1183</t>
        </is>
      </c>
      <c r="B1201" s="4" t="s">
        <f>=HYPERLINK("http://anyluxury.ru/shop/korporativnye-podarki/portmone-i-zazhimy-dlya-deneg/portmone-neatcase-korichnevoe-1344455/" , "13444.55 Портмоне neatCase, коричневое")</f>
      </c>
      <c r="C1201" s="4" t="n">
        <v>451.00</v>
      </c>
      <c r="D1201" s="4"/>
    </row>
    <row collapsed="" customFormat="false" customHeight="1" hidden="" ht="14" outlineLevel="0" r="1202">
      <c r="A1202" s="3" t="inlineStr">
        <is>
          <t>1184</t>
        </is>
      </c>
      <c r="B1202" s="4" t="s">
        <f>=HYPERLINK("http://anyluxury.ru/shop/korporativnye-podarki/portmone-i-zazhimy-dlya-deneg/portmone-neatcase-chernoe-1344430/" , "13444.30 Портмоне neatCase, черное")</f>
      </c>
      <c r="C1202" s="4" t="n">
        <v>451.00</v>
      </c>
      <c r="D1202" s="4"/>
    </row>
    <row collapsed="" customFormat="false" customHeight="1" hidden="" ht="14" outlineLevel="0" r="1203">
      <c r="A1203" s="3" t="inlineStr">
        <is>
          <t>1185</t>
        </is>
      </c>
      <c r="B1203" s="4" t="s">
        <f>=HYPERLINK("http://anyluxury.ru/shop/korporativnye-podarki/portmone-i-zazhimy-dlya-deneg/portmone-cardleone-11358/" , "11358 Портмоне CardLeone")</f>
      </c>
      <c r="C1203" s="4" t="n">
        <v>2400.00</v>
      </c>
      <c r="D1203" s="4"/>
    </row>
    <row collapsed="" customFormat="false" customHeight="1" hidden="" ht="14" outlineLevel="0" r="1204">
      <c r="A1204" s="3" t="inlineStr">
        <is>
          <t>1186</t>
        </is>
      </c>
      <c r="B1204" s="4" t="s">
        <f>=HYPERLINK("http://anyluxury.ru/shop/korporativnye-podarki/portmone-i-zazhimy-dlya-deneg/zazhim-dlya-kupyur-apache-cherniy-343630/" , "3436.30 Зажим для купюр Apache, черный")</f>
      </c>
      <c r="C1204" s="4" t="n">
        <v>1375.00</v>
      </c>
      <c r="D1204" s="4"/>
    </row>
    <row collapsed="" customFormat="false" customHeight="1" hidden="" ht="14" outlineLevel="0" r="1205">
      <c r="A1205" s="3" t="inlineStr">
        <is>
          <t>1187</t>
        </is>
      </c>
      <c r="B1205" s="4" t="s">
        <f>=HYPERLINK("http://anyluxury.ru/shop/korporativnye-podarki/portmone-i-zazhimy-dlya-deneg/klyuchnica-apache-chernaya-1344230/" , "13442.30 Ключница Apache, черная")</f>
      </c>
      <c r="C1205" s="4" t="n">
        <v>1430.00</v>
      </c>
      <c r="D1205" s="4"/>
    </row>
    <row collapsed="" customFormat="false" customHeight="1" hidden="" ht="14" outlineLevel="0" r="1206">
      <c r="A1206" s="3" t="inlineStr">
        <is>
          <t>1188</t>
        </is>
      </c>
      <c r="B1206" s="4" t="s">
        <f>=HYPERLINK("http://anyluxury.ru/shop/korporativnye-podarki/portmone-i-zazhimy-dlya-deneg/klyuchnica-apache-sinyaya-1344240/" , "13442.40 Ключница Apache, синяя")</f>
      </c>
      <c r="C1206" s="4" t="n">
        <v>1430.00</v>
      </c>
      <c r="D1206" s="4"/>
    </row>
    <row collapsed="" customFormat="false" customHeight="1" hidden="" ht="14" outlineLevel="0" r="1207">
      <c r="A1207" s="3" t="inlineStr">
        <is>
          <t>1189</t>
        </is>
      </c>
      <c r="B1207" s="4" t="s">
        <f>=HYPERLINK("http://anyluxury.ru/shop/korporativnye-podarki/portmone-i-zazhimy-dlya-deneg/koshelek-classe-cherniy-5201434/" , "52014.34 Кошелек Classe, черный")</f>
      </c>
      <c r="C1207" s="4" t="n">
        <v>4320.00</v>
      </c>
      <c r="D1207" s="4"/>
    </row>
    <row collapsed="" customFormat="false" customHeight="1" hidden="" ht="14" outlineLevel="0" r="1208">
      <c r="A1208" s="3" t="inlineStr">
        <is>
          <t>1190</t>
        </is>
      </c>
      <c r="B1208" s="4" t="s">
        <f>=HYPERLINK("http://anyluxury.ru/shop/korporativnye-podarki/portmone-i-zazhimy-dlya-deneg/koshelek-vintage-svetlokorichneviy-konyachniy-5202956/" , "52029.56 Кошелек Vintage, светло-коричневый (коньячный)")</f>
      </c>
      <c r="C1208" s="4" t="n">
        <v>5040.00</v>
      </c>
      <c r="D1208" s="4"/>
    </row>
    <row collapsed="" customFormat="false" customHeight="1" hidden="" ht="14" outlineLevel="0" r="1209">
      <c r="A1209" s="3" t="inlineStr">
        <is>
          <t>1191</t>
        </is>
      </c>
      <c r="B1209" s="4" t="s">
        <f>=HYPERLINK("http://anyluxury.ru/shop/korporativnye-podarki/portmone-i-zazhimy-dlya-deneg/koshelek-italico-cherniy-5203330/" , "52033.30 Кошелек Italico, черный")</f>
      </c>
      <c r="C1209" s="4" t="n">
        <v>6120.00</v>
      </c>
      <c r="D1209" s="4"/>
    </row>
    <row collapsed="" customFormat="false" customHeight="1" hidden="" ht="14" outlineLevel="0" r="1210">
      <c r="A1210" s="3" t="inlineStr">
        <is>
          <t>1192</t>
        </is>
      </c>
      <c r="B1210" s="4" t="s">
        <f>=HYPERLINK("http://anyluxury.ru/shop/korporativnye-podarki/portmone-i-zazhimy-dlya-deneg/koshelek-amalfi-cherniy-5204730/" , "52047.30 Кошелек Amalfi, черный")</f>
      </c>
      <c r="C1210" s="4" t="n">
        <v>6248.00</v>
      </c>
      <c r="D1210" s="4"/>
    </row>
    <row collapsed="" customFormat="false" customHeight="1" hidden="" ht="14" outlineLevel="0" r="1211">
      <c r="A1211" s="3" t="inlineStr">
        <is>
          <t>1193</t>
        </is>
      </c>
      <c r="B1211" s="4" t="s">
        <f>=HYPERLINK("http://anyluxury.ru/shop/korporativnye-podarki/portmone-i-zazhimy-dlya-deneg/koshelek-dakota-siniy-5205440/" , "52054.40 Кошелек Dakota, синий")</f>
      </c>
      <c r="C1211" s="4" t="n">
        <v>3600.00</v>
      </c>
      <c r="D1211" s="4"/>
    </row>
    <row collapsed="" customFormat="false" customHeight="1" hidden="" ht="14" outlineLevel="0" r="1212">
      <c r="A1212" s="3" t="inlineStr">
        <is>
          <t>1194</t>
        </is>
      </c>
      <c r="B1212" s="4" t="s">
        <f>=HYPERLINK("http://anyluxury.ru/shop/korporativnye-podarki/portmone-i-zazhimy-dlya-deneg/koshelek-vernazza-mini-siniy-5206240/" , "52062.40 Кошелек Vernazza Mini, синий")</f>
      </c>
      <c r="C1212" s="4" t="n">
        <v>2280.00</v>
      </c>
      <c r="D1212" s="4"/>
    </row>
    <row collapsed="" customFormat="false" customHeight="1" hidden="" ht="14" outlineLevel="0" r="1213">
      <c r="A1213" s="3" t="inlineStr">
        <is>
          <t>1195</t>
        </is>
      </c>
      <c r="B1213" s="4" t="s">
        <f>=HYPERLINK("http://anyluxury.ru/shop/korporativnye-podarki/portmone-i-zazhimy-dlya-deneg/koshelek-vernazza-mini-bordoviy-5206255/" , "52062.55 Кошелек Vernazza Mini, бордовый")</f>
      </c>
      <c r="C1213" s="4" t="n">
        <v>2280.00</v>
      </c>
      <c r="D1213" s="4"/>
    </row>
    <row collapsed="" customFormat="false" customHeight="1" hidden="" ht="14" outlineLevel="0" r="1214">
      <c r="A1214" s="3" t="inlineStr">
        <is>
          <t>1196</t>
        </is>
      </c>
      <c r="B1214" s="4" t="s">
        <f>=HYPERLINK("http://anyluxury.ru/shop/korporativnye-podarki/portmone-i-zazhimy-dlya-deneg/koshelek-vernazza-cherniy-5206430/" , "52064.30 Кошелек Vernazza, черный")</f>
      </c>
      <c r="C1214" s="4" t="n">
        <v>4920.00</v>
      </c>
      <c r="D1214" s="4"/>
    </row>
    <row collapsed="" customFormat="false" customHeight="1" hidden="" ht="14" outlineLevel="0" r="1215">
      <c r="A1215" s="3" t="inlineStr">
        <is>
          <t>1197</t>
        </is>
      </c>
      <c r="B1215" s="4" t="s">
        <f>=HYPERLINK("http://anyluxury.ru/shop/korporativnye-podarki/portmone-i-zazhimy-dlya-deneg/koshelek-dotmode-seriy-1176610/" , "11766.10 Кошелек dotMODE, серый")</f>
      </c>
      <c r="C1215" s="4" t="n">
        <v>1990.00</v>
      </c>
      <c r="D1215" s="4"/>
    </row>
    <row collapsed="" customFormat="false" customHeight="1" hidden="" ht="14" outlineLevel="0" r="1216">
      <c r="A1216" s="3" t="inlineStr">
        <is>
          <t>1198</t>
        </is>
      </c>
      <c r="B1216" s="4" t="s">
        <f>=HYPERLINK("http://anyluxury.ru/shop/korporativnye-podarki/portmone-i-zazhimy-dlya-deneg/klyuchnica-apache-krasnaya-1344250/" , "13442.50 Ключница Apache, красная")</f>
      </c>
      <c r="C1216" s="4" t="n">
        <v>1430.00</v>
      </c>
      <c r="D1216" s="4"/>
    </row>
    <row collapsed="" customFormat="false" customHeight="1" hidden="" ht="14" outlineLevel="0" r="1217">
      <c r="A1217" s="3" t="inlineStr">
        <is>
          <t>1199</t>
        </is>
      </c>
      <c r="B1217" s="4" t="s">
        <f>=HYPERLINK("http://anyluxury.ru/shop/korporativnye-podarki/portmone-i-zazhimy-dlya-deneg/klyuchnica-apache-zelenaya-1344290/" , "13442.90 Ключница Apache, зеленая")</f>
      </c>
      <c r="C1217" s="4" t="n">
        <v>1430.00</v>
      </c>
      <c r="D1217" s="4"/>
    </row>
    <row collapsed="" customFormat="false" customHeight="1" hidden="" ht="14" outlineLevel="0" r="1218">
      <c r="A1218" s="3" t="inlineStr">
        <is>
          <t>1200</t>
        </is>
      </c>
      <c r="B1218" s="4" t="s">
        <f>=HYPERLINK("http://anyluxury.ru/shop/korporativnye-podarki/portmone-i-zazhimy-dlya-deneg/zazhim-dlya-kupyur-apache-siniy-343640/" , "3436.40 Зажим для купюр Apache, синий")</f>
      </c>
      <c r="C1218" s="4" t="n">
        <v>1375.00</v>
      </c>
      <c r="D1218" s="4"/>
    </row>
    <row collapsed="" customFormat="false" customHeight="1" hidden="" ht="14" outlineLevel="0" r="1219">
      <c r="A1219" s="3" t="inlineStr">
        <is>
          <t>1201</t>
        </is>
      </c>
      <c r="B1219" s="4" t="s">
        <f>=HYPERLINK("http://anyluxury.ru/shop/korporativnye-podarki/portmone-i-zazhimy-dlya-deneg/bumazhnik-piquadro-blue-square-krasnokorichneviy-pu1129b2mo/" , "PU1129B2/MO Бумажник Piquadro Blue Square, красно-коричневый")</f>
      </c>
      <c r="C1219" s="4" t="n">
        <v>9800.00</v>
      </c>
      <c r="D1219" s="4"/>
    </row>
    <row collapsed="" customFormat="false" customHeight="1" hidden="" ht="14" outlineLevel="0" r="1220">
      <c r="A1220" s="3" t="inlineStr">
        <is>
          <t>1202</t>
        </is>
      </c>
      <c r="B1220" s="4" t="s">
        <f>=HYPERLINK("http://anyluxury.ru/shop/korporativnye-podarki/portmone-i-zazhimy-dlya-deneg/bumazhnik-piquadro-blue-square-vertikalniy-cherniy-pu1129b2n/" , "PU1129B2/N Бумажник Piquadro Blue Square, вертикальный, черный")</f>
      </c>
      <c r="C1220" s="4" t="n">
        <v>9800.00</v>
      </c>
      <c r="D1220" s="4"/>
    </row>
    <row collapsed="" customFormat="false" customHeight="1" hidden="" ht="14" outlineLevel="0" r="1221">
      <c r="A1221" s="3" t="inlineStr">
        <is>
          <t>1203</t>
        </is>
      </c>
      <c r="B1221" s="4" t="s">
        <f>=HYPERLINK("http://anyluxury.ru/shop/korporativnye-podarki/portmone-i-zazhimy-dlya-deneg/koshelek-muzhskoy-piquadro-pulse-cherniy-pu1243p15n/" , "PU1243P15/N Кошелек мужской Piquadro Pulse, черный")</f>
      </c>
      <c r="C1221" s="4" t="n">
        <v>5900.00</v>
      </c>
      <c r="D1221" s="4"/>
    </row>
    <row collapsed="" customFormat="false" customHeight="1" hidden="" ht="14" outlineLevel="0" r="1222">
      <c r="A1222" s="3" t="inlineStr">
        <is>
          <t>1204</t>
        </is>
      </c>
      <c r="B1222" s="4" t="s">
        <f>=HYPERLINK("http://anyluxury.ru/shop/korporativnye-podarki/portmone-i-zazhimy-dlya-deneg/koshelek-torren-s-rfidzashhitoy-cherniy-1037030/" , "10370.30 Кошелек Torren с RFID-защитой, черный")</f>
      </c>
      <c r="C1222" s="4" t="n">
        <v>599.00</v>
      </c>
      <c r="D1222" s="4"/>
    </row>
    <row collapsed="" customFormat="false" customHeight="1" hidden="" ht="14" outlineLevel="0" r="1223">
      <c r="A1223" s="3" t="inlineStr">
        <is>
          <t>1205</t>
        </is>
      </c>
      <c r="B1223" s="4" t="s">
        <f>=HYPERLINK("http://anyluxury.ru/shop/korporativnye-podarki/portmone-i-zazhimy-dlya-deneg/koshelek-torren-s-rfidzashhitoy-siniy-1037040/" , "10370.40 Кошелек Torren с RFID-защитой, синий")</f>
      </c>
      <c r="C1223" s="4" t="n">
        <v>599.00</v>
      </c>
      <c r="D1223" s="4"/>
    </row>
    <row collapsed="" customFormat="false" customHeight="1" hidden="" ht="14" outlineLevel="0" r="1224">
      <c r="A1224" s="3" t="inlineStr">
        <is>
          <t>1206</t>
        </is>
      </c>
      <c r="B1224" s="4" t="s">
        <f>=HYPERLINK("http://anyluxury.ru/shop/korporativnye-podarki/portmone-i-zazhimy-dlya-deneg/koshelek-torren-s-rfidzashhitoy-seriy-1037010/" , "10370.10 Кошелек Torren с RFID-защитой, серый")</f>
      </c>
      <c r="C1224" s="4" t="n">
        <v>599.00</v>
      </c>
      <c r="D1224" s="4"/>
    </row>
    <row collapsed="" customFormat="false" customHeight="1" hidden="" ht="14" outlineLevel="0" r="1225">
      <c r="A1225" s="3" t="inlineStr">
        <is>
          <t>1207</t>
        </is>
      </c>
      <c r="B1225" s="4" t="s">
        <f>=HYPERLINK("http://anyluxury.ru/shop/korporativnye-podarki/portmone-i-zazhimy-dlya-deneg/klyuchnica-italico-korichnevaya-5208159/" , "52081.59 Ключница Italico, коричневая")</f>
      </c>
      <c r="C1225" s="4" t="n">
        <v>2600.00</v>
      </c>
      <c r="D1225" s="4"/>
    </row>
    <row collapsed="" customFormat="false" customHeight="1" hidden="" ht="14" outlineLevel="0" r="1226">
      <c r="A1226" s="3" t="inlineStr">
        <is>
          <t>1208</t>
        </is>
      </c>
      <c r="B1226" s="4" t="s">
        <f>=HYPERLINK("http://anyluxury.ru/shop/korporativnye-podarki/portmone-i-zazhimy-dlya-deneg/klyuchnica-italico-krasnaya-5208150/" , "52081.50 Ключница Italico, красная")</f>
      </c>
      <c r="C1226" s="4" t="n">
        <v>2600.00</v>
      </c>
      <c r="D1226" s="4"/>
    </row>
    <row collapsed="" customFormat="false" customHeight="1" hidden="" ht="14" outlineLevel="0" r="1227">
      <c r="A1227" s="3" t="inlineStr">
        <is>
          <t>1209</t>
        </is>
      </c>
      <c r="B1227" s="4" t="s">
        <f>=HYPERLINK("http://anyluxury.ru/shop/korporativnye-podarki/portmone-i-zazhimy-dlya-deneg/koshelek-italico-long-cherniy-5208230/" , "52082.30 Кошелек Italico Long, черный")</f>
      </c>
      <c r="C1227" s="4" t="n">
        <v>5910.00</v>
      </c>
      <c r="D1227" s="4"/>
    </row>
    <row collapsed="" customFormat="false" customHeight="1" hidden="" ht="14" outlineLevel="0" r="1228">
      <c r="A1228" s="3" t="inlineStr">
        <is>
          <t>1210</t>
        </is>
      </c>
      <c r="B1228" s="4" t="s">
        <f>=HYPERLINK("http://anyluxury.ru/shop/korporativnye-podarki/portmone-i-zazhimy-dlya-deneg/koshelek-italico-maxi-korichneviy-5208459/" , "52084.59 Кошелек Italico Maxi, коричневый")</f>
      </c>
      <c r="C1228" s="4" t="n">
        <v>6480.00</v>
      </c>
      <c r="D1228" s="4"/>
    </row>
    <row collapsed="" customFormat="false" customHeight="1" hidden="" ht="14" outlineLevel="0" r="1229">
      <c r="A1229" s="3" t="inlineStr">
        <is>
          <t>1211</t>
        </is>
      </c>
      <c r="B1229" s="4" t="s">
        <f>=HYPERLINK("http://anyluxury.ru/shop/korporativnye-podarki/portmone-i-zazhimy-dlya-deneg/portmone-classe-chernoe-5209230/" , "52092.30 Портмоне Classe, черное")</f>
      </c>
      <c r="C1229" s="4" t="n">
        <v>12960.00</v>
      </c>
      <c r="D1229" s="4"/>
    </row>
    <row collapsed="" customFormat="false" customHeight="1" hidden="" ht="14" outlineLevel="0" r="1230">
      <c r="A1230" s="3" t="inlineStr">
        <is>
          <t>1212</t>
        </is>
      </c>
      <c r="B1230" s="4" t="s">
        <f>=HYPERLINK("http://anyluxury.ru/shop/korporativnye-podarki/portmone-i-zazhimy-dlya-deneg/zazhim-dlya-kupyur-apache-krasniy-343650/" , "3436.50 Зажим для купюр Apache, красный")</f>
      </c>
      <c r="C1230" s="4" t="n">
        <v>1270.00</v>
      </c>
      <c r="D1230" s="4"/>
    </row>
    <row collapsed="" customFormat="false" customHeight="1" hidden="" ht="14" outlineLevel="0" r="1231">
      <c r="A1231" s="3" t="inlineStr">
        <is>
          <t>1213</t>
        </is>
      </c>
      <c r="B1231" s="4" t="s">
        <f>=HYPERLINK("http://anyluxury.ru/shop/korporativnye-podarki/portmone-i-zazhimy-dlya-deneg/koshelek-partinico-cherniy-s-zheltim-1797538/" , "17975.38 Кошелек Partinico, черный с желтым")</f>
      </c>
      <c r="C1231" s="4" t="n">
        <v>5775.00</v>
      </c>
      <c r="D1231" s="4"/>
    </row>
    <row collapsed="" customFormat="false" customHeight="1" hidden="" ht="14" outlineLevel="0" r="1232">
      <c r="A1232" s="3" t="inlineStr">
        <is>
          <t>1214</t>
        </is>
      </c>
      <c r="B1232" s="4" t="s">
        <f>=HYPERLINK("http://anyluxury.ru/shop/korporativnye-podarki/portmone-i-zazhimy-dlya-deneg/koshelek-partinico-cherniy-s-biryuzovim-1797534/" , "17975.34 Кошелек Partinico, черный с бирюзовым")</f>
      </c>
      <c r="C1232" s="4" t="n">
        <v>5775.00</v>
      </c>
      <c r="D1232" s="4"/>
    </row>
    <row collapsed="" customFormat="false" customHeight="1" hidden="" ht="14" outlineLevel="0" r="1233">
      <c r="A1233" s="3" t="inlineStr">
        <is>
          <t>1215</t>
        </is>
      </c>
      <c r="B1233" s="4" t="s">
        <f>=HYPERLINK("http://anyluxury.ru/shop/korporativnye-podarki/portmone-i-zazhimy-dlya-deneg/koshelek-partinico-cherniy-s-krasnim-1797535/" , "17975.35 Кошелек Partinico, черный с красным")</f>
      </c>
      <c r="C1233" s="4" t="n">
        <v>5775.00</v>
      </c>
      <c r="D1233" s="4"/>
    </row>
    <row collapsed="" customFormat="false" customHeight="1" hidden="" ht="14" outlineLevel="0" r="1234">
      <c r="A1234" s="3" t="inlineStr">
        <is>
          <t>1216</t>
        </is>
      </c>
      <c r="B1234" s="4" t="s">
        <f>=HYPERLINK("http://anyluxury.ru/shop/korporativnye-podarki/portmone-i-zazhimy-dlya-deneg/koshelek-partinico-cherniy-s-zolotistim-1797530/" , "17975.30 Кошелек Partinico, черный с золотистым")</f>
      </c>
      <c r="C1234" s="4" t="n">
        <v>5775.00</v>
      </c>
      <c r="D1234" s="4"/>
    </row>
    <row collapsed="" customFormat="false" customHeight="1" hidden="" ht="14" outlineLevel="0" r="1235">
      <c r="A1235" s="3" t="inlineStr">
        <is>
          <t>1217</t>
        </is>
      </c>
      <c r="B1235" s="4" t="s">
        <f>=HYPERLINK("http://anyluxury.ru/shop/korporativnye-podarki/portmone-i-zazhimy-dlya-deneg/koshelek-partinico-cherniy-s-zelenim-1797539/" , "17975.39 Кошелек Partinico, черный с зеленым")</f>
      </c>
      <c r="C1235" s="4" t="n">
        <v>5775.00</v>
      </c>
      <c r="D1235" s="4"/>
    </row>
    <row collapsed="" customFormat="false" customHeight="1" hidden="" ht="14" outlineLevel="0" r="1236">
      <c r="A1236" s="3" t="inlineStr">
        <is>
          <t>1218</t>
        </is>
      </c>
      <c r="B1236" s="4" t="s">
        <f>=HYPERLINK("http://anyluxury.ru/shop/korporativnye-podarki/portmone-i-zazhimy-dlya-deneg/portmone-instream-chernoe-1555330/" , "15553.30 Портмоне inStream, черное")</f>
      </c>
      <c r="C1236" s="4" t="n">
        <v>2540.00</v>
      </c>
      <c r="D1236" s="4"/>
    </row>
    <row collapsed="" customFormat="false" customHeight="1" hidden="" ht="14" outlineLevel="0" r="1237">
      <c r="A1237" s="3" t="inlineStr">
        <is>
          <t>1219</t>
        </is>
      </c>
      <c r="B1237" s="4" t="s">
        <f>=HYPERLINK("http://anyluxury.ru/shop/korporativnye-podarki/portmone-i-zazhimy-dlya-deneg/klyuchnica-instream-chernaya-1554930/" , "15549.30 Ключница inStream, черная")</f>
      </c>
      <c r="C1237" s="4" t="n">
        <v>1865.00</v>
      </c>
      <c r="D1237" s="4"/>
    </row>
    <row collapsed="" customFormat="false" customHeight="1" hidden="" ht="14" outlineLevel="0" r="1238">
      <c r="A1238" s="3" t="inlineStr">
        <is>
          <t>1220</t>
        </is>
      </c>
      <c r="B1238" s="4" t="s">
        <f>=HYPERLINK("http://anyluxury.ru/shop/korporativnye-podarki/portmone-i-zazhimy-dlya-deneg/portmone-recover-s-akkumulyatorom-4000-mach-chernoe-1404430/" , "14044.30 Портмоне reCover с аккумулятором 4000 мАч, черное")</f>
      </c>
      <c r="C1238" s="4" t="n">
        <v>3441.00</v>
      </c>
      <c r="D1238" s="4"/>
    </row>
    <row collapsed="" customFormat="false" customHeight="1" hidden="" ht="14" outlineLevel="0" r="1239">
      <c r="A1239" s="3" t="inlineStr">
        <is>
          <t>1221</t>
        </is>
      </c>
      <c r="B1239" s="4" t="s">
        <f>=HYPERLINK("http://anyluxury.ru/shop/korporativnye-podarki/portmone-i-zazhimy-dlya-deneg/portmone-incase-seroe-s-sinim-3340514/" , "33405.14 Портмоне inCase, серое с синим")</f>
      </c>
      <c r="C1239" s="4" t="n">
        <v>2951.00</v>
      </c>
      <c r="D1239" s="4"/>
    </row>
    <row collapsed="" customFormat="false" customHeight="1" hidden="" ht="14" outlineLevel="0" r="1240">
      <c r="A1240" s="3" t="inlineStr">
        <is>
          <t>1222</t>
        </is>
      </c>
      <c r="B1240" s="4" t="s">
        <f>=HYPERLINK("http://anyluxury.ru/shop/korporativnye-podarki/portmone-i-zazhimy-dlya-deneg/portmone-incase-seroe-s-bordovim-3340515/" , "33405.15 Портмоне inCase, серое с бордовым")</f>
      </c>
      <c r="C1240" s="4" t="n">
        <v>2951.00</v>
      </c>
      <c r="D1240" s="4"/>
    </row>
    <row collapsed="" customFormat="false" customHeight="1" hidden="" ht="14" outlineLevel="0" r="1241">
      <c r="A1241" s="3" t="inlineStr">
        <is>
          <t>1223</t>
        </is>
      </c>
      <c r="B1241" s="4" t="s">
        <f>=HYPERLINK("http://anyluxury.ru/shop/korporativnye-podarki/portmone-i-zazhimy-dlya-deneg/bumazhnik-voditelya-remini-temnosiniy-5560540/" , "55605.40 Бумажник водителя Remini, темно-синий")</f>
      </c>
      <c r="C1241" s="4" t="n">
        <v>1960.00</v>
      </c>
      <c r="D1241" s="4"/>
    </row>
    <row collapsed="" customFormat="false" customHeight="1" hidden="" ht="14" outlineLevel="0" r="1242">
      <c r="A1242" s="3" t="inlineStr">
        <is>
          <t>1224</t>
        </is>
      </c>
      <c r="B1242" s="4" t="s">
        <f>=HYPERLINK("http://anyluxury.ru/shop/korporativnye-podarki/portmone-i-zazhimy-dlya-deneg/bumazhnik-voditelya-remini-cherniy-5560530/" , "55605.30 Бумажник водителя Remini, черный")</f>
      </c>
      <c r="C1242" s="4" t="n">
        <v>1960.00</v>
      </c>
      <c r="D1242" s="4"/>
    </row>
    <row collapsed="" customFormat="false" customHeight="1" hidden="" ht="14" outlineLevel="0" r="1243">
      <c r="A1243" s="3" t="inlineStr">
        <is>
          <t>1225</t>
        </is>
      </c>
      <c r="B1243" s="4" t="s">
        <f>=HYPERLINK("http://anyluxury.ru/shop/korporativnye-podarki/portmone-i-zazhimy-dlya-deneg/bumazhnik-voditelya-remini-bezheviy-5560511/" , "55605.11 Бумажник водителя Remini, бежевый")</f>
      </c>
      <c r="C1243" s="4" t="n">
        <v>1960.00</v>
      </c>
      <c r="D1243" s="4"/>
    </row>
    <row collapsed="" customFormat="false" customHeight="1" hidden="" ht="14" outlineLevel="0" r="1244">
      <c r="A1244" s="3" t="inlineStr">
        <is>
          <t>1226</t>
        </is>
      </c>
      <c r="B1244" s="4" t="s">
        <f>=HYPERLINK("http://anyluxury.ru/shop/korporativnye-podarki/portmone-i-zazhimy-dlya-deneg/portmone-remini-temnosinee-5560740/" , "55607.40 Портмоне Remini, темно-синее")</f>
      </c>
      <c r="C1244" s="4" t="n">
        <v>2770.00</v>
      </c>
      <c r="D1244" s="4"/>
    </row>
    <row collapsed="" customFormat="false" customHeight="1" hidden="" ht="14" outlineLevel="0" r="1245">
      <c r="A1245" s="3" t="inlineStr">
        <is>
          <t>1227</t>
        </is>
      </c>
      <c r="B1245" s="4" t="s">
        <f>=HYPERLINK("http://anyluxury.ru/shop/korporativnye-podarki/portmone-i-zazhimy-dlya-deneg/portmone-remini-chernoe-5560730/" , "55607.30 Портмоне Remini, черное")</f>
      </c>
      <c r="C1245" s="4" t="n">
        <v>2770.00</v>
      </c>
      <c r="D1245" s="4"/>
    </row>
    <row collapsed="" customFormat="false" customHeight="1" hidden="" ht="14" outlineLevel="0" r="1246">
      <c r="A1246" s="3" t="inlineStr">
        <is>
          <t>1228</t>
        </is>
      </c>
      <c r="B1246" s="4" t="s">
        <f>=HYPERLINK("http://anyluxury.ru/shop/korporativnye-podarki/portmone-i-zazhimy-dlya-deneg/portmone-arrival-chernoe-s-sinim-1615434/" , "16154.34 Портмоне Arrival, черное с синим")</f>
      </c>
      <c r="C1246" s="4" t="n">
        <v>2640.00</v>
      </c>
      <c r="D1246" s="4"/>
    </row>
    <row collapsed="" customFormat="false" customHeight="1" hidden="" ht="14" outlineLevel="0" r="1247">
      <c r="A1247" s="3" t="inlineStr">
        <is>
          <t>1229</t>
        </is>
      </c>
      <c r="B1247" s="4" t="s">
        <f>=HYPERLINK("http://anyluxury.ru/shop/korporativnye-podarki/portmone-i-zazhimy-dlya-deneg/portmone-arrival-chernoe-s-krasnim-1615435/" , "16154.35 Портмоне Arrival, черное с красным")</f>
      </c>
      <c r="C1247" s="4" t="n">
        <v>2640.00</v>
      </c>
      <c r="D1247" s="4"/>
    </row>
    <row collapsed="" customFormat="false" customHeight="1" hidden="" ht="14" outlineLevel="0" r="1248">
      <c r="A1248" s="3" t="inlineStr">
        <is>
          <t>1230</t>
        </is>
      </c>
      <c r="B1248" s="4" t="s">
        <f>=HYPERLINK("http://anyluxury.ru/shop/korporativnye-podarki/portmone-i-zazhimy-dlya-deneg/zazhim-dlya-kupyur-apache-biryuzoviy-343649/" , "3436.49 Зажим для купюр Apache, бирюзовый")</f>
      </c>
      <c r="C1248" s="4" t="n">
        <v>1375.00</v>
      </c>
      <c r="D1248" s="4"/>
    </row>
    <row collapsed="" customFormat="false" customHeight="1" hidden="" ht="14" outlineLevel="0" r="1249">
      <c r="A1249" s="3" t="inlineStr">
        <is>
          <t>1231</t>
        </is>
      </c>
      <c r="B1249" s="4" t="s">
        <f>=HYPERLINK("http://anyluxury.ru/shop/korporativnye-podarki/portmone-i-zazhimy-dlya-deneg/zazhim-dlya-kupyur-apache-temnokrasniy-343605/" , "3436.05 Зажим для купюр Apache, темно-красный")</f>
      </c>
      <c r="C1249" s="4" t="n">
        <v>1375.00</v>
      </c>
      <c r="D1249" s="4"/>
    </row>
    <row collapsed="" customFormat="false" customHeight="1" hidden="" ht="14" outlineLevel="0" r="1250">
      <c r="A1250" s="3" t="inlineStr">
        <is>
          <t>1232</t>
        </is>
      </c>
      <c r="B1250" s="4" t="s">
        <f>=HYPERLINK("http://anyluxury.ru/shop/korporativnye-podarki/portmone-i-zazhimy-dlya-deneg/zazhim-dlya-kupyur-apache-temnozeleniy-343699/" , "3436.99 Зажим для купюр Apache, темно-зеленый")</f>
      </c>
      <c r="C1250" s="4" t="n">
        <v>1375.00</v>
      </c>
      <c r="D1250" s="4"/>
    </row>
    <row collapsed="" customFormat="false" customHeight="1" hidden="" ht="14" outlineLevel="0" r="1251">
      <c r="A1251" s="3" t="inlineStr">
        <is>
          <t>1233</t>
        </is>
      </c>
      <c r="B1251" s="4" t="s">
        <f>=HYPERLINK("http://anyluxury.ru/shop/korporativnye-podarki/portmone-i-zazhimy-dlya-deneg/zazhim-dlya-kupyur-apache-seriy-343610/" , "3436.10 Зажим для купюр Apache, серый")</f>
      </c>
      <c r="C1251" s="4" t="n">
        <v>1375.00</v>
      </c>
      <c r="D1251" s="4"/>
    </row>
    <row collapsed="" customFormat="false" customHeight="1" hidden="" ht="14" outlineLevel="0" r="1252">
      <c r="A1252" s="3" t="inlineStr">
        <is>
          <t>1234</t>
        </is>
      </c>
      <c r="B1252" s="4" t="s">
        <f>=HYPERLINK("http://anyluxury.ru/shop/korporativnye-podarki/portmone-i-zazhimy-dlya-deneg/zazhim-dlya-kupyur-apache-temnokorichneviy-343651/" , "3436.51 Зажим для купюр Apache, темно-коричневый")</f>
      </c>
      <c r="C1252" s="4" t="n">
        <v>1375.00</v>
      </c>
      <c r="D1252" s="4"/>
    </row>
    <row collapsed="" customFormat="false" customHeight="1" hidden="" ht="14" outlineLevel="0" r="1253">
      <c r="A1253" s="3" t="inlineStr">
        <is>
          <t>1235</t>
        </is>
      </c>
      <c r="B1253" s="4" t="s">
        <f>=HYPERLINK("http://anyluxury.ru/shop/korporativnye-podarki/portmone-i-zazhimy-dlya-deneg/klyuchnica-apache-biryuzovaya-1344249/" , "13442.49 Ключница Apache, бирюзовая")</f>
      </c>
      <c r="C1253" s="4" t="n">
        <v>1430.00</v>
      </c>
      <c r="D1253" s="4"/>
    </row>
    <row collapsed="" customFormat="false" customHeight="1" hidden="" ht="14" outlineLevel="0" r="1254">
      <c r="A1254" s="3" t="inlineStr">
        <is>
          <t>1236</t>
        </is>
      </c>
      <c r="B1254" s="4" t="s">
        <f>=HYPERLINK("http://anyluxury.ru/shop/korporativnye-podarki/portmone-i-zazhimy-dlya-deneg/klyuchnica-apache-temnokrasnaya-1344205/" , "13442.05 Ключница Apache, темно-красная")</f>
      </c>
      <c r="C1254" s="4" t="n">
        <v>1430.00</v>
      </c>
      <c r="D1254" s="4"/>
    </row>
    <row collapsed="" customFormat="false" customHeight="1" hidden="" ht="14" outlineLevel="0" r="1255">
      <c r="A1255" s="3" t="inlineStr">
        <is>
          <t>1237</t>
        </is>
      </c>
      <c r="B1255" s="4" t="s">
        <f>=HYPERLINK("http://anyluxury.ru/shop/korporativnye-podarki/portmone-i-zazhimy-dlya-deneg/klyuchnica-apache-seraya-1344210/" , "13442.10 Ключница Apache, серая")</f>
      </c>
      <c r="C1255" s="4" t="n">
        <v>1430.00</v>
      </c>
      <c r="D1255" s="4"/>
    </row>
    <row collapsed="" customFormat="false" customHeight="1" hidden="" ht="14" outlineLevel="0" r="1256">
      <c r="A1256" s="3" t="inlineStr">
        <is>
          <t>1238</t>
        </is>
      </c>
      <c r="B1256" s="4" t="s">
        <f>=HYPERLINK("http://anyluxury.ru/shop/korporativnye-podarki/portmone-i-zazhimy-dlya-deneg/klyuchnica-apache-temnokorichnevaya-1344251/" , "13442.51 Ключница Apache, темно-коричневая")</f>
      </c>
      <c r="C1256" s="4" t="n">
        <v>1430.00</v>
      </c>
      <c r="D1256" s="4"/>
    </row>
    <row collapsed="" customFormat="false" customHeight="1" hidden="" ht="14" outlineLevel="0" r="1257">
      <c r="A1257" s="3" t="inlineStr">
        <is>
          <t>1239</t>
        </is>
      </c>
      <c r="B1257" s="4" t="s">
        <f>=HYPERLINK("http://anyluxury.ru/shop/korporativnye-podarki/portmone-i-zazhimy-dlya-deneg/klyuchnica-instream-korichnevaya-1554959/" , "15549.59 Ключница inStream, коричневая")</f>
      </c>
      <c r="C1257" s="4" t="n">
        <v>1865.00</v>
      </c>
      <c r="D1257" s="4"/>
    </row>
    <row collapsed="" customFormat="false" customHeight="1" hidden="" ht="14" outlineLevel="0" r="1258">
      <c r="A1258" s="3" t="inlineStr">
        <is>
          <t>1240</t>
        </is>
      </c>
      <c r="B1258" s="4" t="s">
        <f>=HYPERLINK("http://anyluxury.ru/shop/korporativnye-podarki/portmone-i-zazhimy-dlya-deneg/klyuchnica-instream-seraya-1554911/" , "15549.11 Ключница inStream, серая")</f>
      </c>
      <c r="C1258" s="4" t="n">
        <v>1865.00</v>
      </c>
      <c r="D1258" s="4"/>
    </row>
    <row collapsed="" customFormat="false" customHeight="1" hidden="" ht="14" outlineLevel="0" r="1259">
      <c r="A1259" s="3" t="inlineStr">
        <is>
          <t>1241</t>
        </is>
      </c>
      <c r="B1259" s="4" t="s">
        <f>=HYPERLINK("http://anyluxury.ru/shop/korporativnye-podarki/portmone-i-zazhimy-dlya-deneg/zazhim-dlya-kupyur-alaska-cherniy-2102930/" , "21029.30 Зажим для купюр Alaska, черный")</f>
      </c>
      <c r="C1259" s="4" t="n">
        <v>1096.00</v>
      </c>
      <c r="D1259" s="4"/>
    </row>
    <row collapsed="" customFormat="false" customHeight="1" hidden="" ht="14" outlineLevel="0" r="1260">
      <c r="A1260" s="3" t="inlineStr">
        <is>
          <t>1242</t>
        </is>
      </c>
      <c r="B1260" s="4" t="s">
        <f>=HYPERLINK("http://anyluxury.ru/shop/korporativnye-podarki/portmone-i-zazhimy-dlya-deneg/zazhim-dlya-kupyur-alaska-seriy-2102911/" , "21029.11 Зажим для купюр Alaska, серый")</f>
      </c>
      <c r="C1260" s="4" t="n">
        <v>1096.00</v>
      </c>
      <c r="D1260" s="4"/>
    </row>
    <row collapsed="" customFormat="false" customHeight="" hidden="" ht="12.1" outlineLevel="0" r="1261">
      <c r="A1261" s="5" t="inlineStr">
        <is>
          <t> -  - Футляры для карт</t>
        </is>
      </c>
      <c r="B1261" s="6"/>
      <c r="C1261" s="6"/>
      <c r="D1261" s="6"/>
    </row>
    <row collapsed="" customFormat="false" customHeight="1" hidden="" ht="14" outlineLevel="0" r="1262">
      <c r="A1262" s="3" t="inlineStr">
        <is>
          <t>1243</t>
        </is>
      </c>
      <c r="B1262" s="4" t="s">
        <f>=HYPERLINK("http://anyluxury.ru/shop/korporativnye-podarki/futlyary-dlya-kart/chehol-dlya-plastikovoy-karti-security-cherniy-686430/" , "6864.30 Чехол для пластиковой карты Security, черный")</f>
      </c>
      <c r="C1262" s="4" t="n">
        <v>890.00</v>
      </c>
      <c r="D1262" s="4"/>
    </row>
    <row collapsed="" customFormat="false" customHeight="1" hidden="" ht="14" outlineLevel="0" r="1263">
      <c r="A1263" s="3" t="inlineStr">
        <is>
          <t>1244</t>
        </is>
      </c>
      <c r="B1263" s="4" t="s">
        <f>=HYPERLINK("http://anyluxury.ru/shop/korporativnye-podarki/futlyary-dlya-kart/chehol-dlya-kartochek-apache-siniy-1141440/" , "11414.40 Чехол для карточек Apache, синий")</f>
      </c>
      <c r="C1263" s="4" t="n">
        <v>1320.00</v>
      </c>
      <c r="D1263" s="4"/>
    </row>
    <row collapsed="" customFormat="false" customHeight="1" hidden="" ht="14" outlineLevel="0" r="1264">
      <c r="A1264" s="3" t="inlineStr">
        <is>
          <t>1245</t>
        </is>
      </c>
      <c r="B1264" s="4" t="s">
        <f>=HYPERLINK("http://anyluxury.ru/shop/korporativnye-podarki/futlyary-dlya-kart/chehol-dlya-kartochek-apache-cherniy-1141430/" , "11414.30 Чехол для карточек Apache, черный")</f>
      </c>
      <c r="C1264" s="4" t="n">
        <v>1320.00</v>
      </c>
      <c r="D1264" s="4"/>
    </row>
    <row collapsed="" customFormat="false" customHeight="1" hidden="" ht="14" outlineLevel="0" r="1265">
      <c r="A1265" s="3" t="inlineStr">
        <is>
          <t>1246</t>
        </is>
      </c>
      <c r="B1265" s="4" t="s">
        <f>=HYPERLINK("http://anyluxury.ru/shop/korporativnye-podarki/futlyary-dlya-kart/futlyar-dlya-kart-inserto-cherniy-5202435/" , "52024.35 Футляр для карт Inserto, черный")</f>
      </c>
      <c r="C1265" s="4" t="n">
        <v>2320.00</v>
      </c>
      <c r="D1265" s="4"/>
    </row>
    <row collapsed="" customFormat="false" customHeight="1" hidden="" ht="14" outlineLevel="0" r="1266">
      <c r="A1266" s="3" t="inlineStr">
        <is>
          <t>1247</t>
        </is>
      </c>
      <c r="B1266" s="4" t="s">
        <f>=HYPERLINK("http://anyluxury.ru/shop/korporativnye-podarki/futlyary-dlya-kart/futlyar-dlya-kart-contatto-cherniy-5205630/" , "52056.30 Футляр для карт Contatto, черный")</f>
      </c>
      <c r="C1266" s="4" t="n">
        <v>2160.00</v>
      </c>
      <c r="D1266" s="4"/>
    </row>
    <row collapsed="" customFormat="false" customHeight="1" hidden="" ht="14" outlineLevel="0" r="1267">
      <c r="A1267" s="3" t="inlineStr">
        <is>
          <t>1248</t>
        </is>
      </c>
      <c r="B1267" s="4" t="s">
        <f>=HYPERLINK("http://anyluxury.ru/shop/korporativnye-podarki/futlyary-dlya-kart/futlyar-dlya-kartochek-vernazza-gorizontalniy-bordoviy-5206055/" , "52060.55 Футляр для карточек Vernazza, горизонтальный, бордовый")</f>
      </c>
      <c r="C1267" s="4" t="n">
        <v>1440.00</v>
      </c>
      <c r="D1267" s="4"/>
    </row>
    <row collapsed="" customFormat="false" customHeight="1" hidden="" ht="14" outlineLevel="0" r="1268">
      <c r="A1268" s="3" t="inlineStr">
        <is>
          <t>1249</t>
        </is>
      </c>
      <c r="B1268" s="4" t="s">
        <f>=HYPERLINK("http://anyluxury.ru/shop/korporativnye-podarki/futlyary-dlya-kart/futlyar-dlya-kartochek-vernazza-vertikalniy-siniy-5206140/" , "52061.40 Футляр для карточек Vernazza, вертикальный, синий")</f>
      </c>
      <c r="C1268" s="4" t="n">
        <v>2160.00</v>
      </c>
      <c r="D1268" s="4"/>
    </row>
    <row collapsed="" customFormat="false" customHeight="1" hidden="" ht="14" outlineLevel="0" r="1269">
      <c r="A1269" s="3" t="inlineStr">
        <is>
          <t>1250</t>
        </is>
      </c>
      <c r="B1269" s="4" t="s">
        <f>=HYPERLINK("http://anyluxury.ru/shop/korporativnye-podarki/futlyary-dlya-kart/futlyar-dlya-kartochek-vernazza-vertikalniy-cherniy-5206130/" , "52061.30 Футляр для карточек Vernazza, вертикальный, черный")</f>
      </c>
      <c r="C1269" s="4" t="n">
        <v>2160.00</v>
      </c>
      <c r="D1269" s="4"/>
    </row>
    <row collapsed="" customFormat="false" customHeight="1" hidden="" ht="14" outlineLevel="0" r="1270">
      <c r="A1270" s="3" t="inlineStr">
        <is>
          <t>1251</t>
        </is>
      </c>
      <c r="B1270" s="4" t="s">
        <f>=HYPERLINK("http://anyluxury.ru/shop/korporativnye-podarki/futlyary-dlya-kart/chehol-dlya-kartochek-nebraska-siniy-1288140/" , "12881.40 Чехол для карточек Nebraska, синий")</f>
      </c>
      <c r="C1270" s="4" t="n">
        <v>525.00</v>
      </c>
      <c r="D1270" s="4"/>
    </row>
    <row collapsed="" customFormat="false" customHeight="1" hidden="" ht="14" outlineLevel="0" r="1271">
      <c r="A1271" s="3" t="inlineStr">
        <is>
          <t>1252</t>
        </is>
      </c>
      <c r="B1271" s="4" t="s">
        <f>=HYPERLINK("http://anyluxury.ru/shop/korporativnye-podarki/futlyary-dlya-kart/chehol-dlya-kartochek-nebraska-cherniy-1288130/" , "12881.30 Чехол для карточек Nebraska, черный")</f>
      </c>
      <c r="C1271" s="4" t="n">
        <v>525.00</v>
      </c>
      <c r="D1271" s="4"/>
    </row>
    <row collapsed="" customFormat="false" customHeight="1" hidden="" ht="14" outlineLevel="0" r="1272">
      <c r="A1272" s="3" t="inlineStr">
        <is>
          <t>1253</t>
        </is>
      </c>
      <c r="B1272" s="4" t="s">
        <f>=HYPERLINK("http://anyluxury.ru/shop/korporativnye-podarki/futlyary-dlya-kart/chehol-dlya-kartochek-linen-cherniy-1151430/" , "11514.30 Чехол для карточек Linen, черный")</f>
      </c>
      <c r="C1272" s="4" t="n">
        <v>1200.00</v>
      </c>
      <c r="D1272" s="4"/>
    </row>
    <row collapsed="" customFormat="false" customHeight="1" hidden="" ht="14" outlineLevel="0" r="1273">
      <c r="A1273" s="3" t="inlineStr">
        <is>
          <t>1254</t>
        </is>
      </c>
      <c r="B1273" s="4" t="s">
        <f>=HYPERLINK("http://anyluxury.ru/shop/korporativnye-podarki/futlyary-dlya-kart/futlyar-dlya-kart-s-zazhimom-dlya-kupyur-cooper-cherniy-1156630/" , "11566.30 Футляр для карт с зажимом для купюр Cooper, черный")</f>
      </c>
      <c r="C1273" s="4" t="n">
        <v>3569.00</v>
      </c>
      <c r="D1273" s="4"/>
    </row>
    <row collapsed="" customFormat="false" customHeight="1" hidden="" ht="14" outlineLevel="0" r="1274">
      <c r="A1274" s="3" t="inlineStr">
        <is>
          <t>1255</t>
        </is>
      </c>
      <c r="B1274" s="4" t="s">
        <f>=HYPERLINK("http://anyluxury.ru/shop/korporativnye-podarki/futlyary-dlya-kart/futlyar-dlya-kart-s-zazhimom-dlya-kupyur-cooper-seriy-1156610/" , "11566.10 Футляр для карт с зажимом для купюр Cooper, серый")</f>
      </c>
      <c r="C1274" s="4" t="n">
        <v>3569.00</v>
      </c>
      <c r="D1274" s="4"/>
    </row>
    <row collapsed="" customFormat="false" customHeight="1" hidden="" ht="14" outlineLevel="0" r="1275">
      <c r="A1275" s="3" t="inlineStr">
        <is>
          <t>1256</t>
        </is>
      </c>
      <c r="B1275" s="4" t="s">
        <f>=HYPERLINK("http://anyluxury.ru/shop/korporativnye-podarki/futlyary-dlya-kart/chehol-dlya-kartochki-dorset-siniy-1094240/" , "10942.40 Чехол для карточки Dorset, синий")</f>
      </c>
      <c r="C1275" s="4" t="n">
        <v>169.00</v>
      </c>
      <c r="D1275" s="4"/>
    </row>
    <row collapsed="" customFormat="false" customHeight="1" hidden="" ht="14" outlineLevel="0" r="1276">
      <c r="A1276" s="3" t="inlineStr">
        <is>
          <t>1257</t>
        </is>
      </c>
      <c r="B1276" s="4" t="s">
        <f>=HYPERLINK("http://anyluxury.ru/shop/korporativnye-podarki/futlyary-dlya-kart/chehol-dlya-kartochki-dorset-cherniy-1094230/" , "10942.30 Чехол для карточки Dorset, черный")</f>
      </c>
      <c r="C1276" s="4" t="n">
        <v>169.00</v>
      </c>
      <c r="D1276" s="4"/>
    </row>
    <row collapsed="" customFormat="false" customHeight="1" hidden="" ht="14" outlineLevel="0" r="1277">
      <c r="A1277" s="3" t="inlineStr">
        <is>
          <t>1258</t>
        </is>
      </c>
      <c r="B1277" s="4" t="s">
        <f>=HYPERLINK("http://anyluxury.ru/shop/korporativnye-podarki/futlyary-dlya-kart/chehol-dlya-kartochki-dorset-oranzheviy-1094220/" , "10942.20 Чехол для карточки Dorset, оранжевый")</f>
      </c>
      <c r="C1277" s="4" t="n">
        <v>169.00</v>
      </c>
      <c r="D1277" s="4"/>
    </row>
    <row collapsed="" customFormat="false" customHeight="1" hidden="" ht="14" outlineLevel="0" r="1278">
      <c r="A1278" s="3" t="inlineStr">
        <is>
          <t>1259</t>
        </is>
      </c>
      <c r="B1278" s="4" t="s">
        <f>=HYPERLINK("http://anyluxury.ru/shop/korporativnye-podarki/futlyary-dlya-kart/chehol-dlya-kartochki-dorset-seriy-1094210/" , "10942.10 Чехол для карточки Dorset, серый")</f>
      </c>
      <c r="C1278" s="4" t="n">
        <v>169.00</v>
      </c>
      <c r="D1278" s="4"/>
    </row>
    <row collapsed="" customFormat="false" customHeight="1" hidden="" ht="14" outlineLevel="0" r="1279">
      <c r="A1279" s="3" t="inlineStr">
        <is>
          <t>1260</t>
        </is>
      </c>
      <c r="B1279" s="4" t="s">
        <f>=HYPERLINK("http://anyluxury.ru/shop/korporativnye-podarki/futlyary-dlya-kart/chehol-dlya-kartochki-dorset-krasniy-1094250/" , "10942.50 Чехол для карточки Dorset, красный")</f>
      </c>
      <c r="C1279" s="4" t="n">
        <v>169.00</v>
      </c>
      <c r="D1279" s="4"/>
    </row>
    <row collapsed="" customFormat="false" customHeight="1" hidden="" ht="14" outlineLevel="0" r="1280">
      <c r="A1280" s="3" t="inlineStr">
        <is>
          <t>1261</t>
        </is>
      </c>
      <c r="B1280" s="4" t="s">
        <f>=HYPERLINK("http://anyluxury.ru/shop/korporativnye-podarki/futlyary-dlya-kart/chehol-dlya-kartochek-dorset-cherniy-1094330/" , "10943.30 Чехол для карточек Dorset, черный")</f>
      </c>
      <c r="C1280" s="4" t="n">
        <v>295.00</v>
      </c>
      <c r="D1280" s="4"/>
    </row>
    <row collapsed="" customFormat="false" customHeight="1" hidden="" ht="14" outlineLevel="0" r="1281">
      <c r="A1281" s="3" t="inlineStr">
        <is>
          <t>1262</t>
        </is>
      </c>
      <c r="B1281" s="4" t="s">
        <f>=HYPERLINK("http://anyluxury.ru/shop/korporativnye-podarki/futlyary-dlya-kart/chehol-dlya-kartochek-dorset-oranzheviy-1094320/" , "10943.20 Чехол для карточек Dorset, оранжевый")</f>
      </c>
      <c r="C1281" s="4" t="n">
        <v>295.00</v>
      </c>
      <c r="D1281" s="4"/>
    </row>
    <row collapsed="" customFormat="false" customHeight="1" hidden="" ht="14" outlineLevel="0" r="1282">
      <c r="A1282" s="3" t="inlineStr">
        <is>
          <t>1263</t>
        </is>
      </c>
      <c r="B1282" s="4" t="s">
        <f>=HYPERLINK("http://anyluxury.ru/shop/korporativnye-podarki/futlyary-dlya-kart/chehol-dlya-kartochek-dorset-seriy-1094310/" , "10943.10 Чехол для карточек Dorset, серый")</f>
      </c>
      <c r="C1282" s="4" t="n">
        <v>295.00</v>
      </c>
      <c r="D1282" s="4"/>
    </row>
    <row collapsed="" customFormat="false" customHeight="1" hidden="" ht="14" outlineLevel="0" r="1283">
      <c r="A1283" s="3" t="inlineStr">
        <is>
          <t>1264</t>
        </is>
      </c>
      <c r="B1283" s="4" t="s">
        <f>=HYPERLINK("http://anyluxury.ru/shop/korporativnye-podarki/futlyary-dlya-kart/oblozhka-dlya-avtodokumentov-palermo-sinyaya-15269/" , "15269 Картхолдер Palermo, синий")</f>
      </c>
      <c r="C1283" s="4" t="n">
        <v>2120.00</v>
      </c>
      <c r="D1283" s="4"/>
    </row>
    <row collapsed="" customFormat="false" customHeight="1" hidden="" ht="14" outlineLevel="0" r="1284">
      <c r="A1284" s="3" t="inlineStr">
        <is>
          <t>1265</t>
        </is>
      </c>
      <c r="B1284" s="4" t="s">
        <f>=HYPERLINK("http://anyluxury.ru/shop/korporativnye-podarki/futlyary-dlya-kart/chehol-dlya-kartochek-palermo-siniy-15267/" , "15267 Чехол для карт и автодокументов Palermo, синий")</f>
      </c>
      <c r="C1284" s="4" t="n">
        <v>2500.00</v>
      </c>
      <c r="D1284" s="4"/>
    </row>
    <row collapsed="" customFormat="false" customHeight="1" hidden="" ht="14" outlineLevel="0" r="1285">
      <c r="A1285" s="3" t="inlineStr">
        <is>
          <t>1266</t>
        </is>
      </c>
      <c r="B1285" s="4" t="s">
        <f>=HYPERLINK("http://anyluxury.ru/shop/korporativnye-podarki/futlyary-dlya-kart/chehol-dlya-kartochek-italico-korichneviy-5208759/" , "52087.59 Чехол для карточек Italico, коричневый")</f>
      </c>
      <c r="C1285" s="4" t="n">
        <v>2020.00</v>
      </c>
      <c r="D1285" s="4"/>
    </row>
    <row collapsed="" customFormat="false" customHeight="1" hidden="" ht="14" outlineLevel="0" r="1286">
      <c r="A1286" s="3" t="inlineStr">
        <is>
          <t>1267</t>
        </is>
      </c>
      <c r="B1286" s="4" t="s">
        <f>=HYPERLINK("http://anyluxury.ru/shop/korporativnye-podarki/futlyary-dlya-kart/chehol-dlya-kartochek-italico-krasniy-5208750/" , "52087.50 Чехол для карточек Italico, красный")</f>
      </c>
      <c r="C1286" s="4" t="n">
        <v>2020.00</v>
      </c>
      <c r="D1286" s="4"/>
    </row>
    <row collapsed="" customFormat="false" customHeight="1" hidden="" ht="14" outlineLevel="0" r="1287">
      <c r="A1287" s="3" t="inlineStr">
        <is>
          <t>1268</t>
        </is>
      </c>
      <c r="B1287" s="4" t="s">
        <f>=HYPERLINK("http://anyluxury.ru/shop/korporativnye-podarki/futlyary-dlya-kart/futlyar-dlya-kartochek-italico-cherniy-5208830/" , "52088.30 Футляр для карточек Italico, черный")</f>
      </c>
      <c r="C1287" s="4" t="n">
        <v>2020.00</v>
      </c>
      <c r="D1287" s="4"/>
    </row>
    <row collapsed="" customFormat="false" customHeight="1" hidden="" ht="14" outlineLevel="0" r="1288">
      <c r="A1288" s="3" t="inlineStr">
        <is>
          <t>1269</t>
        </is>
      </c>
      <c r="B1288" s="4" t="s">
        <f>=HYPERLINK("http://anyluxury.ru/shop/korporativnye-podarki/futlyary-dlya-kart/futlyar-dlya-kartochek-italico-krasniy-5208850/" , "52088.50 Футляр для карточек Italico, красный")</f>
      </c>
      <c r="C1288" s="4" t="n">
        <v>2016.00</v>
      </c>
      <c r="D1288" s="4"/>
    </row>
    <row collapsed="" customFormat="false" customHeight="1" hidden="" ht="14" outlineLevel="0" r="1289">
      <c r="A1289" s="3" t="inlineStr">
        <is>
          <t>1270</t>
        </is>
      </c>
      <c r="B1289" s="4" t="s">
        <f>=HYPERLINK("http://anyluxury.ru/shop/korporativnye-podarki/futlyary-dlya-kart/nabor-palermo-siniy-15270/" , "15270 Набор Palermo, синий")</f>
      </c>
      <c r="C1289" s="4" t="n">
        <v>5210.00</v>
      </c>
      <c r="D1289" s="4"/>
    </row>
    <row collapsed="" customFormat="false" customHeight="1" hidden="" ht="14" outlineLevel="0" r="1290">
      <c r="A1290" s="3" t="inlineStr">
        <is>
          <t>1271</t>
        </is>
      </c>
      <c r="B1290" s="4" t="s">
        <f>=HYPERLINK("http://anyluxury.ru/shop/korporativnye-podarki/futlyary-dlya-kart/futlyar-dlya-2-sigar-kozha-chernaya/" , "D408 Футляр для 2 сигар, кожа черная")</f>
      </c>
      <c r="C1290" s="4" t="n">
        <v>12460.00</v>
      </c>
      <c r="D1290" s="4"/>
    </row>
    <row collapsed="" customFormat="false" customHeight="1" hidden="" ht="14" outlineLevel="0" r="1291">
      <c r="A1291" s="3" t="inlineStr">
        <is>
          <t>1272</t>
        </is>
      </c>
      <c r="B1291" s="4" t="s">
        <f>=HYPERLINK("http://anyluxury.ru/shop/korporativnye-podarki/futlyary-dlya-kart/chehol-dlya-kart-alaska-seriy-2100711/" , "21007.11 Чехол для карт Alaska, серый")</f>
      </c>
      <c r="C1291" s="4" t="n">
        <v>930.00</v>
      </c>
      <c r="D1291" s="4"/>
    </row>
    <row collapsed="" customFormat="false" customHeight="1" hidden="" ht="14" outlineLevel="0" r="1292">
      <c r="A1292" s="3" t="inlineStr">
        <is>
          <t>1273</t>
        </is>
      </c>
      <c r="B1292" s="4" t="s">
        <f>=HYPERLINK("http://anyluxury.ru/shop/korporativnye-podarki/futlyary-dlya-kart/chehol-dlya-kart-alaska-cherniy-2100733/" , "21007.33 Чехол для карт Alaska, черный")</f>
      </c>
      <c r="C1292" s="4" t="n">
        <v>930.00</v>
      </c>
      <c r="D1292" s="4"/>
    </row>
    <row collapsed="" customFormat="false" customHeight="1" hidden="" ht="14" outlineLevel="0" r="1293">
      <c r="A1293" s="3" t="inlineStr">
        <is>
          <t>1274</t>
        </is>
      </c>
      <c r="B1293" s="4" t="s">
        <f>=HYPERLINK("http://anyluxury.ru/shop/korporativnye-podarki/futlyary-dlya-kart/chehol-dlya-kartochek-instream-cherniy-1555130/" , "15551.30 Чехол для карточек inStream, черный")</f>
      </c>
      <c r="C1293" s="4" t="n">
        <v>1460.00</v>
      </c>
      <c r="D1293" s="4"/>
    </row>
    <row collapsed="" customFormat="false" customHeight="1" hidden="" ht="14" outlineLevel="0" r="1294">
      <c r="A1294" s="3" t="inlineStr">
        <is>
          <t>1275</t>
        </is>
      </c>
      <c r="B1294" s="4" t="s">
        <f>=HYPERLINK("http://anyluxury.ru/shop/korporativnye-podarki/futlyary-dlya-kart/chehol-dlya-karti-na-telefon-carver-oranzheviy-1334020/" , "13340.20 Чехол для карты на телефон Carver, оранжевый")</f>
      </c>
      <c r="C1294" s="4" t="n">
        <v>165.00</v>
      </c>
      <c r="D1294" s="4"/>
    </row>
    <row collapsed="" customFormat="false" customHeight="1" hidden="" ht="14" outlineLevel="0" r="1295">
      <c r="A1295" s="3" t="inlineStr">
        <is>
          <t>1276</t>
        </is>
      </c>
      <c r="B1295" s="4" t="s">
        <f>=HYPERLINK("http://anyluxury.ru/shop/korporativnye-podarki/futlyary-dlya-kart/futlyar-dlya-kartochek-incase-seriy-s-siniy-3340614/" , "33406.14 Футляр для карточек inCase, серый с синий")</f>
      </c>
      <c r="C1295" s="4" t="n">
        <v>1956.00</v>
      </c>
      <c r="D1295" s="4"/>
    </row>
    <row collapsed="" customFormat="false" customHeight="1" hidden="" ht="14" outlineLevel="0" r="1296">
      <c r="A1296" s="3" t="inlineStr">
        <is>
          <t>1277</t>
        </is>
      </c>
      <c r="B1296" s="4" t="s">
        <f>=HYPERLINK("http://anyluxury.ru/shop/korporativnye-podarki/futlyary-dlya-kart/futlyar-dlya-kartochek-incase-seriy-s-bordovim-3340615/" , "33406.15 Футляр для карточек inCase, серый с бордовым")</f>
      </c>
      <c r="C1296" s="4" t="n">
        <v>1956.00</v>
      </c>
      <c r="D1296" s="4"/>
    </row>
    <row collapsed="" customFormat="false" customHeight="1" hidden="" ht="14" outlineLevel="0" r="1297">
      <c r="A1297" s="3" t="inlineStr">
        <is>
          <t>1278</t>
        </is>
      </c>
      <c r="B1297" s="4" t="s">
        <f>=HYPERLINK("http://anyluxury.ru/shop/korporativnye-podarki/futlyary-dlya-kart/chehol-dlya-kartochki-industry-energetika-7151010/" , "71510.10 Чехол для карточки Industry, энергетика")</f>
      </c>
      <c r="C1297" s="4" t="n">
        <v>193.00</v>
      </c>
      <c r="D1297" s="4"/>
    </row>
    <row collapsed="" customFormat="false" customHeight="1" hidden="" ht="14" outlineLevel="0" r="1298">
      <c r="A1298" s="3" t="inlineStr">
        <is>
          <t>1279</t>
        </is>
      </c>
      <c r="B1298" s="4" t="s">
        <f>=HYPERLINK("http://anyluxury.ru/shop/korporativnye-podarki/futlyary-dlya-kart/chehol-dlya-kartochki-industry-neft-i-gaz-7151030/" , "71510.30 Чехол для карточки Industry, нефть и газ")</f>
      </c>
      <c r="C1298" s="4" t="n">
        <v>250.00</v>
      </c>
      <c r="D1298" s="4"/>
    </row>
    <row collapsed="" customFormat="false" customHeight="1" hidden="" ht="14" outlineLevel="0" r="1299">
      <c r="A1299" s="3" t="inlineStr">
        <is>
          <t>1280</t>
        </is>
      </c>
      <c r="B1299" s="4" t="s">
        <f>=HYPERLINK("http://anyluxury.ru/shop/korporativnye-podarki/futlyary-dlya-kart/chehol-dlya-kartochki-industry-metallurgiya-7151031/" , "71510.31 Чехол для карточки Industry, металлургия")</f>
      </c>
      <c r="C1299" s="4" t="n">
        <v>250.00</v>
      </c>
      <c r="D1299" s="4"/>
    </row>
    <row collapsed="" customFormat="false" customHeight="1" hidden="" ht="14" outlineLevel="0" r="1300">
      <c r="A1300" s="3" t="inlineStr">
        <is>
          <t>1281</t>
        </is>
      </c>
      <c r="B1300" s="4" t="s">
        <f>=HYPERLINK("http://anyluxury.ru/shop/korporativnye-podarki/futlyary-dlya-kart/chehol-dlya-kartochki-industry-zdravoohranenie-7151050/" , "71510.50 Чехол для карточки Industry, здравоохранение")</f>
      </c>
      <c r="C1300" s="4" t="n">
        <v>250.00</v>
      </c>
      <c r="D1300" s="4"/>
    </row>
    <row collapsed="" customFormat="false" customHeight="1" hidden="" ht="14" outlineLevel="0" r="1301">
      <c r="A1301" s="3" t="inlineStr">
        <is>
          <t>1282</t>
        </is>
      </c>
      <c r="B1301" s="4" t="s">
        <f>=HYPERLINK("http://anyluxury.ru/shop/korporativnye-podarki/futlyary-dlya-kart/chehol-dlya-kartochek-na-zakaz-saff-plus-1892901/" , "18929.01 Чехол для карточек Dorset Print на заказ")</f>
      </c>
      <c r="C1301" s="4" t="n">
        <v>284.00</v>
      </c>
      <c r="D1301" s="4"/>
    </row>
    <row collapsed="" customFormat="false" customHeight="1" hidden="" ht="14" outlineLevel="0" r="1302">
      <c r="A1302" s="3" t="inlineStr">
        <is>
          <t>1283</t>
        </is>
      </c>
      <c r="B1302" s="4" t="s">
        <f>=HYPERLINK("http://anyluxury.ru/shop/korporativnye-podarki/futlyary-dlya-kart/chehol-dlya-kartochki-industry-stroitelstvo-7151012/" , "71510.12 Чехол для карточки Industry, строительство")</f>
      </c>
      <c r="C1302" s="4" t="n">
        <v>250.00</v>
      </c>
      <c r="D1302" s="4"/>
    </row>
    <row collapsed="" customFormat="false" customHeight="1" hidden="" ht="14" outlineLevel="0" r="1303">
      <c r="A1303" s="3" t="inlineStr">
        <is>
          <t>1284</t>
        </is>
      </c>
      <c r="B1303" s="4" t="s">
        <f>=HYPERLINK("http://anyluxury.ru/shop/korporativnye-podarki/futlyary-dlya-kart/chehol-dlya-kartochki-industry-logistika-7151041/" , "71510.41 Чехол для карточки Industry, логистика")</f>
      </c>
      <c r="C1303" s="4" t="n">
        <v>189.00</v>
      </c>
      <c r="D1303" s="4"/>
    </row>
    <row collapsed="" customFormat="false" customHeight="1" hidden="" ht="14" outlineLevel="0" r="1304">
      <c r="A1304" s="3" t="inlineStr">
        <is>
          <t>1285</t>
        </is>
      </c>
      <c r="B1304" s="4" t="s">
        <f>=HYPERLINK("http://anyluxury.ru/shop/korporativnye-podarki/futlyary-dlya-kart/chehol-dlya-kartochki-industry-kafe-i-restorani-7151052/" , "71510.52 Чехол для карточки Industry, кафе и рестораны")</f>
      </c>
      <c r="C1304" s="4" t="n">
        <v>250.00</v>
      </c>
      <c r="D1304" s="4"/>
    </row>
    <row collapsed="" customFormat="false" customHeight="1" hidden="" ht="14" outlineLevel="0" r="1305">
      <c r="A1305" s="3" t="inlineStr">
        <is>
          <t>1286</t>
        </is>
      </c>
      <c r="B1305" s="4" t="s">
        <f>=HYPERLINK("http://anyluxury.ru/shop/korporativnye-podarki/futlyary-dlya-kart/chehol-dlya-kartochki-industry-selskoe-hozyaystvo-7151020/" , "71510.20 Чехол для карточки Industry, сельское хозяйство")</f>
      </c>
      <c r="C1305" s="4" t="n">
        <v>250.00</v>
      </c>
      <c r="D1305" s="4"/>
    </row>
    <row collapsed="" customFormat="false" customHeight="1" hidden="" ht="14" outlineLevel="0" r="1306">
      <c r="A1306" s="3" t="inlineStr">
        <is>
          <t>1287</t>
        </is>
      </c>
      <c r="B1306" s="4" t="s">
        <f>=HYPERLINK("http://anyluxury.ru/shop/korporativnye-podarki/futlyary-dlya-kart/chehol-dlya-kart-signature-bordoviy-s-bezhevim-1401915/" , "14019.15 Чехол для карт Signature, бордовый")</f>
      </c>
      <c r="C1306" s="4" t="n">
        <v>1490.00</v>
      </c>
      <c r="D1306" s="4"/>
    </row>
    <row collapsed="" customFormat="false" customHeight="1" hidden="" ht="14" outlineLevel="0" r="1307">
      <c r="A1307" s="3" t="inlineStr">
        <is>
          <t>1288</t>
        </is>
      </c>
      <c r="B1307" s="4" t="s">
        <f>=HYPERLINK("http://anyluxury.ru/shop/korporativnye-podarki/futlyary-dlya-kart/chehol-dlya-kart-signature-siniy-s-golubim-1401944/" , "14019.44 Чехол для карт Signature, синий")</f>
      </c>
      <c r="C1307" s="4" t="n">
        <v>1490.00</v>
      </c>
      <c r="D1307" s="4"/>
    </row>
    <row collapsed="" customFormat="false" customHeight="1" hidden="" ht="14" outlineLevel="0" r="1308">
      <c r="A1308" s="3" t="inlineStr">
        <is>
          <t>1289</t>
        </is>
      </c>
      <c r="B1308" s="4" t="s">
        <f>=HYPERLINK("http://anyluxury.ru/shop/korporativnye-podarki/futlyary-dlya-kart/chehol-dlya-karti-na-telefon-devon-krasniy-1560550/" , "15605.50 Чехол для карты на телефон Devon, красный с серым")</f>
      </c>
      <c r="C1308" s="4" t="n">
        <v>252.00</v>
      </c>
      <c r="D1308" s="4"/>
    </row>
    <row collapsed="" customFormat="false" customHeight="1" hidden="" ht="14" outlineLevel="0" r="1309">
      <c r="A1309" s="3" t="inlineStr">
        <is>
          <t>1290</t>
        </is>
      </c>
      <c r="B1309" s="4" t="s">
        <f>=HYPERLINK("http://anyluxury.ru/shop/korporativnye-podarki/futlyary-dlya-kart/chehol-dlya-karti-na-telefon-devon-cherniy-1560530/" , "15605.30 Чехол для карты на телефон Devon, черный")</f>
      </c>
      <c r="C1309" s="4" t="n">
        <v>252.00</v>
      </c>
      <c r="D1309" s="4"/>
    </row>
    <row collapsed="" customFormat="false" customHeight="1" hidden="" ht="14" outlineLevel="0" r="1310">
      <c r="A1310" s="3" t="inlineStr">
        <is>
          <t>1291</t>
        </is>
      </c>
      <c r="B1310" s="4" t="s">
        <f>=HYPERLINK("http://anyluxury.ru/shop/korporativnye-podarki/futlyary-dlya-kart/chehol-dlya-karti-na-telefon-devon-seriy-1560510/" , "15605.10 Чехол для карты на телефон Devon, серый")</f>
      </c>
      <c r="C1310" s="4" t="n">
        <v>252.00</v>
      </c>
      <c r="D1310" s="4"/>
    </row>
    <row collapsed="" customFormat="false" customHeight="1" hidden="" ht="14" outlineLevel="0" r="1311">
      <c r="A1311" s="3" t="inlineStr">
        <is>
          <t>1292</t>
        </is>
      </c>
      <c r="B1311" s="4" t="s">
        <f>=HYPERLINK("http://anyluxury.ru/shop/korporativnye-podarki/futlyary-dlya-kart/kartholder-multimo-cherniy-s-krasnim-1752335/" , "17523.35 Картхолдер Multimo, черный с красным")</f>
      </c>
      <c r="C1311" s="4" t="n">
        <v>800.00</v>
      </c>
      <c r="D1311" s="4"/>
    </row>
    <row collapsed="" customFormat="false" customHeight="1" hidden="" ht="14" outlineLevel="0" r="1312">
      <c r="A1312" s="3" t="inlineStr">
        <is>
          <t>1293</t>
        </is>
      </c>
      <c r="B1312" s="4" t="s">
        <f>=HYPERLINK("http://anyluxury.ru/shop/korporativnye-podarki/futlyary-dlya-kart/kartholder-multimo-cherniy-s-sinim-1752334/" , "17523.34 Картхолдер Multimo, черный с синим")</f>
      </c>
      <c r="C1312" s="4" t="n">
        <v>800.00</v>
      </c>
      <c r="D1312" s="4"/>
    </row>
    <row collapsed="" customFormat="false" customHeight="1" hidden="" ht="14" outlineLevel="0" r="1313">
      <c r="A1313" s="3" t="inlineStr">
        <is>
          <t>1294</t>
        </is>
      </c>
      <c r="B1313" s="4" t="s">
        <f>=HYPERLINK("http://anyluxury.ru/shop/korporativnye-podarki/futlyary-dlya-kart/kartholder-multimo-cherniy-s-zheltim-1752338/" , "17523.38 Картхолдер Multimo, черный с желтым")</f>
      </c>
      <c r="C1313" s="4" t="n">
        <v>800.00</v>
      </c>
      <c r="D1313" s="4"/>
    </row>
    <row collapsed="" customFormat="false" customHeight="1" hidden="" ht="14" outlineLevel="0" r="1314">
      <c r="A1314" s="3" t="inlineStr">
        <is>
          <t>1295</t>
        </is>
      </c>
      <c r="B1314" s="4" t="s">
        <f>=HYPERLINK("http://anyluxury.ru/shop/korporativnye-podarki/futlyary-dlya-kart/chehol-dlya-kartochek-devon-cherniy-1626230/" , "16262.30 Чехол для карточек Devon, черный")</f>
      </c>
      <c r="C1314" s="4" t="n">
        <v>583.00</v>
      </c>
      <c r="D1314" s="4"/>
    </row>
    <row collapsed="" customFormat="false" customHeight="1" hidden="" ht="14" outlineLevel="0" r="1315">
      <c r="A1315" s="3" t="inlineStr">
        <is>
          <t>1296</t>
        </is>
      </c>
      <c r="B1315" s="4" t="s">
        <f>=HYPERLINK("http://anyluxury.ru/shop/korporativnye-podarki/futlyary-dlya-kart/chehol-dlya-kartochek-devon-svetloseriy-1626211/" , "16262.11 Чехол для карточек Devon, серый")</f>
      </c>
      <c r="C1315" s="4" t="n">
        <v>583.00</v>
      </c>
      <c r="D1315" s="4"/>
    </row>
    <row collapsed="" customFormat="false" customHeight="1" hidden="" ht="14" outlineLevel="0" r="1316">
      <c r="A1316" s="3" t="inlineStr">
        <is>
          <t>1297</t>
        </is>
      </c>
      <c r="B1316" s="4" t="s">
        <f>=HYPERLINK("http://anyluxury.ru/shop/korporativnye-podarki/futlyary-dlya-kart/chehol-dlya-kartochek-devon-krasniy-1626250/" , "16262.50 Чехол для карточек Devon, красный")</f>
      </c>
      <c r="C1316" s="4" t="n">
        <v>583.00</v>
      </c>
      <c r="D1316" s="4"/>
    </row>
    <row collapsed="" customFormat="false" customHeight="1" hidden="" ht="14" outlineLevel="0" r="1317">
      <c r="A1317" s="3" t="inlineStr">
        <is>
          <t>1298</t>
        </is>
      </c>
      <c r="B1317" s="4" t="s">
        <f>=HYPERLINK("http://anyluxury.ru/shop/korporativnye-podarki/futlyary-dlya-kart/chehol-dlya-kartochek-devon-siniy-1626240/" , "16262.40 Чехол для карточек Devon, синий")</f>
      </c>
      <c r="C1317" s="4" t="n">
        <v>583.00</v>
      </c>
      <c r="D1317" s="4"/>
    </row>
    <row collapsed="" customFormat="false" customHeight="1" hidden="" ht="14" outlineLevel="0" r="1318">
      <c r="A1318" s="3" t="inlineStr">
        <is>
          <t>1299</t>
        </is>
      </c>
      <c r="B1318" s="4" t="s">
        <f>=HYPERLINK("http://anyluxury.ru/shop/korporativnye-podarki/futlyary-dlya-kart/chehol-dlya-karti-na-telefon-alaska-cherniy-2102733/" , "21027.33 Чехол для карты на телефон Alaska, черный")</f>
      </c>
      <c r="C1318" s="4" t="n">
        <v>423.00</v>
      </c>
      <c r="D1318" s="4"/>
    </row>
    <row collapsed="" customFormat="false" customHeight="1" hidden="" ht="14" outlineLevel="0" r="1319">
      <c r="A1319" s="3" t="inlineStr">
        <is>
          <t>1300</t>
        </is>
      </c>
      <c r="B1319" s="4" t="s">
        <f>=HYPERLINK("http://anyluxury.ru/shop/korporativnye-podarki/futlyary-dlya-kart/chehol-dlya-karti-na-telefon-alaska-siniy-2102744/" , "21027.44 Чехол для карты на телефон Alaska, синий")</f>
      </c>
      <c r="C1319" s="4" t="n">
        <v>423.00</v>
      </c>
      <c r="D1319" s="4"/>
    </row>
    <row collapsed="" customFormat="false" customHeight="1" hidden="" ht="14" outlineLevel="0" r="1320">
      <c r="A1320" s="3" t="inlineStr">
        <is>
          <t>1301</t>
        </is>
      </c>
      <c r="B1320" s="4" t="s">
        <f>=HYPERLINK("http://anyluxury.ru/shop/korporativnye-podarki/futlyary-dlya-kart/chehol-dlya-karti-na-telefon-alaska-seriy-2102711/" , "21027.11 Чехол для карты на телефон Alaska, серый")</f>
      </c>
      <c r="C1320" s="4" t="n">
        <v>423.00</v>
      </c>
      <c r="D1320" s="4"/>
    </row>
    <row collapsed="" customFormat="false" customHeight="1" hidden="" ht="14" outlineLevel="0" r="1321">
      <c r="A1321" s="3" t="inlineStr">
        <is>
          <t>1302</t>
        </is>
      </c>
      <c r="B1321" s="4" t="s">
        <f>=HYPERLINK("http://anyluxury.ru/shop/korporativnye-podarki/futlyary-dlya-kart/chehol-dlya-karti-na-telefon-devon-krasniy-1560555/" , "15605.55 Чехол для карты на телефон Devon, красный")</f>
      </c>
      <c r="C1321" s="4" t="n">
        <v>252.00</v>
      </c>
      <c r="D1321" s="4"/>
    </row>
    <row collapsed="" customFormat="false" customHeight="1" hidden="" ht="14" outlineLevel="0" r="1322">
      <c r="A1322" s="3" t="inlineStr">
        <is>
          <t>1303</t>
        </is>
      </c>
      <c r="B1322" s="4" t="s">
        <f>=HYPERLINK("http://anyluxury.ru/shop/korporativnye-podarki/futlyary-dlya-kart/chehol-dlya-karti-na-telefon-devon-siniy-1560544/" , "15605.44 Чехол для карты на телефон Devon, синий")</f>
      </c>
      <c r="C1322" s="4" t="n">
        <v>252.00</v>
      </c>
      <c r="D1322" s="4"/>
    </row>
    <row collapsed="" customFormat="false" customHeight="1" hidden="" ht="14" outlineLevel="0" r="1323">
      <c r="A1323" s="3" t="inlineStr">
        <is>
          <t>1304</t>
        </is>
      </c>
      <c r="B1323" s="4" t="s">
        <f>=HYPERLINK("http://anyluxury.ru/shop/korporativnye-podarki/futlyary-dlya-kart/chehol-dlya-kartochek-devon-zeleniy-1626290/" , "16262.90 Чехол для карточек Devon, зеленый")</f>
      </c>
      <c r="C1323" s="4" t="n">
        <v>583.00</v>
      </c>
      <c r="D1323" s="4"/>
    </row>
    <row collapsed="" customFormat="false" customHeight="1" hidden="" ht="14" outlineLevel="0" r="1324">
      <c r="A1324" s="3" t="inlineStr">
        <is>
          <t>1305</t>
        </is>
      </c>
      <c r="B1324" s="4" t="s">
        <f>=HYPERLINK("http://anyluxury.ru/shop/korporativnye-podarki/futlyary-dlya-kart/chehol-dlya-karti-na-telefon-alaska-fioletoviy-2102777/" , "21027.77 Чехол для карты на телефон Alaska, фиолетовый")</f>
      </c>
      <c r="C1324" s="4" t="n">
        <v>377.00</v>
      </c>
      <c r="D1324" s="4"/>
    </row>
    <row collapsed="" customFormat="false" customHeight="1" hidden="" ht="14" outlineLevel="0" r="1325">
      <c r="A1325" s="3" t="inlineStr">
        <is>
          <t>1306</t>
        </is>
      </c>
      <c r="B1325" s="4" t="s">
        <f>=HYPERLINK("http://anyluxury.ru/shop/korporativnye-podarki/futlyary-dlya-kart/chehol-dlya-karti-na-telefon-devon-print-na-zakaz-1560500/" , "15605.00 Чехол для карты на телефон Devon Print на заказ")</f>
      </c>
      <c r="C1325" s="4" t="n">
        <v>269.00</v>
      </c>
      <c r="D1325" s="4"/>
    </row>
    <row collapsed="" customFormat="false" customHeight="1" hidden="" ht="14" outlineLevel="0" r="1326">
      <c r="A1326" s="3" t="inlineStr">
        <is>
          <t>1307</t>
        </is>
      </c>
      <c r="B1326" s="4" t="s">
        <f>=HYPERLINK("http://anyluxury.ru/shop/korporativnye-podarki/futlyary-dlya-kart/chehol-dlya-kartochek-devon-print-na-zakaz-1626200/" , "16262.00 Чехол для карточек Devon Print на заказ")</f>
      </c>
      <c r="C1326" s="4" t="n">
        <v>516.00</v>
      </c>
      <c r="D1326" s="4"/>
    </row>
    <row collapsed="" customFormat="false" customHeight="1" hidden="" ht="14" outlineLevel="0" r="1327">
      <c r="A1327" s="3" t="inlineStr">
        <is>
          <t>1308</t>
        </is>
      </c>
      <c r="B1327" s="4" t="s">
        <f>=HYPERLINK("http://anyluxury.ru/shop/korporativnye-podarki/futlyary-dlya-kart/chehol-dlya-kart-remini-temnosiniy-5560640/" , "55606.40 Чехол для карт Remini, темно-синий")</f>
      </c>
      <c r="C1327" s="4" t="n">
        <v>1700.00</v>
      </c>
      <c r="D1327" s="4"/>
    </row>
    <row collapsed="" customFormat="false" customHeight="1" hidden="" ht="14" outlineLevel="0" r="1328">
      <c r="A1328" s="3" t="inlineStr">
        <is>
          <t>1309</t>
        </is>
      </c>
      <c r="B1328" s="4" t="s">
        <f>=HYPERLINK("http://anyluxury.ru/shop/korporativnye-podarki/futlyary-dlya-kart/chehol-dlya-kart-remini-cherniy-5560630/" , "55606.30 Чехол для карт Remini, черный")</f>
      </c>
      <c r="C1328" s="4" t="n">
        <v>1700.00</v>
      </c>
      <c r="D1328" s="4"/>
    </row>
    <row collapsed="" customFormat="false" customHeight="1" hidden="" ht="14" outlineLevel="0" r="1329">
      <c r="A1329" s="3" t="inlineStr">
        <is>
          <t>1310</t>
        </is>
      </c>
      <c r="B1329" s="4" t="s">
        <f>=HYPERLINK("http://anyluxury.ru/shop/korporativnye-podarki/futlyary-dlya-kart/chehol-dlya-kart-remini-bezheviy-5560611/" , "55606.11 Чехол для карт Remini, бежевый")</f>
      </c>
      <c r="C1329" s="4" t="n">
        <v>1700.00</v>
      </c>
      <c r="D1329" s="4"/>
    </row>
    <row collapsed="" customFormat="false" customHeight="1" hidden="" ht="14" outlineLevel="0" r="1330">
      <c r="A1330" s="3" t="inlineStr">
        <is>
          <t>1311</t>
        </is>
      </c>
      <c r="B1330" s="4" t="s">
        <f>=HYPERLINK("http://anyluxury.ru/shop/korporativnye-podarki/futlyary-dlya-kart/chehol-dlya-kartochek-arrival-cherniy-s-sinim-1615334/" , "16153.34 Чехол для карточек Arrival, черный с синим")</f>
      </c>
      <c r="C1330" s="4" t="n">
        <v>1725.00</v>
      </c>
      <c r="D1330" s="4"/>
    </row>
    <row collapsed="" customFormat="false" customHeight="1" hidden="" ht="14" outlineLevel="0" r="1331">
      <c r="A1331" s="3" t="inlineStr">
        <is>
          <t>1312</t>
        </is>
      </c>
      <c r="B1331" s="4" t="s">
        <f>=HYPERLINK("http://anyluxury.ru/shop/korporativnye-podarki/futlyary-dlya-kart/chehol-dlya-kartochek-arrival-cherniy-s-krasnim-1615335/" , "16153.35 Чехол для карточек Arrival, черный с красным")</f>
      </c>
      <c r="C1331" s="4" t="n">
        <v>1725.00</v>
      </c>
      <c r="D1331" s="4"/>
    </row>
    <row collapsed="" customFormat="false" customHeight="1" hidden="" ht="14" outlineLevel="0" r="1332">
      <c r="A1332" s="3" t="inlineStr">
        <is>
          <t>1313</t>
        </is>
      </c>
      <c r="B1332" s="4" t="s">
        <f>=HYPERLINK("http://anyluxury.ru/shop/korporativnye-podarki/futlyary-dlya-kart/chehol-dlya-kartochek-dorset-zeleniy-1094390/" , "10943.90 Чехол для карточек Dorset, зеленый")</f>
      </c>
      <c r="C1332" s="4" t="n">
        <v>295.00</v>
      </c>
      <c r="D1332" s="4"/>
    </row>
    <row collapsed="" customFormat="false" customHeight="1" hidden="" ht="14" outlineLevel="0" r="1333">
      <c r="A1333" s="3" t="inlineStr">
        <is>
          <t>1314</t>
        </is>
      </c>
      <c r="B1333" s="4" t="s">
        <f>=HYPERLINK("http://anyluxury.ru/shop/korporativnye-podarki/futlyary-dlya-kart/chehol-dlya-kartochki-dorset-zeleniy-1094290/" , "10942.90 Чехол для карточки Dorset, зеленый")</f>
      </c>
      <c r="C1333" s="4" t="n">
        <v>169.00</v>
      </c>
      <c r="D1333" s="4"/>
    </row>
    <row collapsed="" customFormat="false" customHeight="1" hidden="" ht="14" outlineLevel="0" r="1334">
      <c r="A1334" s="3" t="inlineStr">
        <is>
          <t>1315</t>
        </is>
      </c>
      <c r="B1334" s="4" t="s">
        <f>=HYPERLINK("http://anyluxury.ru/shop/korporativnye-podarki/futlyary-dlya-kart/chehol-dlya-kartochek-devon-oranzheviy-1626220/" , "16262.20 Чехол для карточек Devon, оранжевый")</f>
      </c>
      <c r="C1334" s="4" t="n">
        <v>583.00</v>
      </c>
      <c r="D1334" s="4"/>
    </row>
    <row collapsed="" customFormat="false" customHeight="1" hidden="" ht="14" outlineLevel="0" r="1335">
      <c r="A1335" s="3" t="inlineStr">
        <is>
          <t>1316</t>
        </is>
      </c>
      <c r="B1335" s="4" t="s">
        <f>=HYPERLINK("http://anyluxury.ru/shop/korporativnye-podarki/futlyary-dlya-kart/chehol-dlya-kartochek-devon-temno-zeleniy-1626299/" , "16262.99 Чехол для карточек Devon, темно- зеленый")</f>
      </c>
      <c r="C1335" s="4" t="n">
        <v>583.00</v>
      </c>
      <c r="D1335" s="4"/>
    </row>
    <row collapsed="" customFormat="false" customHeight="1" hidden="" ht="14" outlineLevel="0" r="1336">
      <c r="A1336" s="3" t="inlineStr">
        <is>
          <t>1317</t>
        </is>
      </c>
      <c r="B1336" s="4" t="s">
        <f>=HYPERLINK("http://anyluxury.ru/shop/korporativnye-podarki/futlyary-dlya-kart/chehol-dlya-kartochek-devon-zheltiy-1626280/" , "16262.80 Чехол для карточек Devon, желтый")</f>
      </c>
      <c r="C1336" s="4" t="n">
        <v>583.00</v>
      </c>
      <c r="D1336" s="4"/>
    </row>
    <row collapsed="" customFormat="false" customHeight="1" hidden="" ht="14" outlineLevel="0" r="1337">
      <c r="A1337" s="3" t="inlineStr">
        <is>
          <t>1318</t>
        </is>
      </c>
      <c r="B1337" s="4" t="s">
        <f>=HYPERLINK("http://anyluxury.ru/shop/korporativnye-podarki/futlyary-dlya-kart/chehol-dlya-kartochek-apache-biryuzoviy-1141449/" , "11414.49 Чехол для карточек Apache, бирюзовый")</f>
      </c>
      <c r="C1337" s="4" t="n">
        <v>1320.00</v>
      </c>
      <c r="D1337" s="4"/>
    </row>
    <row collapsed="" customFormat="false" customHeight="1" hidden="" ht="14" outlineLevel="0" r="1338">
      <c r="A1338" s="3" t="inlineStr">
        <is>
          <t>1319</t>
        </is>
      </c>
      <c r="B1338" s="4" t="s">
        <f>=HYPERLINK("http://anyluxury.ru/shop/korporativnye-podarki/futlyary-dlya-kart/chehol-dlya-kartochek-apache-temnokrasniy-1141405/" , "11414.05 Чехол для карточек Apache, темно-красный")</f>
      </c>
      <c r="C1338" s="4" t="n">
        <v>1320.00</v>
      </c>
      <c r="D1338" s="4"/>
    </row>
    <row collapsed="" customFormat="false" customHeight="1" hidden="" ht="14" outlineLevel="0" r="1339">
      <c r="A1339" s="3" t="inlineStr">
        <is>
          <t>1320</t>
        </is>
      </c>
      <c r="B1339" s="4" t="s">
        <f>=HYPERLINK("http://anyluxury.ru/shop/korporativnye-podarki/futlyary-dlya-kart/chehol-dlya-kartochek-apache-temnozeleniy-1141499/" , "11414.99 Чехол для карточек Apache, темно-зеленый")</f>
      </c>
      <c r="C1339" s="4" t="n">
        <v>1320.00</v>
      </c>
      <c r="D1339" s="4"/>
    </row>
    <row collapsed="" customFormat="false" customHeight="1" hidden="" ht="14" outlineLevel="0" r="1340">
      <c r="A1340" s="3" t="inlineStr">
        <is>
          <t>1321</t>
        </is>
      </c>
      <c r="B1340" s="4" t="s">
        <f>=HYPERLINK("http://anyluxury.ru/shop/korporativnye-podarki/futlyary-dlya-kart/chehol-dlya-kartochek-apache-seriy-1141410/" , "11414.10 Чехол для карточек Apache, серый")</f>
      </c>
      <c r="C1340" s="4" t="n">
        <v>1320.00</v>
      </c>
      <c r="D1340" s="4"/>
    </row>
    <row collapsed="" customFormat="false" customHeight="1" hidden="" ht="14" outlineLevel="0" r="1341">
      <c r="A1341" s="3" t="inlineStr">
        <is>
          <t>1322</t>
        </is>
      </c>
      <c r="B1341" s="4" t="s">
        <f>=HYPERLINK("http://anyluxury.ru/shop/korporativnye-podarki/futlyary-dlya-kart/chehol-dlya-kartochek-apache-temnokorichneviy-1141451/" , "11414.51 Чехол для карточек Apache, темно-коричневый")</f>
      </c>
      <c r="C1341" s="4" t="n">
        <v>1320.00</v>
      </c>
      <c r="D1341" s="4"/>
    </row>
    <row collapsed="" customFormat="false" customHeight="1" hidden="" ht="14" outlineLevel="0" r="1342">
      <c r="A1342" s="3" t="inlineStr">
        <is>
          <t>1323</t>
        </is>
      </c>
      <c r="B1342" s="4" t="s">
        <f>=HYPERLINK("http://anyluxury.ru/shop/korporativnye-podarki/futlyary-dlya-kart/kartholder-s-otdeleniem-dlya-kupyur-dual-siniy-1562341/" , "15623.41 Картхолдер с отделением для купюр Dual, синий")</f>
      </c>
      <c r="C1342" s="4" t="n">
        <v>693.00</v>
      </c>
      <c r="D1342" s="4"/>
    </row>
    <row collapsed="" customFormat="false" customHeight="1" hidden="" ht="14" outlineLevel="0" r="1343">
      <c r="A1343" s="3" t="inlineStr">
        <is>
          <t>1324</t>
        </is>
      </c>
      <c r="B1343" s="4" t="s">
        <f>=HYPERLINK("http://anyluxury.ru/shop/korporativnye-podarki/futlyary-dlya-kart/kartholder-s-otdeleniem-dlya-kupyur-dual-oranzheviy-1562321/" , "15623.21 Картхолдер с отделением для купюр Dual, оранжевый")</f>
      </c>
      <c r="C1343" s="4" t="n">
        <v>693.00</v>
      </c>
      <c r="D1343" s="4"/>
    </row>
    <row collapsed="" customFormat="false" customHeight="1" hidden="" ht="14" outlineLevel="0" r="1344">
      <c r="A1344" s="3" t="inlineStr">
        <is>
          <t>1325</t>
        </is>
      </c>
      <c r="B1344" s="4" t="s">
        <f>=HYPERLINK("http://anyluxury.ru/shop/korporativnye-podarki/futlyary-dlya-kart/kartholder-s-otdeleniem-dlya-kupyur-dual-krasniy-1562351/" , "15623.51 Картхолдер с отделением для купюр Dual, красный")</f>
      </c>
      <c r="C1344" s="4" t="n">
        <v>693.00</v>
      </c>
      <c r="D1344" s="4"/>
    </row>
    <row collapsed="" customFormat="false" customHeight="1" hidden="" ht="14" outlineLevel="0" r="1345">
      <c r="A1345" s="3" t="inlineStr">
        <is>
          <t>1326</t>
        </is>
      </c>
      <c r="B1345" s="4" t="s">
        <f>=HYPERLINK("http://anyluxury.ru/shop/korporativnye-podarki/futlyary-dlya-kart/kartholder-s-otdeleniem-dlya-kupyur-dual-zeleniy-1562391/" , "15623.91 Картхолдер с отделением для купюр Dual, зеленый")</f>
      </c>
      <c r="C1345" s="4" t="n">
        <v>693.00</v>
      </c>
      <c r="D1345" s="4"/>
    </row>
    <row collapsed="" customFormat="false" customHeight="1" hidden="" ht="14" outlineLevel="0" r="1346">
      <c r="A1346" s="3" t="inlineStr">
        <is>
          <t>1327</t>
        </is>
      </c>
      <c r="B1346" s="4" t="s">
        <f>=HYPERLINK("http://anyluxury.ru/shop/korporativnye-podarki/futlyary-dlya-kart/kartholder-s-otdeleniem-dlya-kupyur-dual-zheltiy-1562381/" , "15623.81 Картхолдер с отделением для купюр Dual, желтый")</f>
      </c>
      <c r="C1346" s="4" t="n">
        <v>693.00</v>
      </c>
      <c r="D1346" s="4"/>
    </row>
    <row collapsed="" customFormat="false" customHeight="1" hidden="" ht="14" outlineLevel="0" r="1347">
      <c r="A1347" s="3" t="inlineStr">
        <is>
          <t>1328</t>
        </is>
      </c>
      <c r="B1347" s="4" t="s">
        <f>=HYPERLINK("http://anyluxury.ru/shop/korporativnye-podarki/futlyary-dlya-kart/chehol-dlya-kartochek-dual-siniy-1562441/" , "15624.41 Чехол для карточек Dual, синий")</f>
      </c>
      <c r="C1347" s="4" t="n">
        <v>314.00</v>
      </c>
      <c r="D1347" s="4"/>
    </row>
    <row collapsed="" customFormat="false" customHeight="1" hidden="" ht="14" outlineLevel="0" r="1348">
      <c r="A1348" s="3" t="inlineStr">
        <is>
          <t>1329</t>
        </is>
      </c>
      <c r="B1348" s="4" t="s">
        <f>=HYPERLINK("http://anyluxury.ru/shop/korporativnye-podarki/futlyary-dlya-kart/chehol-dlya-kartochek-dual-oranzheviy-1562421/" , "15624.21 Чехол для карточек Dual, оранжевый")</f>
      </c>
      <c r="C1348" s="4" t="n">
        <v>314.00</v>
      </c>
      <c r="D1348" s="4"/>
    </row>
    <row collapsed="" customFormat="false" customHeight="1" hidden="" ht="14" outlineLevel="0" r="1349">
      <c r="A1349" s="3" t="inlineStr">
        <is>
          <t>1330</t>
        </is>
      </c>
      <c r="B1349" s="4" t="s">
        <f>=HYPERLINK("http://anyluxury.ru/shop/korporativnye-podarki/futlyary-dlya-kart/chehol-dlya-kartochek-dual-krasniy-1562451/" , "15624.51 Чехол для карточек Dual, красный")</f>
      </c>
      <c r="C1349" s="4" t="n">
        <v>314.00</v>
      </c>
      <c r="D1349" s="4"/>
    </row>
    <row collapsed="" customFormat="false" customHeight="1" hidden="" ht="14" outlineLevel="0" r="1350">
      <c r="A1350" s="3" t="inlineStr">
        <is>
          <t>1331</t>
        </is>
      </c>
      <c r="B1350" s="4" t="s">
        <f>=HYPERLINK("http://anyluxury.ru/shop/korporativnye-podarki/futlyary-dlya-kart/chehol-dlya-kartochek-dual-zeleniy-1562491/" , "15624.91 Чехол для карточек Dual, зеленый")</f>
      </c>
      <c r="C1350" s="4" t="n">
        <v>314.00</v>
      </c>
      <c r="D1350" s="4"/>
    </row>
    <row collapsed="" customFormat="false" customHeight="1" hidden="" ht="14" outlineLevel="0" r="1351">
      <c r="A1351" s="3" t="inlineStr">
        <is>
          <t>1332</t>
        </is>
      </c>
      <c r="B1351" s="4" t="s">
        <f>=HYPERLINK("http://anyluxury.ru/shop/korporativnye-podarki/futlyary-dlya-kart/chehol-dlya-kartochek-dual-zheltiy-1562481/" , "15624.81 Чехол для карточек Dual, желтый")</f>
      </c>
      <c r="C1351" s="4" t="n">
        <v>314.00</v>
      </c>
      <c r="D1351" s="4"/>
    </row>
    <row collapsed="" customFormat="false" customHeight="1" hidden="" ht="14" outlineLevel="0" r="1352">
      <c r="A1352" s="3" t="inlineStr">
        <is>
          <t>1333</t>
        </is>
      </c>
      <c r="B1352" s="4" t="s">
        <f>=HYPERLINK("http://anyluxury.ru/shop/korporativnye-podarki/futlyary-dlya-kart/chehol-dlya-kartochek-dual-svetlosiniy-1562414/" , "15624.14 Чехол для карточек Dual, светло-синий")</f>
      </c>
      <c r="C1352" s="4" t="n">
        <v>314.00</v>
      </c>
      <c r="D1352" s="4"/>
    </row>
    <row collapsed="" customFormat="false" customHeight="1" hidden="" ht="14" outlineLevel="0" r="1353">
      <c r="A1353" s="3" t="inlineStr">
        <is>
          <t>1334</t>
        </is>
      </c>
      <c r="B1353" s="4" t="s">
        <f>=HYPERLINK("http://anyluxury.ru/shop/korporativnye-podarki/futlyary-dlya-kart/chehol-dlya-kartochek-nubuk-svetloseriy-1808111/" , "18081.11 Чехол для карточек Nubuk, светло-серый")</f>
      </c>
      <c r="C1353" s="4" t="n">
        <v>834.00</v>
      </c>
      <c r="D1353" s="4"/>
    </row>
    <row collapsed="" customFormat="false" customHeight="1" hidden="" ht="14" outlineLevel="0" r="1354">
      <c r="A1354" s="3" t="inlineStr">
        <is>
          <t>1335</t>
        </is>
      </c>
      <c r="B1354" s="4" t="s">
        <f>=HYPERLINK("http://anyluxury.ru/shop/korporativnye-podarki/futlyary-dlya-kart/chehol-dlya-kartochek-nubuk-siniy-1808140/" , "18081.40 Чехол для карточек Nubuk, синий")</f>
      </c>
      <c r="C1354" s="4" t="n">
        <v>834.00</v>
      </c>
      <c r="D1354" s="4"/>
    </row>
    <row collapsed="" customFormat="false" customHeight="1" hidden="" ht="14" outlineLevel="0" r="1355">
      <c r="A1355" s="3" t="inlineStr">
        <is>
          <t>1336</t>
        </is>
      </c>
      <c r="B1355" s="4" t="s">
        <f>=HYPERLINK("http://anyluxury.ru/shop/korporativnye-podarki/futlyary-dlya-kart/chehol-dlya-kartochek-nubuk-cherniy-1808130/" , "18081.30 Чехол для карточек Nubuk, черный")</f>
      </c>
      <c r="C1355" s="4" t="n">
        <v>834.00</v>
      </c>
      <c r="D1355" s="4"/>
    </row>
    <row collapsed="" customFormat="false" customHeight="1" hidden="" ht="14" outlineLevel="0" r="1356">
      <c r="A1356" s="3" t="inlineStr">
        <is>
          <t>1337</t>
        </is>
      </c>
      <c r="B1356" s="4" t="s">
        <f>=HYPERLINK("http://anyluxury.ru/shop/korporativnye-podarki/futlyary-dlya-kart/chehol-dlya-kartochek-petrus-siniy-1552840/" , "15528.40 Чехол для карточек Petrus, синий")</f>
      </c>
      <c r="C1356" s="4" t="n">
        <v>834.00</v>
      </c>
      <c r="D1356" s="4"/>
    </row>
    <row collapsed="" customFormat="false" customHeight="1" hidden="" ht="14" outlineLevel="0" r="1357">
      <c r="A1357" s="3" t="inlineStr">
        <is>
          <t>1338</t>
        </is>
      </c>
      <c r="B1357" s="4" t="s">
        <f>=HYPERLINK("http://anyluxury.ru/shop/korporativnye-podarki/futlyary-dlya-kart/chehol-dlya-kartochek-petrus-cherniy-1552830/" , "15528.30 Чехол для карточек Petrus, черный")</f>
      </c>
      <c r="C1357" s="4" t="n">
        <v>834.00</v>
      </c>
      <c r="D1357" s="4"/>
    </row>
    <row collapsed="" customFormat="false" customHeight="1" hidden="" ht="14" outlineLevel="0" r="1358">
      <c r="A1358" s="3" t="inlineStr">
        <is>
          <t>1339</t>
        </is>
      </c>
      <c r="B1358" s="4" t="s">
        <f>=HYPERLINK("http://anyluxury.ru/shop/korporativnye-podarki/futlyary-dlya-kart/chehol-dlya-kartochek-petrus-krasniy-1552850/" , "15528.50 Чехол для карточек Petrus, красный")</f>
      </c>
      <c r="C1358" s="4" t="n">
        <v>834.00</v>
      </c>
      <c r="D1358" s="4"/>
    </row>
    <row collapsed="" customFormat="false" customHeight="1" hidden="" ht="14" outlineLevel="0" r="1359">
      <c r="A1359" s="3" t="inlineStr">
        <is>
          <t>1340</t>
        </is>
      </c>
      <c r="B1359" s="4" t="s">
        <f>=HYPERLINK("http://anyluxury.ru/shop/korporativnye-podarki/futlyary-dlya-kart/chehol-dlya-kartochek-petrus-zeleniy-1552890/" , "15528.90 Чехол для карточек Petrus, зеленый")</f>
      </c>
      <c r="C1359" s="4" t="n">
        <v>834.00</v>
      </c>
      <c r="D1359" s="4"/>
    </row>
    <row collapsed="" customFormat="false" customHeight="1" hidden="" ht="14" outlineLevel="0" r="1360">
      <c r="A1360" s="3" t="inlineStr">
        <is>
          <t>1341</t>
        </is>
      </c>
      <c r="B1360" s="4" t="s">
        <f>=HYPERLINK("http://anyluxury.ru/shop/korporativnye-podarki/futlyary-dlya-kart/chehol-dlya-kartochek-petrus-oranzheviy-1552820/" , "15528.20 Чехол для карточек Petrus, оранжевый")</f>
      </c>
      <c r="C1360" s="4" t="n">
        <v>834.00</v>
      </c>
      <c r="D1360" s="4"/>
    </row>
    <row collapsed="" customFormat="false" customHeight="1" hidden="" ht="14" outlineLevel="0" r="1361">
      <c r="A1361" s="3" t="inlineStr">
        <is>
          <t>1342</t>
        </is>
      </c>
      <c r="B1361" s="4" t="s">
        <f>=HYPERLINK("http://anyluxury.ru/shop/korporativnye-podarki/futlyary-dlya-kart/chehol-dlya-kartochek-petrus-goluboy-1552814/" , "15528.14 Чехол для карточек Petrus, голубой")</f>
      </c>
      <c r="C1361" s="4" t="n">
        <v>834.00</v>
      </c>
      <c r="D1361" s="4"/>
    </row>
    <row collapsed="" customFormat="false" customHeight="1" hidden="" ht="14" outlineLevel="0" r="1362">
      <c r="A1362" s="3" t="inlineStr">
        <is>
          <t>1343</t>
        </is>
      </c>
      <c r="B1362" s="4" t="s">
        <f>=HYPERLINK("http://anyluxury.ru/shop/korporativnye-podarki/futlyary-dlya-kart/chehol-dlya-kartochek-petrus-seriy-1552810/" , "15528.10 Чехол для карточек Petrus, серый")</f>
      </c>
      <c r="C1362" s="4" t="n">
        <v>834.00</v>
      </c>
      <c r="D1362" s="4"/>
    </row>
    <row collapsed="" customFormat="false" customHeight="1" hidden="" ht="14" outlineLevel="0" r="1363">
      <c r="A1363" s="3" t="inlineStr">
        <is>
          <t>1344</t>
        </is>
      </c>
      <c r="B1363" s="4" t="s">
        <f>=HYPERLINK("http://anyluxury.ru/shop/korporativnye-podarki/futlyary-dlya-kart/chehol-dlya-kartochek-instream-korichneviy-1555159/" , "15551.59 Чехол для карточек inStream, коричневый")</f>
      </c>
      <c r="C1363" s="4" t="n">
        <v>1460.00</v>
      </c>
      <c r="D1363" s="4"/>
    </row>
    <row collapsed="" customFormat="false" customHeight="1" hidden="" ht="14" outlineLevel="0" r="1364">
      <c r="A1364" s="3" t="inlineStr">
        <is>
          <t>1345</t>
        </is>
      </c>
      <c r="B1364" s="4" t="s">
        <f>=HYPERLINK("http://anyluxury.ru/shop/korporativnye-podarki/futlyary-dlya-kart/chehol-dlya-kartochek-instream-seriy-1555111/" , "15551.11 Чехол для карточек inStream, серый")</f>
      </c>
      <c r="C1364" s="4" t="n">
        <v>1460.00</v>
      </c>
      <c r="D1364" s="4"/>
    </row>
    <row collapsed="" customFormat="false" customHeight="1" hidden="" ht="14" outlineLevel="0" r="1365">
      <c r="A1365" s="3" t="inlineStr">
        <is>
          <t>1346</t>
        </is>
      </c>
      <c r="B1365" s="4" t="s">
        <f>=HYPERLINK("http://anyluxury.ru/shop/korporativnye-podarki/futlyary-dlya-kart/chehol-dlya-karti-na-telefon-devon-zeleniy-1560590/" , "15605.90 Чехол для карты на телефон Devon, зеленый")</f>
      </c>
      <c r="C1365" s="4" t="n">
        <v>252.00</v>
      </c>
      <c r="D1365" s="4"/>
    </row>
    <row collapsed="" customFormat="false" customHeight="1" hidden="" ht="14" outlineLevel="0" r="1366">
      <c r="A1366" s="3" t="inlineStr">
        <is>
          <t>1347</t>
        </is>
      </c>
      <c r="B1366" s="4" t="s">
        <f>=HYPERLINK("http://anyluxury.ru/shop/korporativnye-podarki/futlyary-dlya-kart/chehol-dlya-karti-na-telefon-devon-fioletoviy-s-serim-1560570/" , "15605.70 Чехол для карты на телефон Devon, фиолетовый с серым")</f>
      </c>
      <c r="C1366" s="4" t="n">
        <v>252.00</v>
      </c>
      <c r="D1366" s="4"/>
    </row>
    <row collapsed="" customFormat="false" customHeight="1" hidden="" ht="14" outlineLevel="0" r="1367">
      <c r="A1367" s="3" t="inlineStr">
        <is>
          <t>1348</t>
        </is>
      </c>
      <c r="B1367" s="4" t="s">
        <f>=HYPERLINK("http://anyluxury.ru/shop/korporativnye-podarki/futlyary-dlya-kart/chehol-dlya-karti-na-telefon-devon-biryuzoviy-1560549/" , "15605.49 Чехол для карты на телефон Devon, бирюзовый")</f>
      </c>
      <c r="C1367" s="4" t="n">
        <v>252.00</v>
      </c>
      <c r="D1367" s="4"/>
    </row>
    <row collapsed="" customFormat="false" customHeight="1" hidden="" ht="14" outlineLevel="0" r="1368">
      <c r="A1368" s="3" t="inlineStr">
        <is>
          <t>1349</t>
        </is>
      </c>
      <c r="B1368" s="4" t="s">
        <f>=HYPERLINK("http://anyluxury.ru/shop/korporativnye-podarki/futlyary-dlya-kart/chehol-dlya-kartochek-dual-ver2-krasniy-1562455/" , "15624.55 Чехол для карточек Dual, ver.2, красный")</f>
      </c>
      <c r="C1368" s="4" t="n">
        <v>314.00</v>
      </c>
      <c r="D1368" s="4"/>
    </row>
    <row collapsed="" customFormat="false" customHeight="1" hidden="" ht="14" outlineLevel="0" r="1369">
      <c r="A1369" s="3" t="inlineStr">
        <is>
          <t>1350</t>
        </is>
      </c>
      <c r="B1369" s="4" t="s">
        <f>=HYPERLINK("http://anyluxury.ru/shop/korporativnye-podarki/futlyary-dlya-kart/chehol-dlya-kartochek-devon-biryuzoviy-1626249/" , "16262.49 Чехол для карточек Devon, бирюзовый")</f>
      </c>
      <c r="C1369" s="4" t="n">
        <v>583.00</v>
      </c>
      <c r="D1369" s="4"/>
    </row>
    <row collapsed="" customFormat="false" customHeight="1" hidden="" ht="14" outlineLevel="0" r="1370">
      <c r="A1370" s="3" t="inlineStr">
        <is>
          <t>1351</t>
        </is>
      </c>
      <c r="B1370" s="4" t="s">
        <f>=HYPERLINK("http://anyluxury.ru/shop/korporativnye-podarki/futlyary-dlya-kart/chehol-dlya-kartochek-devon-fioletoviy-1626270/" , "16262.70 Чехол для карточек Devon, фиолетовый")</f>
      </c>
      <c r="C1370" s="4" t="n">
        <v>583.00</v>
      </c>
      <c r="D1370" s="4"/>
    </row>
    <row collapsed="" customFormat="false" customHeight="1" hidden="" ht="14" outlineLevel="0" r="1371">
      <c r="A1371" s="3" t="inlineStr">
        <is>
          <t>1352</t>
        </is>
      </c>
      <c r="B1371" s="4" t="s">
        <f>=HYPERLINK("http://anyluxury.ru/shop/korporativnye-podarki/futlyary-dlya-kart/kartholder-s-krepleniem-dlya-telefona-siniy-2332740/" , "23327.40 Картхолдер с креплением для телефона, синий")</f>
      </c>
      <c r="C1371" s="4" t="n">
        <v>181.00</v>
      </c>
      <c r="D1371" s="4"/>
    </row>
    <row collapsed="" customFormat="false" customHeight="1" hidden="" ht="14" outlineLevel="0" r="1372">
      <c r="A1372" s="3" t="inlineStr">
        <is>
          <t>1353</t>
        </is>
      </c>
      <c r="B1372" s="4" t="s">
        <f>=HYPERLINK("http://anyluxury.ru/shop/korporativnye-podarki/futlyary-dlya-kart/chehol-dlya-kartochek-dorset-beliy-1094360/" , "10943.60 Чехол для карточек Dorset, белый")</f>
      </c>
      <c r="C1372" s="4" t="n">
        <v>295.00</v>
      </c>
      <c r="D1372" s="4"/>
    </row>
    <row collapsed="" customFormat="false" customHeight="1" hidden="" ht="14" outlineLevel="0" r="1373">
      <c r="A1373" s="3" t="inlineStr">
        <is>
          <t>1354</t>
        </is>
      </c>
      <c r="B1373" s="4" t="s">
        <f>=HYPERLINK("http://anyluxury.ru/shop/korporativnye-podarki/futlyary-dlya-kart/chehol-dlya-kartochek-dorset-biryuzoviy-1094349/" , "10943.49 Чехол для карточек Dorset, бирюзовый")</f>
      </c>
      <c r="C1373" s="4" t="n">
        <v>295.00</v>
      </c>
      <c r="D1373" s="4"/>
    </row>
    <row collapsed="" customFormat="false" customHeight="" hidden="" ht="12.1" outlineLevel="0" r="1374">
      <c r="A1374" s="5" t="inlineStr">
        <is>
          <t>Новогодние подарки</t>
        </is>
      </c>
      <c r="B1374" s="6"/>
      <c r="C1374" s="6"/>
      <c r="D1374" s="6"/>
    </row>
    <row collapsed="" customFormat="false" customHeight="1" hidden="" ht="14" outlineLevel="0" r="1375">
      <c r="A1375" s="3" t="inlineStr">
        <is>
          <t>1355</t>
        </is>
      </c>
      <c r="B1375" s="4" t="s">
        <f>=HYPERLINK("http://anyluxury.ru/shop/novogodnie-podarki/podarochnyy-nabor-klyukvennyy/" , "AB2020027 Подарочный набор 'Клюквенный'")</f>
      </c>
      <c r="C1375" s="4" t="n">
        <v>550.00</v>
      </c>
      <c r="D1375" s="4"/>
    </row>
    <row collapsed="" customFormat="false" customHeight="1" hidden="" ht="14" outlineLevel="0" r="1376">
      <c r="A1376" s="3" t="inlineStr">
        <is>
          <t>1356</t>
        </is>
      </c>
      <c r="B1376" s="4" t="s">
        <f>=HYPERLINK("http://anyluxury.ru/shop/novogodnie-podarki/podarochnyy-nabor-ezhevichnyy/" , "AB2020028 Подарочный набор 'Ежевичный'")</f>
      </c>
      <c r="C1376" s="4" t="n">
        <v>550.00</v>
      </c>
      <c r="D1376" s="4"/>
    </row>
    <row collapsed="" customFormat="false" customHeight="1" hidden="" ht="14" outlineLevel="0" r="1377">
      <c r="A1377" s="3" t="inlineStr">
        <is>
          <t>1357</t>
        </is>
      </c>
      <c r="B1377" s="4" t="s">
        <f>=HYPERLINK("http://anyluxury.ru/shop/novogodnie-podarki/podarochnyy-nabor-oblepikhovyy/" , "AB2020029 Подарочный набор 'Облепиховый'")</f>
      </c>
      <c r="C1377" s="4" t="n">
        <v>550.00</v>
      </c>
      <c r="D1377" s="4"/>
    </row>
    <row collapsed="" customFormat="false" customHeight="" hidden="" ht="12.1" outlineLevel="0" r="1378">
      <c r="A1378" s="5" t="inlineStr">
        <is>
          <t> -  - Елочные шары</t>
        </is>
      </c>
      <c r="B1378" s="6"/>
      <c r="C1378" s="6"/>
      <c r="D1378" s="6"/>
    </row>
    <row collapsed="" customFormat="false" customHeight="1" hidden="" ht="14" outlineLevel="0" r="1379">
      <c r="A1379" s="3" t="inlineStr">
        <is>
          <t>1358</t>
        </is>
      </c>
      <c r="B1379" s="4" t="s">
        <f>=HYPERLINK("http://anyluxury.ru/shop/novogodnie-podarki/elochnye-shary/shar-pape-mashe-11/" , "PM-8-1G Шар &amp;quot;папье-маше&amp;quot; PM-8-1G")</f>
      </c>
      <c r="C1379" s="4" t="n">
        <v>144.00</v>
      </c>
      <c r="D1379" s="4"/>
    </row>
    <row collapsed="" customFormat="false" customHeight="1" hidden="" ht="14" outlineLevel="0" r="1380">
      <c r="A1380" s="3" t="inlineStr">
        <is>
          <t>1359</t>
        </is>
      </c>
      <c r="B1380" s="4" t="s">
        <f>=HYPERLINK("http://anyluxury.ru/shop/novogodnie-podarki/elochnye-shary/shar-pape-mashe-13/" , "PM-6-1T Шар 'папье-маше'")</f>
      </c>
      <c r="C1380" s="4" t="n">
        <v>144.00</v>
      </c>
      <c r="D1380" s="4"/>
    </row>
    <row collapsed="" customFormat="false" customHeight="1" hidden="" ht="14" outlineLevel="0" r="1381">
      <c r="A1381" s="3" t="inlineStr">
        <is>
          <t>1360</t>
        </is>
      </c>
      <c r="B1381" s="4" t="s">
        <f>=HYPERLINK("http://anyluxury.ru/shop/novogodnie-podarki/elochnye-shary/nabor-sharov-pape-mashe-57/" , "DOL-45-8 Набор шаров 'папье-маше'")</f>
      </c>
      <c r="C1381" s="4" t="n">
        <v>420.00</v>
      </c>
      <c r="D1381" s="4"/>
    </row>
    <row collapsed="" customFormat="false" customHeight="1" hidden="" ht="14" outlineLevel="0" r="1382">
      <c r="A1382" s="3" t="inlineStr">
        <is>
          <t>1361</t>
        </is>
      </c>
      <c r="B1382" s="4" t="s">
        <f>=HYPERLINK("http://anyluxury.ru/shop/novogodnie-podarki/elochnye-shary/shar-pape-mashe-59/" , "PM-55 Шар 'папье-маше'")</f>
      </c>
      <c r="C1382" s="4" t="n">
        <v>144.00</v>
      </c>
      <c r="D1382" s="4"/>
    </row>
    <row collapsed="" customFormat="false" customHeight="1" hidden="" ht="14" outlineLevel="0" r="1383">
      <c r="A1383" s="3" t="inlineStr">
        <is>
          <t>1362</t>
        </is>
      </c>
      <c r="B1383" s="4" t="s">
        <f>=HYPERLINK("http://anyluxury.ru/shop/novogodnie-podarki/elochnye-shary/elochniy-shar-gala-night-v-korobke-krasniy-6-sm-1418750/" , "14187.50 Елочный шар Gala Night в коробке, красный, 6 см")</f>
      </c>
      <c r="C1383" s="4" t="n">
        <v>275.00</v>
      </c>
      <c r="D1383" s="4"/>
    </row>
    <row collapsed="" customFormat="false" customHeight="1" hidden="" ht="14" outlineLevel="0" r="1384">
      <c r="A1384" s="3" t="inlineStr">
        <is>
          <t>1363</t>
        </is>
      </c>
      <c r="B1384" s="4" t="s">
        <f>=HYPERLINK("http://anyluxury.ru/shop/novogodnie-podarki/elochnye-shary/elochniy-shar-mishka-15580/" , "15580 Елочный шар «Мишка»")</f>
      </c>
      <c r="C1384" s="4" t="n">
        <v>550.00</v>
      </c>
      <c r="D1384" s="4"/>
    </row>
    <row collapsed="" customFormat="false" customHeight="1" hidden="" ht="14" outlineLevel="0" r="1385">
      <c r="A1385" s="3" t="inlineStr">
        <is>
          <t>1364</t>
        </is>
      </c>
      <c r="B1385" s="4" t="s">
        <f>=HYPERLINK("http://anyluxury.ru/shop/novogodnie-podarki/elochnye-shary/elochniy-shar-gala-matt-v-korobke-85-sm-siniy-3015040/" , "30150.40 Елочный шар Gala Matt в коробке, 8,5 см, синий")</f>
      </c>
      <c r="C1385" s="4" t="n">
        <v>275.00</v>
      </c>
      <c r="D1385" s="4"/>
    </row>
    <row collapsed="" customFormat="false" customHeight="1" hidden="" ht="14" outlineLevel="0" r="1386">
      <c r="A1386" s="3" t="inlineStr">
        <is>
          <t>1365</t>
        </is>
      </c>
      <c r="B1386" s="4" t="s">
        <f>=HYPERLINK("http://anyluxury.ru/shop/novogodnie-podarki/elochnye-shary/elochniy-shar-gala-matt-v-korobke-85-sm-beliy-3015060/" , "30150.60 Елочный шар Gala Matt в коробке, 8,5 см, белый")</f>
      </c>
      <c r="C1386" s="4" t="n">
        <v>275.00</v>
      </c>
      <c r="D1386" s="4"/>
    </row>
    <row collapsed="" customFormat="false" customHeight="1" hidden="" ht="14" outlineLevel="0" r="1387">
      <c r="A1387" s="3" t="inlineStr">
        <is>
          <t>1366</t>
        </is>
      </c>
      <c r="B1387" s="4" t="s">
        <f>=HYPERLINK("http://anyluxury.ru/shop/novogodnie-podarki/elochnye-shary/elochniy-shar-gala-matt-v-korobke-85-sm-serebristiy-3015010/" , "30150.10 Елочный шар Gala Matt в коробке, 8,5 см, серебристый")</f>
      </c>
      <c r="C1387" s="4" t="n">
        <v>275.00</v>
      </c>
      <c r="D1387" s="4"/>
    </row>
    <row collapsed="" customFormat="false" customHeight="1" hidden="" ht="14" outlineLevel="0" r="1388">
      <c r="A1388" s="3" t="inlineStr">
        <is>
          <t>1367</t>
        </is>
      </c>
      <c r="B1388" s="4" t="s">
        <f>=HYPERLINK("http://anyluxury.ru/shop/novogodnie-podarki/elochnye-shary/elochniy-shar-gala-matt-v-korobke-6-sm-siniy-3014940/" , "30149.40 Елочный шар Gala Matt в коробке, 6 см, синий")</f>
      </c>
      <c r="C1388" s="4" t="n">
        <v>243.00</v>
      </c>
      <c r="D1388" s="4"/>
    </row>
    <row collapsed="" customFormat="false" customHeight="1" hidden="" ht="14" outlineLevel="0" r="1389">
      <c r="A1389" s="3" t="inlineStr">
        <is>
          <t>1368</t>
        </is>
      </c>
      <c r="B1389" s="4" t="s">
        <f>=HYPERLINK("http://anyluxury.ru/shop/novogodnie-podarki/elochnye-shary/elochniy-shar-gala-matt-v-korobke-6-sm-beliy-3014960/" , "30149.60 Елочный шар Gala Matt в коробке, 6 см, белый")</f>
      </c>
      <c r="C1389" s="4" t="n">
        <v>243.00</v>
      </c>
      <c r="D1389" s="4"/>
    </row>
    <row collapsed="" customFormat="false" customHeight="1" hidden="" ht="14" outlineLevel="0" r="1390">
      <c r="A1390" s="3" t="inlineStr">
        <is>
          <t>1369</t>
        </is>
      </c>
      <c r="B1390" s="4" t="s">
        <f>=HYPERLINK("http://anyluxury.ru/shop/novogodnie-podarki/elochnye-shary/elochniy-shar-finery-matt-8-sm-matoviy-siniy-1766340/" , "17663.40 Елочный шар Finery Matt, 8 см, матовый синий")</f>
      </c>
      <c r="C1390" s="4" t="n">
        <v>300.00</v>
      </c>
      <c r="D1390" s="4"/>
    </row>
    <row collapsed="" customFormat="false" customHeight="1" hidden="" ht="14" outlineLevel="0" r="1391">
      <c r="A1391" s="3" t="inlineStr">
        <is>
          <t>1370</t>
        </is>
      </c>
      <c r="B1391" s="4" t="s">
        <f>=HYPERLINK("http://anyluxury.ru/shop/novogodnie-podarki/elochnye-shary/elochniy-shar-finery-matt-8-sm-matoviy-krasniy-1766350/" , "17663.50 Елочный шар Finery Matt, 8 см, матовый красный")</f>
      </c>
      <c r="C1391" s="4" t="n">
        <v>300.00</v>
      </c>
      <c r="D1391" s="4"/>
    </row>
    <row collapsed="" customFormat="false" customHeight="1" hidden="" ht="14" outlineLevel="0" r="1392">
      <c r="A1392" s="3" t="inlineStr">
        <is>
          <t>1371</t>
        </is>
      </c>
      <c r="B1392" s="4" t="s">
        <f>=HYPERLINK("http://anyluxury.ru/shop/novogodnie-podarki/elochnye-shary/elochniy-shar-finery-matt-8-sm-matoviy-beliy-1766360/" , "17663.60 Елочный шар Finery Matt, 8 см, матовый белый")</f>
      </c>
      <c r="C1392" s="4" t="n">
        <v>300.00</v>
      </c>
      <c r="D1392" s="4"/>
    </row>
    <row collapsed="" customFormat="false" customHeight="1" hidden="" ht="14" outlineLevel="0" r="1393">
      <c r="A1393" s="3" t="inlineStr">
        <is>
          <t>1372</t>
        </is>
      </c>
      <c r="B1393" s="4" t="s">
        <f>=HYPERLINK("http://anyluxury.ru/shop/novogodnie-podarki/elochnye-shary/elochniy-shar-finery-matt-8-sm-matoviy-zolotistiy-1766300/" , "17663.00 Елочный шар Finery Matt, 8 см, матовый золотистый")</f>
      </c>
      <c r="C1393" s="4" t="n">
        <v>300.00</v>
      </c>
      <c r="D1393" s="4"/>
    </row>
    <row collapsed="" customFormat="false" customHeight="1" hidden="" ht="14" outlineLevel="0" r="1394">
      <c r="A1394" s="3" t="inlineStr">
        <is>
          <t>1373</t>
        </is>
      </c>
      <c r="B1394" s="4" t="s">
        <f>=HYPERLINK("http://anyluxury.ru/shop/novogodnie-podarki/elochnye-shary/elochniy-shar-finery-matt-8-sm-matoviy-zeleniy-1766390/" , "17663.90 Елочный шар Finery Matt, 8 см, матовый зеленый")</f>
      </c>
      <c r="C1394" s="4" t="n">
        <v>300.00</v>
      </c>
      <c r="D1394" s="4"/>
    </row>
    <row collapsed="" customFormat="false" customHeight="1" hidden="" ht="14" outlineLevel="0" r="1395">
      <c r="A1395" s="3" t="inlineStr">
        <is>
          <t>1374</t>
        </is>
      </c>
      <c r="B1395" s="4" t="s">
        <f>=HYPERLINK("http://anyluxury.ru/shop/novogodnie-podarki/elochnye-shary/elochniy-shar-finery-matt-8-sm-matoviy-serebristiy-1766310/" , "17663.10 Елочный шар Finery Matt, 8 см, матовый серебристый")</f>
      </c>
      <c r="C1395" s="4" t="n">
        <v>300.00</v>
      </c>
      <c r="D1395" s="4"/>
    </row>
    <row collapsed="" customFormat="false" customHeight="1" hidden="" ht="14" outlineLevel="0" r="1396">
      <c r="A1396" s="3" t="inlineStr">
        <is>
          <t>1375</t>
        </is>
      </c>
      <c r="B1396" s="4" t="s">
        <f>=HYPERLINK("http://anyluxury.ru/shop/novogodnie-podarki/elochnye-shary/elochniy-shar-finery-matt-8-sm-matoviy-cherniy-1766330/" , "17663.30 Елочный шар Finery Matt, 8 см, матовый черный")</f>
      </c>
      <c r="C1396" s="4" t="n">
        <v>300.00</v>
      </c>
      <c r="D1396" s="4"/>
    </row>
    <row collapsed="" customFormat="false" customHeight="1" hidden="" ht="14" outlineLevel="0" r="1397">
      <c r="A1397" s="3" t="inlineStr">
        <is>
          <t>1376</t>
        </is>
      </c>
      <c r="B1397" s="4" t="s">
        <f>=HYPERLINK("http://anyluxury.ru/shop/novogodnie-podarki/elochnye-shary/elochniy-shar-finery-gloss-10-sm-glyanceviy-krasniy-1766450/" , "17664.50 Елочный шар Finery Gloss, 10 см, глянцевый красный")</f>
      </c>
      <c r="C1397" s="4" t="n">
        <v>390.00</v>
      </c>
      <c r="D1397" s="4"/>
    </row>
    <row collapsed="" customFormat="false" customHeight="1" hidden="" ht="14" outlineLevel="0" r="1398">
      <c r="A1398" s="3" t="inlineStr">
        <is>
          <t>1377</t>
        </is>
      </c>
      <c r="B1398" s="4" t="s">
        <f>=HYPERLINK("http://anyluxury.ru/shop/novogodnie-podarki/elochnye-shary/elochniy-shar-finery-gloss-10-sm-glyanceviy-beliy-1766460/" , "17664.60 Елочный шар Finery Gloss, 10 см, глянцевый белый")</f>
      </c>
      <c r="C1398" s="4" t="n">
        <v>390.00</v>
      </c>
      <c r="D1398" s="4"/>
    </row>
    <row collapsed="" customFormat="false" customHeight="1" hidden="" ht="14" outlineLevel="0" r="1399">
      <c r="A1399" s="3" t="inlineStr">
        <is>
          <t>1378</t>
        </is>
      </c>
      <c r="B1399" s="4" t="s">
        <f>=HYPERLINK("http://anyluxury.ru/shop/novogodnie-podarki/elochnye-shary/elochniy-shar-finery-gloss-10-sm-glyanceviy-zolotistiy-1766400/" , "17664.00 Елочный шар Finery Gloss, 10 см, глянцевый золотистый")</f>
      </c>
      <c r="C1399" s="4" t="n">
        <v>390.00</v>
      </c>
      <c r="D1399" s="4"/>
    </row>
    <row collapsed="" customFormat="false" customHeight="1" hidden="" ht="14" outlineLevel="0" r="1400">
      <c r="A1400" s="3" t="inlineStr">
        <is>
          <t>1379</t>
        </is>
      </c>
      <c r="B1400" s="4" t="s">
        <f>=HYPERLINK("http://anyluxury.ru/shop/novogodnie-podarki/elochnye-shary/elochniy-shar-finery-gloss-10-sm-glyanceviy-zeleniy-1766490/" , "17664.90 Елочный шар Finery Gloss, 10 см, глянцевый зеленый")</f>
      </c>
      <c r="C1400" s="4" t="n">
        <v>390.00</v>
      </c>
      <c r="D1400" s="4"/>
    </row>
    <row collapsed="" customFormat="false" customHeight="1" hidden="" ht="14" outlineLevel="0" r="1401">
      <c r="A1401" s="3" t="inlineStr">
        <is>
          <t>1380</t>
        </is>
      </c>
      <c r="B1401" s="4" t="s">
        <f>=HYPERLINK("http://anyluxury.ru/shop/novogodnie-podarki/elochnye-shary/elochniy-shar-finery-gloss-10-sm-glyanceviy-serebristiy-1766410/" , "17664.10 Елочный шар Finery Gloss, 10 см, глянцевый серебристый")</f>
      </c>
      <c r="C1401" s="4" t="n">
        <v>390.00</v>
      </c>
      <c r="D1401" s="4"/>
    </row>
    <row collapsed="" customFormat="false" customHeight="1" hidden="" ht="14" outlineLevel="0" r="1402">
      <c r="A1402" s="3" t="inlineStr">
        <is>
          <t>1381</t>
        </is>
      </c>
      <c r="B1402" s="4" t="s">
        <f>=HYPERLINK("http://anyluxury.ru/shop/novogodnie-podarki/elochnye-shary/elochniy-shar-finery-gloss-10-sm-glyanceviy-cherniy-1766430/" , "17664.30 Елочный шар Finery Gloss, 10 см, глянцевый черный")</f>
      </c>
      <c r="C1402" s="4" t="n">
        <v>390.00</v>
      </c>
      <c r="D1402" s="4"/>
    </row>
    <row collapsed="" customFormat="false" customHeight="1" hidden="" ht="14" outlineLevel="0" r="1403">
      <c r="A1403" s="3" t="inlineStr">
        <is>
          <t>1382</t>
        </is>
      </c>
      <c r="B1403" s="4" t="s">
        <f>=HYPERLINK("http://anyluxury.ru/shop/novogodnie-podarki/elochnye-shary/elochniy-shar-finery-gloss-10-sm-glyanceviy-serebristiy-s-glitterom-1766411/" , "17664.11 Елочный шар Finery Gloss, 10 см, глянцевый серебристый с глиттером")</f>
      </c>
      <c r="C1403" s="4" t="n">
        <v>415.00</v>
      </c>
      <c r="D1403" s="4"/>
    </row>
    <row collapsed="" customFormat="false" customHeight="1" hidden="" ht="14" outlineLevel="0" r="1404">
      <c r="A1404" s="3" t="inlineStr">
        <is>
          <t>1383</t>
        </is>
      </c>
      <c r="B1404" s="4" t="s">
        <f>=HYPERLINK("http://anyluxury.ru/shop/novogodnie-podarki/elochnye-shary/elochniy-shar-finery-matt-10-sm-matoviy-siniy-1766540/" , "17665.40 Елочный шар Finery Matt, 10 см, матовый синий")</f>
      </c>
      <c r="C1404" s="4" t="n">
        <v>390.00</v>
      </c>
      <c r="D1404" s="4"/>
    </row>
    <row collapsed="" customFormat="false" customHeight="1" hidden="" ht="14" outlineLevel="0" r="1405">
      <c r="A1405" s="3" t="inlineStr">
        <is>
          <t>1384</t>
        </is>
      </c>
      <c r="B1405" s="4" t="s">
        <f>=HYPERLINK("http://anyluxury.ru/shop/novogodnie-podarki/elochnye-shary/elochniy-shar-finery-matt-10-sm-matoviy-krasniy-1766550/" , "17665.50 Елочный шар Finery Matt, 10 см, матовый красный")</f>
      </c>
      <c r="C1405" s="4" t="n">
        <v>390.00</v>
      </c>
      <c r="D1405" s="4"/>
    </row>
    <row collapsed="" customFormat="false" customHeight="1" hidden="" ht="14" outlineLevel="0" r="1406">
      <c r="A1406" s="3" t="inlineStr">
        <is>
          <t>1385</t>
        </is>
      </c>
      <c r="B1406" s="4" t="s">
        <f>=HYPERLINK("http://anyluxury.ru/shop/novogodnie-podarki/elochnye-shary/elochniy-shar-finery-matt-10-sm-matoviy-beliy-1766560/" , "17665.60 Елочный шар Finery Matt, 10 см, матовый белый")</f>
      </c>
      <c r="C1406" s="4" t="n">
        <v>390.00</v>
      </c>
      <c r="D1406" s="4"/>
    </row>
    <row collapsed="" customFormat="false" customHeight="1" hidden="" ht="14" outlineLevel="0" r="1407">
      <c r="A1407" s="3" t="inlineStr">
        <is>
          <t>1386</t>
        </is>
      </c>
      <c r="B1407" s="4" t="s">
        <f>=HYPERLINK("http://anyluxury.ru/shop/novogodnie-podarki/elochnye-shary/elochniy-shar-finery-matt-10-sm-matoviy-zolotistiy-1766500/" , "17665.00 Елочный шар Finery Matt, 10 см, матовый золотистый")</f>
      </c>
      <c r="C1407" s="4" t="n">
        <v>390.00</v>
      </c>
      <c r="D1407" s="4"/>
    </row>
    <row collapsed="" customFormat="false" customHeight="1" hidden="" ht="14" outlineLevel="0" r="1408">
      <c r="A1408" s="3" t="inlineStr">
        <is>
          <t>1387</t>
        </is>
      </c>
      <c r="B1408" s="4" t="s">
        <f>=HYPERLINK("http://anyluxury.ru/shop/novogodnie-podarki/elochnye-shary/elochniy-shar-finery-matt-10-sm-matoviy-serebristiy-1766510/" , "17665.10 Елочный шар Finery Matt, 10 см, матовый серебристый")</f>
      </c>
      <c r="C1408" s="4" t="n">
        <v>390.00</v>
      </c>
      <c r="D1408" s="4"/>
    </row>
    <row collapsed="" customFormat="false" customHeight="" hidden="" ht="12.1" outlineLevel="0" r="1409">
      <c r="A1409" s="5" t="inlineStr">
        <is>
          <t> -  - Новогодние игрушки</t>
        </is>
      </c>
      <c r="B1409" s="6"/>
      <c r="C1409" s="6"/>
      <c r="D1409" s="6"/>
    </row>
    <row collapsed="" customFormat="false" customHeight="1" hidden="" ht="14" outlineLevel="0" r="1410">
      <c r="A1410" s="3" t="inlineStr">
        <is>
          <t>1388</t>
        </is>
      </c>
      <c r="B1410" s="4" t="s">
        <f>=HYPERLINK("http://anyluxury.ru/shop/novogodnie-podarki/novogodnie-igrushki/meshok-dlya-podarkov-mister-christmas-collection-/" , "SS-76/1 Мешок для подарков")</f>
      </c>
      <c r="C1410" s="4" t="n">
        <v>380.00</v>
      </c>
      <c r="D1410" s="4"/>
    </row>
    <row collapsed="" customFormat="false" customHeight="1" hidden="" ht="14" outlineLevel="0" r="1411">
      <c r="A1411" s="3" t="inlineStr">
        <is>
          <t>1389</t>
        </is>
      </c>
      <c r="B1411" s="4" t="s">
        <f>=HYPERLINK("http://anyluxury.ru/shop/novogodnie-podarki/novogodnie-igrushki/elochniy-shar-king-8-sm-krasniy-716350/" , "7163.50 Елочный шар King, 8 см, красный")</f>
      </c>
      <c r="C1411" s="4" t="n">
        <v>200.00</v>
      </c>
      <c r="D1411" s="4"/>
    </row>
    <row collapsed="" customFormat="false" customHeight="1" hidden="" ht="14" outlineLevel="0" r="1412">
      <c r="A1412" s="3" t="inlineStr">
        <is>
          <t>1390</t>
        </is>
      </c>
      <c r="B1412" s="4" t="s">
        <f>=HYPERLINK("http://anyluxury.ru/shop/novogodnie-podarki/novogodnie-igrushki/elochniy-shar-stars-8-sm-krasniy-716750/" , "7167.50 Елочный шар Stars, 8 см, красный")</f>
      </c>
      <c r="C1412" s="4" t="n">
        <v>200.00</v>
      </c>
      <c r="D1412" s="4"/>
    </row>
    <row collapsed="" customFormat="false" customHeight="1" hidden="" ht="14" outlineLevel="0" r="1413">
      <c r="A1413" s="3" t="inlineStr">
        <is>
          <t>1391</t>
        </is>
      </c>
      <c r="B1413" s="4" t="s">
        <f>=HYPERLINK("http://anyluxury.ru/shop/novogodnie-podarki/novogodnie-igrushki/elochniy-shar-chain-8-sm-krasniy-716950/" , "7169.50 Елочный шар Chain, 8 см, красный")</f>
      </c>
      <c r="C1413" s="4" t="n">
        <v>200.00</v>
      </c>
      <c r="D1413" s="4"/>
    </row>
    <row collapsed="" customFormat="false" customHeight="1" hidden="" ht="14" outlineLevel="0" r="1414">
      <c r="A1414" s="3" t="inlineStr">
        <is>
          <t>1392</t>
        </is>
      </c>
      <c r="B1414" s="4" t="s">
        <f>=HYPERLINK("http://anyluxury.ru/shop/novogodnie-podarki/novogodnie-igrushki/elochniy-shar-chain-10-sm-zeleniy-717090/" , "7170.90 Елочный шар Chain, 10 см, зеленый")</f>
      </c>
      <c r="C1414" s="4" t="n">
        <v>261.00</v>
      </c>
      <c r="D1414" s="4"/>
    </row>
    <row collapsed="" customFormat="false" customHeight="1" hidden="" ht="14" outlineLevel="0" r="1415">
      <c r="A1415" s="3" t="inlineStr">
        <is>
          <t>1393</t>
        </is>
      </c>
      <c r="B1415" s="4" t="s">
        <f>=HYPERLINK("http://anyluxury.ru/shop/novogodnie-podarki/novogodnie-igrushki/elochniy-shar-chain-10-sm-krasniy-717050/" , "7170.50 Елочный шар Chain, 10 см, красный")</f>
      </c>
      <c r="C1415" s="4" t="n">
        <v>261.00</v>
      </c>
      <c r="D1415" s="4"/>
    </row>
    <row collapsed="" customFormat="false" customHeight="1" hidden="" ht="14" outlineLevel="0" r="1416">
      <c r="A1416" s="3" t="inlineStr">
        <is>
          <t>1394</t>
        </is>
      </c>
      <c r="B1416" s="4" t="s">
        <f>=HYPERLINK("http://anyluxury.ru/shop/novogodnie-podarki/novogodnie-igrushki/elochniy-shar-queen-8-sm-krasniy-717150/" , "7171.50 Елочный шар Queen, 8 см, красный")</f>
      </c>
      <c r="C1416" s="4" t="n">
        <v>200.00</v>
      </c>
      <c r="D1416" s="4"/>
    </row>
    <row collapsed="" customFormat="false" customHeight="1" hidden="" ht="14" outlineLevel="0" r="1417">
      <c r="A1417" s="3" t="inlineStr">
        <is>
          <t>1395</t>
        </is>
      </c>
      <c r="B1417" s="4" t="s">
        <f>=HYPERLINK("http://anyluxury.ru/shop/novogodnie-podarki/novogodnie-igrushki/elochniy-shar-queen-10-sm-krasniy-717250/" , "7172.50 Елочный шар Queen, 10 см, красный")</f>
      </c>
      <c r="C1417" s="4" t="n">
        <v>261.00</v>
      </c>
      <c r="D1417" s="4"/>
    </row>
    <row collapsed="" customFormat="false" customHeight="1" hidden="" ht="14" outlineLevel="0" r="1418">
      <c r="A1418" s="3" t="inlineStr">
        <is>
          <t>1396</t>
        </is>
      </c>
      <c r="B1418" s="4" t="s">
        <f>=HYPERLINK("http://anyluxury.ru/shop/novogodnie-podarki/novogodnie-igrushki/elochniy-shar-king-8-sm-siniy-716340/" , "7163.40 Елочный шар King, 8 см, синий")</f>
      </c>
      <c r="C1418" s="4" t="n">
        <v>200.00</v>
      </c>
      <c r="D1418" s="4"/>
    </row>
    <row collapsed="" customFormat="false" customHeight="1" hidden="" ht="14" outlineLevel="0" r="1419">
      <c r="A1419" s="3" t="inlineStr">
        <is>
          <t>1397</t>
        </is>
      </c>
      <c r="B1419" s="4" t="s">
        <f>=HYPERLINK("http://anyluxury.ru/shop/novogodnie-podarki/novogodnie-igrushki/elochniy-shar-skandinavskiy-uzor-8-sm-krasniy-729750/" , "7297.50 Елочный шар «Скандинавский узор», 8 см, красный")</f>
      </c>
      <c r="C1419" s="4" t="n">
        <v>249.00</v>
      </c>
      <c r="D1419" s="4"/>
    </row>
    <row collapsed="" customFormat="false" customHeight="1" hidden="" ht="14" outlineLevel="0" r="1420">
      <c r="A1420" s="3" t="inlineStr">
        <is>
          <t>1398</t>
        </is>
      </c>
      <c r="B1420" s="4" t="s">
        <f>=HYPERLINK("http://anyluxury.ru/shop/novogodnie-podarki/novogodnie-igrushki/podveska-logger-malaya-so-snegovikom-4660405/" , "46604.05 Подвеска Logger, малая, со снеговиком")</f>
      </c>
      <c r="C1420" s="4" t="n">
        <v>99.00</v>
      </c>
      <c r="D1420" s="4"/>
    </row>
    <row collapsed="" customFormat="false" customHeight="1" hidden="" ht="14" outlineLevel="0" r="1421">
      <c r="A1421" s="3" t="inlineStr">
        <is>
          <t>1399</t>
        </is>
      </c>
      <c r="B1421" s="4" t="s">
        <f>=HYPERLINK("http://anyluxury.ru/shop/novogodnie-podarki/novogodnie-igrushki/podveska-logger-malaya-s-podarkom-4660406/" , "46604.06 Подвеска Logger, малая, с подарком")</f>
      </c>
      <c r="C1421" s="4" t="n">
        <v>98.90</v>
      </c>
      <c r="D1421" s="4"/>
    </row>
    <row collapsed="" customFormat="false" customHeight="1" hidden="" ht="14" outlineLevel="0" r="1422">
      <c r="A1422" s="3" t="inlineStr">
        <is>
          <t>1400</t>
        </is>
      </c>
      <c r="B1422" s="4" t="s">
        <f>=HYPERLINK("http://anyluxury.ru/shop/novogodnie-podarki/novogodnie-igrushki/elochniy-shar-vsem-noviy-god-s-nadpisyu-sovershennih-sversheniy-1022002/" , "10220.02 Елочный шар «Всем Новый год», с надписью «Совершенных свершений!»")</f>
      </c>
      <c r="C1422" s="4" t="n">
        <v>1690.00</v>
      </c>
      <c r="D1422" s="4"/>
    </row>
    <row collapsed="" customFormat="false" customHeight="1" hidden="" ht="14" outlineLevel="0" r="1423">
      <c r="A1423" s="3" t="inlineStr">
        <is>
          <t>1401</t>
        </is>
      </c>
      <c r="B1423" s="4" t="s">
        <f>=HYPERLINK("http://anyluxury.ru/shop/novogodnie-podarki/novogodnie-igrushki/elochniy-shar-vsem-noviy-god-s-nadpisyu-ne-opyat-a-s-novim-1022003/" , "10220.03 Елочный шар «Всем Новый год», с надписью «Не опять, а с Новым!»")</f>
      </c>
      <c r="C1423" s="4" t="n">
        <v>1690.00</v>
      </c>
      <c r="D1423" s="4"/>
    </row>
    <row collapsed="" customFormat="false" customHeight="1" hidden="" ht="14" outlineLevel="0" r="1424">
      <c r="A1424" s="3" t="inlineStr">
        <is>
          <t>1402</t>
        </is>
      </c>
      <c r="B1424" s="4" t="s">
        <f>=HYPERLINK("http://anyluxury.ru/shop/novogodnie-podarki/novogodnie-igrushki/elochniy-shar-vsem-noviy-god-s-nadpisyu-pora-vstrechat-1022004/" , "10220.04 Елочный шар «Всем Новый год», с надписью «Пора встречать!»")</f>
      </c>
      <c r="C1424" s="4" t="n">
        <v>1690.00</v>
      </c>
      <c r="D1424" s="4"/>
    </row>
    <row collapsed="" customFormat="false" customHeight="1" hidden="" ht="14" outlineLevel="0" r="1425">
      <c r="A1425" s="3" t="inlineStr">
        <is>
          <t>1403</t>
        </is>
      </c>
      <c r="B1425" s="4" t="s">
        <f>=HYPERLINK("http://anyluxury.ru/shop/novogodnie-podarki/novogodnie-igrushki/derevyannaya-podveska-carving-oak-v-forme-kolokolchika-1282707/" , "12827.07 Деревянная подвеска Carving Oak, в форме колокольчика")</f>
      </c>
      <c r="C1425" s="4" t="n">
        <v>96.90</v>
      </c>
      <c r="D1425" s="4"/>
    </row>
    <row collapsed="" customFormat="false" customHeight="1" hidden="" ht="14" outlineLevel="0" r="1426">
      <c r="A1426" s="3" t="inlineStr">
        <is>
          <t>1404</t>
        </is>
      </c>
      <c r="B1426" s="4" t="s">
        <f>=HYPERLINK("http://anyluxury.ru/shop/novogodnie-podarki/novogodnie-igrushki/elochniy-shar-gala-night-v-korobke-cherniy-6-sm-1418730/" , "14187.30 Елочный шар Gala Night в коробке, черный, 6 см")</f>
      </c>
      <c r="C1426" s="4" t="n">
        <v>275.00</v>
      </c>
      <c r="D1426" s="4"/>
    </row>
    <row collapsed="" customFormat="false" customHeight="1" hidden="" ht="14" outlineLevel="0" r="1427">
      <c r="A1427" s="3" t="inlineStr">
        <is>
          <t>1405</t>
        </is>
      </c>
      <c r="B1427" s="4" t="s">
        <f>=HYPERLINK("http://anyluxury.ru/shop/novogodnie-podarki/novogodnie-igrushki/elochniy-shar-gala-night-v-korobke-siniy-6-sm-1418740/" , "14187.40 Елочный шар Gala Night в коробке, синий, 6 см")</f>
      </c>
      <c r="C1427" s="4" t="n">
        <v>275.00</v>
      </c>
      <c r="D1427" s="4"/>
    </row>
    <row collapsed="" customFormat="false" customHeight="1" hidden="" ht="14" outlineLevel="0" r="1428">
      <c r="A1428" s="3" t="inlineStr">
        <is>
          <t>1406</t>
        </is>
      </c>
      <c r="B1428" s="4" t="s">
        <f>=HYPERLINK("http://anyluxury.ru/shop/novogodnie-podarki/novogodnie-igrushki/elochniy-shar-gala-night-v-korobke-zeleniy-6-sm-1418790/" , "14187.90 Елочный шар Gala Night в коробке, зеленый, 6 см")</f>
      </c>
      <c r="C1428" s="4" t="n">
        <v>275.00</v>
      </c>
      <c r="D1428" s="4"/>
    </row>
    <row collapsed="" customFormat="false" customHeight="1" hidden="" ht="14" outlineLevel="0" r="1429">
      <c r="A1429" s="3" t="inlineStr">
        <is>
          <t>1407</t>
        </is>
      </c>
      <c r="B1429" s="4" t="s">
        <f>=HYPERLINK("http://anyluxury.ru/shop/novogodnie-podarki/novogodnie-igrushki/elochnaya-igrushka-oreshek-v-korobke-korichneviy-1405059/" , "14050.59 Елочная игрушка «Грецкий орех» в коробке, коричневая")</f>
      </c>
      <c r="C1429" s="4" t="n">
        <v>312.00</v>
      </c>
      <c r="D1429" s="4"/>
    </row>
    <row collapsed="" customFormat="false" customHeight="1" hidden="" ht="14" outlineLevel="0" r="1430">
      <c r="A1430" s="3" t="inlineStr">
        <is>
          <t>1408</t>
        </is>
      </c>
      <c r="B1430" s="4" t="s">
        <f>=HYPERLINK("http://anyluxury.ru/shop/novogodnie-podarki/novogodnie-igrushki/elochniy-shar-na-zakaz-pallina-akril-1886601/" , "18866.01 Елочный шар Pallina на заказ")</f>
      </c>
      <c r="C1430" s="4" t="n">
        <v>508.00</v>
      </c>
      <c r="D1430" s="4"/>
    </row>
    <row collapsed="" customFormat="false" customHeight="1" hidden="" ht="14" outlineLevel="0" r="1431">
      <c r="A1431" s="3" t="inlineStr">
        <is>
          <t>1409</t>
        </is>
      </c>
      <c r="B1431" s="4" t="s">
        <f>=HYPERLINK("http://anyluxury.ru/shop/novogodnie-podarki/novogodnie-igrushki/elochniy-shar-dedushka-moroz-30137/" , "30137 Елочный шар «Дедушка Мороз»")</f>
      </c>
      <c r="C1431" s="4" t="n">
        <v>569.00</v>
      </c>
      <c r="D1431" s="4"/>
    </row>
    <row collapsed="" customFormat="false" customHeight="1" hidden="" ht="14" outlineLevel="0" r="1432">
      <c r="A1432" s="3" t="inlineStr">
        <is>
          <t>1410</t>
        </is>
      </c>
      <c r="B1432" s="4" t="s">
        <f>=HYPERLINK("http://anyluxury.ru/shop/novogodnie-podarki/novogodnie-igrushki/elochniy-shar-zayac-s-morkovkoy-30130/" , "30130 Елочный шар «Заяц с морковкой»")</f>
      </c>
      <c r="C1432" s="4" t="n">
        <v>499.00</v>
      </c>
      <c r="D1432" s="4"/>
    </row>
    <row collapsed="" customFormat="false" customHeight="1" hidden="" ht="14" outlineLevel="0" r="1433">
      <c r="A1433" s="3" t="inlineStr">
        <is>
          <t>1411</t>
        </is>
      </c>
      <c r="B1433" s="4" t="s">
        <f>=HYPERLINK("http://anyluxury.ru/shop/novogodnie-podarki/novogodnie-igrushki/elochniy-shar-kot-s-ribkoy-30131/" , "30131 Елочный шар «Кот с рыбкой»")</f>
      </c>
      <c r="C1433" s="4" t="n">
        <v>500.00</v>
      </c>
      <c r="D1433" s="4"/>
    </row>
    <row collapsed="" customFormat="false" customHeight="1" hidden="" ht="14" outlineLevel="0" r="1434">
      <c r="A1434" s="3" t="inlineStr">
        <is>
          <t>1412</t>
        </is>
      </c>
      <c r="B1434" s="4" t="s">
        <f>=HYPERLINK("http://anyluxury.ru/shop/novogodnie-podarki/novogodnie-igrushki/elochniy-shar-pingvin-30132/" , "30132 Елочный шар «Пингвин»")</f>
      </c>
      <c r="C1434" s="4" t="n">
        <v>550.00</v>
      </c>
      <c r="D1434" s="4"/>
    </row>
    <row collapsed="" customFormat="false" customHeight="1" hidden="" ht="14" outlineLevel="0" r="1435">
      <c r="A1435" s="3" t="inlineStr">
        <is>
          <t>1413</t>
        </is>
      </c>
      <c r="B1435" s="4" t="s">
        <f>=HYPERLINK("http://anyluxury.ru/shop/novogodnie-podarki/novogodnie-igrushki/elochniy-shar-snegir-30133/" , "30133 Елочный шар «Снегирь»")</f>
      </c>
      <c r="C1435" s="4" t="n">
        <v>550.00</v>
      </c>
      <c r="D1435" s="4"/>
    </row>
    <row collapsed="" customFormat="false" customHeight="1" hidden="" ht="14" outlineLevel="0" r="1436">
      <c r="A1436" s="3" t="inlineStr">
        <is>
          <t>1414</t>
        </is>
      </c>
      <c r="B1436" s="4" t="s">
        <f>=HYPERLINK("http://anyluxury.ru/shop/novogodnie-podarki/novogodnie-igrushki/elochniy-shar-gala-matt-v-korobke-85-sm-cherniy-3015030/" , "30150.30 Елочный шар Gala Matt в коробке, 8,5 см, черный")</f>
      </c>
      <c r="C1436" s="4" t="n">
        <v>295.00</v>
      </c>
      <c r="D1436" s="4"/>
    </row>
    <row collapsed="" customFormat="false" customHeight="1" hidden="" ht="14" outlineLevel="0" r="1437">
      <c r="A1437" s="3" t="inlineStr">
        <is>
          <t>1415</t>
        </is>
      </c>
      <c r="B1437" s="4" t="s">
        <f>=HYPERLINK("http://anyluxury.ru/shop/novogodnie-podarki/novogodnie-igrushki/elochniy-shar-gala-matt-v-korobke-85-sm-zolotistiy-3015000/" , "30150.00 Елочный шар Gala Matt в коробке, 8,5 см, золотистый")</f>
      </c>
      <c r="C1437" s="4" t="n">
        <v>275.00</v>
      </c>
      <c r="D1437" s="4"/>
    </row>
    <row collapsed="" customFormat="false" customHeight="1" hidden="" ht="14" outlineLevel="0" r="1438">
      <c r="A1438" s="3" t="inlineStr">
        <is>
          <t>1416</t>
        </is>
      </c>
      <c r="B1438" s="4" t="s">
        <f>=HYPERLINK("http://anyluxury.ru/shop/novogodnie-podarki/novogodnie-igrushki/elochniy-shar-snegovik-30129/" , "30129 Елочная игрушка «Снеговик»")</f>
      </c>
      <c r="C1438" s="4" t="n">
        <v>600.00</v>
      </c>
      <c r="D1438" s="4"/>
    </row>
    <row collapsed="" customFormat="false" customHeight="1" hidden="" ht="14" outlineLevel="0" r="1439">
      <c r="A1439" s="3" t="inlineStr">
        <is>
          <t>1417</t>
        </is>
      </c>
      <c r="B1439" s="4" t="s">
        <f>=HYPERLINK("http://anyluxury.ru/shop/novogodnie-podarki/novogodnie-igrushki/novogodnyaya-kniga-shhelkunchik-s-podveskami-30160/" , "30160 Новогодняя книга «Щелкунчик» с подвесками")</f>
      </c>
      <c r="C1439" s="4" t="n">
        <v>3058.00</v>
      </c>
      <c r="D1439" s="4"/>
    </row>
    <row collapsed="" customFormat="false" customHeight="1" hidden="" ht="14" outlineLevel="0" r="1440">
      <c r="A1440" s="3" t="inlineStr">
        <is>
          <t>1418</t>
        </is>
      </c>
      <c r="B1440" s="4" t="s">
        <f>=HYPERLINK("http://anyluxury.ru/shop/novogodnie-podarki/novogodnie-igrushki/podveska-s-pechatyu-decor-na-zakaz-1897901/" , "18979.01 Подвеска с печатью Decor на заказ")</f>
      </c>
      <c r="C1440" s="4" t="n">
        <v>60.90</v>
      </c>
      <c r="D1440" s="4"/>
    </row>
    <row collapsed="" customFormat="false" customHeight="1" hidden="" ht="14" outlineLevel="0" r="1441">
      <c r="A1441" s="3" t="inlineStr">
        <is>
          <t>1419</t>
        </is>
      </c>
      <c r="B1441" s="4" t="s">
        <f>=HYPERLINK("http://anyluxury.ru/shop/novogodnie-podarki/novogodnie-igrushki/elochniy-shar-drakon-zeleniy-1624990/" , "16249.90 Елочный шар «Дракон», зеленый")</f>
      </c>
      <c r="C1441" s="4" t="n">
        <v>620.00</v>
      </c>
      <c r="D1441" s="4"/>
    </row>
    <row collapsed="" customFormat="false" customHeight="1" hidden="" ht="14" outlineLevel="0" r="1442">
      <c r="A1442" s="3" t="inlineStr">
        <is>
          <t>1420</t>
        </is>
      </c>
      <c r="B1442" s="4" t="s">
        <f>=HYPERLINK("http://anyluxury.ru/shop/novogodnie-podarki/novogodnie-igrushki/elochniy-shar-drakon-beliy-1624960/" , "16249.60 Елочный шар «Дракон», белый")</f>
      </c>
      <c r="C1442" s="4" t="n">
        <v>620.00</v>
      </c>
      <c r="D1442" s="4"/>
    </row>
    <row collapsed="" customFormat="false" customHeight="1" hidden="" ht="14" outlineLevel="0" r="1443">
      <c r="A1443" s="3" t="inlineStr">
        <is>
          <t>1421</t>
        </is>
      </c>
      <c r="B1443" s="4" t="s">
        <f>=HYPERLINK("http://anyluxury.ru/shop/novogodnie-podarki/novogodnie-igrushki/svetilnik-magus-ver1-zolotistiy-1544101/" , "15441.01 Светильник Magus, ver.1, золотистый")</f>
      </c>
      <c r="C1443" s="4" t="n">
        <v>300.00</v>
      </c>
      <c r="D1443" s="4"/>
    </row>
    <row collapsed="" customFormat="false" customHeight="1" hidden="" ht="14" outlineLevel="0" r="1444">
      <c r="A1444" s="3" t="inlineStr">
        <is>
          <t>1422</t>
        </is>
      </c>
      <c r="B1444" s="4" t="s">
        <f>=HYPERLINK("http://anyluxury.ru/shop/novogodnie-podarki/novogodnie-igrushki/svetilnik-magus-ver2-zolotistiy-1544102/" , "15441.02 Светильник Magus, ver.2, золотистый")</f>
      </c>
      <c r="C1444" s="4" t="n">
        <v>300.00</v>
      </c>
      <c r="D1444" s="4"/>
    </row>
    <row collapsed="" customFormat="false" customHeight="1" hidden="" ht="14" outlineLevel="0" r="1445">
      <c r="A1445" s="3" t="inlineStr">
        <is>
          <t>1423</t>
        </is>
      </c>
      <c r="B1445" s="4" t="s">
        <f>=HYPERLINK("http://anyluxury.ru/shop/novogodnie-podarki/novogodnie-igrushki/elochniy-shar-finery-gloss-8-sm-glyanceviy-siniy-1766240/" , "17662.40 Елочный шар Finery Gloss, 8 см, глянцевый синий")</f>
      </c>
      <c r="C1445" s="4" t="n">
        <v>300.00</v>
      </c>
      <c r="D1445" s="4"/>
    </row>
    <row collapsed="" customFormat="false" customHeight="1" hidden="" ht="14" outlineLevel="0" r="1446">
      <c r="A1446" s="3" t="inlineStr">
        <is>
          <t>1424</t>
        </is>
      </c>
      <c r="B1446" s="4" t="s">
        <f>=HYPERLINK("http://anyluxury.ru/shop/novogodnie-podarki/novogodnie-igrushki/elochniy-shar-finery-gloss-8-sm-glyanceviy-krasniy-1766250/" , "17662.50 Елочный шар Finery Gloss, 8 см, глянцевый красный")</f>
      </c>
      <c r="C1446" s="4" t="n">
        <v>300.00</v>
      </c>
      <c r="D1446" s="4"/>
    </row>
    <row collapsed="" customFormat="false" customHeight="1" hidden="" ht="14" outlineLevel="0" r="1447">
      <c r="A1447" s="3" t="inlineStr">
        <is>
          <t>1425</t>
        </is>
      </c>
      <c r="B1447" s="4" t="s">
        <f>=HYPERLINK("http://anyluxury.ru/shop/novogodnie-podarki/novogodnie-igrushki/elochniy-shar-finery-gloss-8-sm-glyanceviy-beliy-1766260/" , "17662.60 Елочный шар Finery Gloss, 8 см, глянцевый белый")</f>
      </c>
      <c r="C1447" s="4" t="n">
        <v>300.00</v>
      </c>
      <c r="D1447" s="4"/>
    </row>
    <row collapsed="" customFormat="false" customHeight="1" hidden="" ht="14" outlineLevel="0" r="1448">
      <c r="A1448" s="3" t="inlineStr">
        <is>
          <t>1426</t>
        </is>
      </c>
      <c r="B1448" s="4" t="s">
        <f>=HYPERLINK("http://anyluxury.ru/shop/novogodnie-podarki/novogodnie-igrushki/elochniy-shar-finery-gloss-8-sm-glyanceviy-zolotistiy-1766200/" , "17662.00 Елочный шар Finery Gloss, 8 см, глянцевый золотистый")</f>
      </c>
      <c r="C1448" s="4" t="n">
        <v>300.00</v>
      </c>
      <c r="D1448" s="4"/>
    </row>
    <row collapsed="" customFormat="false" customHeight="1" hidden="" ht="14" outlineLevel="0" r="1449">
      <c r="A1449" s="3" t="inlineStr">
        <is>
          <t>1427</t>
        </is>
      </c>
      <c r="B1449" s="4" t="s">
        <f>=HYPERLINK("http://anyluxury.ru/shop/novogodnie-podarki/novogodnie-igrushki/elochniy-shar-finery-gloss-8-sm-glyanceviy-serebristiy-1766210/" , "17662.10 Елочный шар Finery Gloss, 8 см, глянцевый серебристый")</f>
      </c>
      <c r="C1449" s="4" t="n">
        <v>300.00</v>
      </c>
      <c r="D1449" s="4"/>
    </row>
    <row collapsed="" customFormat="false" customHeight="1" hidden="" ht="14" outlineLevel="0" r="1450">
      <c r="A1450" s="3" t="inlineStr">
        <is>
          <t>1428</t>
        </is>
      </c>
      <c r="B1450" s="4" t="s">
        <f>=HYPERLINK("http://anyluxury.ru/shop/novogodnie-podarki/novogodnie-igrushki/elochniy-shar-finery-gloss-8-sm-glyanceviy-cherniy-1766230/" , "17662.30 Елочный шар Finery Gloss, 8 см, глянцевый черный")</f>
      </c>
      <c r="C1450" s="4" t="n">
        <v>300.00</v>
      </c>
      <c r="D1450" s="4"/>
    </row>
    <row collapsed="" customFormat="false" customHeight="1" hidden="" ht="14" outlineLevel="0" r="1451">
      <c r="A1451" s="3" t="inlineStr">
        <is>
          <t>1429</t>
        </is>
      </c>
      <c r="B1451" s="4" t="s">
        <f>=HYPERLINK("http://anyluxury.ru/shop/novogodnie-podarki/novogodnie-igrushki/elochniy-shar-finery-gloss-8-sm-glyanceviy-serebristiy-s-glitterom-1766211/" , "17662.11 Елочный шар Finery Gloss, 8 см, глянцевый серебристый с глиттером")</f>
      </c>
      <c r="C1451" s="4" t="n">
        <v>320.00</v>
      </c>
      <c r="D1451" s="4"/>
    </row>
    <row collapsed="" customFormat="false" customHeight="1" hidden="" ht="14" outlineLevel="0" r="1452">
      <c r="A1452" s="3" t="inlineStr">
        <is>
          <t>1430</t>
        </is>
      </c>
      <c r="B1452" s="4" t="s">
        <f>=HYPERLINK("http://anyluxury.ru/shop/novogodnie-podarki/novogodnie-igrushki/derevyannaya-podveska-christmate-elochka-2022501/" , "20225.01 Деревянная подвеска Christmate, елочка")</f>
      </c>
      <c r="C1452" s="4" t="n">
        <v>99.90</v>
      </c>
      <c r="D1452" s="4"/>
    </row>
    <row collapsed="" customFormat="false" customHeight="1" hidden="" ht="14" outlineLevel="0" r="1453">
      <c r="A1453" s="3" t="inlineStr">
        <is>
          <t>1431</t>
        </is>
      </c>
      <c r="B1453" s="4" t="s">
        <f>=HYPERLINK("http://anyluxury.ru/shop/novogodnie-podarki/novogodnie-igrushki/derevyannaya-podveska-christmate-snegovik-2022502/" , "20225.02 Деревянная подвеска Christmate, снеговик")</f>
      </c>
      <c r="C1453" s="4" t="n">
        <v>99.90</v>
      </c>
      <c r="D1453" s="4"/>
    </row>
    <row collapsed="" customFormat="false" customHeight="1" hidden="" ht="14" outlineLevel="0" r="1454">
      <c r="A1454" s="3" t="inlineStr">
        <is>
          <t>1432</t>
        </is>
      </c>
      <c r="B1454" s="4" t="s">
        <f>=HYPERLINK("http://anyluxury.ru/shop/novogodnie-podarki/novogodnie-igrushki/derevyannaya-podveska-christmate-podarok-2022503/" , "20225.03 Деревянная подвеска Christmate, подарок")</f>
      </c>
      <c r="C1454" s="4" t="n">
        <v>99.90</v>
      </c>
      <c r="D1454" s="4"/>
    </row>
    <row collapsed="" customFormat="false" customHeight="1" hidden="" ht="14" outlineLevel="0" r="1455">
      <c r="A1455" s="3" t="inlineStr">
        <is>
          <t>1433</t>
        </is>
      </c>
      <c r="B1455" s="4" t="s">
        <f>=HYPERLINK("http://anyluxury.ru/shop/novogodnie-podarki/novogodnie-igrushki/derevyannaya-podveska-christmate-shar-2022504/" , "20225.04 Деревянная подвеска Christmate, шар")</f>
      </c>
      <c r="C1455" s="4" t="n">
        <v>99.90</v>
      </c>
      <c r="D1455" s="4"/>
    </row>
    <row collapsed="" customFormat="false" customHeight="1" hidden="" ht="14" outlineLevel="0" r="1456">
      <c r="A1456" s="3" t="inlineStr">
        <is>
          <t>1434</t>
        </is>
      </c>
      <c r="B1456" s="4" t="s">
        <f>=HYPERLINK("http://anyluxury.ru/shop/novogodnie-podarki/novogodnie-igrushki/derevyannaya-podveska-christmate-zvezda-2022505/" , "20225.05 Деревянная подвеска Christmate, звезда")</f>
      </c>
      <c r="C1456" s="4" t="n">
        <v>99.90</v>
      </c>
      <c r="D1456" s="4"/>
    </row>
    <row collapsed="" customFormat="false" customHeight="1" hidden="" ht="14" outlineLevel="0" r="1457">
      <c r="A1457" s="3" t="inlineStr">
        <is>
          <t>1435</t>
        </is>
      </c>
      <c r="B1457" s="4" t="s">
        <f>=HYPERLINK("http://anyluxury.ru/shop/novogodnie-podarki/novogodnie-igrushki/derevyannaya-podveska-christmate-konfeta-2022506/" , "20225.06 Деревянная подвеска Christmate, конфета")</f>
      </c>
      <c r="C1457" s="4" t="n">
        <v>99.90</v>
      </c>
      <c r="D1457" s="4"/>
    </row>
    <row collapsed="" customFormat="false" customHeight="1" hidden="" ht="14" outlineLevel="0" r="1458">
      <c r="A1458" s="3" t="inlineStr">
        <is>
          <t>1436</t>
        </is>
      </c>
      <c r="B1458" s="4" t="s">
        <f>=HYPERLINK("http://anyluxury.ru/shop/novogodnie-podarki/novogodnie-igrushki/derevyannaya-podveska-christmate-chasi-2022507/" , "20225.07 Деревянная подвеска Christmate, часы")</f>
      </c>
      <c r="C1458" s="4" t="n">
        <v>99.90</v>
      </c>
      <c r="D1458" s="4"/>
    </row>
    <row collapsed="" customFormat="false" customHeight="1" hidden="" ht="14" outlineLevel="0" r="1459">
      <c r="A1459" s="3" t="inlineStr">
        <is>
          <t>1437</t>
        </is>
      </c>
      <c r="B1459" s="4" t="s">
        <f>=HYPERLINK("http://anyluxury.ru/shop/novogodnie-podarki/novogodnie-igrushki/elochnaya-igrushka-greckiy-oreh-matovoe-zoloto-1585800/" , "15858.00 Елочная игрушка «Грецкий орех», матовое золото")</f>
      </c>
      <c r="C1459" s="4" t="n">
        <v>289.00</v>
      </c>
      <c r="D1459" s="4"/>
    </row>
    <row collapsed="" customFormat="false" customHeight="1" hidden="" ht="14" outlineLevel="0" r="1460">
      <c r="A1460" s="3" t="inlineStr">
        <is>
          <t>1438</t>
        </is>
      </c>
      <c r="B1460" s="4" t="s">
        <f>=HYPERLINK("http://anyluxury.ru/shop/novogodnie-podarki/novogodnie-igrushki/elochnaya-igrushka-greckiy-oreh-zolotistaya-1585801/" , "15858.01 Елочная игрушка «Грецкий орех», золотистая")</f>
      </c>
      <c r="C1460" s="4" t="n">
        <v>240.00</v>
      </c>
      <c r="D1460" s="4"/>
    </row>
    <row collapsed="" customFormat="false" customHeight="1" hidden="" ht="14" outlineLevel="0" r="1461">
      <c r="A1461" s="3" t="inlineStr">
        <is>
          <t>1439</t>
        </is>
      </c>
      <c r="B1461" s="4" t="s">
        <f>=HYPERLINK("http://anyluxury.ru/shop/novogodnie-podarki/novogodnie-igrushki/elochnaya-igrushka-shishka-korichnevaya-1585959/" , "15859.59 Елочная игрушка «Шишка», коричневая")</f>
      </c>
      <c r="C1461" s="4" t="n">
        <v>312.00</v>
      </c>
      <c r="D1461" s="4"/>
    </row>
    <row collapsed="" customFormat="false" customHeight="1" hidden="" ht="14" outlineLevel="0" r="1462">
      <c r="A1462" s="3" t="inlineStr">
        <is>
          <t>1440</t>
        </is>
      </c>
      <c r="B1462" s="4" t="s">
        <f>=HYPERLINK("http://anyluxury.ru/shop/novogodnie-podarki/novogodnie-igrushki/elochnaya-igrushka-shishka-seraya-grafit-1585910/" , "15859.10 Елочная игрушка «Шишка», серая (графит)")</f>
      </c>
      <c r="C1462" s="4" t="n">
        <v>312.00</v>
      </c>
      <c r="D1462" s="4"/>
    </row>
    <row collapsed="" customFormat="false" customHeight="1" hidden="" ht="14" outlineLevel="0" r="1463">
      <c r="A1463" s="3" t="inlineStr">
        <is>
          <t>1441</t>
        </is>
      </c>
      <c r="B1463" s="4" t="s">
        <f>=HYPERLINK("http://anyluxury.ru/shop/novogodnie-podarki/novogodnie-igrushki/elochnaya-igrushka-shishka-sinyaya-1585940/" , "15859.40 Елочная игрушка «Шишка», синяя")</f>
      </c>
      <c r="C1463" s="4" t="n">
        <v>312.00</v>
      </c>
      <c r="D1463" s="4"/>
    </row>
    <row collapsed="" customFormat="false" customHeight="" hidden="" ht="12.1" outlineLevel="0" r="1464">
      <c r="A1464" s="5" t="inlineStr">
        <is>
          <t> -  - Новогодние украшения</t>
        </is>
      </c>
      <c r="B1464" s="6"/>
      <c r="C1464" s="6"/>
      <c r="D1464" s="6"/>
    </row>
    <row collapsed="" customFormat="false" customHeight="1" hidden="" ht="14" outlineLevel="0" r="1465">
      <c r="A1465" s="3" t="inlineStr">
        <is>
          <t>1442</t>
        </is>
      </c>
      <c r="B1465" s="4" t="s">
        <f>=HYPERLINK("http://anyluxury.ru/shop/novogodnie-podarki/novogodnie-ukrasheniya/ukrashenie-kollektsionnoe-us-6102184/" , "US 6102184 Украшение коллекционное US 6102184")</f>
      </c>
      <c r="C1465" s="4" t="n">
        <v>1420.00</v>
      </c>
      <c r="D1465" s="4"/>
    </row>
    <row collapsed="" customFormat="false" customHeight="1" hidden="" ht="14" outlineLevel="0" r="1466">
      <c r="A1466" s="3" t="inlineStr">
        <is>
          <t>1443</t>
        </is>
      </c>
      <c r="B1466" s="4" t="s">
        <f>=HYPERLINK("http://anyluxury.ru/shop/novogodnie-podarki/novogodnie-ukrasheniya/ukrashenie-kollektsionnoe-us-62221-1/" , "US 62221-1 Украшение коллекционное US 62221-1")</f>
      </c>
      <c r="C1466" s="4" t="n">
        <v>920.00</v>
      </c>
      <c r="D1466" s="4"/>
    </row>
    <row collapsed="" customFormat="false" customHeight="1" hidden="" ht="14" outlineLevel="0" r="1467">
      <c r="A1467" s="3" t="inlineStr">
        <is>
          <t>1444</t>
        </is>
      </c>
      <c r="B1467" s="4" t="s">
        <f>=HYPERLINK("http://anyluxury.ru/shop/novogodnie-podarki/novogodnie-ukrasheniya/kollektsionnoe-ukrashenie-shar-4/" , "ST-80-5 Коллекционное украшение 'Шар'")</f>
      </c>
      <c r="C1467" s="4" t="n">
        <v>1480.00</v>
      </c>
      <c r="D1467" s="4"/>
    </row>
    <row collapsed="" customFormat="false" customHeight="1" hidden="" ht="14" outlineLevel="0" r="1468">
      <c r="A1468" s="3" t="inlineStr">
        <is>
          <t>1445</t>
        </is>
      </c>
      <c r="B1468" s="4" t="s">
        <f>=HYPERLINK("http://anyluxury.ru/shop/novogodnie-podarki/novogodnie-ukrasheniya/sharf-happy-view-krasniy-s-sinim-797445/" , "7974.45 Шарф Happy View, красный с синим")</f>
      </c>
      <c r="C1468" s="4" t="n">
        <v>1493.00</v>
      </c>
      <c r="D1468" s="4"/>
    </row>
    <row collapsed="" customFormat="false" customHeight="1" hidden="" ht="14" outlineLevel="0" r="1469">
      <c r="A1469" s="3" t="inlineStr">
        <is>
          <t>1446</t>
        </is>
      </c>
      <c r="B1469" s="4" t="s">
        <f>=HYPERLINK("http://anyluxury.ru/shop/novogodnie-podarki/novogodnie-ukrasheniya/sharf-happy-view-bezheviy-s-sinim-797441/" , "7974.41 Шарф Happy View, бежевый с синим")</f>
      </c>
      <c r="C1469" s="4" t="n">
        <v>1493.00</v>
      </c>
      <c r="D1469" s="4"/>
    </row>
    <row collapsed="" customFormat="false" customHeight="1" hidden="" ht="14" outlineLevel="0" r="1470">
      <c r="A1470" s="3" t="inlineStr">
        <is>
          <t>1447</t>
        </is>
      </c>
      <c r="B1470" s="4" t="s">
        <f>=HYPERLINK("http://anyluxury.ru/shop/novogodnie-podarki/novogodnie-ukrasheniya/varezhki-onego-serie-5300411/" , "53004.11 Варежки Onego, серые, размер XL")</f>
      </c>
      <c r="C1470" s="4" t="n">
        <v>490.00</v>
      </c>
      <c r="D1470" s="4"/>
    </row>
    <row collapsed="" customFormat="false" customHeight="1" hidden="" ht="14" outlineLevel="0" r="1471">
      <c r="A1471" s="3" t="inlineStr">
        <is>
          <t>1448</t>
        </is>
      </c>
      <c r="B1471" s="4" t="s">
        <f>=HYPERLINK("http://anyluxury.ru/shop/novogodnie-podarki/novogodnie-ukrasheniya/dzhemper-sosnovka-1599295/" , "15992.95 Джемпер Sosnovka, размер S")</f>
      </c>
      <c r="C1471" s="4" t="n">
        <v>2590.00</v>
      </c>
      <c r="D1471" s="4"/>
    </row>
    <row collapsed="" customFormat="false" customHeight="1" hidden="" ht="14" outlineLevel="0" r="1472">
      <c r="A1472" s="3" t="inlineStr">
        <is>
          <t>1449</t>
        </is>
      </c>
      <c r="B1472" s="4" t="s">
        <f>=HYPERLINK("http://anyluxury.ru/shop/novogodnie-podarki/novogodnie-ukrasheniya/dzhemper-sosnovka-1599295/" , "15992.95 Джемпер Sosnovka, размер M")</f>
      </c>
      <c r="C1472" s="4" t="n">
        <v>2585.00</v>
      </c>
      <c r="D1472" s="4"/>
    </row>
    <row collapsed="" customFormat="false" customHeight="1" hidden="" ht="14" outlineLevel="0" r="1473">
      <c r="A1473" s="3" t="inlineStr">
        <is>
          <t>1450</t>
        </is>
      </c>
      <c r="B1473" s="4" t="s">
        <f>=HYPERLINK("http://anyluxury.ru/shop/novogodnie-podarki/novogodnie-ukrasheniya/dzhemper-sosnovka-1599295/" , "15992.95 Джемпер Sosnovka, размер L")</f>
      </c>
      <c r="C1473" s="4" t="n">
        <v>2585.00</v>
      </c>
      <c r="D1473" s="4"/>
    </row>
    <row collapsed="" customFormat="false" customHeight="1" hidden="" ht="14" outlineLevel="0" r="1474">
      <c r="A1474" s="3" t="inlineStr">
        <is>
          <t>1451</t>
        </is>
      </c>
      <c r="B1474" s="4" t="s">
        <f>=HYPERLINK("http://anyluxury.ru/shop/novogodnie-podarki/novogodnie-ukrasheniya/dzhemper-sosnovka-1599295/" , "15992.95 Джемпер Sosnovka, размер XL")</f>
      </c>
      <c r="C1474" s="4" t="n">
        <v>2585.00</v>
      </c>
      <c r="D1474" s="4"/>
    </row>
    <row collapsed="" customFormat="false" customHeight="1" hidden="" ht="14" outlineLevel="0" r="1475">
      <c r="A1475" s="3" t="inlineStr">
        <is>
          <t>1452</t>
        </is>
      </c>
      <c r="B1475" s="4" t="s">
        <f>=HYPERLINK("http://anyluxury.ru/shop/novogodnie-podarki/novogodnie-ukrasheniya/shapka-elnik-sinyaya-s-molochnobelim-1673964/" , "16739.64 Шапка Elnik, синяя с молочно-белым")</f>
      </c>
      <c r="C1475" s="4" t="n">
        <v>736.00</v>
      </c>
      <c r="D1475" s="4"/>
    </row>
    <row collapsed="" customFormat="false" customHeight="1" hidden="" ht="14" outlineLevel="0" r="1476">
      <c r="A1476" s="3" t="inlineStr">
        <is>
          <t>1453</t>
        </is>
      </c>
      <c r="B1476" s="4" t="s">
        <f>=HYPERLINK("http://anyluxury.ru/shop/novogodnie-podarki/novogodnie-ukrasheniya/shapka-elnik-zelenaya-s-molochnobelim-1673969/" , "16739.69 Шапка Elnik, зеленая с молочно-белым")</f>
      </c>
      <c r="C1476" s="4" t="n">
        <v>736.00</v>
      </c>
      <c r="D1476" s="4"/>
    </row>
    <row collapsed="" customFormat="false" customHeight="1" hidden="" ht="14" outlineLevel="0" r="1477">
      <c r="A1477" s="3" t="inlineStr">
        <is>
          <t>1454</t>
        </is>
      </c>
      <c r="B1477" s="4" t="s">
        <f>=HYPERLINK("http://anyluxury.ru/shop/novogodnie-podarki/novogodnie-ukrasheniya/shapka-elnik-seraya-s-molochnobelim-1673963/" , "16739.63 Шапка Elnik, серая с молочно-белым")</f>
      </c>
      <c r="C1477" s="4" t="n">
        <v>736.00</v>
      </c>
      <c r="D1477" s="4"/>
    </row>
    <row collapsed="" customFormat="false" customHeight="1" hidden="" ht="14" outlineLevel="0" r="1478">
      <c r="A1478" s="3" t="inlineStr">
        <is>
          <t>1455</t>
        </is>
      </c>
      <c r="B1478" s="4" t="s">
        <f>=HYPERLINK("http://anyluxury.ru/shop/novogodnie-podarki/novogodnie-ukrasheniya/sharf-elnik-siniy-s-molochnobelim-1673864/" , "16738.64 Шарф Elnik, синий с молочно-белым")</f>
      </c>
      <c r="C1478" s="4" t="n">
        <v>859.00</v>
      </c>
      <c r="D1478" s="4"/>
    </row>
    <row collapsed="" customFormat="false" customHeight="1" hidden="" ht="14" outlineLevel="0" r="1479">
      <c r="A1479" s="3" t="inlineStr">
        <is>
          <t>1456</t>
        </is>
      </c>
      <c r="B1479" s="4" t="s">
        <f>=HYPERLINK("http://anyluxury.ru/shop/novogodnie-podarki/novogodnie-ukrasheniya/sharf-elnik-krasniy-s-molochnobelim-1673865/" , "16738.65 Шарф Elnik, красный с молочно-белым")</f>
      </c>
      <c r="C1479" s="4" t="n">
        <v>859.00</v>
      </c>
      <c r="D1479" s="4"/>
    </row>
    <row collapsed="" customFormat="false" customHeight="1" hidden="" ht="14" outlineLevel="0" r="1480">
      <c r="A1480" s="3" t="inlineStr">
        <is>
          <t>1457</t>
        </is>
      </c>
      <c r="B1480" s="4" t="s">
        <f>=HYPERLINK("http://anyluxury.ru/shop/novogodnie-podarki/novogodnie-ukrasheniya/sharf-elnik-zeleniy-s-molochnobelim-1673869/" , "16738.69 Шарф Elnik, зеленый с молочно-белым")</f>
      </c>
      <c r="C1480" s="4" t="n">
        <v>859.00</v>
      </c>
      <c r="D1480" s="4"/>
    </row>
    <row collapsed="" customFormat="false" customHeight="1" hidden="" ht="14" outlineLevel="0" r="1481">
      <c r="A1481" s="3" t="inlineStr">
        <is>
          <t>1458</t>
        </is>
      </c>
      <c r="B1481" s="4" t="s">
        <f>=HYPERLINK("http://anyluxury.ru/shop/novogodnie-podarki/novogodnie-ukrasheniya/varezhki-elnik-sinie-s-molochnobelim-1673764/" , "16737.64 Варежки Elnik, синие с молочно-белым, размер S/M")</f>
      </c>
      <c r="C1481" s="4" t="n">
        <v>780.00</v>
      </c>
      <c r="D1481" s="4"/>
    </row>
    <row collapsed="" customFormat="false" customHeight="1" hidden="" ht="14" outlineLevel="0" r="1482">
      <c r="A1482" s="3" t="inlineStr">
        <is>
          <t>1459</t>
        </is>
      </c>
      <c r="B1482" s="4" t="s">
        <f>=HYPERLINK("http://anyluxury.ru/shop/novogodnie-podarki/novogodnie-ukrasheniya/varezhki-elnik-sinie-s-molochnobelim-1673764/" , "16737.64 Варежки Elnik, синие с молочно-белым, размер L/XL")</f>
      </c>
      <c r="C1482" s="4" t="n">
        <v>780.00</v>
      </c>
      <c r="D1482" s="4"/>
    </row>
    <row collapsed="" customFormat="false" customHeight="1" hidden="" ht="14" outlineLevel="0" r="1483">
      <c r="A1483" s="3" t="inlineStr">
        <is>
          <t>1460</t>
        </is>
      </c>
      <c r="B1483" s="4" t="s">
        <f>=HYPERLINK("http://anyluxury.ru/shop/novogodnie-podarki/novogodnie-ukrasheniya/varezhki-elnik-krasnie-s-molochnobelim-1673765/" , "16737.65 Варежки Elnik, красные с молочно-белым, размер S/M")</f>
      </c>
      <c r="C1483" s="4" t="n">
        <v>780.00</v>
      </c>
      <c r="D1483" s="4"/>
    </row>
    <row collapsed="" customFormat="false" customHeight="1" hidden="" ht="14" outlineLevel="0" r="1484">
      <c r="A1484" s="3" t="inlineStr">
        <is>
          <t>1461</t>
        </is>
      </c>
      <c r="B1484" s="4" t="s">
        <f>=HYPERLINK("http://anyluxury.ru/shop/novogodnie-podarki/novogodnie-ukrasheniya/varezhki-elnik-zelenie-s-molochnobelim-1673769/" , "16737.69 Варежки Elnik, зеленые с молочно-белым, размер S/M")</f>
      </c>
      <c r="C1484" s="4" t="n">
        <v>780.00</v>
      </c>
      <c r="D1484" s="4"/>
    </row>
    <row collapsed="" customFormat="false" customHeight="1" hidden="" ht="14" outlineLevel="0" r="1485">
      <c r="A1485" s="3" t="inlineStr">
        <is>
          <t>1462</t>
        </is>
      </c>
      <c r="B1485" s="4" t="s">
        <f>=HYPERLINK("http://anyluxury.ru/shop/novogodnie-podarki/novogodnie-ukrasheniya/varezhki-elnik-serie-s-molochnobelim-1673763/" , "16737.63 Варежки Elnik, серые с молочно-белым, размер S/M")</f>
      </c>
      <c r="C1485" s="4" t="n">
        <v>780.00</v>
      </c>
      <c r="D1485" s="4"/>
    </row>
    <row collapsed="" customFormat="false" customHeight="1" hidden="" ht="14" outlineLevel="0" r="1486">
      <c r="A1486" s="3" t="inlineStr">
        <is>
          <t>1463</t>
        </is>
      </c>
      <c r="B1486" s="4" t="s">
        <f>=HYPERLINK("http://anyluxury.ru/shop/novogodnie-podarki/novogodnie-ukrasheniya/shapka-mirakler-zelenaya-s-zheltim-1627848/" , "16278.48 Шапка Mirakler, зеленая с желтым")</f>
      </c>
      <c r="C1486" s="4" t="n">
        <v>1197.00</v>
      </c>
      <c r="D1486" s="4"/>
    </row>
    <row collapsed="" customFormat="false" customHeight="1" hidden="" ht="14" outlineLevel="0" r="1487">
      <c r="A1487" s="3" t="inlineStr">
        <is>
          <t>1464</t>
        </is>
      </c>
      <c r="B1487" s="4" t="s">
        <f>=HYPERLINK("http://anyluxury.ru/shop/novogodnie-podarki/novogodnie-ukrasheniya/shapka-mirakler-krasnaya-s-zelenim-1627859/" , "16278.59 Шапка Mirakler, красная с зеленым")</f>
      </c>
      <c r="C1487" s="4" t="n">
        <v>1197.00</v>
      </c>
      <c r="D1487" s="4"/>
    </row>
    <row collapsed="" customFormat="false" customHeight="1" hidden="" ht="14" outlineLevel="0" r="1488">
      <c r="A1488" s="3" t="inlineStr">
        <is>
          <t>1465</t>
        </is>
      </c>
      <c r="B1488" s="4" t="s">
        <f>=HYPERLINK("http://anyluxury.ru/shop/novogodnie-podarki/novogodnie-ukrasheniya/sharf-mirakler-siniy-1627940/" , "16279.40 Шарф Mirakler, синий")</f>
      </c>
      <c r="C1488" s="4" t="n">
        <v>1438.00</v>
      </c>
      <c r="D1488" s="4"/>
    </row>
    <row collapsed="" customFormat="false" customHeight="1" hidden="" ht="14" outlineLevel="0" r="1489">
      <c r="A1489" s="3" t="inlineStr">
        <is>
          <t>1466</t>
        </is>
      </c>
      <c r="B1489" s="4" t="s">
        <f>=HYPERLINK("http://anyluxury.ru/shop/novogodnie-podarki/novogodnie-ukrasheniya/sharf-mirakler-zeleniy-s-zheltim-1627948/" , "16279.48 Шарф Mirakler, зеленый с желтым")</f>
      </c>
      <c r="C1489" s="4" t="n">
        <v>1438.00</v>
      </c>
      <c r="D1489" s="4"/>
    </row>
    <row collapsed="" customFormat="false" customHeight="1" hidden="" ht="14" outlineLevel="0" r="1490">
      <c r="A1490" s="3" t="inlineStr">
        <is>
          <t>1467</t>
        </is>
      </c>
      <c r="B1490" s="4" t="s">
        <f>=HYPERLINK("http://anyluxury.ru/shop/novogodnie-podarki/novogodnie-ukrasheniya/sharf-mirakler-krasniy-s-zelenim-1627959/" , "16279.59 Шарф Mirakler, красный с зеленым")</f>
      </c>
      <c r="C1490" s="4" t="n">
        <v>1438.00</v>
      </c>
      <c r="D1490" s="4"/>
    </row>
    <row collapsed="" customFormat="false" customHeight="" hidden="" ht="12.1" outlineLevel="0" r="1491">
      <c r="A1491" s="5" t="inlineStr">
        <is>
          <t> -  - Новогодний офис</t>
        </is>
      </c>
      <c r="B1491" s="6"/>
      <c r="C1491" s="6"/>
      <c r="D1491" s="6"/>
    </row>
    <row collapsed="" customFormat="false" customHeight="1" hidden="" ht="14" outlineLevel="0" r="1492">
      <c r="A1492" s="3" t="inlineStr">
        <is>
          <t>1468</t>
        </is>
      </c>
      <c r="B1492" s="4" t="s">
        <f>=HYPERLINK("http://anyluxury.ru/shop/novogodnie-podarki/novogodniy-ofis/nabor-dlya-virashhivaniya-ekokub-el-golubaya-3431/" , "3431 Набор для выращивания «Экокуб», ель голубая")</f>
      </c>
      <c r="C1492" s="4" t="n">
        <v>590.00</v>
      </c>
      <c r="D1492" s="4"/>
    </row>
    <row collapsed="" customFormat="false" customHeight="1" hidden="" ht="14" outlineLevel="0" r="1493">
      <c r="A1493" s="3" t="inlineStr">
        <is>
          <t>1469</t>
        </is>
      </c>
      <c r="B1493" s="4" t="s">
        <f>=HYPERLINK("http://anyluxury.ru/shop/novogodnie-podarki/novogodniy-ofis/nastolniy-kamin-magnifique-s-bazaltovimi-kamnyami-ver2-z5400202/" , "Z54002.02 Настольный камин Magnifique с базальтовыми камнями, ver.2")</f>
      </c>
      <c r="C1493" s="4" t="n">
        <v>18516.00</v>
      </c>
      <c r="D1493" s="4"/>
    </row>
    <row collapsed="" customFormat="false" customHeight="1" hidden="" ht="14" outlineLevel="0" r="1494">
      <c r="A1494" s="3" t="inlineStr">
        <is>
          <t>1470</t>
        </is>
      </c>
      <c r="B1494" s="4" t="s">
        <f>=HYPERLINK("http://anyluxury.ru/shop/novogodnie-podarki/novogodniy-ofis/nabor-dlya-virashhivaniya-ekokub-listvennica-sibirskaya-110120/" , "110120 Набор для выращивания «Экокуб», лиственница сибирская")</f>
      </c>
      <c r="C1494" s="4" t="n">
        <v>590.00</v>
      </c>
      <c r="D1494" s="4"/>
    </row>
    <row collapsed="" customFormat="false" customHeight="1" hidden="" ht="14" outlineLevel="0" r="1495">
      <c r="A1495" s="3" t="inlineStr">
        <is>
          <t>1471</t>
        </is>
      </c>
      <c r="B1495" s="4" t="s">
        <f>=HYPERLINK("http://anyluxury.ru/shop/novogodnie-podarki/novogodniy-ofis/nabor-dlya-virashhivaniya-ekokub-sosna-110130/" , "110130 Набор для выращивания «Экокуб», сосна")</f>
      </c>
      <c r="C1495" s="4" t="n">
        <v>590.00</v>
      </c>
      <c r="D1495" s="4"/>
    </row>
    <row collapsed="" customFormat="false" customHeight="1" hidden="" ht="14" outlineLevel="0" r="1496">
      <c r="A1496" s="3" t="inlineStr">
        <is>
          <t>1472</t>
        </is>
      </c>
      <c r="B1496" s="4" t="s">
        <f>=HYPERLINK("http://anyluxury.ru/shop/novogodnie-podarki/novogodniy-ofis/bokal-dlya-shampanskogo-enoteka-1025900/" , "10259.00 Бокал для шампанского «Энотека»")</f>
      </c>
      <c r="C1496" s="4" t="n">
        <v>190.00</v>
      </c>
      <c r="D1496" s="4"/>
    </row>
    <row collapsed="" customFormat="false" customHeight="1" hidden="" ht="14" outlineLevel="0" r="1497">
      <c r="A1497" s="3" t="inlineStr">
        <is>
          <t>1473</t>
        </is>
      </c>
      <c r="B1497" s="4" t="s">
        <f>=HYPERLINK("http://anyluxury.ru/shop/novogodnie-podarki/novogodniy-ofis/vederko-dlya-lda-cocoon-11363/" , "11363 Ведро для льда Cocoon")</f>
      </c>
      <c r="C1497" s="4" t="n">
        <v>19312.00</v>
      </c>
      <c r="D1497" s="4"/>
    </row>
    <row collapsed="" customFormat="false" customHeight="1" hidden="" ht="14" outlineLevel="0" r="1498">
      <c r="A1498" s="3" t="inlineStr">
        <is>
          <t>1474</t>
        </is>
      </c>
      <c r="B1498" s="4" t="s">
        <f>=HYPERLINK("http://anyluxury.ru/shop/novogodnie-podarki/novogodniy-ofis/antistress-zvezda-siniy-272740/" , "2727.40 Антистресс «Звезда», синий")</f>
      </c>
      <c r="C1498" s="4" t="n">
        <v>146.00</v>
      </c>
      <c r="D1498" s="4"/>
    </row>
    <row collapsed="" customFormat="false" customHeight="1" hidden="" ht="14" outlineLevel="0" r="1499">
      <c r="A1499" s="3" t="inlineStr">
        <is>
          <t>1475</t>
        </is>
      </c>
      <c r="B1499" s="4" t="s">
        <f>=HYPERLINK("http://anyluxury.ru/shop/novogodnie-podarki/novogodniy-ofis/bokal-dlya-shampanskogo-retro-1122100/" , "11221.00 Бокал для шампанского Retro")</f>
      </c>
      <c r="C1499" s="4" t="n">
        <v>189.00</v>
      </c>
      <c r="D1499" s="4"/>
    </row>
    <row collapsed="" customFormat="false" customHeight="1" hidden="" ht="14" outlineLevel="0" r="1500">
      <c r="A1500" s="3" t="inlineStr">
        <is>
          <t>1476</t>
        </is>
      </c>
      <c r="B1500" s="4" t="s">
        <f>=HYPERLINK("http://anyluxury.ru/shop/novogodnie-podarki/novogodniy-ofis/nabor-dlya-sira-valanse-10601/" , "10601 Набор для сыра «Валансэ»")</f>
      </c>
      <c r="C1500" s="4" t="n">
        <v>1855.00</v>
      </c>
      <c r="D1500" s="4"/>
    </row>
    <row collapsed="" customFormat="false" customHeight="1" hidden="" ht="14" outlineLevel="0" r="1501">
      <c r="A1501" s="3" t="inlineStr">
        <is>
          <t>1477</t>
        </is>
      </c>
      <c r="B1501" s="4" t="s">
        <f>=HYPERLINK("http://anyluxury.ru/shop/novogodnie-podarki/novogodniy-ofis/3d-otkritka-snezhinka-6314/" , "6314 3D открытка «Снежинка»")</f>
      </c>
      <c r="C1501" s="4" t="n">
        <v>119.00</v>
      </c>
      <c r="D1501" s="4"/>
    </row>
    <row collapsed="" customFormat="false" customHeight="1" hidden="" ht="14" outlineLevel="0" r="1502">
      <c r="A1502" s="3" t="inlineStr">
        <is>
          <t>1478</t>
        </is>
      </c>
      <c r="B1502" s="4" t="s">
        <f>=HYPERLINK("http://anyluxury.ru/shop/novogodnie-podarki/novogodniy-ofis/otkritka-seasons-greetings-s-elochkoy-1158401/" , "11584.01 Открытка Season's Greetings, с елочкой")</f>
      </c>
      <c r="C1502" s="4" t="n">
        <v>190.00</v>
      </c>
      <c r="D1502" s="4"/>
    </row>
    <row collapsed="" customFormat="false" customHeight="1" hidden="" ht="14" outlineLevel="0" r="1503">
      <c r="A1503" s="3" t="inlineStr">
        <is>
          <t>1479</t>
        </is>
      </c>
      <c r="B1503" s="4" t="s">
        <f>=HYPERLINK("http://anyluxury.ru/shop/novogodnie-podarki/novogodniy-ofis/otkritka-seasons-greetings-so-snezhinkoy-1158402/" , "11584.02 Открытка Season's Greetings, со снежинкой")</f>
      </c>
      <c r="C1503" s="4" t="n">
        <v>190.00</v>
      </c>
      <c r="D1503" s="4"/>
    </row>
    <row collapsed="" customFormat="false" customHeight="1" hidden="" ht="14" outlineLevel="0" r="1504">
      <c r="A1504" s="3" t="inlineStr">
        <is>
          <t>1480</t>
        </is>
      </c>
      <c r="B1504" s="4" t="s">
        <f>=HYPERLINK("http://anyluxury.ru/shop/novogodnie-podarki/novogodniy-ofis/otkritka-seasons-greetings-s-izobrazheniem-podarka-1158403/" , "11584.03 Открытка Season's Greetings, с изображением подарка")</f>
      </c>
      <c r="C1504" s="4" t="n">
        <v>190.00</v>
      </c>
      <c r="D1504" s="4"/>
    </row>
    <row collapsed="" customFormat="false" customHeight="1" hidden="" ht="14" outlineLevel="0" r="1505">
      <c r="A1505" s="3" t="inlineStr">
        <is>
          <t>1481</t>
        </is>
      </c>
      <c r="B1505" s="4" t="s">
        <f>=HYPERLINK("http://anyluxury.ru/shop/novogodnie-podarki/novogodniy-ofis/otkritka-mandarin-dobra-1158501/" , "11585.01 Открытка «Мандарин добра»")</f>
      </c>
      <c r="C1505" s="4" t="n">
        <v>190.00</v>
      </c>
      <c r="D1505" s="4"/>
    </row>
    <row collapsed="" customFormat="false" customHeight="1" hidden="" ht="14" outlineLevel="0" r="1506">
      <c r="A1506" s="3" t="inlineStr">
        <is>
          <t>1482</t>
        </is>
      </c>
      <c r="B1506" s="4" t="s">
        <f>=HYPERLINK("http://anyluxury.ru/shop/novogodnie-podarki/novogodniy-ofis/otkritka-mandarin-udachi-1158502/" , "11585.02 Открытка «Мандарин удачи»")</f>
      </c>
      <c r="C1506" s="4" t="n">
        <v>190.00</v>
      </c>
      <c r="D1506" s="4"/>
    </row>
    <row collapsed="" customFormat="false" customHeight="1" hidden="" ht="14" outlineLevel="0" r="1507">
      <c r="A1507" s="3" t="inlineStr">
        <is>
          <t>1483</t>
        </is>
      </c>
      <c r="B1507" s="4" t="s">
        <f>=HYPERLINK("http://anyluxury.ru/shop/novogodnie-podarki/novogodniy-ofis/chehol-dlya-shampanskogo-billy-butler-12642/" , "12642 Чехол для шампанского / вина Billy Butler")</f>
      </c>
      <c r="C1507" s="4" t="n">
        <v>700.00</v>
      </c>
      <c r="D1507" s="4"/>
    </row>
    <row collapsed="" customFormat="false" customHeight="1" hidden="" ht="14" outlineLevel="0" r="1508">
      <c r="A1508" s="3" t="inlineStr">
        <is>
          <t>1484</t>
        </is>
      </c>
      <c r="B1508" s="4" t="s">
        <f>=HYPERLINK("http://anyluxury.ru/shop/novogodnie-podarki/novogodniy-ofis/nabor-warmest-wishes-3-otkritki-s-konvertami-7194502/" , "71945.02 Набор Warmest Wishes: 3 открытки с конвертами")</f>
      </c>
      <c r="C1508" s="4" t="n">
        <v>129.00</v>
      </c>
      <c r="D1508" s="4"/>
    </row>
    <row collapsed="" customFormat="false" customHeight="1" hidden="" ht="14" outlineLevel="0" r="1509">
      <c r="A1509" s="3" t="inlineStr">
        <is>
          <t>1485</t>
        </is>
      </c>
      <c r="B1509" s="4" t="s">
        <f>=HYPERLINK("http://anyluxury.ru/shop/novogodnie-podarki/novogodniy-ofis/specii-dlya-punsha-i-groga-flavor-favor-12457/" , "12457 Специи для пунша и грога Flavor Favor")</f>
      </c>
      <c r="C1509" s="4" t="n">
        <v>216.00</v>
      </c>
      <c r="D1509" s="4"/>
    </row>
    <row collapsed="" customFormat="false" customHeight="1" hidden="" ht="14" outlineLevel="0" r="1510">
      <c r="A1510" s="3" t="inlineStr">
        <is>
          <t>1486</t>
        </is>
      </c>
      <c r="B1510" s="4" t="s">
        <f>=HYPERLINK("http://anyluxury.ru/shop/novogodnie-podarki/novogodniy-ofis/specii-dlya-glintveyna-v-filtrpakete-hot-and-spicy-12490/" , "12490 Специи для глинтвейна в фильтр-пакете Hot and Spicy")</f>
      </c>
      <c r="C1510" s="4" t="n">
        <v>160.00</v>
      </c>
      <c r="D1510" s="4"/>
    </row>
    <row collapsed="" customFormat="false" customHeight="1" hidden="" ht="14" outlineLevel="0" r="1511">
      <c r="A1511" s="3" t="inlineStr">
        <is>
          <t>1487</t>
        </is>
      </c>
      <c r="B1511" s="4" t="s">
        <f>=HYPERLINK("http://anyluxury.ru/shop/novogodnie-podarki/novogodniy-ofis/shokoladnie-dropsi-melt-it-1278300/" , "12783.00 Шоколадные дропсы Melt It")</f>
      </c>
      <c r="C1511" s="4" t="n">
        <v>660.00</v>
      </c>
      <c r="D1511" s="4"/>
    </row>
    <row collapsed="" customFormat="false" customHeight="1" hidden="" ht="14" outlineLevel="0" r="1512">
      <c r="A1512" s="3" t="inlineStr">
        <is>
          <t>1488</t>
        </is>
      </c>
      <c r="B1512" s="4" t="s">
        <f>=HYPERLINK("http://anyluxury.ru/shop/novogodnie-podarki/novogodniy-ofis/probka-dlya-shampanskogo-rioja-1587400/" , "15874.00 Пробка для шампанского Rioja")</f>
      </c>
      <c r="C1512" s="4" t="n">
        <v>265.00</v>
      </c>
      <c r="D1512" s="4"/>
    </row>
    <row collapsed="" customFormat="false" customHeight="1" hidden="" ht="14" outlineLevel="0" r="1513">
      <c r="A1513" s="3" t="inlineStr">
        <is>
          <t>1489</t>
        </is>
      </c>
      <c r="B1513" s="4" t="s">
        <f>=HYPERLINK("http://anyluxury.ru/shop/novogodnie-podarki/novogodniy-ofis/chehol-dlya-butilki-ded-moroz-15831/" , "15831 Чехол для бутылки «Дед Мороз»")</f>
      </c>
      <c r="C1513" s="4" t="n">
        <v>607.00</v>
      </c>
      <c r="D1513" s="4"/>
    </row>
    <row collapsed="" customFormat="false" customHeight="1" hidden="" ht="14" outlineLevel="0" r="1514">
      <c r="A1514" s="3" t="inlineStr">
        <is>
          <t>1490</t>
        </is>
      </c>
      <c r="B1514" s="4" t="s">
        <f>=HYPERLINK("http://anyluxury.ru/shop/novogodnie-podarki/novogodniy-ofis/chehol-na-butilku-na-zakaz-botti-net-akril-1887001/" , "18870.01 Чехол на бутылку на заказ Botti Net, акрил")</f>
      </c>
      <c r="C1514" s="4" t="n">
        <v>493.00</v>
      </c>
      <c r="D1514" s="4"/>
    </row>
    <row collapsed="" customFormat="false" customHeight="1" hidden="" ht="14" outlineLevel="0" r="1515">
      <c r="A1515" s="3" t="inlineStr">
        <is>
          <t>1491</t>
        </is>
      </c>
      <c r="B1515" s="4" t="s">
        <f>=HYPERLINK("http://anyluxury.ru/shop/novogodnie-podarki/novogodniy-ofis/konfeti-kedroviy-grilyazh-s-klyukvoy-1364600/" , "13646.00 Конфеты «Мягкий кедровый грильяж» с клюквой")</f>
      </c>
      <c r="C1515" s="4" t="n">
        <v>420.00</v>
      </c>
      <c r="D1515" s="4"/>
    </row>
    <row collapsed="" customFormat="false" customHeight="1" hidden="" ht="14" outlineLevel="0" r="1516">
      <c r="A1516" s="3" t="inlineStr">
        <is>
          <t>1492</t>
        </is>
      </c>
      <c r="B1516" s="4" t="s">
        <f>=HYPERLINK("http://anyluxury.ru/shop/novogodnie-podarki/novogodniy-ofis/girlyanda-yule-15089/" , "15089 Гирлянда Yule")</f>
      </c>
      <c r="C1516" s="4" t="n">
        <v>430.00</v>
      </c>
      <c r="D1516" s="4"/>
    </row>
    <row collapsed="" customFormat="false" customHeight="1" hidden="" ht="14" outlineLevel="0" r="1517">
      <c r="A1517" s="3" t="inlineStr">
        <is>
          <t>1493</t>
        </is>
      </c>
      <c r="B1517" s="4" t="s">
        <f>=HYPERLINK("http://anyluxury.ru/shop/novogodnie-podarki/novogodniy-ofis/nabor-iz-2-bokalov-dlya-shampanskogo-perola-1590700/" , "15907.00 Набор из 2 бокалов для шампанского Perola")</f>
      </c>
      <c r="C1517" s="4" t="n">
        <v>1719.49</v>
      </c>
      <c r="D1517" s="4"/>
    </row>
    <row collapsed="" customFormat="false" customHeight="1" hidden="" ht="14" outlineLevel="0" r="1518">
      <c r="A1518" s="3" t="inlineStr">
        <is>
          <t>1494</t>
        </is>
      </c>
      <c r="B1518" s="4" t="s">
        <f>=HYPERLINK("http://anyluxury.ru/shop/novogodnie-podarki/novogodniy-ofis/chehol-na-butilku-mr-bunnister-30143/" , "30143 Чехол на бутылку Mr Bunnister")</f>
      </c>
      <c r="C1518" s="4" t="n">
        <v>701.00</v>
      </c>
      <c r="D1518" s="4"/>
    </row>
    <row collapsed="" customFormat="false" customHeight="1" hidden="" ht="14" outlineLevel="0" r="1519">
      <c r="A1519" s="3" t="inlineStr">
        <is>
          <t>1495</t>
        </is>
      </c>
      <c r="B1519" s="4" t="s">
        <f>=HYPERLINK("http://anyluxury.ru/shop/novogodnie-podarki/novogodniy-ofis/aksessuar-dlya-butilki-black-tie-30147/" , "30147 Аксессуар для бутылки Black Tie")</f>
      </c>
      <c r="C1519" s="4" t="n">
        <v>451.00</v>
      </c>
      <c r="D1519" s="4"/>
    </row>
    <row collapsed="" customFormat="false" customHeight="1" hidden="" ht="14" outlineLevel="0" r="1520">
      <c r="A1520" s="3" t="inlineStr">
        <is>
          <t>1496</t>
        </is>
      </c>
      <c r="B1520" s="4" t="s">
        <f>=HYPERLINK("http://anyluxury.ru/shop/novogodnie-podarki/novogodniy-ofis/nabor-novogodnyaya-poeziya-30167/" , "30167 Набор «Новогодняя поэзия»")</f>
      </c>
      <c r="C1520" s="4" t="n">
        <v>4935.00</v>
      </c>
      <c r="D1520" s="4"/>
    </row>
    <row collapsed="" customFormat="false" customHeight="1" hidden="" ht="14" outlineLevel="0" r="1521">
      <c r="A1521" s="3" t="inlineStr">
        <is>
          <t>1497</t>
        </is>
      </c>
      <c r="B1521" s="4" t="s">
        <f>=HYPERLINK("http://anyluxury.ru/shop/novogodnie-podarki/novogodniy-ofis/vedro-dlya-lda-bitter-1718000/" , "17180.00 Ведро для льда Bitter")</f>
      </c>
      <c r="C1521" s="4" t="n">
        <v>1738.00</v>
      </c>
      <c r="D1521" s="4"/>
    </row>
    <row collapsed="" customFormat="false" customHeight="1" hidden="" ht="14" outlineLevel="0" r="1522">
      <c r="A1522" s="3" t="inlineStr">
        <is>
          <t>1498</t>
        </is>
      </c>
      <c r="B1522" s="4" t="s">
        <f>=HYPERLINK("http://anyluxury.ru/shop/novogodnie-podarki/novogodniy-ofis/elka-s-igrushkami-one-two-tree-krasnaya-3016650/" , "30166.50 Елка с игрушками One Two Tree, красная")</f>
      </c>
      <c r="C1522" s="4" t="n">
        <v>3969.00</v>
      </c>
      <c r="D1522" s="4"/>
    </row>
    <row collapsed="" customFormat="false" customHeight="1" hidden="" ht="14" outlineLevel="0" r="1523">
      <c r="A1523" s="3" t="inlineStr">
        <is>
          <t>1499</t>
        </is>
      </c>
      <c r="B1523" s="4" t="s">
        <f>=HYPERLINK("http://anyluxury.ru/shop/novogodnie-podarki/novogodniy-ofis/elka-s-igrushkami-one-two-tree-sinyaya-3016640/" , "30166.40 Елка с игрушками One Two Tree, синяя")</f>
      </c>
      <c r="C1523" s="4" t="n">
        <v>3969.00</v>
      </c>
      <c r="D1523" s="4"/>
    </row>
    <row collapsed="" customFormat="false" customHeight="1" hidden="" ht="14" outlineLevel="0" r="1524">
      <c r="A1524" s="3" t="inlineStr">
        <is>
          <t>1500</t>
        </is>
      </c>
      <c r="B1524" s="4" t="s">
        <f>=HYPERLINK("http://anyluxury.ru/shop/novogodnie-podarki/novogodniy-ofis/pechene-s-logotipom-cookie-print-na-zakaz-1475060/" , "14750.60 Печенье с логотипом Cookie Print на заказ")</f>
      </c>
      <c r="C1524" s="4" t="n">
        <v>59.00</v>
      </c>
      <c r="D1524" s="4"/>
    </row>
    <row collapsed="" customFormat="false" customHeight="1" hidden="" ht="14" outlineLevel="0" r="1525">
      <c r="A1525" s="3" t="inlineStr">
        <is>
          <t>1501</t>
        </is>
      </c>
      <c r="B1525" s="4" t="s">
        <f>=HYPERLINK("http://anyluxury.ru/shop/novogodnie-podarki/novogodniy-ofis/specii-dlya-glintveyna-winter-joy-1513900/" , "15139.00 Специи для глинтвейна Winter Joy")</f>
      </c>
      <c r="C1525" s="4" t="n">
        <v>228.00</v>
      </c>
      <c r="D1525" s="4"/>
    </row>
    <row collapsed="" customFormat="false" customHeight="1" hidden="" ht="14" outlineLevel="0" r="1526">
      <c r="A1526" s="3" t="inlineStr">
        <is>
          <t>1502</t>
        </is>
      </c>
      <c r="B1526" s="4" t="s">
        <f>=HYPERLINK("http://anyluxury.ru/shop/novogodnie-podarki/novogodniy-ofis/shokoladnaya-figurka-yelka-na-zakaz-1897301/" , "18973.01 Шоколадная фигурка Yelka на заказ")</f>
      </c>
      <c r="C1526" s="4" t="n">
        <v>455.00</v>
      </c>
      <c r="D1526" s="4"/>
    </row>
    <row collapsed="" customFormat="false" customHeight="1" hidden="" ht="14" outlineLevel="0" r="1527">
      <c r="A1527" s="3" t="inlineStr">
        <is>
          <t>1503</t>
        </is>
      </c>
      <c r="B1527" s="4" t="s">
        <f>=HYPERLINK("http://anyluxury.ru/shop/novogodnie-podarki/novogodniy-ofis/shokoladniy-adventkalendar-festa-na-zakaz-1897101/" , "18971.01 Шоколадный адвент-календарь Festa на заказ")</f>
      </c>
      <c r="C1527" s="4" t="n">
        <v>1442.00</v>
      </c>
      <c r="D1527" s="4"/>
    </row>
    <row collapsed="" customFormat="false" customHeight="1" hidden="" ht="14" outlineLevel="0" r="1528">
      <c r="A1528" s="3" t="inlineStr">
        <is>
          <t>1504</t>
        </is>
      </c>
      <c r="B1528" s="4" t="s">
        <f>=HYPERLINK("http://anyluxury.ru/shop/novogodnie-podarki/novogodniy-ofis/shokolad-maukas-beliy-s-cukatami-1575003/" , "15750.03 Шоколад Maukas, белый с цукатами")</f>
      </c>
      <c r="C1528" s="4" t="n">
        <v>540.00</v>
      </c>
      <c r="D1528" s="4"/>
    </row>
    <row collapsed="" customFormat="false" customHeight="1" hidden="" ht="14" outlineLevel="0" r="1529">
      <c r="A1529" s="3" t="inlineStr">
        <is>
          <t>1505</t>
        </is>
      </c>
      <c r="B1529" s="4" t="s">
        <f>=HYPERLINK("http://anyluxury.ru/shop/novogodnie-podarki/novogodniy-ofis/iskusstvennaya-el-mstree-180-sm-1593601/" , "15936.01 Искусственная ель Ms.Tree, 180 см")</f>
      </c>
      <c r="C1529" s="4" t="n">
        <v>18479.00</v>
      </c>
      <c r="D1529" s="4"/>
    </row>
    <row collapsed="" customFormat="false" customHeight="1" hidden="" ht="14" outlineLevel="0" r="1530">
      <c r="A1530" s="3" t="inlineStr">
        <is>
          <t>1506</t>
        </is>
      </c>
      <c r="B1530" s="4" t="s">
        <f>=HYPERLINK("http://anyluxury.ru/shop/novogodnie-podarki/novogodniy-ofis/iskusstvennaya-el-mstree-210-sm-1593602/" , "15936.02 Искусственная ель Ms.Tree, 210 см")</f>
      </c>
      <c r="C1530" s="4" t="n">
        <v>24393.00</v>
      </c>
      <c r="D1530" s="4"/>
    </row>
    <row collapsed="" customFormat="false" customHeight="1" hidden="" ht="14" outlineLevel="0" r="1531">
      <c r="A1531" s="3" t="inlineStr">
        <is>
          <t>1507</t>
        </is>
      </c>
      <c r="B1531" s="4" t="s">
        <f>=HYPERLINK("http://anyluxury.ru/shop/novogodnie-podarki/novogodniy-ofis/iskusstvennaya-el-snegga-120-sm-1593701/" , "15937.01 Искусственная ель Snegga, 120 см")</f>
      </c>
      <c r="C1531" s="4" t="n">
        <v>9280.00</v>
      </c>
      <c r="D1531" s="4"/>
    </row>
    <row collapsed="" customFormat="false" customHeight="1" hidden="" ht="14" outlineLevel="0" r="1532">
      <c r="A1532" s="3" t="inlineStr">
        <is>
          <t>1508</t>
        </is>
      </c>
      <c r="B1532" s="4" t="s">
        <f>=HYPERLINK("http://anyluxury.ru/shop/novogodnie-podarki/novogodniy-ofis/iskusstvennaya-el-snegga-180-sm-1593702/" , "15937.02 Искусственная ель Snegga, 180 см")</f>
      </c>
      <c r="C1532" s="4" t="n">
        <v>22662.00</v>
      </c>
      <c r="D1532" s="4"/>
    </row>
    <row collapsed="" customFormat="false" customHeight="1" hidden="" ht="14" outlineLevel="0" r="1533">
      <c r="A1533" s="3" t="inlineStr">
        <is>
          <t>1509</t>
        </is>
      </c>
      <c r="B1533" s="4" t="s">
        <f>=HYPERLINK("http://anyluxury.ru/shop/novogodnie-podarki/novogodniy-ofis/iskusstvennaya-el-fuzzy-150-sm-1593801/" , "15938.01 Искусственная ель Fuzzy, 150 см")</f>
      </c>
      <c r="C1533" s="4" t="n">
        <v>11236.00</v>
      </c>
      <c r="D1533" s="4"/>
    </row>
    <row collapsed="" customFormat="false" customHeight="1" hidden="" ht="14" outlineLevel="0" r="1534">
      <c r="A1534" s="3" t="inlineStr">
        <is>
          <t>1510</t>
        </is>
      </c>
      <c r="B1534" s="4" t="s">
        <f>=HYPERLINK("http://anyluxury.ru/shop/novogodnie-podarki/novogodniy-ofis/iskusstvennaya-el-fuzzy-180-sm-1593802/" , "15938.02 Искусственная ель Fuzzy, 180 см")</f>
      </c>
      <c r="C1534" s="4" t="n">
        <v>16589.00</v>
      </c>
      <c r="D1534" s="4"/>
    </row>
    <row collapsed="" customFormat="false" customHeight="1" hidden="" ht="14" outlineLevel="0" r="1535">
      <c r="A1535" s="3" t="inlineStr">
        <is>
          <t>1511</t>
        </is>
      </c>
      <c r="B1535" s="4" t="s">
        <f>=HYPERLINK("http://anyluxury.ru/shop/novogodnie-podarki/novogodniy-ofis/iskusstvennaya-el-pristennaya-fuzzy-half-180-sm-1593803/" , "15938.03 Искусственная ель пристенная Fuzzy Half, 180 см")</f>
      </c>
      <c r="C1535" s="4" t="n">
        <v>10137.00</v>
      </c>
      <c r="D1535" s="4"/>
    </row>
    <row collapsed="" customFormat="false" customHeight="1" hidden="" ht="14" outlineLevel="0" r="1536">
      <c r="A1536" s="3" t="inlineStr">
        <is>
          <t>1512</t>
        </is>
      </c>
      <c r="B1536" s="4" t="s">
        <f>=HYPERLINK("http://anyluxury.ru/shop/novogodnie-podarki/novogodniy-ofis/rozhdestvenskiy-venok-miracle-15939/" , "15939 Рождественский венок Miracle")</f>
      </c>
      <c r="C1536" s="4" t="n">
        <v>2750.00</v>
      </c>
      <c r="D1536" s="4"/>
    </row>
    <row collapsed="" customFormat="false" customHeight="1" hidden="" ht="14" outlineLevel="0" r="1537">
      <c r="A1537" s="3" t="inlineStr">
        <is>
          <t>1513</t>
        </is>
      </c>
      <c r="B1537" s="4" t="s">
        <f>=HYPERLINK("http://anyluxury.ru/shop/novogodnie-podarki/novogodniy-ofis/rozhdestvenskaya-vetka-vispera-15940/" , "15940 Рождественская ветка Vispera")</f>
      </c>
      <c r="C1537" s="4" t="n">
        <v>2020.00</v>
      </c>
      <c r="D1537" s="4"/>
    </row>
    <row collapsed="" customFormat="false" customHeight="1" hidden="" ht="14" outlineLevel="0" r="1538">
      <c r="A1538" s="3" t="inlineStr">
        <is>
          <t>1514</t>
        </is>
      </c>
      <c r="B1538" s="4" t="s">
        <f>=HYPERLINK("http://anyluxury.ru/shop/novogodnie-podarki/novogodniy-ofis/shokoladniy-adventkalendar-festa-mini-na-zakaz-1823701/" , "18237.01 Шоколадный адвент-календарь Festa Mini на заказ")</f>
      </c>
      <c r="C1538" s="4" t="n">
        <v>838.00</v>
      </c>
      <c r="D1538" s="4"/>
    </row>
    <row collapsed="" customFormat="false" customHeight="1" hidden="" ht="14" outlineLevel="0" r="1539">
      <c r="A1539" s="3" t="inlineStr">
        <is>
          <t>1515</t>
        </is>
      </c>
      <c r="B1539" s="4" t="s">
        <f>=HYPERLINK("http://anyluxury.ru/shop/novogodnie-podarki/novogodniy-ofis/nabor-pechenya-novogodnie-pozhelaniya-16420/" , "16420 Набор печенья «Новогодние пожелания»")</f>
      </c>
      <c r="C1539" s="4" t="n">
        <v>770.00</v>
      </c>
      <c r="D1539" s="4"/>
    </row>
    <row collapsed="" customFormat="false" customHeight="" hidden="" ht="12.1" outlineLevel="0" r="1540">
      <c r="A1540" s="5" t="inlineStr">
        <is>
          <t> -  - Свечи и подсвечники</t>
        </is>
      </c>
      <c r="B1540" s="6"/>
      <c r="C1540" s="6"/>
      <c r="D1540" s="6"/>
    </row>
    <row collapsed="" customFormat="false" customHeight="1" hidden="" ht="14" outlineLevel="0" r="1541">
      <c r="A1541" s="3" t="inlineStr">
        <is>
          <t>1516</t>
        </is>
      </c>
      <c r="B1541" s="4" t="s">
        <f>=HYPERLINK("http://anyluxury.ru/shop/novogodnie-podarki/svechi-i-podsvechniki/svecha-snezhok-6672/" , "6672 Свеча «Снежок»")</f>
      </c>
      <c r="C1541" s="4" t="n">
        <v>210.00</v>
      </c>
      <c r="D1541" s="4"/>
    </row>
    <row collapsed="" customFormat="false" customHeight="1" hidden="" ht="14" outlineLevel="0" r="1542">
      <c r="A1542" s="3" t="inlineStr">
        <is>
          <t>1517</t>
        </is>
      </c>
      <c r="B1542" s="4" t="s">
        <f>=HYPERLINK("http://anyluxury.ru/shop/novogodnie-podarki/svechi-i-podsvechniki/svecha-shishka-1678/" , "1678 Свеча «Шишка»")</f>
      </c>
      <c r="C1542" s="4" t="n">
        <v>229.00</v>
      </c>
      <c r="D1542" s="4"/>
    </row>
    <row collapsed="" customFormat="false" customHeight="1" hidden="" ht="14" outlineLevel="0" r="1543">
      <c r="A1543" s="3" t="inlineStr">
        <is>
          <t>1518</t>
        </is>
      </c>
      <c r="B1543" s="4" t="s">
        <f>=HYPERLINK("http://anyluxury.ru/shop/novogodnie-podarki/svechi-i-podsvechniki/svecha-lagom-care-metallic-serebristaya-1788910/" , "17889.10 Свеча Lagom Care Metallic, серебристая")</f>
      </c>
      <c r="C1543" s="4" t="n">
        <v>235.00</v>
      </c>
      <c r="D1543" s="4"/>
    </row>
    <row collapsed="" customFormat="false" customHeight="1" hidden="" ht="14" outlineLevel="0" r="1544">
      <c r="A1544" s="3" t="inlineStr">
        <is>
          <t>1519</t>
        </is>
      </c>
      <c r="B1544" s="4" t="s">
        <f>=HYPERLINK("http://anyluxury.ru/shop/novogodnie-podarki/svechi-i-podsvechniki/svecha-christmas-twinkle-elka-15825/" , "15825 Свеча Christmas Twinkle, елка")</f>
      </c>
      <c r="C1544" s="4" t="n">
        <v>294.00</v>
      </c>
      <c r="D1544" s="4"/>
    </row>
    <row collapsed="" customFormat="false" customHeight="1" hidden="" ht="14" outlineLevel="0" r="1545">
      <c r="A1545" s="3" t="inlineStr">
        <is>
          <t>1520</t>
        </is>
      </c>
      <c r="B1545" s="4" t="s">
        <f>=HYPERLINK("http://anyluxury.ru/shop/novogodnie-podarki/svechi-i-podsvechniki/svecha-christmas-twinkle-snegovik-15826/" , "15826 Свеча Christmas Twinkle, снеговик")</f>
      </c>
      <c r="C1545" s="4" t="n">
        <v>290.00</v>
      </c>
      <c r="D1545" s="4"/>
    </row>
    <row collapsed="" customFormat="false" customHeight="1" hidden="" ht="14" outlineLevel="0" r="1546">
      <c r="A1546" s="3" t="inlineStr">
        <is>
          <t>1521</t>
        </is>
      </c>
      <c r="B1546" s="4" t="s">
        <f>=HYPERLINK("http://anyluxury.ru/shop/novogodnie-podarki/svechi-i-podsvechniki/svecha-christmas-twinkle-domik-15827/" , "15827 Свеча Christmas Twinkle, домик")</f>
      </c>
      <c r="C1546" s="4" t="n">
        <v>356.00</v>
      </c>
      <c r="D1546" s="4"/>
    </row>
    <row collapsed="" customFormat="false" customHeight="1" hidden="" ht="14" outlineLevel="0" r="1547">
      <c r="A1547" s="3" t="inlineStr">
        <is>
          <t>1522</t>
        </is>
      </c>
      <c r="B1547" s="4" t="s">
        <f>=HYPERLINK("http://anyluxury.ru/shop/novogodnie-podarki/svechi-i-podsvechniki/svecha-christmas-twinkle-santa-15828/" , "15828 Свеча Christmas Twinkle, гном")</f>
      </c>
      <c r="C1547" s="4" t="n">
        <v>316.00</v>
      </c>
      <c r="D1547" s="4"/>
    </row>
    <row collapsed="" customFormat="false" customHeight="1" hidden="" ht="14" outlineLevel="0" r="1548">
      <c r="A1548" s="3" t="inlineStr">
        <is>
          <t>1523</t>
        </is>
      </c>
      <c r="B1548" s="4" t="s">
        <f>=HYPERLINK("http://anyluxury.ru/shop/novogodnie-podarki/svechi-i-podsvechniki/svecha-shishka-iz-naturalnogo-voska-malaya-11083511/" , "110835.11 Свеча «Шишка» из натурального воска, малая")</f>
      </c>
      <c r="C1548" s="4" t="n">
        <v>250.00</v>
      </c>
      <c r="D1548" s="4"/>
    </row>
    <row collapsed="" customFormat="false" customHeight="1" hidden="" ht="14" outlineLevel="0" r="1549">
      <c r="A1549" s="3" t="inlineStr">
        <is>
          <t>1524</t>
        </is>
      </c>
      <c r="B1549" s="4" t="s">
        <f>=HYPERLINK("http://anyluxury.ru/shop/novogodnie-podarki/svechi-i-podsvechniki/nabor-svechey-yashhik-morkovki-30123/" , "30123 Набор свечей «Ящик морковки»")</f>
      </c>
      <c r="C1549" s="4" t="n">
        <v>1115.00</v>
      </c>
      <c r="D1549" s="4"/>
    </row>
    <row collapsed="" customFormat="false" customHeight="1" hidden="" ht="14" outlineLevel="0" r="1550">
      <c r="A1550" s="3" t="inlineStr">
        <is>
          <t>1525</t>
        </is>
      </c>
      <c r="B1550" s="4" t="s">
        <f>=HYPERLINK("http://anyluxury.ru/shop/novogodnie-podarki/svechi-i-podsvechniki/svecha-yashhik-mandarinov-30127/" , "30127 Свеча «Ящик мандаринов»")</f>
      </c>
      <c r="C1550" s="4" t="n">
        <v>1106.00</v>
      </c>
      <c r="D1550" s="4"/>
    </row>
    <row collapsed="" customFormat="false" customHeight="1" hidden="" ht="14" outlineLevel="0" r="1551">
      <c r="A1551" s="3" t="inlineStr">
        <is>
          <t>1526</t>
        </is>
      </c>
      <c r="B1551" s="4" t="s">
        <f>=HYPERLINK("http://anyluxury.ru/shop/novogodnie-podarki/svechi-i-podsvechniki/svecha-christmas-twinkle-elochka-15930/" , "15930 Свеча Christmas Twinkle, елочка")</f>
      </c>
      <c r="C1551" s="4" t="n">
        <v>315.00</v>
      </c>
      <c r="D1551" s="4"/>
    </row>
    <row collapsed="" customFormat="false" customHeight="1" hidden="" ht="14" outlineLevel="0" r="1552">
      <c r="A1552" s="3" t="inlineStr">
        <is>
          <t>1527</t>
        </is>
      </c>
      <c r="B1552" s="4" t="s">
        <f>=HYPERLINK("http://anyluxury.ru/shop/novogodnie-podarki/svechi-i-podsvechniki/svecha-christmas-twinkle-ptichka-15932/" , "15932 Свеча Christmas Twinkle, птичка")</f>
      </c>
      <c r="C1552" s="4" t="n">
        <v>289.00</v>
      </c>
      <c r="D1552" s="4"/>
    </row>
    <row collapsed="" customFormat="false" customHeight="1" hidden="" ht="14" outlineLevel="0" r="1553">
      <c r="A1553" s="3" t="inlineStr">
        <is>
          <t>1528</t>
        </is>
      </c>
      <c r="B1553" s="4" t="s">
        <f>=HYPERLINK("http://anyluxury.ru/shop/novogodnie-podarki/svechi-i-podsvechniki/svecha-aromaticheskaya-piccola-imbirnoe-pechene-i-mandarin-1622557/" , "16225.57 Свеча ароматическая Piccola, имбирное печенье и мандарин")</f>
      </c>
      <c r="C1553" s="4" t="n">
        <v>390.00</v>
      </c>
      <c r="D1553" s="4"/>
    </row>
    <row collapsed="" customFormat="false" customHeight="1" hidden="" ht="14" outlineLevel="0" r="1554">
      <c r="A1554" s="3" t="inlineStr">
        <is>
          <t>1529</t>
        </is>
      </c>
      <c r="B1554" s="4" t="s">
        <f>=HYPERLINK("http://anyluxury.ru/shop/novogodnie-podarki/svechi-i-podsvechniki/svecha-aromaticheskaya-piccola-apelsin-i-korica-1622558/" , "16225.58 Свеча ароматическая Piccola, апельсин и корица")</f>
      </c>
      <c r="C1554" s="4" t="n">
        <v>390.00</v>
      </c>
      <c r="D1554" s="4"/>
    </row>
    <row collapsed="" customFormat="false" customHeight="1" hidden="" ht="14" outlineLevel="0" r="1555">
      <c r="A1555" s="3" t="inlineStr">
        <is>
          <t>1530</t>
        </is>
      </c>
      <c r="B1555" s="4" t="s">
        <f>=HYPERLINK("http://anyluxury.ru/shop/novogodnie-podarki/svechi-i-podsvechniki/svecha-aromaticheskaya-piccola-yudzu-i-mindalnoe-pechene-1622559/" , "16225.59 Свеча ароматическая Piccola, юдзу и миндальное печенье")</f>
      </c>
      <c r="C1555" s="4" t="n">
        <v>390.00</v>
      </c>
      <c r="D1555" s="4"/>
    </row>
    <row collapsed="" customFormat="false" customHeight="" hidden="" ht="12.1" outlineLevel="0" r="1556">
      <c r="A1556" s="5" t="inlineStr">
        <is>
          <t> -  - Символ года</t>
        </is>
      </c>
      <c r="B1556" s="6"/>
      <c r="C1556" s="6"/>
      <c r="D1556" s="6"/>
    </row>
    <row collapsed="" customFormat="false" customHeight="1" hidden="" ht="14" outlineLevel="0" r="1557">
      <c r="A1557" s="3" t="inlineStr">
        <is>
          <t>1531</t>
        </is>
      </c>
      <c r="B1557" s="4" t="s">
        <f>=HYPERLINK("http://anyluxury.ru/shop/novogodnie-podarki/simvol-goda/svetilnik-keramicheskiy-kot-11242/" , "11242 Светильник керамический «Кот»")</f>
      </c>
      <c r="C1557" s="4" t="n">
        <v>2407.00</v>
      </c>
      <c r="D1557" s="4"/>
    </row>
    <row collapsed="" customFormat="false" customHeight="1" hidden="" ht="14" outlineLevel="0" r="1558">
      <c r="A1558" s="3" t="inlineStr">
        <is>
          <t>1532</t>
        </is>
      </c>
      <c r="B1558" s="4" t="s">
        <f>=HYPERLINK("http://anyluxury.ru/shop/novogodnie-podarki/simvol-goda/nabor-dlya-tvorchestva-zabavnie-kolokolchiki-kot-vasiliy-1603801/" , "16038.01 Набор для творчества «Забавные колокольчики. Кот Василий»")</f>
      </c>
      <c r="C1558" s="4" t="n">
        <v>589.00</v>
      </c>
      <c r="D1558" s="4"/>
    </row>
    <row collapsed="" customFormat="false" customHeight="1" hidden="" ht="14" outlineLevel="0" r="1559">
      <c r="A1559" s="3" t="inlineStr">
        <is>
          <t>1533</t>
        </is>
      </c>
      <c r="B1559" s="4" t="s">
        <f>=HYPERLINK("http://anyluxury.ru/shop/novogodnie-podarki/simvol-goda/nabor-pechenya-cookie-moo-12502/" , "12502 Набор печенья Cookie Moo")</f>
      </c>
      <c r="C1559" s="4" t="n">
        <v>650.00</v>
      </c>
      <c r="D1559" s="4"/>
    </row>
    <row collapsed="" customFormat="false" customHeight="1" hidden="" ht="14" outlineLevel="0" r="1560">
      <c r="A1560" s="3" t="inlineStr">
        <is>
          <t>1534</t>
        </is>
      </c>
      <c r="B1560" s="4" t="s">
        <f>=HYPERLINK("http://anyluxury.ru/shop/novogodnie-podarki/simvol-goda/besprovodnoy-silikonoviy-nochnik-night-light-cherniy-1321830/" , "13218.30 Беспроводной силиконовый ночник Night Light, черный")</f>
      </c>
      <c r="C1560" s="4" t="n">
        <v>1790.00</v>
      </c>
      <c r="D1560" s="4"/>
    </row>
    <row collapsed="" customFormat="false" customHeight="1" hidden="" ht="14" outlineLevel="0" r="1561">
      <c r="A1561" s="3" t="inlineStr">
        <is>
          <t>1535</t>
        </is>
      </c>
      <c r="B1561" s="4" t="s">
        <f>=HYPERLINK("http://anyluxury.ru/shop/novogodnie-podarki/simvol-goda/elochnaya-igrushka-tigrenok-v-korobke-prozrachniy-1405500/" , "14055.00 Елочная игрушка «Тигренок» в коробке, прозрачная")</f>
      </c>
      <c r="C1561" s="4" t="n">
        <v>265.00</v>
      </c>
      <c r="D1561" s="4"/>
    </row>
    <row collapsed="" customFormat="false" customHeight="1" hidden="" ht="14" outlineLevel="0" r="1562">
      <c r="A1562" s="3" t="inlineStr">
        <is>
          <t>1536</t>
        </is>
      </c>
      <c r="B1562" s="4" t="s">
        <f>=HYPERLINK("http://anyluxury.ru/shop/novogodnie-podarki/simvol-goda/elochnaya-igrushka-bengalskiy-tigrenok-v-korobke-zolotoy-s-rospisyu-1405700/" , "14057.00 Елочная игрушка «Бенгальский тигр» в коробке, золотистая с росписью")</f>
      </c>
      <c r="C1562" s="4" t="n">
        <v>815.00</v>
      </c>
      <c r="D1562" s="4"/>
    </row>
    <row collapsed="" customFormat="false" customHeight="1" hidden="" ht="14" outlineLevel="0" r="1563">
      <c r="A1563" s="3" t="inlineStr">
        <is>
          <t>1537</t>
        </is>
      </c>
      <c r="B1563" s="4" t="s">
        <f>=HYPERLINK("http://anyluxury.ru/shop/novogodnie-podarki/simvol-goda/elochnaya-igrushka-bengalskiy-tigrenok-v-korobke-cherniy-s-rospisyu-1405730/" , "14057.30 Елочная игрушка «Бенгальский тигр» в коробке, черная с росписью")</f>
      </c>
      <c r="C1563" s="4" t="n">
        <v>815.00</v>
      </c>
      <c r="D1563" s="4"/>
    </row>
    <row collapsed="" customFormat="false" customHeight="1" hidden="" ht="14" outlineLevel="0" r="1564">
      <c r="A1564" s="3" t="inlineStr">
        <is>
          <t>1538</t>
        </is>
      </c>
      <c r="B1564" s="4" t="s">
        <f>=HYPERLINK("http://anyluxury.ru/shop/novogodnie-podarki/simvol-goda/elochnaya-igrushka-bengalskiy-tigrenok-v-korobke-beliy-s-rospisyu-1405760/" , "14057.60 Елочная игрушка «Бенгальский тигр» в коробке, белая с росписью")</f>
      </c>
      <c r="C1564" s="4" t="n">
        <v>815.00</v>
      </c>
      <c r="D1564" s="4"/>
    </row>
    <row collapsed="" customFormat="false" customHeight="1" hidden="" ht="14" outlineLevel="0" r="1565">
      <c r="A1565" s="3" t="inlineStr">
        <is>
          <t>1539</t>
        </is>
      </c>
      <c r="B1565" s="4" t="s">
        <f>=HYPERLINK("http://anyluxury.ru/shop/novogodnie-podarki/simvol-goda/shokoladnaya-bombochka-tigrenok-1373302/" , "13733.02 Шоколадная бомбочка «Тигренок»")</f>
      </c>
      <c r="C1565" s="4" t="n">
        <v>552.00</v>
      </c>
      <c r="D1565" s="4"/>
    </row>
    <row collapsed="" customFormat="false" customHeight="1" hidden="" ht="14" outlineLevel="0" r="1566">
      <c r="A1566" s="3" t="inlineStr">
        <is>
          <t>1540</t>
        </is>
      </c>
      <c r="B1566" s="4" t="s">
        <f>=HYPERLINK("http://anyluxury.ru/shop/novogodnie-podarki/simvol-goda/nabor-shokoladnih-mediantov-tigri-13732/" , "13732 Набор шоколадных медиантов «Тигры»")</f>
      </c>
      <c r="C1566" s="4" t="n">
        <v>672.00</v>
      </c>
      <c r="D1566" s="4"/>
    </row>
    <row collapsed="" customFormat="false" customHeight="1" hidden="" ht="14" outlineLevel="0" r="1567">
      <c r="A1567" s="3" t="inlineStr">
        <is>
          <t>1541</t>
        </is>
      </c>
      <c r="B1567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106-116 см (6 лет)")</f>
      </c>
      <c r="C1567" s="4" t="n">
        <v>1320.00</v>
      </c>
      <c r="D1567" s="4"/>
    </row>
    <row collapsed="" customFormat="false" customHeight="1" hidden="" ht="14" outlineLevel="0" r="1568">
      <c r="A1568" s="3" t="inlineStr">
        <is>
          <t>1542</t>
        </is>
      </c>
      <c r="B1568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118-128 см (8 лет)")</f>
      </c>
      <c r="C1568" s="4" t="n">
        <v>1320.00</v>
      </c>
      <c r="D1568" s="4"/>
    </row>
    <row collapsed="" customFormat="false" customHeight="1" hidden="" ht="14" outlineLevel="0" r="1569">
      <c r="A1569" s="3" t="inlineStr">
        <is>
          <t>1543</t>
        </is>
      </c>
      <c r="B1569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130-140 см (10 лет)")</f>
      </c>
      <c r="C1569" s="4" t="n">
        <v>1100.00</v>
      </c>
      <c r="D1569" s="4"/>
    </row>
    <row collapsed="" customFormat="false" customHeight="1" hidden="" ht="14" outlineLevel="0" r="1570">
      <c r="A1570" s="3" t="inlineStr">
        <is>
          <t>1544</t>
        </is>
      </c>
      <c r="B1570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142-152 см (12 лет)")</f>
      </c>
      <c r="C1570" s="4" t="n">
        <v>1320.00</v>
      </c>
      <c r="D1570" s="4"/>
    </row>
    <row collapsed="" customFormat="false" customHeight="1" hidden="" ht="14" outlineLevel="0" r="1571">
      <c r="A1571" s="3" t="inlineStr">
        <is>
          <t>1545</t>
        </is>
      </c>
      <c r="B1571" s="4" t="s">
        <f>=HYPERLINK("http://anyluxury.ru/shop/novogodnie-podarki/simvol-goda/pled-pushistaya-korporaciya-3013540/" , "30135.40 Плед «Пушистая корпорация»")</f>
      </c>
      <c r="C1571" s="4" t="n">
        <v>2100.00</v>
      </c>
      <c r="D1571" s="4"/>
    </row>
    <row collapsed="" customFormat="false" customHeight="1" hidden="" ht="14" outlineLevel="0" r="1572">
      <c r="A1572" s="3" t="inlineStr">
        <is>
          <t>1546</t>
        </is>
      </c>
      <c r="B1572" s="4" t="s">
        <f>=HYPERLINK("http://anyluxury.ru/shop/novogodnie-podarki/simvol-goda/pechene-krasniy-drakon-1567802/" , "15678.02 Печенье «Красный дракон»")</f>
      </c>
      <c r="C1572" s="4" t="n">
        <v>85.00</v>
      </c>
      <c r="D1572" s="4"/>
    </row>
    <row collapsed="" customFormat="false" customHeight="1" hidden="" ht="14" outlineLevel="0" r="1573">
      <c r="A1573" s="3" t="inlineStr">
        <is>
          <t>1547</t>
        </is>
      </c>
      <c r="B1573" s="4" t="s">
        <f>=HYPERLINK("http://anyluxury.ru/shop/novogodnie-podarki/simvol-goda/svecha-drakosha-like-15928/" , "15928 Свеча «Дракоша Like»")</f>
      </c>
      <c r="C1573" s="4" t="n">
        <v>289.00</v>
      </c>
      <c r="D1573" s="4"/>
    </row>
    <row collapsed="" customFormat="false" customHeight="1" hidden="" ht="14" outlineLevel="0" r="1574">
      <c r="A1574" s="3" t="inlineStr">
        <is>
          <t>1548</t>
        </is>
      </c>
      <c r="B1574" s="4" t="s">
        <f>=HYPERLINK("http://anyluxury.ru/shop/novogodnie-podarki/simvol-goda/svecha-drakon-2024-15931/" , "15931 Свеча «Дракон 2024»")</f>
      </c>
      <c r="C1574" s="4" t="n">
        <v>210.00</v>
      </c>
      <c r="D1574" s="4"/>
    </row>
    <row collapsed="" customFormat="false" customHeight="1" hidden="" ht="14" outlineLevel="0" r="1575">
      <c r="A1575" s="3" t="inlineStr">
        <is>
          <t>1549</t>
        </is>
      </c>
      <c r="B1575" s="4" t="s">
        <f>=HYPERLINK("http://anyluxury.ru/shop/novogodnie-podarki/simvol-goda/podushka-visero-16795/" , "16795 Подушка Visero")</f>
      </c>
      <c r="C1575" s="4" t="n">
        <v>946.00</v>
      </c>
      <c r="D1575" s="4"/>
    </row>
    <row collapsed="" customFormat="false" customHeight="1" hidden="" ht="14" outlineLevel="0" r="1576">
      <c r="A1576" s="3" t="inlineStr">
        <is>
          <t>1550</t>
        </is>
      </c>
      <c r="B1576" s="4" t="s">
        <f>=HYPERLINK("http://anyluxury.ru/shop/novogodnie-podarki/simvol-goda/ezhednevnik-drakon-nedatirovanniy-temnozeleniy-2022490/" , "20224.90 Ежедневник «Дракон», недатированный, темно-зеленый")</f>
      </c>
      <c r="C1576" s="4" t="n">
        <v>879.00</v>
      </c>
      <c r="D1576" s="4"/>
    </row>
    <row collapsed="" customFormat="false" customHeight="1" hidden="" ht="14" outlineLevel="0" r="1577">
      <c r="A1577" s="3" t="inlineStr">
        <is>
          <t>1551</t>
        </is>
      </c>
      <c r="B1577" s="4" t="s">
        <f>=HYPERLINK("http://anyluxury.ru/shop/novogodnie-podarki/simvol-goda/pled-metamorpho-1623260/" , "16232.60 Плед Metamorpho")</f>
      </c>
      <c r="C1577" s="4" t="n">
        <v>4979.00</v>
      </c>
      <c r="D1577" s="4"/>
    </row>
    <row collapsed="" customFormat="false" customHeight="1" hidden="" ht="14" outlineLevel="0" r="1578">
      <c r="A1578" s="3" t="inlineStr">
        <is>
          <t>1552</t>
        </is>
      </c>
      <c r="B1578" s="4" t="s">
        <f>=HYPERLINK("http://anyluxury.ru/shop/novogodnie-podarki/simvol-goda/nabor-soobrazim-20518/" , "20518 Набор «Сообразим»")</f>
      </c>
      <c r="C1578" s="4" t="n">
        <v>1350.00</v>
      </c>
      <c r="D1578" s="4"/>
    </row>
    <row collapsed="" customFormat="false" customHeight="" hidden="" ht="12.1" outlineLevel="0" r="1579">
      <c r="A1579" s="5" t="inlineStr">
        <is>
          <t>Одежда</t>
        </is>
      </c>
      <c r="B1579" s="6"/>
      <c r="C1579" s="6"/>
      <c r="D1579" s="6"/>
    </row>
    <row collapsed="" customFormat="false" customHeight="" hidden="" ht="12.1" outlineLevel="0" r="1580">
      <c r="A1580" s="5" t="inlineStr">
        <is>
          <t> -  - Аксессуары</t>
        </is>
      </c>
      <c r="B1580" s="6"/>
      <c r="C1580" s="6"/>
      <c r="D1580" s="6"/>
    </row>
    <row collapsed="" customFormat="false" customHeight="1" hidden="" ht="14" outlineLevel="0" r="1581">
      <c r="A1581" s="3" t="inlineStr">
        <is>
          <t>1553</t>
        </is>
      </c>
      <c r="B1581" s="4" t="s">
        <f>=HYPERLINK("http://anyluxury.ru/shop/odezhda/aksessuary/galstuk-gatsby-cherniy-00598312tun/" , "00598312TUN Галстук GATSBY, черный")</f>
      </c>
      <c r="C1581" s="4" t="n">
        <v>1680.00</v>
      </c>
      <c r="D1581" s="4"/>
    </row>
    <row collapsed="" customFormat="false" customHeight="1" hidden="" ht="14" outlineLevel="0" r="1582">
      <c r="A1582" s="3" t="inlineStr">
        <is>
          <t>1554</t>
        </is>
      </c>
      <c r="B1582" s="4" t="s">
        <f>=HYPERLINK("http://anyluxury.ru/shop/odezhda/aksessuary/galstuk-gatsby-temnosiniy-00598319tun/" , "00598319TUN Галстук GATSBY, темно-синий")</f>
      </c>
      <c r="C1582" s="4" t="n">
        <v>1680.00</v>
      </c>
      <c r="D1582" s="4"/>
    </row>
    <row collapsed="" customFormat="false" customHeight="1" hidden="" ht="14" outlineLevel="0" r="1583">
      <c r="A1583" s="3" t="inlineStr">
        <is>
          <t>1555</t>
        </is>
      </c>
      <c r="B1583" s="4" t="s">
        <f>=HYPERLINK("http://anyluxury.ru/shop/odezhda/aksessuary/halat-uniseks-palace-beliy-459460/" , "4594.60 Халат унисекс Palace, белый, S/M")</f>
      </c>
      <c r="C1583" s="4" t="n">
        <v>6890.00</v>
      </c>
      <c r="D1583" s="4"/>
    </row>
    <row collapsed="" customFormat="false" customHeight="1" hidden="" ht="14" outlineLevel="0" r="1584">
      <c r="A1584" s="3" t="inlineStr">
        <is>
          <t>1556</t>
        </is>
      </c>
      <c r="B1584" s="4" t="s">
        <f>=HYPERLINK("http://anyluxury.ru/shop/odezhda/aksessuary/halat-uniseks-palace-beliy-459460/" , "4594.60 Халат унисекс Palace белый, L/XL")</f>
      </c>
      <c r="C1584" s="4" t="n">
        <v>6890.00</v>
      </c>
      <c r="D1584" s="4"/>
    </row>
    <row collapsed="" customFormat="false" customHeight="1" hidden="" ht="14" outlineLevel="0" r="1585">
      <c r="A1585" s="3" t="inlineStr">
        <is>
          <t>1557</t>
        </is>
      </c>
      <c r="B1585" s="4" t="s">
        <f>=HYPERLINK("http://anyluxury.ru/shop/odezhda/aksessuary/remen-cherniy-676630/" , "6766.30 Ремень, черный")</f>
      </c>
      <c r="C1585" s="4" t="n">
        <v>2460.00</v>
      </c>
      <c r="D1585" s="4"/>
    </row>
    <row collapsed="" customFormat="false" customHeight="1" hidden="" ht="14" outlineLevel="0" r="1586">
      <c r="A1586" s="3" t="inlineStr">
        <is>
          <t>1558</t>
        </is>
      </c>
      <c r="B1586" s="4" t="s">
        <f>=HYPERLINK("http://anyluxury.ru/shop/odezhda/aksessuary/platok-fleur-10475/" , "10475 Платок Fleur")</f>
      </c>
      <c r="C1586" s="4" t="n">
        <v>990.00</v>
      </c>
      <c r="D1586" s="4"/>
    </row>
    <row collapsed="" customFormat="false" customHeight="1" hidden="" ht="14" outlineLevel="0" r="1587">
      <c r="A1587" s="3" t="inlineStr">
        <is>
          <t>1559</t>
        </is>
      </c>
      <c r="B1587" s="4" t="s">
        <f>=HYPERLINK("http://anyluxury.ru/shop/odezhda/aksessuary/halat-zhenskiy-essential-bezheviy-1065411/" , "10654.11 Халат женский Essential, бежевый, размер S")</f>
      </c>
      <c r="C1587" s="4" t="n">
        <v>5900.00</v>
      </c>
      <c r="D1587" s="4"/>
    </row>
    <row collapsed="" customFormat="false" customHeight="1" hidden="" ht="14" outlineLevel="0" r="1588">
      <c r="A1588" s="3" t="inlineStr">
        <is>
          <t>1560</t>
        </is>
      </c>
      <c r="B1588" s="4" t="s">
        <f>=HYPERLINK("http://anyluxury.ru/shop/odezhda/aksessuary/halat-zhenskiy-essential-bezheviy-1065411/" , "10654.11 Халат женский Essential, бежевый, размер M")</f>
      </c>
      <c r="C1588" s="4" t="n">
        <v>5900.00</v>
      </c>
      <c r="D1588" s="4"/>
    </row>
    <row collapsed="" customFormat="false" customHeight="1" hidden="" ht="14" outlineLevel="0" r="1589">
      <c r="A1589" s="3" t="inlineStr">
        <is>
          <t>1561</t>
        </is>
      </c>
      <c r="B1589" s="4" t="s">
        <f>=HYPERLINK("http://anyluxury.ru/shop/odezhda/aksessuary/halat-zhenskiy-essential-temnosiniy-1065440/" , "10654.40 Халат женский Essential, темно-синий, размер S")</f>
      </c>
      <c r="C1589" s="4" t="n">
        <v>5900.00</v>
      </c>
      <c r="D1589" s="4"/>
    </row>
    <row collapsed="" customFormat="false" customHeight="1" hidden="" ht="14" outlineLevel="0" r="1590">
      <c r="A1590" s="3" t="inlineStr">
        <is>
          <t>1562</t>
        </is>
      </c>
      <c r="B1590" s="4" t="s">
        <f>=HYPERLINK("http://anyluxury.ru/shop/odezhda/aksessuary/halat-zhenskiy-essential-temnosiniy-1065440/" , "10654.40 Халат женский Essential, темно-синий, размер M")</f>
      </c>
      <c r="C1590" s="4" t="n">
        <v>5900.00</v>
      </c>
      <c r="D1590" s="4"/>
    </row>
    <row collapsed="" customFormat="false" customHeight="1" hidden="" ht="14" outlineLevel="0" r="1591">
      <c r="A1591" s="3" t="inlineStr">
        <is>
          <t>1563</t>
        </is>
      </c>
      <c r="B1591" s="4" t="s">
        <f>=HYPERLINK("http://anyluxury.ru/shop/odezhda/aksessuary/halat-zhenskiy-essential-seriy-1065410/" , "10654.10 Халат женский Essential, серый, размер S")</f>
      </c>
      <c r="C1591" s="4" t="n">
        <v>5900.00</v>
      </c>
      <c r="D1591" s="4"/>
    </row>
    <row collapsed="" customFormat="false" customHeight="1" hidden="" ht="14" outlineLevel="0" r="1592">
      <c r="A1592" s="3" t="inlineStr">
        <is>
          <t>1564</t>
        </is>
      </c>
      <c r="B1592" s="4" t="s">
        <f>=HYPERLINK("http://anyluxury.ru/shop/odezhda/aksessuary/halat-zhenskiy-essential-seriy-1065410/" , "10654.10 Халат женский Essential, серый, размер M")</f>
      </c>
      <c r="C1592" s="4" t="n">
        <v>5900.00</v>
      </c>
      <c r="D1592" s="4"/>
    </row>
    <row collapsed="" customFormat="false" customHeight="1" hidden="" ht="14" outlineLevel="0" r="1593">
      <c r="A1593" s="3" t="inlineStr">
        <is>
          <t>1565</t>
        </is>
      </c>
      <c r="B1593" s="4" t="s">
        <f>=HYPERLINK("http://anyluxury.ru/shop/odezhda/aksessuary/mnogofunkcionalnaya-bandana-bolt-belaya-03094102tun/" , "03094102TUN Многофункциональная бандана Bolt, белая")</f>
      </c>
      <c r="C1593" s="4" t="n">
        <v>254.00</v>
      </c>
      <c r="D1593" s="4"/>
    </row>
    <row collapsed="" customFormat="false" customHeight="1" hidden="" ht="14" outlineLevel="0" r="1594">
      <c r="A1594" s="3" t="inlineStr">
        <is>
          <t>1566</t>
        </is>
      </c>
      <c r="B1594" s="4" t="s">
        <f>=HYPERLINK("http://anyluxury.ru/shop/odezhda/aksessuary/mnogofunkcionalnaya-bandana-bolt-rozoviy-neon-03094129tun/" , "03094129TUN Многофункциональная бандана Bolt, розовый неон")</f>
      </c>
      <c r="C1594" s="4" t="n">
        <v>254.00</v>
      </c>
      <c r="D1594" s="4"/>
    </row>
    <row collapsed="" customFormat="false" customHeight="1" hidden="" ht="14" outlineLevel="0" r="1595">
      <c r="A1595" s="3" t="inlineStr">
        <is>
          <t>1567</t>
        </is>
      </c>
      <c r="B1595" s="4" t="s">
        <f>=HYPERLINK("http://anyluxury.ru/shop/odezhda/aksessuary/mnogofunkcionalnaya-bandana-bolt-yarkorozovaya-fuksiya-03094140tun/" , "03094140TUN Многофункциональная бандана Bolt, ярко-розовая (фуксия)")</f>
      </c>
      <c r="C1595" s="4" t="n">
        <v>254.00</v>
      </c>
      <c r="D1595" s="4"/>
    </row>
    <row collapsed="" customFormat="false" customHeight="1" hidden="" ht="14" outlineLevel="0" r="1596">
      <c r="A1596" s="3" t="inlineStr">
        <is>
          <t>1568</t>
        </is>
      </c>
      <c r="B1596" s="4" t="s">
        <f>=HYPERLINK("http://anyluxury.ru/shop/odezhda/aksessuary/mnogofunkcionalnaya-bandana-bolt-krasnaya-03094145tun/" , "03094145TUN Многофункциональная бандана Bolt, красная")</f>
      </c>
      <c r="C1596" s="4" t="n">
        <v>254.00</v>
      </c>
      <c r="D1596" s="4"/>
    </row>
    <row collapsed="" customFormat="false" customHeight="1" hidden="" ht="14" outlineLevel="0" r="1597">
      <c r="A1597" s="3" t="inlineStr">
        <is>
          <t>1569</t>
        </is>
      </c>
      <c r="B1597" s="4" t="s">
        <f>=HYPERLINK("http://anyluxury.ru/shop/odezhda/aksessuary/mnogofunkcionalnaya-bandana-bolt-yarkosinyaya-royal-03094241tun/" , "03094241TUN Многофункциональная бандана Bolt, ярко-синяя (royal)")</f>
      </c>
      <c r="C1597" s="4" t="n">
        <v>254.00</v>
      </c>
      <c r="D1597" s="4"/>
    </row>
    <row collapsed="" customFormat="false" customHeight="1" hidden="" ht="14" outlineLevel="0" r="1598">
      <c r="A1598" s="3" t="inlineStr">
        <is>
          <t>1570</t>
        </is>
      </c>
      <c r="B1598" s="4" t="s">
        <f>=HYPERLINK("http://anyluxury.ru/shop/odezhda/aksessuary/mnogofunkcionalnaya-bandana-bolt-zelenoe-yabloko-03094280tun/" , "03094280TUN Многофункциональная бандана Bolt, зеленое яблоко")</f>
      </c>
      <c r="C1598" s="4" t="n">
        <v>254.00</v>
      </c>
      <c r="D1598" s="4"/>
    </row>
    <row collapsed="" customFormat="false" customHeight="1" hidden="" ht="14" outlineLevel="0" r="1599">
      <c r="A1599" s="3" t="inlineStr">
        <is>
          <t>1571</t>
        </is>
      </c>
      <c r="B1599" s="4" t="s">
        <f>=HYPERLINK("http://anyluxury.ru/shop/odezhda/aksessuary/mnogofunkcionalnaya-bandana-bolt-zheltiy-neon-03094306tun/" , "03094306TUN Многофункциональная бандана Bolt, желтый неон")</f>
      </c>
      <c r="C1599" s="4" t="n">
        <v>254.00</v>
      </c>
      <c r="D1599" s="4"/>
    </row>
    <row collapsed="" customFormat="false" customHeight="1" hidden="" ht="14" outlineLevel="0" r="1600">
      <c r="A1600" s="3" t="inlineStr">
        <is>
          <t>1572</t>
        </is>
      </c>
      <c r="B1600" s="4" t="s">
        <f>=HYPERLINK("http://anyluxury.ru/shop/odezhda/aksessuary/mnogofunkcionalnaya-bandana-bolt-chernaya-03094312tun/" , "03094312TUN Многофункциональная бандана Bolt, черная")</f>
      </c>
      <c r="C1600" s="4" t="n">
        <v>254.00</v>
      </c>
      <c r="D1600" s="4"/>
    </row>
    <row collapsed="" customFormat="false" customHeight="1" hidden="" ht="14" outlineLevel="0" r="1601">
      <c r="A1601" s="3" t="inlineStr">
        <is>
          <t>1573</t>
        </is>
      </c>
      <c r="B1601" s="4" t="s">
        <f>=HYPERLINK("http://anyluxury.ru/shop/odezhda/aksessuary/mnogofunkcionalnaya-bandana-bolt-kobalt-temnosinyaya-03094319tun/" , "03094319TUN Многофункциональная бандана Bolt, кобальт (темно-синяя)")</f>
      </c>
      <c r="C1601" s="4" t="n">
        <v>254.00</v>
      </c>
      <c r="D1601" s="4"/>
    </row>
    <row collapsed="" customFormat="false" customHeight="1" hidden="" ht="14" outlineLevel="0" r="1602">
      <c r="A1602" s="3" t="inlineStr">
        <is>
          <t>1574</t>
        </is>
      </c>
      <c r="B1602" s="4" t="s">
        <f>=HYPERLINK("http://anyluxury.ru/shop/odezhda/aksessuary/mnogofunkcionalnaya-bandana-bolt-yarkobiryuzovaya-03094321tun/" , "03094321TUN Многофункциональная бандана Bolt, ярко-бирюзовая")</f>
      </c>
      <c r="C1602" s="4" t="n">
        <v>254.00</v>
      </c>
      <c r="D1602" s="4"/>
    </row>
    <row collapsed="" customFormat="false" customHeight="1" hidden="" ht="14" outlineLevel="0" r="1603">
      <c r="A1603" s="3" t="inlineStr">
        <is>
          <t>1575</t>
        </is>
      </c>
      <c r="B1603" s="4" t="s">
        <f>=HYPERLINK("http://anyluxury.ru/shop/odezhda/aksessuary/mnogofunkcionalnaya-bandana-bolt-seraya-03094342tun/" , "03094342TUN Многофункциональная бандана Bolt, серая")</f>
      </c>
      <c r="C1603" s="4" t="n">
        <v>254.00</v>
      </c>
      <c r="D1603" s="4"/>
    </row>
    <row collapsed="" customFormat="false" customHeight="1" hidden="" ht="14" outlineLevel="0" r="1604">
      <c r="A1604" s="3" t="inlineStr">
        <is>
          <t>1576</t>
        </is>
      </c>
      <c r="B1604" s="4" t="s">
        <f>=HYPERLINK("http://anyluxury.ru/shop/odezhda/aksessuary/mnogofunkcionalnaya-bandana-bolt-oranzhevaya-03094400tun/" , "03094400TUN Многофункциональная бандана Bolt, оранжевая")</f>
      </c>
      <c r="C1604" s="4" t="n">
        <v>254.00</v>
      </c>
      <c r="D1604" s="4"/>
    </row>
    <row collapsed="" customFormat="false" customHeight="1" hidden="" ht="14" outlineLevel="0" r="1605">
      <c r="A1605" s="3" t="inlineStr">
        <is>
          <t>1577</t>
        </is>
      </c>
      <c r="B1605" s="4" t="s">
        <f>=HYPERLINK("http://anyluxury.ru/shop/odezhda/aksessuary/maska-gigienicheskaya-respire-dvuhsloynaya-nemedicinskaya-chernaya-1711130/" , "17111.30 Маска гигиеническая Respire, двухслойная, немедицинская, черная, размер М")</f>
      </c>
      <c r="C1605" s="4" t="n">
        <v>202.00</v>
      </c>
      <c r="D1605" s="4"/>
    </row>
    <row collapsed="" customFormat="false" customHeight="1" hidden="" ht="14" outlineLevel="0" r="1606">
      <c r="A1606" s="3" t="inlineStr">
        <is>
          <t>1578</t>
        </is>
      </c>
      <c r="B1606" s="4" t="s">
        <f>=HYPERLINK("http://anyluxury.ru/shop/odezhda/aksessuary/maska-gigienicheskaya-respire-dvuhsloynaya-nemedicinskaya-chernaya-1711130/" , "17111.30 Маска гигиеническая Respire, двухслойная, немедицинская, черная, размер L")</f>
      </c>
      <c r="C1606" s="4" t="n">
        <v>202.00</v>
      </c>
      <c r="D1606" s="4"/>
    </row>
    <row collapsed="" customFormat="false" customHeight="1" hidden="" ht="14" outlineLevel="0" r="1607">
      <c r="A1607" s="3" t="inlineStr">
        <is>
          <t>1579</t>
        </is>
      </c>
      <c r="B1607" s="4" t="s">
        <f>=HYPERLINK("http://anyluxury.ru/shop/odezhda/aksessuary/platok-madeleine-cherniy-cfe937a/" , "CFE937A Платок Madeleine, черный")</f>
      </c>
      <c r="C1607" s="4" t="n">
        <v>12316.00</v>
      </c>
      <c r="D1607" s="4"/>
    </row>
    <row collapsed="" customFormat="false" customHeight="1" hidden="" ht="14" outlineLevel="0" r="1608">
      <c r="A1608" s="3" t="inlineStr">
        <is>
          <t>1580</t>
        </is>
      </c>
      <c r="B1608" s="4" t="s">
        <f>=HYPERLINK("http://anyluxury.ru/shop/odezhda/aksessuary/platok-madeleine-goluboy-cfe937m/" , "CFE937M Платок Madeleine, голубой")</f>
      </c>
      <c r="C1608" s="4" t="n">
        <v>12316.00</v>
      </c>
      <c r="D1608" s="4"/>
    </row>
    <row collapsed="" customFormat="false" customHeight="1" hidden="" ht="14" outlineLevel="0" r="1609">
      <c r="A1609" s="3" t="inlineStr">
        <is>
          <t>1581</t>
        </is>
      </c>
      <c r="B1609" s="4" t="s">
        <f>=HYPERLINK("http://anyluxury.ru/shop/odezhda/aksessuary/platok-butterfly-silk-cherniy-cfl734a/" , "CFL734A Платок Butterfly Silk, черный")</f>
      </c>
      <c r="C1609" s="4" t="n">
        <v>13181.00</v>
      </c>
      <c r="D1609" s="4"/>
    </row>
    <row collapsed="" customFormat="false" customHeight="1" hidden="" ht="14" outlineLevel="0" r="1610">
      <c r="A1610" s="3" t="inlineStr">
        <is>
          <t>1582</t>
        </is>
      </c>
      <c r="B1610" s="4" t="s">
        <f>=HYPERLINK("http://anyluxury.ru/shop/odezhda/aksessuary/platok-montmartre-silk-beliy-cfl936/" , "CFL936 Платок Montmartre Silk, белый")</f>
      </c>
      <c r="C1610" s="4" t="n">
        <v>13610.00</v>
      </c>
      <c r="D1610" s="4"/>
    </row>
    <row collapsed="" customFormat="false" customHeight="1" hidden="" ht="14" outlineLevel="0" r="1611">
      <c r="A1611" s="3" t="inlineStr">
        <is>
          <t>1583</t>
        </is>
      </c>
      <c r="B1611" s="4" t="s">
        <f>=HYPERLINK("http://anyluxury.ru/shop/odezhda/aksessuary/platok-tourbillon-silk-bordoviy-cfm513/" , "CFM513 Платок Tourbillon Silk, бордовый")</f>
      </c>
      <c r="C1611" s="4" t="n">
        <v>8060.00</v>
      </c>
      <c r="D1611" s="4"/>
    </row>
    <row collapsed="" customFormat="false" customHeight="1" hidden="" ht="14" outlineLevel="0" r="1612">
      <c r="A1612" s="3" t="inlineStr">
        <is>
          <t>1584</t>
        </is>
      </c>
      <c r="B1612" s="4" t="s">
        <f>=HYPERLINK("http://anyluxury.ru/shop/odezhda/aksessuary/platok-leopardo-silk-seriy-ufm756k/" , "UFM756K Платок Leopardo Silk, серый")</f>
      </c>
      <c r="C1612" s="4" t="n">
        <v>6855.00</v>
      </c>
      <c r="D1612" s="4"/>
    </row>
    <row collapsed="" customFormat="false" customHeight="1" hidden="" ht="14" outlineLevel="0" r="1613">
      <c r="A1613" s="3" t="inlineStr">
        <is>
          <t>1585</t>
        </is>
      </c>
      <c r="B1613" s="4" t="s">
        <f>=HYPERLINK("http://anyluxury.ru/shop/odezhda/aksessuary/platok-leopardo-silk-korichneviy-ufm756y/" , "UFM756Y Платок Leopardo Silk, коричневый")</f>
      </c>
      <c r="C1613" s="4" t="n">
        <v>6855.00</v>
      </c>
      <c r="D1613" s="4"/>
    </row>
    <row collapsed="" customFormat="false" customHeight="1" hidden="" ht="14" outlineLevel="0" r="1614">
      <c r="A1614" s="3" t="inlineStr">
        <is>
          <t>1586</t>
        </is>
      </c>
      <c r="B1614" s="4" t="s">
        <f>=HYPERLINK("http://anyluxury.ru/shop/odezhda/aksessuary/platok-tweed-silk-temnosiniy-ufm620n/" , "UFM620N Платок Tweed Silk, темно-синий")</f>
      </c>
      <c r="C1614" s="4" t="n">
        <v>7418.00</v>
      </c>
      <c r="D1614" s="4"/>
    </row>
    <row collapsed="" customFormat="false" customHeight="1" hidden="" ht="14" outlineLevel="0" r="1615">
      <c r="A1615" s="3" t="inlineStr">
        <is>
          <t>1587</t>
        </is>
      </c>
      <c r="B1615" s="4" t="s">
        <f>=HYPERLINK("http://anyluxury.ru/shop/odezhda/aksessuary/halat-vafelniy-zhenskiy-boho-kimono-zelenaya-myata-2001419/" , "20014.19 Халат вафельный женский Boho Kimono, зеленая мята, размер M (44-46)")</f>
      </c>
      <c r="C1615" s="4" t="n">
        <v>4244.00</v>
      </c>
      <c r="D1615" s="4"/>
    </row>
    <row collapsed="" customFormat="false" customHeight="1" hidden="" ht="14" outlineLevel="0" r="1616">
      <c r="A1616" s="3" t="inlineStr">
        <is>
          <t>1588</t>
        </is>
      </c>
      <c r="B1616" s="4" t="s">
        <f>=HYPERLINK("http://anyluxury.ru/shop/odezhda/aksessuary/halat-vafelniy-muzhskoy-boho-kimono-siniy-2001540/" , "20015.40 Халат вафельный мужской Boho Kimono, синий, размер XL (52-54)")</f>
      </c>
      <c r="C1616" s="4" t="n">
        <v>4244.00</v>
      </c>
      <c r="D1616" s="4"/>
    </row>
    <row collapsed="" customFormat="false" customHeight="1" hidden="" ht="14" outlineLevel="0" r="1617">
      <c r="A1617" s="3" t="inlineStr">
        <is>
          <t>1589</t>
        </is>
      </c>
      <c r="B1617" s="4" t="s">
        <f>=HYPERLINK("http://anyluxury.ru/shop/odezhda/aksessuary/platok-shelkoviy-delicate-pioni-2008801/" , "20088.01 Платок шелковый Delicate, пионы")</f>
      </c>
      <c r="C1617" s="4" t="n">
        <v>11383.00</v>
      </c>
      <c r="D1617" s="4"/>
    </row>
    <row collapsed="" customFormat="false" customHeight="1" hidden="" ht="14" outlineLevel="0" r="1618">
      <c r="A1618" s="3" t="inlineStr">
        <is>
          <t>1590</t>
        </is>
      </c>
      <c r="B1618" s="4" t="s">
        <f>=HYPERLINK("http://anyluxury.ru/shop/odezhda/aksessuary/platok-shelkoviy-delicate-irisi-2008802/" , "20088.02 Платок шелковый Delicate, ирисы")</f>
      </c>
      <c r="C1618" s="4" t="n">
        <v>11383.00</v>
      </c>
      <c r="D1618" s="4"/>
    </row>
    <row collapsed="" customFormat="false" customHeight="1" hidden="" ht="14" outlineLevel="0" r="1619">
      <c r="A1619" s="3" t="inlineStr">
        <is>
          <t>1591</t>
        </is>
      </c>
      <c r="B1619" s="4" t="s">
        <f>=HYPERLINK("http://anyluxury.ru/shop/odezhda/aksessuary/platok-shelkoviy-delicate-kalli-2008803/" , "20088.03 Платок шелковый Delicate, каллы")</f>
      </c>
      <c r="C1619" s="4" t="n">
        <v>11383.00</v>
      </c>
      <c r="D1619" s="4"/>
    </row>
    <row collapsed="" customFormat="false" customHeight="1" hidden="" ht="14" outlineLevel="0" r="1620">
      <c r="A1620" s="3" t="inlineStr">
        <is>
          <t>1592</t>
        </is>
      </c>
      <c r="B1620" s="4" t="s">
        <f>=HYPERLINK("http://anyluxury.ru/shop/odezhda/aksessuary/noski-corapi-plus-na-zakaz-1892101/" , "18921.01 Носки Corapi Plus на заказ")</f>
      </c>
      <c r="C1620" s="4" t="n">
        <v>480.00</v>
      </c>
      <c r="D1620" s="4"/>
    </row>
    <row collapsed="" customFormat="false" customHeight="1" hidden="" ht="14" outlineLevel="0" r="1621">
      <c r="A1621" s="3" t="inlineStr">
        <is>
          <t>1593</t>
        </is>
      </c>
      <c r="B1621" s="4" t="s">
        <f>=HYPERLINK("http://anyluxury.ru/shop/odezhda/aksessuary/golfi-corapi-long-na-zakaz-1894701/" , "18947.01 Гольфы Corapi Long на заказ")</f>
      </c>
      <c r="C1621" s="4" t="n">
        <v>607.00</v>
      </c>
      <c r="D1621" s="4"/>
    </row>
    <row collapsed="" customFormat="false" customHeight="1" hidden="" ht="14" outlineLevel="0" r="1622">
      <c r="A1622" s="3" t="inlineStr">
        <is>
          <t>1594</t>
        </is>
      </c>
      <c r="B1622" s="4" t="s">
        <f>=HYPERLINK("http://anyluxury.ru/shop/odezhda/aksessuary/platok-s-pechatyu-na-zakaz-colorsharm-s-1892701/" , "18927.01 Платок с печатью на заказ ColorSharm, S")</f>
      </c>
      <c r="C1622" s="4" t="n">
        <v>552.00</v>
      </c>
      <c r="D1622" s="4"/>
    </row>
    <row collapsed="" customFormat="false" customHeight="1" hidden="" ht="14" outlineLevel="0" r="1623">
      <c r="A1623" s="3" t="inlineStr">
        <is>
          <t>1595</t>
        </is>
      </c>
      <c r="B1623" s="4" t="s">
        <f>=HYPERLINK("http://anyluxury.ru/shop/odezhda/aksessuary/platok-s-pechatyu-na-zakaz-colorsharm-m-1892702/" , "18927.02 Платок с печатью на заказ ColorSharm, M")</f>
      </c>
      <c r="C1623" s="4" t="n">
        <v>828.00</v>
      </c>
      <c r="D1623" s="4"/>
    </row>
    <row collapsed="" customFormat="false" customHeight="1" hidden="" ht="14" outlineLevel="0" r="1624">
      <c r="A1624" s="3" t="inlineStr">
        <is>
          <t>1596</t>
        </is>
      </c>
      <c r="B1624" s="4" t="s">
        <f>=HYPERLINK("http://anyluxury.ru/shop/odezhda/aksessuary/kaska-zashhitnaya-yupiter-2-belaya-1522060/" , "15220.60 Каска защитная «Юпитер 2», белая")</f>
      </c>
      <c r="C1624" s="4" t="n">
        <v>280.00</v>
      </c>
      <c r="D1624" s="4"/>
    </row>
    <row collapsed="" customFormat="false" customHeight="1" hidden="" ht="14" outlineLevel="0" r="1625">
      <c r="A1625" s="3" t="inlineStr">
        <is>
          <t>1597</t>
        </is>
      </c>
      <c r="B1625" s="4" t="s">
        <f>=HYPERLINK("http://anyluxury.ru/shop/odezhda/aksessuary/kaska-zashhitnaya-yupiter-2-oranzhevaya-1522020/" , "15220.20 Каска защитная «Юпитер 2», оранжевая")</f>
      </c>
      <c r="C1625" s="4" t="n">
        <v>280.00</v>
      </c>
      <c r="D1625" s="4"/>
    </row>
    <row collapsed="" customFormat="false" customHeight="1" hidden="" ht="14" outlineLevel="0" r="1626">
      <c r="A1626" s="3" t="inlineStr">
        <is>
          <t>1598</t>
        </is>
      </c>
      <c r="B1626" s="4" t="s">
        <f>=HYPERLINK("http://anyluxury.ru/shop/odezhda/aksessuary/kaska-zashhitnaya-yupiter-2-krasnaya-1522050/" , "15220.50 Каска защитная «Юпитер 2», красная")</f>
      </c>
      <c r="C1626" s="4" t="n">
        <v>280.00</v>
      </c>
      <c r="D1626" s="4"/>
    </row>
    <row collapsed="" customFormat="false" customHeight="1" hidden="" ht="14" outlineLevel="0" r="1627">
      <c r="A1627" s="3" t="inlineStr">
        <is>
          <t>1599</t>
        </is>
      </c>
      <c r="B1627" s="4" t="s">
        <f>=HYPERLINK("http://anyluxury.ru/shop/odezhda/aksessuary/kaska-zashhitnaya-yupiter-3-belaya-1522160/" , "15221.60 Каска защитная «Юпитер 3», белая")</f>
      </c>
      <c r="C1627" s="4" t="n">
        <v>390.00</v>
      </c>
      <c r="D1627" s="4"/>
    </row>
    <row collapsed="" customFormat="false" customHeight="1" hidden="" ht="14" outlineLevel="0" r="1628">
      <c r="A1628" s="3" t="inlineStr">
        <is>
          <t>1600</t>
        </is>
      </c>
      <c r="B1628" s="4" t="s">
        <f>=HYPERLINK("http://anyluxury.ru/shop/odezhda/aksessuary/kaska-zashhitnaya-yupiter-3-oranzhevaya-1522120/" , "15221.20 Каска защитная «Юпитер 3», оранжевая")</f>
      </c>
      <c r="C1628" s="4" t="n">
        <v>390.00</v>
      </c>
      <c r="D1628" s="4"/>
    </row>
    <row collapsed="" customFormat="false" customHeight="1" hidden="" ht="14" outlineLevel="0" r="1629">
      <c r="A1629" s="3" t="inlineStr">
        <is>
          <t>1601</t>
        </is>
      </c>
      <c r="B1629" s="4" t="s">
        <f>=HYPERLINK("http://anyluxury.ru/shop/odezhda/aksessuary/kaska-zashhitnaya-yupiter-3-krasnaya-1522150/" , "15221.50 Каска защитная «Юпитер 3», красная")</f>
      </c>
      <c r="C1629" s="4" t="n">
        <v>390.00</v>
      </c>
      <c r="D1629" s="4"/>
    </row>
    <row collapsed="" customFormat="false" customHeight="1" hidden="" ht="14" outlineLevel="0" r="1630">
      <c r="A1630" s="3" t="inlineStr">
        <is>
          <t>1602</t>
        </is>
      </c>
      <c r="B1630" s="4" t="s">
        <f>=HYPERLINK("http://anyluxury.ru/shop/odezhda/aksessuary/noski-corapi-sport-na-zakaz-1892102/" , "18921.02 Носки Corapi Sport на заказ")</f>
      </c>
      <c r="C1630" s="4" t="n">
        <v>526.00</v>
      </c>
      <c r="D1630" s="4"/>
    </row>
    <row collapsed="" customFormat="false" customHeight="1" hidden="" ht="14" outlineLevel="0" r="1631">
      <c r="A1631" s="3" t="inlineStr">
        <is>
          <t>1603</t>
        </is>
      </c>
      <c r="B1631" s="4" t="s">
        <f>=HYPERLINK("http://anyluxury.ru/shop/odezhda/aksessuary/mnogofunkcionalnaya-bandana-s-pechatyu-tubo-na-zakaz-1899001/" , "18990.01 Многофункциональная бандана с печатью Tubo на заказ")</f>
      </c>
      <c r="C1631" s="4" t="n">
        <v>800.00</v>
      </c>
      <c r="D1631" s="4"/>
    </row>
    <row collapsed="" customFormat="false" customHeight="1" hidden="" ht="14" outlineLevel="0" r="1632">
      <c r="A1632" s="3" t="inlineStr">
        <is>
          <t>1604</t>
        </is>
      </c>
      <c r="B1632" s="4" t="s">
        <f>=HYPERLINK("http://anyluxury.ru/shop/odezhda/aksessuary/remen-romance-cherniy-1384030/" , "13840.30 Ремень Romance, черный")</f>
      </c>
      <c r="C1632" s="4" t="n">
        <v>690.00</v>
      </c>
      <c r="D1632" s="4"/>
    </row>
    <row collapsed="" customFormat="false" customHeight="1" hidden="" ht="14" outlineLevel="0" r="1633">
      <c r="A1633" s="3" t="inlineStr">
        <is>
          <t>1605</t>
        </is>
      </c>
      <c r="B1633" s="4" t="s">
        <f>=HYPERLINK("http://anyluxury.ru/shop/odezhda/aksessuary/bandana-overhead-chernaya-1640230/" , "16402.30 Бандана Overhead, черная")</f>
      </c>
      <c r="C1633" s="4" t="n">
        <v>190.00</v>
      </c>
      <c r="D1633" s="4"/>
    </row>
    <row collapsed="" customFormat="false" customHeight="1" hidden="" ht="14" outlineLevel="0" r="1634">
      <c r="A1634" s="3" t="inlineStr">
        <is>
          <t>1606</t>
        </is>
      </c>
      <c r="B1634" s="4" t="s">
        <f>=HYPERLINK("http://anyluxury.ru/shop/odezhda/aksessuary/bandana-overhead-belaya-1640260/" , "16402.60 Бандана Overhead, белая")</f>
      </c>
      <c r="C1634" s="4" t="n">
        <v>190.00</v>
      </c>
      <c r="D1634" s="4"/>
    </row>
    <row collapsed="" customFormat="false" customHeight="1" hidden="" ht="14" outlineLevel="0" r="1635">
      <c r="A1635" s="3" t="inlineStr">
        <is>
          <t>1607</t>
        </is>
      </c>
      <c r="B1635" s="4" t="s">
        <f>=HYPERLINK("http://anyluxury.ru/shop/odezhda/aksessuary/bandana-overhead-zheltaya-1640280/" , "16402.80 Бандана Overhead, желтая")</f>
      </c>
      <c r="C1635" s="4" t="n">
        <v>190.00</v>
      </c>
      <c r="D1635" s="4"/>
    </row>
    <row collapsed="" customFormat="false" customHeight="1" hidden="" ht="14" outlineLevel="0" r="1636">
      <c r="A1636" s="3" t="inlineStr">
        <is>
          <t>1608</t>
        </is>
      </c>
      <c r="B1636" s="4" t="s">
        <f>=HYPERLINK("http://anyluxury.ru/shop/odezhda/aksessuary/bandana-overhead-yarkosinyaya-1640244/" , "16402.44 Бандана Overhead, ярко-синяя")</f>
      </c>
      <c r="C1636" s="4" t="n">
        <v>190.00</v>
      </c>
      <c r="D1636" s="4"/>
    </row>
    <row collapsed="" customFormat="false" customHeight="1" hidden="" ht="14" outlineLevel="0" r="1637">
      <c r="A1637" s="3" t="inlineStr">
        <is>
          <t>1609</t>
        </is>
      </c>
      <c r="B1637" s="4" t="s">
        <f>=HYPERLINK("http://anyluxury.ru/shop/odezhda/aksessuary/bandana-overhead-biryuzovaya-1640242/" , "16402.42 Бандана Overhead, бирюзовая")</f>
      </c>
      <c r="C1637" s="4" t="n">
        <v>190.00</v>
      </c>
      <c r="D1637" s="4"/>
    </row>
    <row collapsed="" customFormat="false" customHeight="1" hidden="" ht="14" outlineLevel="0" r="1638">
      <c r="A1638" s="3" t="inlineStr">
        <is>
          <t>1610</t>
        </is>
      </c>
      <c r="B1638" s="4" t="s">
        <f>=HYPERLINK("http://anyluxury.ru/shop/odezhda/aksessuary/galstukbabochka-zhakkard-2076900/" , "20769.00 Галстук-бабочка «Жаккард»")</f>
      </c>
      <c r="C1638" s="4" t="n">
        <v>515.00</v>
      </c>
      <c r="D1638" s="4"/>
    </row>
    <row collapsed="" customFormat="false" customHeight="1" hidden="" ht="14" outlineLevel="0" r="1639">
      <c r="A1639" s="3" t="inlineStr">
        <is>
          <t>1611</t>
        </is>
      </c>
      <c r="B1639" s="4" t="s">
        <f>=HYPERLINK("http://anyluxury.ru/shop/odezhda/aksessuary/maska-dlya-lica-tak-hochu-rabotat-chto-ne-mogu-7125101/" , "71251.01 Маска для лица «Так хочу работать, что не могу»")</f>
      </c>
      <c r="C1639" s="4" t="n">
        <v>334.00</v>
      </c>
      <c r="D1639" s="4"/>
    </row>
    <row collapsed="" customFormat="false" customHeight="1" hidden="" ht="14" outlineLevel="0" r="1640">
      <c r="A1640" s="3" t="inlineStr">
        <is>
          <t>1612</t>
        </is>
      </c>
      <c r="B1640" s="4" t="s">
        <f>=HYPERLINK("http://anyluxury.ru/shop/odezhda/aksessuary/termonoski-zhenskie-visokie-monterno-sport-zheltie-s-serim-2060280/" , "20602.80 Термоноски женские высокие Monterno Sport, желтые с серым")</f>
      </c>
      <c r="C1640" s="4" t="n">
        <v>2040.00</v>
      </c>
      <c r="D1640" s="4"/>
    </row>
    <row collapsed="" customFormat="false" customHeight="1" hidden="" ht="14" outlineLevel="0" r="1641">
      <c r="A1641" s="3" t="inlineStr">
        <is>
          <t>1613</t>
        </is>
      </c>
      <c r="B1641" s="4" t="s">
        <f>=HYPERLINK("http://anyluxury.ru/shop/odezhda/aksessuary/termonoski-zhenskie-visokie-monterno-sport-rozovie-s-serim-2060250/" , "20602.50 Термоноски женские высокие Monterno Sport, розовые с серым")</f>
      </c>
      <c r="C1641" s="4" t="n">
        <v>2040.00</v>
      </c>
      <c r="D1641" s="4"/>
    </row>
    <row collapsed="" customFormat="false" customHeight="1" hidden="" ht="14" outlineLevel="0" r="1642">
      <c r="A1642" s="3" t="inlineStr">
        <is>
          <t>1614</t>
        </is>
      </c>
      <c r="B1642" s="4" t="s">
        <f>=HYPERLINK("http://anyluxury.ru/shop/odezhda/aksessuary/termonoski-zhenskie-visokie-monterno-sport-fioletovie-s-serim-2060270/" , "20602.70 Термоноски женские высокие Monterno Sport, фиолетовые с серым")</f>
      </c>
      <c r="C1642" s="4" t="n">
        <v>2040.00</v>
      </c>
      <c r="D1642" s="4"/>
    </row>
    <row collapsed="" customFormat="false" customHeight="1" hidden="" ht="14" outlineLevel="0" r="1643">
      <c r="A1643" s="3" t="inlineStr">
        <is>
          <t>1615</t>
        </is>
      </c>
      <c r="B1643" s="4" t="s">
        <f>=HYPERLINK("http://anyluxury.ru/shop/odezhda/aksessuary/termonoski-visokie-monterno-sport-belie-s-sinim-2060364/" , "20603.64 Термоноски высокие Monterno Sport, белые с синим")</f>
      </c>
      <c r="C1643" s="4" t="n">
        <v>2040.00</v>
      </c>
      <c r="D1643" s="4"/>
    </row>
    <row collapsed="" customFormat="false" customHeight="1" hidden="" ht="14" outlineLevel="0" r="1644">
      <c r="A1644" s="3" t="inlineStr">
        <is>
          <t>1616</t>
        </is>
      </c>
      <c r="B1644" s="4" t="s">
        <f>=HYPERLINK("http://anyluxury.ru/shop/odezhda/aksessuary/termonoski-visokie-monterno-sport-belie-s-serim-2060361/" , "20603.61 Термоноски высокие Monterno Sport, белые с серым")</f>
      </c>
      <c r="C1644" s="4" t="n">
        <v>2040.00</v>
      </c>
      <c r="D1644" s="4"/>
    </row>
    <row collapsed="" customFormat="false" customHeight="1" hidden="" ht="14" outlineLevel="0" r="1645">
      <c r="A1645" s="3" t="inlineStr">
        <is>
          <t>1617</t>
        </is>
      </c>
      <c r="B1645" s="4" t="s">
        <f>=HYPERLINK("http://anyluxury.ru/shop/odezhda/aksessuary/termonoski-visokie-monterno-sport-chernie-s-golubim-2060332/" , "20603.32 Термоноски высокие Monterno Sport, черные с голубым")</f>
      </c>
      <c r="C1645" s="4" t="n">
        <v>2040.00</v>
      </c>
      <c r="D1645" s="4"/>
    </row>
    <row collapsed="" customFormat="false" customHeight="1" hidden="" ht="14" outlineLevel="0" r="1646">
      <c r="A1646" s="3" t="inlineStr">
        <is>
          <t>1618</t>
        </is>
      </c>
      <c r="B1646" s="4" t="s">
        <f>=HYPERLINK("http://anyluxury.ru/shop/odezhda/aksessuary/termonoski-visokie-monterno-sport-chernie-s-serim-2060331/" , "20603.31 Термоноски высокие Monterno Sport, черные с серым")</f>
      </c>
      <c r="C1646" s="4" t="n">
        <v>2040.00</v>
      </c>
      <c r="D1646" s="4"/>
    </row>
    <row collapsed="" customFormat="false" customHeight="1" hidden="" ht="14" outlineLevel="0" r="1647">
      <c r="A1647" s="3" t="inlineStr">
        <is>
          <t>1619</t>
        </is>
      </c>
      <c r="B1647" s="4" t="s">
        <f>=HYPERLINK("http://anyluxury.ru/shop/odezhda/aksessuary/termonoski-visokie-monterno-sport-chernie-s-fioletovim-2060337/" , "20603.37 Термоноски высокие Monterno Sport, черные с фиолетовым")</f>
      </c>
      <c r="C1647" s="4" t="n">
        <v>2040.00</v>
      </c>
      <c r="D1647" s="4"/>
    </row>
    <row collapsed="" customFormat="false" customHeight="1" hidden="" ht="14" outlineLevel="0" r="1648">
      <c r="A1648" s="3" t="inlineStr">
        <is>
          <t>1620</t>
        </is>
      </c>
      <c r="B1648" s="4" t="s">
        <f>=HYPERLINK("http://anyluxury.ru/shop/odezhda/aksessuary/termonoski-muzhskie-visokie-monterno-sport-sinie-s-serim-2060441/" , "20604.41 Термоноски мужские высокие Monterno Sport, синие с серым")</f>
      </c>
      <c r="C1648" s="4" t="n">
        <v>2040.00</v>
      </c>
      <c r="D1648" s="4"/>
    </row>
    <row collapsed="" customFormat="false" customHeight="1" hidden="" ht="14" outlineLevel="0" r="1649">
      <c r="A1649" s="3" t="inlineStr">
        <is>
          <t>1621</t>
        </is>
      </c>
      <c r="B1649" s="4" t="s">
        <f>=HYPERLINK("http://anyluxury.ru/shop/odezhda/aksessuary/termonoski-muzhskie-visokie-monterno-sport-serie-2060411/" , "20604.11 Термоноски мужские высокие Monterno Sport, серые")</f>
      </c>
      <c r="C1649" s="4" t="n">
        <v>2040.00</v>
      </c>
      <c r="D1649" s="4"/>
    </row>
    <row collapsed="" customFormat="false" customHeight="1" hidden="" ht="14" outlineLevel="0" r="1650">
      <c r="A1650" s="3" t="inlineStr">
        <is>
          <t>1622</t>
        </is>
      </c>
      <c r="B1650" s="4" t="s">
        <f>=HYPERLINK("http://anyluxury.ru/shop/odezhda/aksessuary/termonoski-muzhskie-visokie-monterno-sport-chernie-s-serim-2060431/" , "20604.31 Термоноски мужские высокие Monterno Sport, черные с серым")</f>
      </c>
      <c r="C1650" s="4" t="n">
        <v>2040.00</v>
      </c>
      <c r="D1650" s="4"/>
    </row>
    <row collapsed="" customFormat="false" customHeight="1" hidden="" ht="14" outlineLevel="0" r="1651">
      <c r="A1651" s="3" t="inlineStr">
        <is>
          <t>1623</t>
        </is>
      </c>
      <c r="B1651" s="4" t="s">
        <f>=HYPERLINK("http://anyluxury.ru/shop/odezhda/aksessuary/nabor-iz-2-par-muzhskih-termonoskov-monterno-sport-cherniy-i-fioletoviy-2060538/" , "20605.38 Набор из 2 пар мужских термоносков Monterno Sport, черный и фиолетовый")</f>
      </c>
      <c r="C1651" s="4" t="n">
        <v>2860.00</v>
      </c>
      <c r="D1651" s="4"/>
    </row>
    <row collapsed="" customFormat="false" customHeight="1" hidden="" ht="14" outlineLevel="0" r="1652">
      <c r="A1652" s="3" t="inlineStr">
        <is>
          <t>1624</t>
        </is>
      </c>
      <c r="B1652" s="4" t="s">
        <f>=HYPERLINK("http://anyluxury.ru/shop/odezhda/aksessuary/nabor-iz-2-par-zhenskih-termonoskov-monterno-sport-seriy-i-rozoviy-2060615/" , "20606.15 Набор из 2 пар женских средних термоносков Monterno Sport, серый и розовый")</f>
      </c>
      <c r="C1652" s="4" t="n">
        <v>2860.00</v>
      </c>
      <c r="D1652" s="4"/>
    </row>
    <row collapsed="" customFormat="false" customHeight="1" hidden="" ht="14" outlineLevel="0" r="1653">
      <c r="A1653" s="3" t="inlineStr">
        <is>
          <t>1625</t>
        </is>
      </c>
      <c r="B1653" s="4" t="s">
        <f>=HYPERLINK("http://anyluxury.ru/shop/odezhda/aksessuary/nabor-iz-2-par-termonoskov-monterno-sport-siniy-i-seriy-2060741/" , "20607.41 Набор из 2 пар термоносков Monterno Sport, синий и серый")</f>
      </c>
      <c r="C1653" s="4" t="n">
        <v>2860.00</v>
      </c>
      <c r="D1653" s="4"/>
    </row>
    <row collapsed="" customFormat="false" customHeight="1" hidden="" ht="14" outlineLevel="0" r="1654">
      <c r="A1654" s="3" t="inlineStr">
        <is>
          <t>1626</t>
        </is>
      </c>
      <c r="B1654" s="4" t="s">
        <f>=HYPERLINK("http://anyluxury.ru/shop/odezhda/aksessuary/nabor-iz-2-par-termonoskov-monterno-sport-cherniy-i-beliy-2060731/" , "20607.31 Набор из 2 пар термоносков Monterno Sport, черный и белый")</f>
      </c>
      <c r="C1654" s="4" t="n">
        <v>2860.00</v>
      </c>
      <c r="D1654" s="4"/>
    </row>
    <row collapsed="" customFormat="false" customHeight="1" hidden="" ht="14" outlineLevel="0" r="1655">
      <c r="A1655" s="3" t="inlineStr">
        <is>
          <t>1627</t>
        </is>
      </c>
      <c r="B1655" s="4" t="s">
        <f>=HYPERLINK("http://anyluxury.ru/shop/odezhda/aksessuary/nabor-iz-2-par-termonoskov-monterno-sport-s-risunkom-cherniy-i-beliy-2060831/" , "20608.31 Набор из 2 пар термоносков Monterno Sport с рисунком, черный и белый")</f>
      </c>
      <c r="C1655" s="4" t="n">
        <v>2860.00</v>
      </c>
      <c r="D1655" s="4"/>
    </row>
    <row collapsed="" customFormat="false" customHeight="1" hidden="" ht="14" outlineLevel="0" r="1656">
      <c r="A1656" s="3" t="inlineStr">
        <is>
          <t>1628</t>
        </is>
      </c>
      <c r="B1656" s="4" t="s">
        <f>=HYPERLINK("http://anyluxury.ru/shop/odezhda/aksessuary/nabor-iz-3-par-sportivnih-muzhskih-noskov-monterno-sport-beliy-2060960/" , "20609.60 Набор из 3 пар спортивных мужских носков Monterno Sport, белый")</f>
      </c>
      <c r="C1656" s="4" t="n">
        <v>2230.00</v>
      </c>
      <c r="D1656" s="4"/>
    </row>
    <row collapsed="" customFormat="false" customHeight="1" hidden="" ht="14" outlineLevel="0" r="1657">
      <c r="A1657" s="3" t="inlineStr">
        <is>
          <t>1629</t>
        </is>
      </c>
      <c r="B1657" s="4" t="s">
        <f>=HYPERLINK("http://anyluxury.ru/shop/odezhda/aksessuary/nabor-iz-3-par-sportivnih-muzhskih-noskov-monterno-sport-goluboy-krasniy-i-beliy-2060914/" , "20609.14 Набор из 3 пар спортивных мужских носков Monterno Sport, голубой, красный и белый")</f>
      </c>
      <c r="C1657" s="4" t="n">
        <v>2230.00</v>
      </c>
      <c r="D1657" s="4"/>
    </row>
    <row collapsed="" customFormat="false" customHeight="1" hidden="" ht="14" outlineLevel="0" r="1658">
      <c r="A1658" s="3" t="inlineStr">
        <is>
          <t>1630</t>
        </is>
      </c>
      <c r="B1658" s="4" t="s">
        <f>=HYPERLINK("http://anyluxury.ru/shop/odezhda/aksessuary/nabor-iz-3-par-sportivnih-muzhskih-noskov-monterno-sport-siniy-2060940/" , "20609.40 Набор из 3 пар спортивных мужских носков Monterno Sport, синий")</f>
      </c>
      <c r="C1658" s="4" t="n">
        <v>2230.00</v>
      </c>
      <c r="D1658" s="4"/>
    </row>
    <row collapsed="" customFormat="false" customHeight="1" hidden="" ht="14" outlineLevel="0" r="1659">
      <c r="A1659" s="3" t="inlineStr">
        <is>
          <t>1631</t>
        </is>
      </c>
      <c r="B1659" s="4" t="s">
        <f>=HYPERLINK("http://anyluxury.ru/shop/odezhda/aksessuary/nabor-iz-3-par-sportivnih-muzhskih-noskov-monterno-sport-beliy-chernie-i-siniy-2060944/" , "20609.44 Набор из 3 пар спортивных мужских носков Monterno Sport, белый, черные и синий")</f>
      </c>
      <c r="C1659" s="4" t="n">
        <v>2230.00</v>
      </c>
      <c r="D1659" s="4"/>
    </row>
    <row collapsed="" customFormat="false" customHeight="1" hidden="" ht="14" outlineLevel="0" r="1660">
      <c r="A1660" s="3" t="inlineStr">
        <is>
          <t>1632</t>
        </is>
      </c>
      <c r="B1660" s="4" t="s">
        <f>=HYPERLINK("http://anyluxury.ru/shop/odezhda/aksessuary/nabor-iz-3-par-sportivnih-muzhskih-noskov-monterno-sport-fioletoviy-zeleniy-i-oranzheviy-2060978/" , "20609.78 Набор из 3 пар спортивных мужских носков Monterno Sport, фиолетовый, зеленый и оранжевый")</f>
      </c>
      <c r="C1660" s="4" t="n">
        <v>2230.00</v>
      </c>
      <c r="D1660" s="4"/>
    </row>
    <row collapsed="" customFormat="false" customHeight="1" hidden="" ht="14" outlineLevel="0" r="1661">
      <c r="A1661" s="3" t="inlineStr">
        <is>
          <t>1633</t>
        </is>
      </c>
      <c r="B1661" s="4" t="s">
        <f>=HYPERLINK("http://anyluxury.ru/shop/odezhda/aksessuary/nabor-iz-3-par-sportivnih-muzhskih-noskov-monterno-sport-cherniy-2060930/" , "20609.30 Набор из 3 пар спортивных мужских носков Monterno Sport, черный")</f>
      </c>
      <c r="C1661" s="4" t="n">
        <v>2230.00</v>
      </c>
      <c r="D1661" s="4"/>
    </row>
    <row collapsed="" customFormat="false" customHeight="1" hidden="" ht="14" outlineLevel="0" r="1662">
      <c r="A1662" s="3" t="inlineStr">
        <is>
          <t>1634</t>
        </is>
      </c>
      <c r="B1662" s="4" t="s">
        <f>=HYPERLINK("http://anyluxury.ru/shop/odezhda/aksessuary/nabor-iz-3-par-sportivnih-zhenskih-noskov-monterno-sport-beliy-2061060/" , "20610.60 Набор из 3 пар спортивных женских носков Monterno Sport, белый")</f>
      </c>
      <c r="C1662" s="4" t="n">
        <v>2230.00</v>
      </c>
      <c r="D1662" s="4"/>
    </row>
    <row collapsed="" customFormat="false" customHeight="1" hidden="" ht="14" outlineLevel="0" r="1663">
      <c r="A1663" s="3" t="inlineStr">
        <is>
          <t>1635</t>
        </is>
      </c>
      <c r="B1663" s="4" t="s">
        <f>=HYPERLINK("http://anyluxury.ru/shop/odezhda/aksessuary/nabor-iz-3-par-sportivnih-zhenskih-noskov-monterno-sport-goluboy-zeleniy-i-oranzheviy-2061014/" , "20610.14 Набор из 3 пар спортивных женских носков Monterno Sport, голубой, зеленый и оранжевый")</f>
      </c>
      <c r="C1663" s="4" t="n">
        <v>2230.00</v>
      </c>
      <c r="D1663" s="4"/>
    </row>
    <row collapsed="" customFormat="false" customHeight="1" hidden="" ht="14" outlineLevel="0" r="1664">
      <c r="A1664" s="3" t="inlineStr">
        <is>
          <t>1636</t>
        </is>
      </c>
      <c r="B1664" s="4" t="s">
        <f>=HYPERLINK("http://anyluxury.ru/shop/odezhda/aksessuary/nabor-iz-3-par-sportivnih-zhenskih-noskov-monterno-sport-krasniy-fioletoviy-i-rozoviy-2061050/" , "20610.50 Набор из 3 пар спортивных женских носков Monterno Sport, красный фиолетовый и розовый")</f>
      </c>
      <c r="C1664" s="4" t="n">
        <v>2230.00</v>
      </c>
      <c r="D1664" s="4"/>
    </row>
    <row collapsed="" customFormat="false" customHeight="1" hidden="" ht="14" outlineLevel="0" r="1665">
      <c r="A1665" s="3" t="inlineStr">
        <is>
          <t>1637</t>
        </is>
      </c>
      <c r="B1665" s="4" t="s">
        <f>=HYPERLINK("http://anyluxury.ru/shop/odezhda/aksessuary/nabor-iz-3-par-sportivnih-zhenskih-noskov-monterno-sport-siniy-goluboy-i-beliy-2061040/" , "20610.40 Набор из 3 пар спортивных женских носков Monterno Sport, синий, голубой и белый")</f>
      </c>
      <c r="C1665" s="4" t="n">
        <v>2230.00</v>
      </c>
      <c r="D1665" s="4"/>
    </row>
    <row collapsed="" customFormat="false" customHeight="1" hidden="" ht="14" outlineLevel="0" r="1666">
      <c r="A1666" s="3" t="inlineStr">
        <is>
          <t>1638</t>
        </is>
      </c>
      <c r="B1666" s="4" t="s">
        <f>=HYPERLINK("http://anyluxury.ru/shop/odezhda/aksessuary/nabor-iz-3-par-sportivnih-zhenskih-noskov-monterno-sport-fioletoviy-zeleniy-i-oranzheviy-2061078/" , "20610.78 Набор из 3 пар спортивных женских носков Monterno Sport, фиолетовый, зеленый и оранжевый")</f>
      </c>
      <c r="C1666" s="4" t="n">
        <v>2230.00</v>
      </c>
      <c r="D1666" s="4"/>
    </row>
    <row collapsed="" customFormat="false" customHeight="1" hidden="" ht="14" outlineLevel="0" r="1667">
      <c r="A1667" s="3" t="inlineStr">
        <is>
          <t>1639</t>
        </is>
      </c>
      <c r="B1667" s="4" t="s">
        <f>=HYPERLINK("http://anyluxury.ru/shop/odezhda/aksessuary/nabor-iz-3-par-sportivnih-zhenskih-noskov-monterno-sport-cherniy-2061030/" , "20610.30 Набор из 3 пар спортивных женских носков Monterno Sport, черный")</f>
      </c>
      <c r="C1667" s="4" t="n">
        <v>2230.00</v>
      </c>
      <c r="D1667" s="4"/>
    </row>
    <row collapsed="" customFormat="false" customHeight="1" hidden="" ht="14" outlineLevel="0" r="1668">
      <c r="A1668" s="3" t="inlineStr">
        <is>
          <t>1640</t>
        </is>
      </c>
      <c r="B1668" s="4" t="s">
        <f>=HYPERLINK("http://anyluxury.ru/shop/odezhda/aksessuary/nabor-iz-3-par-sportivnih-noskov-monterno-sport-krasniy-zeleniy-i-siniy-2061190/" , "20611.90 Набор из 3 пар спортивных носков Monterno Sport, красный, зеленый и синий")</f>
      </c>
      <c r="C1668" s="4" t="n">
        <v>2230.00</v>
      </c>
      <c r="D1668" s="4"/>
    </row>
    <row collapsed="" customFormat="false" customHeight="1" hidden="" ht="14" outlineLevel="0" r="1669">
      <c r="A1669" s="3" t="inlineStr">
        <is>
          <t>1641</t>
        </is>
      </c>
      <c r="B1669" s="4" t="s">
        <f>=HYPERLINK("http://anyluxury.ru/shop/odezhda/aksessuary/nabor-iz-3-par-sportivnih-noskov-monterno-sport-krasniy-cherniy-i-beliy-2061150/" , "20611.50 Набор из 3 пар спортивных носков Monterno Sport, красный, черный и белый")</f>
      </c>
      <c r="C1669" s="4" t="n">
        <v>2230.00</v>
      </c>
      <c r="D1669" s="4"/>
    </row>
    <row collapsed="" customFormat="false" customHeight="1" hidden="" ht="14" outlineLevel="0" r="1670">
      <c r="A1670" s="3" t="inlineStr">
        <is>
          <t>1642</t>
        </is>
      </c>
      <c r="B1670" s="4" t="s">
        <f>=HYPERLINK("http://anyluxury.ru/shop/odezhda/aksessuary/nabor-iz-3-par-sportivnih-noskov-monterno-sport-rozoviy-zeleniy-i-oranzheviy-2061115/" , "20611.15 Набор из 3 пар спортивных носков Monterno Sport, розовый, зеленый и оранжевый")</f>
      </c>
      <c r="C1670" s="4" t="n">
        <v>2230.00</v>
      </c>
      <c r="D1670" s="4"/>
    </row>
    <row collapsed="" customFormat="false" customHeight="1" hidden="" ht="14" outlineLevel="0" r="1671">
      <c r="A1671" s="3" t="inlineStr">
        <is>
          <t>1643</t>
        </is>
      </c>
      <c r="B1671" s="4" t="s">
        <f>=HYPERLINK("http://anyluxury.ru/shop/odezhda/aksessuary/nabor-iz-3-par-sportivnih-noskov-monterno-sport-rozoviy-seriy-i-beliy-2061111/" , "20611.11 Набор из 3 пар спортивных носков Monterno Sport, розовый, серый и белый")</f>
      </c>
      <c r="C1671" s="4" t="n">
        <v>2230.00</v>
      </c>
      <c r="D1671" s="4"/>
    </row>
    <row collapsed="" customFormat="false" customHeight="1" hidden="" ht="14" outlineLevel="0" r="1672">
      <c r="A1672" s="3" t="inlineStr">
        <is>
          <t>1644</t>
        </is>
      </c>
      <c r="B1672" s="4" t="s">
        <f>=HYPERLINK("http://anyluxury.ru/shop/odezhda/aksessuary/nabor-iz-3-par-sportivnih-noskov-monterno-sport-seriy-siniy-i-oranzheviy-2061120/" , "20611.20 Набор из 3 пар спортивных носков Monterno Sport, серый, синий и оранжевый")</f>
      </c>
      <c r="C1672" s="4" t="n">
        <v>2230.00</v>
      </c>
      <c r="D1672" s="4"/>
    </row>
    <row collapsed="" customFormat="false" customHeight="1" hidden="" ht="14" outlineLevel="0" r="1673">
      <c r="A1673" s="3" t="inlineStr">
        <is>
          <t>1645</t>
        </is>
      </c>
      <c r="B1673" s="4" t="s">
        <f>=HYPERLINK("http://anyluxury.ru/shop/odezhda/aksessuary/nabor-iz-3-par-sportivnih-noskov-monterno-sport-cherniy-seriy-i-beliy-2061130/" , "20611.30 Набор из 3 пар спортивных носков Monterno Sport, черный, серый и белый")</f>
      </c>
      <c r="C1673" s="4" t="n">
        <v>2230.00</v>
      </c>
      <c r="D1673" s="4"/>
    </row>
    <row collapsed="" customFormat="false" customHeight="" hidden="" ht="12.1" outlineLevel="0" r="1674">
      <c r="A1674" s="5" t="inlineStr">
        <is>
          <t> -  - Ветровки</t>
        </is>
      </c>
      <c r="B1674" s="6"/>
      <c r="C1674" s="6"/>
      <c r="D1674" s="6"/>
    </row>
    <row collapsed="" customFormat="false" customHeight="1" hidden="" ht="14" outlineLevel="0" r="1675">
      <c r="A1675" s="3" t="inlineStr">
        <is>
          <t>1646</t>
        </is>
      </c>
      <c r="B1675" s="4" t="s">
        <f>=HYPERLINK("http://anyluxury.ru/shop/odezhda/vetrovki/vetrovka-iz-neylona-surf-210-krasnaya-138450/" , "1384.50 Ветровка из нейлона SURF 210 красная, размер S")</f>
      </c>
      <c r="C1675" s="4" t="n">
        <v>1643.00</v>
      </c>
      <c r="D1675" s="4"/>
    </row>
    <row collapsed="" customFormat="false" customHeight="1" hidden="" ht="14" outlineLevel="0" r="1676">
      <c r="A1676" s="3" t="inlineStr">
        <is>
          <t>1647</t>
        </is>
      </c>
      <c r="B1676" s="4" t="s">
        <f>=HYPERLINK("http://anyluxury.ru/shop/odezhda/vetrovki/vetrovka-iz-neylona-surf-210-krasnaya-138450/" , "1384.50 Ветровка из нейлона SURF 210 красная, размер M")</f>
      </c>
      <c r="C1676" s="4" t="n">
        <v>1643.00</v>
      </c>
      <c r="D1676" s="4"/>
    </row>
    <row collapsed="" customFormat="false" customHeight="1" hidden="" ht="14" outlineLevel="0" r="1677">
      <c r="A1677" s="3" t="inlineStr">
        <is>
          <t>1648</t>
        </is>
      </c>
      <c r="B1677" s="4" t="s">
        <f>=HYPERLINK("http://anyluxury.ru/shop/odezhda/vetrovki/vetrovka-iz-neylona-surf-210-krasnaya-138450/" , "1384.50 Ветровка из нейлона SURF 210 красная, размер L")</f>
      </c>
      <c r="C1677" s="4" t="n">
        <v>1643.00</v>
      </c>
      <c r="D1677" s="4"/>
    </row>
    <row collapsed="" customFormat="false" customHeight="1" hidden="" ht="14" outlineLevel="0" r="1678">
      <c r="A1678" s="3" t="inlineStr">
        <is>
          <t>1649</t>
        </is>
      </c>
      <c r="B1678" s="4" t="s">
        <f>=HYPERLINK("http://anyluxury.ru/shop/odezhda/vetrovki/vetrovka-iz-neylona-surf-210-krasnaya-138450/" , "1384.50 Ветровка из нейлона SURF 210 красная, размер XL")</f>
      </c>
      <c r="C1678" s="4" t="n">
        <v>1643.00</v>
      </c>
      <c r="D1678" s="4"/>
    </row>
    <row collapsed="" customFormat="false" customHeight="1" hidden="" ht="14" outlineLevel="0" r="1679">
      <c r="A1679" s="3" t="inlineStr">
        <is>
          <t>1650</t>
        </is>
      </c>
      <c r="B1679" s="4" t="s">
        <f>=HYPERLINK("http://anyluxury.ru/shop/odezhda/vetrovki/vetrovka-iz-neylona-surf-210-krasnaya-138450/" , "1384.50 Ветровка из нейлона SURF 210 красная, размер XXL")</f>
      </c>
      <c r="C1679" s="4" t="n">
        <v>1643.00</v>
      </c>
      <c r="D1679" s="4"/>
    </row>
    <row collapsed="" customFormat="false" customHeight="1" hidden="" ht="14" outlineLevel="0" r="1680">
      <c r="A1680" s="3" t="inlineStr">
        <is>
          <t>1651</t>
        </is>
      </c>
      <c r="B1680" s="4" t="s">
        <f>=HYPERLINK("http://anyluxury.ru/shop/odezhda/vetrovki/vetrovka-iz-neylona-surf-210-oranzhevaya-138420/" , "1384.20 Ветровка из нейлона SURF 210 оранжевая, размер S")</f>
      </c>
      <c r="C1680" s="4" t="n">
        <v>1643.00</v>
      </c>
      <c r="D1680" s="4"/>
    </row>
    <row collapsed="" customFormat="false" customHeight="1" hidden="" ht="14" outlineLevel="0" r="1681">
      <c r="A1681" s="3" t="inlineStr">
        <is>
          <t>1652</t>
        </is>
      </c>
      <c r="B1681" s="4" t="s">
        <f>=HYPERLINK("http://anyluxury.ru/shop/odezhda/vetrovki/vetrovka-iz-neylona-surf-210-oranzhevaya-138420/" , "1384.20 Ветровка из нейлона SURF 210 оранжевая, размер M")</f>
      </c>
      <c r="C1681" s="4" t="n">
        <v>1643.00</v>
      </c>
      <c r="D1681" s="4"/>
    </row>
    <row collapsed="" customFormat="false" customHeight="1" hidden="" ht="14" outlineLevel="0" r="1682">
      <c r="A1682" s="3" t="inlineStr">
        <is>
          <t>1653</t>
        </is>
      </c>
      <c r="B1682" s="4" t="s">
        <f>=HYPERLINK("http://anyluxury.ru/shop/odezhda/vetrovki/vetrovka-iz-neylona-surf-210-oranzhevaya-138420/" , "1384.20 Ветровка из нейлона SURF 210 оранжевая, размер L")</f>
      </c>
      <c r="C1682" s="4" t="n">
        <v>1643.00</v>
      </c>
      <c r="D1682" s="4"/>
    </row>
    <row collapsed="" customFormat="false" customHeight="1" hidden="" ht="14" outlineLevel="0" r="1683">
      <c r="A1683" s="3" t="inlineStr">
        <is>
          <t>1654</t>
        </is>
      </c>
      <c r="B1683" s="4" t="s">
        <f>=HYPERLINK("http://anyluxury.ru/shop/odezhda/vetrovki/vetrovka-iz-neylona-surf-210-oranzhevaya-138420/" , "1384.20 Ветровка из нейлона SURF 210 оранжевая, размер XL")</f>
      </c>
      <c r="C1683" s="4" t="n">
        <v>1643.00</v>
      </c>
      <c r="D1683" s="4"/>
    </row>
    <row collapsed="" customFormat="false" customHeight="1" hidden="" ht="14" outlineLevel="0" r="1684">
      <c r="A1684" s="3" t="inlineStr">
        <is>
          <t>1655</t>
        </is>
      </c>
      <c r="B1684" s="4" t="s">
        <f>=HYPERLINK("http://anyluxury.ru/shop/odezhda/vetrovki/vetrovka-iz-neylona-surf-210-oranzhevaya-138420/" , "1384.20 Ветровка из нейлона SURF 210 оранжевая, размер XXL")</f>
      </c>
      <c r="C1684" s="4" t="n">
        <v>1643.00</v>
      </c>
      <c r="D1684" s="4"/>
    </row>
    <row collapsed="" customFormat="false" customHeight="1" hidden="" ht="14" outlineLevel="0" r="1685">
      <c r="A1685" s="3" t="inlineStr">
        <is>
          <t>1656</t>
        </is>
      </c>
      <c r="B1685" s="4" t="s">
        <f>=HYPERLINK("http://anyluxury.ru/shop/odezhda/vetrovki/vetrovka-iz-neylona-surf-210-chernaya-138430/" , "1384.30 Ветровка из нейлона SURF 210 черная, размер S")</f>
      </c>
      <c r="C1685" s="4" t="n">
        <v>1643.00</v>
      </c>
      <c r="D1685" s="4"/>
    </row>
    <row collapsed="" customFormat="false" customHeight="1" hidden="" ht="14" outlineLevel="0" r="1686">
      <c r="A1686" s="3" t="inlineStr">
        <is>
          <t>1657</t>
        </is>
      </c>
      <c r="B1686" s="4" t="s">
        <f>=HYPERLINK("http://anyluxury.ru/shop/odezhda/vetrovki/vetrovka-iz-neylona-surf-210-chernaya-138430/" , "1384.30 Ветровка из нейлона SURF 210 черная, размер M")</f>
      </c>
      <c r="C1686" s="4" t="n">
        <v>1643.00</v>
      </c>
      <c r="D1686" s="4"/>
    </row>
    <row collapsed="" customFormat="false" customHeight="1" hidden="" ht="14" outlineLevel="0" r="1687">
      <c r="A1687" s="3" t="inlineStr">
        <is>
          <t>1658</t>
        </is>
      </c>
      <c r="B1687" s="4" t="s">
        <f>=HYPERLINK("http://anyluxury.ru/shop/odezhda/vetrovki/vetrovka-iz-neylona-surf-210-chernaya-138430/" , "1384.30 Ветровка из нейлона SURF 210 черная, размер L")</f>
      </c>
      <c r="C1687" s="4" t="n">
        <v>1643.00</v>
      </c>
      <c r="D1687" s="4"/>
    </row>
    <row collapsed="" customFormat="false" customHeight="1" hidden="" ht="14" outlineLevel="0" r="1688">
      <c r="A1688" s="3" t="inlineStr">
        <is>
          <t>1659</t>
        </is>
      </c>
      <c r="B1688" s="4" t="s">
        <f>=HYPERLINK("http://anyluxury.ru/shop/odezhda/vetrovki/vetrovka-iz-neylona-surf-210-chernaya-138430/" , "1384.30 Ветровка из нейлона SURF 210 черная, размер XL")</f>
      </c>
      <c r="C1688" s="4" t="n">
        <v>1643.00</v>
      </c>
      <c r="D1688" s="4"/>
    </row>
    <row collapsed="" customFormat="false" customHeight="1" hidden="" ht="14" outlineLevel="0" r="1689">
      <c r="A1689" s="3" t="inlineStr">
        <is>
          <t>1660</t>
        </is>
      </c>
      <c r="B1689" s="4" t="s">
        <f>=HYPERLINK("http://anyluxury.ru/shop/odezhda/vetrovki/vetrovka-iz-neylona-surf-210-chernaya-138430/" , "1384.30 Ветровка из нейлона SURF 210 черная, размер XXL")</f>
      </c>
      <c r="C1689" s="4" t="n">
        <v>1643.00</v>
      </c>
      <c r="D1689" s="4"/>
    </row>
    <row collapsed="" customFormat="false" customHeight="1" hidden="" ht="14" outlineLevel="0" r="1690">
      <c r="A1690" s="3" t="inlineStr">
        <is>
          <t>1661</t>
        </is>
      </c>
      <c r="B1690" s="4" t="s">
        <f>=HYPERLINK("http://anyluxury.ru/shop/odezhda/vetrovki/vetrovka-iz-neylona-surf-210-temnosinyaya-navy-138440/" , "1384.40 Ветровка из нейлона SURF 210 темно-синяя (navy), размер S")</f>
      </c>
      <c r="C1690" s="4" t="n">
        <v>1643.00</v>
      </c>
      <c r="D1690" s="4"/>
    </row>
    <row collapsed="" customFormat="false" customHeight="1" hidden="" ht="14" outlineLevel="0" r="1691">
      <c r="A1691" s="3" t="inlineStr">
        <is>
          <t>1662</t>
        </is>
      </c>
      <c r="B1691" s="4" t="s">
        <f>=HYPERLINK("http://anyluxury.ru/shop/odezhda/vetrovki/vetrovka-iz-neylona-surf-210-temnosinyaya-navy-138440/" , "1384.40 Ветровка из нейлона SURF 210 темно-синяя (navy), размер M")</f>
      </c>
      <c r="C1691" s="4" t="n">
        <v>1643.00</v>
      </c>
      <c r="D1691" s="4"/>
    </row>
    <row collapsed="" customFormat="false" customHeight="1" hidden="" ht="14" outlineLevel="0" r="1692">
      <c r="A1692" s="3" t="inlineStr">
        <is>
          <t>1663</t>
        </is>
      </c>
      <c r="B1692" s="4" t="s">
        <f>=HYPERLINK("http://anyluxury.ru/shop/odezhda/vetrovki/vetrovka-iz-neylona-surf-210-temnosinyaya-navy-138440/" , "1384.40 Ветровка из нейлона SURF 210 темно-синяя (navy), размер L")</f>
      </c>
      <c r="C1692" s="4" t="n">
        <v>1643.00</v>
      </c>
      <c r="D1692" s="4"/>
    </row>
    <row collapsed="" customFormat="false" customHeight="1" hidden="" ht="14" outlineLevel="0" r="1693">
      <c r="A1693" s="3" t="inlineStr">
        <is>
          <t>1664</t>
        </is>
      </c>
      <c r="B1693" s="4" t="s">
        <f>=HYPERLINK("http://anyluxury.ru/shop/odezhda/vetrovki/vetrovka-iz-neylona-surf-210-temnosinyaya-navy-138440/" , "1384.40 Ветровка из нейлона SURF 210 темно-синяя (navy), размер XL")</f>
      </c>
      <c r="C1693" s="4" t="n">
        <v>1643.00</v>
      </c>
      <c r="D1693" s="4"/>
    </row>
    <row collapsed="" customFormat="false" customHeight="1" hidden="" ht="14" outlineLevel="0" r="1694">
      <c r="A1694" s="3" t="inlineStr">
        <is>
          <t>1665</t>
        </is>
      </c>
      <c r="B1694" s="4" t="s">
        <f>=HYPERLINK("http://anyluxury.ru/shop/odezhda/vetrovki/vetrovka-iz-neylona-surf-210-temnosinyaya-navy-138440/" , "1384.40 Ветровка из нейлона SURF 210 темно-синяя (navy), размер XXL")</f>
      </c>
      <c r="C1694" s="4" t="n">
        <v>1643.00</v>
      </c>
      <c r="D1694" s="4"/>
    </row>
    <row collapsed="" customFormat="false" customHeight="1" hidden="" ht="14" outlineLevel="0" r="1695">
      <c r="A1695" s="3" t="inlineStr">
        <is>
          <t>1666</t>
        </is>
      </c>
      <c r="B1695" s="4" t="s">
        <f>=HYPERLINK("http://anyluxury.ru/shop/odezhda/vetrovki/vetrovka-iz-neylona-surf-210-yarkosinyaya-royal-138444/" , "1384.44 Ветровка из нейлона SURF 210 ярко-синяя (royal), размер S")</f>
      </c>
      <c r="C1695" s="4" t="n">
        <v>1643.00</v>
      </c>
      <c r="D1695" s="4"/>
    </row>
    <row collapsed="" customFormat="false" customHeight="1" hidden="" ht="14" outlineLevel="0" r="1696">
      <c r="A1696" s="3" t="inlineStr">
        <is>
          <t>1667</t>
        </is>
      </c>
      <c r="B1696" s="4" t="s">
        <f>=HYPERLINK("http://anyluxury.ru/shop/odezhda/vetrovki/vetrovka-iz-neylona-surf-210-yarkosinyaya-royal-138444/" , "1384.44 Ветровка из нейлона SURF 210 ярко-синяя (royal), размер M")</f>
      </c>
      <c r="C1696" s="4" t="n">
        <v>1643.00</v>
      </c>
      <c r="D1696" s="4"/>
    </row>
    <row collapsed="" customFormat="false" customHeight="1" hidden="" ht="14" outlineLevel="0" r="1697">
      <c r="A1697" s="3" t="inlineStr">
        <is>
          <t>1668</t>
        </is>
      </c>
      <c r="B1697" s="4" t="s">
        <f>=HYPERLINK("http://anyluxury.ru/shop/odezhda/vetrovki/vetrovka-iz-neylona-surf-210-yarkosinyaya-royal-138444/" , "1384.44 Ветровка из нейлона SURF 210 ярко-синяя (royal), размер XL")</f>
      </c>
      <c r="C1697" s="4" t="n">
        <v>1643.00</v>
      </c>
      <c r="D1697" s="4"/>
    </row>
    <row collapsed="" customFormat="false" customHeight="1" hidden="" ht="14" outlineLevel="0" r="1698">
      <c r="A1698" s="3" t="inlineStr">
        <is>
          <t>1669</t>
        </is>
      </c>
      <c r="B1698" s="4" t="s">
        <f>=HYPERLINK("http://anyluxury.ru/shop/odezhda/vetrovki/vetrovka-iz-neylona-surf-210-yarkosinyaya-royal-138444/" , "1384.44 Ветровка из нейлона SURF 210 ярко-синяя (royal), размер XXL")</f>
      </c>
      <c r="C1698" s="4" t="n">
        <v>1643.00</v>
      </c>
      <c r="D1698" s="4"/>
    </row>
    <row collapsed="" customFormat="false" customHeight="1" hidden="" ht="14" outlineLevel="0" r="1699">
      <c r="A1699" s="3" t="inlineStr">
        <is>
          <t>1670</t>
        </is>
      </c>
      <c r="B1699" s="4" t="s">
        <f>=HYPERLINK("http://anyluxury.ru/shop/odezhda/vetrovki/vetrovka-iz-neylona-surf-210-zheltaya-138480/" , "1384.80 Ветровка из нейлона SURF 210 желтая, размер M")</f>
      </c>
      <c r="C1699" s="4" t="n">
        <v>1643.00</v>
      </c>
      <c r="D1699" s="4"/>
    </row>
    <row collapsed="" customFormat="false" customHeight="1" hidden="" ht="14" outlineLevel="0" r="1700">
      <c r="A1700" s="3" t="inlineStr">
        <is>
          <t>1671</t>
        </is>
      </c>
      <c r="B1700" s="4" t="s">
        <f>=HYPERLINK("http://anyluxury.ru/shop/odezhda/vetrovki/vetrovka-iz-neylona-surf-210-zheltaya-138480/" , "1384.80 Ветровка из нейлона SURF 210 желтая, размер XL")</f>
      </c>
      <c r="C1700" s="4" t="n">
        <v>1643.00</v>
      </c>
      <c r="D1700" s="4"/>
    </row>
    <row collapsed="" customFormat="false" customHeight="1" hidden="" ht="14" outlineLevel="0" r="1701">
      <c r="A1701" s="3" t="inlineStr">
        <is>
          <t>1672</t>
        </is>
      </c>
      <c r="B1701" s="4" t="s">
        <f>=HYPERLINK("http://anyluxury.ru/shop/odezhda/vetrovki/vetrovka-iz-neylona-surf-210-zelenaya-138490/" , "1384.90 Ветровка из нейлона SURF 210 зеленая, размер S")</f>
      </c>
      <c r="C1701" s="4" t="n">
        <v>1643.00</v>
      </c>
      <c r="D1701" s="4"/>
    </row>
    <row collapsed="" customFormat="false" customHeight="1" hidden="" ht="14" outlineLevel="0" r="1702">
      <c r="A1702" s="3" t="inlineStr">
        <is>
          <t>1673</t>
        </is>
      </c>
      <c r="B1702" s="4" t="s">
        <f>=HYPERLINK("http://anyluxury.ru/shop/odezhda/vetrovki/vetrovka-iz-neylona-surf-210-zelenaya-138490/" , "1384.90 Ветровка из нейлона SURF 210 зеленая, размер M")</f>
      </c>
      <c r="C1702" s="4" t="n">
        <v>1643.00</v>
      </c>
      <c r="D1702" s="4"/>
    </row>
    <row collapsed="" customFormat="false" customHeight="1" hidden="" ht="14" outlineLevel="0" r="1703">
      <c r="A1703" s="3" t="inlineStr">
        <is>
          <t>1674</t>
        </is>
      </c>
      <c r="B1703" s="4" t="s">
        <f>=HYPERLINK("http://anyluxury.ru/shop/odezhda/vetrovki/vetrovka-iz-neylona-surf-210-zelenaya-138490/" , "1384.90 Ветровка из нейлона SURF 210 зеленая, размер L")</f>
      </c>
      <c r="C1703" s="4" t="n">
        <v>1643.00</v>
      </c>
      <c r="D1703" s="4"/>
    </row>
    <row collapsed="" customFormat="false" customHeight="1" hidden="" ht="14" outlineLevel="0" r="1704">
      <c r="A1704" s="3" t="inlineStr">
        <is>
          <t>1675</t>
        </is>
      </c>
      <c r="B1704" s="4" t="s">
        <f>=HYPERLINK("http://anyluxury.ru/shop/odezhda/vetrovki/vetrovka-iz-neylona-surf-210-zelenaya-138490/" , "1384.90 Ветровка из нейлона SURF 210 зеленая, размер XL")</f>
      </c>
      <c r="C1704" s="4" t="n">
        <v>1643.00</v>
      </c>
      <c r="D1704" s="4"/>
    </row>
    <row collapsed="" customFormat="false" customHeight="1" hidden="" ht="14" outlineLevel="0" r="1705">
      <c r="A1705" s="3" t="inlineStr">
        <is>
          <t>1676</t>
        </is>
      </c>
      <c r="B1705" s="4" t="s">
        <f>=HYPERLINK("http://anyluxury.ru/shop/odezhda/vetrovki/vetrovka-iz-neylona-surf-210-zelenaya-138490/" , "1384.90 Ветровка из нейлона SURF 210 зеленая, размер XXL")</f>
      </c>
      <c r="C1705" s="4" t="n">
        <v>1643.00</v>
      </c>
      <c r="D1705" s="4"/>
    </row>
    <row collapsed="" customFormat="false" customHeight="1" hidden="" ht="14" outlineLevel="0" r="1706">
      <c r="A1706" s="3" t="inlineStr">
        <is>
          <t>1677</t>
        </is>
      </c>
      <c r="B1706" s="4" t="s">
        <f>=HYPERLINK("http://anyluxury.ru/shop/odezhda/vetrovki/vetrovka-iz-neylona-surf-210-belaya-138460/" , "1384.60 Ветровка из нейлона SURF 210 белая, размер S")</f>
      </c>
      <c r="C1706" s="4" t="n">
        <v>1643.00</v>
      </c>
      <c r="D1706" s="4"/>
    </row>
    <row collapsed="" customFormat="false" customHeight="1" hidden="" ht="14" outlineLevel="0" r="1707">
      <c r="A1707" s="3" t="inlineStr">
        <is>
          <t>1678</t>
        </is>
      </c>
      <c r="B1707" s="4" t="s">
        <f>=HYPERLINK("http://anyluxury.ru/shop/odezhda/vetrovki/vetrovka-iz-neylona-surf-210-belaya-138460/" , "1384.60 Ветровка из нейлона SURF 210 белая, размер M")</f>
      </c>
      <c r="C1707" s="4" t="n">
        <v>1643.00</v>
      </c>
      <c r="D1707" s="4"/>
    </row>
    <row collapsed="" customFormat="false" customHeight="1" hidden="" ht="14" outlineLevel="0" r="1708">
      <c r="A1708" s="3" t="inlineStr">
        <is>
          <t>1679</t>
        </is>
      </c>
      <c r="B1708" s="4" t="s">
        <f>=HYPERLINK("http://anyluxury.ru/shop/odezhda/vetrovki/vetrovka-iz-neylona-surf-210-belaya-138460/" , "1384.60 Ветровка из нейлона SURF 210 белая, размер L")</f>
      </c>
      <c r="C1708" s="4" t="n">
        <v>1643.00</v>
      </c>
      <c r="D1708" s="4"/>
    </row>
    <row collapsed="" customFormat="false" customHeight="1" hidden="" ht="14" outlineLevel="0" r="1709">
      <c r="A1709" s="3" t="inlineStr">
        <is>
          <t>1680</t>
        </is>
      </c>
      <c r="B1709" s="4" t="s">
        <f>=HYPERLINK("http://anyluxury.ru/shop/odezhda/vetrovki/vetrovka-iz-neylona-surf-210-belaya-138460/" , "1384.60 Ветровка из нейлона SURF 210 белая, размер XL")</f>
      </c>
      <c r="C1709" s="4" t="n">
        <v>1643.00</v>
      </c>
      <c r="D1709" s="4"/>
    </row>
    <row collapsed="" customFormat="false" customHeight="1" hidden="" ht="14" outlineLevel="0" r="1710">
      <c r="A1710" s="3" t="inlineStr">
        <is>
          <t>1681</t>
        </is>
      </c>
      <c r="B1710" s="4" t="s">
        <f>=HYPERLINK("http://anyluxury.ru/shop/odezhda/vetrovki/vetrovka-iz-neylona-surf-210-belaya-138460/" , "1384.60 Ветровка из нейлона SURF 210 белая, размер XXL")</f>
      </c>
      <c r="C1710" s="4" t="n">
        <v>1643.00</v>
      </c>
      <c r="D1710" s="4"/>
    </row>
    <row collapsed="" customFormat="false" customHeight="1" hidden="" ht="14" outlineLevel="0" r="1711">
      <c r="A1711" s="3" t="inlineStr">
        <is>
          <t>1682</t>
        </is>
      </c>
      <c r="B1711" s="4" t="s">
        <f>=HYPERLINK("http://anyluxury.ru/shop/odezhda/vetrovki/vetrovka-iz-neylona-surf-210-belaya-138460/" , "1384.60 Ветровка из нейлона Surf 210 белая, размер XS")</f>
      </c>
      <c r="C1711" s="4" t="n">
        <v>1643.00</v>
      </c>
      <c r="D1711" s="4"/>
    </row>
    <row collapsed="" customFormat="false" customHeight="1" hidden="" ht="14" outlineLevel="0" r="1712">
      <c r="A1712" s="3" t="inlineStr">
        <is>
          <t>1683</t>
        </is>
      </c>
      <c r="B1712" s="4" t="s">
        <f>=HYPERLINK("http://anyluxury.ru/shop/odezhda/vetrovki/vetrovka-iz-neylona-surf-210-biryuzovaya-138442/" , "1384.42 Ветровка из нейлона SURF 210 бирюзовая, размер S")</f>
      </c>
      <c r="C1712" s="4" t="n">
        <v>1643.00</v>
      </c>
      <c r="D1712" s="4"/>
    </row>
    <row collapsed="" customFormat="false" customHeight="1" hidden="" ht="14" outlineLevel="0" r="1713">
      <c r="A1713" s="3" t="inlineStr">
        <is>
          <t>1684</t>
        </is>
      </c>
      <c r="B1713" s="4" t="s">
        <f>=HYPERLINK("http://anyluxury.ru/shop/odezhda/vetrovki/vetrovka-iz-neylona-surf-210-biryuzovaya-138442/" , "1384.42 Ветровка из нейлона SURF 210 бирюзовая, размер M")</f>
      </c>
      <c r="C1713" s="4" t="n">
        <v>1643.00</v>
      </c>
      <c r="D1713" s="4"/>
    </row>
    <row collapsed="" customFormat="false" customHeight="1" hidden="" ht="14" outlineLevel="0" r="1714">
      <c r="A1714" s="3" t="inlineStr">
        <is>
          <t>1685</t>
        </is>
      </c>
      <c r="B1714" s="4" t="s">
        <f>=HYPERLINK("http://anyluxury.ru/shop/odezhda/vetrovki/vetrovka-iz-neylona-surf-210-biryuzovaya-138442/" , "1384.42 Ветровка из нейлона SURF 210 бирюзовая, размер L")</f>
      </c>
      <c r="C1714" s="4" t="n">
        <v>1643.00</v>
      </c>
      <c r="D1714" s="4"/>
    </row>
    <row collapsed="" customFormat="false" customHeight="1" hidden="" ht="14" outlineLevel="0" r="1715">
      <c r="A1715" s="3" t="inlineStr">
        <is>
          <t>1686</t>
        </is>
      </c>
      <c r="B1715" s="4" t="s">
        <f>=HYPERLINK("http://anyluxury.ru/shop/odezhda/vetrovki/vetrovka-iz-neylona-surf-210-biryuzovaya-138442/" , "1384.42 Ветровка из нейлона SURF 210 бирюзовая, размер XL")</f>
      </c>
      <c r="C1715" s="4" t="n">
        <v>1643.00</v>
      </c>
      <c r="D1715" s="4"/>
    </row>
    <row collapsed="" customFormat="false" customHeight="1" hidden="" ht="14" outlineLevel="0" r="1716">
      <c r="A1716" s="3" t="inlineStr">
        <is>
          <t>1687</t>
        </is>
      </c>
      <c r="B1716" s="4" t="s">
        <f>=HYPERLINK("http://anyluxury.ru/shop/odezhda/vetrovki/vetrovka-iz-neylona-surf-210-biryuzovaya-138442/" , "1384.42 Ветровка из нейлона SURF 210 бирюзовая, размер XXL")</f>
      </c>
      <c r="C1716" s="4" t="n">
        <v>1643.00</v>
      </c>
      <c r="D1716" s="4"/>
    </row>
    <row collapsed="" customFormat="false" customHeight="1" hidden="" ht="14" outlineLevel="0" r="1717">
      <c r="A1717" s="3" t="inlineStr">
        <is>
          <t>1688</t>
        </is>
      </c>
      <c r="B1717" s="4" t="s">
        <f>=HYPERLINK("http://anyluxury.ru/shop/odezhda/vetrovki/vetrovka-iz-neylona-surf-210-zelenoe-yabloko-138494/" , "1384.94 Ветровка из нейлона SURF 210, зеленое яблоко, размер S")</f>
      </c>
      <c r="C1717" s="4" t="n">
        <v>1643.00</v>
      </c>
      <c r="D1717" s="4"/>
    </row>
    <row collapsed="" customFormat="false" customHeight="1" hidden="" ht="14" outlineLevel="0" r="1718">
      <c r="A1718" s="3" t="inlineStr">
        <is>
          <t>1689</t>
        </is>
      </c>
      <c r="B1718" s="4" t="s">
        <f>=HYPERLINK("http://anyluxury.ru/shop/odezhda/vetrovki/vetrovka-iz-neylona-surf-210-zelenoe-yabloko-138494/" , "1384.94 Ветровка из нейлона SURF 210, зеленое яблоко, размер M")</f>
      </c>
      <c r="C1718" s="4" t="n">
        <v>1643.00</v>
      </c>
      <c r="D1718" s="4"/>
    </row>
    <row collapsed="" customFormat="false" customHeight="1" hidden="" ht="14" outlineLevel="0" r="1719">
      <c r="A1719" s="3" t="inlineStr">
        <is>
          <t>1690</t>
        </is>
      </c>
      <c r="B1719" s="4" t="s">
        <f>=HYPERLINK("http://anyluxury.ru/shop/odezhda/vetrovki/vetrovka-iz-neylona-surf-210-zelenoe-yabloko-138494/" , "1384.94 Ветровка из нейлона SURF 210, зеленое яблоко, размер L")</f>
      </c>
      <c r="C1719" s="4" t="n">
        <v>1643.00</v>
      </c>
      <c r="D1719" s="4"/>
    </row>
    <row collapsed="" customFormat="false" customHeight="1" hidden="" ht="14" outlineLevel="0" r="1720">
      <c r="A1720" s="3" t="inlineStr">
        <is>
          <t>1691</t>
        </is>
      </c>
      <c r="B1720" s="4" t="s">
        <f>=HYPERLINK("http://anyluxury.ru/shop/odezhda/vetrovki/vetrovka-iz-neylona-surf-210-zelenoe-yabloko-138494/" , "1384.94 Ветровка из нейлона SURF 210, зеленое яблоко, размер XL")</f>
      </c>
      <c r="C1720" s="4" t="n">
        <v>1643.00</v>
      </c>
      <c r="D1720" s="4"/>
    </row>
    <row collapsed="" customFormat="false" customHeight="1" hidden="" ht="14" outlineLevel="0" r="1721">
      <c r="A1721" s="3" t="inlineStr">
        <is>
          <t>1692</t>
        </is>
      </c>
      <c r="B1721" s="4" t="s">
        <f>=HYPERLINK("http://anyluxury.ru/shop/odezhda/vetrovki/vetrovka-iz-neylona-surf-210-zelenoe-yabloko-138494/" , "1384.94 Ветровка из нейлона SURF 210, зеленое яблоко, размер XXL")</f>
      </c>
      <c r="C1721" s="4" t="n">
        <v>1643.00</v>
      </c>
      <c r="D1721" s="4"/>
    </row>
    <row collapsed="" customFormat="false" customHeight="1" hidden="" ht="14" outlineLevel="0" r="1722">
      <c r="A1722" s="3" t="inlineStr">
        <is>
          <t>1693</t>
        </is>
      </c>
      <c r="B1722" s="4" t="s">
        <f>=HYPERLINK("http://anyluxury.ru/shop/odezhda/vetrovki/dvustoronnyaya-vetrovka-switch-yarkosinyaya-00593241/" , "00593241 Ветровка двусторонняя SWITCH ярко-синяя, размер S")</f>
      </c>
      <c r="C1722" s="4" t="n">
        <v>2354.00</v>
      </c>
      <c r="D1722" s="4"/>
    </row>
    <row collapsed="" customFormat="false" customHeight="1" hidden="" ht="14" outlineLevel="0" r="1723">
      <c r="A1723" s="3" t="inlineStr">
        <is>
          <t>1694</t>
        </is>
      </c>
      <c r="B1723" s="4" t="s">
        <f>=HYPERLINK("http://anyluxury.ru/shop/odezhda/vetrovki/dvustoronnyaya-vetrovka-switch-yarkosinyaya-00593241/" , "00593241 Ветровка двусторонняя SWITCH ярко-синяя, размер M")</f>
      </c>
      <c r="C1723" s="4" t="n">
        <v>2354.00</v>
      </c>
      <c r="D1723" s="4"/>
    </row>
    <row collapsed="" customFormat="false" customHeight="1" hidden="" ht="14" outlineLevel="0" r="1724">
      <c r="A1724" s="3" t="inlineStr">
        <is>
          <t>1695</t>
        </is>
      </c>
      <c r="B1724" s="4" t="s">
        <f>=HYPERLINK("http://anyluxury.ru/shop/odezhda/vetrovki/dvustoronnyaya-vetrovka-switch-yarkosinyaya-00593241/" , "00593241 Ветровка двусторонняя SWITCH ярко-синяя, размер L")</f>
      </c>
      <c r="C1724" s="4" t="n">
        <v>2354.00</v>
      </c>
      <c r="D1724" s="4"/>
    </row>
    <row collapsed="" customFormat="false" customHeight="1" hidden="" ht="14" outlineLevel="0" r="1725">
      <c r="A1725" s="3" t="inlineStr">
        <is>
          <t>1696</t>
        </is>
      </c>
      <c r="B1725" s="4" t="s">
        <f>=HYPERLINK("http://anyluxury.ru/shop/odezhda/vetrovki/dvustoronnyaya-vetrovka-switch-yarkosinyaya-00593241/" , "00593241 Ветровка двусторонняя SWITCH ярко-синяя, размер XL")</f>
      </c>
      <c r="C1725" s="4" t="n">
        <v>2354.00</v>
      </c>
      <c r="D1725" s="4"/>
    </row>
    <row collapsed="" customFormat="false" customHeight="1" hidden="" ht="14" outlineLevel="0" r="1726">
      <c r="A1726" s="3" t="inlineStr">
        <is>
          <t>1697</t>
        </is>
      </c>
      <c r="B1726" s="4" t="s">
        <f>=HYPERLINK("http://anyluxury.ru/shop/odezhda/vetrovki/dvustoronnyaya-vetrovka-switch-yarkosinyaya-00593241/" , "00593241 Ветровка двусторонняя SWITCH ярко-синяя, размер XXL")</f>
      </c>
      <c r="C1726" s="4" t="n">
        <v>2354.00</v>
      </c>
      <c r="D1726" s="4"/>
    </row>
    <row collapsed="" customFormat="false" customHeight="1" hidden="" ht="14" outlineLevel="0" r="1727">
      <c r="A1727" s="3" t="inlineStr">
        <is>
          <t>1698</t>
        </is>
      </c>
      <c r="B1727" s="4" t="s">
        <f>=HYPERLINK("http://anyluxury.ru/shop/odezhda/vetrovki/dvustoronnyaya-vetrovka-switch-yarkosinyaya-00593241/" , "00593241 Ветровка двусторонняя SWITCH ярко-синяя, размер 3XL")</f>
      </c>
      <c r="C1727" s="4" t="n">
        <v>2679.00</v>
      </c>
      <c r="D1727" s="4"/>
    </row>
    <row collapsed="" customFormat="false" customHeight="1" hidden="" ht="14" outlineLevel="0" r="1728">
      <c r="A1728" s="3" t="inlineStr">
        <is>
          <t>1699</t>
        </is>
      </c>
      <c r="B1728" s="4" t="s">
        <f>=HYPERLINK("http://anyluxury.ru/shop/odezhda/vetrovki/vetrovka-shore-temnosinyaya-01169318/" , "01169318 Ветровка SHORE темно-синяя, размер XS")</f>
      </c>
      <c r="C1728" s="4" t="n">
        <v>2581.00</v>
      </c>
      <c r="D1728" s="4"/>
    </row>
    <row collapsed="" customFormat="false" customHeight="1" hidden="" ht="14" outlineLevel="0" r="1729">
      <c r="A1729" s="3" t="inlineStr">
        <is>
          <t>1700</t>
        </is>
      </c>
      <c r="B1729" s="4" t="s">
        <f>=HYPERLINK("http://anyluxury.ru/shop/odezhda/vetrovki/vetrovka-shore-temnosinyaya-01169318/" , "01169318 Ветровка SHORE темно-синяя, размер S")</f>
      </c>
      <c r="C1729" s="4" t="n">
        <v>2581.00</v>
      </c>
      <c r="D1729" s="4"/>
    </row>
    <row collapsed="" customFormat="false" customHeight="1" hidden="" ht="14" outlineLevel="0" r="1730">
      <c r="A1730" s="3" t="inlineStr">
        <is>
          <t>1701</t>
        </is>
      </c>
      <c r="B1730" s="4" t="s">
        <f>=HYPERLINK("http://anyluxury.ru/shop/odezhda/vetrovki/vetrovka-shore-temnosinyaya-01169318/" , "01169318 Ветровка SHORE темно-синяя, размер M")</f>
      </c>
      <c r="C1730" s="4" t="n">
        <v>2581.00</v>
      </c>
      <c r="D1730" s="4"/>
    </row>
    <row collapsed="" customFormat="false" customHeight="1" hidden="" ht="14" outlineLevel="0" r="1731">
      <c r="A1731" s="3" t="inlineStr">
        <is>
          <t>1702</t>
        </is>
      </c>
      <c r="B1731" s="4" t="s">
        <f>=HYPERLINK("http://anyluxury.ru/shop/odezhda/vetrovki/vetrovka-shore-temnosinyaya-01169318/" , "01169318 Ветровка SHORE темно-синяя, размер L")</f>
      </c>
      <c r="C1731" s="4" t="n">
        <v>2581.00</v>
      </c>
      <c r="D1731" s="4"/>
    </row>
    <row collapsed="" customFormat="false" customHeight="1" hidden="" ht="14" outlineLevel="0" r="1732">
      <c r="A1732" s="3" t="inlineStr">
        <is>
          <t>1703</t>
        </is>
      </c>
      <c r="B1732" s="4" t="s">
        <f>=HYPERLINK("http://anyluxury.ru/shop/odezhda/vetrovki/vetrovka-shore-temnosinyaya-01169318/" , "01169318 Ветровка SHORE темно-синяя, размер XL")</f>
      </c>
      <c r="C1732" s="4" t="n">
        <v>2581.00</v>
      </c>
      <c r="D1732" s="4"/>
    </row>
    <row collapsed="" customFormat="false" customHeight="1" hidden="" ht="14" outlineLevel="0" r="1733">
      <c r="A1733" s="3" t="inlineStr">
        <is>
          <t>1704</t>
        </is>
      </c>
      <c r="B1733" s="4" t="s">
        <f>=HYPERLINK("http://anyluxury.ru/shop/odezhda/vetrovki/vetrovka-shore-temnosinyaya-01169318/" , "01169318 Ветровка SHORE темно-синяя, размер XXL")</f>
      </c>
      <c r="C1733" s="4" t="n">
        <v>2581.00</v>
      </c>
      <c r="D1733" s="4"/>
    </row>
    <row collapsed="" customFormat="false" customHeight="1" hidden="" ht="14" outlineLevel="0" r="1734">
      <c r="A1734" s="3" t="inlineStr">
        <is>
          <t>1705</t>
        </is>
      </c>
      <c r="B1734" s="4" t="s">
        <f>=HYPERLINK("http://anyluxury.ru/shop/odezhda/vetrovki/vetrovka-shore-zelenoe-yabloko-01169282/" , "01169282 Ветровка SHORE зеленое яблоко, размер XS")</f>
      </c>
      <c r="C1734" s="4" t="n">
        <v>2327.00</v>
      </c>
      <c r="D1734" s="4"/>
    </row>
    <row collapsed="" customFormat="false" customHeight="1" hidden="" ht="14" outlineLevel="0" r="1735">
      <c r="A1735" s="3" t="inlineStr">
        <is>
          <t>1706</t>
        </is>
      </c>
      <c r="B1735" s="4" t="s">
        <f>=HYPERLINK("http://anyluxury.ru/shop/odezhda/vetrovki/vetrovka-shore-zelenoe-yabloko-01169282/" , "01169282 Ветровка SHORE зеленое яблоко, размер S")</f>
      </c>
      <c r="C1735" s="4" t="n">
        <v>2327.00</v>
      </c>
      <c r="D1735" s="4"/>
    </row>
    <row collapsed="" customFormat="false" customHeight="1" hidden="" ht="14" outlineLevel="0" r="1736">
      <c r="A1736" s="3" t="inlineStr">
        <is>
          <t>1707</t>
        </is>
      </c>
      <c r="B1736" s="4" t="s">
        <f>=HYPERLINK("http://anyluxury.ru/shop/odezhda/vetrovki/vetrovka-shore-zelenoe-yabloko-01169282/" , "01169282 Ветровка SHORE зеленое яблоко, размер M")</f>
      </c>
      <c r="C1736" s="4" t="n">
        <v>2327.00</v>
      </c>
      <c r="D1736" s="4"/>
    </row>
    <row collapsed="" customFormat="false" customHeight="1" hidden="" ht="14" outlineLevel="0" r="1737">
      <c r="A1737" s="3" t="inlineStr">
        <is>
          <t>1708</t>
        </is>
      </c>
      <c r="B1737" s="4" t="s">
        <f>=HYPERLINK("http://anyluxury.ru/shop/odezhda/vetrovki/vetrovka-shore-zelenoe-yabloko-01169282/" , "01169282 Ветровка SHORE зеленое яблоко, размер L")</f>
      </c>
      <c r="C1737" s="4" t="n">
        <v>2327.00</v>
      </c>
      <c r="D1737" s="4"/>
    </row>
    <row collapsed="" customFormat="false" customHeight="1" hidden="" ht="14" outlineLevel="0" r="1738">
      <c r="A1738" s="3" t="inlineStr">
        <is>
          <t>1709</t>
        </is>
      </c>
      <c r="B1738" s="4" t="s">
        <f>=HYPERLINK("http://anyluxury.ru/shop/odezhda/vetrovki/vetrovka-shore-zelenoe-yabloko-01169282/" , "01169282 Ветровка SHORE зеленое яблоко, размер XL")</f>
      </c>
      <c r="C1738" s="4" t="n">
        <v>2327.00</v>
      </c>
      <c r="D1738" s="4"/>
    </row>
    <row collapsed="" customFormat="false" customHeight="1" hidden="" ht="14" outlineLevel="0" r="1739">
      <c r="A1739" s="3" t="inlineStr">
        <is>
          <t>1710</t>
        </is>
      </c>
      <c r="B1739" s="4" t="s">
        <f>=HYPERLINK("http://anyluxury.ru/shop/odezhda/vetrovki/vetrovka-shore-zelenoe-yabloko-01169282/" , "01169282 Ветровка SHORE зеленое яблоко, размер XXL")</f>
      </c>
      <c r="C1739" s="4" t="n">
        <v>2327.00</v>
      </c>
      <c r="D1739" s="4"/>
    </row>
    <row collapsed="" customFormat="false" customHeight="1" hidden="" ht="14" outlineLevel="0" r="1740">
      <c r="A1740" s="3" t="inlineStr">
        <is>
          <t>1711</t>
        </is>
      </c>
      <c r="B1740" s="4" t="s">
        <f>=HYPERLINK("http://anyluxury.ru/shop/odezhda/vetrovki/vetrovka-skate-kamuflyazh-s-sinim-01171894/" , "01171894 Ветровка SKATE камуфляж с синим, размер XS")</f>
      </c>
      <c r="C1740" s="4" t="n">
        <v>4845.00</v>
      </c>
      <c r="D1740" s="4"/>
    </row>
    <row collapsed="" customFormat="false" customHeight="1" hidden="" ht="14" outlineLevel="0" r="1741">
      <c r="A1741" s="3" t="inlineStr">
        <is>
          <t>1712</t>
        </is>
      </c>
      <c r="B1741" s="4" t="s">
        <f>=HYPERLINK("http://anyluxury.ru/shop/odezhda/vetrovki/vetrovka-skate-kamuflyazh-s-sinim-01171894/" , "01171894 Ветровка SKATE камуфляж с синим, размер M")</f>
      </c>
      <c r="C1741" s="4" t="n">
        <v>4845.00</v>
      </c>
      <c r="D1741" s="4"/>
    </row>
    <row collapsed="" customFormat="false" customHeight="1" hidden="" ht="14" outlineLevel="0" r="1742">
      <c r="A1742" s="3" t="inlineStr">
        <is>
          <t>1713</t>
        </is>
      </c>
      <c r="B1742" s="4" t="s">
        <f>=HYPERLINK("http://anyluxury.ru/shop/odezhda/vetrovki/vetrovka-skate-kamuflyazh-s-sinim-01171894/" , "01171894 Ветровка SKATE камуфляж с синим, размер L")</f>
      </c>
      <c r="C1742" s="4" t="n">
        <v>4845.00</v>
      </c>
      <c r="D1742" s="4"/>
    </row>
    <row collapsed="" customFormat="false" customHeight="1" hidden="" ht="14" outlineLevel="0" r="1743">
      <c r="A1743" s="3" t="inlineStr">
        <is>
          <t>1714</t>
        </is>
      </c>
      <c r="B1743" s="4" t="s">
        <f>=HYPERLINK("http://anyluxury.ru/shop/odezhda/vetrovki/vetrovka-skate-kamuflyazh-s-sinim-01171894/" , "01171894 Ветровка SKATE камуфляж с синим, размер XL")</f>
      </c>
      <c r="C1743" s="4" t="n">
        <v>4845.00</v>
      </c>
      <c r="D1743" s="4"/>
    </row>
    <row collapsed="" customFormat="false" customHeight="1" hidden="" ht="14" outlineLevel="0" r="1744">
      <c r="A1744" s="3" t="inlineStr">
        <is>
          <t>1715</t>
        </is>
      </c>
      <c r="B1744" s="4" t="s">
        <f>=HYPERLINK("http://anyluxury.ru/shop/odezhda/vetrovki/vetrovka-skate-kamuflyazh-s-sinim-01171894/" , "01171894 Ветровка SKATE камуфляж с синим, размер XXL")</f>
      </c>
      <c r="C1744" s="4" t="n">
        <v>4845.00</v>
      </c>
      <c r="D1744" s="4"/>
    </row>
    <row collapsed="" customFormat="false" customHeight="1" hidden="" ht="14" outlineLevel="0" r="1745">
      <c r="A1745" s="3" t="inlineStr">
        <is>
          <t>1716</t>
        </is>
      </c>
      <c r="B1745" s="4" t="s">
        <f>=HYPERLINK("http://anyluxury.ru/shop/odezhda/vetrovki/vetrovka-skate-temnosinyaya-s-yarkosinim-01171893/" , "01171893 Ветровка SKATE темно-синяя с ярко-синим, размер XS")</f>
      </c>
      <c r="C1745" s="4" t="n">
        <v>4536.00</v>
      </c>
      <c r="D1745" s="4"/>
    </row>
    <row collapsed="" customFormat="false" customHeight="1" hidden="" ht="14" outlineLevel="0" r="1746">
      <c r="A1746" s="3" t="inlineStr">
        <is>
          <t>1717</t>
        </is>
      </c>
      <c r="B1746" s="4" t="s">
        <f>=HYPERLINK("http://anyluxury.ru/shop/odezhda/vetrovki/vetrovka-skate-temnosinyaya-s-yarkosinim-01171893/" , "01171893 Ветровка SKATE темно-синяя с ярко-синим, размер S")</f>
      </c>
      <c r="C1746" s="4" t="n">
        <v>4536.00</v>
      </c>
      <c r="D1746" s="4"/>
    </row>
    <row collapsed="" customFormat="false" customHeight="1" hidden="" ht="14" outlineLevel="0" r="1747">
      <c r="A1747" s="3" t="inlineStr">
        <is>
          <t>1718</t>
        </is>
      </c>
      <c r="B1747" s="4" t="s">
        <f>=HYPERLINK("http://anyluxury.ru/shop/odezhda/vetrovki/vetrovka-skate-temnosinyaya-s-yarkosinim-01171893/" , "01171893 Ветровка SKATE темно-синяя с ярко-синим, размер M")</f>
      </c>
      <c r="C1747" s="4" t="n">
        <v>4536.00</v>
      </c>
      <c r="D1747" s="4"/>
    </row>
    <row collapsed="" customFormat="false" customHeight="1" hidden="" ht="14" outlineLevel="0" r="1748">
      <c r="A1748" s="3" t="inlineStr">
        <is>
          <t>1719</t>
        </is>
      </c>
      <c r="B1748" s="4" t="s">
        <f>=HYPERLINK("http://anyluxury.ru/shop/odezhda/vetrovki/vetrovka-skate-temnosinyaya-s-yarkosinim-01171893/" , "01171893 Ветровка SKATE темно-синяя с ярко-синим, размер L")</f>
      </c>
      <c r="C1748" s="4" t="n">
        <v>4536.00</v>
      </c>
      <c r="D1748" s="4"/>
    </row>
    <row collapsed="" customFormat="false" customHeight="1" hidden="" ht="14" outlineLevel="0" r="1749">
      <c r="A1749" s="3" t="inlineStr">
        <is>
          <t>1720</t>
        </is>
      </c>
      <c r="B1749" s="4" t="s">
        <f>=HYPERLINK("http://anyluxury.ru/shop/odezhda/vetrovki/vetrovka-skate-temnosinyaya-s-yarkosinim-01171893/" , "01171893 Ветровка SKATE темно-синяя с ярко-синим, размер XL")</f>
      </c>
      <c r="C1749" s="4" t="n">
        <v>4536.00</v>
      </c>
      <c r="D1749" s="4"/>
    </row>
    <row collapsed="" customFormat="false" customHeight="1" hidden="" ht="14" outlineLevel="0" r="1750">
      <c r="A1750" s="3" t="inlineStr">
        <is>
          <t>1721</t>
        </is>
      </c>
      <c r="B1750" s="4" t="s">
        <f>=HYPERLINK("http://anyluxury.ru/shop/odezhda/vetrovki/vetrovka-skate-temnosinyaya-s-yarkosinim-01171893/" , "01171893 Ветровка SKATE темно-синяя с ярко-синим, размер XXL")</f>
      </c>
      <c r="C1750" s="4" t="n">
        <v>4536.00</v>
      </c>
      <c r="D1750" s="4"/>
    </row>
    <row collapsed="" customFormat="false" customHeight="1" hidden="" ht="14" outlineLevel="0" r="1751">
      <c r="A1751" s="3" t="inlineStr">
        <is>
          <t>1722</t>
        </is>
      </c>
      <c r="B1751" s="4" t="s">
        <f>=HYPERLINK("http://anyluxury.ru/shop/odezhda/vetrovki/vetrovka-skate-temnosinyaya-s-yarkosinim-01171893/" , "01171893 Ветровка Skate темно-синяя с ярко-синим, размер 3XL")</f>
      </c>
      <c r="C1751" s="4" t="n">
        <v>6397.00</v>
      </c>
      <c r="D1751" s="4"/>
    </row>
    <row collapsed="" customFormat="false" customHeight="1" hidden="" ht="14" outlineLevel="0" r="1752">
      <c r="A1752" s="3" t="inlineStr">
        <is>
          <t>1723</t>
        </is>
      </c>
      <c r="B1752" s="4" t="s">
        <f>=HYPERLINK("http://anyluxury.ru/shop/odezhda/vetrovki/vetrovka-skate-yarkosinyaya-s-neonovozheltim-01171889/" , "01171889 Ветровка SKATE ярко-синяя с неоново-желтым, размер XS")</f>
      </c>
      <c r="C1752" s="4" t="n">
        <v>4536.00</v>
      </c>
      <c r="D1752" s="4"/>
    </row>
    <row collapsed="" customFormat="false" customHeight="1" hidden="" ht="14" outlineLevel="0" r="1753">
      <c r="A1753" s="3" t="inlineStr">
        <is>
          <t>1724</t>
        </is>
      </c>
      <c r="B1753" s="4" t="s">
        <f>=HYPERLINK("http://anyluxury.ru/shop/odezhda/vetrovki/vetrovka-skate-yarkosinyaya-s-neonovozheltim-01171889/" , "01171889 Ветровка SKATE ярко-синяя с неоново-желтым, размер S")</f>
      </c>
      <c r="C1753" s="4" t="n">
        <v>4536.00</v>
      </c>
      <c r="D1753" s="4"/>
    </row>
    <row collapsed="" customFormat="false" customHeight="1" hidden="" ht="14" outlineLevel="0" r="1754">
      <c r="A1754" s="3" t="inlineStr">
        <is>
          <t>1725</t>
        </is>
      </c>
      <c r="B1754" s="4" t="s">
        <f>=HYPERLINK("http://anyluxury.ru/shop/odezhda/vetrovki/vetrovka-skate-yarkosinyaya-s-neonovozheltim-01171889/" , "01171889 Ветровка SKATE ярко-синяя с неоново-желтым, размер M")</f>
      </c>
      <c r="C1754" s="4" t="n">
        <v>4536.00</v>
      </c>
      <c r="D1754" s="4"/>
    </row>
    <row collapsed="" customFormat="false" customHeight="1" hidden="" ht="14" outlineLevel="0" r="1755">
      <c r="A1755" s="3" t="inlineStr">
        <is>
          <t>1726</t>
        </is>
      </c>
      <c r="B1755" s="4" t="s">
        <f>=HYPERLINK("http://anyluxury.ru/shop/odezhda/vetrovki/vetrovka-skate-yarkosinyaya-s-neonovozheltim-01171889/" , "01171889 Ветровка SKATE ярко-синяя с неоново-желтым, размер L")</f>
      </c>
      <c r="C1755" s="4" t="n">
        <v>4536.00</v>
      </c>
      <c r="D1755" s="4"/>
    </row>
    <row collapsed="" customFormat="false" customHeight="1" hidden="" ht="14" outlineLevel="0" r="1756">
      <c r="A1756" s="3" t="inlineStr">
        <is>
          <t>1727</t>
        </is>
      </c>
      <c r="B1756" s="4" t="s">
        <f>=HYPERLINK("http://anyluxury.ru/shop/odezhda/vetrovki/vetrovka-skate-yarkosinyaya-s-neonovozheltim-01171889/" , "01171889 Ветровка SKATE ярко-синяя с неоново-желтым, размер XL")</f>
      </c>
      <c r="C1756" s="4" t="n">
        <v>4536.00</v>
      </c>
      <c r="D1756" s="4"/>
    </row>
    <row collapsed="" customFormat="false" customHeight="1" hidden="" ht="14" outlineLevel="0" r="1757">
      <c r="A1757" s="3" t="inlineStr">
        <is>
          <t>1728</t>
        </is>
      </c>
      <c r="B1757" s="4" t="s">
        <f>=HYPERLINK("http://anyluxury.ru/shop/odezhda/vetrovki/vetrovka-skate-yarkosinyaya-s-neonovozheltim-01171889/" , "01171889 Ветровка SKATE ярко-синяя с неоново-желтым, размер XXL")</f>
      </c>
      <c r="C1757" s="4" t="n">
        <v>4536.00</v>
      </c>
      <c r="D1757" s="4"/>
    </row>
    <row collapsed="" customFormat="false" customHeight="1" hidden="" ht="14" outlineLevel="0" r="1758">
      <c r="A1758" s="3" t="inlineStr">
        <is>
          <t>1729</t>
        </is>
      </c>
      <c r="B1758" s="4" t="s">
        <f>=HYPERLINK("http://anyluxury.ru/shop/odezhda/vetrovki/vetrovka-score-ugolnoseraya-00592370/" , "00592370 Ветровка SCORE угольно-серая, размер S")</f>
      </c>
      <c r="C1758" s="4" t="n">
        <v>2177.00</v>
      </c>
      <c r="D1758" s="4"/>
    </row>
    <row collapsed="" customFormat="false" customHeight="1" hidden="" ht="14" outlineLevel="0" r="1759">
      <c r="A1759" s="3" t="inlineStr">
        <is>
          <t>1730</t>
        </is>
      </c>
      <c r="B1759" s="4" t="s">
        <f>=HYPERLINK("http://anyluxury.ru/shop/odezhda/vetrovki/vetrovka-score-ugolnoseraya-00592370/" , "00592370 Ветровка SCORE угольно-серая, размер M")</f>
      </c>
      <c r="C1759" s="4" t="n">
        <v>2177.00</v>
      </c>
      <c r="D1759" s="4"/>
    </row>
    <row collapsed="" customFormat="false" customHeight="1" hidden="" ht="14" outlineLevel="0" r="1760">
      <c r="A1760" s="3" t="inlineStr">
        <is>
          <t>1731</t>
        </is>
      </c>
      <c r="B1760" s="4" t="s">
        <f>=HYPERLINK("http://anyluxury.ru/shop/odezhda/vetrovki/vetrovka-score-ugolnoseraya-00592370/" , "00592370 Ветровка SCORE угольно-серая, размер L")</f>
      </c>
      <c r="C1760" s="4" t="n">
        <v>2177.00</v>
      </c>
      <c r="D1760" s="4"/>
    </row>
    <row collapsed="" customFormat="false" customHeight="1" hidden="" ht="14" outlineLevel="0" r="1761">
      <c r="A1761" s="3" t="inlineStr">
        <is>
          <t>1732</t>
        </is>
      </c>
      <c r="B1761" s="4" t="s">
        <f>=HYPERLINK("http://anyluxury.ru/shop/odezhda/vetrovki/vetrovka-score-ugolnoseraya-00592370/" , "00592370 Ветровка SCORE угольно-серая, размер XL")</f>
      </c>
      <c r="C1761" s="4" t="n">
        <v>2177.00</v>
      </c>
      <c r="D1761" s="4"/>
    </row>
    <row collapsed="" customFormat="false" customHeight="1" hidden="" ht="14" outlineLevel="0" r="1762">
      <c r="A1762" s="3" t="inlineStr">
        <is>
          <t>1733</t>
        </is>
      </c>
      <c r="B1762" s="4" t="s">
        <f>=HYPERLINK("http://anyluxury.ru/shop/odezhda/vetrovki/vetrovka-score-ugolnoseraya-00592370/" , "00592370 Ветровка SCORE угольно-серая, размер XXL")</f>
      </c>
      <c r="C1762" s="4" t="n">
        <v>2177.00</v>
      </c>
      <c r="D1762" s="4"/>
    </row>
    <row collapsed="" customFormat="false" customHeight="1" hidden="" ht="14" outlineLevel="0" r="1763">
      <c r="A1763" s="3" t="inlineStr">
        <is>
          <t>1734</t>
        </is>
      </c>
      <c r="B1763" s="4" t="s">
        <f>=HYPERLINK("http://anyluxury.ru/shop/odezhda/vetrovki/vetrovka-score-ugolnoseraya-00592370/" , "00592370 Ветровка SCORE угольно-серая, размер 3XL")</f>
      </c>
      <c r="C1763" s="4" t="n">
        <v>2588.00</v>
      </c>
      <c r="D1763" s="4"/>
    </row>
    <row collapsed="" customFormat="false" customHeight="1" hidden="" ht="14" outlineLevel="0" r="1764">
      <c r="A1764" s="3" t="inlineStr">
        <is>
          <t>1735</t>
        </is>
      </c>
      <c r="B1764" s="4" t="s">
        <f>=HYPERLINK("http://anyluxury.ru/shop/odezhda/vetrovki/vetrovka-score-temnosinyaya-00592318/" , "00592318 Ветровка SCORE темно-синяя, размер S")</f>
      </c>
      <c r="C1764" s="4" t="n">
        <v>2612.00</v>
      </c>
      <c r="D1764" s="4"/>
    </row>
    <row collapsed="" customFormat="false" customHeight="1" hidden="" ht="14" outlineLevel="0" r="1765">
      <c r="A1765" s="3" t="inlineStr">
        <is>
          <t>1736</t>
        </is>
      </c>
      <c r="B1765" s="4" t="s">
        <f>=HYPERLINK("http://anyluxury.ru/shop/odezhda/vetrovki/vetrovka-score-temnosinyaya-00592318/" , "00592318 Ветровка SCORE темно-синяя, размер M")</f>
      </c>
      <c r="C1765" s="4" t="n">
        <v>2612.00</v>
      </c>
      <c r="D1765" s="4"/>
    </row>
    <row collapsed="" customFormat="false" customHeight="1" hidden="" ht="14" outlineLevel="0" r="1766">
      <c r="A1766" s="3" t="inlineStr">
        <is>
          <t>1737</t>
        </is>
      </c>
      <c r="B1766" s="4" t="s">
        <f>=HYPERLINK("http://anyluxury.ru/shop/odezhda/vetrovki/vetrovka-score-temnosinyaya-00592318/" , "00592318 Ветровка SCORE темно-синяя, размер L")</f>
      </c>
      <c r="C1766" s="4" t="n">
        <v>2612.00</v>
      </c>
      <c r="D1766" s="4"/>
    </row>
    <row collapsed="" customFormat="false" customHeight="1" hidden="" ht="14" outlineLevel="0" r="1767">
      <c r="A1767" s="3" t="inlineStr">
        <is>
          <t>1738</t>
        </is>
      </c>
      <c r="B1767" s="4" t="s">
        <f>=HYPERLINK("http://anyluxury.ru/shop/odezhda/vetrovki/vetrovka-score-temnosinyaya-00592318/" , "00592318 Ветровка SCORE темно-синяя, размер XL")</f>
      </c>
      <c r="C1767" s="4" t="n">
        <v>2612.00</v>
      </c>
      <c r="D1767" s="4"/>
    </row>
    <row collapsed="" customFormat="false" customHeight="1" hidden="" ht="14" outlineLevel="0" r="1768">
      <c r="A1768" s="3" t="inlineStr">
        <is>
          <t>1739</t>
        </is>
      </c>
      <c r="B1768" s="4" t="s">
        <f>=HYPERLINK("http://anyluxury.ru/shop/odezhda/vetrovki/vetrovka-score-temnosinyaya-00592318/" , "00592318 Ветровка SCORE темно-синяя, размер XXL")</f>
      </c>
      <c r="C1768" s="4" t="n">
        <v>2612.00</v>
      </c>
      <c r="D1768" s="4"/>
    </row>
    <row collapsed="" customFormat="false" customHeight="1" hidden="" ht="14" outlineLevel="0" r="1769">
      <c r="A1769" s="3" t="inlineStr">
        <is>
          <t>1740</t>
        </is>
      </c>
      <c r="B1769" s="4" t="s">
        <f>=HYPERLINK("http://anyluxury.ru/shop/odezhda/vetrovki/vetrovka-score-temnosinyaya-00592318/" , "00592318 Ветровка SCORE темно-синяя, размер 3XL")</f>
      </c>
      <c r="C1769" s="4" t="n">
        <v>3106.00</v>
      </c>
      <c r="D1769" s="4"/>
    </row>
    <row collapsed="" customFormat="false" customHeight="1" hidden="" ht="14" outlineLevel="0" r="1770">
      <c r="A1770" s="3" t="inlineStr">
        <is>
          <t>1741</t>
        </is>
      </c>
      <c r="B1770" s="4" t="s">
        <f>=HYPERLINK("http://anyluxury.ru/shop/odezhda/vetrovki/vetrovka-dvustoronnyaya-switch-chernaya-00593312/" , "00593312 Ветровка двусторонняя SWITCH черная, размер S")</f>
      </c>
      <c r="C1770" s="4" t="n">
        <v>2354.00</v>
      </c>
      <c r="D1770" s="4"/>
    </row>
    <row collapsed="" customFormat="false" customHeight="1" hidden="" ht="14" outlineLevel="0" r="1771">
      <c r="A1771" s="3" t="inlineStr">
        <is>
          <t>1742</t>
        </is>
      </c>
      <c r="B1771" s="4" t="s">
        <f>=HYPERLINK("http://anyluxury.ru/shop/odezhda/vetrovki/vetrovka-dvustoronnyaya-switch-chernaya-00593312/" , "00593312 Ветровка двусторонняя SWITCH черная, размер M")</f>
      </c>
      <c r="C1771" s="4" t="n">
        <v>2354.00</v>
      </c>
      <c r="D1771" s="4"/>
    </row>
    <row collapsed="" customFormat="false" customHeight="1" hidden="" ht="14" outlineLevel="0" r="1772">
      <c r="A1772" s="3" t="inlineStr">
        <is>
          <t>1743</t>
        </is>
      </c>
      <c r="B1772" s="4" t="s">
        <f>=HYPERLINK("http://anyluxury.ru/shop/odezhda/vetrovki/vetrovka-dvustoronnyaya-switch-chernaya-00593312/" , "00593312 Ветровка двусторонняя SWITCH черная, размер L")</f>
      </c>
      <c r="C1772" s="4" t="n">
        <v>2354.00</v>
      </c>
      <c r="D1772" s="4"/>
    </row>
    <row collapsed="" customFormat="false" customHeight="1" hidden="" ht="14" outlineLevel="0" r="1773">
      <c r="A1773" s="3" t="inlineStr">
        <is>
          <t>1744</t>
        </is>
      </c>
      <c r="B1773" s="4" t="s">
        <f>=HYPERLINK("http://anyluxury.ru/shop/odezhda/vetrovki/vetrovka-dvustoronnyaya-switch-chernaya-00593312/" , "00593312 Ветровка двусторонняя SWITCH черная, размер XL")</f>
      </c>
      <c r="C1773" s="4" t="n">
        <v>2354.00</v>
      </c>
      <c r="D1773" s="4"/>
    </row>
    <row collapsed="" customFormat="false" customHeight="1" hidden="" ht="14" outlineLevel="0" r="1774">
      <c r="A1774" s="3" t="inlineStr">
        <is>
          <t>1745</t>
        </is>
      </c>
      <c r="B1774" s="4" t="s">
        <f>=HYPERLINK("http://anyluxury.ru/shop/odezhda/vetrovki/vetrovka-dvustoronnyaya-switch-chernaya-00593312/" , "00593312 Ветровка двусторонняя SWITCH черная, размер XXL")</f>
      </c>
      <c r="C1774" s="4" t="n">
        <v>2354.00</v>
      </c>
      <c r="D1774" s="4"/>
    </row>
    <row collapsed="" customFormat="false" customHeight="1" hidden="" ht="14" outlineLevel="0" r="1775">
      <c r="A1775" s="3" t="inlineStr">
        <is>
          <t>1746</t>
        </is>
      </c>
      <c r="B1775" s="4" t="s">
        <f>=HYPERLINK("http://anyluxury.ru/shop/odezhda/vetrovki/vetrovka-dvustoronnyaya-switch-chernaya-00593312/" , "00593312 Ветровка двусторонняя SWITCH черная, размер 3XL")</f>
      </c>
      <c r="C1775" s="4" t="n">
        <v>2679.00</v>
      </c>
      <c r="D1775" s="4"/>
    </row>
    <row collapsed="" customFormat="false" customHeight="1" hidden="" ht="14" outlineLevel="0" r="1776">
      <c r="A1776" s="3" t="inlineStr">
        <is>
          <t>1747</t>
        </is>
      </c>
      <c r="B1776" s="4" t="s">
        <f>=HYPERLINK("http://anyluxury.ru/shop/odezhda/vetrovki/vetrovka-iz-neylona-surf-210-neonovokorallovaya-32000153/" , "32000153 Ветровка из нейлона SURF 210 неоново-коралловая, размер S")</f>
      </c>
      <c r="C1776" s="4" t="n">
        <v>1380.00</v>
      </c>
      <c r="D1776" s="4"/>
    </row>
    <row collapsed="" customFormat="false" customHeight="1" hidden="" ht="14" outlineLevel="0" r="1777">
      <c r="A1777" s="3" t="inlineStr">
        <is>
          <t>1748</t>
        </is>
      </c>
      <c r="B1777" s="4" t="s">
        <f>=HYPERLINK("http://anyluxury.ru/shop/odezhda/vetrovki/vetrovka-iz-neylona-surf-210-neonovokorallovaya-32000153/" , "32000153 Ветровка из нейлона SURF 210 неоново-коралловая, размер XXL")</f>
      </c>
      <c r="C1777" s="4" t="n">
        <v>1378.00</v>
      </c>
      <c r="D1777" s="4"/>
    </row>
    <row collapsed="" customFormat="false" customHeight="1" hidden="" ht="14" outlineLevel="0" r="1778">
      <c r="A1778" s="3" t="inlineStr">
        <is>
          <t>1749</t>
        </is>
      </c>
      <c r="B1778" s="4" t="s">
        <f>=HYPERLINK("http://anyluxury.ru/shop/odezhda/vetrovki/vetrovka-uniseks-shift-yarkosinyaya-01618241/" , "01618241 Ветровка унисекс SHIFT ярко-синяя, размер XS")</f>
      </c>
      <c r="C1778" s="4" t="n">
        <v>1585.00</v>
      </c>
      <c r="D1778" s="4"/>
    </row>
    <row collapsed="" customFormat="false" customHeight="1" hidden="" ht="14" outlineLevel="0" r="1779">
      <c r="A1779" s="3" t="inlineStr">
        <is>
          <t>1750</t>
        </is>
      </c>
      <c r="B1779" s="4" t="s">
        <f>=HYPERLINK("http://anyluxury.ru/shop/odezhda/vetrovki/vetrovka-uniseks-shift-yarkosinyaya-01618241/" , "01618241 Ветровка унисекс SHIFT ярко-синяя, размер S")</f>
      </c>
      <c r="C1779" s="4" t="n">
        <v>1585.00</v>
      </c>
      <c r="D1779" s="4"/>
    </row>
    <row collapsed="" customFormat="false" customHeight="1" hidden="" ht="14" outlineLevel="0" r="1780">
      <c r="A1780" s="3" t="inlineStr">
        <is>
          <t>1751</t>
        </is>
      </c>
      <c r="B1780" s="4" t="s">
        <f>=HYPERLINK("http://anyluxury.ru/shop/odezhda/vetrovki/vetrovka-uniseks-shift-yarkosinyaya-01618241/" , "01618241 Ветровка унисекс SHIFT ярко-синяя, размер M")</f>
      </c>
      <c r="C1780" s="4" t="n">
        <v>1585.00</v>
      </c>
      <c r="D1780" s="4"/>
    </row>
    <row collapsed="" customFormat="false" customHeight="1" hidden="" ht="14" outlineLevel="0" r="1781">
      <c r="A1781" s="3" t="inlineStr">
        <is>
          <t>1752</t>
        </is>
      </c>
      <c r="B1781" s="4" t="s">
        <f>=HYPERLINK("http://anyluxury.ru/shop/odezhda/vetrovki/vetrovka-uniseks-shift-yarkosinyaya-01618241/" , "01618241 Ветровка унисекс SHIFT ярко-синяя, размер L")</f>
      </c>
      <c r="C1781" s="4" t="n">
        <v>1585.00</v>
      </c>
      <c r="D1781" s="4"/>
    </row>
    <row collapsed="" customFormat="false" customHeight="1" hidden="" ht="14" outlineLevel="0" r="1782">
      <c r="A1782" s="3" t="inlineStr">
        <is>
          <t>1753</t>
        </is>
      </c>
      <c r="B1782" s="4" t="s">
        <f>=HYPERLINK("http://anyluxury.ru/shop/odezhda/vetrovki/vetrovka-uniseks-shift-yarkosinyaya-01618241/" , "01618241 Ветровка унисекс SHIFT ярко-синяя, размер XL")</f>
      </c>
      <c r="C1782" s="4" t="n">
        <v>1585.00</v>
      </c>
      <c r="D1782" s="4"/>
    </row>
    <row collapsed="" customFormat="false" customHeight="1" hidden="" ht="14" outlineLevel="0" r="1783">
      <c r="A1783" s="3" t="inlineStr">
        <is>
          <t>1754</t>
        </is>
      </c>
      <c r="B1783" s="4" t="s">
        <f>=HYPERLINK("http://anyluxury.ru/shop/odezhda/vetrovki/vetrovka-uniseks-shift-yarkosinyaya-01618241/" , "01618241 Ветровка унисекс SHIFT ярко-синяя, размер XXL")</f>
      </c>
      <c r="C1783" s="4" t="n">
        <v>1585.00</v>
      </c>
      <c r="D1783" s="4"/>
    </row>
    <row collapsed="" customFormat="false" customHeight="1" hidden="" ht="14" outlineLevel="0" r="1784">
      <c r="A1784" s="3" t="inlineStr">
        <is>
          <t>1755</t>
        </is>
      </c>
      <c r="B1784" s="4" t="s">
        <f>=HYPERLINK("http://anyluxury.ru/shop/odezhda/vetrovki/vetrovka-uniseks-shift-yarkosinyaya-01618241/" , "01618241 Ветровка унисекс SHIFT ярко-синяя, размер 3XL")</f>
      </c>
      <c r="C1784" s="4" t="n">
        <v>1817.00</v>
      </c>
      <c r="D1784" s="4"/>
    </row>
    <row collapsed="" customFormat="false" customHeight="1" hidden="" ht="14" outlineLevel="0" r="1785">
      <c r="A1785" s="3" t="inlineStr">
        <is>
          <t>1756</t>
        </is>
      </c>
      <c r="B1785" s="4" t="s">
        <f>=HYPERLINK("http://anyluxury.ru/shop/odezhda/vetrovki/vetrovka-uniseks-shift-belaya-01618102/" , "01618102 Ветровка унисекс SHIFT белая, размер XS")</f>
      </c>
      <c r="C1785" s="4" t="n">
        <v>1585.00</v>
      </c>
      <c r="D1785" s="4"/>
    </row>
    <row collapsed="" customFormat="false" customHeight="1" hidden="" ht="14" outlineLevel="0" r="1786">
      <c r="A1786" s="3" t="inlineStr">
        <is>
          <t>1757</t>
        </is>
      </c>
      <c r="B1786" s="4" t="s">
        <f>=HYPERLINK("http://anyluxury.ru/shop/odezhda/vetrovki/vetrovka-uniseks-shift-belaya-01618102/" , "01618102 Ветровка унисекс SHIFT белая, размер S")</f>
      </c>
      <c r="C1786" s="4" t="n">
        <v>1585.00</v>
      </c>
      <c r="D1786" s="4"/>
    </row>
    <row collapsed="" customFormat="false" customHeight="1" hidden="" ht="14" outlineLevel="0" r="1787">
      <c r="A1787" s="3" t="inlineStr">
        <is>
          <t>1758</t>
        </is>
      </c>
      <c r="B1787" s="4" t="s">
        <f>=HYPERLINK("http://anyluxury.ru/shop/odezhda/vetrovki/vetrovka-uniseks-shift-belaya-01618102/" , "01618102 Ветровка унисекс SHIFT белая, размер M")</f>
      </c>
      <c r="C1787" s="4" t="n">
        <v>1585.00</v>
      </c>
      <c r="D1787" s="4"/>
    </row>
    <row collapsed="" customFormat="false" customHeight="1" hidden="" ht="14" outlineLevel="0" r="1788">
      <c r="A1788" s="3" t="inlineStr">
        <is>
          <t>1759</t>
        </is>
      </c>
      <c r="B1788" s="4" t="s">
        <f>=HYPERLINK("http://anyluxury.ru/shop/odezhda/vetrovki/vetrovka-uniseks-shift-belaya-01618102/" , "01618102 Ветровка унисекс SHIFT белая, размер L")</f>
      </c>
      <c r="C1788" s="4" t="n">
        <v>1585.00</v>
      </c>
      <c r="D1788" s="4"/>
    </row>
    <row collapsed="" customFormat="false" customHeight="1" hidden="" ht="14" outlineLevel="0" r="1789">
      <c r="A1789" s="3" t="inlineStr">
        <is>
          <t>1760</t>
        </is>
      </c>
      <c r="B1789" s="4" t="s">
        <f>=HYPERLINK("http://anyluxury.ru/shop/odezhda/vetrovki/vetrovka-uniseks-shift-belaya-01618102/" , "01618102 Ветровка унисекс SHIFT белая, размер XL")</f>
      </c>
      <c r="C1789" s="4" t="n">
        <v>1585.00</v>
      </c>
      <c r="D1789" s="4"/>
    </row>
    <row collapsed="" customFormat="false" customHeight="1" hidden="" ht="14" outlineLevel="0" r="1790">
      <c r="A1790" s="3" t="inlineStr">
        <is>
          <t>1761</t>
        </is>
      </c>
      <c r="B1790" s="4" t="s">
        <f>=HYPERLINK("http://anyluxury.ru/shop/odezhda/vetrovki/vetrovka-uniseks-shift-belaya-01618102/" , "01618102 Ветровка унисекс SHIFT белая, размер XXL")</f>
      </c>
      <c r="C1790" s="4" t="n">
        <v>1585.00</v>
      </c>
      <c r="D1790" s="4"/>
    </row>
    <row collapsed="" customFormat="false" customHeight="1" hidden="" ht="14" outlineLevel="0" r="1791">
      <c r="A1791" s="3" t="inlineStr">
        <is>
          <t>1762</t>
        </is>
      </c>
      <c r="B1791" s="4" t="s">
        <f>=HYPERLINK("http://anyluxury.ru/shop/odezhda/vetrovki/vetrovka-uniseks-shift-belaya-01618102/" , "01618102 Ветровка унисекс SHIFT белая, размер 3XL")</f>
      </c>
      <c r="C1791" s="4" t="n">
        <v>1817.00</v>
      </c>
      <c r="D1791" s="4"/>
    </row>
    <row collapsed="" customFormat="false" customHeight="1" hidden="" ht="14" outlineLevel="0" r="1792">
      <c r="A1792" s="3" t="inlineStr">
        <is>
          <t>1763</t>
        </is>
      </c>
      <c r="B1792" s="4" t="s">
        <f>=HYPERLINK("http://anyluxury.ru/shop/odezhda/vetrovki/vetrovka-uniseks-shift-chernaya-01618312/" , "01618312 Ветровка унисекс SHIFT черная, размер XS")</f>
      </c>
      <c r="C1792" s="4" t="n">
        <v>1585.00</v>
      </c>
      <c r="D1792" s="4"/>
    </row>
    <row collapsed="" customFormat="false" customHeight="1" hidden="" ht="14" outlineLevel="0" r="1793">
      <c r="A1793" s="3" t="inlineStr">
        <is>
          <t>1764</t>
        </is>
      </c>
      <c r="B1793" s="4" t="s">
        <f>=HYPERLINK("http://anyluxury.ru/shop/odezhda/vetrovki/vetrovka-uniseks-shift-chernaya-01618312/" , "01618312 Ветровка унисекс SHIFT черная, размер S")</f>
      </c>
      <c r="C1793" s="4" t="n">
        <v>1585.00</v>
      </c>
      <c r="D1793" s="4"/>
    </row>
    <row collapsed="" customFormat="false" customHeight="1" hidden="" ht="14" outlineLevel="0" r="1794">
      <c r="A1794" s="3" t="inlineStr">
        <is>
          <t>1765</t>
        </is>
      </c>
      <c r="B1794" s="4" t="s">
        <f>=HYPERLINK("http://anyluxury.ru/shop/odezhda/vetrovki/vetrovka-uniseks-shift-chernaya-01618312/" , "01618312 Ветровка унисекс SHIFT черная, размер XL")</f>
      </c>
      <c r="C1794" s="4" t="n">
        <v>1585.00</v>
      </c>
      <c r="D1794" s="4"/>
    </row>
    <row collapsed="" customFormat="false" customHeight="1" hidden="" ht="14" outlineLevel="0" r="1795">
      <c r="A1795" s="3" t="inlineStr">
        <is>
          <t>1766</t>
        </is>
      </c>
      <c r="B1795" s="4" t="s">
        <f>=HYPERLINK("http://anyluxury.ru/shop/odezhda/vetrovki/vetrovka-uniseks-shift-chernaya-01618312/" , "01618312 Ветровка унисекс SHIFT черная, размер XXL")</f>
      </c>
      <c r="C1795" s="4" t="n">
        <v>1585.00</v>
      </c>
      <c r="D1795" s="4"/>
    </row>
    <row collapsed="" customFormat="false" customHeight="1" hidden="" ht="14" outlineLevel="0" r="1796">
      <c r="A1796" s="3" t="inlineStr">
        <is>
          <t>1767</t>
        </is>
      </c>
      <c r="B1796" s="4" t="s">
        <f>=HYPERLINK("http://anyluxury.ru/shop/odezhda/vetrovki/vetrovka-uniseks-shift-chernaya-01618312/" , "01618312 Ветровка унисекс SHIFT черная, размер 3XL")</f>
      </c>
      <c r="C1796" s="4" t="n">
        <v>1817.00</v>
      </c>
      <c r="D1796" s="4"/>
    </row>
    <row collapsed="" customFormat="false" customHeight="1" hidden="" ht="14" outlineLevel="0" r="1797">
      <c r="A1797" s="3" t="inlineStr">
        <is>
          <t>1768</t>
        </is>
      </c>
      <c r="B1797" s="4" t="s">
        <f>=HYPERLINK("http://anyluxury.ru/shop/odezhda/vetrovki/vetrovka-uniseks-shift-zelenaya-01618266/" , "01618266 Ветровка унисекс SHIFT зеленая, размер XS")</f>
      </c>
      <c r="C1797" s="4" t="n">
        <v>1585.00</v>
      </c>
      <c r="D1797" s="4"/>
    </row>
    <row collapsed="" customFormat="false" customHeight="1" hidden="" ht="14" outlineLevel="0" r="1798">
      <c r="A1798" s="3" t="inlineStr">
        <is>
          <t>1769</t>
        </is>
      </c>
      <c r="B1798" s="4" t="s">
        <f>=HYPERLINK("http://anyluxury.ru/shop/odezhda/vetrovki/vetrovka-uniseks-shift-zelenaya-01618266/" , "01618266 Ветровка унисекс SHIFT зеленая, размер S")</f>
      </c>
      <c r="C1798" s="4" t="n">
        <v>1585.00</v>
      </c>
      <c r="D1798" s="4"/>
    </row>
    <row collapsed="" customFormat="false" customHeight="1" hidden="" ht="14" outlineLevel="0" r="1799">
      <c r="A1799" s="3" t="inlineStr">
        <is>
          <t>1770</t>
        </is>
      </c>
      <c r="B1799" s="4" t="s">
        <f>=HYPERLINK("http://anyluxury.ru/shop/odezhda/vetrovki/vetrovka-uniseks-shift-zelenaya-01618266/" , "01618266 Ветровка унисекс SHIFT зеленая, размер M")</f>
      </c>
      <c r="C1799" s="4" t="n">
        <v>1585.00</v>
      </c>
      <c r="D1799" s="4"/>
    </row>
    <row collapsed="" customFormat="false" customHeight="1" hidden="" ht="14" outlineLevel="0" r="1800">
      <c r="A1800" s="3" t="inlineStr">
        <is>
          <t>1771</t>
        </is>
      </c>
      <c r="B1800" s="4" t="s">
        <f>=HYPERLINK("http://anyluxury.ru/shop/odezhda/vetrovki/vetrovka-uniseks-shift-zelenaya-01618266/" , "01618266 Ветровка унисекс SHIFT зеленая, размер L")</f>
      </c>
      <c r="C1800" s="4" t="n">
        <v>1585.00</v>
      </c>
      <c r="D1800" s="4"/>
    </row>
    <row collapsed="" customFormat="false" customHeight="1" hidden="" ht="14" outlineLevel="0" r="1801">
      <c r="A1801" s="3" t="inlineStr">
        <is>
          <t>1772</t>
        </is>
      </c>
      <c r="B1801" s="4" t="s">
        <f>=HYPERLINK("http://anyluxury.ru/shop/odezhda/vetrovki/vetrovka-uniseks-shift-zelenaya-01618266/" , "01618266 Ветровка унисекс SHIFT зеленая, размер XL")</f>
      </c>
      <c r="C1801" s="4" t="n">
        <v>1585.00</v>
      </c>
      <c r="D1801" s="4"/>
    </row>
    <row collapsed="" customFormat="false" customHeight="1" hidden="" ht="14" outlineLevel="0" r="1802">
      <c r="A1802" s="3" t="inlineStr">
        <is>
          <t>1773</t>
        </is>
      </c>
      <c r="B1802" s="4" t="s">
        <f>=HYPERLINK("http://anyluxury.ru/shop/odezhda/vetrovki/vetrovka-uniseks-shift-zelenaya-01618266/" , "01618266 Ветровка унисекс SHIFT зеленая, размер XXL")</f>
      </c>
      <c r="C1802" s="4" t="n">
        <v>1585.00</v>
      </c>
      <c r="D1802" s="4"/>
    </row>
    <row collapsed="" customFormat="false" customHeight="1" hidden="" ht="14" outlineLevel="0" r="1803">
      <c r="A1803" s="3" t="inlineStr">
        <is>
          <t>1774</t>
        </is>
      </c>
      <c r="B1803" s="4" t="s">
        <f>=HYPERLINK("http://anyluxury.ru/shop/odezhda/vetrovki/vetrovka-uniseks-shift-zelenaya-01618266/" , "01618266 Ветровка унисекс SHIFT зеленая, размер 3XL")</f>
      </c>
      <c r="C1803" s="4" t="n">
        <v>1817.00</v>
      </c>
      <c r="D1803" s="4"/>
    </row>
    <row collapsed="" customFormat="false" customHeight="1" hidden="" ht="14" outlineLevel="0" r="1804">
      <c r="A1804" s="3" t="inlineStr">
        <is>
          <t>1775</t>
        </is>
      </c>
      <c r="B1804" s="4" t="s">
        <f>=HYPERLINK("http://anyluxury.ru/shop/odezhda/vetrovki/vetrovka-uniseks-shift-temnosinyaya-01618319/" , "01618319 Ветровка унисекс SHIFT темно-синяя, размер XS")</f>
      </c>
      <c r="C1804" s="4" t="n">
        <v>1585.00</v>
      </c>
      <c r="D1804" s="4"/>
    </row>
    <row collapsed="" customFormat="false" customHeight="1" hidden="" ht="14" outlineLevel="0" r="1805">
      <c r="A1805" s="3" t="inlineStr">
        <is>
          <t>1776</t>
        </is>
      </c>
      <c r="B1805" s="4" t="s">
        <f>=HYPERLINK("http://anyluxury.ru/shop/odezhda/vetrovki/vetrovka-uniseks-shift-temnosinyaya-01618319/" , "01618319 Ветровка унисекс SHIFT темно-синяя, размер S")</f>
      </c>
      <c r="C1805" s="4" t="n">
        <v>1585.00</v>
      </c>
      <c r="D1805" s="4"/>
    </row>
    <row collapsed="" customFormat="false" customHeight="1" hidden="" ht="14" outlineLevel="0" r="1806">
      <c r="A1806" s="3" t="inlineStr">
        <is>
          <t>1777</t>
        </is>
      </c>
      <c r="B1806" s="4" t="s">
        <f>=HYPERLINK("http://anyluxury.ru/shop/odezhda/vetrovki/vetrovka-uniseks-shift-temnosinyaya-01618319/" , "01618319 Ветровка унисекс SHIFT темно-синяя, размер M")</f>
      </c>
      <c r="C1806" s="4" t="n">
        <v>1585.00</v>
      </c>
      <c r="D1806" s="4"/>
    </row>
    <row collapsed="" customFormat="false" customHeight="1" hidden="" ht="14" outlineLevel="0" r="1807">
      <c r="A1807" s="3" t="inlineStr">
        <is>
          <t>1778</t>
        </is>
      </c>
      <c r="B1807" s="4" t="s">
        <f>=HYPERLINK("http://anyluxury.ru/shop/odezhda/vetrovki/vetrovka-uniseks-shift-temnosinyaya-01618319/" , "01618319 Ветровка унисекс SHIFT темно-синяя, размер L")</f>
      </c>
      <c r="C1807" s="4" t="n">
        <v>1585.00</v>
      </c>
      <c r="D1807" s="4"/>
    </row>
    <row collapsed="" customFormat="false" customHeight="1" hidden="" ht="14" outlineLevel="0" r="1808">
      <c r="A1808" s="3" t="inlineStr">
        <is>
          <t>1779</t>
        </is>
      </c>
      <c r="B1808" s="4" t="s">
        <f>=HYPERLINK("http://anyluxury.ru/shop/odezhda/vetrovki/vetrovka-uniseks-shift-temnosinyaya-01618319/" , "01618319 Ветровка унисекс SHIFT темно-синяя, размер XL")</f>
      </c>
      <c r="C1808" s="4" t="n">
        <v>1585.00</v>
      </c>
      <c r="D1808" s="4"/>
    </row>
    <row collapsed="" customFormat="false" customHeight="1" hidden="" ht="14" outlineLevel="0" r="1809">
      <c r="A1809" s="3" t="inlineStr">
        <is>
          <t>1780</t>
        </is>
      </c>
      <c r="B1809" s="4" t="s">
        <f>=HYPERLINK("http://anyluxury.ru/shop/odezhda/vetrovki/vetrovka-uniseks-shift-temnosinyaya-01618319/" , "01618319 Ветровка унисекс SHIFT темно-синяя, размер XXL")</f>
      </c>
      <c r="C1809" s="4" t="n">
        <v>1585.00</v>
      </c>
      <c r="D1809" s="4"/>
    </row>
    <row collapsed="" customFormat="false" customHeight="1" hidden="" ht="14" outlineLevel="0" r="1810">
      <c r="A1810" s="3" t="inlineStr">
        <is>
          <t>1781</t>
        </is>
      </c>
      <c r="B1810" s="4" t="s">
        <f>=HYPERLINK("http://anyluxury.ru/shop/odezhda/vetrovki/vetrovka-uniseks-shift-temnosinyaya-01618319/" , "01618319 Ветровка унисекс SHIFT темно-синяя, размер 3XL")</f>
      </c>
      <c r="C1810" s="4" t="n">
        <v>1817.00</v>
      </c>
      <c r="D1810" s="4"/>
    </row>
    <row collapsed="" customFormat="false" customHeight="1" hidden="" ht="14" outlineLevel="0" r="1811">
      <c r="A1811" s="3" t="inlineStr">
        <is>
          <t>1782</t>
        </is>
      </c>
      <c r="B1811" s="4" t="s">
        <f>=HYPERLINK("http://anyluxury.ru/shop/odezhda/vetrovki/vetrovka-uniseks-shift-zheltaya-01618301/" , "01618301 Ветровка унисекс SHIFT желтая, размер XS")</f>
      </c>
      <c r="C1811" s="4" t="n">
        <v>1585.00</v>
      </c>
      <c r="D1811" s="4"/>
    </row>
    <row collapsed="" customFormat="false" customHeight="1" hidden="" ht="14" outlineLevel="0" r="1812">
      <c r="A1812" s="3" t="inlineStr">
        <is>
          <t>1783</t>
        </is>
      </c>
      <c r="B1812" s="4" t="s">
        <f>=HYPERLINK("http://anyluxury.ru/shop/odezhda/vetrovki/vetrovka-uniseks-shift-zheltaya-01618301/" , "01618301 Ветровка унисекс SHIFT желтая, размер S")</f>
      </c>
      <c r="C1812" s="4" t="n">
        <v>1585.00</v>
      </c>
      <c r="D1812" s="4"/>
    </row>
    <row collapsed="" customFormat="false" customHeight="1" hidden="" ht="14" outlineLevel="0" r="1813">
      <c r="A1813" s="3" t="inlineStr">
        <is>
          <t>1784</t>
        </is>
      </c>
      <c r="B1813" s="4" t="s">
        <f>=HYPERLINK("http://anyluxury.ru/shop/odezhda/vetrovki/vetrovka-uniseks-shift-zheltaya-01618301/" , "01618301 Ветровка унисекс SHIFT желтая, размер M")</f>
      </c>
      <c r="C1813" s="4" t="n">
        <v>1585.00</v>
      </c>
      <c r="D1813" s="4"/>
    </row>
    <row collapsed="" customFormat="false" customHeight="1" hidden="" ht="14" outlineLevel="0" r="1814">
      <c r="A1814" s="3" t="inlineStr">
        <is>
          <t>1785</t>
        </is>
      </c>
      <c r="B1814" s="4" t="s">
        <f>=HYPERLINK("http://anyluxury.ru/shop/odezhda/vetrovki/vetrovka-uniseks-shift-zheltaya-01618301/" , "01618301 Ветровка унисекс SHIFT желтая, размер L")</f>
      </c>
      <c r="C1814" s="4" t="n">
        <v>1585.00</v>
      </c>
      <c r="D1814" s="4"/>
    </row>
    <row collapsed="" customFormat="false" customHeight="1" hidden="" ht="14" outlineLevel="0" r="1815">
      <c r="A1815" s="3" t="inlineStr">
        <is>
          <t>1786</t>
        </is>
      </c>
      <c r="B1815" s="4" t="s">
        <f>=HYPERLINK("http://anyluxury.ru/shop/odezhda/vetrovki/vetrovka-uniseks-shift-zheltaya-01618301/" , "01618301 Ветровка унисекс SHIFT желтая, размер XL")</f>
      </c>
      <c r="C1815" s="4" t="n">
        <v>1585.00</v>
      </c>
      <c r="D1815" s="4"/>
    </row>
    <row collapsed="" customFormat="false" customHeight="1" hidden="" ht="14" outlineLevel="0" r="1816">
      <c r="A1816" s="3" t="inlineStr">
        <is>
          <t>1787</t>
        </is>
      </c>
      <c r="B1816" s="4" t="s">
        <f>=HYPERLINK("http://anyluxury.ru/shop/odezhda/vetrovki/vetrovka-uniseks-shift-zheltaya-01618301/" , "01618301 Ветровка унисекс SHIFT желтая, размер XXL")</f>
      </c>
      <c r="C1816" s="4" t="n">
        <v>1585.00</v>
      </c>
      <c r="D1816" s="4"/>
    </row>
    <row collapsed="" customFormat="false" customHeight="1" hidden="" ht="14" outlineLevel="0" r="1817">
      <c r="A1817" s="3" t="inlineStr">
        <is>
          <t>1788</t>
        </is>
      </c>
      <c r="B1817" s="4" t="s">
        <f>=HYPERLINK("http://anyluxury.ru/shop/odezhda/vetrovki/vetrovka-uniseks-shift-zheltaya-01618301/" , "01618301 Ветровка унисекс SHIFT желтая, размер 3XL")</f>
      </c>
      <c r="C1817" s="4" t="n">
        <v>1817.00</v>
      </c>
      <c r="D1817" s="4"/>
    </row>
    <row collapsed="" customFormat="false" customHeight="1" hidden="" ht="14" outlineLevel="0" r="1818">
      <c r="A1818" s="3" t="inlineStr">
        <is>
          <t>1789</t>
        </is>
      </c>
      <c r="B1818" s="4" t="s">
        <f>=HYPERLINK("http://anyluxury.ru/shop/odezhda/vetrovki/vetrovka-uniseks-shift-zelenoe-yabloko-01618281/" , "01618281 Ветровка унисекс SHIFT зеленое яблоко, размер XS")</f>
      </c>
      <c r="C1818" s="4" t="n">
        <v>1585.00</v>
      </c>
      <c r="D1818" s="4"/>
    </row>
    <row collapsed="" customFormat="false" customHeight="1" hidden="" ht="14" outlineLevel="0" r="1819">
      <c r="A1819" s="3" t="inlineStr">
        <is>
          <t>1790</t>
        </is>
      </c>
      <c r="B1819" s="4" t="s">
        <f>=HYPERLINK("http://anyluxury.ru/shop/odezhda/vetrovki/vetrovka-uniseks-shift-zelenoe-yabloko-01618281/" , "01618281 Ветровка унисекс SHIFT зеленое яблоко, размер S")</f>
      </c>
      <c r="C1819" s="4" t="n">
        <v>1585.00</v>
      </c>
      <c r="D1819" s="4"/>
    </row>
    <row collapsed="" customFormat="false" customHeight="1" hidden="" ht="14" outlineLevel="0" r="1820">
      <c r="A1820" s="3" t="inlineStr">
        <is>
          <t>1791</t>
        </is>
      </c>
      <c r="B1820" s="4" t="s">
        <f>=HYPERLINK("http://anyluxury.ru/shop/odezhda/vetrovki/vetrovka-uniseks-shift-zelenoe-yabloko-01618281/" , "01618281 Ветровка унисекс SHIFT зеленое яблоко, размер M")</f>
      </c>
      <c r="C1820" s="4" t="n">
        <v>1585.00</v>
      </c>
      <c r="D1820" s="4"/>
    </row>
    <row collapsed="" customFormat="false" customHeight="1" hidden="" ht="14" outlineLevel="0" r="1821">
      <c r="A1821" s="3" t="inlineStr">
        <is>
          <t>1792</t>
        </is>
      </c>
      <c r="B1821" s="4" t="s">
        <f>=HYPERLINK("http://anyluxury.ru/shop/odezhda/vetrovki/vetrovka-uniseks-shift-zelenoe-yabloko-01618281/" , "01618281 Ветровка унисекс SHIFT зеленое яблоко, размер L")</f>
      </c>
      <c r="C1821" s="4" t="n">
        <v>1585.00</v>
      </c>
      <c r="D1821" s="4"/>
    </row>
    <row collapsed="" customFormat="false" customHeight="1" hidden="" ht="14" outlineLevel="0" r="1822">
      <c r="A1822" s="3" t="inlineStr">
        <is>
          <t>1793</t>
        </is>
      </c>
      <c r="B1822" s="4" t="s">
        <f>=HYPERLINK("http://anyluxury.ru/shop/odezhda/vetrovki/vetrovka-uniseks-shift-zelenoe-yabloko-01618281/" , "01618281 Ветровка унисекс SHIFT зеленое яблоко, размер XL")</f>
      </c>
      <c r="C1822" s="4" t="n">
        <v>1585.00</v>
      </c>
      <c r="D1822" s="4"/>
    </row>
    <row collapsed="" customFormat="false" customHeight="1" hidden="" ht="14" outlineLevel="0" r="1823">
      <c r="A1823" s="3" t="inlineStr">
        <is>
          <t>1794</t>
        </is>
      </c>
      <c r="B1823" s="4" t="s">
        <f>=HYPERLINK("http://anyluxury.ru/shop/odezhda/vetrovki/vetrovka-uniseks-shift-zelenoe-yabloko-01618281/" , "01618281 Ветровка унисекс SHIFT зеленое яблоко, размер XXL")</f>
      </c>
      <c r="C1823" s="4" t="n">
        <v>1585.00</v>
      </c>
      <c r="D1823" s="4"/>
    </row>
    <row collapsed="" customFormat="false" customHeight="1" hidden="" ht="14" outlineLevel="0" r="1824">
      <c r="A1824" s="3" t="inlineStr">
        <is>
          <t>1795</t>
        </is>
      </c>
      <c r="B1824" s="4" t="s">
        <f>=HYPERLINK("http://anyluxury.ru/shop/odezhda/vetrovki/vetrovka-uniseks-shift-zelenoe-yabloko-01618281/" , "01618281 Ветровка унисекс SHIFT зеленое яблоко, размер 3XL")</f>
      </c>
      <c r="C1824" s="4" t="n">
        <v>1817.00</v>
      </c>
      <c r="D1824" s="4"/>
    </row>
    <row collapsed="" customFormat="false" customHeight="1" hidden="" ht="14" outlineLevel="0" r="1825">
      <c r="A1825" s="3" t="inlineStr">
        <is>
          <t>1796</t>
        </is>
      </c>
      <c r="B1825" s="4" t="s">
        <f>=HYPERLINK("http://anyluxury.ru/shop/odezhda/vetrovki/vetrovka-uniseks-shift-oranzhevaya-01618400/" , "01618400 Ветровка унисекс SHIFT оранжевая, размер XS")</f>
      </c>
      <c r="C1825" s="4" t="n">
        <v>1585.00</v>
      </c>
      <c r="D1825" s="4"/>
    </row>
    <row collapsed="" customFormat="false" customHeight="1" hidden="" ht="14" outlineLevel="0" r="1826">
      <c r="A1826" s="3" t="inlineStr">
        <is>
          <t>1797</t>
        </is>
      </c>
      <c r="B1826" s="4" t="s">
        <f>=HYPERLINK("http://anyluxury.ru/shop/odezhda/vetrovki/vetrovka-uniseks-shift-oranzhevaya-01618400/" , "01618400 Ветровка унисекс SHIFT оранжевая, размер S")</f>
      </c>
      <c r="C1826" s="4" t="n">
        <v>1585.00</v>
      </c>
      <c r="D1826" s="4"/>
    </row>
    <row collapsed="" customFormat="false" customHeight="1" hidden="" ht="14" outlineLevel="0" r="1827">
      <c r="A1827" s="3" t="inlineStr">
        <is>
          <t>1798</t>
        </is>
      </c>
      <c r="B1827" s="4" t="s">
        <f>=HYPERLINK("http://anyluxury.ru/shop/odezhda/vetrovki/vetrovka-uniseks-shift-oranzhevaya-01618400/" , "01618400 Ветровка унисекс SHIFT оранжевая, размер M")</f>
      </c>
      <c r="C1827" s="4" t="n">
        <v>1585.00</v>
      </c>
      <c r="D1827" s="4"/>
    </row>
    <row collapsed="" customFormat="false" customHeight="1" hidden="" ht="14" outlineLevel="0" r="1828">
      <c r="A1828" s="3" t="inlineStr">
        <is>
          <t>1799</t>
        </is>
      </c>
      <c r="B1828" s="4" t="s">
        <f>=HYPERLINK("http://anyluxury.ru/shop/odezhda/vetrovki/vetrovka-uniseks-shift-oranzhevaya-01618400/" , "01618400 Ветровка унисекс SHIFT оранжевая, размер L")</f>
      </c>
      <c r="C1828" s="4" t="n">
        <v>1585.00</v>
      </c>
      <c r="D1828" s="4"/>
    </row>
    <row collapsed="" customFormat="false" customHeight="1" hidden="" ht="14" outlineLevel="0" r="1829">
      <c r="A1829" s="3" t="inlineStr">
        <is>
          <t>1800</t>
        </is>
      </c>
      <c r="B1829" s="4" t="s">
        <f>=HYPERLINK("http://anyluxury.ru/shop/odezhda/vetrovki/vetrovka-uniseks-shift-oranzhevaya-01618400/" , "01618400 Ветровка унисекс SHIFT оранжевая, размер XL")</f>
      </c>
      <c r="C1829" s="4" t="n">
        <v>1585.00</v>
      </c>
      <c r="D1829" s="4"/>
    </row>
    <row collapsed="" customFormat="false" customHeight="1" hidden="" ht="14" outlineLevel="0" r="1830">
      <c r="A1830" s="3" t="inlineStr">
        <is>
          <t>1801</t>
        </is>
      </c>
      <c r="B1830" s="4" t="s">
        <f>=HYPERLINK("http://anyluxury.ru/shop/odezhda/vetrovki/vetrovka-uniseks-shift-oranzhevaya-01618400/" , "01618400 Ветровка унисекс SHIFT оранжевая, размер XXL")</f>
      </c>
      <c r="C1830" s="4" t="n">
        <v>1585.00</v>
      </c>
      <c r="D1830" s="4"/>
    </row>
    <row collapsed="" customFormat="false" customHeight="1" hidden="" ht="14" outlineLevel="0" r="1831">
      <c r="A1831" s="3" t="inlineStr">
        <is>
          <t>1802</t>
        </is>
      </c>
      <c r="B1831" s="4" t="s">
        <f>=HYPERLINK("http://anyluxury.ru/shop/odezhda/vetrovki/vetrovka-uniseks-shift-oranzhevaya-01618400/" , "01618400 Ветровка унисекс SHIFT оранжевая, размер 3XL")</f>
      </c>
      <c r="C1831" s="4" t="n">
        <v>1817.00</v>
      </c>
      <c r="D1831" s="4"/>
    </row>
    <row collapsed="" customFormat="false" customHeight="1" hidden="" ht="14" outlineLevel="0" r="1832">
      <c r="A1832" s="3" t="inlineStr">
        <is>
          <t>1803</t>
        </is>
      </c>
      <c r="B1832" s="4" t="s">
        <f>=HYPERLINK("http://anyluxury.ru/shop/odezhda/vetrovki/vetrovka-uniseks-shift-krasnaya-01618145/" , "01618145 Ветровка унисекс SHIFT красная, размер XS")</f>
      </c>
      <c r="C1832" s="4" t="n">
        <v>1585.00</v>
      </c>
      <c r="D1832" s="4"/>
    </row>
    <row collapsed="" customFormat="false" customHeight="1" hidden="" ht="14" outlineLevel="0" r="1833">
      <c r="A1833" s="3" t="inlineStr">
        <is>
          <t>1804</t>
        </is>
      </c>
      <c r="B1833" s="4" t="s">
        <f>=HYPERLINK("http://anyluxury.ru/shop/odezhda/vetrovki/vetrovka-uniseks-shift-krasnaya-01618145/" , "01618145 Ветровка унисекс SHIFT красная, размер S")</f>
      </c>
      <c r="C1833" s="4" t="n">
        <v>1585.00</v>
      </c>
      <c r="D1833" s="4"/>
    </row>
    <row collapsed="" customFormat="false" customHeight="1" hidden="" ht="14" outlineLevel="0" r="1834">
      <c r="A1834" s="3" t="inlineStr">
        <is>
          <t>1805</t>
        </is>
      </c>
      <c r="B1834" s="4" t="s">
        <f>=HYPERLINK("http://anyluxury.ru/shop/odezhda/vetrovki/vetrovka-uniseks-shift-krasnaya-01618145/" , "01618145 Ветровка унисекс SHIFT красная, размер M")</f>
      </c>
      <c r="C1834" s="4" t="n">
        <v>1585.00</v>
      </c>
      <c r="D1834" s="4"/>
    </row>
    <row collapsed="" customFormat="false" customHeight="1" hidden="" ht="14" outlineLevel="0" r="1835">
      <c r="A1835" s="3" t="inlineStr">
        <is>
          <t>1806</t>
        </is>
      </c>
      <c r="B1835" s="4" t="s">
        <f>=HYPERLINK("http://anyluxury.ru/shop/odezhda/vetrovki/vetrovka-uniseks-shift-krasnaya-01618145/" , "01618145 Ветровка унисекс SHIFT красная, размер XL")</f>
      </c>
      <c r="C1835" s="4" t="n">
        <v>1585.00</v>
      </c>
      <c r="D1835" s="4"/>
    </row>
    <row collapsed="" customFormat="false" customHeight="1" hidden="" ht="14" outlineLevel="0" r="1836">
      <c r="A1836" s="3" t="inlineStr">
        <is>
          <t>1807</t>
        </is>
      </c>
      <c r="B1836" s="4" t="s">
        <f>=HYPERLINK("http://anyluxury.ru/shop/odezhda/vetrovki/vetrovka-uniseks-shift-krasnaya-01618145/" , "01618145 Ветровка унисекс SHIFT красная, размер XXL")</f>
      </c>
      <c r="C1836" s="4" t="n">
        <v>1585.00</v>
      </c>
      <c r="D1836" s="4"/>
    </row>
    <row collapsed="" customFormat="false" customHeight="1" hidden="" ht="14" outlineLevel="0" r="1837">
      <c r="A1837" s="3" t="inlineStr">
        <is>
          <t>1808</t>
        </is>
      </c>
      <c r="B1837" s="4" t="s">
        <f>=HYPERLINK("http://anyluxury.ru/shop/odezhda/vetrovki/vetrovka-uniseks-shift-krasnaya-01618145/" , "01618145 Ветровка унисекс SHIFT красная, размер 3XL")</f>
      </c>
      <c r="C1837" s="4" t="n">
        <v>1817.00</v>
      </c>
      <c r="D1837" s="4"/>
    </row>
    <row collapsed="" customFormat="false" customHeight="1" hidden="" ht="14" outlineLevel="0" r="1838">
      <c r="A1838" s="3" t="inlineStr">
        <is>
          <t>1809</t>
        </is>
      </c>
      <c r="B1838" s="4" t="s">
        <f>=HYPERLINK("http://anyluxury.ru/shop/odezhda/vetrovki/vetrovka-uniseks-shift-biryuzovaya-01618321/" , "01618321 Ветровка унисекс SHIFT бирюзовая, размер XS")</f>
      </c>
      <c r="C1838" s="4" t="n">
        <v>1585.00</v>
      </c>
      <c r="D1838" s="4"/>
    </row>
    <row collapsed="" customFormat="false" customHeight="1" hidden="" ht="14" outlineLevel="0" r="1839">
      <c r="A1839" s="3" t="inlineStr">
        <is>
          <t>1810</t>
        </is>
      </c>
      <c r="B1839" s="4" t="s">
        <f>=HYPERLINK("http://anyluxury.ru/shop/odezhda/vetrovki/vetrovka-uniseks-shift-biryuzovaya-01618321/" , "01618321 Ветровка унисекс SHIFT бирюзовая, размер S")</f>
      </c>
      <c r="C1839" s="4" t="n">
        <v>1585.00</v>
      </c>
      <c r="D1839" s="4"/>
    </row>
    <row collapsed="" customFormat="false" customHeight="1" hidden="" ht="14" outlineLevel="0" r="1840">
      <c r="A1840" s="3" t="inlineStr">
        <is>
          <t>1811</t>
        </is>
      </c>
      <c r="B1840" s="4" t="s">
        <f>=HYPERLINK("http://anyluxury.ru/shop/odezhda/vetrovki/vetrovka-uniseks-shift-biryuzovaya-01618321/" , "01618321 Ветровка унисекс SHIFT бирюзовая, размер M")</f>
      </c>
      <c r="C1840" s="4" t="n">
        <v>1585.00</v>
      </c>
      <c r="D1840" s="4"/>
    </row>
    <row collapsed="" customFormat="false" customHeight="1" hidden="" ht="14" outlineLevel="0" r="1841">
      <c r="A1841" s="3" t="inlineStr">
        <is>
          <t>1812</t>
        </is>
      </c>
      <c r="B1841" s="4" t="s">
        <f>=HYPERLINK("http://anyluxury.ru/shop/odezhda/vetrovki/vetrovka-uniseks-shift-biryuzovaya-01618321/" , "01618321 Ветровка унисекс SHIFT бирюзовая, размер L")</f>
      </c>
      <c r="C1841" s="4" t="n">
        <v>1585.00</v>
      </c>
      <c r="D1841" s="4"/>
    </row>
    <row collapsed="" customFormat="false" customHeight="1" hidden="" ht="14" outlineLevel="0" r="1842">
      <c r="A1842" s="3" t="inlineStr">
        <is>
          <t>1813</t>
        </is>
      </c>
      <c r="B1842" s="4" t="s">
        <f>=HYPERLINK("http://anyluxury.ru/shop/odezhda/vetrovki/vetrovka-uniseks-shift-biryuzovaya-01618321/" , "01618321 Ветровка унисекс SHIFT бирюзовая, размер XL")</f>
      </c>
      <c r="C1842" s="4" t="n">
        <v>1585.00</v>
      </c>
      <c r="D1842" s="4"/>
    </row>
    <row collapsed="" customFormat="false" customHeight="1" hidden="" ht="14" outlineLevel="0" r="1843">
      <c r="A1843" s="3" t="inlineStr">
        <is>
          <t>1814</t>
        </is>
      </c>
      <c r="B1843" s="4" t="s">
        <f>=HYPERLINK("http://anyluxury.ru/shop/odezhda/vetrovki/vetrovka-uniseks-shift-biryuzovaya-01618321/" , "01618321 Ветровка унисекс SHIFT бирюзовая, размер XXL")</f>
      </c>
      <c r="C1843" s="4" t="n">
        <v>1585.00</v>
      </c>
      <c r="D1843" s="4"/>
    </row>
    <row collapsed="" customFormat="false" customHeight="1" hidden="" ht="14" outlineLevel="0" r="1844">
      <c r="A1844" s="3" t="inlineStr">
        <is>
          <t>1815</t>
        </is>
      </c>
      <c r="B1844" s="4" t="s">
        <f>=HYPERLINK("http://anyluxury.ru/shop/odezhda/vetrovki/vetrovka-uniseks-shift-biryuzovaya-01618321/" , "01618321 Ветровка унисекс SHIFT бирюзовая, размер 3XL")</f>
      </c>
      <c r="C1844" s="4" t="n">
        <v>1817.00</v>
      </c>
      <c r="D1844" s="4"/>
    </row>
    <row collapsed="" customFormat="false" customHeight="1" hidden="" ht="14" outlineLevel="0" r="1845">
      <c r="A1845" s="3" t="inlineStr">
        <is>
          <t>1816</t>
        </is>
      </c>
      <c r="B1845" s="4" t="s">
        <f>=HYPERLINK("http://anyluxury.ru/shop/odezhda/vetrovki/vetrovka-muzhskaya-fastplant-krasnaya-169550/" , "1695.50 Ветровка мужская FASTPLANT красная, размер S")</f>
      </c>
      <c r="C1845" s="4" t="n">
        <v>3257.00</v>
      </c>
      <c r="D1845" s="4"/>
    </row>
    <row collapsed="" customFormat="false" customHeight="1" hidden="" ht="14" outlineLevel="0" r="1846">
      <c r="A1846" s="3" t="inlineStr">
        <is>
          <t>1817</t>
        </is>
      </c>
      <c r="B1846" s="4" t="s">
        <f>=HYPERLINK("http://anyluxury.ru/shop/odezhda/vetrovki/vetrovka-muzhskaya-fastplant-seraya-169511/" , "1695.11 Ветровка мужская FASTPLANT серая, размер S")</f>
      </c>
      <c r="C1846" s="4" t="n">
        <v>3257.00</v>
      </c>
      <c r="D1846" s="4"/>
    </row>
    <row collapsed="" customFormat="false" customHeight="1" hidden="" ht="14" outlineLevel="0" r="1847">
      <c r="A1847" s="3" t="inlineStr">
        <is>
          <t>1818</t>
        </is>
      </c>
      <c r="B1847" s="4" t="s">
        <f>=HYPERLINK("http://anyluxury.ru/shop/odezhda/vetrovki/vetrovka-muzhskaya-fastplant-chernaya-169530/" , "1695.30 Ветровка мужская FASTPLANT черная, размер XXL")</f>
      </c>
      <c r="C1847" s="4" t="n">
        <v>3257.00</v>
      </c>
      <c r="D1847" s="4"/>
    </row>
    <row collapsed="" customFormat="false" customHeight="1" hidden="" ht="14" outlineLevel="0" r="1848">
      <c r="A1848" s="3" t="inlineStr">
        <is>
          <t>1819</t>
        </is>
      </c>
      <c r="B1848" s="4" t="s">
        <f>=HYPERLINK("http://anyluxury.ru/shop/odezhda/vetrovki/vetrovka-muzhskaya-fastplant-zelenoe-yabloko-169594/" , "1695.94 Ветровка мужская FASTPLANT зеленое яблоко, размер S")</f>
      </c>
      <c r="C1848" s="4" t="n">
        <v>3257.00</v>
      </c>
      <c r="D1848" s="4"/>
    </row>
    <row collapsed="" customFormat="false" customHeight="1" hidden="" ht="14" outlineLevel="0" r="1849">
      <c r="A1849" s="3" t="inlineStr">
        <is>
          <t>1820</t>
        </is>
      </c>
      <c r="B1849" s="4" t="s">
        <f>=HYPERLINK("http://anyluxury.ru/shop/odezhda/vetrovki/vetrovka-muzhskaya-fastplant-zelenoe-yabloko-169594/" , "1695.94 Ветровка мужская FASTPLANT зеленое яблоко, размер M")</f>
      </c>
      <c r="C1849" s="4" t="n">
        <v>3257.00</v>
      </c>
      <c r="D1849" s="4"/>
    </row>
    <row collapsed="" customFormat="false" customHeight="1" hidden="" ht="14" outlineLevel="0" r="1850">
      <c r="A1850" s="3" t="inlineStr">
        <is>
          <t>1821</t>
        </is>
      </c>
      <c r="B1850" s="4" t="s">
        <f>=HYPERLINK("http://anyluxury.ru/shop/odezhda/vetrovki/vetrovka-muzhskaya-fastplant-zelenoe-yabloko-169594/" , "1695.94 Ветровка мужская FASTPLANT зеленое яблоко, размер XL")</f>
      </c>
      <c r="C1850" s="4" t="n">
        <v>3257.00</v>
      </c>
      <c r="D1850" s="4"/>
    </row>
    <row collapsed="" customFormat="false" customHeight="1" hidden="" ht="14" outlineLevel="0" r="1851">
      <c r="A1851" s="3" t="inlineStr">
        <is>
          <t>1822</t>
        </is>
      </c>
      <c r="B1851" s="4" t="s">
        <f>=HYPERLINK("http://anyluxury.ru/shop/odezhda/vetrovki/vetrovka-muzhskaya-fastplant-zelenoe-yabloko-169594/" , "1695.94 Ветровка мужская FASTPLANT зеленое яблоко, размер XXL")</f>
      </c>
      <c r="C1851" s="4" t="n">
        <v>3257.00</v>
      </c>
      <c r="D1851" s="4"/>
    </row>
    <row collapsed="" customFormat="false" customHeight="1" hidden="" ht="14" outlineLevel="0" r="1852">
      <c r="A1852" s="3" t="inlineStr">
        <is>
          <t>1823</t>
        </is>
      </c>
      <c r="B1852" s="4" t="s">
        <f>=HYPERLINK("http://anyluxury.ru/shop/odezhda/vetrovki/vetrovka-zhenskaya-fastplant-krasnaya-169650/" , "1696.50 Ветровка женская FASTPLANT красная, размер XL")</f>
      </c>
      <c r="C1852" s="4" t="n">
        <v>3257.00</v>
      </c>
      <c r="D1852" s="4"/>
    </row>
    <row collapsed="" customFormat="false" customHeight="1" hidden="" ht="14" outlineLevel="0" r="1853">
      <c r="A1853" s="3" t="inlineStr">
        <is>
          <t>1824</t>
        </is>
      </c>
      <c r="B1853" s="4" t="s">
        <f>=HYPERLINK("http://anyluxury.ru/shop/odezhda/vetrovki/vetrovka-zhenskaya-fastplant-krasnaya-169650/" , "1696.50 Ветровка женская FASTPLANT красная, размер XXL")</f>
      </c>
      <c r="C1853" s="4" t="n">
        <v>3257.00</v>
      </c>
      <c r="D1853" s="4"/>
    </row>
    <row collapsed="" customFormat="false" customHeight="1" hidden="" ht="14" outlineLevel="0" r="1854">
      <c r="A1854" s="3" t="inlineStr">
        <is>
          <t>1825</t>
        </is>
      </c>
      <c r="B1854" s="4" t="s">
        <f>=HYPERLINK("http://anyluxury.ru/shop/odezhda/vetrovki/vetrovka-zhenskaya-fastplant-temnosinyaya-169640/" , "1696.40 Ветровка женская FASTPLANT темно-синяя, размер M")</f>
      </c>
      <c r="C1854" s="4" t="n">
        <v>3257.00</v>
      </c>
      <c r="D1854" s="4"/>
    </row>
    <row collapsed="" customFormat="false" customHeight="1" hidden="" ht="14" outlineLevel="0" r="1855">
      <c r="A1855" s="3" t="inlineStr">
        <is>
          <t>1826</t>
        </is>
      </c>
      <c r="B1855" s="4" t="s">
        <f>=HYPERLINK("http://anyluxury.ru/shop/odezhda/vetrovki/vetrovka-zhenskaya-fastplant-temnosinyaya-169640/" , "1696.40 Ветровка женская FASTPLANT темно-синяя, размер L")</f>
      </c>
      <c r="C1855" s="4" t="n">
        <v>3257.00</v>
      </c>
      <c r="D1855" s="4"/>
    </row>
    <row collapsed="" customFormat="false" customHeight="1" hidden="" ht="14" outlineLevel="0" r="1856">
      <c r="A1856" s="3" t="inlineStr">
        <is>
          <t>1827</t>
        </is>
      </c>
      <c r="B1856" s="4" t="s">
        <f>=HYPERLINK("http://anyluxury.ru/shop/odezhda/vetrovki/vetrovka-zhenskaya-fastplant-temnosinyaya-169640/" , "1696.40 Ветровка женская FASTPLANT темно-синяя, размер XL")</f>
      </c>
      <c r="C1856" s="4" t="n">
        <v>3257.00</v>
      </c>
      <c r="D1856" s="4"/>
    </row>
    <row collapsed="" customFormat="false" customHeight="1" hidden="" ht="14" outlineLevel="0" r="1857">
      <c r="A1857" s="3" t="inlineStr">
        <is>
          <t>1828</t>
        </is>
      </c>
      <c r="B1857" s="4" t="s">
        <f>=HYPERLINK("http://anyluxury.ru/shop/odezhda/vetrovki/vetrovka-zhenskaya-fastplant-temnosinyaya-169640/" , "1696.40 Ветровка женская FASTPLANT темно-синяя, размер XXL")</f>
      </c>
      <c r="C1857" s="4" t="n">
        <v>3257.00</v>
      </c>
      <c r="D1857" s="4"/>
    </row>
    <row collapsed="" customFormat="false" customHeight="1" hidden="" ht="14" outlineLevel="0" r="1858">
      <c r="A1858" s="3" t="inlineStr">
        <is>
          <t>1829</t>
        </is>
      </c>
      <c r="B1858" s="4" t="s">
        <f>=HYPERLINK("http://anyluxury.ru/shop/odezhda/vetrovki/vetrovka-zhenskaya-fastplant-seraya-169611/" , "1696.11 Ветровка женская FASTPLANT серая, размер S")</f>
      </c>
      <c r="C1858" s="4" t="n">
        <v>3257.00</v>
      </c>
      <c r="D1858" s="4"/>
    </row>
    <row collapsed="" customFormat="false" customHeight="1" hidden="" ht="14" outlineLevel="0" r="1859">
      <c r="A1859" s="3" t="inlineStr">
        <is>
          <t>1830</t>
        </is>
      </c>
      <c r="B1859" s="4" t="s">
        <f>=HYPERLINK("http://anyluxury.ru/shop/odezhda/vetrovki/vetrovka-zhenskaya-fastplant-seraya-169611/" , "1696.11 Ветровка женская FASTPLANT серая, размер M")</f>
      </c>
      <c r="C1859" s="4" t="n">
        <v>3257.00</v>
      </c>
      <c r="D1859" s="4"/>
    </row>
    <row collapsed="" customFormat="false" customHeight="1" hidden="" ht="14" outlineLevel="0" r="1860">
      <c r="A1860" s="3" t="inlineStr">
        <is>
          <t>1831</t>
        </is>
      </c>
      <c r="B1860" s="4" t="s">
        <f>=HYPERLINK("http://anyluxury.ru/shop/odezhda/vetrovki/vetrovka-zhenskaya-fastplant-seraya-169611/" , "1696.11 Ветровка женская FASTPLANT серая, размер L")</f>
      </c>
      <c r="C1860" s="4" t="n">
        <v>3257.00</v>
      </c>
      <c r="D1860" s="4"/>
    </row>
    <row collapsed="" customFormat="false" customHeight="1" hidden="" ht="14" outlineLevel="0" r="1861">
      <c r="A1861" s="3" t="inlineStr">
        <is>
          <t>1832</t>
        </is>
      </c>
      <c r="B1861" s="4" t="s">
        <f>=HYPERLINK("http://anyluxury.ru/shop/odezhda/vetrovki/vetrovka-zhenskaya-fastplant-seraya-169611/" , "1696.11 Ветровка женская FASTPLANT серая, размер XL")</f>
      </c>
      <c r="C1861" s="4" t="n">
        <v>3257.00</v>
      </c>
      <c r="D1861" s="4"/>
    </row>
    <row collapsed="" customFormat="false" customHeight="1" hidden="" ht="14" outlineLevel="0" r="1862">
      <c r="A1862" s="3" t="inlineStr">
        <is>
          <t>1833</t>
        </is>
      </c>
      <c r="B1862" s="4" t="s">
        <f>=HYPERLINK("http://anyluxury.ru/shop/odezhda/vetrovki/vetrovka-zhenskaya-fastplant-seraya-169611/" , "1696.11 Ветровка женская FASTPLANT серая, размер XXL")</f>
      </c>
      <c r="C1862" s="4" t="n">
        <v>3257.00</v>
      </c>
      <c r="D1862" s="4"/>
    </row>
    <row collapsed="" customFormat="false" customHeight="1" hidden="" ht="14" outlineLevel="0" r="1863">
      <c r="A1863" s="3" t="inlineStr">
        <is>
          <t>1834</t>
        </is>
      </c>
      <c r="B1863" s="4" t="s">
        <f>=HYPERLINK("http://anyluxury.ru/shop/odezhda/vetrovki/vetrovka-zhenskaya-fastplant-chernaya-169630/" , "1696.30 Ветровка женская FASTPLANT черная, размер S")</f>
      </c>
      <c r="C1863" s="4" t="n">
        <v>3257.00</v>
      </c>
      <c r="D1863" s="4"/>
    </row>
    <row collapsed="" customFormat="false" customHeight="1" hidden="" ht="14" outlineLevel="0" r="1864">
      <c r="A1864" s="3" t="inlineStr">
        <is>
          <t>1835</t>
        </is>
      </c>
      <c r="B1864" s="4" t="s">
        <f>=HYPERLINK("http://anyluxury.ru/shop/odezhda/vetrovki/vetrovka-zhenskaya-fastplant-chernaya-169630/" , "1696.30 Ветровка женская FASTPLANT черная, размер M")</f>
      </c>
      <c r="C1864" s="4" t="n">
        <v>3257.00</v>
      </c>
      <c r="D1864" s="4"/>
    </row>
    <row collapsed="" customFormat="false" customHeight="1" hidden="" ht="14" outlineLevel="0" r="1865">
      <c r="A1865" s="3" t="inlineStr">
        <is>
          <t>1836</t>
        </is>
      </c>
      <c r="B1865" s="4" t="s">
        <f>=HYPERLINK("http://anyluxury.ru/shop/odezhda/vetrovki/vetrovka-zhenskaya-fastplant-chernaya-169630/" , "1696.30 Ветровка женская FASTPLANT черная, размер L")</f>
      </c>
      <c r="C1865" s="4" t="n">
        <v>3257.00</v>
      </c>
      <c r="D1865" s="4"/>
    </row>
    <row collapsed="" customFormat="false" customHeight="1" hidden="" ht="14" outlineLevel="0" r="1866">
      <c r="A1866" s="3" t="inlineStr">
        <is>
          <t>1837</t>
        </is>
      </c>
      <c r="B1866" s="4" t="s">
        <f>=HYPERLINK("http://anyluxury.ru/shop/odezhda/vetrovki/vetrovka-zhenskaya-fastplant-chernaya-169630/" , "1696.30 Ветровка женская FASTPLANT черная, размер XL")</f>
      </c>
      <c r="C1866" s="4" t="n">
        <v>3257.00</v>
      </c>
      <c r="D1866" s="4"/>
    </row>
    <row collapsed="" customFormat="false" customHeight="1" hidden="" ht="14" outlineLevel="0" r="1867">
      <c r="A1867" s="3" t="inlineStr">
        <is>
          <t>1838</t>
        </is>
      </c>
      <c r="B1867" s="4" t="s">
        <f>=HYPERLINK("http://anyluxury.ru/shop/odezhda/vetrovki/vetrovka-zhenskaya-fastplant-chernaya-169630/" , "1696.30 Ветровка женская FASTPLANT черная, размер XXL")</f>
      </c>
      <c r="C1867" s="4" t="n">
        <v>3257.00</v>
      </c>
      <c r="D1867" s="4"/>
    </row>
    <row collapsed="" customFormat="false" customHeight="1" hidden="" ht="14" outlineLevel="0" r="1868">
      <c r="A1868" s="3" t="inlineStr">
        <is>
          <t>1839</t>
        </is>
      </c>
      <c r="B1868" s="4" t="s">
        <f>=HYPERLINK("http://anyluxury.ru/shop/odezhda/vetrovki/vetrovka-zhenskaya-fastplant-zelenoe-yabloko-169694/" , "1696.94 Ветровка женская FASTPLANT зеленое яблоко, размер S")</f>
      </c>
      <c r="C1868" s="4" t="n">
        <v>3257.00</v>
      </c>
      <c r="D1868" s="4"/>
    </row>
    <row collapsed="" customFormat="false" customHeight="1" hidden="" ht="14" outlineLevel="0" r="1869">
      <c r="A1869" s="3" t="inlineStr">
        <is>
          <t>1840</t>
        </is>
      </c>
      <c r="B1869" s="4" t="s">
        <f>=HYPERLINK("http://anyluxury.ru/shop/odezhda/vetrovki/vetrovka-zhenskaya-fastplant-zelenoe-yabloko-169694/" , "1696.94 Ветровка женская FASTPLANT зеленое яблоко, размер M")</f>
      </c>
      <c r="C1869" s="4" t="n">
        <v>3257.00</v>
      </c>
      <c r="D1869" s="4"/>
    </row>
    <row collapsed="" customFormat="false" customHeight="1" hidden="" ht="14" outlineLevel="0" r="1870">
      <c r="A1870" s="3" t="inlineStr">
        <is>
          <t>1841</t>
        </is>
      </c>
      <c r="B1870" s="4" t="s">
        <f>=HYPERLINK("http://anyluxury.ru/shop/odezhda/vetrovki/vetrovka-zhenskaya-fastplant-zelenoe-yabloko-169694/" , "1696.94 Ветровка женская FASTPLANT зеленое яблоко, размер L")</f>
      </c>
      <c r="C1870" s="4" t="n">
        <v>3257.00</v>
      </c>
      <c r="D1870" s="4"/>
    </row>
    <row collapsed="" customFormat="false" customHeight="1" hidden="" ht="14" outlineLevel="0" r="1871">
      <c r="A1871" s="3" t="inlineStr">
        <is>
          <t>1842</t>
        </is>
      </c>
      <c r="B1871" s="4" t="s">
        <f>=HYPERLINK("http://anyluxury.ru/shop/odezhda/vetrovki/vetrovka-zhenskaya-fastplant-zelenoe-yabloko-169694/" , "1696.94 Ветровка женская FASTPLANT зеленое яблоко, размер XL")</f>
      </c>
      <c r="C1871" s="4" t="n">
        <v>3257.00</v>
      </c>
      <c r="D1871" s="4"/>
    </row>
    <row collapsed="" customFormat="false" customHeight="1" hidden="" ht="14" outlineLevel="0" r="1872">
      <c r="A1872" s="3" t="inlineStr">
        <is>
          <t>1843</t>
        </is>
      </c>
      <c r="B1872" s="4" t="s">
        <f>=HYPERLINK("http://anyluxury.ru/shop/odezhda/vetrovki/vetrovka-zhenskaya-fastplant-zelenoe-yabloko-169694/" , "1696.94 Ветровка женская FASTPLANT зеленое яблоко, размер XXL")</f>
      </c>
      <c r="C1872" s="4" t="n">
        <v>3257.00</v>
      </c>
      <c r="D1872" s="4"/>
    </row>
    <row collapsed="" customFormat="false" customHeight="1" hidden="" ht="14" outlineLevel="0" r="1873">
      <c r="A1873" s="3" t="inlineStr">
        <is>
          <t>1844</t>
        </is>
      </c>
      <c r="B1873" s="4" t="s">
        <f>=HYPERLINK("http://anyluxury.ru/shop/odezhda/vetrovki/vetrovka-unit-kivach-belaya-710260/" , "7102.60 Ветровка Unit Kivach белая, размер XS")</f>
      </c>
      <c r="C1873" s="4" t="n">
        <v>1560.00</v>
      </c>
      <c r="D1873" s="4"/>
    </row>
    <row collapsed="" customFormat="false" customHeight="1" hidden="" ht="14" outlineLevel="0" r="1874">
      <c r="A1874" s="3" t="inlineStr">
        <is>
          <t>1845</t>
        </is>
      </c>
      <c r="B1874" s="4" t="s">
        <f>=HYPERLINK("http://anyluxury.ru/shop/odezhda/vetrovki/vetrovka-unit-kivach-belaya-710260/" , "7102.60 Ветровка Unit Kivach белая, размер S")</f>
      </c>
      <c r="C1874" s="4" t="n">
        <v>1560.00</v>
      </c>
      <c r="D1874" s="4"/>
    </row>
    <row collapsed="" customFormat="false" customHeight="1" hidden="" ht="14" outlineLevel="0" r="1875">
      <c r="A1875" s="3" t="inlineStr">
        <is>
          <t>1846</t>
        </is>
      </c>
      <c r="B1875" s="4" t="s">
        <f>=HYPERLINK("http://anyluxury.ru/shop/odezhda/vetrovki/vetrovka-unit-kivach-belaya-710260/" , "7102.60 Ветровка Unit Kivach белая, размер M")</f>
      </c>
      <c r="C1875" s="4" t="n">
        <v>1560.00</v>
      </c>
      <c r="D1875" s="4"/>
    </row>
    <row collapsed="" customFormat="false" customHeight="1" hidden="" ht="14" outlineLevel="0" r="1876">
      <c r="A1876" s="3" t="inlineStr">
        <is>
          <t>1847</t>
        </is>
      </c>
      <c r="B1876" s="4" t="s">
        <f>=HYPERLINK("http://anyluxury.ru/shop/odezhda/vetrovki/vetrovka-unit-kivach-belaya-710260/" , "7102.60 Ветровка Unit Kivach белая, размер L")</f>
      </c>
      <c r="C1876" s="4" t="n">
        <v>1560.00</v>
      </c>
      <c r="D1876" s="4"/>
    </row>
    <row collapsed="" customFormat="false" customHeight="1" hidden="" ht="14" outlineLevel="0" r="1877">
      <c r="A1877" s="3" t="inlineStr">
        <is>
          <t>1848</t>
        </is>
      </c>
      <c r="B1877" s="4" t="s">
        <f>=HYPERLINK("http://anyluxury.ru/shop/odezhda/vetrovki/vetrovka-unit-kivach-belaya-710260/" , "7102.60 Ветровка Unit Kivach белая, размер XL")</f>
      </c>
      <c r="C1877" s="4" t="n">
        <v>1560.00</v>
      </c>
      <c r="D1877" s="4"/>
    </row>
    <row collapsed="" customFormat="false" customHeight="1" hidden="" ht="14" outlineLevel="0" r="1878">
      <c r="A1878" s="3" t="inlineStr">
        <is>
          <t>1849</t>
        </is>
      </c>
      <c r="B1878" s="4" t="s">
        <f>=HYPERLINK("http://anyluxury.ru/shop/odezhda/vetrovki/vetrovka-unit-kivach-belaya-710260/" , "7102.60 Ветровка Unit Kivach белая, размер XXL")</f>
      </c>
      <c r="C1878" s="4" t="n">
        <v>1560.00</v>
      </c>
      <c r="D1878" s="4"/>
    </row>
    <row collapsed="" customFormat="false" customHeight="1" hidden="" ht="14" outlineLevel="0" r="1879">
      <c r="A1879" s="3" t="inlineStr">
        <is>
          <t>1850</t>
        </is>
      </c>
      <c r="B1879" s="4" t="s">
        <f>=HYPERLINK("http://anyluxury.ru/shop/odezhda/vetrovki/vetrovka-unit-kivach-belaya-710260/" , "7102.60 Ветровка Unit Kivach белая, размер 3XL")</f>
      </c>
      <c r="C1879" s="4" t="n">
        <v>1560.00</v>
      </c>
      <c r="D1879" s="4"/>
    </row>
    <row collapsed="" customFormat="false" customHeight="1" hidden="" ht="14" outlineLevel="0" r="1880">
      <c r="A1880" s="3" t="inlineStr">
        <is>
          <t>1851</t>
        </is>
      </c>
      <c r="B1880" s="4" t="s">
        <f>=HYPERLINK("http://anyluxury.ru/shop/odezhda/vetrovki/vetrovka-unit-kivach-sinyaya-710244/" , "7102.44 Ветровка Unit Kivach синяя, размер S")</f>
      </c>
      <c r="C1880" s="4" t="n">
        <v>1560.00</v>
      </c>
      <c r="D1880" s="4"/>
    </row>
    <row collapsed="" customFormat="false" customHeight="1" hidden="" ht="14" outlineLevel="0" r="1881">
      <c r="A1881" s="3" t="inlineStr">
        <is>
          <t>1852</t>
        </is>
      </c>
      <c r="B1881" s="4" t="s">
        <f>=HYPERLINK("http://anyluxury.ru/shop/odezhda/vetrovki/vetrovka-unit-kivach-sinyaya-710244/" , "7102.44 Ветровка Unit Kivach синяя, размер M")</f>
      </c>
      <c r="C1881" s="4" t="n">
        <v>1560.00</v>
      </c>
      <c r="D1881" s="4"/>
    </row>
    <row collapsed="" customFormat="false" customHeight="1" hidden="" ht="14" outlineLevel="0" r="1882">
      <c r="A1882" s="3" t="inlineStr">
        <is>
          <t>1853</t>
        </is>
      </c>
      <c r="B1882" s="4" t="s">
        <f>=HYPERLINK("http://anyluxury.ru/shop/odezhda/vetrovki/vetrovka-unit-kivach-sinyaya-710244/" , "7102.44 Ветровка Unit Kivach синяя, размер L")</f>
      </c>
      <c r="C1882" s="4" t="n">
        <v>1560.00</v>
      </c>
      <c r="D1882" s="4"/>
    </row>
    <row collapsed="" customFormat="false" customHeight="1" hidden="" ht="14" outlineLevel="0" r="1883">
      <c r="A1883" s="3" t="inlineStr">
        <is>
          <t>1854</t>
        </is>
      </c>
      <c r="B1883" s="4" t="s">
        <f>=HYPERLINK("http://anyluxury.ru/shop/odezhda/vetrovki/vetrovka-unit-kivach-sinyaya-710244/" , "7102.44 Ветровка Unit Kivach синяя, размер XL")</f>
      </c>
      <c r="C1883" s="4" t="n">
        <v>1560.00</v>
      </c>
      <c r="D1883" s="4"/>
    </row>
    <row collapsed="" customFormat="false" customHeight="1" hidden="" ht="14" outlineLevel="0" r="1884">
      <c r="A1884" s="3" t="inlineStr">
        <is>
          <t>1855</t>
        </is>
      </c>
      <c r="B1884" s="4" t="s">
        <f>=HYPERLINK("http://anyluxury.ru/shop/odezhda/vetrovki/vetrovka-unit-kivach-sinyaya-710244/" , "7102.44 Ветровка Unit Kivach синяя, размер XXL")</f>
      </c>
      <c r="C1884" s="4" t="n">
        <v>1560.00</v>
      </c>
      <c r="D1884" s="4"/>
    </row>
    <row collapsed="" customFormat="false" customHeight="1" hidden="" ht="14" outlineLevel="0" r="1885">
      <c r="A1885" s="3" t="inlineStr">
        <is>
          <t>1856</t>
        </is>
      </c>
      <c r="B1885" s="4" t="s">
        <f>=HYPERLINK("http://anyluxury.ru/shop/odezhda/vetrovki/vetrovka-unit-kivach-sinyaya-710244/" , "7102.44 Ветровка Unit Kivach синяя, размер 3XL")</f>
      </c>
      <c r="C1885" s="4" t="n">
        <v>1560.00</v>
      </c>
      <c r="D1885" s="4"/>
    </row>
    <row collapsed="" customFormat="false" customHeight="1" hidden="" ht="14" outlineLevel="0" r="1886">
      <c r="A1886" s="3" t="inlineStr">
        <is>
          <t>1857</t>
        </is>
      </c>
      <c r="B1886" s="4" t="s">
        <f>=HYPERLINK("http://anyluxury.ru/shop/odezhda/vetrovki/vetrovka-unit-kivach-sinyaya-710244/" , "7102.44 Ветровка Unit Kivach синяя, размер XS")</f>
      </c>
      <c r="C1886" s="4" t="n">
        <v>1560.00</v>
      </c>
      <c r="D1886" s="4"/>
    </row>
    <row collapsed="" customFormat="false" customHeight="1" hidden="" ht="14" outlineLevel="0" r="1887">
      <c r="A1887" s="3" t="inlineStr">
        <is>
          <t>1858</t>
        </is>
      </c>
      <c r="B1887" s="4" t="s">
        <f>=HYPERLINK("http://anyluxury.ru/shop/odezhda/vetrovki/vetrovka-sirocco-temnosinyaya-ju800003/" , "JU800003 Ветровка Sirocco темно-синяя, размер S")</f>
      </c>
      <c r="C1887" s="4" t="n">
        <v>1940.00</v>
      </c>
      <c r="D1887" s="4"/>
    </row>
    <row collapsed="" customFormat="false" customHeight="1" hidden="" ht="14" outlineLevel="0" r="1888">
      <c r="A1888" s="3" t="inlineStr">
        <is>
          <t>1859</t>
        </is>
      </c>
      <c r="B1888" s="4" t="s">
        <f>=HYPERLINK("http://anyluxury.ru/shop/odezhda/vetrovki/vetrovka-sirocco-oranzhevaya-ju800235/" , "JU800235 Ветровка Sirocco оранжевая, размер S")</f>
      </c>
      <c r="C1888" s="4" t="n">
        <v>1940.00</v>
      </c>
      <c r="D1888" s="4"/>
    </row>
    <row collapsed="" customFormat="false" customHeight="1" hidden="" ht="14" outlineLevel="0" r="1889">
      <c r="A1889" s="3" t="inlineStr">
        <is>
          <t>1860</t>
        </is>
      </c>
      <c r="B1889" s="4" t="s">
        <f>=HYPERLINK("http://anyluxury.ru/shop/odezhda/vetrovki/vetrovka-sirocco-yarkosinyaya-ju800450/" , "JU800450 Ветровка Sirocco, ярко-синяя, размер S")</f>
      </c>
      <c r="C1889" s="4" t="n">
        <v>1940.00</v>
      </c>
      <c r="D1889" s="4"/>
    </row>
    <row collapsed="" customFormat="false" customHeight="1" hidden="" ht="14" outlineLevel="0" r="1890">
      <c r="A1890" s="3" t="inlineStr">
        <is>
          <t>1861</t>
        </is>
      </c>
      <c r="B1890" s="4" t="s">
        <f>=HYPERLINK("http://anyluxury.ru/shop/odezhda/vetrovki/vetrovka-id601-temnosinyaya-jui60003/" , "JUI60003 Ветровка ID.601 темно-синяя, размер S")</f>
      </c>
      <c r="C1890" s="4" t="n">
        <v>3995.00</v>
      </c>
      <c r="D1890" s="4"/>
    </row>
    <row collapsed="" customFormat="false" customHeight="1" hidden="" ht="14" outlineLevel="0" r="1891">
      <c r="A1891" s="3" t="inlineStr">
        <is>
          <t>1862</t>
        </is>
      </c>
      <c r="B1891" s="4" t="s">
        <f>=HYPERLINK("http://anyluxury.ru/shop/odezhda/vetrovki/vetrovka-id601-temnosinyaya-jui60003/" , "JUI60003 Ветровка ID.601 темно-синяя, размер M")</f>
      </c>
      <c r="C1891" s="4" t="n">
        <v>3995.00</v>
      </c>
      <c r="D1891" s="4"/>
    </row>
    <row collapsed="" customFormat="false" customHeight="1" hidden="" ht="14" outlineLevel="0" r="1892">
      <c r="A1892" s="3" t="inlineStr">
        <is>
          <t>1863</t>
        </is>
      </c>
      <c r="B1892" s="4" t="s">
        <f>=HYPERLINK("http://anyluxury.ru/shop/odezhda/vetrovki/vetrovka-id601-krasnaya-jui60004/" , "JUI60004 Ветровка ID.601 красная, размер S")</f>
      </c>
      <c r="C1892" s="4" t="n">
        <v>3995.00</v>
      </c>
      <c r="D1892" s="4"/>
    </row>
    <row collapsed="" customFormat="false" customHeight="1" hidden="" ht="14" outlineLevel="0" r="1893">
      <c r="A1893" s="3" t="inlineStr">
        <is>
          <t>1864</t>
        </is>
      </c>
      <c r="B1893" s="4" t="s">
        <f>=HYPERLINK("http://anyluxury.ru/shop/odezhda/vetrovki/vetrovka-id601-krasnaya-jui60004/" , "JUI60004 Ветровка ID.601 красная, размер XL")</f>
      </c>
      <c r="C1893" s="4" t="n">
        <v>3995.00</v>
      </c>
      <c r="D1893" s="4"/>
    </row>
    <row collapsed="" customFormat="false" customHeight="1" hidden="" ht="14" outlineLevel="0" r="1894">
      <c r="A1894" s="3" t="inlineStr">
        <is>
          <t>1865</t>
        </is>
      </c>
      <c r="B1894" s="4" t="s">
        <f>=HYPERLINK("http://anyluxury.ru/shop/odezhda/vetrovki/vetrovka-id601-krasnaya-jui60004/" , "JUI60004 Ветровка ID.601 красная, размер XXL")</f>
      </c>
      <c r="C1894" s="4" t="n">
        <v>3995.00</v>
      </c>
      <c r="D1894" s="4"/>
    </row>
    <row collapsed="" customFormat="false" customHeight="1" hidden="" ht="14" outlineLevel="0" r="1895">
      <c r="A1895" s="3" t="inlineStr">
        <is>
          <t>1866</t>
        </is>
      </c>
      <c r="B1895" s="4" t="s">
        <f>=HYPERLINK("http://anyluxury.ru/shop/odezhda/vetrovki/vetrovka-zhenskaya-sirocco-belaya-jw902001/" , "JW902001 Ветровка женская Sirocco белая, размер XS")</f>
      </c>
      <c r="C1895" s="4" t="n">
        <v>1947.00</v>
      </c>
      <c r="D1895" s="4"/>
    </row>
    <row collapsed="" customFormat="false" customHeight="1" hidden="" ht="14" outlineLevel="0" r="1896">
      <c r="A1896" s="3" t="inlineStr">
        <is>
          <t>1867</t>
        </is>
      </c>
      <c r="B1896" s="4" t="s">
        <f>=HYPERLINK("http://anyluxury.ru/shop/odezhda/vetrovki/vetrovka-zhenskaya-sirocco-belaya-jw902001/" , "JW902001 Ветровка женская Sirocco белая, размер S")</f>
      </c>
      <c r="C1896" s="4" t="n">
        <v>1947.00</v>
      </c>
      <c r="D1896" s="4"/>
    </row>
    <row collapsed="" customFormat="false" customHeight="1" hidden="" ht="14" outlineLevel="0" r="1897">
      <c r="A1897" s="3" t="inlineStr">
        <is>
          <t>1868</t>
        </is>
      </c>
      <c r="B1897" s="4" t="s">
        <f>=HYPERLINK("http://anyluxury.ru/shop/odezhda/vetrovki/vetrovka-zhenskaya-sirocco-chernaya-jw902002/" , "JW902002 Ветровка женская Sirocco черная, размер L")</f>
      </c>
      <c r="C1897" s="4" t="n">
        <v>1947.00</v>
      </c>
      <c r="D1897" s="4"/>
    </row>
    <row collapsed="" customFormat="false" customHeight="1" hidden="" ht="14" outlineLevel="0" r="1898">
      <c r="A1898" s="3" t="inlineStr">
        <is>
          <t>1869</t>
        </is>
      </c>
      <c r="B1898" s="4" t="s">
        <f>=HYPERLINK("http://anyluxury.ru/shop/odezhda/vetrovki/vetrovka-zhenskaya-sirocco-chernaya-jw902002/" , "JW902002 Ветровка женская Sirocco черная, размер XL")</f>
      </c>
      <c r="C1898" s="4" t="n">
        <v>1947.00</v>
      </c>
      <c r="D1898" s="4"/>
    </row>
    <row collapsed="" customFormat="false" customHeight="1" hidden="" ht="14" outlineLevel="0" r="1899">
      <c r="A1899" s="3" t="inlineStr">
        <is>
          <t>1870</t>
        </is>
      </c>
      <c r="B1899" s="4" t="s">
        <f>=HYPERLINK("http://anyluxury.ru/shop/odezhda/vetrovki/vetrovka-zhenskaya-sirocco-temnosinyaya-jw902003/" , "JW902003 Ветровка женская Sirocco темно-синяя, размер XS")</f>
      </c>
      <c r="C1899" s="4" t="n">
        <v>1947.00</v>
      </c>
      <c r="D1899" s="4"/>
    </row>
    <row collapsed="" customFormat="false" customHeight="1" hidden="" ht="14" outlineLevel="0" r="1900">
      <c r="A1900" s="3" t="inlineStr">
        <is>
          <t>1871</t>
        </is>
      </c>
      <c r="B1900" s="4" t="s">
        <f>=HYPERLINK("http://anyluxury.ru/shop/odezhda/vetrovki/vetrovka-zhenskaya-sirocco-temnosinyaya-jw902003/" , "JW902003 Ветровка женская Sirocco темно-синяя, размер S")</f>
      </c>
      <c r="C1900" s="4" t="n">
        <v>1947.00</v>
      </c>
      <c r="D1900" s="4"/>
    </row>
    <row collapsed="" customFormat="false" customHeight="1" hidden="" ht="14" outlineLevel="0" r="1901">
      <c r="A1901" s="3" t="inlineStr">
        <is>
          <t>1872</t>
        </is>
      </c>
      <c r="B1901" s="4" t="s">
        <f>=HYPERLINK("http://anyluxury.ru/shop/odezhda/vetrovki/vetrovka-zhenskaya-sirocco-temnosinyaya-jw902003/" , "JW902003 Ветровка женская Sirocco темно-синяя, размер L")</f>
      </c>
      <c r="C1901" s="4" t="n">
        <v>1947.00</v>
      </c>
      <c r="D1901" s="4"/>
    </row>
    <row collapsed="" customFormat="false" customHeight="1" hidden="" ht="14" outlineLevel="0" r="1902">
      <c r="A1902" s="3" t="inlineStr">
        <is>
          <t>1873</t>
        </is>
      </c>
      <c r="B1902" s="4" t="s">
        <f>=HYPERLINK("http://anyluxury.ru/shop/odezhda/vetrovki/vetrovka-ralph-temnosinyaya-02757231/" , "02757231 Ветровка RALPH темно-синяя, размер XS")</f>
      </c>
      <c r="C1902" s="4" t="n">
        <v>4687.00</v>
      </c>
      <c r="D1902" s="4"/>
    </row>
    <row collapsed="" customFormat="false" customHeight="1" hidden="" ht="14" outlineLevel="0" r="1903">
      <c r="A1903" s="3" t="inlineStr">
        <is>
          <t>1874</t>
        </is>
      </c>
      <c r="B1903" s="4" t="s">
        <f>=HYPERLINK("http://anyluxury.ru/shop/odezhda/vetrovki/vetrovka-ralph-temnosinyaya-02757231/" , "02757231 Ветровка RALPH темно-синяя, размер S")</f>
      </c>
      <c r="C1903" s="4" t="n">
        <v>4687.00</v>
      </c>
      <c r="D1903" s="4"/>
    </row>
    <row collapsed="" customFormat="false" customHeight="1" hidden="" ht="14" outlineLevel="0" r="1904">
      <c r="A1904" s="3" t="inlineStr">
        <is>
          <t>1875</t>
        </is>
      </c>
      <c r="B1904" s="4" t="s">
        <f>=HYPERLINK("http://anyluxury.ru/shop/odezhda/vetrovki/vetrovka-ralph-temnosinyaya-02757231/" , "02757231 Ветровка RALPH темно-синяя, размер M")</f>
      </c>
      <c r="C1904" s="4" t="n">
        <v>4687.00</v>
      </c>
      <c r="D1904" s="4"/>
    </row>
    <row collapsed="" customFormat="false" customHeight="1" hidden="" ht="14" outlineLevel="0" r="1905">
      <c r="A1905" s="3" t="inlineStr">
        <is>
          <t>1876</t>
        </is>
      </c>
      <c r="B1905" s="4" t="s">
        <f>=HYPERLINK("http://anyluxury.ru/shop/odezhda/vetrovki/vetrovka-ralph-temnosinyaya-02757231/" , "02757231 Ветровка RALPH темно-синяя, размер 3XL")</f>
      </c>
      <c r="C1905" s="4" t="n">
        <v>5343.00</v>
      </c>
      <c r="D1905" s="4"/>
    </row>
    <row collapsed="" customFormat="false" customHeight="1" hidden="" ht="14" outlineLevel="0" r="1906">
      <c r="A1906" s="3" t="inlineStr">
        <is>
          <t>1877</t>
        </is>
      </c>
      <c r="B1906" s="4" t="s">
        <f>=HYPERLINK("http://anyluxury.ru/shop/odezhda/vetrovki/vetrovka-ralph-krasnaya-02757145/" , "02757145 Ветровка RALPH красная, размер XS")</f>
      </c>
      <c r="C1906" s="4" t="n">
        <v>4687.00</v>
      </c>
      <c r="D1906" s="4"/>
    </row>
    <row collapsed="" customFormat="false" customHeight="1" hidden="" ht="14" outlineLevel="0" r="1907">
      <c r="A1907" s="3" t="inlineStr">
        <is>
          <t>1878</t>
        </is>
      </c>
      <c r="B1907" s="4" t="s">
        <f>=HYPERLINK("http://anyluxury.ru/shop/odezhda/vetrovki/vetrovka-ralph-krasnaya-02757145/" , "02757145 Ветровка RALPH красная, размер XL")</f>
      </c>
      <c r="C1907" s="4" t="n">
        <v>4687.00</v>
      </c>
      <c r="D1907" s="4"/>
    </row>
    <row collapsed="" customFormat="false" customHeight="1" hidden="" ht="14" outlineLevel="0" r="1908">
      <c r="A1908" s="3" t="inlineStr">
        <is>
          <t>1879</t>
        </is>
      </c>
      <c r="B1908" s="4" t="s">
        <f>=HYPERLINK("http://anyluxury.ru/shop/odezhda/vetrovki/vetrovka-ralph-krasnaya-02757145/" , "02757145 Ветровка RALPH красная, размер XXL")</f>
      </c>
      <c r="C1908" s="4" t="n">
        <v>4687.00</v>
      </c>
      <c r="D1908" s="4"/>
    </row>
    <row collapsed="" customFormat="false" customHeight="1" hidden="" ht="14" outlineLevel="0" r="1909">
      <c r="A1909" s="3" t="inlineStr">
        <is>
          <t>1880</t>
        </is>
      </c>
      <c r="B1909" s="4" t="s">
        <f>=HYPERLINK("http://anyluxury.ru/shop/odezhda/vetrovki/vetrovka-ralph-krasnaya-02757145/" , "02757145 Ветровка RALPH красная, размер 3XL")</f>
      </c>
      <c r="C1909" s="4" t="n">
        <v>5343.00</v>
      </c>
      <c r="D1909" s="4"/>
    </row>
    <row collapsed="" customFormat="false" customHeight="1" hidden="" ht="14" outlineLevel="0" r="1910">
      <c r="A1910" s="3" t="inlineStr">
        <is>
          <t>1881</t>
        </is>
      </c>
      <c r="B1910" s="4" t="s">
        <f>=HYPERLINK("http://anyluxury.ru/shop/odezhda/vetrovki/vetrovka-sirocco-zelenoe-yabloko-ju800732/" , "JU800732 Ветровка Sirocco зеленое яблоко, размер S")</f>
      </c>
      <c r="C1910" s="4" t="n">
        <v>1940.00</v>
      </c>
      <c r="D1910" s="4"/>
    </row>
    <row collapsed="" customFormat="false" customHeight="1" hidden="" ht="14" outlineLevel="0" r="1911">
      <c r="A1911" s="3" t="inlineStr">
        <is>
          <t>1882</t>
        </is>
      </c>
      <c r="B1911" s="4" t="s">
        <f>=HYPERLINK("http://anyluxury.ru/shop/odezhda/vetrovki/vetrovka-zhenskaya-sirocco-oranzhevaya-jw902235/" , "JW902235 Ветровка женская Sirocco оранжевая, размер S")</f>
      </c>
      <c r="C1911" s="4" t="n">
        <v>1947.00</v>
      </c>
      <c r="D1911" s="4"/>
    </row>
    <row collapsed="" customFormat="false" customHeight="1" hidden="" ht="14" outlineLevel="0" r="1912">
      <c r="A1912" s="3" t="inlineStr">
        <is>
          <t>1883</t>
        </is>
      </c>
      <c r="B1912" s="4" t="s">
        <f>=HYPERLINK("http://anyluxury.ru/shop/odezhda/vetrovki/vetrovka-zhenskaya-sirocco-oranzhevaya-jw902235/" , "JW902235 Ветровка женская Sirocco оранжевая, размер M")</f>
      </c>
      <c r="C1912" s="4" t="n">
        <v>1947.00</v>
      </c>
      <c r="D1912" s="4"/>
    </row>
    <row collapsed="" customFormat="false" customHeight="1" hidden="" ht="14" outlineLevel="0" r="1913">
      <c r="A1913" s="3" t="inlineStr">
        <is>
          <t>1884</t>
        </is>
      </c>
      <c r="B1913" s="4" t="s">
        <f>=HYPERLINK("http://anyluxury.ru/shop/odezhda/vetrovki/vetrovka-zhenskaya-sirocco-oranzhevaya-jw902235/" , "JW902235 Ветровка женская Sirocco оранжевая, размер XL")</f>
      </c>
      <c r="C1913" s="4" t="n">
        <v>1947.00</v>
      </c>
      <c r="D1913" s="4"/>
    </row>
    <row collapsed="" customFormat="false" customHeight="1" hidden="" ht="14" outlineLevel="0" r="1914">
      <c r="A1914" s="3" t="inlineStr">
        <is>
          <t>1885</t>
        </is>
      </c>
      <c r="B1914" s="4" t="s">
        <f>=HYPERLINK("http://anyluxury.ru/shop/odezhda/vetrovki/vetrovka-zhenskaya-sirocco-oranzhevaya-jw902235/" , "JW902235 Ветровка женская Sirocco оранжевая, размер XXL")</f>
      </c>
      <c r="C1914" s="4" t="n">
        <v>1947.00</v>
      </c>
      <c r="D1914" s="4"/>
    </row>
    <row collapsed="" customFormat="false" customHeight="1" hidden="" ht="14" outlineLevel="0" r="1915">
      <c r="A1915" s="3" t="inlineStr">
        <is>
          <t>1886</t>
        </is>
      </c>
      <c r="B1915" s="4" t="s">
        <f>=HYPERLINK("http://anyluxury.ru/shop/odezhda/vetrovki/vetrovka-zhenskaya-sirocco-zelenoe-yabloko-jw902732/" , "JW902732 Ветровка женская Sirocco зеленое яблоко, размер S")</f>
      </c>
      <c r="C1915" s="4" t="n">
        <v>1947.00</v>
      </c>
      <c r="D1915" s="4"/>
    </row>
    <row collapsed="" customFormat="false" customHeight="1" hidden="" ht="14" outlineLevel="0" r="1916">
      <c r="A1916" s="3" t="inlineStr">
        <is>
          <t>1887</t>
        </is>
      </c>
      <c r="B1916" s="4" t="s">
        <f>=HYPERLINK("http://anyluxury.ru/shop/odezhda/vetrovki/vetrovka-muzhskaya-medvind-krasnaya-693850/" , "6938.50 Ветровка мужская Medvind красная, размер S")</f>
      </c>
      <c r="C1916" s="4" t="n">
        <v>4937.00</v>
      </c>
      <c r="D1916" s="4"/>
    </row>
    <row collapsed="" customFormat="false" customHeight="1" hidden="" ht="14" outlineLevel="0" r="1917">
      <c r="A1917" s="3" t="inlineStr">
        <is>
          <t>1888</t>
        </is>
      </c>
      <c r="B1917" s="4" t="s">
        <f>=HYPERLINK("http://anyluxury.ru/shop/odezhda/vetrovki/vetrovka-muzhskaya-medvind-seraya-693810/" , "6938.10 Ветровка мужская Medvind серая, размер S")</f>
      </c>
      <c r="C1917" s="4" t="n">
        <v>4937.00</v>
      </c>
      <c r="D1917" s="4"/>
    </row>
    <row collapsed="" customFormat="false" customHeight="1" hidden="" ht="14" outlineLevel="0" r="1918">
      <c r="A1918" s="3" t="inlineStr">
        <is>
          <t>1889</t>
        </is>
      </c>
      <c r="B1918" s="4" t="s">
        <f>=HYPERLINK("http://anyluxury.ru/shop/odezhda/vetrovki/vetrovka-muzhskaya-medvind-seraya-693810/" , "6938.10 Ветровка мужская Medvind серая, размер L")</f>
      </c>
      <c r="C1918" s="4" t="n">
        <v>4690.00</v>
      </c>
      <c r="D1918" s="4"/>
    </row>
    <row collapsed="" customFormat="false" customHeight="1" hidden="" ht="14" outlineLevel="0" r="1919">
      <c r="A1919" s="3" t="inlineStr">
        <is>
          <t>1890</t>
        </is>
      </c>
      <c r="B1919" s="4" t="s">
        <f>=HYPERLINK("http://anyluxury.ru/shop/odezhda/vetrovki/vetrovka-id601-chernaya-jui60002/" , "JUI60002 Ветровка ID.601 черная, размер S")</f>
      </c>
      <c r="C1919" s="4" t="n">
        <v>3995.00</v>
      </c>
      <c r="D1919" s="4"/>
    </row>
    <row collapsed="" customFormat="false" customHeight="1" hidden="" ht="14" outlineLevel="0" r="1920">
      <c r="A1920" s="3" t="inlineStr">
        <is>
          <t>1891</t>
        </is>
      </c>
      <c r="B1920" s="4" t="s">
        <f>=HYPERLINK("http://anyluxury.ru/shop/odezhda/vetrovki/vetrovka-id601-chernaya-jui60002/" , "JUI60002 Ветровка ID.601 черная, размер XXL")</f>
      </c>
      <c r="C1920" s="4" t="n">
        <v>3995.00</v>
      </c>
      <c r="D1920" s="4"/>
    </row>
    <row collapsed="" customFormat="false" customHeight="1" hidden="" ht="14" outlineLevel="0" r="1921">
      <c r="A1921" s="3" t="inlineStr">
        <is>
          <t>1892</t>
        </is>
      </c>
      <c r="B1921" s="4" t="s">
        <f>=HYPERLINK("http://anyluxury.ru/shop/odezhda/vetrovki/vetrovka-id601-temnoseraya-jui60670/" , "JUI60670 Ветровка ID.601 темно-серая, размер S")</f>
      </c>
      <c r="C1921" s="4" t="n">
        <v>3995.00</v>
      </c>
      <c r="D1921" s="4"/>
    </row>
    <row collapsed="" customFormat="false" customHeight="1" hidden="" ht="14" outlineLevel="0" r="1922">
      <c r="A1922" s="3" t="inlineStr">
        <is>
          <t>1893</t>
        </is>
      </c>
      <c r="B1922" s="4" t="s">
        <f>=HYPERLINK("http://anyluxury.ru/shop/odezhda/vetrovki/vetrovka-id601-temnoseraya-jui60670/" , "JUI60670 Ветровка ID.601 темно-серая, размер M")</f>
      </c>
      <c r="C1922" s="4" t="n">
        <v>3995.00</v>
      </c>
      <c r="D1922" s="4"/>
    </row>
    <row collapsed="" customFormat="false" customHeight="1" hidden="" ht="14" outlineLevel="0" r="1923">
      <c r="A1923" s="3" t="inlineStr">
        <is>
          <t>1894</t>
        </is>
      </c>
      <c r="B1923" s="4" t="s">
        <f>=HYPERLINK("http://anyluxury.ru/shop/odezhda/vetrovki/vetrovka-unit-kivach-zelenoe-yabloko-710292/" , "7102.92 Ветровка Unit Kivach зеленое яблоко, размер L")</f>
      </c>
      <c r="C1923" s="4" t="n">
        <v>1560.00</v>
      </c>
      <c r="D1923" s="4"/>
    </row>
    <row collapsed="" customFormat="false" customHeight="1" hidden="" ht="14" outlineLevel="0" r="1924">
      <c r="A1924" s="3" t="inlineStr">
        <is>
          <t>1895</t>
        </is>
      </c>
      <c r="B1924" s="4" t="s">
        <f>=HYPERLINK("http://anyluxury.ru/shop/odezhda/vetrovki/vetrovka-unit-kivach-zelenoe-yabloko-710292/" , "7102.92 Ветровка Unit Kivach зеленое яблоко, размер XL")</f>
      </c>
      <c r="C1924" s="4" t="n">
        <v>1560.00</v>
      </c>
      <c r="D1924" s="4"/>
    </row>
    <row collapsed="" customFormat="false" customHeight="1" hidden="" ht="14" outlineLevel="0" r="1925">
      <c r="A1925" s="3" t="inlineStr">
        <is>
          <t>1896</t>
        </is>
      </c>
      <c r="B1925" s="4" t="s">
        <f>=HYPERLINK("http://anyluxury.ru/shop/odezhda/vetrovki/vetrovka-unit-kivach-zelenoe-yabloko-710292/" , "7102.92 Ветровка Unit Kivach зеленое яблоко, размер XXL")</f>
      </c>
      <c r="C1925" s="4" t="n">
        <v>1560.00</v>
      </c>
      <c r="D1925" s="4"/>
    </row>
    <row collapsed="" customFormat="false" customHeight="1" hidden="" ht="14" outlineLevel="0" r="1926">
      <c r="A1926" s="3" t="inlineStr">
        <is>
          <t>1897</t>
        </is>
      </c>
      <c r="B1926" s="4" t="s">
        <f>=HYPERLINK("http://anyluxury.ru/shop/odezhda/vetrovki/vetrovka-unit-kivach-zelenoe-yabloko-710292/" , "7102.92 Ветровка Kivach, зеленое яблоко, размер S")</f>
      </c>
      <c r="C1926" s="4" t="n">
        <v>1560.00</v>
      </c>
      <c r="D1926" s="4"/>
    </row>
    <row collapsed="" customFormat="false" customHeight="1" hidden="" ht="14" outlineLevel="0" r="1927">
      <c r="A1927" s="3" t="inlineStr">
        <is>
          <t>1898</t>
        </is>
      </c>
      <c r="B1927" s="4" t="s">
        <f>=HYPERLINK("http://anyluxury.ru/shop/odezhda/vetrovki/vetrovka-unit-kivach-zelenoe-yabloko-710292/" , "7102.92 Ветровка Kivach, зеленое яблоко, размер M")</f>
      </c>
      <c r="C1927" s="4" t="n">
        <v>1560.00</v>
      </c>
      <c r="D1927" s="4"/>
    </row>
    <row collapsed="" customFormat="false" customHeight="1" hidden="" ht="14" outlineLevel="0" r="1928">
      <c r="A1928" s="3" t="inlineStr">
        <is>
          <t>1899</t>
        </is>
      </c>
      <c r="B1928" s="4" t="s">
        <f>=HYPERLINK("http://anyluxury.ru/shop/odezhda/vetrovki/vetrovka-unit-kivach-zelenoe-yabloko-710292/" , "7102.92 Ветровка Kivach, зеленое яблоко, размер L")</f>
      </c>
      <c r="C1928" s="4" t="n">
        <v>1560.00</v>
      </c>
      <c r="D1928" s="4"/>
    </row>
    <row collapsed="" customFormat="false" customHeight="1" hidden="" ht="14" outlineLevel="0" r="1929">
      <c r="A1929" s="3" t="inlineStr">
        <is>
          <t>1900</t>
        </is>
      </c>
      <c r="B1929" s="4" t="s">
        <f>=HYPERLINK("http://anyluxury.ru/shop/odezhda/vetrovki/vetrovka-unit-kivach-zelenoe-yabloko-710292/" , "7102.92 Ветровка Kivach, зеленое яблоко, размер XL")</f>
      </c>
      <c r="C1929" s="4" t="n">
        <v>1560.00</v>
      </c>
      <c r="D1929" s="4"/>
    </row>
    <row collapsed="" customFormat="false" customHeight="1" hidden="" ht="14" outlineLevel="0" r="1930">
      <c r="A1930" s="3" t="inlineStr">
        <is>
          <t>1901</t>
        </is>
      </c>
      <c r="B1930" s="4" t="s">
        <f>=HYPERLINK("http://anyluxury.ru/shop/odezhda/vetrovki/vetrovka-unit-kivach-zelenoe-yabloko-710292/" , "7102.92 Ветровка Kivach, зеленое яблоко, размер XXL")</f>
      </c>
      <c r="C1930" s="4" t="n">
        <v>1560.00</v>
      </c>
      <c r="D1930" s="4"/>
    </row>
    <row collapsed="" customFormat="false" customHeight="1" hidden="" ht="14" outlineLevel="0" r="1931">
      <c r="A1931" s="3" t="inlineStr">
        <is>
          <t>1902</t>
        </is>
      </c>
      <c r="B1931" s="4" t="s">
        <f>=HYPERLINK("http://anyluxury.ru/shop/odezhda/vetrovki/vetrovka-unit-kivach-zelenoe-yabloko-710292/" , "7102.92 Ветровка Kivach, зеленое яблоко, размер 3XL")</f>
      </c>
      <c r="C1931" s="4" t="n">
        <v>1560.00</v>
      </c>
      <c r="D1931" s="4"/>
    </row>
    <row collapsed="" customFormat="false" customHeight="1" hidden="" ht="14" outlineLevel="0" r="1932">
      <c r="A1932" s="3" t="inlineStr">
        <is>
          <t>1903</t>
        </is>
      </c>
      <c r="B1932" s="4" t="s">
        <f>=HYPERLINK("http://anyluxury.ru/shop/odezhda/vetrovki/vetrovka-svetootrazhayushhaya-lattvind-chernaya-1115430/" , "11154.30 Ветровка Lattvind черная, размер XXS")</f>
      </c>
      <c r="C1932" s="4" t="n">
        <v>5148.00</v>
      </c>
      <c r="D1932" s="4"/>
    </row>
    <row collapsed="" customFormat="false" customHeight="1" hidden="" ht="14" outlineLevel="0" r="1933">
      <c r="A1933" s="3" t="inlineStr">
        <is>
          <t>1904</t>
        </is>
      </c>
      <c r="B1933" s="4" t="s">
        <f>=HYPERLINK("http://anyluxury.ru/shop/odezhda/vetrovki/vetrovka-svetootrazhayushhaya-lattvind-chernaya-1115430/" , "11154.30 Ветровка Lattvind черная, размер XS")</f>
      </c>
      <c r="C1933" s="4" t="n">
        <v>5148.00</v>
      </c>
      <c r="D1933" s="4"/>
    </row>
    <row collapsed="" customFormat="false" customHeight="1" hidden="" ht="14" outlineLevel="0" r="1934">
      <c r="A1934" s="3" t="inlineStr">
        <is>
          <t>1905</t>
        </is>
      </c>
      <c r="B1934" s="4" t="s">
        <f>=HYPERLINK("http://anyluxury.ru/shop/odezhda/vetrovki/vetrovka-svetootrazhayushhaya-lattvind-chernaya-1115430/" , "11154.30 Ветровка Lattvind черная, размер S")</f>
      </c>
      <c r="C1934" s="4" t="n">
        <v>5148.00</v>
      </c>
      <c r="D1934" s="4"/>
    </row>
    <row collapsed="" customFormat="false" customHeight="1" hidden="" ht="14" outlineLevel="0" r="1935">
      <c r="A1935" s="3" t="inlineStr">
        <is>
          <t>1906</t>
        </is>
      </c>
      <c r="B1935" s="4" t="s">
        <f>=HYPERLINK("http://anyluxury.ru/shop/odezhda/vetrovki/vetrovka-svetootrazhayushhaya-lattvind-chernaya-1115430/" , "11154.30 Ветровка Lattvind черная, размер M")</f>
      </c>
      <c r="C1935" s="4" t="n">
        <v>5148.00</v>
      </c>
      <c r="D1935" s="4"/>
    </row>
    <row collapsed="" customFormat="false" customHeight="1" hidden="" ht="14" outlineLevel="0" r="1936">
      <c r="A1936" s="3" t="inlineStr">
        <is>
          <t>1907</t>
        </is>
      </c>
      <c r="B1936" s="4" t="s">
        <f>=HYPERLINK("http://anyluxury.ru/shop/odezhda/vetrovki/vetrovka-svetootrazhayushhaya-lattvind-chernaya-1115430/" , "11154.30 Ветровка Lattvind черная, размер L")</f>
      </c>
      <c r="C1936" s="4" t="n">
        <v>5148.00</v>
      </c>
      <c r="D1936" s="4"/>
    </row>
    <row collapsed="" customFormat="false" customHeight="1" hidden="" ht="14" outlineLevel="0" r="1937">
      <c r="A1937" s="3" t="inlineStr">
        <is>
          <t>1908</t>
        </is>
      </c>
      <c r="B1937" s="4" t="s">
        <f>=HYPERLINK("http://anyluxury.ru/shop/odezhda/vetrovki/vetrovka-svetootrazhayushhaya-lattvind-temnosinyaya-1115440/" , "11154.40 Ветровка Lattvind темно-синяя, размер XXS")</f>
      </c>
      <c r="C1937" s="4" t="n">
        <v>5148.00</v>
      </c>
      <c r="D1937" s="4"/>
    </row>
    <row collapsed="" customFormat="false" customHeight="1" hidden="" ht="14" outlineLevel="0" r="1938">
      <c r="A1938" s="3" t="inlineStr">
        <is>
          <t>1909</t>
        </is>
      </c>
      <c r="B1938" s="4" t="s">
        <f>=HYPERLINK("http://anyluxury.ru/shop/odezhda/vetrovki/vetrovka-svetootrazhayushhaya-lattvind-temnosinyaya-1115440/" , "11154.40 Ветровка Lattvind темно-синяя, размер XS")</f>
      </c>
      <c r="C1938" s="4" t="n">
        <v>5148.00</v>
      </c>
      <c r="D1938" s="4"/>
    </row>
    <row collapsed="" customFormat="false" customHeight="1" hidden="" ht="14" outlineLevel="0" r="1939">
      <c r="A1939" s="3" t="inlineStr">
        <is>
          <t>1910</t>
        </is>
      </c>
      <c r="B1939" s="4" t="s">
        <f>=HYPERLINK("http://anyluxury.ru/shop/odezhda/vetrovki/vetrovka-svetootrazhayushhaya-lattvind-temnosinyaya-1115440/" , "11154.40 Ветровка Lattvind темно-синяя, размер S")</f>
      </c>
      <c r="C1939" s="4" t="n">
        <v>5148.00</v>
      </c>
      <c r="D1939" s="4"/>
    </row>
    <row collapsed="" customFormat="false" customHeight="1" hidden="" ht="14" outlineLevel="0" r="1940">
      <c r="A1940" s="3" t="inlineStr">
        <is>
          <t>1911</t>
        </is>
      </c>
      <c r="B1940" s="4" t="s">
        <f>=HYPERLINK("http://anyluxury.ru/shop/odezhda/vetrovki/vetrovka-svetootrazhayushhaya-lattvind-temnosinyaya-1115440/" , "11154.40 Ветровка Lattvind темно-синяя, размер M")</f>
      </c>
      <c r="C1940" s="4" t="n">
        <v>5148.00</v>
      </c>
      <c r="D1940" s="4"/>
    </row>
    <row collapsed="" customFormat="false" customHeight="1" hidden="" ht="14" outlineLevel="0" r="1941">
      <c r="A1941" s="3" t="inlineStr">
        <is>
          <t>1912</t>
        </is>
      </c>
      <c r="B1941" s="4" t="s">
        <f>=HYPERLINK("http://anyluxury.ru/shop/odezhda/vetrovki/vetrovka-svetootrazhayushhaya-lattvind-temnosinyaya-1115440/" , "11154.40 Ветровка Lattvind темно-синяя, размер XL")</f>
      </c>
      <c r="C1941" s="4" t="n">
        <v>5148.00</v>
      </c>
      <c r="D1941" s="4"/>
    </row>
    <row collapsed="" customFormat="false" customHeight="1" hidden="" ht="14" outlineLevel="0" r="1942">
      <c r="A1942" s="3" t="inlineStr">
        <is>
          <t>1913</t>
        </is>
      </c>
      <c r="B1942" s="4" t="s">
        <f>=HYPERLINK("http://anyluxury.ru/shop/odezhda/vetrovki/vetrovka-svetootrazhayushhaya-lattvind-temnosinyaya-1115440/" , "11154.40 Ветровка Lattvind темно-синяя, размер XXL")</f>
      </c>
      <c r="C1942" s="4" t="n">
        <v>5148.00</v>
      </c>
      <c r="D1942" s="4"/>
    </row>
    <row collapsed="" customFormat="false" customHeight="1" hidden="" ht="14" outlineLevel="0" r="1943">
      <c r="A1943" s="3" t="inlineStr">
        <is>
          <t>1914</t>
        </is>
      </c>
      <c r="B1943" s="4" t="s">
        <f>=HYPERLINK("http://anyluxury.ru/shop/odezhda/vetrovki/vetrovka-svetootrazhayushhaya-lattvind-seraya-1115411/" , "11154.11 Ветровка Lattvind серая, размер XXS")</f>
      </c>
      <c r="C1943" s="4" t="n">
        <v>5148.00</v>
      </c>
      <c r="D1943" s="4"/>
    </row>
    <row collapsed="" customFormat="false" customHeight="1" hidden="" ht="14" outlineLevel="0" r="1944">
      <c r="A1944" s="3" t="inlineStr">
        <is>
          <t>1915</t>
        </is>
      </c>
      <c r="B1944" s="4" t="s">
        <f>=HYPERLINK("http://anyluxury.ru/shop/odezhda/vetrovki/vetrovka-svetootrazhayushhaya-lattvind-seraya-1115411/" , "11154.11 Ветровка Lattvind серая, размер XS")</f>
      </c>
      <c r="C1944" s="4" t="n">
        <v>5148.00</v>
      </c>
      <c r="D1944" s="4"/>
    </row>
    <row collapsed="" customFormat="false" customHeight="1" hidden="" ht="14" outlineLevel="0" r="1945">
      <c r="A1945" s="3" t="inlineStr">
        <is>
          <t>1916</t>
        </is>
      </c>
      <c r="B1945" s="4" t="s">
        <f>=HYPERLINK("http://anyluxury.ru/shop/odezhda/vetrovki/vetrovka-svetootrazhayushhaya-lattvind-seraya-1115411/" , "11154.11 Ветровка Lattvind серая, размер S")</f>
      </c>
      <c r="C1945" s="4" t="n">
        <v>5148.00</v>
      </c>
      <c r="D1945" s="4"/>
    </row>
    <row collapsed="" customFormat="false" customHeight="1" hidden="" ht="14" outlineLevel="0" r="1946">
      <c r="A1946" s="3" t="inlineStr">
        <is>
          <t>1917</t>
        </is>
      </c>
      <c r="B1946" s="4" t="s">
        <f>=HYPERLINK("http://anyluxury.ru/shop/odezhda/vetrovki/vetrovka-svetootrazhayushhaya-lattvind-seraya-1115411/" , "11154.11 Ветровка Lattvind серая, размер M")</f>
      </c>
      <c r="C1946" s="4" t="n">
        <v>5148.00</v>
      </c>
      <c r="D1946" s="4"/>
    </row>
    <row collapsed="" customFormat="false" customHeight="1" hidden="" ht="14" outlineLevel="0" r="1947">
      <c r="A1947" s="3" t="inlineStr">
        <is>
          <t>1918</t>
        </is>
      </c>
      <c r="B1947" s="4" t="s">
        <f>=HYPERLINK("http://anyluxury.ru/shop/odezhda/vetrovki/vetrovka-svetootrazhayushhaya-lattvind-seraya-1115411/" , "11154.11 Ветровка Lattvind серая, размер L")</f>
      </c>
      <c r="C1947" s="4" t="n">
        <v>5148.00</v>
      </c>
      <c r="D1947" s="4"/>
    </row>
    <row collapsed="" customFormat="false" customHeight="1" hidden="" ht="14" outlineLevel="0" r="1948">
      <c r="A1948" s="3" t="inlineStr">
        <is>
          <t>1919</t>
        </is>
      </c>
      <c r="B1948" s="4" t="s">
        <f>=HYPERLINK("http://anyluxury.ru/shop/odezhda/vetrovki/vetrovka-zhenskaya-id601-temnosinyaya-1112640/" , "11126.40 Ветровка женская ID.601 темно-синяя, размер S")</f>
      </c>
      <c r="C1948" s="4" t="n">
        <v>3307.00</v>
      </c>
      <c r="D1948" s="4"/>
    </row>
    <row collapsed="" customFormat="false" customHeight="1" hidden="" ht="14" outlineLevel="0" r="1949">
      <c r="A1949" s="3" t="inlineStr">
        <is>
          <t>1920</t>
        </is>
      </c>
      <c r="B1949" s="4" t="s">
        <f>=HYPERLINK("http://anyluxury.ru/shop/odezhda/vetrovki/vetrovka-zhenskaya-id601-temnosinyaya-1112640/" , "11126.40 Ветровка женская ID.601 темно-синяя, размер XXL")</f>
      </c>
      <c r="C1949" s="4" t="n">
        <v>3307.00</v>
      </c>
      <c r="D1949" s="4"/>
    </row>
    <row collapsed="" customFormat="false" customHeight="1" hidden="" ht="14" outlineLevel="0" r="1950">
      <c r="A1950" s="3" t="inlineStr">
        <is>
          <t>1921</t>
        </is>
      </c>
      <c r="B1950" s="4" t="s">
        <f>=HYPERLINK("http://anyluxury.ru/shop/odezhda/vetrovki/vetrovka-zhenskaya-id601-krasnaya-1112650/" , "11126.50 Ветровка женская ID.601 красная, размер XS")</f>
      </c>
      <c r="C1950" s="4" t="n">
        <v>3659.00</v>
      </c>
      <c r="D1950" s="4"/>
    </row>
    <row collapsed="" customFormat="false" customHeight="1" hidden="" ht="14" outlineLevel="0" r="1951">
      <c r="A1951" s="3" t="inlineStr">
        <is>
          <t>1922</t>
        </is>
      </c>
      <c r="B1951" s="4" t="s">
        <f>=HYPERLINK("http://anyluxury.ru/shop/odezhda/vetrovki/vetrovka-zhenskaya-id601-krasnaya-1112650/" , "11126.50 Ветровка женская ID.601 красная, размер S")</f>
      </c>
      <c r="C1951" s="4" t="n">
        <v>3659.00</v>
      </c>
      <c r="D1951" s="4"/>
    </row>
    <row collapsed="" customFormat="false" customHeight="1" hidden="" ht="14" outlineLevel="0" r="1952">
      <c r="A1952" s="3" t="inlineStr">
        <is>
          <t>1923</t>
        </is>
      </c>
      <c r="B1952" s="4" t="s">
        <f>=HYPERLINK("http://anyluxury.ru/shop/odezhda/vetrovki/vetrovka-zhenskaya-id601-krasnaya-1112650/" , "11126.50 Ветровка женская ID.601 красная, размер M")</f>
      </c>
      <c r="C1952" s="4" t="n">
        <v>3659.00</v>
      </c>
      <c r="D1952" s="4"/>
    </row>
    <row collapsed="" customFormat="false" customHeight="1" hidden="" ht="14" outlineLevel="0" r="1953">
      <c r="A1953" s="3" t="inlineStr">
        <is>
          <t>1924</t>
        </is>
      </c>
      <c r="B1953" s="4" t="s">
        <f>=HYPERLINK("http://anyluxury.ru/shop/odezhda/vetrovki/vetrovka-zhenskaya-id601-krasnaya-1112650/" , "11126.50 Ветровка женская ID.601 красная, размер L")</f>
      </c>
      <c r="C1953" s="4" t="n">
        <v>3659.00</v>
      </c>
      <c r="D1953" s="4"/>
    </row>
    <row collapsed="" customFormat="false" customHeight="1" hidden="" ht="14" outlineLevel="0" r="1954">
      <c r="A1954" s="3" t="inlineStr">
        <is>
          <t>1925</t>
        </is>
      </c>
      <c r="B1954" s="4" t="s">
        <f>=HYPERLINK("http://anyluxury.ru/shop/odezhda/vetrovki/vetrovka-zhenskaya-id601-krasnaya-1112650/" , "11126.50 Ветровка женская ID.601 красная, размер XL")</f>
      </c>
      <c r="C1954" s="4" t="n">
        <v>3659.00</v>
      </c>
      <c r="D1954" s="4"/>
    </row>
    <row collapsed="" customFormat="false" customHeight="1" hidden="" ht="14" outlineLevel="0" r="1955">
      <c r="A1955" s="3" t="inlineStr">
        <is>
          <t>1926</t>
        </is>
      </c>
      <c r="B1955" s="4" t="s">
        <f>=HYPERLINK("http://anyluxury.ru/shop/odezhda/vetrovki/vetrovka-zhenskaya-id601-krasnaya-1112650/" , "11126.50 Ветровка женская ID.601 красная, размер XXL")</f>
      </c>
      <c r="C1955" s="4" t="n">
        <v>3659.00</v>
      </c>
      <c r="D1955" s="4"/>
    </row>
    <row collapsed="" customFormat="false" customHeight="1" hidden="" ht="14" outlineLevel="0" r="1956">
      <c r="A1956" s="3" t="inlineStr">
        <is>
          <t>1927</t>
        </is>
      </c>
      <c r="B1956" s="4" t="s">
        <f>=HYPERLINK("http://anyluxury.ru/shop/odezhda/vetrovki/vetrovka-zhenskaya-id601-oranzhevaya-1112620/" , "11126.20 Ветровка женская ID.601 оранжевая, размер XS")</f>
      </c>
      <c r="C1956" s="4" t="n">
        <v>3659.00</v>
      </c>
      <c r="D1956" s="4"/>
    </row>
    <row collapsed="" customFormat="false" customHeight="1" hidden="" ht="14" outlineLevel="0" r="1957">
      <c r="A1957" s="3" t="inlineStr">
        <is>
          <t>1928</t>
        </is>
      </c>
      <c r="B1957" s="4" t="s">
        <f>=HYPERLINK("http://anyluxury.ru/shop/odezhda/vetrovki/vetrovka-zhenskaya-id601-oranzhevaya-1112620/" , "11126.20 Ветровка женская ID.601 оранжевая, размер S")</f>
      </c>
      <c r="C1957" s="4" t="n">
        <v>3659.00</v>
      </c>
      <c r="D1957" s="4"/>
    </row>
    <row collapsed="" customFormat="false" customHeight="1" hidden="" ht="14" outlineLevel="0" r="1958">
      <c r="A1958" s="3" t="inlineStr">
        <is>
          <t>1929</t>
        </is>
      </c>
      <c r="B1958" s="4" t="s">
        <f>=HYPERLINK("http://anyluxury.ru/shop/odezhda/vetrovki/vetrovka-zhenskaya-id601-oranzhevaya-1112620/" , "11126.20 Ветровка женская ID.601 оранжевая, размер M")</f>
      </c>
      <c r="C1958" s="4" t="n">
        <v>3659.00</v>
      </c>
      <c r="D1958" s="4"/>
    </row>
    <row collapsed="" customFormat="false" customHeight="1" hidden="" ht="14" outlineLevel="0" r="1959">
      <c r="A1959" s="3" t="inlineStr">
        <is>
          <t>1930</t>
        </is>
      </c>
      <c r="B1959" s="4" t="s">
        <f>=HYPERLINK("http://anyluxury.ru/shop/odezhda/vetrovki/vetrovka-zhenskaya-id601-oranzhevaya-1112620/" , "11126.20 Ветровка женская ID.601 оранжевая, размер L")</f>
      </c>
      <c r="C1959" s="4" t="n">
        <v>3659.00</v>
      </c>
      <c r="D1959" s="4"/>
    </row>
    <row collapsed="" customFormat="false" customHeight="1" hidden="" ht="14" outlineLevel="0" r="1960">
      <c r="A1960" s="3" t="inlineStr">
        <is>
          <t>1931</t>
        </is>
      </c>
      <c r="B1960" s="4" t="s">
        <f>=HYPERLINK("http://anyluxury.ru/shop/odezhda/vetrovki/vetrovka-zhenskaya-id601-oranzhevaya-1112620/" , "11126.20 Ветровка женская ID.601 оранжевая, размер XL")</f>
      </c>
      <c r="C1960" s="4" t="n">
        <v>3659.00</v>
      </c>
      <c r="D1960" s="4"/>
    </row>
    <row collapsed="" customFormat="false" customHeight="1" hidden="" ht="14" outlineLevel="0" r="1961">
      <c r="A1961" s="3" t="inlineStr">
        <is>
          <t>1932</t>
        </is>
      </c>
      <c r="B1961" s="4" t="s">
        <f>=HYPERLINK("http://anyluxury.ru/shop/odezhda/vetrovki/vetrovka-zhenskaya-id601-oranzhevaya-1112620/" , "11126.20 Ветровка женская ID.601 оранжевая, размер XXL")</f>
      </c>
      <c r="C1961" s="4" t="n">
        <v>3659.00</v>
      </c>
      <c r="D1961" s="4"/>
    </row>
    <row collapsed="" customFormat="false" customHeight="1" hidden="" ht="14" outlineLevel="0" r="1962">
      <c r="A1962" s="3" t="inlineStr">
        <is>
          <t>1933</t>
        </is>
      </c>
      <c r="B1962" s="4" t="s">
        <f>=HYPERLINK("http://anyluxury.ru/shop/odezhda/vetrovki/vetrovka-zhenskaya-id601-temnoseraya-1112610/" , "11126.10 Ветровка женская ID.601 темно-серая, размер XS")</f>
      </c>
      <c r="C1962" s="4" t="n">
        <v>3659.00</v>
      </c>
      <c r="D1962" s="4"/>
    </row>
    <row collapsed="" customFormat="false" customHeight="1" hidden="" ht="14" outlineLevel="0" r="1963">
      <c r="A1963" s="3" t="inlineStr">
        <is>
          <t>1934</t>
        </is>
      </c>
      <c r="B1963" s="4" t="s">
        <f>=HYPERLINK("http://anyluxury.ru/shop/odezhda/vetrovki/vetrovka-zhenskaya-id601-temnoseraya-1112610/" , "11126.10 Ветровка женская ID.601 темно-серая, размер S")</f>
      </c>
      <c r="C1963" s="4" t="n">
        <v>3659.00</v>
      </c>
      <c r="D1963" s="4"/>
    </row>
    <row collapsed="" customFormat="false" customHeight="1" hidden="" ht="14" outlineLevel="0" r="1964">
      <c r="A1964" s="3" t="inlineStr">
        <is>
          <t>1935</t>
        </is>
      </c>
      <c r="B1964" s="4" t="s">
        <f>=HYPERLINK("http://anyluxury.ru/shop/odezhda/vetrovki/vetrovka-zhenskaya-id601-temnoseraya-1112610/" , "11126.10 Ветровка женская ID.601 темно-серая, размер M")</f>
      </c>
      <c r="C1964" s="4" t="n">
        <v>3659.00</v>
      </c>
      <c r="D1964" s="4"/>
    </row>
    <row collapsed="" customFormat="false" customHeight="1" hidden="" ht="14" outlineLevel="0" r="1965">
      <c r="A1965" s="3" t="inlineStr">
        <is>
          <t>1936</t>
        </is>
      </c>
      <c r="B1965" s="4" t="s">
        <f>=HYPERLINK("http://anyluxury.ru/shop/odezhda/vetrovki/vetrovka-zhenskaya-id601-temnoseraya-1112610/" , "11126.10 Ветровка женская ID.601 темно-серая, размер L")</f>
      </c>
      <c r="C1965" s="4" t="n">
        <v>3659.00</v>
      </c>
      <c r="D1965" s="4"/>
    </row>
    <row collapsed="" customFormat="false" customHeight="1" hidden="" ht="14" outlineLevel="0" r="1966">
      <c r="A1966" s="3" t="inlineStr">
        <is>
          <t>1937</t>
        </is>
      </c>
      <c r="B1966" s="4" t="s">
        <f>=HYPERLINK("http://anyluxury.ru/shop/odezhda/vetrovki/vetrovka-zhenskaya-id601-temnoseraya-1112610/" , "11126.10 Ветровка женская ID.601 темно-серая, размер XL")</f>
      </c>
      <c r="C1966" s="4" t="n">
        <v>3659.00</v>
      </c>
      <c r="D1966" s="4"/>
    </row>
    <row collapsed="" customFormat="false" customHeight="1" hidden="" ht="14" outlineLevel="0" r="1967">
      <c r="A1967" s="3" t="inlineStr">
        <is>
          <t>1938</t>
        </is>
      </c>
      <c r="B1967" s="4" t="s">
        <f>=HYPERLINK("http://anyluxury.ru/shop/odezhda/vetrovki/vetrovka-zhenskaya-id601-temnoseraya-1112610/" , "11126.10 Ветровка женская ID.601 темно-серая, размер XXL")</f>
      </c>
      <c r="C1967" s="4" t="n">
        <v>3659.00</v>
      </c>
      <c r="D1967" s="4"/>
    </row>
    <row collapsed="" customFormat="false" customHeight="1" hidden="" ht="14" outlineLevel="0" r="1968">
      <c r="A1968" s="3" t="inlineStr">
        <is>
          <t>1939</t>
        </is>
      </c>
      <c r="B1968" s="4" t="s">
        <f>=HYPERLINK("http://anyluxury.ru/shop/odezhda/vetrovki/vetrovka-unit-kivach-chernaya-710230/" , "7102.30 Ветровка Unit Kivach черная, размер S")</f>
      </c>
      <c r="C1968" s="4" t="n">
        <v>1560.00</v>
      </c>
      <c r="D1968" s="4"/>
    </row>
    <row collapsed="" customFormat="false" customHeight="1" hidden="" ht="14" outlineLevel="0" r="1969">
      <c r="A1969" s="3" t="inlineStr">
        <is>
          <t>1940</t>
        </is>
      </c>
      <c r="B1969" s="4" t="s">
        <f>=HYPERLINK("http://anyluxury.ru/shop/odezhda/vetrovki/vetrovka-unit-kivach-chernaya-710230/" , "7102.30 Ветровка Unit Kivach черная, размер M")</f>
      </c>
      <c r="C1969" s="4" t="n">
        <v>1560.00</v>
      </c>
      <c r="D1969" s="4"/>
    </row>
    <row collapsed="" customFormat="false" customHeight="1" hidden="" ht="14" outlineLevel="0" r="1970">
      <c r="A1970" s="3" t="inlineStr">
        <is>
          <t>1941</t>
        </is>
      </c>
      <c r="B1970" s="4" t="s">
        <f>=HYPERLINK("http://anyluxury.ru/shop/odezhda/vetrovki/vetrovka-unit-kivach-chernaya-710230/" , "7102.30 Ветровка Unit Kivach черная, размер L")</f>
      </c>
      <c r="C1970" s="4" t="n">
        <v>1560.00</v>
      </c>
      <c r="D1970" s="4"/>
    </row>
    <row collapsed="" customFormat="false" customHeight="1" hidden="" ht="14" outlineLevel="0" r="1971">
      <c r="A1971" s="3" t="inlineStr">
        <is>
          <t>1942</t>
        </is>
      </c>
      <c r="B1971" s="4" t="s">
        <f>=HYPERLINK("http://anyluxury.ru/shop/odezhda/vetrovki/vetrovka-unit-kivach-chernaya-710230/" , "7102.30 Ветровка Unit Kivach черная, размер XL")</f>
      </c>
      <c r="C1971" s="4" t="n">
        <v>1560.00</v>
      </c>
      <c r="D1971" s="4"/>
    </row>
    <row collapsed="" customFormat="false" customHeight="1" hidden="" ht="14" outlineLevel="0" r="1972">
      <c r="A1972" s="3" t="inlineStr">
        <is>
          <t>1943</t>
        </is>
      </c>
      <c r="B1972" s="4" t="s">
        <f>=HYPERLINK("http://anyluxury.ru/shop/odezhda/vetrovki/vetrovka-unit-kivach-chernaya-710230/" , "7102.30 Ветровка Unit Kivach черная, размер XXL")</f>
      </c>
      <c r="C1972" s="4" t="n">
        <v>1560.00</v>
      </c>
      <c r="D1972" s="4"/>
    </row>
    <row collapsed="" customFormat="false" customHeight="1" hidden="" ht="14" outlineLevel="0" r="1973">
      <c r="A1973" s="3" t="inlineStr">
        <is>
          <t>1944</t>
        </is>
      </c>
      <c r="B1973" s="4" t="s">
        <f>=HYPERLINK("http://anyluxury.ru/shop/odezhda/vetrovki/vetrovka-unit-kivach-biryuzovaya-710242/" , "7102.42 Ветровка Unit Kivach бирюзовая, размер S")</f>
      </c>
      <c r="C1973" s="4" t="n">
        <v>1560.00</v>
      </c>
      <c r="D1973" s="4"/>
    </row>
    <row collapsed="" customFormat="false" customHeight="1" hidden="" ht="14" outlineLevel="0" r="1974">
      <c r="A1974" s="3" t="inlineStr">
        <is>
          <t>1945</t>
        </is>
      </c>
      <c r="B1974" s="4" t="s">
        <f>=HYPERLINK("http://anyluxury.ru/shop/odezhda/vetrovki/vetrovka-unit-kivach-biryuzovaya-710242/" , "7102.42 Ветровка Unit Kivach бирюзовая, размер M")</f>
      </c>
      <c r="C1974" s="4" t="n">
        <v>1560.00</v>
      </c>
      <c r="D1974" s="4"/>
    </row>
    <row collapsed="" customFormat="false" customHeight="1" hidden="" ht="14" outlineLevel="0" r="1975">
      <c r="A1975" s="3" t="inlineStr">
        <is>
          <t>1946</t>
        </is>
      </c>
      <c r="B1975" s="4" t="s">
        <f>=HYPERLINK("http://anyluxury.ru/shop/odezhda/vetrovki/vetrovka-unit-kivach-biryuzovaya-710242/" , "7102.42 Ветровка Unit Kivach бирюзовая, размер L")</f>
      </c>
      <c r="C1975" s="4" t="n">
        <v>1560.00</v>
      </c>
      <c r="D1975" s="4"/>
    </row>
    <row collapsed="" customFormat="false" customHeight="1" hidden="" ht="14" outlineLevel="0" r="1976">
      <c r="A1976" s="3" t="inlineStr">
        <is>
          <t>1947</t>
        </is>
      </c>
      <c r="B1976" s="4" t="s">
        <f>=HYPERLINK("http://anyluxury.ru/shop/odezhda/vetrovki/vetrovka-unit-kivach-biryuzovaya-710242/" , "7102.42 Ветровка Unit Kivach бирюзовая, размер XL")</f>
      </c>
      <c r="C1976" s="4" t="n">
        <v>1560.00</v>
      </c>
      <c r="D1976" s="4"/>
    </row>
    <row collapsed="" customFormat="false" customHeight="1" hidden="" ht="14" outlineLevel="0" r="1977">
      <c r="A1977" s="3" t="inlineStr">
        <is>
          <t>1948</t>
        </is>
      </c>
      <c r="B1977" s="4" t="s">
        <f>=HYPERLINK("http://anyluxury.ru/shop/odezhda/vetrovki/vetrovka-unit-kivach-biryuzovaya-710242/" , "7102.42 Ветровка Unit Kivach бирюзовая, размер XXL")</f>
      </c>
      <c r="C1977" s="4" t="n">
        <v>1560.00</v>
      </c>
      <c r="D1977" s="4"/>
    </row>
    <row collapsed="" customFormat="false" customHeight="1" hidden="" ht="14" outlineLevel="0" r="1978">
      <c r="A1978" s="3" t="inlineStr">
        <is>
          <t>1949</t>
        </is>
      </c>
      <c r="B1978" s="4" t="s">
        <f>=HYPERLINK("http://anyluxury.ru/shop/odezhda/vetrovki/vetrovka-unit-kivach-biryuzovaya-710242/" , "7102.42 Ветровка Unit Kivach бирюзовая, размер 3XL")</f>
      </c>
      <c r="C1978" s="4" t="n">
        <v>1560.00</v>
      </c>
      <c r="D1978" s="4"/>
    </row>
    <row collapsed="" customFormat="false" customHeight="1" hidden="" ht="14" outlineLevel="0" r="1979">
      <c r="A1979" s="3" t="inlineStr">
        <is>
          <t>1950</t>
        </is>
      </c>
      <c r="B1979" s="4" t="s">
        <f>=HYPERLINK("http://anyluxury.ru/shop/odezhda/vetrovki/vetrovka-unit-kivach-zheltaya-710280/" , "7102.80 Ветровка Unit Kivach желтая, размер S")</f>
      </c>
      <c r="C1979" s="4" t="n">
        <v>1560.00</v>
      </c>
      <c r="D1979" s="4"/>
    </row>
    <row collapsed="" customFormat="false" customHeight="1" hidden="" ht="14" outlineLevel="0" r="1980">
      <c r="A1980" s="3" t="inlineStr">
        <is>
          <t>1951</t>
        </is>
      </c>
      <c r="B1980" s="4" t="s">
        <f>=HYPERLINK("http://anyluxury.ru/shop/odezhda/vetrovki/vetrovka-unit-kivach-zheltaya-710280/" , "7102.80 Ветровка Unit Kivach желтая, размер M")</f>
      </c>
      <c r="C1980" s="4" t="n">
        <v>1560.00</v>
      </c>
      <c r="D1980" s="4"/>
    </row>
    <row collapsed="" customFormat="false" customHeight="1" hidden="" ht="14" outlineLevel="0" r="1981">
      <c r="A1981" s="3" t="inlineStr">
        <is>
          <t>1952</t>
        </is>
      </c>
      <c r="B1981" s="4" t="s">
        <f>=HYPERLINK("http://anyluxury.ru/shop/odezhda/vetrovki/vetrovka-unit-kivach-zheltaya-710280/" , "7102.80 Ветровка Unit Kivach желтая, размер L")</f>
      </c>
      <c r="C1981" s="4" t="n">
        <v>1560.00</v>
      </c>
      <c r="D1981" s="4"/>
    </row>
    <row collapsed="" customFormat="false" customHeight="1" hidden="" ht="14" outlineLevel="0" r="1982">
      <c r="A1982" s="3" t="inlineStr">
        <is>
          <t>1953</t>
        </is>
      </c>
      <c r="B1982" s="4" t="s">
        <f>=HYPERLINK("http://anyluxury.ru/shop/odezhda/vetrovki/vetrovka-unit-kivach-zheltaya-710280/" , "7102.80 Ветровка Unit Kivach желтая, размер XL")</f>
      </c>
      <c r="C1982" s="4" t="n">
        <v>1560.00</v>
      </c>
      <c r="D1982" s="4"/>
    </row>
    <row collapsed="" customFormat="false" customHeight="1" hidden="" ht="14" outlineLevel="0" r="1983">
      <c r="A1983" s="3" t="inlineStr">
        <is>
          <t>1954</t>
        </is>
      </c>
      <c r="B1983" s="4" t="s">
        <f>=HYPERLINK("http://anyluxury.ru/shop/odezhda/vetrovki/vetrovka-unit-kivach-zheltaya-710280/" , "7102.80 Ветровка Unit Kivach желтая, размер XXL")</f>
      </c>
      <c r="C1983" s="4" t="n">
        <v>1560.00</v>
      </c>
      <c r="D1983" s="4"/>
    </row>
    <row collapsed="" customFormat="false" customHeight="1" hidden="" ht="14" outlineLevel="0" r="1984">
      <c r="A1984" s="3" t="inlineStr">
        <is>
          <t>1955</t>
        </is>
      </c>
      <c r="B1984" s="4" t="s">
        <f>=HYPERLINK("http://anyluxury.ru/shop/odezhda/vetrovki/vetrovka-unit-kivach-zheltaya-710280/" , "7102.80 Ветровка Unit Kivach желтая, размер 3XL")</f>
      </c>
      <c r="C1984" s="4" t="n">
        <v>1560.00</v>
      </c>
      <c r="D1984" s="4"/>
    </row>
    <row collapsed="" customFormat="false" customHeight="1" hidden="" ht="14" outlineLevel="0" r="1985">
      <c r="A1985" s="3" t="inlineStr">
        <is>
          <t>1956</t>
        </is>
      </c>
      <c r="B1985" s="4" t="s">
        <f>=HYPERLINK("http://anyluxury.ru/shop/odezhda/vetrovki/vetrovka-muzhskaya-stratus-chernaya-1162530/" , "11625.30 Ветровка мужская Stratus черная, размер S")</f>
      </c>
      <c r="C1985" s="4" t="n">
        <v>13792.00</v>
      </c>
      <c r="D1985" s="4"/>
    </row>
    <row collapsed="" customFormat="false" customHeight="1" hidden="" ht="14" outlineLevel="0" r="1986">
      <c r="A1986" s="3" t="inlineStr">
        <is>
          <t>1957</t>
        </is>
      </c>
      <c r="B1986" s="4" t="s">
        <f>=HYPERLINK("http://anyluxury.ru/shop/odezhda/vetrovki/vetrovka-muzhskaya-stratus-chernaya-1162530/" , "11625.30 Ветровка мужская Stratus черная, размер M")</f>
      </c>
      <c r="C1986" s="4" t="n">
        <v>13792.00</v>
      </c>
      <c r="D1986" s="4"/>
    </row>
    <row collapsed="" customFormat="false" customHeight="1" hidden="" ht="14" outlineLevel="0" r="1987">
      <c r="A1987" s="3" t="inlineStr">
        <is>
          <t>1958</t>
        </is>
      </c>
      <c r="B1987" s="4" t="s">
        <f>=HYPERLINK("http://anyluxury.ru/shop/odezhda/vetrovki/vetrovka-muzhskaya-stratus-chernaya-1162530/" , "11625.30 Ветровка мужская Stratus черная, размер L")</f>
      </c>
      <c r="C1987" s="4" t="n">
        <v>13792.00</v>
      </c>
      <c r="D1987" s="4"/>
    </row>
    <row collapsed="" customFormat="false" customHeight="1" hidden="" ht="14" outlineLevel="0" r="1988">
      <c r="A1988" s="3" t="inlineStr">
        <is>
          <t>1959</t>
        </is>
      </c>
      <c r="B1988" s="4" t="s">
        <f>=HYPERLINK("http://anyluxury.ru/shop/odezhda/vetrovki/vetrovka-muzhskaya-stratus-chernaya-1162530/" , "11625.30 Ветровка мужская Stratus черная, размер 5XL")</f>
      </c>
      <c r="C1988" s="4" t="n">
        <v>13792.00</v>
      </c>
      <c r="D1988" s="4"/>
    </row>
    <row collapsed="" customFormat="false" customHeight="1" hidden="" ht="14" outlineLevel="0" r="1989">
      <c r="A1989" s="3" t="inlineStr">
        <is>
          <t>1960</t>
        </is>
      </c>
      <c r="B1989" s="4" t="s">
        <f>=HYPERLINK("http://anyluxury.ru/shop/odezhda/vetrovki/vetrovka-muzhskaya-stratus-temnosinyaya-1162540/" , "11625.40 Ветровка мужская Stratus темно-синяя, размер S")</f>
      </c>
      <c r="C1989" s="4" t="n">
        <v>13792.00</v>
      </c>
      <c r="D1989" s="4"/>
    </row>
    <row collapsed="" customFormat="false" customHeight="1" hidden="" ht="14" outlineLevel="0" r="1990">
      <c r="A1990" s="3" t="inlineStr">
        <is>
          <t>1961</t>
        </is>
      </c>
      <c r="B1990" s="4" t="s">
        <f>=HYPERLINK("http://anyluxury.ru/shop/odezhda/vetrovki/vetrovka-zhenskaya-stratus-temnosinyaya-1162640/" , "11626.40 Ветровка женская Stratus темно-синяя, размер XS")</f>
      </c>
      <c r="C1990" s="4" t="n">
        <v>13794.00</v>
      </c>
      <c r="D1990" s="4"/>
    </row>
    <row collapsed="" customFormat="false" customHeight="1" hidden="" ht="14" outlineLevel="0" r="1991">
      <c r="A1991" s="3" t="inlineStr">
        <is>
          <t>1962</t>
        </is>
      </c>
      <c r="B1991" s="4" t="s">
        <f>=HYPERLINK("http://anyluxury.ru/shop/odezhda/vetrovki/vetrovka-zhenskaya-stratus-temnosinyaya-1162640/" , "11626.40 Ветровка женская Stratus темно-синяя, размер S")</f>
      </c>
      <c r="C1991" s="4" t="n">
        <v>13794.00</v>
      </c>
      <c r="D1991" s="4"/>
    </row>
    <row collapsed="" customFormat="false" customHeight="1" hidden="" ht="14" outlineLevel="0" r="1992">
      <c r="A1992" s="3" t="inlineStr">
        <is>
          <t>1963</t>
        </is>
      </c>
      <c r="B1992" s="4" t="s">
        <f>=HYPERLINK("http://anyluxury.ru/shop/odezhda/vetrovki/vetrovka-zhenskaya-stratus-temnosinyaya-1162640/" , "11626.40 Ветровка женская Stratus темно-синяя, размер M")</f>
      </c>
      <c r="C1992" s="4" t="n">
        <v>13794.00</v>
      </c>
      <c r="D1992" s="4"/>
    </row>
    <row collapsed="" customFormat="false" customHeight="1" hidden="" ht="14" outlineLevel="0" r="1993">
      <c r="A1993" s="3" t="inlineStr">
        <is>
          <t>1964</t>
        </is>
      </c>
      <c r="B1993" s="4" t="s">
        <f>=HYPERLINK("http://anyluxury.ru/shop/odezhda/vetrovki/vetrovka-zhenskaya-stratus-temnosinyaya-1162640/" , "11626.40 Ветровка женская Stratus темно-синяя, размер L")</f>
      </c>
      <c r="C1993" s="4" t="n">
        <v>13794.00</v>
      </c>
      <c r="D1993" s="4"/>
    </row>
    <row collapsed="" customFormat="false" customHeight="1" hidden="" ht="14" outlineLevel="0" r="1994">
      <c r="A1994" s="3" t="inlineStr">
        <is>
          <t>1965</t>
        </is>
      </c>
      <c r="B1994" s="4" t="s">
        <f>=HYPERLINK("http://anyluxury.ru/shop/odezhda/vetrovki/vetrovka-zhenskaya-stratus-temnosinyaya-1162640/" , "11626.40 Ветровка женская Stratus темно-синяя, размер XL")</f>
      </c>
      <c r="C1994" s="4" t="n">
        <v>13794.00</v>
      </c>
      <c r="D1994" s="4"/>
    </row>
    <row collapsed="" customFormat="false" customHeight="1" hidden="" ht="14" outlineLevel="0" r="1995">
      <c r="A1995" s="3" t="inlineStr">
        <is>
          <t>1966</t>
        </is>
      </c>
      <c r="B1995" s="4" t="s">
        <f>=HYPERLINK("http://anyluxury.ru/shop/odezhda/vetrovki/vetrovka-zhenskaya-stratus-temnosinyaya-1162640/" , "11626.40 Ветровка женская Stratus темно-синяя, размер XXL")</f>
      </c>
      <c r="C1995" s="4" t="n">
        <v>13794.00</v>
      </c>
      <c r="D1995" s="4"/>
    </row>
    <row collapsed="" customFormat="false" customHeight="1" hidden="" ht="14" outlineLevel="0" r="1996">
      <c r="A1996" s="3" t="inlineStr">
        <is>
          <t>1967</t>
        </is>
      </c>
      <c r="B1996" s="4" t="s">
        <f>=HYPERLINK("http://anyluxury.ru/shop/odezhda/vetrovki/vetrovka-kivach-svetloseraya-710212/" , "7102.12 Ветровка Kivach светло-серая, размер XS")</f>
      </c>
      <c r="C1996" s="4" t="n">
        <v>1560.00</v>
      </c>
      <c r="D1996" s="4"/>
    </row>
    <row collapsed="" customFormat="false" customHeight="1" hidden="" ht="14" outlineLevel="0" r="1997">
      <c r="A1997" s="3" t="inlineStr">
        <is>
          <t>1968</t>
        </is>
      </c>
      <c r="B1997" s="4" t="s">
        <f>=HYPERLINK("http://anyluxury.ru/shop/odezhda/vetrovki/vetrovka-kivach-svetloseraya-710212/" , "7102.12 Ветровка Kivach светло-серая, размер S")</f>
      </c>
      <c r="C1997" s="4" t="n">
        <v>1560.00</v>
      </c>
      <c r="D1997" s="4"/>
    </row>
    <row collapsed="" customFormat="false" customHeight="1" hidden="" ht="14" outlineLevel="0" r="1998">
      <c r="A1998" s="3" t="inlineStr">
        <is>
          <t>1969</t>
        </is>
      </c>
      <c r="B1998" s="4" t="s">
        <f>=HYPERLINK("http://anyluxury.ru/shop/odezhda/vetrovki/vetrovka-kivach-yarkokrasnaya-710251/" , "7102.51 Ветровка Kivach красная, размер XS")</f>
      </c>
      <c r="C1998" s="4" t="n">
        <v>1560.00</v>
      </c>
      <c r="D1998" s="4"/>
    </row>
    <row collapsed="" customFormat="false" customHeight="1" hidden="" ht="14" outlineLevel="0" r="1999">
      <c r="A1999" s="3" t="inlineStr">
        <is>
          <t>1970</t>
        </is>
      </c>
      <c r="B1999" s="4" t="s">
        <f>=HYPERLINK("http://anyluxury.ru/shop/odezhda/vetrovki/vetrovka-kivach-yarkokrasnaya-710251/" , "7102.51 Ветровка Kivach красная, размер S")</f>
      </c>
      <c r="C1999" s="4" t="n">
        <v>1560.00</v>
      </c>
      <c r="D1999" s="4"/>
    </row>
    <row collapsed="" customFormat="false" customHeight="1" hidden="" ht="14" outlineLevel="0" r="2000">
      <c r="A2000" s="3" t="inlineStr">
        <is>
          <t>1971</t>
        </is>
      </c>
      <c r="B2000" s="4" t="s">
        <f>=HYPERLINK("http://anyluxury.ru/shop/odezhda/vetrovki/vetrovka-kivach-yarkokrasnaya-710251/" , "7102.51 Ветровка Kivach красная, размер M")</f>
      </c>
      <c r="C2000" s="4" t="n">
        <v>1560.00</v>
      </c>
      <c r="D2000" s="4"/>
    </row>
    <row collapsed="" customFormat="false" customHeight="1" hidden="" ht="14" outlineLevel="0" r="2001">
      <c r="A2001" s="3" t="inlineStr">
        <is>
          <t>1972</t>
        </is>
      </c>
      <c r="B2001" s="4" t="s">
        <f>=HYPERLINK("http://anyluxury.ru/shop/odezhda/vetrovki/vetrovka-kivach-yarkokrasnaya-710251/" , "7102.51 Ветровка Kivach красная, размер L")</f>
      </c>
      <c r="C2001" s="4" t="n">
        <v>1560.00</v>
      </c>
      <c r="D2001" s="4"/>
    </row>
    <row collapsed="" customFormat="false" customHeight="1" hidden="" ht="14" outlineLevel="0" r="2002">
      <c r="A2002" s="3" t="inlineStr">
        <is>
          <t>1973</t>
        </is>
      </c>
      <c r="B2002" s="4" t="s">
        <f>=HYPERLINK("http://anyluxury.ru/shop/odezhda/vetrovki/vetrovka-kivach-yarkokrasnaya-710251/" , "7102.51 Ветровка Kivach красная, размер XL")</f>
      </c>
      <c r="C2002" s="4" t="n">
        <v>1560.00</v>
      </c>
      <c r="D2002" s="4"/>
    </row>
    <row collapsed="" customFormat="false" customHeight="1" hidden="" ht="14" outlineLevel="0" r="2003">
      <c r="A2003" s="3" t="inlineStr">
        <is>
          <t>1974</t>
        </is>
      </c>
      <c r="B2003" s="4" t="s">
        <f>=HYPERLINK("http://anyluxury.ru/shop/odezhda/vetrovki/vetrovka-kivach-yarkokrasnaya-710251/" , "7102.51 Ветровка Kivach красная, размер XXL")</f>
      </c>
      <c r="C2003" s="4" t="n">
        <v>1560.00</v>
      </c>
      <c r="D2003" s="4"/>
    </row>
    <row collapsed="" customFormat="false" customHeight="1" hidden="" ht="14" outlineLevel="0" r="2004">
      <c r="A2004" s="3" t="inlineStr">
        <is>
          <t>1975</t>
        </is>
      </c>
      <c r="B2004" s="4" t="s">
        <f>=HYPERLINK("http://anyluxury.ru/shop/odezhda/vetrovki/vetrovka-kivach-yarkokrasnaya-710251/" , "7102.51 Ветровка Kivach красная, размер 3XL")</f>
      </c>
      <c r="C2004" s="4" t="n">
        <v>1560.00</v>
      </c>
      <c r="D2004" s="4"/>
    </row>
    <row collapsed="" customFormat="false" customHeight="1" hidden="" ht="14" outlineLevel="0" r="2005">
      <c r="A2005" s="3" t="inlineStr">
        <is>
          <t>1976</t>
        </is>
      </c>
      <c r="B2005" s="4" t="s">
        <f>=HYPERLINK("http://anyluxury.ru/shop/odezhda/vetrovki/vetrovka-kivach-pro-chernaya-1411530/" , "14115.30 Ветровка Kivach Pro, черная, размер XS")</f>
      </c>
      <c r="C2005" s="4" t="n">
        <v>2840.00</v>
      </c>
      <c r="D2005" s="4"/>
    </row>
    <row collapsed="" customFormat="false" customHeight="1" hidden="" ht="14" outlineLevel="0" r="2006">
      <c r="A2006" s="3" t="inlineStr">
        <is>
          <t>1977</t>
        </is>
      </c>
      <c r="B2006" s="4" t="s">
        <f>=HYPERLINK("http://anyluxury.ru/shop/odezhda/vetrovki/vetrovka-kivach-pro-chernaya-1411530/" , "14115.30 Ветровка Kivach Pro, черная, размер S")</f>
      </c>
      <c r="C2006" s="4" t="n">
        <v>2840.00</v>
      </c>
      <c r="D2006" s="4"/>
    </row>
    <row collapsed="" customFormat="false" customHeight="1" hidden="" ht="14" outlineLevel="0" r="2007">
      <c r="A2007" s="3" t="inlineStr">
        <is>
          <t>1978</t>
        </is>
      </c>
      <c r="B2007" s="4" t="s">
        <f>=HYPERLINK("http://anyluxury.ru/shop/odezhda/vetrovki/vetrovka-kivach-pro-chernaya-1411530/" , "14115.30 Ветровка Kivach Pro, черная, размер M")</f>
      </c>
      <c r="C2007" s="4" t="n">
        <v>2840.00</v>
      </c>
      <c r="D2007" s="4"/>
    </row>
    <row collapsed="" customFormat="false" customHeight="1" hidden="" ht="14" outlineLevel="0" r="2008">
      <c r="A2008" s="3" t="inlineStr">
        <is>
          <t>1979</t>
        </is>
      </c>
      <c r="B2008" s="4" t="s">
        <f>=HYPERLINK("http://anyluxury.ru/shop/odezhda/vetrovki/vetrovka-kivach-pro-chernaya-1411530/" , "14115.30 Ветровка Kivach Pro, черная, размер L")</f>
      </c>
      <c r="C2008" s="4" t="n">
        <v>2840.00</v>
      </c>
      <c r="D2008" s="4"/>
    </row>
    <row collapsed="" customFormat="false" customHeight="1" hidden="" ht="14" outlineLevel="0" r="2009">
      <c r="A2009" s="3" t="inlineStr">
        <is>
          <t>1980</t>
        </is>
      </c>
      <c r="B2009" s="4" t="s">
        <f>=HYPERLINK("http://anyluxury.ru/shop/odezhda/vetrovki/vetrovka-kivach-pro-chernaya-1411530/" , "14115.30 Ветровка Kivach Pro, черная, размер XL")</f>
      </c>
      <c r="C2009" s="4" t="n">
        <v>2840.00</v>
      </c>
      <c r="D2009" s="4"/>
    </row>
    <row collapsed="" customFormat="false" customHeight="1" hidden="" ht="14" outlineLevel="0" r="2010">
      <c r="A2010" s="3" t="inlineStr">
        <is>
          <t>1981</t>
        </is>
      </c>
      <c r="B2010" s="4" t="s">
        <f>=HYPERLINK("http://anyluxury.ru/shop/odezhda/vetrovki/vetrovka-kivach-pro-chernaya-1411530/" , "14115.30 Ветровка Kivach Pro, черная, размер XXL")</f>
      </c>
      <c r="C2010" s="4" t="n">
        <v>2840.00</v>
      </c>
      <c r="D2010" s="4"/>
    </row>
    <row collapsed="" customFormat="false" customHeight="1" hidden="" ht="14" outlineLevel="0" r="2011">
      <c r="A2011" s="3" t="inlineStr">
        <is>
          <t>1982</t>
        </is>
      </c>
      <c r="B2011" s="4" t="s">
        <f>=HYPERLINK("http://anyluxury.ru/shop/odezhda/vetrovki/vetrovka-kivach-pro-chernaya-1411530/" , "14115.30 Ветровка Kivach Pro, черная, размер 3XL")</f>
      </c>
      <c r="C2011" s="4" t="n">
        <v>2840.00</v>
      </c>
      <c r="D2011" s="4"/>
    </row>
    <row collapsed="" customFormat="false" customHeight="1" hidden="" ht="14" outlineLevel="0" r="2012">
      <c r="A2012" s="3" t="inlineStr">
        <is>
          <t>1983</t>
        </is>
      </c>
      <c r="B2012" s="4" t="s">
        <f>=HYPERLINK("http://anyluxury.ru/shop/odezhda/vetrovki/vetrovka-kivach-basic-chernaya-1411430/" , "14114.30 Ветровка Kivach Basic, черная, размер XS")</f>
      </c>
      <c r="C2012" s="4" t="n">
        <v>2490.00</v>
      </c>
      <c r="D2012" s="4"/>
    </row>
    <row collapsed="" customFormat="false" customHeight="1" hidden="" ht="14" outlineLevel="0" r="2013">
      <c r="A2013" s="3" t="inlineStr">
        <is>
          <t>1984</t>
        </is>
      </c>
      <c r="B2013" s="4" t="s">
        <f>=HYPERLINK("http://anyluxury.ru/shop/odezhda/vetrovki/vetrovka-kivach-basic-chernaya-1411430/" , "14114.30 Ветровка Kivach Basic, черная, размер M")</f>
      </c>
      <c r="C2013" s="4" t="n">
        <v>2490.00</v>
      </c>
      <c r="D2013" s="4"/>
    </row>
    <row collapsed="" customFormat="false" customHeight="1" hidden="" ht="14" outlineLevel="0" r="2014">
      <c r="A2014" s="3" t="inlineStr">
        <is>
          <t>1985</t>
        </is>
      </c>
      <c r="B2014" s="4" t="s">
        <f>=HYPERLINK("http://anyluxury.ru/shop/odezhda/vetrovki/vetrovka-kivach-basic-belaya-1411460/" , "14114.60 Ветровка Kivach Basic, белая, размер XS")</f>
      </c>
      <c r="C2014" s="4" t="n">
        <v>2490.00</v>
      </c>
      <c r="D2014" s="4"/>
    </row>
    <row collapsed="" customFormat="false" customHeight="1" hidden="" ht="14" outlineLevel="0" r="2015">
      <c r="A2015" s="3" t="inlineStr">
        <is>
          <t>1986</t>
        </is>
      </c>
      <c r="B2015" s="4" t="s">
        <f>=HYPERLINK("http://anyluxury.ru/shop/odezhda/vetrovki/vetrovka-kivach-basic-yarkosinyaya-1411444/" , "14114.44 Ветровка Kivach Basic, ярко-синяя, размер XS")</f>
      </c>
      <c r="C2015" s="4" t="n">
        <v>2490.00</v>
      </c>
      <c r="D2015" s="4"/>
    </row>
    <row collapsed="" customFormat="false" customHeight="1" hidden="" ht="14" outlineLevel="0" r="2016">
      <c r="A2016" s="3" t="inlineStr">
        <is>
          <t>1987</t>
        </is>
      </c>
      <c r="B2016" s="4" t="s">
        <f>=HYPERLINK("http://anyluxury.ru/shop/odezhda/vetrovki/vetrovka-kivach-basic-yarkosinyaya-1411444/" , "14114.44 Ветровка Kivach Basic, ярко-синяя, размер S")</f>
      </c>
      <c r="C2016" s="4" t="n">
        <v>2490.00</v>
      </c>
      <c r="D2016" s="4"/>
    </row>
    <row collapsed="" customFormat="false" customHeight="1" hidden="" ht="14" outlineLevel="0" r="2017">
      <c r="A2017" s="3" t="inlineStr">
        <is>
          <t>1988</t>
        </is>
      </c>
      <c r="B2017" s="4" t="s">
        <f>=HYPERLINK("http://anyluxury.ru/shop/odezhda/vetrovki/vetrovka-kivach-basic-yarkosinyaya-1411444/" , "14114.44 Ветровка Kivach Basic, ярко-синяя, размер M")</f>
      </c>
      <c r="C2017" s="4" t="n">
        <v>2490.00</v>
      </c>
      <c r="D2017" s="4"/>
    </row>
    <row collapsed="" customFormat="false" customHeight="1" hidden="" ht="14" outlineLevel="0" r="2018">
      <c r="A2018" s="3" t="inlineStr">
        <is>
          <t>1989</t>
        </is>
      </c>
      <c r="B2018" s="4" t="s">
        <f>=HYPERLINK("http://anyluxury.ru/shop/odezhda/vetrovki/vetrovka-kivach-basic-yarkosinyaya-1411444/" , "14114.44 Ветровка Kivach Basic, ярко-синяя, размер L")</f>
      </c>
      <c r="C2018" s="4" t="n">
        <v>2490.00</v>
      </c>
      <c r="D2018" s="4"/>
    </row>
    <row collapsed="" customFormat="false" customHeight="1" hidden="" ht="14" outlineLevel="0" r="2019">
      <c r="A2019" s="3" t="inlineStr">
        <is>
          <t>1990</t>
        </is>
      </c>
      <c r="B2019" s="4" t="s">
        <f>=HYPERLINK("http://anyluxury.ru/shop/odezhda/vetrovki/vetrovka-kivach-basic-yarkosinyaya-1411444/" , "14114.44 Ветровка Kivach Basic, ярко-синяя, размер XL")</f>
      </c>
      <c r="C2019" s="4" t="n">
        <v>2490.00</v>
      </c>
      <c r="D2019" s="4"/>
    </row>
    <row collapsed="" customFormat="false" customHeight="1" hidden="" ht="14" outlineLevel="0" r="2020">
      <c r="A2020" s="3" t="inlineStr">
        <is>
          <t>1991</t>
        </is>
      </c>
      <c r="B2020" s="4" t="s">
        <f>=HYPERLINK("http://anyluxury.ru/shop/odezhda/vetrovki/vetrovka-kivach-basic-yarkosinyaya-1411444/" , "14114.44 Ветровка Kivach Basic, ярко-синяя, размер XXL")</f>
      </c>
      <c r="C2020" s="4" t="n">
        <v>2490.00</v>
      </c>
      <c r="D2020" s="4"/>
    </row>
    <row collapsed="" customFormat="false" customHeight="1" hidden="" ht="14" outlineLevel="0" r="2021">
      <c r="A2021" s="3" t="inlineStr">
        <is>
          <t>1992</t>
        </is>
      </c>
      <c r="B2021" s="4" t="s">
        <f>=HYPERLINK("http://anyluxury.ru/shop/odezhda/vetrovki/vetrovka-kivach-basic-temnoseraya-grafit-1411413/" , "14114.13 Ветровка Kivach Basic, темно-серая (графит), размер XS")</f>
      </c>
      <c r="C2021" s="4" t="n">
        <v>2490.00</v>
      </c>
      <c r="D2021" s="4"/>
    </row>
    <row collapsed="" customFormat="false" customHeight="1" hidden="" ht="14" outlineLevel="0" r="2022">
      <c r="A2022" s="3" t="inlineStr">
        <is>
          <t>1993</t>
        </is>
      </c>
      <c r="B2022" s="4" t="s">
        <f>=HYPERLINK("http://anyluxury.ru/shop/odezhda/vetrovki/vetrovka-kivach-basic-temnoseraya-grafit-1411413/" , "14114.13 Ветровка Kivach Basic, темно-серая (графит), размер S")</f>
      </c>
      <c r="C2022" s="4" t="n">
        <v>2490.00</v>
      </c>
      <c r="D2022" s="4"/>
    </row>
    <row collapsed="" customFormat="false" customHeight="1" hidden="" ht="14" outlineLevel="0" r="2023">
      <c r="A2023" s="3" t="inlineStr">
        <is>
          <t>1994</t>
        </is>
      </c>
      <c r="B2023" s="4" t="s">
        <f>=HYPERLINK("http://anyluxury.ru/shop/odezhda/vetrovki/vetrovka-kivach-basic-temnoseraya-grafit-1411413/" , "14114.13 Ветровка Kivach Basic, темно-серая (графит), размер M")</f>
      </c>
      <c r="C2023" s="4" t="n">
        <v>2490.00</v>
      </c>
      <c r="D2023" s="4"/>
    </row>
    <row collapsed="" customFormat="false" customHeight="1" hidden="" ht="14" outlineLevel="0" r="2024">
      <c r="A2024" s="3" t="inlineStr">
        <is>
          <t>1995</t>
        </is>
      </c>
      <c r="B2024" s="4" t="s">
        <f>=HYPERLINK("http://anyluxury.ru/shop/odezhda/vetrovki/vetrovka-kivach-basic-temnoseraya-grafit-1411413/" , "14114.13 Ветровка Kivach Basic, темно-серая (графит), размер L")</f>
      </c>
      <c r="C2024" s="4" t="n">
        <v>2490.00</v>
      </c>
      <c r="D2024" s="4"/>
    </row>
    <row collapsed="" customFormat="false" customHeight="1" hidden="" ht="14" outlineLevel="0" r="2025">
      <c r="A2025" s="3" t="inlineStr">
        <is>
          <t>1996</t>
        </is>
      </c>
      <c r="B2025" s="4" t="s">
        <f>=HYPERLINK("http://anyluxury.ru/shop/odezhda/vetrovki/vetrovka-kivach-basic-temnoseraya-grafit-1411413/" , "14114.13 Ветровка Kivach Basic, темно-серая (графит), размер XL")</f>
      </c>
      <c r="C2025" s="4" t="n">
        <v>2490.00</v>
      </c>
      <c r="D2025" s="4"/>
    </row>
    <row collapsed="" customFormat="false" customHeight="1" hidden="" ht="14" outlineLevel="0" r="2026">
      <c r="A2026" s="3" t="inlineStr">
        <is>
          <t>1997</t>
        </is>
      </c>
      <c r="B2026" s="4" t="s">
        <f>=HYPERLINK("http://anyluxury.ru/shop/odezhda/vetrovki/vetrovka-kivach-basic-temnoseraya-grafit-1411413/" , "14114.13 Ветровка Kivach Basic, темно-серая (графит), размер XXL")</f>
      </c>
      <c r="C2026" s="4" t="n">
        <v>2490.00</v>
      </c>
      <c r="D2026" s="4"/>
    </row>
    <row collapsed="" customFormat="false" customHeight="1" hidden="" ht="14" outlineLevel="0" r="2027">
      <c r="A2027" s="3" t="inlineStr">
        <is>
          <t>1998</t>
        </is>
      </c>
      <c r="B2027" s="4" t="s">
        <f>=HYPERLINK("http://anyluxury.ru/shop/odezhda/vetrovki/vetrovka-kivach-pro-temnosinyaya-1411540/" , "14115.40 Ветровка Kivach Pro, темно-синяя, размер XS")</f>
      </c>
      <c r="C2027" s="4" t="n">
        <v>2840.00</v>
      </c>
      <c r="D2027" s="4"/>
    </row>
    <row collapsed="" customFormat="false" customHeight="1" hidden="" ht="14" outlineLevel="0" r="2028">
      <c r="A2028" s="3" t="inlineStr">
        <is>
          <t>1999</t>
        </is>
      </c>
      <c r="B2028" s="4" t="s">
        <f>=HYPERLINK("http://anyluxury.ru/shop/odezhda/vetrovki/vetrovka-kivach-pro-temnosinyaya-1411540/" , "14115.40 Ветровка Kivach Pro, темно-синяя, размер S")</f>
      </c>
      <c r="C2028" s="4" t="n">
        <v>2840.00</v>
      </c>
      <c r="D2028" s="4"/>
    </row>
    <row collapsed="" customFormat="false" customHeight="1" hidden="" ht="14" outlineLevel="0" r="2029">
      <c r="A2029" s="3" t="inlineStr">
        <is>
          <t>2000</t>
        </is>
      </c>
      <c r="B2029" s="4" t="s">
        <f>=HYPERLINK("http://anyluxury.ru/shop/odezhda/vetrovki/vetrovka-kivach-pro-temnosinyaya-1411540/" , "14115.40 Ветровка Kivach Pro,темно-синяя, размер M")</f>
      </c>
      <c r="C2029" s="4" t="n">
        <v>2840.00</v>
      </c>
      <c r="D2029" s="4"/>
    </row>
    <row collapsed="" customFormat="false" customHeight="1" hidden="" ht="14" outlineLevel="0" r="2030">
      <c r="A2030" s="3" t="inlineStr">
        <is>
          <t>2001</t>
        </is>
      </c>
      <c r="B2030" s="4" t="s">
        <f>=HYPERLINK("http://anyluxury.ru/shop/odezhda/vetrovki/vetrovka-kivach-pro-temnosinyaya-1411540/" , "14115.40 Ветровка Kivach Pro, темно-синяя, размер L")</f>
      </c>
      <c r="C2030" s="4" t="n">
        <v>2840.00</v>
      </c>
      <c r="D2030" s="4"/>
    </row>
    <row collapsed="" customFormat="false" customHeight="1" hidden="" ht="14" outlineLevel="0" r="2031">
      <c r="A2031" s="3" t="inlineStr">
        <is>
          <t>2002</t>
        </is>
      </c>
      <c r="B2031" s="4" t="s">
        <f>=HYPERLINK("http://anyluxury.ru/shop/odezhda/vetrovki/vetrovka-kivach-pro-temnosinyaya-1411540/" , "14115.40 Ветровка Kivach Pro, темно-синяя, размер XL")</f>
      </c>
      <c r="C2031" s="4" t="n">
        <v>2840.00</v>
      </c>
      <c r="D2031" s="4"/>
    </row>
    <row collapsed="" customFormat="false" customHeight="1" hidden="" ht="14" outlineLevel="0" r="2032">
      <c r="A2032" s="3" t="inlineStr">
        <is>
          <t>2003</t>
        </is>
      </c>
      <c r="B2032" s="4" t="s">
        <f>=HYPERLINK("http://anyluxury.ru/shop/odezhda/vetrovki/vetrovka-kivach-pro-temnosinyaya-1411540/" , "14115.40 Ветровка Kivach Pro, темно-синяя, размер XXL")</f>
      </c>
      <c r="C2032" s="4" t="n">
        <v>2840.00</v>
      </c>
      <c r="D2032" s="4"/>
    </row>
    <row collapsed="" customFormat="false" customHeight="1" hidden="" ht="14" outlineLevel="0" r="2033">
      <c r="A2033" s="3" t="inlineStr">
        <is>
          <t>2004</t>
        </is>
      </c>
      <c r="B2033" s="4" t="s">
        <f>=HYPERLINK("http://anyluxury.ru/shop/odezhda/vetrovki/vetrovka-kivach-pro-temnosinyaya-1411540/" , "14115.40 Ветровка Kivach Pro, темно-синяя, размер 3XL")</f>
      </c>
      <c r="C2033" s="4" t="n">
        <v>2840.00</v>
      </c>
      <c r="D2033" s="4"/>
    </row>
    <row collapsed="" customFormat="false" customHeight="1" hidden="" ht="14" outlineLevel="0" r="2034">
      <c r="A2034" s="3" t="inlineStr">
        <is>
          <t>2005</t>
        </is>
      </c>
      <c r="B2034" s="4" t="s">
        <f>=HYPERLINK("http://anyluxury.ru/shop/odezhda/vetrovki/vetrovka-kivach-pro-temnoseraya-grafit-1411513/" , "14115.13 Ветровка Kivach Pro, темно-серая (графит), размер XS")</f>
      </c>
      <c r="C2034" s="4" t="n">
        <v>2840.00</v>
      </c>
      <c r="D2034" s="4"/>
    </row>
    <row collapsed="" customFormat="false" customHeight="1" hidden="" ht="14" outlineLevel="0" r="2035">
      <c r="A2035" s="3" t="inlineStr">
        <is>
          <t>2006</t>
        </is>
      </c>
      <c r="B2035" s="4" t="s">
        <f>=HYPERLINK("http://anyluxury.ru/shop/odezhda/vetrovki/vetrovka-kivach-pro-temnoseraya-grafit-1411513/" , "14115.13 Ветровка Kivach Pro, темно-серая (графит), размер S")</f>
      </c>
      <c r="C2035" s="4" t="n">
        <v>2840.00</v>
      </c>
      <c r="D2035" s="4"/>
    </row>
    <row collapsed="" customFormat="false" customHeight="1" hidden="" ht="14" outlineLevel="0" r="2036">
      <c r="A2036" s="3" t="inlineStr">
        <is>
          <t>2007</t>
        </is>
      </c>
      <c r="B2036" s="4" t="s">
        <f>=HYPERLINK("http://anyluxury.ru/shop/odezhda/vetrovki/vetrovka-kivach-pro-temnoseraya-grafit-1411513/" , "14115.13 Ветровка Kivach Pro, темно-серая (графит), размер M")</f>
      </c>
      <c r="C2036" s="4" t="n">
        <v>2840.00</v>
      </c>
      <c r="D2036" s="4"/>
    </row>
    <row collapsed="" customFormat="false" customHeight="1" hidden="" ht="14" outlineLevel="0" r="2037">
      <c r="A2037" s="3" t="inlineStr">
        <is>
          <t>2008</t>
        </is>
      </c>
      <c r="B2037" s="4" t="s">
        <f>=HYPERLINK("http://anyluxury.ru/shop/odezhda/vetrovki/vetrovka-kivach-pro-temnoseraya-grafit-1411513/" , "14115.13 Ветровка Kivach Pro, темно-серая (графит), размер L")</f>
      </c>
      <c r="C2037" s="4" t="n">
        <v>2840.00</v>
      </c>
      <c r="D2037" s="4"/>
    </row>
    <row collapsed="" customFormat="false" customHeight="1" hidden="" ht="14" outlineLevel="0" r="2038">
      <c r="A2038" s="3" t="inlineStr">
        <is>
          <t>2009</t>
        </is>
      </c>
      <c r="B2038" s="4" t="s">
        <f>=HYPERLINK("http://anyluxury.ru/shop/odezhda/vetrovki/vetrovka-kivach-pro-temnoseraya-grafit-1411513/" , "14115.13 Ветровка Kivach Pro, темно-серая (графит), размер XL")</f>
      </c>
      <c r="C2038" s="4" t="n">
        <v>2840.00</v>
      </c>
      <c r="D2038" s="4"/>
    </row>
    <row collapsed="" customFormat="false" customHeight="1" hidden="" ht="14" outlineLevel="0" r="2039">
      <c r="A2039" s="3" t="inlineStr">
        <is>
          <t>2010</t>
        </is>
      </c>
      <c r="B2039" s="4" t="s">
        <f>=HYPERLINK("http://anyluxury.ru/shop/odezhda/vetrovki/vetrovka-kivach-pro-temnoseraya-grafit-1411513/" , "14115.13 Ветровка Kivach Pro, темно-серая (графит), размер XXL")</f>
      </c>
      <c r="C2039" s="4" t="n">
        <v>2840.00</v>
      </c>
      <c r="D2039" s="4"/>
    </row>
    <row collapsed="" customFormat="false" customHeight="1" hidden="" ht="14" outlineLevel="0" r="2040">
      <c r="A2040" s="3" t="inlineStr">
        <is>
          <t>2011</t>
        </is>
      </c>
      <c r="B2040" s="4" t="s">
        <f>=HYPERLINK("http://anyluxury.ru/shop/odezhda/vetrovki/vetrovka-kivach-pro-temnoseraya-grafit-1411513/" , "14115.13 Ветровка Kivach Pro, темно-серая (графит), размер 3XL")</f>
      </c>
      <c r="C2040" s="4" t="n">
        <v>2840.00</v>
      </c>
      <c r="D2040" s="4"/>
    </row>
    <row collapsed="" customFormat="false" customHeight="1" hidden="" ht="14" outlineLevel="0" r="2041">
      <c r="A2041" s="3" t="inlineStr">
        <is>
          <t>2012</t>
        </is>
      </c>
      <c r="B2041" s="4" t="s">
        <f>=HYPERLINK("http://anyluxury.ru/shop/odezhda/vetrovki/vetrovka-turvind-chernaya-1400430/" , "14004.30 Ветровка Turvind, черная, размер S")</f>
      </c>
      <c r="C2041" s="4" t="n">
        <v>3950.00</v>
      </c>
      <c r="D2041" s="4"/>
    </row>
    <row collapsed="" customFormat="false" customHeight="1" hidden="" ht="14" outlineLevel="0" r="2042">
      <c r="A2042" s="3" t="inlineStr">
        <is>
          <t>2013</t>
        </is>
      </c>
      <c r="B2042" s="4" t="s">
        <f>=HYPERLINK("http://anyluxury.ru/shop/odezhda/vetrovki/vetrovka-turvind-chernaya-1400430/" , "14004.30 Ветровка Turvind, черная, размер M")</f>
      </c>
      <c r="C2042" s="4" t="n">
        <v>3950.00</v>
      </c>
      <c r="D2042" s="4"/>
    </row>
    <row collapsed="" customFormat="false" customHeight="1" hidden="" ht="14" outlineLevel="0" r="2043">
      <c r="A2043" s="3" t="inlineStr">
        <is>
          <t>2014</t>
        </is>
      </c>
      <c r="B2043" s="4" t="s">
        <f>=HYPERLINK("http://anyluxury.ru/shop/odezhda/vetrovki/vetrovka-turvind-chernaya-1400430/" , "14004.30 Ветровка Turvind, черная, размер S")</f>
      </c>
      <c r="C2043" s="4" t="n">
        <v>3950.00</v>
      </c>
      <c r="D2043" s="4"/>
    </row>
    <row collapsed="" customFormat="false" customHeight="1" hidden="" ht="14" outlineLevel="0" r="2044">
      <c r="A2044" s="3" t="inlineStr">
        <is>
          <t>2015</t>
        </is>
      </c>
      <c r="B2044" s="4" t="s">
        <f>=HYPERLINK("http://anyluxury.ru/shop/odezhda/vetrovki/vetrovka-turvind-chernaya-1400430/" , "14004.30 Ветровка Turvind, черная, размер M")</f>
      </c>
      <c r="C2044" s="4" t="n">
        <v>3950.00</v>
      </c>
      <c r="D2044" s="4"/>
    </row>
    <row collapsed="" customFormat="false" customHeight="1" hidden="" ht="14" outlineLevel="0" r="2045">
      <c r="A2045" s="3" t="inlineStr">
        <is>
          <t>2016</t>
        </is>
      </c>
      <c r="B2045" s="4" t="s">
        <f>=HYPERLINK("http://anyluxury.ru/shop/odezhda/vetrovki/vetrovka-turvind-chernaya-1400430/" , "14004.30 Ветровка Turvind, черная, размер L")</f>
      </c>
      <c r="C2045" s="4" t="n">
        <v>3950.00</v>
      </c>
      <c r="D2045" s="4"/>
    </row>
    <row collapsed="" customFormat="false" customHeight="1" hidden="" ht="14" outlineLevel="0" r="2046">
      <c r="A2046" s="3" t="inlineStr">
        <is>
          <t>2017</t>
        </is>
      </c>
      <c r="B2046" s="4" t="s">
        <f>=HYPERLINK("http://anyluxury.ru/shop/odezhda/vetrovki/vetrovka-turvind-chernaya-1400430/" , "14004.30 Ветровка Turvind, черная, размер XL")</f>
      </c>
      <c r="C2046" s="4" t="n">
        <v>3950.00</v>
      </c>
      <c r="D2046" s="4"/>
    </row>
    <row collapsed="" customFormat="false" customHeight="1" hidden="" ht="14" outlineLevel="0" r="2047">
      <c r="A2047" s="3" t="inlineStr">
        <is>
          <t>2018</t>
        </is>
      </c>
      <c r="B2047" s="4" t="s">
        <f>=HYPERLINK("http://anyluxury.ru/shop/odezhda/vetrovki/vetrovka-turvind-chernaya-1400430/" , "14004.30 Ветровка Turvind, черная, размер XXL")</f>
      </c>
      <c r="C2047" s="4" t="n">
        <v>3950.00</v>
      </c>
      <c r="D2047" s="4"/>
    </row>
    <row collapsed="" customFormat="false" customHeight="1" hidden="" ht="14" outlineLevel="0" r="2048">
      <c r="A2048" s="3" t="inlineStr">
        <is>
          <t>2019</t>
        </is>
      </c>
      <c r="B2048" s="4" t="s">
        <f>=HYPERLINK("http://anyluxury.ru/shop/odezhda/vetrovki/vetrovka-turvind-temnosinyaya-1400440/" , "14004.40 Ветровка Turvind, темно-синяя, размер S")</f>
      </c>
      <c r="C2048" s="4" t="n">
        <v>3950.00</v>
      </c>
      <c r="D2048" s="4"/>
    </row>
    <row collapsed="" customFormat="false" customHeight="1" hidden="" ht="14" outlineLevel="0" r="2049">
      <c r="A2049" s="3" t="inlineStr">
        <is>
          <t>2020</t>
        </is>
      </c>
      <c r="B2049" s="4" t="s">
        <f>=HYPERLINK("http://anyluxury.ru/shop/odezhda/vetrovki/vetrovka-turvind-temnosinyaya-1400440/" , "14004.40 Ветровка Turvind, темно-синяя, размер L")</f>
      </c>
      <c r="C2049" s="4" t="n">
        <v>3950.00</v>
      </c>
      <c r="D2049" s="4"/>
    </row>
    <row collapsed="" customFormat="false" customHeight="1" hidden="" ht="14" outlineLevel="0" r="2050">
      <c r="A2050" s="3" t="inlineStr">
        <is>
          <t>2021</t>
        </is>
      </c>
      <c r="B2050" s="4" t="s">
        <f>=HYPERLINK("http://anyluxury.ru/shop/odezhda/vetrovki/vetrovka-svetootrazhayushhaya-finvind-temnoseraya-1411930/" , "14119.30 Ветровка светоотражающая Finvind темно-серая, размер XXS")</f>
      </c>
      <c r="C2050" s="4" t="n">
        <v>4067.00</v>
      </c>
      <c r="D2050" s="4"/>
    </row>
    <row collapsed="" customFormat="false" customHeight="1" hidden="" ht="14" outlineLevel="0" r="2051">
      <c r="A2051" s="3" t="inlineStr">
        <is>
          <t>2022</t>
        </is>
      </c>
      <c r="B2051" s="4" t="s">
        <f>=HYPERLINK("http://anyluxury.ru/shop/odezhda/vetrovki/vetrovka-svetootrazhayushhaya-finvind-temnoseraya-1411930/" , "14119.30 Ветровка светоотражающая Finvind темно-серая, размер XS")</f>
      </c>
      <c r="C2051" s="4" t="n">
        <v>4067.00</v>
      </c>
      <c r="D2051" s="4"/>
    </row>
    <row collapsed="" customFormat="false" customHeight="1" hidden="" ht="14" outlineLevel="0" r="2052">
      <c r="A2052" s="3" t="inlineStr">
        <is>
          <t>2023</t>
        </is>
      </c>
      <c r="B2052" s="4" t="s">
        <f>=HYPERLINK("http://anyluxury.ru/shop/odezhda/vetrovki/vetrovka-svetootrazhayushhaya-finvind-temnoseraya-1411930/" , "14119.30 Ветровка светоотражающая Finvind темно-серая, размер S")</f>
      </c>
      <c r="C2052" s="4" t="n">
        <v>4067.00</v>
      </c>
      <c r="D2052" s="4"/>
    </row>
    <row collapsed="" customFormat="false" customHeight="1" hidden="" ht="14" outlineLevel="0" r="2053">
      <c r="A2053" s="3" t="inlineStr">
        <is>
          <t>2024</t>
        </is>
      </c>
      <c r="B2053" s="4" t="s">
        <f>=HYPERLINK("http://anyluxury.ru/shop/odezhda/vetrovki/vetrovka-svetootrazhayushhaya-finvind-temnoseraya-1411930/" , "14119.30 Ветровка светоотражающая Finvind темно-серая, размер M")</f>
      </c>
      <c r="C2053" s="4" t="n">
        <v>4067.00</v>
      </c>
      <c r="D2053" s="4"/>
    </row>
    <row collapsed="" customFormat="false" customHeight="1" hidden="" ht="14" outlineLevel="0" r="2054">
      <c r="A2054" s="3" t="inlineStr">
        <is>
          <t>2025</t>
        </is>
      </c>
      <c r="B2054" s="4" t="s">
        <f>=HYPERLINK("http://anyluxury.ru/shop/odezhda/vetrovki/vetrovka-svetootrazhayushhaya-hard-work-7134311/" , "71343.11 Ветровка светоотражающая Hard Work, размер S")</f>
      </c>
      <c r="C2054" s="4" t="n">
        <v>4809.00</v>
      </c>
      <c r="D2054" s="4"/>
    </row>
    <row collapsed="" customFormat="false" customHeight="1" hidden="" ht="14" outlineLevel="0" r="2055">
      <c r="A2055" s="3" t="inlineStr">
        <is>
          <t>2026</t>
        </is>
      </c>
      <c r="B2055" s="4" t="s">
        <f>=HYPERLINK("http://anyluxury.ru/shop/odezhda/vetrovki/vetrovka-svetootrazhayushhaya-hard-work-7134311/" , "71343.11 Ветровка светоотражающая Hard Work, размер M")</f>
      </c>
      <c r="C2055" s="4" t="n">
        <v>4809.00</v>
      </c>
      <c r="D2055" s="4"/>
    </row>
    <row collapsed="" customFormat="false" customHeight="1" hidden="" ht="14" outlineLevel="0" r="2056">
      <c r="A2056" s="3" t="inlineStr">
        <is>
          <t>2027</t>
        </is>
      </c>
      <c r="B2056" s="4" t="s">
        <f>=HYPERLINK("http://anyluxury.ru/shop/odezhda/vetrovki/vetrovka-svetootrazhayushhaya-hard-work-7134311/" , "71343.11 Ветровка светоотражающая Hard Work, размер L")</f>
      </c>
      <c r="C2056" s="4" t="n">
        <v>4809.00</v>
      </c>
      <c r="D2056" s="4"/>
    </row>
    <row collapsed="" customFormat="false" customHeight="1" hidden="" ht="14" outlineLevel="0" r="2057">
      <c r="A2057" s="3" t="inlineStr">
        <is>
          <t>2028</t>
        </is>
      </c>
      <c r="B2057" s="4" t="s">
        <f>=HYPERLINK("http://anyluxury.ru/shop/odezhda/vetrovki/vetrovka-svetootrazhayushhaya-hard-work-7134311/" , "71343.11 Ветровка светоотражающая Hard Work, размер XL")</f>
      </c>
      <c r="C2057" s="4" t="n">
        <v>4809.00</v>
      </c>
      <c r="D2057" s="4"/>
    </row>
    <row collapsed="" customFormat="false" customHeight="1" hidden="" ht="14" outlineLevel="0" r="2058">
      <c r="A2058" s="3" t="inlineStr">
        <is>
          <t>2029</t>
        </is>
      </c>
      <c r="B2058" s="4" t="s">
        <f>=HYPERLINK("http://anyluxury.ru/shop/odezhda/vetrovki/vetrovka-svetootrazhayushhaya-hard-work-7134311/" , "71343.11 Ветровка светоотражающая Hard Work, размер XXL")</f>
      </c>
      <c r="C2058" s="4" t="n">
        <v>4809.00</v>
      </c>
      <c r="D2058" s="4"/>
    </row>
    <row collapsed="" customFormat="false" customHeight="1" hidden="" ht="14" outlineLevel="0" r="2059">
      <c r="A2059" s="3" t="inlineStr">
        <is>
          <t>2030</t>
        </is>
      </c>
      <c r="B2059" s="4" t="s">
        <f>=HYPERLINK("http://anyluxury.ru/shop/odezhda/vetrovki/vetrovka-kivach-temnoseraya-grafit-710213/" , "7102.13 Ветровка Kivach, темно-серая (графит), размер XS")</f>
      </c>
      <c r="C2059" s="4" t="n">
        <v>1560.00</v>
      </c>
      <c r="D2059" s="4"/>
    </row>
    <row collapsed="" customFormat="false" customHeight="1" hidden="" ht="14" outlineLevel="0" r="2060">
      <c r="A2060" s="3" t="inlineStr">
        <is>
          <t>2031</t>
        </is>
      </c>
      <c r="B2060" s="4" t="s">
        <f>=HYPERLINK("http://anyluxury.ru/shop/odezhda/vetrovki/vetrovka-kivach-temnoseraya-grafit-710213/" , "7102.13 Ветровка Kivach, темно-серая (графит), размер S")</f>
      </c>
      <c r="C2060" s="4" t="n">
        <v>1560.00</v>
      </c>
      <c r="D2060" s="4"/>
    </row>
    <row collapsed="" customFormat="false" customHeight="1" hidden="" ht="14" outlineLevel="0" r="2061">
      <c r="A2061" s="3" t="inlineStr">
        <is>
          <t>2032</t>
        </is>
      </c>
      <c r="B2061" s="4" t="s">
        <f>=HYPERLINK("http://anyluxury.ru/shop/odezhda/vetrovki/vetrovka-kivach-temnoseraya-grafit-710213/" , "7102.13 Ветровка Kivach, темно-серая (графит), размер M")</f>
      </c>
      <c r="C2061" s="4" t="n">
        <v>1560.00</v>
      </c>
      <c r="D2061" s="4"/>
    </row>
    <row collapsed="" customFormat="false" customHeight="1" hidden="" ht="14" outlineLevel="0" r="2062">
      <c r="A2062" s="3" t="inlineStr">
        <is>
          <t>2033</t>
        </is>
      </c>
      <c r="B2062" s="4" t="s">
        <f>=HYPERLINK("http://anyluxury.ru/shop/odezhda/vetrovki/vetrovka-kivach-temnoseraya-grafit-710213/" , "7102.13 Ветровка Kivach, темно-серая (графит), размер L")</f>
      </c>
      <c r="C2062" s="4" t="n">
        <v>1560.00</v>
      </c>
      <c r="D2062" s="4"/>
    </row>
    <row collapsed="" customFormat="false" customHeight="1" hidden="" ht="14" outlineLevel="0" r="2063">
      <c r="A2063" s="3" t="inlineStr">
        <is>
          <t>2034</t>
        </is>
      </c>
      <c r="B2063" s="4" t="s">
        <f>=HYPERLINK("http://anyluxury.ru/shop/odezhda/vetrovki/vetrovka-kivach-temnoseraya-grafit-710213/" , "7102.13 Ветровка Kivach, темно-серая (графит), размер XL")</f>
      </c>
      <c r="C2063" s="4" t="n">
        <v>1560.00</v>
      </c>
      <c r="D2063" s="4"/>
    </row>
    <row collapsed="" customFormat="false" customHeight="1" hidden="" ht="14" outlineLevel="0" r="2064">
      <c r="A2064" s="3" t="inlineStr">
        <is>
          <t>2035</t>
        </is>
      </c>
      <c r="B2064" s="4" t="s">
        <f>=HYPERLINK("http://anyluxury.ru/shop/odezhda/vetrovki/vetrovka-kivach-temnoseraya-grafit-710213/" , "7102.13 Ветровка Kivach, темно-серая (графит), размер XXL")</f>
      </c>
      <c r="C2064" s="4" t="n">
        <v>1560.00</v>
      </c>
      <c r="D2064" s="4"/>
    </row>
    <row collapsed="" customFormat="false" customHeight="" hidden="" ht="12.1" outlineLevel="0" r="2065">
      <c r="A2065" s="5" t="inlineStr">
        <is>
          <t> -  - Вязаные комплекты</t>
        </is>
      </c>
      <c r="B2065" s="6"/>
      <c r="C2065" s="6"/>
      <c r="D2065" s="6"/>
    </row>
    <row collapsed="" customFormat="false" customHeight="1" hidden="" ht="14" outlineLevel="0" r="2066">
      <c r="A2066" s="3" t="inlineStr">
        <is>
          <t>2036</t>
        </is>
      </c>
      <c r="B2066" s="4" t="s">
        <f>=HYPERLINK("http://anyluxury.ru/shop/odezhda/vyazanye-komplekty/nabor-steps-sharf-i-shapka-korichnevobeliy-677459/" , "6774.59 Набор Steps: шарф и шапка, коричнево-белый")</f>
      </c>
      <c r="C2066" s="4" t="n">
        <v>541.00</v>
      </c>
      <c r="D2066" s="4"/>
    </row>
    <row collapsed="" customFormat="false" customHeight="1" hidden="" ht="14" outlineLevel="0" r="2067">
      <c r="A2067" s="3" t="inlineStr">
        <is>
          <t>2037</t>
        </is>
      </c>
      <c r="B2067" s="4" t="s">
        <f>=HYPERLINK("http://anyluxury.ru/shop/odezhda/vyazanye-komplekty/nabor-life-explorer-yarkosiniy-1660044/" , "16600.44 Набор Life Explorer, ярко-синий (василек)")</f>
      </c>
      <c r="C2067" s="4" t="n">
        <v>1834.00</v>
      </c>
      <c r="D2067" s="4"/>
    </row>
    <row collapsed="" customFormat="false" customHeight="1" hidden="" ht="14" outlineLevel="0" r="2068">
      <c r="A2068" s="3" t="inlineStr">
        <is>
          <t>2038</t>
        </is>
      </c>
      <c r="B2068" s="4" t="s">
        <f>=HYPERLINK("http://anyluxury.ru/shop/odezhda/vyazanye-komplekty/nabor-life-explorer-fioletoviy-1660077/" , "16600.77 Набор Life Explorer, фиолетовый")</f>
      </c>
      <c r="C2068" s="4" t="n">
        <v>1834.00</v>
      </c>
      <c r="D2068" s="4"/>
    </row>
    <row collapsed="" customFormat="false" customHeight="1" hidden="" ht="14" outlineLevel="0" r="2069">
      <c r="A2069" s="3" t="inlineStr">
        <is>
          <t>2039</t>
        </is>
      </c>
      <c r="B2069" s="4" t="s">
        <f>=HYPERLINK("http://anyluxury.ru/shop/odezhda/vyazanye-komplekty/nabor-life-explorer-zheltiy-1660080/" , "16600.80 Набор Life Explorer, желтый")</f>
      </c>
      <c r="C2069" s="4" t="n">
        <v>1834.00</v>
      </c>
      <c r="D2069" s="4"/>
    </row>
    <row collapsed="" customFormat="false" customHeight="1" hidden="" ht="14" outlineLevel="0" r="2070">
      <c r="A2070" s="3" t="inlineStr">
        <is>
          <t>2040</t>
        </is>
      </c>
      <c r="B2070" s="4" t="s">
        <f>=HYPERLINK("http://anyluxury.ru/shop/odezhda/vyazanye-komplekty/nabor-life-explorer-zeleniy-1660090/" , "16600.90 Набор Life Explorer, зеленый")</f>
      </c>
      <c r="C2070" s="4" t="n">
        <v>1834.00</v>
      </c>
      <c r="D2070" s="4"/>
    </row>
    <row collapsed="" customFormat="false" customHeight="1" hidden="" ht="14" outlineLevel="0" r="2071">
      <c r="A2071" s="3" t="inlineStr">
        <is>
          <t>2041</t>
        </is>
      </c>
      <c r="B2071" s="4" t="s">
        <f>=HYPERLINK("http://anyluxury.ru/shop/odezhda/vyazanye-komplekty/nabor-glenn-cherniy-2054930/" , "20549.30 Набор Glenn, черный")</f>
      </c>
      <c r="C2071" s="4" t="n">
        <v>2674.00</v>
      </c>
      <c r="D2071" s="4"/>
    </row>
    <row collapsed="" customFormat="false" customHeight="1" hidden="" ht="14" outlineLevel="0" r="2072">
      <c r="A2072" s="3" t="inlineStr">
        <is>
          <t>2042</t>
        </is>
      </c>
      <c r="B2072" s="4" t="s">
        <f>=HYPERLINK("http://anyluxury.ru/shop/odezhda/vyazanye-komplekty/nabor-heat-trick-svetloseriy-melanzh-1279510/" , "12795.10 Набор Heat Trick, светло-серый меланж, размер M")</f>
      </c>
      <c r="C2072" s="4" t="n">
        <v>3796.00</v>
      </c>
      <c r="D2072" s="4"/>
    </row>
    <row collapsed="" customFormat="false" customHeight="1" hidden="" ht="14" outlineLevel="0" r="2073">
      <c r="A2073" s="3" t="inlineStr">
        <is>
          <t>2043</t>
        </is>
      </c>
      <c r="B2073" s="4" t="s">
        <f>=HYPERLINK("http://anyluxury.ru/shop/odezhda/vyazanye-komplekty/nabor-heat-trick-svetloseriy-melanzh-1279510/" , "12795.10 Набор Heat Trick, светло-серый меланж, размер L")</f>
      </c>
      <c r="C2073" s="4" t="n">
        <v>3796.00</v>
      </c>
      <c r="D2073" s="4"/>
    </row>
    <row collapsed="" customFormat="false" customHeight="1" hidden="" ht="14" outlineLevel="0" r="2074">
      <c r="A2074" s="3" t="inlineStr">
        <is>
          <t>2044</t>
        </is>
      </c>
      <c r="B2074" s="4" t="s">
        <f>=HYPERLINK("http://anyluxury.ru/shop/odezhda/vyazanye-komplekty/nabor-heat-trick-bezheviy-melanzh-1279516/" , "12795.16 Набор Heat Trick, бежевый меланж, размер M")</f>
      </c>
      <c r="C2074" s="4" t="n">
        <v>3667.00</v>
      </c>
      <c r="D2074" s="4"/>
    </row>
    <row collapsed="" customFormat="false" customHeight="1" hidden="" ht="14" outlineLevel="0" r="2075">
      <c r="A2075" s="3" t="inlineStr">
        <is>
          <t>2045</t>
        </is>
      </c>
      <c r="B2075" s="4" t="s">
        <f>=HYPERLINK("http://anyluxury.ru/shop/odezhda/vyazanye-komplekty/nabor-heat-trick-molochnobeliy-1279560/" , "12795.60 Набор Heat Trick, молочно-белый, размер M")</f>
      </c>
      <c r="C2075" s="4" t="n">
        <v>3796.00</v>
      </c>
      <c r="D2075" s="4"/>
    </row>
    <row collapsed="" customFormat="false" customHeight="1" hidden="" ht="14" outlineLevel="0" r="2076">
      <c r="A2076" s="3" t="inlineStr">
        <is>
          <t>2046</t>
        </is>
      </c>
      <c r="B2076" s="4" t="s">
        <f>=HYPERLINK("http://anyluxury.ru/shop/odezhda/vyazanye-komplekty/nabor-heat-trick-molochnobeliy-1279560/" , "12795.60 Набор Heat Trick, молочно-белый, размер L")</f>
      </c>
      <c r="C2076" s="4" t="n">
        <v>3796.00</v>
      </c>
      <c r="D2076" s="4"/>
    </row>
    <row collapsed="" customFormat="false" customHeight="1" hidden="" ht="14" outlineLevel="0" r="2077">
      <c r="A2077" s="3" t="inlineStr">
        <is>
          <t>2047</t>
        </is>
      </c>
      <c r="B2077" s="4" t="s">
        <f>=HYPERLINK("http://anyluxury.ru/shop/odezhda/vyazanye-komplekty/nabor-real-talk-seriy-5479910/" , "54799.10 Набор Real Talk, серый")</f>
      </c>
      <c r="C2077" s="4" t="n">
        <v>1551.00</v>
      </c>
      <c r="D2077" s="4"/>
    </row>
    <row collapsed="" customFormat="false" customHeight="1" hidden="" ht="14" outlineLevel="0" r="2078">
      <c r="A2078" s="3" t="inlineStr">
        <is>
          <t>2048</t>
        </is>
      </c>
      <c r="B2078" s="4" t="s">
        <f>=HYPERLINK("http://anyluxury.ru/shop/odezhda/vyazanye-komplekty/nabor-real-talk-bezheviy-5479911/" , "54799.11 Набор Real Talk, бежевый")</f>
      </c>
      <c r="C2078" s="4" t="n">
        <v>1551.00</v>
      </c>
      <c r="D2078" s="4"/>
    </row>
    <row collapsed="" customFormat="false" customHeight="1" hidden="" ht="14" outlineLevel="0" r="2079">
      <c r="A2079" s="3" t="inlineStr">
        <is>
          <t>2049</t>
        </is>
      </c>
      <c r="B2079" s="4" t="s">
        <f>=HYPERLINK("http://anyluxury.ru/shop/odezhda/vyazanye-komplekty/nabor-real-talk-goluboy-5479914/" , "54799.14 Набор Real Talk, голубой")</f>
      </c>
      <c r="C2079" s="4" t="n">
        <v>1551.00</v>
      </c>
      <c r="D2079" s="4"/>
    </row>
    <row collapsed="" customFormat="false" customHeight="1" hidden="" ht="14" outlineLevel="0" r="2080">
      <c r="A2080" s="3" t="inlineStr">
        <is>
          <t>2050</t>
        </is>
      </c>
      <c r="B2080" s="4" t="s">
        <f>=HYPERLINK("http://anyluxury.ru/shop/odezhda/vyazanye-komplekty/nabor-real-talk-oranzheviy-5479920/" , "54799.20 Набор Real Talk, оранжевый")</f>
      </c>
      <c r="C2080" s="4" t="n">
        <v>1551.00</v>
      </c>
      <c r="D2080" s="4"/>
    </row>
    <row collapsed="" customFormat="false" customHeight="1" hidden="" ht="14" outlineLevel="0" r="2081">
      <c r="A2081" s="3" t="inlineStr">
        <is>
          <t>2051</t>
        </is>
      </c>
      <c r="B2081" s="4" t="s">
        <f>=HYPERLINK("http://anyluxury.ru/shop/odezhda/vyazanye-komplekty/nabor-real-talk-cherniy-5479930/" , "54799.30 Набор Real Talk, черный")</f>
      </c>
      <c r="C2081" s="4" t="n">
        <v>1551.00</v>
      </c>
      <c r="D2081" s="4"/>
    </row>
    <row collapsed="" customFormat="false" customHeight="1" hidden="" ht="14" outlineLevel="0" r="2082">
      <c r="A2082" s="3" t="inlineStr">
        <is>
          <t>2052</t>
        </is>
      </c>
      <c r="B2082" s="4" t="s">
        <f>=HYPERLINK("http://anyluxury.ru/shop/odezhda/vyazanye-komplekty/nabor-real-talk-siniy-5479940/" , "54799.40 Набор Real Talk, синий")</f>
      </c>
      <c r="C2082" s="4" t="n">
        <v>1551.00</v>
      </c>
      <c r="D2082" s="4"/>
    </row>
    <row collapsed="" customFormat="false" customHeight="1" hidden="" ht="14" outlineLevel="0" r="2083">
      <c r="A2083" s="3" t="inlineStr">
        <is>
          <t>2053</t>
        </is>
      </c>
      <c r="B2083" s="4" t="s">
        <f>=HYPERLINK("http://anyluxury.ru/shop/odezhda/vyazanye-komplekty/nabor-real-talk-temnosiniy-5479944/" , "54799.44 Набор Real Talk, темно-синий")</f>
      </c>
      <c r="C2083" s="4" t="n">
        <v>1551.00</v>
      </c>
      <c r="D2083" s="4"/>
    </row>
    <row collapsed="" customFormat="false" customHeight="1" hidden="" ht="14" outlineLevel="0" r="2084">
      <c r="A2084" s="3" t="inlineStr">
        <is>
          <t>2054</t>
        </is>
      </c>
      <c r="B2084" s="4" t="s">
        <f>=HYPERLINK("http://anyluxury.ru/shop/odezhda/vyazanye-komplekty/nabor-real-talk-gorchichniy-5479982/" , "54799.82 Набор Real Talk, горчичный")</f>
      </c>
      <c r="C2084" s="4" t="n">
        <v>1551.00</v>
      </c>
      <c r="D2084" s="4"/>
    </row>
    <row collapsed="" customFormat="false" customHeight="1" hidden="" ht="14" outlineLevel="0" r="2085">
      <c r="A2085" s="3" t="inlineStr">
        <is>
          <t>2055</t>
        </is>
      </c>
      <c r="B2085" s="4" t="s">
        <f>=HYPERLINK("http://anyluxury.ru/shop/odezhda/vyazanye-komplekty/nabor-nordkapp-seriy-1410011/" , "14100.11 Набор Nordkapp, серый")</f>
      </c>
      <c r="C2085" s="4" t="n">
        <v>1645.00</v>
      </c>
      <c r="D2085" s="4"/>
    </row>
    <row collapsed="" customFormat="false" customHeight="1" hidden="" ht="14" outlineLevel="0" r="2086">
      <c r="A2086" s="3" t="inlineStr">
        <is>
          <t>2056</t>
        </is>
      </c>
      <c r="B2086" s="4" t="s">
        <f>=HYPERLINK("http://anyluxury.ru/shop/odezhda/vyazanye-komplekty/nabor-nordkapp-cherniy-1410030/" , "14100.30 Набор Nordkapp, черный")</f>
      </c>
      <c r="C2086" s="4" t="n">
        <v>1645.00</v>
      </c>
      <c r="D2086" s="4"/>
    </row>
    <row collapsed="" customFormat="false" customHeight="1" hidden="" ht="14" outlineLevel="0" r="2087">
      <c r="A2087" s="3" t="inlineStr">
        <is>
          <t>2057</t>
        </is>
      </c>
      <c r="B2087" s="4" t="s">
        <f>=HYPERLINK("http://anyluxury.ru/shop/odezhda/vyazanye-komplekty/nabor-nordkapp-temnosiniy-1410040/" , "14100.40 Набор Nordkapp, темно-синий")</f>
      </c>
      <c r="C2087" s="4" t="n">
        <v>1645.00</v>
      </c>
      <c r="D2087" s="4"/>
    </row>
    <row collapsed="" customFormat="false" customHeight="1" hidden="" ht="14" outlineLevel="0" r="2088">
      <c r="A2088" s="3" t="inlineStr">
        <is>
          <t>2058</t>
        </is>
      </c>
      <c r="B2088" s="4" t="s">
        <f>=HYPERLINK("http://anyluxury.ru/shop/odezhda/vyazanye-komplekty/nabor-nordkapp-yarkosiniy-1410044/" , "14100.44 Набор Nordkapp, ярко-синий")</f>
      </c>
      <c r="C2088" s="4" t="n">
        <v>1645.00</v>
      </c>
      <c r="D2088" s="4"/>
    </row>
    <row collapsed="" customFormat="false" customHeight="1" hidden="" ht="14" outlineLevel="0" r="2089">
      <c r="A2089" s="3" t="inlineStr">
        <is>
          <t>2059</t>
        </is>
      </c>
      <c r="B2089" s="4" t="s">
        <f>=HYPERLINK("http://anyluxury.ru/shop/odezhda/vyazanye-komplekty/nabor-nordkapp-krasniy-1410050/" , "14100.50 Набор Nordkapp, красный")</f>
      </c>
      <c r="C2089" s="4" t="n">
        <v>1645.00</v>
      </c>
      <c r="D2089" s="4"/>
    </row>
    <row collapsed="" customFormat="false" customHeight="1" hidden="" ht="14" outlineLevel="0" r="2090">
      <c r="A2090" s="3" t="inlineStr">
        <is>
          <t>2060</t>
        </is>
      </c>
      <c r="B2090" s="4" t="s">
        <f>=HYPERLINK("http://anyluxury.ru/shop/odezhda/vyazanye-komplekty/nabor-nordkapp-molochnobeliy-1410060/" , "14100.60 Набор Nordkapp, молочно-белый")</f>
      </c>
      <c r="C2090" s="4" t="n">
        <v>1645.00</v>
      </c>
      <c r="D2090" s="4"/>
    </row>
    <row collapsed="" customFormat="false" customHeight="1" hidden="" ht="14" outlineLevel="0" r="2091">
      <c r="A2091" s="3" t="inlineStr">
        <is>
          <t>2061</t>
        </is>
      </c>
      <c r="B2091" s="4" t="s">
        <f>=HYPERLINK("http://anyluxury.ru/shop/odezhda/vyazanye-komplekty/nabor-nordkyn-full-set-s-sharfom-siniy-4505140/" , "45051.40 Набор Nordkyn Full Set с шарфом, синий, размер M")</f>
      </c>
      <c r="C2091" s="4" t="n">
        <v>3427.00</v>
      </c>
      <c r="D2091" s="4"/>
    </row>
    <row collapsed="" customFormat="false" customHeight="1" hidden="" ht="14" outlineLevel="0" r="2092">
      <c r="A2092" s="3" t="inlineStr">
        <is>
          <t>2062</t>
        </is>
      </c>
      <c r="B2092" s="4" t="s">
        <f>=HYPERLINK("http://anyluxury.ru/shop/odezhda/vyazanye-komplekty/nabor-chain-temnosiniy-6787040/" , "67870.40 Набор Chain, темно-синий")</f>
      </c>
      <c r="C2092" s="4" t="n">
        <v>1114.00</v>
      </c>
      <c r="D2092" s="4"/>
    </row>
    <row collapsed="" customFormat="false" customHeight="1" hidden="" ht="14" outlineLevel="0" r="2093">
      <c r="A2093" s="3" t="inlineStr">
        <is>
          <t>2063</t>
        </is>
      </c>
      <c r="B2093" s="4" t="s">
        <f>=HYPERLINK("http://anyluxury.ru/shop/odezhda/vyazanye-komplekty/nabor-real-talk-full-set-seriy-5479810/" , "54798.10 Набор Real Talk Full Set, серый")</f>
      </c>
      <c r="C2093" s="4" t="n">
        <v>2121.00</v>
      </c>
      <c r="D2093" s="4"/>
    </row>
    <row collapsed="" customFormat="false" customHeight="1" hidden="" ht="14" outlineLevel="0" r="2094">
      <c r="A2094" s="3" t="inlineStr">
        <is>
          <t>2064</t>
        </is>
      </c>
      <c r="B2094" s="4" t="s">
        <f>=HYPERLINK("http://anyluxury.ru/shop/odezhda/vyazanye-komplekty/nabor-real-talk-full-set-bezheviy-5479811/" , "54798.11 Набор Real Talk Full Set, бежевый")</f>
      </c>
      <c r="C2094" s="4" t="n">
        <v>2121.00</v>
      </c>
      <c r="D2094" s="4"/>
    </row>
    <row collapsed="" customFormat="false" customHeight="1" hidden="" ht="14" outlineLevel="0" r="2095">
      <c r="A2095" s="3" t="inlineStr">
        <is>
          <t>2065</t>
        </is>
      </c>
      <c r="B2095" s="4" t="s">
        <f>=HYPERLINK("http://anyluxury.ru/shop/odezhda/vyazanye-komplekty/nabor-real-talk-full-set-cherniy-5479830/" , "54798.30 Набор Real Talk Full Set, черный")</f>
      </c>
      <c r="C2095" s="4" t="n">
        <v>2121.00</v>
      </c>
      <c r="D2095" s="4"/>
    </row>
    <row collapsed="" customFormat="false" customHeight="1" hidden="" ht="14" outlineLevel="0" r="2096">
      <c r="A2096" s="3" t="inlineStr">
        <is>
          <t>2066</t>
        </is>
      </c>
      <c r="B2096" s="4" t="s">
        <f>=HYPERLINK("http://anyluxury.ru/shop/odezhda/vyazanye-komplekty/nabor-real-talk-full-set-siniy-5479840/" , "54798.40 Набор Real Talk Full Set, синий")</f>
      </c>
      <c r="C2096" s="4" t="n">
        <v>2121.00</v>
      </c>
      <c r="D2096" s="4"/>
    </row>
    <row collapsed="" customFormat="false" customHeight="1" hidden="" ht="14" outlineLevel="0" r="2097">
      <c r="A2097" s="3" t="inlineStr">
        <is>
          <t>2067</t>
        </is>
      </c>
      <c r="B2097" s="4" t="s">
        <f>=HYPERLINK("http://anyluxury.ru/shop/odezhda/vyazanye-komplekty/nabor-real-talk-full-set-temnosiniy-5479844/" , "54798.44 Набор Real Talk Full Set, темно-синий")</f>
      </c>
      <c r="C2097" s="4" t="n">
        <v>2121.00</v>
      </c>
      <c r="D2097" s="4"/>
    </row>
    <row collapsed="" customFormat="false" customHeight="1" hidden="" ht="14" outlineLevel="0" r="2098">
      <c r="A2098" s="3" t="inlineStr">
        <is>
          <t>2068</t>
        </is>
      </c>
      <c r="B2098" s="4" t="s">
        <f>=HYPERLINK("http://anyluxury.ru/shop/odezhda/vyazanye-komplekty/nabor-real-talk-full-set-gorchichniy-5479882/" , "54798.82 Набор Real Talk Full Set, горчичный")</f>
      </c>
      <c r="C2098" s="4" t="n">
        <v>2121.00</v>
      </c>
      <c r="D2098" s="4"/>
    </row>
    <row collapsed="" customFormat="false" customHeight="1" hidden="" ht="14" outlineLevel="0" r="2099">
      <c r="A2099" s="3" t="inlineStr">
        <is>
          <t>2069</t>
        </is>
      </c>
      <c r="B2099" s="4" t="s">
        <f>=HYPERLINK("http://anyluxury.ru/shop/odezhda/vyazanye-komplekty/nabor-snappy-temnoseriy-s-oranzhevim-7626321/" , "76263.21 Набор Snappy, темно-серый с оранжевым")</f>
      </c>
      <c r="C2099" s="4" t="n">
        <v>1850.00</v>
      </c>
      <c r="D2099" s="4"/>
    </row>
    <row collapsed="" customFormat="false" customHeight="1" hidden="" ht="14" outlineLevel="0" r="2100">
      <c r="A2100" s="3" t="inlineStr">
        <is>
          <t>2070</t>
        </is>
      </c>
      <c r="B2100" s="4" t="s">
        <f>=HYPERLINK("http://anyluxury.ru/shop/odezhda/vyazanye-komplekty/nabor-snappy-beliy-s-chernim-7626336/" , "76263.36 Набор Snappy, белый с черным")</f>
      </c>
      <c r="C2100" s="4" t="n">
        <v>1850.00</v>
      </c>
      <c r="D2100" s="4"/>
    </row>
    <row collapsed="" customFormat="false" customHeight="1" hidden="" ht="14" outlineLevel="0" r="2101">
      <c r="A2101" s="3" t="inlineStr">
        <is>
          <t>2071</t>
        </is>
      </c>
      <c r="B2101" s="4" t="s">
        <f>=HYPERLINK("http://anyluxury.ru/shop/odezhda/vyazanye-komplekty/nabor-snappy-fuksiya-s-sinim-7626345/" , "76263.45 Набор Snappy, фуксия с синим")</f>
      </c>
      <c r="C2101" s="4" t="n">
        <v>1850.00</v>
      </c>
      <c r="D2101" s="4"/>
    </row>
    <row collapsed="" customFormat="false" customHeight="1" hidden="" ht="14" outlineLevel="0" r="2102">
      <c r="A2102" s="3" t="inlineStr">
        <is>
          <t>2072</t>
        </is>
      </c>
      <c r="B2102" s="4" t="s">
        <f>=HYPERLINK("http://anyluxury.ru/shop/odezhda/vyazanye-komplekty/nabor-snappy-zheltiy-s-sinim-7626348/" , "76263.48 Набор Snappy, желтый с синим")</f>
      </c>
      <c r="C2102" s="4" t="n">
        <v>1850.00</v>
      </c>
      <c r="D2102" s="4"/>
    </row>
    <row collapsed="" customFormat="false" customHeight="1" hidden="" ht="14" outlineLevel="0" r="2103">
      <c r="A2103" s="3" t="inlineStr">
        <is>
          <t>2073</t>
        </is>
      </c>
      <c r="B2103" s="4" t="s">
        <f>=HYPERLINK("http://anyluxury.ru/shop/odezhda/vyazanye-komplekty/nabor-snappy-zeleniy-s-sinim-7626349/" , "76263.49 Набор Snappy, зеленый с синим")</f>
      </c>
      <c r="C2103" s="4" t="n">
        <v>1850.00</v>
      </c>
      <c r="D2103" s="4"/>
    </row>
    <row collapsed="" customFormat="false" customHeight="1" hidden="" ht="14" outlineLevel="0" r="2104">
      <c r="A2104" s="3" t="inlineStr">
        <is>
          <t>2074</t>
        </is>
      </c>
      <c r="B2104" s="4" t="s">
        <f>=HYPERLINK("http://anyluxury.ru/shop/odezhda/vyazanye-komplekty/nabor-snappy-zheltiy-s-krasnim-7626358/" , "76263.58 Набор Snappy, желтый с красным")</f>
      </c>
      <c r="C2104" s="4" t="n">
        <v>1850.00</v>
      </c>
      <c r="D2104" s="4"/>
    </row>
    <row collapsed="" customFormat="false" customHeight="1" hidden="" ht="14" outlineLevel="0" r="2105">
      <c r="A2105" s="3" t="inlineStr">
        <is>
          <t>2075</t>
        </is>
      </c>
      <c r="B2105" s="4" t="s">
        <f>=HYPERLINK("http://anyluxury.ru/shop/odezhda/vyazanye-komplekty/nabor-snappy-zeleniy-s-salatovim-7626399/" , "76263.99 Набор Snappy, зеленый с салатовым")</f>
      </c>
      <c r="C2105" s="4" t="n">
        <v>1850.00</v>
      </c>
      <c r="D2105" s="4"/>
    </row>
    <row collapsed="" customFormat="false" customHeight="1" hidden="" ht="14" outlineLevel="0" r="2106">
      <c r="A2106" s="3" t="inlineStr">
        <is>
          <t>2076</t>
        </is>
      </c>
      <c r="B2106" s="4" t="s">
        <f>=HYPERLINK("http://anyluxury.ru/shop/odezhda/vyazanye-komplekty/nabor-nordkyn-s-sharfom-bordoviy-4505155/" , "45051.55 Набор Nordkyn с шарфом, бордовый, размер L")</f>
      </c>
      <c r="C2106" s="4" t="n">
        <v>3427.00</v>
      </c>
      <c r="D2106" s="4"/>
    </row>
    <row collapsed="" customFormat="false" customHeight="1" hidden="" ht="14" outlineLevel="0" r="2107">
      <c r="A2107" s="3" t="inlineStr">
        <is>
          <t>2077</t>
        </is>
      </c>
      <c r="B2107" s="4" t="s">
        <f>=HYPERLINK("http://anyluxury.ru/shop/odezhda/vyazanye-komplekty/nabor-fargo-bezheviy-1820213/" , "18202.13 Набор Fargo, бежевый")</f>
      </c>
      <c r="C2107" s="4" t="n">
        <v>2252.00</v>
      </c>
      <c r="D2107" s="4"/>
    </row>
    <row collapsed="" customFormat="false" customHeight="1" hidden="" ht="14" outlineLevel="0" r="2108">
      <c r="A2108" s="3" t="inlineStr">
        <is>
          <t>2078</t>
        </is>
      </c>
      <c r="B2108" s="4" t="s">
        <f>=HYPERLINK("http://anyluxury.ru/shop/odezhda/vyazanye-komplekty/nabor-brugge-even-siniy-1820540/" , "18205.40 Набор Brugge Even, синий, размер S/M")</f>
      </c>
      <c r="C2108" s="4" t="n">
        <v>3605.00</v>
      </c>
      <c r="D2108" s="4"/>
    </row>
    <row collapsed="" customFormat="false" customHeight="1" hidden="" ht="14" outlineLevel="0" r="2109">
      <c r="A2109" s="3" t="inlineStr">
        <is>
          <t>2079</t>
        </is>
      </c>
      <c r="B2109" s="4" t="s">
        <f>=HYPERLINK("http://anyluxury.ru/shop/odezhda/vyazanye-komplekty/nabor-brugge-even-siniy-1820540/" , "18205.40 Набор Brugge Even, синий, размер L/XL")</f>
      </c>
      <c r="C2109" s="4" t="n">
        <v>3605.00</v>
      </c>
      <c r="D2109" s="4"/>
    </row>
    <row collapsed="" customFormat="false" customHeight="1" hidden="" ht="14" outlineLevel="0" r="2110">
      <c r="A2110" s="3" t="inlineStr">
        <is>
          <t>2080</t>
        </is>
      </c>
      <c r="B2110" s="4" t="s">
        <f>=HYPERLINK("http://anyluxury.ru/shop/odezhda/vyazanye-komplekty/nabor-stout-seriy-melanzh-1820610/" , "18206.10 Набор Stout, серый меланж")</f>
      </c>
      <c r="C2110" s="4" t="n">
        <v>3698.00</v>
      </c>
      <c r="D2110" s="4"/>
    </row>
    <row collapsed="" customFormat="false" customHeight="1" hidden="" ht="14" outlineLevel="0" r="2111">
      <c r="A2111" s="3" t="inlineStr">
        <is>
          <t>2081</t>
        </is>
      </c>
      <c r="B2111" s="4" t="s">
        <f>=HYPERLINK("http://anyluxury.ru/shop/odezhda/vyazanye-komplekty/nabor-stout-cherniy-1820630/" , "18206.30 Набор Stout, черный")</f>
      </c>
      <c r="C2111" s="4" t="n">
        <v>3698.00</v>
      </c>
      <c r="D2111" s="4"/>
    </row>
    <row collapsed="" customFormat="false" customHeight="1" hidden="" ht="14" outlineLevel="0" r="2112">
      <c r="A2112" s="3" t="inlineStr">
        <is>
          <t>2082</t>
        </is>
      </c>
      <c r="B2112" s="4" t="s">
        <f>=HYPERLINK("http://anyluxury.ru/shop/odezhda/vyazanye-komplekty/nabor-stout-krasniy-1820650/" , "18206.50 Набор Stout, красный")</f>
      </c>
      <c r="C2112" s="4" t="n">
        <v>3698.00</v>
      </c>
      <c r="D2112" s="4"/>
    </row>
    <row collapsed="" customFormat="false" customHeight="1" hidden="" ht="14" outlineLevel="0" r="2113">
      <c r="A2113" s="3" t="inlineStr">
        <is>
          <t>2083</t>
        </is>
      </c>
      <c r="B2113" s="4" t="s">
        <f>=HYPERLINK("http://anyluxury.ru/shop/odezhda/vyazanye-komplekty/nabor-stout-zeleniy-1820690/" , "18206.90 Набор Stout, зеленый")</f>
      </c>
      <c r="C2113" s="4" t="n">
        <v>3698.00</v>
      </c>
      <c r="D2113" s="4"/>
    </row>
    <row collapsed="" customFormat="false" customHeight="1" hidden="" ht="14" outlineLevel="0" r="2114">
      <c r="A2114" s="3" t="inlineStr">
        <is>
          <t>2084</t>
        </is>
      </c>
      <c r="B2114" s="4" t="s">
        <f>=HYPERLINK("http://anyluxury.ru/shop/odezhda/vyazanye-komplekty/nabor-cordelia-bezheviy-1820700/" , "18207.00 Набор Cordelia, бежевый, размер S/M")</f>
      </c>
      <c r="C2114" s="4" t="n">
        <v>6273.00</v>
      </c>
      <c r="D2114" s="4"/>
    </row>
    <row collapsed="" customFormat="false" customHeight="1" hidden="" ht="14" outlineLevel="0" r="2115">
      <c r="A2115" s="3" t="inlineStr">
        <is>
          <t>2085</t>
        </is>
      </c>
      <c r="B2115" s="4" t="s">
        <f>=HYPERLINK("http://anyluxury.ru/shop/odezhda/vyazanye-komplekty/nabor-cordelia-bezheviy-1820700/" , "18207.00 Набор Cordelia, бежевый, размер L/XL")</f>
      </c>
      <c r="C2115" s="4" t="n">
        <v>6271.00</v>
      </c>
      <c r="D2115" s="4"/>
    </row>
    <row collapsed="" customFormat="false" customHeight="1" hidden="" ht="14" outlineLevel="0" r="2116">
      <c r="A2116" s="3" t="inlineStr">
        <is>
          <t>2086</t>
        </is>
      </c>
      <c r="B2116" s="4" t="s">
        <f>=HYPERLINK("http://anyluxury.ru/shop/odezhda/vyazanye-komplekty/nabor-cordelia-cherniy-1820730/" , "18207.30 Набор Cordelia, черный, размер S/M")</f>
      </c>
      <c r="C2116" s="4" t="n">
        <v>6273.00</v>
      </c>
      <c r="D2116" s="4"/>
    </row>
    <row collapsed="" customFormat="false" customHeight="1" hidden="" ht="14" outlineLevel="0" r="2117">
      <c r="A2117" s="3" t="inlineStr">
        <is>
          <t>2087</t>
        </is>
      </c>
      <c r="B2117" s="4" t="s">
        <f>=HYPERLINK("http://anyluxury.ru/shop/odezhda/vyazanye-komplekty/nabor-cordelia-siniy-1820740/" , "18207.40 Набор Cordelia, синий, размер S/M")</f>
      </c>
      <c r="C2117" s="4" t="n">
        <v>6273.00</v>
      </c>
      <c r="D2117" s="4"/>
    </row>
    <row collapsed="" customFormat="false" customHeight="1" hidden="" ht="14" outlineLevel="0" r="2118">
      <c r="A2118" s="3" t="inlineStr">
        <is>
          <t>2088</t>
        </is>
      </c>
      <c r="B2118" s="4" t="s">
        <f>=HYPERLINK("http://anyluxury.ru/shop/odezhda/vyazanye-komplekty/nabor-alpine-seriy-1820811/" , "18208.11 Набор Alpine, серый, размер S/M")</f>
      </c>
      <c r="C2118" s="4" t="n">
        <v>6364.00</v>
      </c>
      <c r="D2118" s="4"/>
    </row>
    <row collapsed="" customFormat="false" customHeight="1" hidden="" ht="14" outlineLevel="0" r="2119">
      <c r="A2119" s="3" t="inlineStr">
        <is>
          <t>2089</t>
        </is>
      </c>
      <c r="B2119" s="4" t="s">
        <f>=HYPERLINK("http://anyluxury.ru/shop/odezhda/vyazanye-komplekty/nabor-alpine-beliy-1820860/" , "18208.60 Набор Alpine, белый, размер S/M")</f>
      </c>
      <c r="C2119" s="4" t="n">
        <v>6364.00</v>
      </c>
      <c r="D2119" s="4"/>
    </row>
    <row collapsed="" customFormat="false" customHeight="1" hidden="" ht="14" outlineLevel="0" r="2120">
      <c r="A2120" s="3" t="inlineStr">
        <is>
          <t>2090</t>
        </is>
      </c>
      <c r="B2120" s="4" t="s">
        <f>=HYPERLINK("http://anyluxury.ru/shop/odezhda/vyazanye-komplekty/nabor-alpine-beliy-1820860/" , "18208.60 Набор Alpine, белый, размер L/XL")</f>
      </c>
      <c r="C2120" s="4" t="n">
        <v>6362.00</v>
      </c>
      <c r="D2120" s="4"/>
    </row>
    <row collapsed="" customFormat="false" customHeight="1" hidden="" ht="14" outlineLevel="0" r="2121">
      <c r="A2121" s="3" t="inlineStr">
        <is>
          <t>2091</t>
        </is>
      </c>
      <c r="B2121" s="4" t="s">
        <f>=HYPERLINK("http://anyluxury.ru/shop/odezhda/vyazanye-komplekty/nabor-siver-seriy-6856010/" , "68560.10 Набор Siver, серый")</f>
      </c>
      <c r="C2121" s="4" t="n">
        <v>1055.00</v>
      </c>
      <c r="D2121" s="4"/>
    </row>
    <row collapsed="" customFormat="false" customHeight="1" hidden="" ht="14" outlineLevel="0" r="2122">
      <c r="A2122" s="3" t="inlineStr">
        <is>
          <t>2092</t>
        </is>
      </c>
      <c r="B2122" s="4" t="s">
        <f>=HYPERLINK("http://anyluxury.ru/shop/odezhda/vyazanye-komplekty/nabor-siver-yarkosiniy-6856040/" , "68560.40 Набор Siver, ярко-синий")</f>
      </c>
      <c r="C2122" s="4" t="n">
        <v>1055.00</v>
      </c>
      <c r="D2122" s="4"/>
    </row>
    <row collapsed="" customFormat="false" customHeight="1" hidden="" ht="14" outlineLevel="0" r="2123">
      <c r="A2123" s="3" t="inlineStr">
        <is>
          <t>2093</t>
        </is>
      </c>
      <c r="B2123" s="4" t="s">
        <f>=HYPERLINK("http://anyluxury.ru/shop/odezhda/vyazanye-komplekty/nabor-siver-krasniy-6856050/" , "68560.50 Набор Siver, красный")</f>
      </c>
      <c r="C2123" s="4" t="n">
        <v>1055.00</v>
      </c>
      <c r="D2123" s="4"/>
    </row>
    <row collapsed="" customFormat="false" customHeight="1" hidden="" ht="14" outlineLevel="0" r="2124">
      <c r="A2124" s="3" t="inlineStr">
        <is>
          <t>2094</t>
        </is>
      </c>
      <c r="B2124" s="4" t="s">
        <f>=HYPERLINK("http://anyluxury.ru/shop/odezhda/vyazanye-komplekty/nabor-siver-beliy-6856060/" , "68560.60 Набор Siver, белый")</f>
      </c>
      <c r="C2124" s="4" t="n">
        <v>1055.00</v>
      </c>
      <c r="D2124" s="4"/>
    </row>
    <row collapsed="" customFormat="false" customHeight="1" hidden="" ht="14" outlineLevel="0" r="2125">
      <c r="A2125" s="3" t="inlineStr">
        <is>
          <t>2095</t>
        </is>
      </c>
      <c r="B2125" s="4" t="s">
        <f>=HYPERLINK("http://anyluxury.ru/shop/odezhda/vyazanye-komplekty/nabor-nordkyn-full-set-so-snudomver2-siniy-45049140/" , "450491.40 Набор Nordkyn Full Set со снудом, ver.2, синий")</f>
      </c>
      <c r="C2125" s="4" t="n">
        <v>1528.00</v>
      </c>
      <c r="D2125" s="4"/>
    </row>
    <row collapsed="" customFormat="false" customHeight="1" hidden="" ht="14" outlineLevel="0" r="2126">
      <c r="A2126" s="3" t="inlineStr">
        <is>
          <t>2096</t>
        </is>
      </c>
      <c r="B2126" s="4" t="s">
        <f>=HYPERLINK("http://anyluxury.ru/shop/odezhda/vyazanye-komplekty/nabor-nordkyn-s-sharfom-zeleniy-olivkoviy-4505190/" , "45051.90 Набор Nordkyn с шарфом, зеленый (оливковый), размер M")</f>
      </c>
      <c r="C2126" s="4" t="n">
        <v>3382.00</v>
      </c>
      <c r="D2126" s="4"/>
    </row>
    <row collapsed="" customFormat="false" customHeight="1" hidden="" ht="14" outlineLevel="0" r="2127">
      <c r="A2127" s="3" t="inlineStr">
        <is>
          <t>2097</t>
        </is>
      </c>
      <c r="B2127" s="4" t="s">
        <f>=HYPERLINK("http://anyluxury.ru/shop/odezhda/vyazanye-komplekty/nabor-nordkyn-s-sharfom-zeleniy-olivkoviy-4505190/" , "45051.90 Набор Nordkyn с шарфом, зеленый (оливковый), размер L")</f>
      </c>
      <c r="C2127" s="4" t="n">
        <v>3382.00</v>
      </c>
      <c r="D2127" s="4"/>
    </row>
    <row collapsed="" customFormat="false" customHeight="" hidden="" ht="12.1" outlineLevel="0" r="2128">
      <c r="A2128" s="5" t="inlineStr">
        <is>
          <t> -  - Детская одежда</t>
        </is>
      </c>
      <c r="B2128" s="6"/>
      <c r="C2128" s="6"/>
      <c r="D2128" s="6"/>
    </row>
    <row collapsed="" customFormat="false" customHeight="1" hidden="" ht="14" outlineLevel="0" r="2129">
      <c r="A2129" s="3" t="inlineStr">
        <is>
          <t>2098</t>
        </is>
      </c>
      <c r="B2129" s="4" t="s">
        <f>=HYPERLINK("http://anyluxury.ru/shop/odezhda/detskaya-odezhda/futbolka-s-dlinnim-rukavom-monarch-150-krasnaya-137750/" , "1377.50 Футболка мужская с длинным рукавом MONARCH 150 красная, размер S")</f>
      </c>
      <c r="C2129" s="4" t="n">
        <v>970.00</v>
      </c>
      <c r="D2129" s="4"/>
    </row>
    <row collapsed="" customFormat="false" customHeight="1" hidden="" ht="14" outlineLevel="0" r="2130">
      <c r="A2130" s="3" t="inlineStr">
        <is>
          <t>2099</t>
        </is>
      </c>
      <c r="B2130" s="4" t="s">
        <f>=HYPERLINK("http://anyluxury.ru/shop/odezhda/detskaya-odezhda/futbolka-s-dlinnim-rukavom-monarch-150-krasnaya-137750/" , "1377.50 Футболка мужская с длинным рукавом MONARCH 150 красная, размер XL")</f>
      </c>
      <c r="C2130" s="4" t="n">
        <v>970.00</v>
      </c>
      <c r="D2130" s="4"/>
    </row>
    <row collapsed="" customFormat="false" customHeight="1" hidden="" ht="14" outlineLevel="0" r="2131">
      <c r="A2131" s="3" t="inlineStr">
        <is>
          <t>2100</t>
        </is>
      </c>
      <c r="B2131" s="4" t="s">
        <f>=HYPERLINK("http://anyluxury.ru/shop/odezhda/detskaya-odezhda/futbolka-s-dlinnim-rukavom-monarch-150-krasnaya-137750/" , "1377.50 Футболка мужская с длинным рукавом MONARCH 150 красная, размер XXL")</f>
      </c>
      <c r="C2131" s="4" t="n">
        <v>970.00</v>
      </c>
      <c r="D2131" s="4"/>
    </row>
    <row collapsed="" customFormat="false" customHeight="1" hidden="" ht="14" outlineLevel="0" r="2132">
      <c r="A2132" s="3" t="inlineStr">
        <is>
          <t>2101</t>
        </is>
      </c>
      <c r="B2132" s="4" t="s">
        <f>=HYPERLINK("http://anyluxury.ru/shop/odezhda/detskaya-odezhda/futbolka-s-dlinnim-rukavom-monarch-150-krasnaya-137750/" , "1377.50 Футболка мужская с длинным рукавом MONARCH 150 красная, размер 3XL")</f>
      </c>
      <c r="C2132" s="4" t="n">
        <v>1179.00</v>
      </c>
      <c r="D2132" s="4"/>
    </row>
    <row collapsed="" customFormat="false" customHeight="1" hidden="" ht="14" outlineLevel="0" r="2133">
      <c r="A2133" s="3" t="inlineStr">
        <is>
          <t>2102</t>
        </is>
      </c>
      <c r="B2133" s="4" t="s">
        <f>=HYPERLINK("http://anyluxury.ru/shop/odezhda/detskaya-odezhda/futbolka-s-dlinnim-rukavom-monarch-150-krasnaya-137750/" , "1377.50 Футболка мужская с длинным рукавом MONARCH 150 красная, размер M")</f>
      </c>
      <c r="C2133" s="4" t="n">
        <v>970.00</v>
      </c>
      <c r="D2133" s="4"/>
    </row>
    <row collapsed="" customFormat="false" customHeight="1" hidden="" ht="14" outlineLevel="0" r="2134">
      <c r="A2134" s="3" t="inlineStr">
        <is>
          <t>2103</t>
        </is>
      </c>
      <c r="B2134" s="4" t="s">
        <f>=HYPERLINK("http://anyluxury.ru/shop/odezhda/detskaya-odezhda/futbolka-s-dlinnim-rukavom-monarch-150-krasnaya-137750/" , "1377.50 Футболка мужская с длинным рукавом MONARCH 150 красная, размер L")</f>
      </c>
      <c r="C2134" s="4" t="n">
        <v>970.00</v>
      </c>
      <c r="D2134" s="4"/>
    </row>
    <row collapsed="" customFormat="false" customHeight="1" hidden="" ht="14" outlineLevel="0" r="2135">
      <c r="A2135" s="3" t="inlineStr">
        <is>
          <t>2104</t>
        </is>
      </c>
      <c r="B2135" s="4" t="s">
        <f>=HYPERLINK("http://anyluxury.ru/shop/odezhda/detskaya-odezhda/tolstovka-iz-flisa-ness-300-krasnaya-155550/" , "1555.50 Толстовка из флиса NESS 300, красная, размер M")</f>
      </c>
      <c r="C2135" s="4" t="n">
        <v>2503.00</v>
      </c>
      <c r="D2135" s="4"/>
    </row>
    <row collapsed="" customFormat="false" customHeight="1" hidden="" ht="14" outlineLevel="0" r="2136">
      <c r="A2136" s="3" t="inlineStr">
        <is>
          <t>2105</t>
        </is>
      </c>
      <c r="B2136" s="4" t="s">
        <f>=HYPERLINK("http://anyluxury.ru/shop/odezhda/detskaya-odezhda/tolstovka-iz-flisa-ness-300-krasnaya-155550/" , "1555.50 Толстовка из флиса NESS 300, красная, размер XL")</f>
      </c>
      <c r="C2136" s="4" t="n">
        <v>2503.00</v>
      </c>
      <c r="D2136" s="4"/>
    </row>
    <row collapsed="" customFormat="false" customHeight="1" hidden="" ht="14" outlineLevel="0" r="2137">
      <c r="A2137" s="3" t="inlineStr">
        <is>
          <t>2106</t>
        </is>
      </c>
      <c r="B2137" s="4" t="s">
        <f>=HYPERLINK("http://anyluxury.ru/shop/odezhda/detskaya-odezhda/tolstovka-iz-flisa-ness-300-krasnaya-155550/" , "1555.50 Толстовка из флиса NESS 300, красная, размер XXL")</f>
      </c>
      <c r="C2137" s="4" t="n">
        <v>2503.00</v>
      </c>
      <c r="D2137" s="4"/>
    </row>
    <row collapsed="" customFormat="false" customHeight="1" hidden="" ht="14" outlineLevel="0" r="2138">
      <c r="A2138" s="3" t="inlineStr">
        <is>
          <t>2107</t>
        </is>
      </c>
      <c r="B2138" s="4" t="s">
        <f>=HYPERLINK("http://anyluxury.ru/shop/odezhda/detskaya-odezhda/futbolka-s-dlinnim-rukavom-monarch-150-temnosinyaya-navy-137740/" , "1377.40 Футболка мужская с длинным рукавом MONARCH 150 темно-синяя, размер S")</f>
      </c>
      <c r="C2138" s="4" t="n">
        <v>970.00</v>
      </c>
      <c r="D2138" s="4"/>
    </row>
    <row collapsed="" customFormat="false" customHeight="1" hidden="" ht="14" outlineLevel="0" r="2139">
      <c r="A2139" s="3" t="inlineStr">
        <is>
          <t>2108</t>
        </is>
      </c>
      <c r="B2139" s="4" t="s">
        <f>=HYPERLINK("http://anyluxury.ru/shop/odezhda/detskaya-odezhda/futbolka-s-dlinnim-rukavom-monarch-150-temnosinyaya-navy-137740/" , "1377.40 Футболка мужская с длинным рукавом MONARCH 150 темно-синяя, размер XXL")</f>
      </c>
      <c r="C2139" s="4" t="n">
        <v>970.00</v>
      </c>
      <c r="D2139" s="4"/>
    </row>
    <row collapsed="" customFormat="false" customHeight="1" hidden="" ht="14" outlineLevel="0" r="2140">
      <c r="A2140" s="3" t="inlineStr">
        <is>
          <t>2109</t>
        </is>
      </c>
      <c r="B2140" s="4" t="s">
        <f>=HYPERLINK("http://anyluxury.ru/shop/odezhda/detskaya-odezhda/futbolka-s-dlinnim-rukavom-monarch-150-temnosinyaya-navy-137740/" , "1377.40 Футболка мужская с длинным рукавом MONARCH 150 темно-синяя, размер 3XL")</f>
      </c>
      <c r="C2140" s="4" t="n">
        <v>1179.00</v>
      </c>
      <c r="D2140" s="4"/>
    </row>
    <row collapsed="" customFormat="false" customHeight="1" hidden="" ht="14" outlineLevel="0" r="2141">
      <c r="A2141" s="3" t="inlineStr">
        <is>
          <t>2110</t>
        </is>
      </c>
      <c r="B2141" s="4" t="s">
        <f>=HYPERLINK("http://anyluxury.ru/shop/odezhda/detskaya-odezhda/futbolka-s-dlinnim-rukavom-monarch-150-temnosinyaya-navy-137740/" , "1377.40 Футболка мужская с длинным рукавом MONARCH 150 темно-синяя, размер M")</f>
      </c>
      <c r="C2141" s="4" t="n">
        <v>970.00</v>
      </c>
      <c r="D2141" s="4"/>
    </row>
    <row collapsed="" customFormat="false" customHeight="1" hidden="" ht="14" outlineLevel="0" r="2142">
      <c r="A2142" s="3" t="inlineStr">
        <is>
          <t>2111</t>
        </is>
      </c>
      <c r="B2142" s="4" t="s">
        <f>=HYPERLINK("http://anyluxury.ru/shop/odezhda/detskaya-odezhda/futbolka-s-dlinnim-rukavom-monarch-150-temnosinyaya-navy-137740/" , "1377.40 Футболка мужская с длинным рукавом MONARCH 150 темно-синяя, размер L")</f>
      </c>
      <c r="C2142" s="4" t="n">
        <v>970.00</v>
      </c>
      <c r="D2142" s="4"/>
    </row>
    <row collapsed="" customFormat="false" customHeight="1" hidden="" ht="14" outlineLevel="0" r="2143">
      <c r="A2143" s="3" t="inlineStr">
        <is>
          <t>2112</t>
        </is>
      </c>
      <c r="B2143" s="4" t="s">
        <f>=HYPERLINK("http://anyluxury.ru/shop/odezhda/detskaya-odezhda/futbolka-s-dlinnim-rukavom-monarch-150-temnosinyaya-navy-137740/" , "1377.40 Футболка мужская с длинным рукавом MONARCH 150 темно-синяя, размер XL")</f>
      </c>
      <c r="C2143" s="4" t="n">
        <v>970.00</v>
      </c>
      <c r="D2143" s="4"/>
    </row>
    <row collapsed="" customFormat="false" customHeight="1" hidden="" ht="14" outlineLevel="0" r="2144">
      <c r="A2144" s="3" t="inlineStr">
        <is>
          <t>2113</t>
        </is>
      </c>
      <c r="B2144" s="4" t="s">
        <f>=HYPERLINK("http://anyluxury.ru/shop/odezhda/detskaya-odezhda/tolstovka-iz-flisa-ness-300-yarkosinyaya-royal-155544/" , "1555.44 Толстовка из флиса NESS 300, ярко-синяя (royal), размер S")</f>
      </c>
      <c r="C2144" s="4" t="n">
        <v>2840.00</v>
      </c>
      <c r="D2144" s="4"/>
    </row>
    <row collapsed="" customFormat="false" customHeight="1" hidden="" ht="14" outlineLevel="0" r="2145">
      <c r="A2145" s="3" t="inlineStr">
        <is>
          <t>2114</t>
        </is>
      </c>
      <c r="B2145" s="4" t="s">
        <f>=HYPERLINK("http://anyluxury.ru/shop/odezhda/detskaya-odezhda/tolstovka-iz-flisa-ness-300-yarkosinyaya-royal-155544/" , "1555.44 Толстовка из флиса NESS 300, ярко-синяя (royal), размер XXL")</f>
      </c>
      <c r="C2145" s="4" t="n">
        <v>2840.00</v>
      </c>
      <c r="D2145" s="4"/>
    </row>
    <row collapsed="" customFormat="false" customHeight="1" hidden="" ht="14" outlineLevel="0" r="2146">
      <c r="A2146" s="3" t="inlineStr">
        <is>
          <t>2115</t>
        </is>
      </c>
      <c r="B2146" s="4" t="s">
        <f>=HYPERLINK("http://anyluxury.ru/shop/odezhda/detskaya-odezhda/tolstovka-iz-flisa-ness-300-yarkosinyaya-royal-155544/" , "1555.44 Толстовка из флиса NESS 300, ярко-синяя (royal), размер 3XL")</f>
      </c>
      <c r="C2146" s="4" t="n">
        <v>3324.00</v>
      </c>
      <c r="D2146" s="4"/>
    </row>
    <row collapsed="" customFormat="false" customHeight="1" hidden="" ht="14" outlineLevel="0" r="2147">
      <c r="A2147" s="3" t="inlineStr">
        <is>
          <t>2116</t>
        </is>
      </c>
      <c r="B2147" s="4" t="s">
        <f>=HYPERLINK("http://anyluxury.ru/shop/odezhda/detskaya-odezhda/tolstovka-iz-flisa-ness-300-oranzhevaya-155520/" , "1555.20 Свитшот из флиса NESS 300 оранжевый, размер XL")</f>
      </c>
      <c r="C2147" s="4" t="n">
        <v>2503.00</v>
      </c>
      <c r="D2147" s="4"/>
    </row>
    <row collapsed="" customFormat="false" customHeight="1" hidden="" ht="14" outlineLevel="0" r="2148">
      <c r="A2148" s="3" t="inlineStr">
        <is>
          <t>2117</t>
        </is>
      </c>
      <c r="B2148" s="4" t="s">
        <f>=HYPERLINK("http://anyluxury.ru/shop/odezhda/detskaya-odezhda/tolstovka-iz-flisa-ness-300-oranzhevaya-155520/" , "1555.20 Свитшот из флиса NESS 300 оранжевый, размер XXL")</f>
      </c>
      <c r="C2148" s="4" t="n">
        <v>2503.00</v>
      </c>
      <c r="D2148" s="4"/>
    </row>
    <row collapsed="" customFormat="false" customHeight="1" hidden="" ht="14" outlineLevel="0" r="2149">
      <c r="A2149" s="3" t="inlineStr">
        <is>
          <t>2118</t>
        </is>
      </c>
      <c r="B2149" s="4" t="s">
        <f>=HYPERLINK("http://anyluxury.ru/shop/odezhda/detskaya-odezhda/tolstovka-iz-flisa-ness-300-oranzhevaya-155520/" , "1555.20 Свитшот из флиса Ness 300 оранжевая, размер S")</f>
      </c>
      <c r="C2149" s="4" t="n">
        <v>2104.00</v>
      </c>
      <c r="D2149" s="4"/>
    </row>
    <row collapsed="" customFormat="false" customHeight="1" hidden="" ht="14" outlineLevel="0" r="2150">
      <c r="A2150" s="3" t="inlineStr">
        <is>
          <t>2119</t>
        </is>
      </c>
      <c r="B2150" s="4" t="s">
        <f>=HYPERLINK("http://anyluxury.ru/shop/odezhda/detskaya-odezhda/tolstovka-new-supreme-280-krasnaya-184050/" , "1840.50 Толстовка NEW SUPREME 280 красная, размер XS")</f>
      </c>
      <c r="C2150" s="4" t="n">
        <v>2292.00</v>
      </c>
      <c r="D2150" s="4"/>
    </row>
    <row collapsed="" customFormat="false" customHeight="1" hidden="" ht="14" outlineLevel="0" r="2151">
      <c r="A2151" s="3" t="inlineStr">
        <is>
          <t>2120</t>
        </is>
      </c>
      <c r="B2151" s="4" t="s">
        <f>=HYPERLINK("http://anyluxury.ru/shop/odezhda/detskaya-odezhda/tolstovka-new-supreme-280-krasnaya-184050/" , "1840.50 Толстовка New Supreme 280 красная, размер S")</f>
      </c>
      <c r="C2151" s="4" t="n">
        <v>2292.00</v>
      </c>
      <c r="D2151" s="4"/>
    </row>
    <row collapsed="" customFormat="false" customHeight="1" hidden="" ht="14" outlineLevel="0" r="2152">
      <c r="A2152" s="3" t="inlineStr">
        <is>
          <t>2121</t>
        </is>
      </c>
      <c r="B2152" s="4" t="s">
        <f>=HYPERLINK("http://anyluxury.ru/shop/odezhda/detskaya-odezhda/tolstovka-new-supreme-280-krasnaya-184050/" , "1840.50 Толстовка New Supreme 280 красная, размер XL")</f>
      </c>
      <c r="C2152" s="4" t="n">
        <v>2292.00</v>
      </c>
      <c r="D2152" s="4"/>
    </row>
    <row collapsed="" customFormat="false" customHeight="1" hidden="" ht="14" outlineLevel="0" r="2153">
      <c r="A2153" s="3" t="inlineStr">
        <is>
          <t>2122</t>
        </is>
      </c>
      <c r="B2153" s="4" t="s">
        <f>=HYPERLINK("http://anyluxury.ru/shop/odezhda/detskaya-odezhda/tolstovka-new-supreme-280-krasnaya-184050/" , "1840.50 Толстовка New Supreme 280 красная, размер XXL")</f>
      </c>
      <c r="C2153" s="4" t="n">
        <v>2292.00</v>
      </c>
      <c r="D2153" s="4"/>
    </row>
    <row collapsed="" customFormat="false" customHeight="1" hidden="" ht="14" outlineLevel="0" r="2154">
      <c r="A2154" s="3" t="inlineStr">
        <is>
          <t>2123</t>
        </is>
      </c>
      <c r="B2154" s="4" t="s">
        <f>=HYPERLINK("http://anyluxury.ru/shop/odezhda/detskaya-odezhda/tolstovka-new-supreme-280-krasnaya-184050/" , "1840.50 Толстовка NEW SUPREME 280 красная, размер 3XL")</f>
      </c>
      <c r="C2154" s="4" t="n">
        <v>2693.00</v>
      </c>
      <c r="D2154" s="4"/>
    </row>
    <row collapsed="" customFormat="false" customHeight="1" hidden="" ht="14" outlineLevel="0" r="2155">
      <c r="A2155" s="3" t="inlineStr">
        <is>
          <t>2124</t>
        </is>
      </c>
      <c r="B2155" s="4" t="s">
        <f>=HYPERLINK("http://anyluxury.ru/shop/odezhda/detskaya-odezhda/tolstovka-new-supreme-280-temnozelenaya-184090/" , "1840.90 Толстовка NEW SUPREME 280 темно-зеленая, размер XS")</f>
      </c>
      <c r="C2155" s="4" t="n">
        <v>2292.00</v>
      </c>
      <c r="D2155" s="4"/>
    </row>
    <row collapsed="" customFormat="false" customHeight="1" hidden="" ht="14" outlineLevel="0" r="2156">
      <c r="A2156" s="3" t="inlineStr">
        <is>
          <t>2125</t>
        </is>
      </c>
      <c r="B2156" s="4" t="s">
        <f>=HYPERLINK("http://anyluxury.ru/shop/odezhda/detskaya-odezhda/tolstovka-new-supreme-280-temnozelenaya-184090/" , "1840.90 Толстовка NEW SUPREME 280 темно-зеленая, размер S")</f>
      </c>
      <c r="C2156" s="4" t="n">
        <v>2292.00</v>
      </c>
      <c r="D2156" s="4"/>
    </row>
    <row collapsed="" customFormat="false" customHeight="1" hidden="" ht="14" outlineLevel="0" r="2157">
      <c r="A2157" s="3" t="inlineStr">
        <is>
          <t>2126</t>
        </is>
      </c>
      <c r="B2157" s="4" t="s">
        <f>=HYPERLINK("http://anyluxury.ru/shop/odezhda/detskaya-odezhda/tolstovka-new-supreme-280-temnozelenaya-184090/" , "1840.90 Толстовка NEW SUPREME 280 темно-зеленая, размер M")</f>
      </c>
      <c r="C2157" s="4" t="n">
        <v>2292.00</v>
      </c>
      <c r="D2157" s="4"/>
    </row>
    <row collapsed="" customFormat="false" customHeight="1" hidden="" ht="14" outlineLevel="0" r="2158">
      <c r="A2158" s="3" t="inlineStr">
        <is>
          <t>2127</t>
        </is>
      </c>
      <c r="B2158" s="4" t="s">
        <f>=HYPERLINK("http://anyluxury.ru/shop/odezhda/detskaya-odezhda/tolstovka-new-supreme-280-temnozelenaya-184090/" , "1840.90 Толстовка NEW SUPREME 280 темно-зеленая, размер L")</f>
      </c>
      <c r="C2158" s="4" t="n">
        <v>2292.00</v>
      </c>
      <c r="D2158" s="4"/>
    </row>
    <row collapsed="" customFormat="false" customHeight="1" hidden="" ht="14" outlineLevel="0" r="2159">
      <c r="A2159" s="3" t="inlineStr">
        <is>
          <t>2128</t>
        </is>
      </c>
      <c r="B2159" s="4" t="s">
        <f>=HYPERLINK("http://anyluxury.ru/shop/odezhda/detskaya-odezhda/tolstovka-new-supreme-280-temnozelenaya-184090/" , "1840.90 Толстовка NEW SUPREME 280 темно-зеленая, размер XL")</f>
      </c>
      <c r="C2159" s="4" t="n">
        <v>2292.00</v>
      </c>
      <c r="D2159" s="4"/>
    </row>
    <row collapsed="" customFormat="false" customHeight="1" hidden="" ht="14" outlineLevel="0" r="2160">
      <c r="A2160" s="3" t="inlineStr">
        <is>
          <t>2129</t>
        </is>
      </c>
      <c r="B2160" s="4" t="s">
        <f>=HYPERLINK("http://anyluxury.ru/shop/odezhda/detskaya-odezhda/tolstovka-new-supreme-280-temnozelenaya-184090/" , "1840.90 Толстовка NEW SUPREME 280 темно-зеленая, размер XXL")</f>
      </c>
      <c r="C2160" s="4" t="n">
        <v>2292.00</v>
      </c>
      <c r="D2160" s="4"/>
    </row>
    <row collapsed="" customFormat="false" customHeight="1" hidden="" ht="14" outlineLevel="0" r="2161">
      <c r="A2161" s="3" t="inlineStr">
        <is>
          <t>2130</t>
        </is>
      </c>
      <c r="B2161" s="4" t="s">
        <f>=HYPERLINK("http://anyluxury.ru/shop/odezhda/detskaya-odezhda/tolstovka-new-supreme-280-temnozelenaya-184090/" , "1840.90 Толстовка NEW SUPREME 280 темно-зеленая, размер 3XL")</f>
      </c>
      <c r="C2161" s="4" t="n">
        <v>2693.00</v>
      </c>
      <c r="D2161" s="4"/>
    </row>
    <row collapsed="" customFormat="false" customHeight="1" hidden="" ht="14" outlineLevel="0" r="2162">
      <c r="A2162" s="3" t="inlineStr">
        <is>
          <t>2131</t>
        </is>
      </c>
      <c r="B2162" s="4" t="s">
        <f>=HYPERLINK("http://anyluxury.ru/shop/odezhda/detskaya-odezhda/tolstovka-new-supreme-280-yarkosinyaya-royal-184044/" , "1840.44 Толстовка NEW SUPREME 280 ярко-синяя, размер XS")</f>
      </c>
      <c r="C2162" s="4" t="n">
        <v>2292.00</v>
      </c>
      <c r="D2162" s="4"/>
    </row>
    <row collapsed="" customFormat="false" customHeight="1" hidden="" ht="14" outlineLevel="0" r="2163">
      <c r="A2163" s="3" t="inlineStr">
        <is>
          <t>2132</t>
        </is>
      </c>
      <c r="B2163" s="4" t="s">
        <f>=HYPERLINK("http://anyluxury.ru/shop/odezhda/detskaya-odezhda/tolstovka-new-supreme-280-yarkosinyaya-royal-184044/" , "1840.44 Толстовка NEW SUPREME 280 ярко-синяя (royal), размер S")</f>
      </c>
      <c r="C2163" s="4" t="n">
        <v>2292.00</v>
      </c>
      <c r="D2163" s="4"/>
    </row>
    <row collapsed="" customFormat="false" customHeight="1" hidden="" ht="14" outlineLevel="0" r="2164">
      <c r="A2164" s="3" t="inlineStr">
        <is>
          <t>2133</t>
        </is>
      </c>
      <c r="B2164" s="4" t="s">
        <f>=HYPERLINK("http://anyluxury.ru/shop/odezhda/detskaya-odezhda/tolstovka-new-supreme-280-yarkosinyaya-royal-184044/" , "1840.44 Толстовка NEW SUPREME 280 ярко-синяя, размер 3XL")</f>
      </c>
      <c r="C2164" s="4" t="n">
        <v>2693.00</v>
      </c>
      <c r="D2164" s="4"/>
    </row>
    <row collapsed="" customFormat="false" customHeight="1" hidden="" ht="14" outlineLevel="0" r="2165">
      <c r="A2165" s="3" t="inlineStr">
        <is>
          <t>2134</t>
        </is>
      </c>
      <c r="B2165" s="4" t="s">
        <f>=HYPERLINK("http://anyluxury.ru/shop/odezhda/detskaya-odezhda/tolstovka-new-supreme-280-temnosinyaya-navy-184040/" , "1840.40 Толстовка NEW SUPREME 280 темно-синяя, размер XS")</f>
      </c>
      <c r="C2165" s="4" t="n">
        <v>2292.00</v>
      </c>
      <c r="D2165" s="4"/>
    </row>
    <row collapsed="" customFormat="false" customHeight="1" hidden="" ht="14" outlineLevel="0" r="2166">
      <c r="A2166" s="3" t="inlineStr">
        <is>
          <t>2135</t>
        </is>
      </c>
      <c r="B2166" s="4" t="s">
        <f>=HYPERLINK("http://anyluxury.ru/shop/odezhda/detskaya-odezhda/tolstovka-new-supreme-280-temnosinyaya-navy-184040/" , "1840.40 Толстовка NEW SUPREME 280 темно-синяя (navy), размер S")</f>
      </c>
      <c r="C2166" s="4" t="n">
        <v>2292.00</v>
      </c>
      <c r="D2166" s="4"/>
    </row>
    <row collapsed="" customFormat="false" customHeight="1" hidden="" ht="14" outlineLevel="0" r="2167">
      <c r="A2167" s="3" t="inlineStr">
        <is>
          <t>2136</t>
        </is>
      </c>
      <c r="B2167" s="4" t="s">
        <f>=HYPERLINK("http://anyluxury.ru/shop/odezhda/detskaya-odezhda/tolstovka-new-supreme-280-temnosinyaya-navy-184040/" , "1840.40 Толстовка NEW SUPREME 280 темно-синяя, размер 3XL")</f>
      </c>
      <c r="C2167" s="4" t="n">
        <v>2693.00</v>
      </c>
      <c r="D2167" s="4"/>
    </row>
    <row collapsed="" customFormat="false" customHeight="1" hidden="" ht="14" outlineLevel="0" r="2168">
      <c r="A2168" s="3" t="inlineStr">
        <is>
          <t>2137</t>
        </is>
      </c>
      <c r="B2168" s="4" t="s">
        <f>=HYPERLINK("http://anyluxury.ru/shop/odezhda/detskaya-odezhda/tolstovka-new-supreme-280-temnosinyaya-navy-184040/" , "1840.40 Толстовка NEW SUPREME 280 темно-синяя (navy), размер XXL")</f>
      </c>
      <c r="C2168" s="4" t="n">
        <v>2292.00</v>
      </c>
      <c r="D2168" s="4"/>
    </row>
    <row collapsed="" customFormat="false" customHeight="1" hidden="" ht="14" outlineLevel="0" r="2169">
      <c r="A2169" s="3" t="inlineStr">
        <is>
          <t>2138</t>
        </is>
      </c>
      <c r="B2169" s="4" t="s">
        <f>=HYPERLINK("http://anyluxury.ru/shop/odezhda/detskaya-odezhda/tolstovka-s-kapyushonom-slam-320-seriy-melanzh-240111/" , "2401.11 Толстовка с капюшоном SLAM 320, серый меланж, размер XS")</f>
      </c>
      <c r="C2169" s="4" t="n">
        <v>3682.00</v>
      </c>
      <c r="D2169" s="4"/>
    </row>
    <row collapsed="" customFormat="false" customHeight="1" hidden="" ht="14" outlineLevel="0" r="2170">
      <c r="A2170" s="3" t="inlineStr">
        <is>
          <t>2139</t>
        </is>
      </c>
      <c r="B2170" s="4" t="s">
        <f>=HYPERLINK("http://anyluxury.ru/shop/odezhda/detskaya-odezhda/tolstovka-s-kapyushonom-slam-320-seriy-melanzh-240111/" , "2401.11 Толстовка с капюшоном SLAM 320, серый меланж, размер S")</f>
      </c>
      <c r="C2170" s="4" t="n">
        <v>3682.00</v>
      </c>
      <c r="D2170" s="4"/>
    </row>
    <row collapsed="" customFormat="false" customHeight="1" hidden="" ht="14" outlineLevel="0" r="2171">
      <c r="A2171" s="3" t="inlineStr">
        <is>
          <t>2140</t>
        </is>
      </c>
      <c r="B2171" s="4" t="s">
        <f>=HYPERLINK("http://anyluxury.ru/shop/odezhda/detskaya-odezhda/tolstovka-s-kapyushonom-slam-320-seriy-melanzh-240111/" , "2401.11 Толстовка с капюшоном SLAM 320, серый меланж, размер M")</f>
      </c>
      <c r="C2171" s="4" t="n">
        <v>3682.00</v>
      </c>
      <c r="D2171" s="4"/>
    </row>
    <row collapsed="" customFormat="false" customHeight="1" hidden="" ht="14" outlineLevel="0" r="2172">
      <c r="A2172" s="3" t="inlineStr">
        <is>
          <t>2141</t>
        </is>
      </c>
      <c r="B2172" s="4" t="s">
        <f>=HYPERLINK("http://anyluxury.ru/shop/odezhda/detskaya-odezhda/tolstovka-s-kapyushonom-slam-320-seriy-melanzh-240111/" , "2401.11 Толстовка с капюшоном SLAM 320, серый меланж, размер L")</f>
      </c>
      <c r="C2172" s="4" t="n">
        <v>3682.00</v>
      </c>
      <c r="D2172" s="4"/>
    </row>
    <row collapsed="" customFormat="false" customHeight="1" hidden="" ht="14" outlineLevel="0" r="2173">
      <c r="A2173" s="3" t="inlineStr">
        <is>
          <t>2142</t>
        </is>
      </c>
      <c r="B2173" s="4" t="s">
        <f>=HYPERLINK("http://anyluxury.ru/shop/odezhda/detskaya-odezhda/tolstovka-s-kapyushonom-slam-320-seriy-melanzh-240111/" , "2401.11 Толстовка с капюшоном SLAM 320, серый меланж, размер XL")</f>
      </c>
      <c r="C2173" s="4" t="n">
        <v>3682.00</v>
      </c>
      <c r="D2173" s="4"/>
    </row>
    <row collapsed="" customFormat="false" customHeight="1" hidden="" ht="14" outlineLevel="0" r="2174">
      <c r="A2174" s="3" t="inlineStr">
        <is>
          <t>2143</t>
        </is>
      </c>
      <c r="B2174" s="4" t="s">
        <f>=HYPERLINK("http://anyluxury.ru/shop/odezhda/detskaya-odezhda/tolstovka-s-kapyushonom-slam-320-seriy-melanzh-240111/" , "2401.11 Толстовка с капюшоном SLAM 320, серый меланж, размер XXL")</f>
      </c>
      <c r="C2174" s="4" t="n">
        <v>3682.00</v>
      </c>
      <c r="D2174" s="4"/>
    </row>
    <row collapsed="" customFormat="false" customHeight="1" hidden="" ht="14" outlineLevel="0" r="2175">
      <c r="A2175" s="3" t="inlineStr">
        <is>
          <t>2144</t>
        </is>
      </c>
      <c r="B2175" s="4" t="s">
        <f>=HYPERLINK("http://anyluxury.ru/shop/odezhda/detskaya-odezhda/tolstovka-s-kapyushonom-slam-320-golubaya-240114/" , "2401.14 Толстовка с капюшоном SLAM 320 голубая, размер XS")</f>
      </c>
      <c r="C2175" s="4" t="n">
        <v>3682.00</v>
      </c>
      <c r="D2175" s="4"/>
    </row>
    <row collapsed="" customFormat="false" customHeight="1" hidden="" ht="14" outlineLevel="0" r="2176">
      <c r="A2176" s="3" t="inlineStr">
        <is>
          <t>2145</t>
        </is>
      </c>
      <c r="B2176" s="4" t="s">
        <f>=HYPERLINK("http://anyluxury.ru/shop/odezhda/detskaya-odezhda/tolstovka-s-kapyushonom-slam-320-golubaya-240114/" , "2401.14 Толстовка с капюшоном SLAM 320, голубая, размер XL")</f>
      </c>
      <c r="C2176" s="4" t="n">
        <v>3682.00</v>
      </c>
      <c r="D2176" s="4"/>
    </row>
    <row collapsed="" customFormat="false" customHeight="1" hidden="" ht="14" outlineLevel="0" r="2177">
      <c r="A2177" s="3" t="inlineStr">
        <is>
          <t>2146</t>
        </is>
      </c>
      <c r="B2177" s="4" t="s">
        <f>=HYPERLINK("http://anyluxury.ru/shop/odezhda/detskaya-odezhda/tolstovka-s-kapyushonom-slam-320-golubaya-240114/" , "2401.14 Толстовка с капюшоном SLAM 320, голубая, размер XXL")</f>
      </c>
      <c r="C2177" s="4" t="n">
        <v>3682.00</v>
      </c>
      <c r="D2177" s="4"/>
    </row>
    <row collapsed="" customFormat="false" customHeight="1" hidden="" ht="14" outlineLevel="0" r="2178">
      <c r="A2178" s="3" t="inlineStr">
        <is>
          <t>2147</t>
        </is>
      </c>
      <c r="B2178" s="4" t="s">
        <f>=HYPERLINK("http://anyluxury.ru/shop/odezhda/detskaya-odezhda/kurtka-muzhskaya-north-300-yarkosinyaya-royal-190944/" , "1909.44 Куртка мужская North, ярко-синяя (royal), размер XS")</f>
      </c>
      <c r="C2178" s="4" t="n">
        <v>2813.00</v>
      </c>
      <c r="D2178" s="4"/>
    </row>
    <row collapsed="" customFormat="false" customHeight="1" hidden="" ht="14" outlineLevel="0" r="2179">
      <c r="A2179" s="3" t="inlineStr">
        <is>
          <t>2148</t>
        </is>
      </c>
      <c r="B2179" s="4" t="s">
        <f>=HYPERLINK("http://anyluxury.ru/shop/odezhda/detskaya-odezhda/kurtka-muzhskaya-north-300-yarkosinyaya-royal-190944/" , "1909.44 Куртка мужская North, ярко-синяя (royal), размер S")</f>
      </c>
      <c r="C2179" s="4" t="n">
        <v>2813.00</v>
      </c>
      <c r="D2179" s="4"/>
    </row>
    <row collapsed="" customFormat="false" customHeight="1" hidden="" ht="14" outlineLevel="0" r="2180">
      <c r="A2180" s="3" t="inlineStr">
        <is>
          <t>2149</t>
        </is>
      </c>
      <c r="B2180" s="4" t="s">
        <f>=HYPERLINK("http://anyluxury.ru/shop/odezhda/detskaya-odezhda/kurtka-muzhskaya-north-300-yarkosinyaya-royal-190944/" , "1909.44 Куртка мужская North, ярко-синяя (royal), размер M")</f>
      </c>
      <c r="C2180" s="4" t="n">
        <v>2813.00</v>
      </c>
      <c r="D2180" s="4"/>
    </row>
    <row collapsed="" customFormat="false" customHeight="1" hidden="" ht="14" outlineLevel="0" r="2181">
      <c r="A2181" s="3" t="inlineStr">
        <is>
          <t>2150</t>
        </is>
      </c>
      <c r="B2181" s="4" t="s">
        <f>=HYPERLINK("http://anyluxury.ru/shop/odezhda/detskaya-odezhda/kurtka-muzhskaya-north-300-yarkosinyaya-royal-190944/" , "1909.44 Куртка мужская North, ярко-синяя (royal), размер L")</f>
      </c>
      <c r="C2181" s="4" t="n">
        <v>2813.00</v>
      </c>
      <c r="D2181" s="4"/>
    </row>
    <row collapsed="" customFormat="false" customHeight="1" hidden="" ht="14" outlineLevel="0" r="2182">
      <c r="A2182" s="3" t="inlineStr">
        <is>
          <t>2151</t>
        </is>
      </c>
      <c r="B2182" s="4" t="s">
        <f>=HYPERLINK("http://anyluxury.ru/shop/odezhda/detskaya-odezhda/kurtka-muzhskaya-north-300-yarkosinyaya-royal-190944/" , "1909.44 Куртка мужская North, ярко-синяя (royal), размер XL")</f>
      </c>
      <c r="C2182" s="4" t="n">
        <v>2813.00</v>
      </c>
      <c r="D2182" s="4"/>
    </row>
    <row collapsed="" customFormat="false" customHeight="1" hidden="" ht="14" outlineLevel="0" r="2183">
      <c r="A2183" s="3" t="inlineStr">
        <is>
          <t>2152</t>
        </is>
      </c>
      <c r="B2183" s="4" t="s">
        <f>=HYPERLINK("http://anyluxury.ru/shop/odezhda/detskaya-odezhda/kurtka-muzhskaya-north-300-yarkosinyaya-royal-190944/" , "1909.44 Куртка мужская North, ярко-синяя (royal), размер XXL")</f>
      </c>
      <c r="C2183" s="4" t="n">
        <v>2813.00</v>
      </c>
      <c r="D2183" s="4"/>
    </row>
    <row collapsed="" customFormat="false" customHeight="1" hidden="" ht="14" outlineLevel="0" r="2184">
      <c r="A2184" s="3" t="inlineStr">
        <is>
          <t>2153</t>
        </is>
      </c>
      <c r="B2184" s="4" t="s">
        <f>=HYPERLINK("http://anyluxury.ru/shop/odezhda/detskaya-odezhda/kurtka-muzhskaya-north-300-yarkosinyaya-royal-190944/" , "1909.44 Куртка мужская North ярко-синяя (royal), размер 3XL")</f>
      </c>
      <c r="C2184" s="4" t="n">
        <v>3260.00</v>
      </c>
      <c r="D2184" s="4"/>
    </row>
    <row collapsed="" customFormat="false" customHeight="1" hidden="" ht="14" outlineLevel="0" r="2185">
      <c r="A2185" s="3" t="inlineStr">
        <is>
          <t>2154</t>
        </is>
      </c>
      <c r="B2185" s="4" t="s">
        <f>=HYPERLINK("http://anyluxury.ru/shop/odezhda/detskaya-odezhda/kurtka-muzhskaya-north-300-yarkosinyaya-royal-190944/" , "1909.44 Куртка мужская North ярко-синяя (royal), размер 4XL")</f>
      </c>
      <c r="C2185" s="4" t="n">
        <v>3802.00</v>
      </c>
      <c r="D2185" s="4"/>
    </row>
    <row collapsed="" customFormat="false" customHeight="1" hidden="" ht="14" outlineLevel="0" r="2186">
      <c r="A2186" s="3" t="inlineStr">
        <is>
          <t>2155</t>
        </is>
      </c>
      <c r="B2186" s="4" t="s">
        <f>=HYPERLINK("http://anyluxury.ru/shop/odezhda/detskaya-odezhda/kurtka-muzhskaya-north-300-yarkosinyaya-royal-190944/" , "1909.44 Куртка мужская North ярко-синяя (royal), размер 5XL")</f>
      </c>
      <c r="C2186" s="4" t="n">
        <v>3802.00</v>
      </c>
      <c r="D2186" s="4"/>
    </row>
    <row collapsed="" customFormat="false" customHeight="1" hidden="" ht="14" outlineLevel="0" r="2187">
      <c r="A2187" s="3" t="inlineStr">
        <is>
          <t>2156</t>
        </is>
      </c>
      <c r="B2187" s="4" t="s">
        <f>=HYPERLINK("http://anyluxury.ru/shop/odezhda/detskaya-odezhda/tolstovka-s-kapyushonom-slam-320-chernaya-240130/" , "2401.30 Толстовка с капюшоном SLAM 320, черная, размер XS")</f>
      </c>
      <c r="C2187" s="4" t="n">
        <v>3682.00</v>
      </c>
      <c r="D2187" s="4"/>
    </row>
    <row collapsed="" customFormat="false" customHeight="1" hidden="" ht="14" outlineLevel="0" r="2188">
      <c r="A2188" s="3" t="inlineStr">
        <is>
          <t>2157</t>
        </is>
      </c>
      <c r="B2188" s="4" t="s">
        <f>=HYPERLINK("http://anyluxury.ru/shop/odezhda/detskaya-odezhda/tolstovka-s-kapyushonom-slam-320-chernaya-240130/" , "2401.30 Толстовка с капюшоном SLAM 320, черная, размер S")</f>
      </c>
      <c r="C2188" s="4" t="n">
        <v>3682.00</v>
      </c>
      <c r="D2188" s="4"/>
    </row>
    <row collapsed="" customFormat="false" customHeight="1" hidden="" ht="14" outlineLevel="0" r="2189">
      <c r="A2189" s="3" t="inlineStr">
        <is>
          <t>2158</t>
        </is>
      </c>
      <c r="B2189" s="4" t="s">
        <f>=HYPERLINK("http://anyluxury.ru/shop/odezhda/detskaya-odezhda/tolstovka-s-kapyushonom-slam-320-chernaya-240130/" , "2401.30 Толстовка с капюшоном SLAM 320, черная, размер M")</f>
      </c>
      <c r="C2189" s="4" t="n">
        <v>3682.00</v>
      </c>
      <c r="D2189" s="4"/>
    </row>
    <row collapsed="" customFormat="false" customHeight="1" hidden="" ht="14" outlineLevel="0" r="2190">
      <c r="A2190" s="3" t="inlineStr">
        <is>
          <t>2159</t>
        </is>
      </c>
      <c r="B2190" s="4" t="s">
        <f>=HYPERLINK("http://anyluxury.ru/shop/odezhda/detskaya-odezhda/tolstovka-s-kapyushonom-slam-320-chernaya-240130/" , "2401.30 Толстовка с капюшоном SLAM 320, черная, размер L")</f>
      </c>
      <c r="C2190" s="4" t="n">
        <v>3682.00</v>
      </c>
      <c r="D2190" s="4"/>
    </row>
    <row collapsed="" customFormat="false" customHeight="1" hidden="" ht="14" outlineLevel="0" r="2191">
      <c r="A2191" s="3" t="inlineStr">
        <is>
          <t>2160</t>
        </is>
      </c>
      <c r="B2191" s="4" t="s">
        <f>=HYPERLINK("http://anyluxury.ru/shop/odezhda/detskaya-odezhda/tolstovka-s-kapyushonom-slam-320-chernaya-240130/" , "2401.30 Толстовка с капюшоном SLAM 320, черная, размер XL")</f>
      </c>
      <c r="C2191" s="4" t="n">
        <v>3682.00</v>
      </c>
      <c r="D2191" s="4"/>
    </row>
    <row collapsed="" customFormat="false" customHeight="1" hidden="" ht="14" outlineLevel="0" r="2192">
      <c r="A2192" s="3" t="inlineStr">
        <is>
          <t>2161</t>
        </is>
      </c>
      <c r="B2192" s="4" t="s">
        <f>=HYPERLINK("http://anyluxury.ru/shop/odezhda/detskaya-odezhda/tolstovka-s-kapyushonom-slam-320-chernaya-240130/" , "2401.30 Толстовка с капюшоном SLAM 320, черная, размер XXL")</f>
      </c>
      <c r="C2192" s="4" t="n">
        <v>3682.00</v>
      </c>
      <c r="D2192" s="4"/>
    </row>
    <row collapsed="" customFormat="false" customHeight="1" hidden="" ht="14" outlineLevel="0" r="2193">
      <c r="A2193" s="3" t="inlineStr">
        <is>
          <t>2162</t>
        </is>
      </c>
      <c r="B2193" s="4" t="s">
        <f>=HYPERLINK("http://anyluxury.ru/shop/odezhda/detskaya-odezhda/tolstovka-s-kapyushonom-slam-320-temnosinyaya-240140/" , "2401.40 Толстовка с капюшоном SLAM 320, темно-синяя, размер XS")</f>
      </c>
      <c r="C2193" s="4" t="n">
        <v>3682.00</v>
      </c>
      <c r="D2193" s="4"/>
    </row>
    <row collapsed="" customFormat="false" customHeight="1" hidden="" ht="14" outlineLevel="0" r="2194">
      <c r="A2194" s="3" t="inlineStr">
        <is>
          <t>2163</t>
        </is>
      </c>
      <c r="B2194" s="4" t="s">
        <f>=HYPERLINK("http://anyluxury.ru/shop/odezhda/detskaya-odezhda/tolstovka-s-kapyushonom-slam-320-temnosinyaya-240140/" , "2401.40 Толстовка с капюшоном SLAM 320, темно-синяя, размер S")</f>
      </c>
      <c r="C2194" s="4" t="n">
        <v>3682.00</v>
      </c>
      <c r="D2194" s="4"/>
    </row>
    <row collapsed="" customFormat="false" customHeight="1" hidden="" ht="14" outlineLevel="0" r="2195">
      <c r="A2195" s="3" t="inlineStr">
        <is>
          <t>2164</t>
        </is>
      </c>
      <c r="B2195" s="4" t="s">
        <f>=HYPERLINK("http://anyluxury.ru/shop/odezhda/detskaya-odezhda/tolstovka-s-kapyushonom-slam-320-temnosinyaya-240140/" , "2401.40 Толстовка с капюшоном SLAM 320, темно-синяя, размер M")</f>
      </c>
      <c r="C2195" s="4" t="n">
        <v>3682.00</v>
      </c>
      <c r="D2195" s="4"/>
    </row>
    <row collapsed="" customFormat="false" customHeight="1" hidden="" ht="14" outlineLevel="0" r="2196">
      <c r="A2196" s="3" t="inlineStr">
        <is>
          <t>2165</t>
        </is>
      </c>
      <c r="B2196" s="4" t="s">
        <f>=HYPERLINK("http://anyluxury.ru/shop/odezhda/detskaya-odezhda/tolstovka-s-kapyushonom-slam-320-temnosinyaya-240140/" , "2401.40 Толстовка с капюшоном SLAM 320 темно-синий, размер L")</f>
      </c>
      <c r="C2196" s="4" t="n">
        <v>3682.00</v>
      </c>
      <c r="D2196" s="4"/>
    </row>
    <row collapsed="" customFormat="false" customHeight="1" hidden="" ht="14" outlineLevel="0" r="2197">
      <c r="A2197" s="3" t="inlineStr">
        <is>
          <t>2166</t>
        </is>
      </c>
      <c r="B2197" s="4" t="s">
        <f>=HYPERLINK("http://anyluxury.ru/shop/odezhda/detskaya-odezhda/tolstovka-s-kapyushonom-slam-320-temnosinyaya-240140/" , "2401.40 Толстовка с капюшоном SLAM 320, темно-синяя, размер XL")</f>
      </c>
      <c r="C2197" s="4" t="n">
        <v>3682.00</v>
      </c>
      <c r="D2197" s="4"/>
    </row>
    <row collapsed="" customFormat="false" customHeight="1" hidden="" ht="14" outlineLevel="0" r="2198">
      <c r="A2198" s="3" t="inlineStr">
        <is>
          <t>2167</t>
        </is>
      </c>
      <c r="B2198" s="4" t="s">
        <f>=HYPERLINK("http://anyluxury.ru/shop/odezhda/detskaya-odezhda/tolstovka-s-kapyushonom-slam-320-temnosinyaya-240140/" , "2401.40 Толстовка с капюшоном SLAM 320, темно-синяя, размер XXL")</f>
      </c>
      <c r="C2198" s="4" t="n">
        <v>3682.00</v>
      </c>
      <c r="D2198" s="4"/>
    </row>
    <row collapsed="" customFormat="false" customHeight="1" hidden="" ht="14" outlineLevel="0" r="2199">
      <c r="A2199" s="3" t="inlineStr">
        <is>
          <t>2168</t>
        </is>
      </c>
      <c r="B2199" s="4" t="s">
        <f>=HYPERLINK("http://anyluxury.ru/shop/odezhda/detskaya-odezhda/tolstovka-s-kapyushonom-slam-320-krasnaya-240150/" , "2401.50 Толстовка с капюшоном SLAM 320, красная, размер XS")</f>
      </c>
      <c r="C2199" s="4" t="n">
        <v>3682.00</v>
      </c>
      <c r="D2199" s="4"/>
    </row>
    <row collapsed="" customFormat="false" customHeight="1" hidden="" ht="14" outlineLevel="0" r="2200">
      <c r="A2200" s="3" t="inlineStr">
        <is>
          <t>2169</t>
        </is>
      </c>
      <c r="B2200" s="4" t="s">
        <f>=HYPERLINK("http://anyluxury.ru/shop/odezhda/detskaya-odezhda/tolstovka-s-kapyushonom-slam-320-krasnaya-240150/" , "2401.50 Толстовка с капюшоном SLAM 320, красная, размер S")</f>
      </c>
      <c r="C2200" s="4" t="n">
        <v>3682.00</v>
      </c>
      <c r="D2200" s="4"/>
    </row>
    <row collapsed="" customFormat="false" customHeight="1" hidden="" ht="14" outlineLevel="0" r="2201">
      <c r="A2201" s="3" t="inlineStr">
        <is>
          <t>2170</t>
        </is>
      </c>
      <c r="B2201" s="4" t="s">
        <f>=HYPERLINK("http://anyluxury.ru/shop/odezhda/detskaya-odezhda/tolstovka-s-kapyushonom-slam-320-krasnaya-240150/" , "2401.50 Толстовка с капюшоном SLAM 320, красная, размер M")</f>
      </c>
      <c r="C2201" s="4" t="n">
        <v>3682.00</v>
      </c>
      <c r="D2201" s="4"/>
    </row>
    <row collapsed="" customFormat="false" customHeight="1" hidden="" ht="14" outlineLevel="0" r="2202">
      <c r="A2202" s="3" t="inlineStr">
        <is>
          <t>2171</t>
        </is>
      </c>
      <c r="B2202" s="4" t="s">
        <f>=HYPERLINK("http://anyluxury.ru/shop/odezhda/detskaya-odezhda/tolstovka-s-kapyushonom-slam-320-krasnaya-240150/" , "2401.50 Толстовка с капюшоном SLAM 320, красная, размер L")</f>
      </c>
      <c r="C2202" s="4" t="n">
        <v>3682.00</v>
      </c>
      <c r="D2202" s="4"/>
    </row>
    <row collapsed="" customFormat="false" customHeight="1" hidden="" ht="14" outlineLevel="0" r="2203">
      <c r="A2203" s="3" t="inlineStr">
        <is>
          <t>2172</t>
        </is>
      </c>
      <c r="B2203" s="4" t="s">
        <f>=HYPERLINK("http://anyluxury.ru/shop/odezhda/detskaya-odezhda/tolstovka-s-kapyushonom-slam-320-krasnaya-240150/" , "2401.50 Толстовка с капюшоном SLAM 320, красная, размер XL")</f>
      </c>
      <c r="C2203" s="4" t="n">
        <v>3682.00</v>
      </c>
      <c r="D2203" s="4"/>
    </row>
    <row collapsed="" customFormat="false" customHeight="1" hidden="" ht="14" outlineLevel="0" r="2204">
      <c r="A2204" s="3" t="inlineStr">
        <is>
          <t>2173</t>
        </is>
      </c>
      <c r="B2204" s="4" t="s">
        <f>=HYPERLINK("http://anyluxury.ru/shop/odezhda/detskaya-odezhda/tolstovka-s-kapyushonom-slam-320-krasnaya-240150/" , "2401.50 Толстовка с капюшоном SLAM 320, красная, размер XXL")</f>
      </c>
      <c r="C2204" s="4" t="n">
        <v>3682.00</v>
      </c>
      <c r="D2204" s="4"/>
    </row>
    <row collapsed="" customFormat="false" customHeight="1" hidden="" ht="14" outlineLevel="0" r="2205">
      <c r="A2205" s="3" t="inlineStr">
        <is>
          <t>2174</t>
        </is>
      </c>
      <c r="B2205" s="4" t="s">
        <f>=HYPERLINK("http://anyluxury.ru/shop/odezhda/detskaya-odezhda/tolstovka-s-kapyushonom-slam-320-belaya-240160/" , "2401.60 Толстовка с капюшоном SLAM 320, белая, размер XS")</f>
      </c>
      <c r="C2205" s="4" t="n">
        <v>3682.00</v>
      </c>
      <c r="D2205" s="4"/>
    </row>
    <row collapsed="" customFormat="false" customHeight="1" hidden="" ht="14" outlineLevel="0" r="2206">
      <c r="A2206" s="3" t="inlineStr">
        <is>
          <t>2175</t>
        </is>
      </c>
      <c r="B2206" s="4" t="s">
        <f>=HYPERLINK("http://anyluxury.ru/shop/odezhda/detskaya-odezhda/tolstovka-s-kapyushonom-slam-320-belaya-240160/" , "2401.60 Толстовка с капюшоном SLAM 320, белая, размер S")</f>
      </c>
      <c r="C2206" s="4" t="n">
        <v>3682.00</v>
      </c>
      <c r="D2206" s="4"/>
    </row>
    <row collapsed="" customFormat="false" customHeight="1" hidden="" ht="14" outlineLevel="0" r="2207">
      <c r="A2207" s="3" t="inlineStr">
        <is>
          <t>2176</t>
        </is>
      </c>
      <c r="B2207" s="4" t="s">
        <f>=HYPERLINK("http://anyluxury.ru/shop/odezhda/detskaya-odezhda/tolstovka-s-kapyushonom-slam-320-belaya-240160/" , "2401.60 Толстовка с капюшоном SLAM 320, белая, размер M")</f>
      </c>
      <c r="C2207" s="4" t="n">
        <v>3682.00</v>
      </c>
      <c r="D2207" s="4"/>
    </row>
    <row collapsed="" customFormat="false" customHeight="1" hidden="" ht="14" outlineLevel="0" r="2208">
      <c r="A2208" s="3" t="inlineStr">
        <is>
          <t>2177</t>
        </is>
      </c>
      <c r="B2208" s="4" t="s">
        <f>=HYPERLINK("http://anyluxury.ru/shop/odezhda/detskaya-odezhda/tolstovka-s-kapyushonom-slam-320-belaya-240160/" , "2401.60 Толстовка с капюшоном SLAM 320, белая, размер L")</f>
      </c>
      <c r="C2208" s="4" t="n">
        <v>3682.00</v>
      </c>
      <c r="D2208" s="4"/>
    </row>
    <row collapsed="" customFormat="false" customHeight="1" hidden="" ht="14" outlineLevel="0" r="2209">
      <c r="A2209" s="3" t="inlineStr">
        <is>
          <t>2178</t>
        </is>
      </c>
      <c r="B2209" s="4" t="s">
        <f>=HYPERLINK("http://anyluxury.ru/shop/odezhda/detskaya-odezhda/tolstovka-s-kapyushonom-slam-320-belaya-240160/" , "2401.60 Толстовка с капюшоном SLAM 320, белая, размер XL")</f>
      </c>
      <c r="C2209" s="4" t="n">
        <v>3682.00</v>
      </c>
      <c r="D2209" s="4"/>
    </row>
    <row collapsed="" customFormat="false" customHeight="1" hidden="" ht="14" outlineLevel="0" r="2210">
      <c r="A2210" s="3" t="inlineStr">
        <is>
          <t>2179</t>
        </is>
      </c>
      <c r="B2210" s="4" t="s">
        <f>=HYPERLINK("http://anyluxury.ru/shop/odezhda/detskaya-odezhda/tolstovka-s-kapyushonom-slam-320-belaya-240160/" , "2401.60 Толстовка с капюшоном SLAM 320, белая, размер XXL")</f>
      </c>
      <c r="C2210" s="4" t="n">
        <v>3682.00</v>
      </c>
      <c r="D2210" s="4"/>
    </row>
    <row collapsed="" customFormat="false" customHeight="1" hidden="" ht="14" outlineLevel="0" r="2211">
      <c r="A2211" s="3" t="inlineStr">
        <is>
          <t>2180</t>
        </is>
      </c>
      <c r="B2211" s="4" t="s">
        <f>=HYPERLINK("http://anyluxury.ru/shop/odezhda/detskaya-odezhda/tolstovka-s-kapyushonom-slam-320-temniy-haki-240199/" , "2401.99 Толстовка с капюшоном SLAM 320, темный хаки, размер XS")</f>
      </c>
      <c r="C2211" s="4" t="n">
        <v>3682.00</v>
      </c>
      <c r="D2211" s="4"/>
    </row>
    <row collapsed="" customFormat="false" customHeight="1" hidden="" ht="14" outlineLevel="0" r="2212">
      <c r="A2212" s="3" t="inlineStr">
        <is>
          <t>2181</t>
        </is>
      </c>
      <c r="B2212" s="4" t="s">
        <f>=HYPERLINK("http://anyluxury.ru/shop/odezhda/detskaya-odezhda/tolstovka-s-kapyushonom-slam-320-temniy-haki-240199/" , "2401.99 Толстовка с капюшоном SLAM 320, темный хаки, размер S")</f>
      </c>
      <c r="C2212" s="4" t="n">
        <v>3682.00</v>
      </c>
      <c r="D2212" s="4"/>
    </row>
    <row collapsed="" customFormat="false" customHeight="1" hidden="" ht="14" outlineLevel="0" r="2213">
      <c r="A2213" s="3" t="inlineStr">
        <is>
          <t>2182</t>
        </is>
      </c>
      <c r="B2213" s="4" t="s">
        <f>=HYPERLINK("http://anyluxury.ru/shop/odezhda/detskaya-odezhda/tolstovka-s-kapyushonom-slam-320-temniy-haki-240199/" , "2401.99 Толстовка с капюшоном SLAM 320, темный хаки, размер M")</f>
      </c>
      <c r="C2213" s="4" t="n">
        <v>3682.00</v>
      </c>
      <c r="D2213" s="4"/>
    </row>
    <row collapsed="" customFormat="false" customHeight="1" hidden="" ht="14" outlineLevel="0" r="2214">
      <c r="A2214" s="3" t="inlineStr">
        <is>
          <t>2183</t>
        </is>
      </c>
      <c r="B2214" s="4" t="s">
        <f>=HYPERLINK("http://anyluxury.ru/shop/odezhda/detskaya-odezhda/tolstovka-s-kapyushonom-slam-320-temniy-haki-240199/" , "2401.99 Толстовка с капюшоном SLAM 320, темный хаки, размер L")</f>
      </c>
      <c r="C2214" s="4" t="n">
        <v>3682.00</v>
      </c>
      <c r="D2214" s="4"/>
    </row>
    <row collapsed="" customFormat="false" customHeight="1" hidden="" ht="14" outlineLevel="0" r="2215">
      <c r="A2215" s="3" t="inlineStr">
        <is>
          <t>2184</t>
        </is>
      </c>
      <c r="B2215" s="4" t="s">
        <f>=HYPERLINK("http://anyluxury.ru/shop/odezhda/detskaya-odezhda/tolstovka-s-kapyushonom-slam-320-temniy-haki-240199/" , "2401.99 Толстовка с капюшоном SLAM 320, темный хаки, размер XL")</f>
      </c>
      <c r="C2215" s="4" t="n">
        <v>3682.00</v>
      </c>
      <c r="D2215" s="4"/>
    </row>
    <row collapsed="" customFormat="false" customHeight="1" hidden="" ht="14" outlineLevel="0" r="2216">
      <c r="A2216" s="3" t="inlineStr">
        <is>
          <t>2185</t>
        </is>
      </c>
      <c r="B2216" s="4" t="s">
        <f>=HYPERLINK("http://anyluxury.ru/shop/odezhda/detskaya-odezhda/tolstovka-s-kapyushonom-slam-320-temniy-haki-240199/" , "2401.99 Толстовка с капюшоном SLAM 320, темный хаки, размер XXL")</f>
      </c>
      <c r="C2216" s="4" t="n">
        <v>3682.00</v>
      </c>
      <c r="D2216" s="4"/>
    </row>
    <row collapsed="" customFormat="false" customHeight="1" hidden="" ht="14" outlineLevel="0" r="2217">
      <c r="A2217" s="3" t="inlineStr">
        <is>
          <t>2186</t>
        </is>
      </c>
      <c r="B2217" s="4" t="s">
        <f>=HYPERLINK("http://anyluxury.ru/shop/odezhda/detskaya-odezhda/kurtka-flisovaya-zhenskaya-new-look-women-250-krasnaya-609250/" , "6092.50 Куртка флисовая женская New look women 250 красная, размер L")</f>
      </c>
      <c r="C2217" s="4" t="n">
        <v>3236.00</v>
      </c>
      <c r="D2217" s="4"/>
    </row>
    <row collapsed="" customFormat="false" customHeight="1" hidden="" ht="14" outlineLevel="0" r="2218">
      <c r="A2218" s="3" t="inlineStr">
        <is>
          <t>2187</t>
        </is>
      </c>
      <c r="B2218" s="4" t="s">
        <f>=HYPERLINK("http://anyluxury.ru/shop/odezhda/detskaya-odezhda/tolstovka-detskaya-new-supreme-kids-280-krasnaya-608950/" , "6089.50 Свитшот детский New supreme kids 280 красный, на рост 106-116 см")</f>
      </c>
      <c r="C2218" s="4" t="n">
        <v>1541.00</v>
      </c>
      <c r="D2218" s="4"/>
    </row>
    <row collapsed="" customFormat="false" customHeight="1" hidden="" ht="14" outlineLevel="0" r="2219">
      <c r="A2219" s="3" t="inlineStr">
        <is>
          <t>2188</t>
        </is>
      </c>
      <c r="B2219" s="4" t="s">
        <f>=HYPERLINK("http://anyluxury.ru/shop/odezhda/detskaya-odezhda/tolstovka-detskaya-new-supreme-kids-280-krasnaya-608950/" , "6089.50 Свитшот детский New supreme kids 280 красный, на рост 118-128 см")</f>
      </c>
      <c r="C2219" s="4" t="n">
        <v>1541.00</v>
      </c>
      <c r="D2219" s="4"/>
    </row>
    <row collapsed="" customFormat="false" customHeight="1" hidden="" ht="14" outlineLevel="0" r="2220">
      <c r="A2220" s="3" t="inlineStr">
        <is>
          <t>2189</t>
        </is>
      </c>
      <c r="B2220" s="4" t="s">
        <f>=HYPERLINK("http://anyluxury.ru/shop/odezhda/detskaya-odezhda/tolstovka-detskaya-new-supreme-kids-280-yarkozelenaya-608992/" , "6089.92 Свитшот детский New supreme kids 280 ярко-зеленый, на рост 106-116 см")</f>
      </c>
      <c r="C2220" s="4" t="n">
        <v>1541.00</v>
      </c>
      <c r="D2220" s="4"/>
    </row>
    <row collapsed="" customFormat="false" customHeight="1" hidden="" ht="14" outlineLevel="0" r="2221">
      <c r="A2221" s="3" t="inlineStr">
        <is>
          <t>2190</t>
        </is>
      </c>
      <c r="B2221" s="4" t="s">
        <f>=HYPERLINK("http://anyluxury.ru/shop/odezhda/detskaya-odezhda/tolstovka-detskaya-new-supreme-kids-280-yarkozelenaya-608992/" , "6089.92 Свитшот детский New supreme kids 280 ярко-зеленый, на рост 118-128 см")</f>
      </c>
      <c r="C2221" s="4" t="n">
        <v>1541.00</v>
      </c>
      <c r="D2221" s="4"/>
    </row>
    <row collapsed="" customFormat="false" customHeight="1" hidden="" ht="14" outlineLevel="0" r="2222">
      <c r="A2222" s="3" t="inlineStr">
        <is>
          <t>2191</t>
        </is>
      </c>
      <c r="B2222" s="4" t="s">
        <f>=HYPERLINK("http://anyluxury.ru/shop/odezhda/detskaya-odezhda/tolstovka-detskaya-new-supreme-kids-280-yarkozelenaya-608992/" , "6089.92 Свитшот детский New supreme kids 280 ярко-зеленый, на рост 130-140 см")</f>
      </c>
      <c r="C2222" s="4" t="n">
        <v>1541.00</v>
      </c>
      <c r="D2222" s="4"/>
    </row>
    <row collapsed="" customFormat="false" customHeight="1" hidden="" ht="14" outlineLevel="0" r="2223">
      <c r="A2223" s="3" t="inlineStr">
        <is>
          <t>2192</t>
        </is>
      </c>
      <c r="B2223" s="4" t="s">
        <f>=HYPERLINK("http://anyluxury.ru/shop/odezhda/detskaya-odezhda/tolstovka-detskaya-new-supreme-kids-280-yarkozelenaya-608992/" , "6089.92 Свитшот детский New supreme kids 280 ярко-зеленый, на рост 142-152 см")</f>
      </c>
      <c r="C2223" s="4" t="n">
        <v>1541.00</v>
      </c>
      <c r="D2223" s="4"/>
    </row>
    <row collapsed="" customFormat="false" customHeight="1" hidden="" ht="14" outlineLevel="0" r="2224">
      <c r="A2224" s="3" t="inlineStr">
        <is>
          <t>2193</t>
        </is>
      </c>
      <c r="B2224" s="4" t="s">
        <f>=HYPERLINK("http://anyluxury.ru/shop/odezhda/detskaya-odezhda/tolstovka-detskaya-new-supreme-kids-280-yarkosinyaya-608944/" , "6089.44 Свитшот детский New supreme kids 280 ярко-синий, на рост 106-116 см")</f>
      </c>
      <c r="C2224" s="4" t="n">
        <v>1541.00</v>
      </c>
      <c r="D2224" s="4"/>
    </row>
    <row collapsed="" customFormat="false" customHeight="1" hidden="" ht="14" outlineLevel="0" r="2225">
      <c r="A2225" s="3" t="inlineStr">
        <is>
          <t>2194</t>
        </is>
      </c>
      <c r="B2225" s="4" t="s">
        <f>=HYPERLINK("http://anyluxury.ru/shop/odezhda/detskaya-odezhda/tolstovka-detskaya-new-supreme-kids-280-yarkosinyaya-608944/" , "6089.44 Свитшот детский New supreme kids 280 ярко-синий, на рост 118-128 см")</f>
      </c>
      <c r="C2225" s="4" t="n">
        <v>1541.00</v>
      </c>
      <c r="D2225" s="4"/>
    </row>
    <row collapsed="" customFormat="false" customHeight="1" hidden="" ht="14" outlineLevel="0" r="2226">
      <c r="A2226" s="3" t="inlineStr">
        <is>
          <t>2195</t>
        </is>
      </c>
      <c r="B2226" s="4" t="s">
        <f>=HYPERLINK("http://anyluxury.ru/shop/odezhda/detskaya-odezhda/tolstovka-detskaya-new-supreme-kids-280-yarkosinyaya-608944/" , "6089.44 Свитшот детский New supreme kids 280 ярко-синий, на рост 130-140 см")</f>
      </c>
      <c r="C2226" s="4" t="n">
        <v>1541.00</v>
      </c>
      <c r="D2226" s="4"/>
    </row>
    <row collapsed="" customFormat="false" customHeight="1" hidden="" ht="14" outlineLevel="0" r="2227">
      <c r="A2227" s="3" t="inlineStr">
        <is>
          <t>2196</t>
        </is>
      </c>
      <c r="B2227" s="4" t="s">
        <f>=HYPERLINK("http://anyluxury.ru/shop/odezhda/detskaya-odezhda/tolstovka-detskaya-new-supreme-kids-280-yarkosinyaya-608944/" , "6089.44 Свитшот детский New supreme kids 280 ярко-синий, на рост 142-152 см")</f>
      </c>
      <c r="C2227" s="4" t="n">
        <v>1541.00</v>
      </c>
      <c r="D2227" s="4"/>
    </row>
    <row collapsed="" customFormat="false" customHeight="1" hidden="" ht="14" outlineLevel="0" r="2228">
      <c r="A2228" s="3" t="inlineStr">
        <is>
          <t>2197</t>
        </is>
      </c>
      <c r="B2228" s="4" t="s">
        <f>=HYPERLINK("http://anyluxury.ru/shop/odezhda/detskaya-odezhda/tolstovka-s-kapyushonom-slam-320-oranzhevaya-240120/" , "2401.20 Толстовка с капюшоном SLAM 320, оранжевая, размер XS")</f>
      </c>
      <c r="C2228" s="4" t="n">
        <v>3682.00</v>
      </c>
      <c r="D2228" s="4"/>
    </row>
    <row collapsed="" customFormat="false" customHeight="1" hidden="" ht="14" outlineLevel="0" r="2229">
      <c r="A2229" s="3" t="inlineStr">
        <is>
          <t>2198</t>
        </is>
      </c>
      <c r="B2229" s="4" t="s">
        <f>=HYPERLINK("http://anyluxury.ru/shop/odezhda/detskaya-odezhda/tolstovka-s-kapyushonom-slam-320-oranzhevaya-240120/" , "2401.20 Толстовка с капюшоном SLAM 320, оранжевая, размер S")</f>
      </c>
      <c r="C2229" s="4" t="n">
        <v>3682.00</v>
      </c>
      <c r="D2229" s="4"/>
    </row>
    <row collapsed="" customFormat="false" customHeight="1" hidden="" ht="14" outlineLevel="0" r="2230">
      <c r="A2230" s="3" t="inlineStr">
        <is>
          <t>2199</t>
        </is>
      </c>
      <c r="B2230" s="4" t="s">
        <f>=HYPERLINK("http://anyluxury.ru/shop/odezhda/detskaya-odezhda/tolstovka-s-kapyushonom-slam-320-oranzhevaya-240120/" , "2401.20 Толстовка с капюшоном SLAM 320, оранжевый, размер M")</f>
      </c>
      <c r="C2230" s="4" t="n">
        <v>3682.00</v>
      </c>
      <c r="D2230" s="4"/>
    </row>
    <row collapsed="" customFormat="false" customHeight="1" hidden="" ht="14" outlineLevel="0" r="2231">
      <c r="A2231" s="3" t="inlineStr">
        <is>
          <t>2200</t>
        </is>
      </c>
      <c r="B2231" s="4" t="s">
        <f>=HYPERLINK("http://anyluxury.ru/shop/odezhda/detskaya-odezhda/tolstovka-s-kapyushonom-slam-320-oranzhevaya-240120/" , "2401.20 Толстовка с капюшоном SLAM 320, оранжевый, размер L")</f>
      </c>
      <c r="C2231" s="4" t="n">
        <v>3682.00</v>
      </c>
      <c r="D2231" s="4"/>
    </row>
    <row collapsed="" customFormat="false" customHeight="1" hidden="" ht="14" outlineLevel="0" r="2232">
      <c r="A2232" s="3" t="inlineStr">
        <is>
          <t>2201</t>
        </is>
      </c>
      <c r="B2232" s="4" t="s">
        <f>=HYPERLINK("http://anyluxury.ru/shop/odezhda/detskaya-odezhda/tolstovka-s-kapyushonom-slam-320-oranzhevaya-240120/" , "2401.20 Толстовка с капюшоном SLAM 320, оранжевый, размер XL")</f>
      </c>
      <c r="C2232" s="4" t="n">
        <v>3682.00</v>
      </c>
      <c r="D2232" s="4"/>
    </row>
    <row collapsed="" customFormat="false" customHeight="1" hidden="" ht="14" outlineLevel="0" r="2233">
      <c r="A2233" s="3" t="inlineStr">
        <is>
          <t>2202</t>
        </is>
      </c>
      <c r="B2233" s="4" t="s">
        <f>=HYPERLINK("http://anyluxury.ru/shop/odezhda/detskaya-odezhda/tolstovka-s-kapyushonom-slam-320-oranzhevaya-240120/" , "2401.20 Толстовка с капюшоном SLAM 320, оранжевая, размер XXL")</f>
      </c>
      <c r="C2233" s="4" t="n">
        <v>3682.00</v>
      </c>
      <c r="D2233" s="4"/>
    </row>
    <row collapsed="" customFormat="false" customHeight="1" hidden="" ht="14" outlineLevel="0" r="2234">
      <c r="A2234" s="3" t="inlineStr">
        <is>
          <t>2203</t>
        </is>
      </c>
      <c r="B2234" s="4" t="s">
        <f>=HYPERLINK("http://anyluxury.ru/shop/odezhda/detskaya-odezhda/kurtka-flisovaya-muzhskaya-new-look-men-250-krasnaya-609150/" , "6091.50 Куртка флисовая мужская New look men 250 красная, размер S")</f>
      </c>
      <c r="C2234" s="4" t="n">
        <v>3236.00</v>
      </c>
      <c r="D2234" s="4"/>
    </row>
    <row collapsed="" customFormat="false" customHeight="1" hidden="" ht="14" outlineLevel="0" r="2235">
      <c r="A2235" s="3" t="inlineStr">
        <is>
          <t>2204</t>
        </is>
      </c>
      <c r="B2235" s="4" t="s">
        <f>=HYPERLINK("http://anyluxury.ru/shop/odezhda/detskaya-odezhda/tolstovka-s-kapyushonom-slam-320-yarkosinyaya-240144/" , "2401.44 Толстовка с капюшоном SLAM 320, ярко-синяя, размер XS")</f>
      </c>
      <c r="C2235" s="4" t="n">
        <v>3682.00</v>
      </c>
      <c r="D2235" s="4"/>
    </row>
    <row collapsed="" customFormat="false" customHeight="1" hidden="" ht="14" outlineLevel="0" r="2236">
      <c r="A2236" s="3" t="inlineStr">
        <is>
          <t>2205</t>
        </is>
      </c>
      <c r="B2236" s="4" t="s">
        <f>=HYPERLINK("http://anyluxury.ru/shop/odezhda/detskaya-odezhda/tolstovka-s-kapyushonom-slam-320-yarkosinyaya-240144/" , "2401.44 Толстовка с капюшоном SLAM 320, ярко-синяя, размер S")</f>
      </c>
      <c r="C2236" s="4" t="n">
        <v>3682.00</v>
      </c>
      <c r="D2236" s="4"/>
    </row>
    <row collapsed="" customFormat="false" customHeight="1" hidden="" ht="14" outlineLevel="0" r="2237">
      <c r="A2237" s="3" t="inlineStr">
        <is>
          <t>2206</t>
        </is>
      </c>
      <c r="B2237" s="4" t="s">
        <f>=HYPERLINK("http://anyluxury.ru/shop/odezhda/detskaya-odezhda/tolstovka-s-kapyushonom-slam-320-yarkosinyaya-240144/" , "2401.44 Толстовка с капюшоном SLAM 320, ярко-синяя, размер M")</f>
      </c>
      <c r="C2237" s="4" t="n">
        <v>3682.00</v>
      </c>
      <c r="D2237" s="4"/>
    </row>
    <row collapsed="" customFormat="false" customHeight="1" hidden="" ht="14" outlineLevel="0" r="2238">
      <c r="A2238" s="3" t="inlineStr">
        <is>
          <t>2207</t>
        </is>
      </c>
      <c r="B2238" s="4" t="s">
        <f>=HYPERLINK("http://anyluxury.ru/shop/odezhda/detskaya-odezhda/tolstovka-s-kapyushonom-slam-320-yarkosinyaya-240144/" , "2401.44 Толстовка с капюшоном SLAM 320, ярко-синяя, размер L")</f>
      </c>
      <c r="C2238" s="4" t="n">
        <v>3682.00</v>
      </c>
      <c r="D2238" s="4"/>
    </row>
    <row collapsed="" customFormat="false" customHeight="1" hidden="" ht="14" outlineLevel="0" r="2239">
      <c r="A2239" s="3" t="inlineStr">
        <is>
          <t>2208</t>
        </is>
      </c>
      <c r="B2239" s="4" t="s">
        <f>=HYPERLINK("http://anyluxury.ru/shop/odezhda/detskaya-odezhda/tolstovka-s-kapyushonom-slam-320-yarkosinyaya-240144/" , "2401.44 Толстовка с капюшоном SLAM 320, ярко-синяя, размер XL")</f>
      </c>
      <c r="C2239" s="4" t="n">
        <v>3682.00</v>
      </c>
      <c r="D2239" s="4"/>
    </row>
    <row collapsed="" customFormat="false" customHeight="1" hidden="" ht="14" outlineLevel="0" r="2240">
      <c r="A2240" s="3" t="inlineStr">
        <is>
          <t>2209</t>
        </is>
      </c>
      <c r="B2240" s="4" t="s">
        <f>=HYPERLINK("http://anyluxury.ru/shop/odezhda/detskaya-odezhda/tolstovka-s-kapyushonom-slam-320-yarkosinyaya-240144/" , "2401.44 Толстовка с капюшоном SLAM 320, ярко-синяя, размер XXL")</f>
      </c>
      <c r="C2240" s="4" t="n">
        <v>3682.00</v>
      </c>
      <c r="D2240" s="4"/>
    </row>
    <row collapsed="" customFormat="false" customHeight="1" hidden="" ht="14" outlineLevel="0" r="2241">
      <c r="A2241" s="3" t="inlineStr">
        <is>
          <t>2210</t>
        </is>
      </c>
      <c r="B2241" s="4" t="s">
        <f>=HYPERLINK("http://anyluxury.ru/shop/odezhda/detskaya-odezhda/tolstovka-s-kapyushonom-slam-320-yarkozelenaya-240192/" , "2401.92 Толстовка с капюшоном SLAM 320, ярко-зеленая, размер XS")</f>
      </c>
      <c r="C2241" s="4" t="n">
        <v>3682.00</v>
      </c>
      <c r="D2241" s="4"/>
    </row>
    <row collapsed="" customFormat="false" customHeight="1" hidden="" ht="14" outlineLevel="0" r="2242">
      <c r="A2242" s="3" t="inlineStr">
        <is>
          <t>2211</t>
        </is>
      </c>
      <c r="B2242" s="4" t="s">
        <f>=HYPERLINK("http://anyluxury.ru/shop/odezhda/detskaya-odezhda/tolstovka-s-kapyushonom-slam-320-yarkozelenaya-240192/" , "2401.92 Толстовка с капюшоном SLAM 320, ярко-зеленая, размер S")</f>
      </c>
      <c r="C2242" s="4" t="n">
        <v>3682.00</v>
      </c>
      <c r="D2242" s="4"/>
    </row>
    <row collapsed="" customFormat="false" customHeight="1" hidden="" ht="14" outlineLevel="0" r="2243">
      <c r="A2243" s="3" t="inlineStr">
        <is>
          <t>2212</t>
        </is>
      </c>
      <c r="B2243" s="4" t="s">
        <f>=HYPERLINK("http://anyluxury.ru/shop/odezhda/detskaya-odezhda/tolstovka-s-kapyushonom-slam-320-yarkozelenaya-240192/" , "2401.92 Толстовка с капюшоном SLAM 320, ярко-зеленая, размер XXL")</f>
      </c>
      <c r="C2243" s="4" t="n">
        <v>3682.00</v>
      </c>
      <c r="D2243" s="4"/>
    </row>
    <row collapsed="" customFormat="false" customHeight="1" hidden="" ht="14" outlineLevel="0" r="2244">
      <c r="A2244" s="3" t="inlineStr">
        <is>
          <t>2213</t>
        </is>
      </c>
      <c r="B2244" s="4" t="s">
        <f>=HYPERLINK("http://anyluxury.ru/shop/odezhda/detskaya-odezhda/tolstovka-s-kapyushonom-slam-320-biryuzovaya-240142/" , "2401.42 Толстовка с капюшоном SLAM 320, бирюзовая, размер XS")</f>
      </c>
      <c r="C2244" s="4" t="n">
        <v>3682.00</v>
      </c>
      <c r="D2244" s="4"/>
    </row>
    <row collapsed="" customFormat="false" customHeight="1" hidden="" ht="14" outlineLevel="0" r="2245">
      <c r="A2245" s="3" t="inlineStr">
        <is>
          <t>2214</t>
        </is>
      </c>
      <c r="B2245" s="4" t="s">
        <f>=HYPERLINK("http://anyluxury.ru/shop/odezhda/detskaya-odezhda/tolstovka-s-kapyushonom-slam-320-biryuzovaya-240142/" , "2401.42 Толстовка с капюшоном SLAM 320 бирюзовый, размер S")</f>
      </c>
      <c r="C2245" s="4" t="n">
        <v>3682.00</v>
      </c>
      <c r="D2245" s="4"/>
    </row>
    <row collapsed="" customFormat="false" customHeight="1" hidden="" ht="14" outlineLevel="0" r="2246">
      <c r="A2246" s="3" t="inlineStr">
        <is>
          <t>2215</t>
        </is>
      </c>
      <c r="B2246" s="4" t="s">
        <f>=HYPERLINK("http://anyluxury.ru/shop/odezhda/detskaya-odezhda/tolstovka-s-kapyushonom-slam-320-biryuzovaya-240142/" , "2401.42 Толстовка с капюшоном SLAM 320, бирюзовая, размер M")</f>
      </c>
      <c r="C2246" s="4" t="n">
        <v>3682.00</v>
      </c>
      <c r="D2246" s="4"/>
    </row>
    <row collapsed="" customFormat="false" customHeight="1" hidden="" ht="14" outlineLevel="0" r="2247">
      <c r="A2247" s="3" t="inlineStr">
        <is>
          <t>2216</t>
        </is>
      </c>
      <c r="B2247" s="4" t="s">
        <f>=HYPERLINK("http://anyluxury.ru/shop/odezhda/detskaya-odezhda/tolstovka-s-kapyushonom-slam-320-biryuzovaya-240142/" , "2401.42 Толстовка с капюшоном SLAM 320 бирюзовый, размер L")</f>
      </c>
      <c r="C2247" s="4" t="n">
        <v>3682.00</v>
      </c>
      <c r="D2247" s="4"/>
    </row>
    <row collapsed="" customFormat="false" customHeight="1" hidden="" ht="14" outlineLevel="0" r="2248">
      <c r="A2248" s="3" t="inlineStr">
        <is>
          <t>2217</t>
        </is>
      </c>
      <c r="B2248" s="4" t="s">
        <f>=HYPERLINK("http://anyluxury.ru/shop/odezhda/detskaya-odezhda/tolstovka-s-kapyushonom-slam-320-biryuzovaya-240142/" , "2401.42 Толстовка с капюшоном SLAM 320, бирюзовая, размер XL")</f>
      </c>
      <c r="C2248" s="4" t="n">
        <v>3682.00</v>
      </c>
      <c r="D2248" s="4"/>
    </row>
    <row collapsed="" customFormat="false" customHeight="1" hidden="" ht="14" outlineLevel="0" r="2249">
      <c r="A2249" s="3" t="inlineStr">
        <is>
          <t>2218</t>
        </is>
      </c>
      <c r="B2249" s="4" t="s">
        <f>=HYPERLINK("http://anyluxury.ru/shop/odezhda/detskaya-odezhda/tolstovka-s-kapyushonom-slam-320-biryuzovaya-240142/" , "2401.42 Толстовка с капюшоном SLAM 320, бирюзовая, размер XXL")</f>
      </c>
      <c r="C2249" s="4" t="n">
        <v>3682.00</v>
      </c>
      <c r="D2249" s="4"/>
    </row>
    <row collapsed="" customFormat="false" customHeight="1" hidden="" ht="14" outlineLevel="0" r="2250">
      <c r="A2250" s="3" t="inlineStr">
        <is>
          <t>2219</t>
        </is>
      </c>
      <c r="B2250" s="4" t="s">
        <f>=HYPERLINK("http://anyluxury.ru/shop/odezhda/detskaya-odezhda/tolstovka-s-kapyushonom-slam-320-fioletovaya-240177/" , "2401.77 Толстовка с капюшоном SLAM 320, фиолетовая, размер XS")</f>
      </c>
      <c r="C2250" s="4" t="n">
        <v>3682.00</v>
      </c>
      <c r="D2250" s="4"/>
    </row>
    <row collapsed="" customFormat="false" customHeight="1" hidden="" ht="14" outlineLevel="0" r="2251">
      <c r="A2251" s="3" t="inlineStr">
        <is>
          <t>2220</t>
        </is>
      </c>
      <c r="B2251" s="4" t="s">
        <f>=HYPERLINK("http://anyluxury.ru/shop/odezhda/detskaya-odezhda/tolstovka-s-kapyushonom-slam-320-fioletovaya-240177/" , "2401.77 Толстовка с капюшоном SLAM 320, фиолетовая, размер S")</f>
      </c>
      <c r="C2251" s="4" t="n">
        <v>3682.00</v>
      </c>
      <c r="D2251" s="4"/>
    </row>
    <row collapsed="" customFormat="false" customHeight="1" hidden="" ht="14" outlineLevel="0" r="2252">
      <c r="A2252" s="3" t="inlineStr">
        <is>
          <t>2221</t>
        </is>
      </c>
      <c r="B2252" s="4" t="s">
        <f>=HYPERLINK("http://anyluxury.ru/shop/odezhda/detskaya-odezhda/tolstovka-s-kapyushonom-slam-320-fioletovaya-240177/" , "2401.77 Толстовка с капюшоном SLAM 320, фиолетовая, размер M")</f>
      </c>
      <c r="C2252" s="4" t="n">
        <v>3682.00</v>
      </c>
      <c r="D2252" s="4"/>
    </row>
    <row collapsed="" customFormat="false" customHeight="1" hidden="" ht="14" outlineLevel="0" r="2253">
      <c r="A2253" s="3" t="inlineStr">
        <is>
          <t>2222</t>
        </is>
      </c>
      <c r="B2253" s="4" t="s">
        <f>=HYPERLINK("http://anyluxury.ru/shop/odezhda/detskaya-odezhda/tolstovka-s-kapyushonom-slam-320-fioletovaya-240177/" , "2401.77 Толстовка с капюшоном SLAM 320, фиолетовая, размер L")</f>
      </c>
      <c r="C2253" s="4" t="n">
        <v>3682.00</v>
      </c>
      <c r="D2253" s="4"/>
    </row>
    <row collapsed="" customFormat="false" customHeight="1" hidden="" ht="14" outlineLevel="0" r="2254">
      <c r="A2254" s="3" t="inlineStr">
        <is>
          <t>2223</t>
        </is>
      </c>
      <c r="B2254" s="4" t="s">
        <f>=HYPERLINK("http://anyluxury.ru/shop/odezhda/detskaya-odezhda/tolstovka-s-kapyushonom-slam-320-fioletovaya-240177/" , "2401.77 Толстовка с капюшоном SLAM 320, фиолетовая, размер XL")</f>
      </c>
      <c r="C2254" s="4" t="n">
        <v>3682.00</v>
      </c>
      <c r="D2254" s="4"/>
    </row>
    <row collapsed="" customFormat="false" customHeight="1" hidden="" ht="14" outlineLevel="0" r="2255">
      <c r="A2255" s="3" t="inlineStr">
        <is>
          <t>2224</t>
        </is>
      </c>
      <c r="B2255" s="4" t="s">
        <f>=HYPERLINK("http://anyluxury.ru/shop/odezhda/detskaya-odezhda/tolstovka-s-kapyushonom-slam-320-fioletovaya-240177/" , "2401.77 Толстовка с капюшоном SLAM 320, фиолетовая, размер XXL")</f>
      </c>
      <c r="C2255" s="4" t="n">
        <v>3682.00</v>
      </c>
      <c r="D2255" s="4"/>
    </row>
    <row collapsed="" customFormat="false" customHeight="1" hidden="" ht="14" outlineLevel="0" r="2256">
      <c r="A2256" s="3" t="inlineStr">
        <is>
          <t>2225</t>
        </is>
      </c>
      <c r="B2256" s="4" t="s">
        <f>=HYPERLINK("http://anyluxury.ru/shop/odezhda/detskaya-odezhda/futbolka-zhenskaya-s-dlinnim-rukavom-majestic-150-krasnaya-437750/" , "4377.50 Футболка женская с длинным рукавом MAJESTIC 150 красная, размер XL")</f>
      </c>
      <c r="C2256" s="4" t="n">
        <v>930.00</v>
      </c>
      <c r="D2256" s="4"/>
    </row>
    <row collapsed="" customFormat="false" customHeight="1" hidden="" ht="14" outlineLevel="0" r="2257">
      <c r="A2257" s="3" t="inlineStr">
        <is>
          <t>2226</t>
        </is>
      </c>
      <c r="B2257" s="4" t="s">
        <f>=HYPERLINK("http://anyluxury.ru/shop/odezhda/detskaya-odezhda/futbolka-zhenskaya-s-dlinnim-rukavom-majestic-150-krasnaya-437750/" , "4377.50 Футболка женская с длинным рукавом MAJESTIC 150 красная, размер S")</f>
      </c>
      <c r="C2257" s="4" t="n">
        <v>930.00</v>
      </c>
      <c r="D2257" s="4"/>
    </row>
    <row collapsed="" customFormat="false" customHeight="1" hidden="" ht="14" outlineLevel="0" r="2258">
      <c r="A2258" s="3" t="inlineStr">
        <is>
          <t>2227</t>
        </is>
      </c>
      <c r="B2258" s="4" t="s">
        <f>=HYPERLINK("http://anyluxury.ru/shop/odezhda/detskaya-odezhda/futbolka-zhenskaya-s-dlinnim-rukavom-majestic-150-krasnaya-437750/" , "4377.50 Футболка женская с длинным рукавом MAJESTIC 150 красная, размер M")</f>
      </c>
      <c r="C2258" s="4" t="n">
        <v>930.00</v>
      </c>
      <c r="D2258" s="4"/>
    </row>
    <row collapsed="" customFormat="false" customHeight="1" hidden="" ht="14" outlineLevel="0" r="2259">
      <c r="A2259" s="3" t="inlineStr">
        <is>
          <t>2228</t>
        </is>
      </c>
      <c r="B2259" s="4" t="s">
        <f>=HYPERLINK("http://anyluxury.ru/shop/odezhda/detskaya-odezhda/futbolka-zhenskaya-s-dlinnim-rukavom-majestic-150-krasnaya-437750/" , "4377.50 Футболка женская с длинным рукавом MAJESTIC 150 красная, размер L")</f>
      </c>
      <c r="C2259" s="4" t="n">
        <v>930.00</v>
      </c>
      <c r="D2259" s="4"/>
    </row>
    <row collapsed="" customFormat="false" customHeight="1" hidden="" ht="14" outlineLevel="0" r="2260">
      <c r="A2260" s="3" t="inlineStr">
        <is>
          <t>2229</t>
        </is>
      </c>
      <c r="B2260" s="4" t="s">
        <f>=HYPERLINK("http://anyluxury.ru/shop/odezhda/detskaya-odezhda/kurtka-zhenskaya-north-women-chernaya-557530/" , "5575.30 Куртка женская North Women, черная, размер XL")</f>
      </c>
      <c r="C2260" s="4" t="n">
        <v>2594.00</v>
      </c>
      <c r="D2260" s="4"/>
    </row>
    <row collapsed="" customFormat="false" customHeight="1" hidden="" ht="14" outlineLevel="0" r="2261">
      <c r="A2261" s="3" t="inlineStr">
        <is>
          <t>2230</t>
        </is>
      </c>
      <c r="B2261" s="4" t="s">
        <f>=HYPERLINK("http://anyluxury.ru/shop/odezhda/detskaya-odezhda/kurtka-zhenskaya-north-women-chernaya-557530/" , "5575.30 Куртка женская North Women черная, размер XXL")</f>
      </c>
      <c r="C2261" s="4" t="n">
        <v>2594.00</v>
      </c>
      <c r="D2261" s="4"/>
    </row>
    <row collapsed="" customFormat="false" customHeight="1" hidden="" ht="14" outlineLevel="0" r="2262">
      <c r="A2262" s="3" t="inlineStr">
        <is>
          <t>2231</t>
        </is>
      </c>
      <c r="B2262" s="4" t="s">
        <f>=HYPERLINK("http://anyluxury.ru/shop/odezhda/detskaya-odezhda/kurtka-zhenskaya-north-women-fioletovaya-557577/" , "5575.77 Куртка женская North Women фиолетовая, размер XXL")</f>
      </c>
      <c r="C2262" s="4" t="n">
        <v>2594.00</v>
      </c>
      <c r="D2262" s="4"/>
    </row>
    <row collapsed="" customFormat="false" customHeight="1" hidden="" ht="14" outlineLevel="0" r="2263">
      <c r="A2263" s="3" t="inlineStr">
        <is>
          <t>2232</t>
        </is>
      </c>
      <c r="B2263" s="4" t="s">
        <f>=HYPERLINK("http://anyluxury.ru/shop/odezhda/detskaya-odezhda/kurtka-zhenskaya-north-women-fioletovaya-557577/" , "5575.77 Куртка женская North Women, фиолетовая, размер S")</f>
      </c>
      <c r="C2263" s="4" t="n">
        <v>2594.00</v>
      </c>
      <c r="D2263" s="4"/>
    </row>
    <row collapsed="" customFormat="false" customHeight="1" hidden="" ht="14" outlineLevel="0" r="2264">
      <c r="A2264" s="3" t="inlineStr">
        <is>
          <t>2233</t>
        </is>
      </c>
      <c r="B2264" s="4" t="s">
        <f>=HYPERLINK("http://anyluxury.ru/shop/odezhda/detskaya-odezhda/kurtka-zhenskaya-north-women-fioletovaya-557577/" , "5575.77 Куртка женская North Women, фиолетовая, размер M")</f>
      </c>
      <c r="C2264" s="4" t="n">
        <v>2594.00</v>
      </c>
      <c r="D2264" s="4"/>
    </row>
    <row collapsed="" customFormat="false" customHeight="1" hidden="" ht="14" outlineLevel="0" r="2265">
      <c r="A2265" s="3" t="inlineStr">
        <is>
          <t>2234</t>
        </is>
      </c>
      <c r="B2265" s="4" t="s">
        <f>=HYPERLINK("http://anyluxury.ru/shop/odezhda/detskaya-odezhda/kurtka-zhenskaya-north-women-fioletovaya-557577/" , "5575.77 Куртка женская North Women, фиолетовая, размер L")</f>
      </c>
      <c r="C2265" s="4" t="n">
        <v>2594.00</v>
      </c>
      <c r="D2265" s="4"/>
    </row>
    <row collapsed="" customFormat="false" customHeight="1" hidden="" ht="14" outlineLevel="0" r="2266">
      <c r="A2266" s="3" t="inlineStr">
        <is>
          <t>2235</t>
        </is>
      </c>
      <c r="B2266" s="4" t="s">
        <f>=HYPERLINK("http://anyluxury.ru/shop/odezhda/detskaya-odezhda/kurtka-zhenskaya-north-women-fioletovaya-557577/" , "5575.77 Куртка женская North Women, фиолетовая, размер XL")</f>
      </c>
      <c r="C2266" s="4" t="n">
        <v>2594.00</v>
      </c>
      <c r="D2266" s="4"/>
    </row>
    <row collapsed="" customFormat="false" customHeight="1" hidden="" ht="14" outlineLevel="0" r="2267">
      <c r="A2267" s="3" t="inlineStr">
        <is>
          <t>2236</t>
        </is>
      </c>
      <c r="B2267" s="4" t="s">
        <f>=HYPERLINK("http://anyluxury.ru/shop/odezhda/detskaya-odezhda/tolstovka-new-supreme-280-belaya-184060/" , "1840.60 Толстовка NEW SUPREME 280 белая, размер XS")</f>
      </c>
      <c r="C2267" s="4" t="n">
        <v>2292.00</v>
      </c>
      <c r="D2267" s="4"/>
    </row>
    <row collapsed="" customFormat="false" customHeight="1" hidden="" ht="14" outlineLevel="0" r="2268">
      <c r="A2268" s="3" t="inlineStr">
        <is>
          <t>2237</t>
        </is>
      </c>
      <c r="B2268" s="4" t="s">
        <f>=HYPERLINK("http://anyluxury.ru/shop/odezhda/detskaya-odezhda/tolstovka-new-supreme-280-belaya-184060/" , "1840.60 Толстовка NEW SUPREME 280 белая, размер S")</f>
      </c>
      <c r="C2268" s="4" t="n">
        <v>2292.00</v>
      </c>
      <c r="D2268" s="4"/>
    </row>
    <row collapsed="" customFormat="false" customHeight="1" hidden="" ht="14" outlineLevel="0" r="2269">
      <c r="A2269" s="3" t="inlineStr">
        <is>
          <t>2238</t>
        </is>
      </c>
      <c r="B2269" s="4" t="s">
        <f>=HYPERLINK("http://anyluxury.ru/shop/odezhda/detskaya-odezhda/tolstovka-new-supreme-280-belaya-184060/" , "1840.60 Толстовка NEW SUPREME 280 белая, размер XL")</f>
      </c>
      <c r="C2269" s="4" t="n">
        <v>2292.00</v>
      </c>
      <c r="D2269" s="4"/>
    </row>
    <row collapsed="" customFormat="false" customHeight="1" hidden="" ht="14" outlineLevel="0" r="2270">
      <c r="A2270" s="3" t="inlineStr">
        <is>
          <t>2239</t>
        </is>
      </c>
      <c r="B2270" s="4" t="s">
        <f>=HYPERLINK("http://anyluxury.ru/shop/odezhda/detskaya-odezhda/tolstovka-new-supreme-280-belaya-184060/" , "1840.60 Толстовка NEW SUPREME 280 белая, размер XXL")</f>
      </c>
      <c r="C2270" s="4" t="n">
        <v>2292.00</v>
      </c>
      <c r="D2270" s="4"/>
    </row>
    <row collapsed="" customFormat="false" customHeight="1" hidden="" ht="14" outlineLevel="0" r="2271">
      <c r="A2271" s="3" t="inlineStr">
        <is>
          <t>2240</t>
        </is>
      </c>
      <c r="B2271" s="4" t="s">
        <f>=HYPERLINK("http://anyluxury.ru/shop/odezhda/detskaya-odezhda/tolstovka-new-supreme-280-belaya-184060/" , "1840.60 Толстовка NEW SUPREME 280 белая, размер 3XL")</f>
      </c>
      <c r="C2271" s="4" t="n">
        <v>2693.00</v>
      </c>
      <c r="D2271" s="4"/>
    </row>
    <row collapsed="" customFormat="false" customHeight="1" hidden="" ht="14" outlineLevel="0" r="2272">
      <c r="A2272" s="3" t="inlineStr">
        <is>
          <t>2241</t>
        </is>
      </c>
      <c r="B2272" s="4" t="s">
        <f>=HYPERLINK("http://anyluxury.ru/shop/odezhda/detskaya-odezhda/tolstovka-new-supreme-280-chernaya-184030/" , "1840.30 Толстовка NEW SUPREME 280 черная, размер XS")</f>
      </c>
      <c r="C2272" s="4" t="n">
        <v>2292.00</v>
      </c>
      <c r="D2272" s="4"/>
    </row>
    <row collapsed="" customFormat="false" customHeight="1" hidden="" ht="14" outlineLevel="0" r="2273">
      <c r="A2273" s="3" t="inlineStr">
        <is>
          <t>2242</t>
        </is>
      </c>
      <c r="B2273" s="4" t="s">
        <f>=HYPERLINK("http://anyluxury.ru/shop/odezhda/detskaya-odezhda/tolstovka-new-supreme-280-chernaya-184030/" , "1840.30 Толстовка NEW SUPREME 280 черная, размер S")</f>
      </c>
      <c r="C2273" s="4" t="n">
        <v>2292.00</v>
      </c>
      <c r="D2273" s="4"/>
    </row>
    <row collapsed="" customFormat="false" customHeight="1" hidden="" ht="14" outlineLevel="0" r="2274">
      <c r="A2274" s="3" t="inlineStr">
        <is>
          <t>2243</t>
        </is>
      </c>
      <c r="B2274" s="4" t="s">
        <f>=HYPERLINK("http://anyluxury.ru/shop/odezhda/detskaya-odezhda/tolstovka-new-supreme-280-chernaya-184030/" , "1840.30 Толстовка NEW SUPREME 280 черная, размер 3XL")</f>
      </c>
      <c r="C2274" s="4" t="n">
        <v>2693.00</v>
      </c>
      <c r="D2274" s="4"/>
    </row>
    <row collapsed="" customFormat="false" customHeight="1" hidden="" ht="14" outlineLevel="0" r="2275">
      <c r="A2275" s="3" t="inlineStr">
        <is>
          <t>2244</t>
        </is>
      </c>
      <c r="B2275" s="4" t="s">
        <f>=HYPERLINK("http://anyluxury.ru/shop/odezhda/detskaya-odezhda/futbolka-detskaya-imperial-kids-190-belaya-250560/" , "2505.60 Футболка детская IMPERIAL KIDS белая, на рост 96-104 см (4 года)")</f>
      </c>
      <c r="C2275" s="4" t="n">
        <v>490.00</v>
      </c>
      <c r="D2275" s="4"/>
    </row>
    <row collapsed="" customFormat="false" customHeight="1" hidden="" ht="14" outlineLevel="0" r="2276">
      <c r="A2276" s="3" t="inlineStr">
        <is>
          <t>2245</t>
        </is>
      </c>
      <c r="B2276" s="4" t="s">
        <f>=HYPERLINK("http://anyluxury.ru/shop/odezhda/detskaya-odezhda/futbolka-detskaya-imperial-kids-190-belaya-250560/" , "2505.60 Футболка детская Imperial Kids 190 белая, на рост 106-116 см (6 лет)")</f>
      </c>
      <c r="C2276" s="4" t="n">
        <v>490.00</v>
      </c>
      <c r="D2276" s="4"/>
    </row>
    <row collapsed="" customFormat="false" customHeight="1" hidden="" ht="14" outlineLevel="0" r="2277">
      <c r="A2277" s="3" t="inlineStr">
        <is>
          <t>2246</t>
        </is>
      </c>
      <c r="B2277" s="4" t="s">
        <f>=HYPERLINK("http://anyluxury.ru/shop/odezhda/detskaya-odezhda/futbolka-detskaya-imperial-kids-190-belaya-250560/" , "2505.60 Футболка детская Imperial Kids 190 белая, на рост 118-128 см (8 лет)")</f>
      </c>
      <c r="C2277" s="4" t="n">
        <v>490.00</v>
      </c>
      <c r="D2277" s="4"/>
    </row>
    <row collapsed="" customFormat="false" customHeight="1" hidden="" ht="14" outlineLevel="0" r="2278">
      <c r="A2278" s="3" t="inlineStr">
        <is>
          <t>2247</t>
        </is>
      </c>
      <c r="B2278" s="4" t="s">
        <f>=HYPERLINK("http://anyluxury.ru/shop/odezhda/detskaya-odezhda/futbolka-detskaya-imperial-kids-190-belaya-250560/" , "2505.60 Футболка детская Imperial Kids 190 белая, на рост 130-140 см (10 лет)")</f>
      </c>
      <c r="C2278" s="4" t="n">
        <v>490.00</v>
      </c>
      <c r="D2278" s="4"/>
    </row>
    <row collapsed="" customFormat="false" customHeight="1" hidden="" ht="14" outlineLevel="0" r="2279">
      <c r="A2279" s="3" t="inlineStr">
        <is>
          <t>2248</t>
        </is>
      </c>
      <c r="B2279" s="4" t="s">
        <f>=HYPERLINK("http://anyluxury.ru/shop/odezhda/detskaya-odezhda/futbolka-detskaya-imperial-kids-190-belaya-250560/" , "2505.60 Футболка детская Imperial Kids 190 белая, на рост 142-152 см (12 лет)")</f>
      </c>
      <c r="C2279" s="4" t="n">
        <v>490.00</v>
      </c>
      <c r="D2279" s="4"/>
    </row>
    <row collapsed="" customFormat="false" customHeight="1" hidden="" ht="14" outlineLevel="0" r="2280">
      <c r="A2280" s="3" t="inlineStr">
        <is>
          <t>2249</t>
        </is>
      </c>
      <c r="B2280" s="4" t="s">
        <f>=HYPERLINK("http://anyluxury.ru/shop/odezhda/detskaya-odezhda/kurtka-muzhskaya-north-300-temnosinyaya-190940/" , "1909.40 Куртка мужская North, темно-синяя, размер XS")</f>
      </c>
      <c r="C2280" s="4" t="n">
        <v>2813.00</v>
      </c>
      <c r="D2280" s="4"/>
    </row>
    <row collapsed="" customFormat="false" customHeight="1" hidden="" ht="14" outlineLevel="0" r="2281">
      <c r="A2281" s="3" t="inlineStr">
        <is>
          <t>2250</t>
        </is>
      </c>
      <c r="B2281" s="4" t="s">
        <f>=HYPERLINK("http://anyluxury.ru/shop/odezhda/detskaya-odezhda/kurtka-muzhskaya-north-300-temnosinyaya-190940/" , "1909.40 Куртка мужская North темно-синяя, размер 5XL")</f>
      </c>
      <c r="C2281" s="4" t="n">
        <v>3802.00</v>
      </c>
      <c r="D2281" s="4"/>
    </row>
    <row collapsed="" customFormat="false" customHeight="1" hidden="" ht="14" outlineLevel="0" r="2282">
      <c r="A2282" s="3" t="inlineStr">
        <is>
          <t>2251</t>
        </is>
      </c>
      <c r="B2282" s="4" t="s">
        <f>=HYPERLINK("http://anyluxury.ru/shop/odezhda/detskaya-odezhda/kurtka-muzhskaya-north-300-oranzhevaya-190920/" , "1909.20 Куртка мужская North, оранжевая, размер XS")</f>
      </c>
      <c r="C2282" s="4" t="n">
        <v>2813.00</v>
      </c>
      <c r="D2282" s="4"/>
    </row>
    <row collapsed="" customFormat="false" customHeight="1" hidden="" ht="14" outlineLevel="0" r="2283">
      <c r="A2283" s="3" t="inlineStr">
        <is>
          <t>2252</t>
        </is>
      </c>
      <c r="B2283" s="4" t="s">
        <f>=HYPERLINK("http://anyluxury.ru/shop/odezhda/detskaya-odezhda/kurtka-muzhskaya-north-300-oranzhevaya-190920/" , "1909.20 Куртка мужская North, оранжевая, размер S")</f>
      </c>
      <c r="C2283" s="4" t="n">
        <v>2813.00</v>
      </c>
      <c r="D2283" s="4"/>
    </row>
    <row collapsed="" customFormat="false" customHeight="1" hidden="" ht="14" outlineLevel="0" r="2284">
      <c r="A2284" s="3" t="inlineStr">
        <is>
          <t>2253</t>
        </is>
      </c>
      <c r="B2284" s="4" t="s">
        <f>=HYPERLINK("http://anyluxury.ru/shop/odezhda/detskaya-odezhda/kurtka-muzhskaya-north-300-oranzhevaya-190920/" , "1909.20 Куртка мужская North, оранжевая, размер M")</f>
      </c>
      <c r="C2284" s="4" t="n">
        <v>2813.00</v>
      </c>
      <c r="D2284" s="4"/>
    </row>
    <row collapsed="" customFormat="false" customHeight="1" hidden="" ht="14" outlineLevel="0" r="2285">
      <c r="A2285" s="3" t="inlineStr">
        <is>
          <t>2254</t>
        </is>
      </c>
      <c r="B2285" s="4" t="s">
        <f>=HYPERLINK("http://anyluxury.ru/shop/odezhda/detskaya-odezhda/kurtka-muzhskaya-north-300-oranzhevaya-190920/" , "1909.20 Куртка мужская North, оранжевая, размер L")</f>
      </c>
      <c r="C2285" s="4" t="n">
        <v>2813.00</v>
      </c>
      <c r="D2285" s="4"/>
    </row>
    <row collapsed="" customFormat="false" customHeight="1" hidden="" ht="14" outlineLevel="0" r="2286">
      <c r="A2286" s="3" t="inlineStr">
        <is>
          <t>2255</t>
        </is>
      </c>
      <c r="B2286" s="4" t="s">
        <f>=HYPERLINK("http://anyluxury.ru/shop/odezhda/detskaya-odezhda/kurtka-muzhskaya-north-300-oranzhevaya-190920/" , "1909.20 Куртка мужская North, оранжевая, размер XL")</f>
      </c>
      <c r="C2286" s="4" t="n">
        <v>2813.00</v>
      </c>
      <c r="D2286" s="4"/>
    </row>
    <row collapsed="" customFormat="false" customHeight="1" hidden="" ht="14" outlineLevel="0" r="2287">
      <c r="A2287" s="3" t="inlineStr">
        <is>
          <t>2256</t>
        </is>
      </c>
      <c r="B2287" s="4" t="s">
        <f>=HYPERLINK("http://anyluxury.ru/shop/odezhda/detskaya-odezhda/kurtka-muzhskaya-north-300-oranzhevaya-190920/" , "1909.20 Куртка мужская North, оранжевая, размер XXL")</f>
      </c>
      <c r="C2287" s="4" t="n">
        <v>2813.00</v>
      </c>
      <c r="D2287" s="4"/>
    </row>
    <row collapsed="" customFormat="false" customHeight="1" hidden="" ht="14" outlineLevel="0" r="2288">
      <c r="A2288" s="3" t="inlineStr">
        <is>
          <t>2257</t>
        </is>
      </c>
      <c r="B2288" s="4" t="s">
        <f>=HYPERLINK("http://anyluxury.ru/shop/odezhda/detskaya-odezhda/kurtka-muzhskaya-north-300-oranzhevaya-190920/" , "1909.20 Куртка мужская North оранжевая, размер 3XL")</f>
      </c>
      <c r="C2288" s="4" t="n">
        <v>3260.00</v>
      </c>
      <c r="D2288" s="4"/>
    </row>
    <row collapsed="" customFormat="false" customHeight="1" hidden="" ht="14" outlineLevel="0" r="2289">
      <c r="A2289" s="3" t="inlineStr">
        <is>
          <t>2258</t>
        </is>
      </c>
      <c r="B2289" s="4" t="s">
        <f>=HYPERLINK("http://anyluxury.ru/shop/odezhda/detskaya-odezhda/kurtka-muzhskaya-north-300-krasnaya-190950/" , "1909.50 Куртка мужская North, красная, размер XS")</f>
      </c>
      <c r="C2289" s="4" t="n">
        <v>2813.00</v>
      </c>
      <c r="D2289" s="4"/>
    </row>
    <row collapsed="" customFormat="false" customHeight="1" hidden="" ht="14" outlineLevel="0" r="2290">
      <c r="A2290" s="3" t="inlineStr">
        <is>
          <t>2259</t>
        </is>
      </c>
      <c r="B2290" s="4" t="s">
        <f>=HYPERLINK("http://anyluxury.ru/shop/odezhda/detskaya-odezhda/kurtka-muzhskaya-north-300-krasnaya-190950/" , "1909.50 Куртка мужская North, красная, размер S")</f>
      </c>
      <c r="C2290" s="4" t="n">
        <v>2813.00</v>
      </c>
      <c r="D2290" s="4"/>
    </row>
    <row collapsed="" customFormat="false" customHeight="1" hidden="" ht="14" outlineLevel="0" r="2291">
      <c r="A2291" s="3" t="inlineStr">
        <is>
          <t>2260</t>
        </is>
      </c>
      <c r="B2291" s="4" t="s">
        <f>=HYPERLINK("http://anyluxury.ru/shop/odezhda/detskaya-odezhda/kurtka-muzhskaya-north-300-krasnaya-190950/" , "1909.50 Куртка мужская North, красная, размер M")</f>
      </c>
      <c r="C2291" s="4" t="n">
        <v>2813.00</v>
      </c>
      <c r="D2291" s="4"/>
    </row>
    <row collapsed="" customFormat="false" customHeight="1" hidden="" ht="14" outlineLevel="0" r="2292">
      <c r="A2292" s="3" t="inlineStr">
        <is>
          <t>2261</t>
        </is>
      </c>
      <c r="B2292" s="4" t="s">
        <f>=HYPERLINK("http://anyluxury.ru/shop/odezhda/detskaya-odezhda/kurtka-muzhskaya-north-300-krasnaya-190950/" , "1909.50 Куртка мужская North, красная, размер L")</f>
      </c>
      <c r="C2292" s="4" t="n">
        <v>2813.00</v>
      </c>
      <c r="D2292" s="4"/>
    </row>
    <row collapsed="" customFormat="false" customHeight="1" hidden="" ht="14" outlineLevel="0" r="2293">
      <c r="A2293" s="3" t="inlineStr">
        <is>
          <t>2262</t>
        </is>
      </c>
      <c r="B2293" s="4" t="s">
        <f>=HYPERLINK("http://anyluxury.ru/shop/odezhda/detskaya-odezhda/kurtka-muzhskaya-north-300-krasnaya-190950/" , "1909.50 Куртка мужская North, красная, размер XL")</f>
      </c>
      <c r="C2293" s="4" t="n">
        <v>2813.00</v>
      </c>
      <c r="D2293" s="4"/>
    </row>
    <row collapsed="" customFormat="false" customHeight="1" hidden="" ht="14" outlineLevel="0" r="2294">
      <c r="A2294" s="3" t="inlineStr">
        <is>
          <t>2263</t>
        </is>
      </c>
      <c r="B2294" s="4" t="s">
        <f>=HYPERLINK("http://anyluxury.ru/shop/odezhda/detskaya-odezhda/kurtka-muzhskaya-north-300-krasnaya-190950/" , "1909.50 Куртка мужская North, красная, размер XXL")</f>
      </c>
      <c r="C2294" s="4" t="n">
        <v>2813.00</v>
      </c>
      <c r="D2294" s="4"/>
    </row>
    <row collapsed="" customFormat="false" customHeight="1" hidden="" ht="14" outlineLevel="0" r="2295">
      <c r="A2295" s="3" t="inlineStr">
        <is>
          <t>2264</t>
        </is>
      </c>
      <c r="B2295" s="4" t="s">
        <f>=HYPERLINK("http://anyluxury.ru/shop/odezhda/detskaya-odezhda/kurtka-muzhskaya-north-300-krasnaya-190950/" , "1909.50 Куртка мужская North красная, размер 3XL")</f>
      </c>
      <c r="C2295" s="4" t="n">
        <v>3260.00</v>
      </c>
      <c r="D2295" s="4"/>
    </row>
    <row collapsed="" customFormat="false" customHeight="1" hidden="" ht="14" outlineLevel="0" r="2296">
      <c r="A2296" s="3" t="inlineStr">
        <is>
          <t>2265</t>
        </is>
      </c>
      <c r="B2296" s="4" t="s">
        <f>=HYPERLINK("http://anyluxury.ru/shop/odezhda/detskaya-odezhda/kurtka-muzhskaya-north-300-krasnaya-190950/" , "1909.50 Куртка мужская North красная, размер 4XL")</f>
      </c>
      <c r="C2296" s="4" t="n">
        <v>3802.00</v>
      </c>
      <c r="D2296" s="4"/>
    </row>
    <row collapsed="" customFormat="false" customHeight="1" hidden="" ht="14" outlineLevel="0" r="2297">
      <c r="A2297" s="3" t="inlineStr">
        <is>
          <t>2266</t>
        </is>
      </c>
      <c r="B2297" s="4" t="s">
        <f>=HYPERLINK("http://anyluxury.ru/shop/odezhda/detskaya-odezhda/kurtka-muzhskaya-north-300-krasnaya-190950/" , "1909.50 Куртка мужская North красная, размер 5XL")</f>
      </c>
      <c r="C2297" s="4" t="n">
        <v>3802.00</v>
      </c>
      <c r="D2297" s="4"/>
    </row>
    <row collapsed="" customFormat="false" customHeight="1" hidden="" ht="14" outlineLevel="0" r="2298">
      <c r="A2298" s="3" t="inlineStr">
        <is>
          <t>2267</t>
        </is>
      </c>
      <c r="B2298" s="4" t="s">
        <f>=HYPERLINK("http://anyluxury.ru/shop/odezhda/detskaya-odezhda/vetrovka-detskaya-surf-kids-210-yarkosinyaya-191044/" , "1910.44 Ветровка детская Surf Kids, ярко-синяя, на рост 129-141 см (9-11 лет)")</f>
      </c>
      <c r="C2298" s="4" t="n">
        <v>1639.00</v>
      </c>
      <c r="D2298" s="4"/>
    </row>
    <row collapsed="" customFormat="false" customHeight="1" hidden="" ht="14" outlineLevel="0" r="2299">
      <c r="A2299" s="3" t="inlineStr">
        <is>
          <t>2268</t>
        </is>
      </c>
      <c r="B2299" s="4" t="s">
        <f>=HYPERLINK("http://anyluxury.ru/shop/odezhda/detskaya-odezhda/tolstovka-new-supreme-280-seriy-melanzh-184011/" , "1840.11 Толстовка NEW SUPREME 280 серый меланж, размер XS")</f>
      </c>
      <c r="C2299" s="4" t="n">
        <v>2292.00</v>
      </c>
      <c r="D2299" s="4"/>
    </row>
    <row collapsed="" customFormat="false" customHeight="1" hidden="" ht="14" outlineLevel="0" r="2300">
      <c r="A2300" s="3" t="inlineStr">
        <is>
          <t>2269</t>
        </is>
      </c>
      <c r="B2300" s="4" t="s">
        <f>=HYPERLINK("http://anyluxury.ru/shop/odezhda/detskaya-odezhda/tolstovka-new-supreme-280-seriy-melanzh-184011/" , "1840.11 Толстовка New Supreme 280, серый меланж, размер S")</f>
      </c>
      <c r="C2300" s="4" t="n">
        <v>2292.00</v>
      </c>
      <c r="D2300" s="4"/>
    </row>
    <row collapsed="" customFormat="false" customHeight="1" hidden="" ht="14" outlineLevel="0" r="2301">
      <c r="A2301" s="3" t="inlineStr">
        <is>
          <t>2270</t>
        </is>
      </c>
      <c r="B2301" s="4" t="s">
        <f>=HYPERLINK("http://anyluxury.ru/shop/odezhda/detskaya-odezhda/tolstovka-new-supreme-280-seriy-melanzh-184011/" , "1840.11 Толстовка New Supreme 280, серый меланж, размер M")</f>
      </c>
      <c r="C2301" s="4" t="n">
        <v>2292.00</v>
      </c>
      <c r="D2301" s="4"/>
    </row>
    <row collapsed="" customFormat="false" customHeight="1" hidden="" ht="14" outlineLevel="0" r="2302">
      <c r="A2302" s="3" t="inlineStr">
        <is>
          <t>2271</t>
        </is>
      </c>
      <c r="B2302" s="4" t="s">
        <f>=HYPERLINK("http://anyluxury.ru/shop/odezhda/detskaya-odezhda/tolstovka-new-supreme-280-seriy-melanzh-184011/" , "1840.11 Толстовка New Supreme 280, серый меланж, размер XL")</f>
      </c>
      <c r="C2302" s="4" t="n">
        <v>2292.00</v>
      </c>
      <c r="D2302" s="4"/>
    </row>
    <row collapsed="" customFormat="false" customHeight="1" hidden="" ht="14" outlineLevel="0" r="2303">
      <c r="A2303" s="3" t="inlineStr">
        <is>
          <t>2272</t>
        </is>
      </c>
      <c r="B2303" s="4" t="s">
        <f>=HYPERLINK("http://anyluxury.ru/shop/odezhda/detskaya-odezhda/tolstovka-new-supreme-280-seriy-melanzh-184011/" , "1840.11 Толстовка New Supreme 280, серый меланж, размер XXL")</f>
      </c>
      <c r="C2303" s="4" t="n">
        <v>2292.00</v>
      </c>
      <c r="D2303" s="4"/>
    </row>
    <row collapsed="" customFormat="false" customHeight="1" hidden="" ht="14" outlineLevel="0" r="2304">
      <c r="A2304" s="3" t="inlineStr">
        <is>
          <t>2273</t>
        </is>
      </c>
      <c r="B2304" s="4" t="s">
        <f>=HYPERLINK("http://anyluxury.ru/shop/odezhda/detskaya-odezhda/tolstovka-new-supreme-280-seriy-melanzh-184011/" , "1840.11 Толстовка NEW SUPREME 280 серый меланж, размер 3XL")</f>
      </c>
      <c r="C2304" s="4" t="n">
        <v>2693.00</v>
      </c>
      <c r="D2304" s="4"/>
    </row>
    <row collapsed="" customFormat="false" customHeight="1" hidden="" ht="14" outlineLevel="0" r="2305">
      <c r="A2305" s="3" t="inlineStr">
        <is>
          <t>2274</t>
        </is>
      </c>
      <c r="B2305" s="4" t="s">
        <f>=HYPERLINK("http://anyluxury.ru/shop/odezhda/detskaya-odezhda/tolstovka-new-supreme-280-oranzhevaya-184020/" , "1840.20 Толстовка New Supreme 280 оранжевая, размер XXL")</f>
      </c>
      <c r="C2305" s="4" t="n">
        <v>2292.00</v>
      </c>
      <c r="D2305" s="4"/>
    </row>
    <row collapsed="" customFormat="false" customHeight="1" hidden="" ht="14" outlineLevel="0" r="2306">
      <c r="A2306" s="3" t="inlineStr">
        <is>
          <t>2275</t>
        </is>
      </c>
      <c r="B2306" s="4" t="s">
        <f>=HYPERLINK("http://anyluxury.ru/shop/odezhda/detskaya-odezhda/tolstovka-new-supreme-280-oranzhevaya-184020/" , "1840.20 Толстовка New Supreme 280 оранжевая, размер XS")</f>
      </c>
      <c r="C2306" s="4" t="n">
        <v>2292.00</v>
      </c>
      <c r="D2306" s="4"/>
    </row>
    <row collapsed="" customFormat="false" customHeight="1" hidden="" ht="14" outlineLevel="0" r="2307">
      <c r="A2307" s="3" t="inlineStr">
        <is>
          <t>2276</t>
        </is>
      </c>
      <c r="B2307" s="4" t="s">
        <f>=HYPERLINK("http://anyluxury.ru/shop/odezhda/detskaya-odezhda/tolstovka-new-supreme-280-oranzhevaya-184020/" , "1840.20 Толстовка New Supreme 280 оранжевая, размер 3XL")</f>
      </c>
      <c r="C2307" s="4" t="n">
        <v>2693.00</v>
      </c>
      <c r="D2307" s="4"/>
    </row>
    <row collapsed="" customFormat="false" customHeight="1" hidden="" ht="14" outlineLevel="0" r="2308">
      <c r="A2308" s="3" t="inlineStr">
        <is>
          <t>2277</t>
        </is>
      </c>
      <c r="B2308" s="4" t="s">
        <f>=HYPERLINK("http://anyluxury.ru/shop/odezhda/detskaya-odezhda/tolstovka-detskaya-new-supreme-kids-280-oranzhevaya-608920/" , "6089.20 Толстовка детская New Supreme Kids 280, оранжевая, на рост 106-116 см")</f>
      </c>
      <c r="C2308" s="4" t="n">
        <v>1541.00</v>
      </c>
      <c r="D2308" s="4"/>
    </row>
    <row collapsed="" customFormat="false" customHeight="1" hidden="" ht="14" outlineLevel="0" r="2309">
      <c r="A2309" s="3" t="inlineStr">
        <is>
          <t>2278</t>
        </is>
      </c>
      <c r="B2309" s="4" t="s">
        <f>=HYPERLINK("http://anyluxury.ru/shop/odezhda/detskaya-odezhda/tolstovka-detskaya-new-supreme-kids-280-oranzhevaya-608920/" , "6089.20 Толстовка детская New supreme kids 280, оранжевая, на рост 118-128 см")</f>
      </c>
      <c r="C2309" s="4" t="n">
        <v>1541.00</v>
      </c>
      <c r="D2309" s="4"/>
    </row>
    <row collapsed="" customFormat="false" customHeight="1" hidden="" ht="14" outlineLevel="0" r="2310">
      <c r="A2310" s="3" t="inlineStr">
        <is>
          <t>2279</t>
        </is>
      </c>
      <c r="B2310" s="4" t="s">
        <f>=HYPERLINK("http://anyluxury.ru/shop/odezhda/detskaya-odezhda/tolstovka-detskaya-new-supreme-kids-280-oranzhevaya-608920/" , "6089.20 Толстовка детская New supreme kids 280, оранжевая, на рост 130-140 см")</f>
      </c>
      <c r="C2310" s="4" t="n">
        <v>1541.00</v>
      </c>
      <c r="D2310" s="4"/>
    </row>
    <row collapsed="" customFormat="false" customHeight="1" hidden="" ht="14" outlineLevel="0" r="2311">
      <c r="A2311" s="3" t="inlineStr">
        <is>
          <t>2280</t>
        </is>
      </c>
      <c r="B2311" s="4" t="s">
        <f>=HYPERLINK("http://anyluxury.ru/shop/odezhda/detskaya-odezhda/kurtka-zhenskaya-nova-women-200-chernaya-s-yarkogolubim-585034/" , "5850.34 Куртка женская NOVA WOMEN 200, черная с ярко-голубым, размер S")</f>
      </c>
      <c r="C2311" s="4" t="n">
        <v>3105.00</v>
      </c>
      <c r="D2311" s="4"/>
    </row>
    <row collapsed="" customFormat="false" customHeight="1" hidden="" ht="14" outlineLevel="0" r="2312">
      <c r="A2312" s="3" t="inlineStr">
        <is>
          <t>2281</t>
        </is>
      </c>
      <c r="B2312" s="4" t="s">
        <f>=HYPERLINK("http://anyluxury.ru/shop/odezhda/detskaya-odezhda/kurtka-zhenskaya-nova-women-200-chernaya-s-yarkogolubim-585034/" , "5850.34 Куртка женская NOVA WOMEN 200 черная с ярко-голубым, размер XXL")</f>
      </c>
      <c r="C2312" s="4" t="n">
        <v>3105.00</v>
      </c>
      <c r="D2312" s="4"/>
    </row>
    <row collapsed="" customFormat="false" customHeight="1" hidden="" ht="14" outlineLevel="0" r="2313">
      <c r="A2313" s="3" t="inlineStr">
        <is>
          <t>2282</t>
        </is>
      </c>
      <c r="B2313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XL")</f>
      </c>
      <c r="C2313" s="4" t="n">
        <v>3682.00</v>
      </c>
      <c r="D2313" s="4"/>
    </row>
    <row collapsed="" customFormat="false" customHeight="1" hidden="" ht="14" outlineLevel="0" r="2314">
      <c r="A2314" s="3" t="inlineStr">
        <is>
          <t>2283</t>
        </is>
      </c>
      <c r="B2314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XXL")</f>
      </c>
      <c r="C2314" s="4" t="n">
        <v>3682.00</v>
      </c>
      <c r="D2314" s="4"/>
    </row>
    <row collapsed="" customFormat="false" customHeight="1" hidden="" ht="14" outlineLevel="0" r="2315">
      <c r="A2315" s="3" t="inlineStr">
        <is>
          <t>2284</t>
        </is>
      </c>
      <c r="B2315" s="4" t="s">
        <f>=HYPERLINK("http://anyluxury.ru/shop/odezhda/detskaya-odezhda/kurtka-flisovaya-zhenskaya-sarasota-krasnaya-657350/" , "6573.50 Куртка флисовая женская SARASOTA, красная, размер XL")</f>
      </c>
      <c r="C2315" s="4" t="n">
        <v>3283.00</v>
      </c>
      <c r="D2315" s="4"/>
    </row>
    <row collapsed="" customFormat="false" customHeight="1" hidden="" ht="14" outlineLevel="0" r="2316">
      <c r="A2316" s="3" t="inlineStr">
        <is>
          <t>2285</t>
        </is>
      </c>
      <c r="B2316" s="4" t="s">
        <f>=HYPERLINK("http://anyluxury.ru/shop/odezhda/detskaya-odezhda/kurtka-flisovaya-zhenskaya-sarasota-belaya-s-ottenkom-slonovoy-kosti-657360/" , "6573.60 Куртка флисовая женская SARASOTA, белая с оттенком слоновой кости, размер S")</f>
      </c>
      <c r="C2316" s="4" t="n">
        <v>3283.00</v>
      </c>
      <c r="D2316" s="4"/>
    </row>
    <row collapsed="" customFormat="false" customHeight="1" hidden="" ht="14" outlineLevel="0" r="2317">
      <c r="A2317" s="3" t="inlineStr">
        <is>
          <t>2286</t>
        </is>
      </c>
      <c r="B2317" s="4" t="s">
        <f>=HYPERLINK("http://anyluxury.ru/shop/odezhda/detskaya-odezhda/futbolka-detskaya-regent-fit-kids-yarkosinyaya-royal-664544/" , "6645.44 Футболка детская REGENT FIT KIDS, ярко-синяя, на рост 106-116 см")</f>
      </c>
      <c r="C2317" s="4" t="n">
        <v>486.00</v>
      </c>
      <c r="D2317" s="4"/>
    </row>
    <row collapsed="" customFormat="false" customHeight="1" hidden="" ht="14" outlineLevel="0" r="2318">
      <c r="A2318" s="3" t="inlineStr">
        <is>
          <t>2287</t>
        </is>
      </c>
      <c r="B2318" s="4" t="s">
        <f>=HYPERLINK("http://anyluxury.ru/shop/odezhda/detskaya-odezhda/futbolka-detskaya-regent-fit-kids-belaya-664560/" , "6645.60 Футболка детская REGENT FIT KIDS, белая, на рост 96-104 см (4 года)")</f>
      </c>
      <c r="C2318" s="4" t="n">
        <v>404.00</v>
      </c>
      <c r="D2318" s="4"/>
    </row>
    <row collapsed="" customFormat="false" customHeight="1" hidden="" ht="14" outlineLevel="0" r="2319">
      <c r="A2319" s="3" t="inlineStr">
        <is>
          <t>2288</t>
        </is>
      </c>
      <c r="B2319" s="4" t="s">
        <f>=HYPERLINK("http://anyluxury.ru/shop/odezhda/detskaya-odezhda/futbolka-detskaya-regent-fit-kids-belaya-664560/" , "6645.60 Футболка детская REGENT FIT KIDS, белая, на рост 106-116 см (6 лет)")</f>
      </c>
      <c r="C2319" s="4" t="n">
        <v>404.00</v>
      </c>
      <c r="D2319" s="4"/>
    </row>
    <row collapsed="" customFormat="false" customHeight="1" hidden="" ht="14" outlineLevel="0" r="2320">
      <c r="A2320" s="3" t="inlineStr">
        <is>
          <t>2289</t>
        </is>
      </c>
      <c r="B2320" s="4" t="s">
        <f>=HYPERLINK("http://anyluxury.ru/shop/odezhda/detskaya-odezhda/futbolka-detskaya-regent-fit-kids-belaya-664560/" , "6645.60 Футболка детская REGENT FIT KIDS, белая, на рост 118-128 см (8 лет)")</f>
      </c>
      <c r="C2320" s="4" t="n">
        <v>404.00</v>
      </c>
      <c r="D2320" s="4"/>
    </row>
    <row collapsed="" customFormat="false" customHeight="1" hidden="" ht="14" outlineLevel="0" r="2321">
      <c r="A2321" s="3" t="inlineStr">
        <is>
          <t>2290</t>
        </is>
      </c>
      <c r="B2321" s="4" t="s">
        <f>=HYPERLINK("http://anyluxury.ru/shop/odezhda/detskaya-odezhda/futbolka-detskaya-regent-fit-kids-belaya-664560/" , "6645.60 Футболка детская REGENT FIT KIDS, белая, на рост 130-140 см (10 лет)")</f>
      </c>
      <c r="C2321" s="4" t="n">
        <v>404.00</v>
      </c>
      <c r="D2321" s="4"/>
    </row>
    <row collapsed="" customFormat="false" customHeight="1" hidden="" ht="14" outlineLevel="0" r="2322">
      <c r="A2322" s="3" t="inlineStr">
        <is>
          <t>2291</t>
        </is>
      </c>
      <c r="B2322" s="4" t="s">
        <f>=HYPERLINK("http://anyluxury.ru/shop/odezhda/detskaya-odezhda/futbolka-detskaya-regent-fit-kids-belaya-664560/" , "6645.60 Футболка детская REGENT FIT KIDS, белая, на рост 142-154 см (12 лет)")</f>
      </c>
      <c r="C2322" s="4" t="n">
        <v>404.00</v>
      </c>
      <c r="D2322" s="4"/>
    </row>
    <row collapsed="" customFormat="false" customHeight="1" hidden="" ht="14" outlineLevel="0" r="2323">
      <c r="A2323" s="3" t="inlineStr">
        <is>
          <t>2292</t>
        </is>
      </c>
      <c r="B2323" s="4" t="s">
        <f>=HYPERLINK("http://anyluxury.ru/shop/odezhda/detskaya-odezhda/sensornie-perchatki-snowflake-golubie-279444/" , "2794.44 Сенсорные перчатки Snowflake, голубые")</f>
      </c>
      <c r="C2323" s="4" t="n">
        <v>349.00</v>
      </c>
      <c r="D2323" s="4"/>
    </row>
    <row collapsed="" customFormat="false" customHeight="1" hidden="" ht="14" outlineLevel="0" r="2324">
      <c r="A2324" s="3" t="inlineStr">
        <is>
          <t>2293</t>
        </is>
      </c>
      <c r="B2324" s="4" t="s">
        <f>=HYPERLINK("http://anyluxury.ru/shop/odezhda/detskaya-odezhda/beysbolka-detskaya-sunny-kids-belaya-88111102tun/" , "88111102TUN Бейсболка детская Sunny Kids белая")</f>
      </c>
      <c r="C2324" s="4" t="n">
        <v>373.00</v>
      </c>
      <c r="D2324" s="4"/>
    </row>
    <row collapsed="" customFormat="false" customHeight="1" hidden="" ht="14" outlineLevel="0" r="2325">
      <c r="A2325" s="3" t="inlineStr">
        <is>
          <t>2294</t>
        </is>
      </c>
      <c r="B2325" s="4" t="s">
        <f>=HYPERLINK("http://anyluxury.ru/shop/odezhda/detskaya-odezhda/tolstovka-spider-260-svetliy-melanzh-01168300/" , "01168300 Толстовка SPIDER 260 светлый меланж, размер S")</f>
      </c>
      <c r="C2325" s="4" t="n">
        <v>1843.00</v>
      </c>
      <c r="D2325" s="4"/>
    </row>
    <row collapsed="" customFormat="false" customHeight="1" hidden="" ht="14" outlineLevel="0" r="2326">
      <c r="A2326" s="3" t="inlineStr">
        <is>
          <t>2295</t>
        </is>
      </c>
      <c r="B2326" s="4" t="s">
        <f>=HYPERLINK("http://anyluxury.ru/shop/odezhda/detskaya-odezhda/tolstovka-spider-260-svetliy-melanzh-01168300/" , "01168300 Толстовка SPIDER 260 светлый меланж, размер M")</f>
      </c>
      <c r="C2326" s="4" t="n">
        <v>1843.00</v>
      </c>
      <c r="D2326" s="4"/>
    </row>
    <row collapsed="" customFormat="false" customHeight="1" hidden="" ht="14" outlineLevel="0" r="2327">
      <c r="A2327" s="3" t="inlineStr">
        <is>
          <t>2296</t>
        </is>
      </c>
      <c r="B2327" s="4" t="s">
        <f>=HYPERLINK("http://anyluxury.ru/shop/odezhda/detskaya-odezhda/tolstovka-spider-260-svetliy-melanzh-01168300/" , "01168300 Толстовка SPIDER 260 светлый меланж, размер L")</f>
      </c>
      <c r="C2327" s="4" t="n">
        <v>1843.00</v>
      </c>
      <c r="D2327" s="4"/>
    </row>
    <row collapsed="" customFormat="false" customHeight="1" hidden="" ht="14" outlineLevel="0" r="2328">
      <c r="A2328" s="3" t="inlineStr">
        <is>
          <t>2297</t>
        </is>
      </c>
      <c r="B2328" s="4" t="s">
        <f>=HYPERLINK("http://anyluxury.ru/shop/odezhda/detskaya-odezhda/tolstovka-spider-260-svetliy-melanzh-01168300/" , "01168300 Толстовка SPIDER 260 светлый меланж, размер XL")</f>
      </c>
      <c r="C2328" s="4" t="n">
        <v>1843.00</v>
      </c>
      <c r="D2328" s="4"/>
    </row>
    <row collapsed="" customFormat="false" customHeight="1" hidden="" ht="14" outlineLevel="0" r="2329">
      <c r="A2329" s="3" t="inlineStr">
        <is>
          <t>2298</t>
        </is>
      </c>
      <c r="B2329" s="4" t="s">
        <f>=HYPERLINK("http://anyluxury.ru/shop/odezhda/detskaya-odezhda/tolstovka-spider-260-svetliy-melanzh-01168300/" , "01168300 Толстовка SPIDER 260 светлый меланж, размер XXL")</f>
      </c>
      <c r="C2329" s="4" t="n">
        <v>1843.00</v>
      </c>
      <c r="D2329" s="4"/>
    </row>
    <row collapsed="" customFormat="false" customHeight="1" hidden="" ht="14" outlineLevel="0" r="2330">
      <c r="A2330" s="3" t="inlineStr">
        <is>
          <t>2299</t>
        </is>
      </c>
      <c r="B2330" s="4" t="s">
        <f>=HYPERLINK("http://anyluxury.ru/shop/odezhda/detskaya-odezhda/tolstovka-spider-260-svetliy-melanzh-01168300/" , "01168300 Толстовка SPIDER 260 светлый меланж, размер 3XL")</f>
      </c>
      <c r="C2330" s="4" t="n">
        <v>2166.00</v>
      </c>
      <c r="D2330" s="4"/>
    </row>
    <row collapsed="" customFormat="false" customHeight="1" hidden="" ht="14" outlineLevel="0" r="2331">
      <c r="A2331" s="3" t="inlineStr">
        <is>
          <t>2300</t>
        </is>
      </c>
      <c r="B2331" s="4" t="s">
        <f>=HYPERLINK("http://anyluxury.ru/shop/odezhda/detskaya-odezhda/tolstovka-spider-260-chernaya-01168312/" , "01168312 Толстовка SPIDER 260 черная, размер S")</f>
      </c>
      <c r="C2331" s="4" t="n">
        <v>1843.00</v>
      </c>
      <c r="D2331" s="4"/>
    </row>
    <row collapsed="" customFormat="false" customHeight="1" hidden="" ht="14" outlineLevel="0" r="2332">
      <c r="A2332" s="3" t="inlineStr">
        <is>
          <t>2301</t>
        </is>
      </c>
      <c r="B2332" s="4" t="s">
        <f>=HYPERLINK("http://anyluxury.ru/shop/odezhda/detskaya-odezhda/tolstovka-spider-260-chernaya-01168312/" , "01168312 Толстовка SPIDER 260 черная, размер M")</f>
      </c>
      <c r="C2332" s="4" t="n">
        <v>1843.00</v>
      </c>
      <c r="D2332" s="4"/>
    </row>
    <row collapsed="" customFormat="false" customHeight="1" hidden="" ht="14" outlineLevel="0" r="2333">
      <c r="A2333" s="3" t="inlineStr">
        <is>
          <t>2302</t>
        </is>
      </c>
      <c r="B2333" s="4" t="s">
        <f>=HYPERLINK("http://anyluxury.ru/shop/odezhda/detskaya-odezhda/tolstovka-spider-260-chernaya-01168312/" , "01168312 Толстовка SPIDER 260 черная, размер XL")</f>
      </c>
      <c r="C2333" s="4" t="n">
        <v>1843.00</v>
      </c>
      <c r="D2333" s="4"/>
    </row>
    <row collapsed="" customFormat="false" customHeight="1" hidden="" ht="14" outlineLevel="0" r="2334">
      <c r="A2334" s="3" t="inlineStr">
        <is>
          <t>2303</t>
        </is>
      </c>
      <c r="B2334" s="4" t="s">
        <f>=HYPERLINK("http://anyluxury.ru/shop/odezhda/detskaya-odezhda/tolstovka-spider-260-chernaya-01168312/" , "01168312 Толстовка SPIDER 260 черная, размер XXL")</f>
      </c>
      <c r="C2334" s="4" t="n">
        <v>1843.00</v>
      </c>
      <c r="D2334" s="4"/>
    </row>
    <row collapsed="" customFormat="false" customHeight="1" hidden="" ht="14" outlineLevel="0" r="2335">
      <c r="A2335" s="3" t="inlineStr">
        <is>
          <t>2304</t>
        </is>
      </c>
      <c r="B2335" s="4" t="s">
        <f>=HYPERLINK("http://anyluxury.ru/shop/odezhda/detskaya-odezhda/tolstovka-spider-260-chernaya-01168312/" , "01168312 Толстовка SPIDER 260 черная, размер 3XL")</f>
      </c>
      <c r="C2335" s="4" t="n">
        <v>2166.00</v>
      </c>
      <c r="D2335" s="4"/>
    </row>
    <row collapsed="" customFormat="false" customHeight="1" hidden="" ht="14" outlineLevel="0" r="2336">
      <c r="A2336" s="3" t="inlineStr">
        <is>
          <t>2305</t>
        </is>
      </c>
      <c r="B2336" s="4" t="s">
        <f>=HYPERLINK("http://anyluxury.ru/shop/odezhda/detskaya-odezhda/tolstovka-spider-260-temnozelenaya-01168264/" , "01168264 Толстовка SPIDER 260 темно-зеленая, размер S")</f>
      </c>
      <c r="C2336" s="4" t="n">
        <v>1843.00</v>
      </c>
      <c r="D2336" s="4"/>
    </row>
    <row collapsed="" customFormat="false" customHeight="1" hidden="" ht="14" outlineLevel="0" r="2337">
      <c r="A2337" s="3" t="inlineStr">
        <is>
          <t>2306</t>
        </is>
      </c>
      <c r="B2337" s="4" t="s">
        <f>=HYPERLINK("http://anyluxury.ru/shop/odezhda/detskaya-odezhda/tolstovka-spider-260-temnozelenaya-01168264/" , "01168264 Толстовка SPIDER 260 темно-зеленая, размер M")</f>
      </c>
      <c r="C2337" s="4" t="n">
        <v>1843.00</v>
      </c>
      <c r="D2337" s="4"/>
    </row>
    <row collapsed="" customFormat="false" customHeight="1" hidden="" ht="14" outlineLevel="0" r="2338">
      <c r="A2338" s="3" t="inlineStr">
        <is>
          <t>2307</t>
        </is>
      </c>
      <c r="B2338" s="4" t="s">
        <f>=HYPERLINK("http://anyluxury.ru/shop/odezhda/detskaya-odezhda/tolstovka-spider-260-temnozelenaya-01168264/" , "01168264 Толстовка SPIDER 260 темно-зеленая, размер L")</f>
      </c>
      <c r="C2338" s="4" t="n">
        <v>1843.00</v>
      </c>
      <c r="D2338" s="4"/>
    </row>
    <row collapsed="" customFormat="false" customHeight="1" hidden="" ht="14" outlineLevel="0" r="2339">
      <c r="A2339" s="3" t="inlineStr">
        <is>
          <t>2308</t>
        </is>
      </c>
      <c r="B2339" s="4" t="s">
        <f>=HYPERLINK("http://anyluxury.ru/shop/odezhda/detskaya-odezhda/tolstovka-spider-260-temnozelenaya-01168264/" , "01168264 Толстовка SPIDER 260 темно-зеленая, размер XL")</f>
      </c>
      <c r="C2339" s="4" t="n">
        <v>1843.00</v>
      </c>
      <c r="D2339" s="4"/>
    </row>
    <row collapsed="" customFormat="false" customHeight="1" hidden="" ht="14" outlineLevel="0" r="2340">
      <c r="A2340" s="3" t="inlineStr">
        <is>
          <t>2309</t>
        </is>
      </c>
      <c r="B2340" s="4" t="s">
        <f>=HYPERLINK("http://anyluxury.ru/shop/odezhda/detskaya-odezhda/tolstovka-spider-260-temnozelenaya-01168264/" , "01168264 Толстовка SPIDER 260 темно-зеленая, размер XXL")</f>
      </c>
      <c r="C2340" s="4" t="n">
        <v>1843.00</v>
      </c>
      <c r="D2340" s="4"/>
    </row>
    <row collapsed="" customFormat="false" customHeight="1" hidden="" ht="14" outlineLevel="0" r="2341">
      <c r="A2341" s="3" t="inlineStr">
        <is>
          <t>2310</t>
        </is>
      </c>
      <c r="B2341" s="4" t="s">
        <f>=HYPERLINK("http://anyluxury.ru/shop/odezhda/detskaya-odezhda/tolstovka-spider-260-temnozelenaya-01168264/" , "01168264 Толстовка SPIDER 260 темно-зеленая, размер 3XL")</f>
      </c>
      <c r="C2341" s="4" t="n">
        <v>2166.00</v>
      </c>
      <c r="D2341" s="4"/>
    </row>
    <row collapsed="" customFormat="false" customHeight="1" hidden="" ht="14" outlineLevel="0" r="2342">
      <c r="A2342" s="3" t="inlineStr">
        <is>
          <t>2311</t>
        </is>
      </c>
      <c r="B2342" s="4" t="s">
        <f>=HYPERLINK("http://anyluxury.ru/shop/odezhda/detskaya-odezhda/tolstovka-spider-260-temnosinyaya-01168319/" , "01168319 Толстовка SPIDER 260 темно-синяя, размер S")</f>
      </c>
      <c r="C2342" s="4" t="n">
        <v>1843.00</v>
      </c>
      <c r="D2342" s="4"/>
    </row>
    <row collapsed="" customFormat="false" customHeight="1" hidden="" ht="14" outlineLevel="0" r="2343">
      <c r="A2343" s="3" t="inlineStr">
        <is>
          <t>2312</t>
        </is>
      </c>
      <c r="B2343" s="4" t="s">
        <f>=HYPERLINK("http://anyluxury.ru/shop/odezhda/detskaya-odezhda/tolstovka-spider-260-temnosinyaya-01168319/" , "01168319 Толстовка SPIDER 260 темно-синяя, размер XXL")</f>
      </c>
      <c r="C2343" s="4" t="n">
        <v>1843.00</v>
      </c>
      <c r="D2343" s="4"/>
    </row>
    <row collapsed="" customFormat="false" customHeight="1" hidden="" ht="14" outlineLevel="0" r="2344">
      <c r="A2344" s="3" t="inlineStr">
        <is>
          <t>2313</t>
        </is>
      </c>
      <c r="B2344" s="4" t="s">
        <f>=HYPERLINK("http://anyluxury.ru/shop/odezhda/detskaya-odezhda/tolstovka-spider-260-temnosinyaya-01168319/" , "01168319 Толстовка SPIDER 260 темно-синяя, размер 3XL")</f>
      </c>
      <c r="C2344" s="4" t="n">
        <v>2166.00</v>
      </c>
      <c r="D2344" s="4"/>
    </row>
    <row collapsed="" customFormat="false" customHeight="1" hidden="" ht="14" outlineLevel="0" r="2345">
      <c r="A2345" s="3" t="inlineStr">
        <is>
          <t>2314</t>
        </is>
      </c>
      <c r="B2345" s="4" t="s">
        <f>=HYPERLINK("http://anyluxury.ru/shop/odezhda/detskaya-odezhda/tolstovka-spider-260-seriy-melanzh-01168360/" , "01168360 Толстовка SPIDER 260 серый меланж, размер S")</f>
      </c>
      <c r="C2345" s="4" t="n">
        <v>1843.00</v>
      </c>
      <c r="D2345" s="4"/>
    </row>
    <row collapsed="" customFormat="false" customHeight="1" hidden="" ht="14" outlineLevel="0" r="2346">
      <c r="A2346" s="3" t="inlineStr">
        <is>
          <t>2315</t>
        </is>
      </c>
      <c r="B2346" s="4" t="s">
        <f>=HYPERLINK("http://anyluxury.ru/shop/odezhda/detskaya-odezhda/tolstovka-spider-260-seriy-melanzh-01168360/" , "01168360 Толстовка SPIDER 260 серый меланж, размер M")</f>
      </c>
      <c r="C2346" s="4" t="n">
        <v>1843.00</v>
      </c>
      <c r="D2346" s="4"/>
    </row>
    <row collapsed="" customFormat="false" customHeight="1" hidden="" ht="14" outlineLevel="0" r="2347">
      <c r="A2347" s="3" t="inlineStr">
        <is>
          <t>2316</t>
        </is>
      </c>
      <c r="B2347" s="4" t="s">
        <f>=HYPERLINK("http://anyluxury.ru/shop/odezhda/detskaya-odezhda/tolstovka-spider-260-seriy-melanzh-01168360/" , "01168360 Толстовка SPIDER 260 серый меланж, размер L")</f>
      </c>
      <c r="C2347" s="4" t="n">
        <v>1843.00</v>
      </c>
      <c r="D2347" s="4"/>
    </row>
    <row collapsed="" customFormat="false" customHeight="1" hidden="" ht="14" outlineLevel="0" r="2348">
      <c r="A2348" s="3" t="inlineStr">
        <is>
          <t>2317</t>
        </is>
      </c>
      <c r="B2348" s="4" t="s">
        <f>=HYPERLINK("http://anyluxury.ru/shop/odezhda/detskaya-odezhda/tolstovka-spider-260-seriy-melanzh-01168360/" , "01168360 Толстовка SPIDER 260 серый меланж, размер XL")</f>
      </c>
      <c r="C2348" s="4" t="n">
        <v>1843.00</v>
      </c>
      <c r="D2348" s="4"/>
    </row>
    <row collapsed="" customFormat="false" customHeight="1" hidden="" ht="14" outlineLevel="0" r="2349">
      <c r="A2349" s="3" t="inlineStr">
        <is>
          <t>2318</t>
        </is>
      </c>
      <c r="B2349" s="4" t="s">
        <f>=HYPERLINK("http://anyluxury.ru/shop/odezhda/detskaya-odezhda/tolstovka-spider-260-seriy-melanzh-01168360/" , "01168360 Толстовка SPIDER 260 серый меланж, размер XXL")</f>
      </c>
      <c r="C2349" s="4" t="n">
        <v>1843.00</v>
      </c>
      <c r="D2349" s="4"/>
    </row>
    <row collapsed="" customFormat="false" customHeight="1" hidden="" ht="14" outlineLevel="0" r="2350">
      <c r="A2350" s="3" t="inlineStr">
        <is>
          <t>2319</t>
        </is>
      </c>
      <c r="B2350" s="4" t="s">
        <f>=HYPERLINK("http://anyluxury.ru/shop/odezhda/detskaya-odezhda/tolstovka-spider-260-seriy-melanzh-01168360/" , "01168360 Толстовка SPIDER 260 серый меланж, размер 3XL")</f>
      </c>
      <c r="C2350" s="4" t="n">
        <v>2166.00</v>
      </c>
      <c r="D2350" s="4"/>
    </row>
    <row collapsed="" customFormat="false" customHeight="1" hidden="" ht="14" outlineLevel="0" r="2351">
      <c r="A2351" s="3" t="inlineStr">
        <is>
          <t>2320</t>
        </is>
      </c>
      <c r="B2351" s="4" t="s">
        <f>=HYPERLINK("http://anyluxury.ru/shop/odezhda/detskaya-odezhda/tolstovka-spider-260-krasnaya-01168145/" , "01168145 Толстовка SPIDER 260 красная, размер S")</f>
      </c>
      <c r="C2351" s="4" t="n">
        <v>1843.00</v>
      </c>
      <c r="D2351" s="4"/>
    </row>
    <row collapsed="" customFormat="false" customHeight="1" hidden="" ht="14" outlineLevel="0" r="2352">
      <c r="A2352" s="3" t="inlineStr">
        <is>
          <t>2321</t>
        </is>
      </c>
      <c r="B2352" s="4" t="s">
        <f>=HYPERLINK("http://anyluxury.ru/shop/odezhda/detskaya-odezhda/tolstovka-spider-260-krasnaya-01168145/" , "01168145 Толстовка SPIDER 260 красная, размер M")</f>
      </c>
      <c r="C2352" s="4" t="n">
        <v>1843.00</v>
      </c>
      <c r="D2352" s="4"/>
    </row>
    <row collapsed="" customFormat="false" customHeight="1" hidden="" ht="14" outlineLevel="0" r="2353">
      <c r="A2353" s="3" t="inlineStr">
        <is>
          <t>2322</t>
        </is>
      </c>
      <c r="B2353" s="4" t="s">
        <f>=HYPERLINK("http://anyluxury.ru/shop/odezhda/detskaya-odezhda/tolstovka-spider-260-krasnaya-01168145/" , "01168145 Толстовка SPIDER 260 красная, размер L")</f>
      </c>
      <c r="C2353" s="4" t="n">
        <v>1843.00</v>
      </c>
      <c r="D2353" s="4"/>
    </row>
    <row collapsed="" customFormat="false" customHeight="1" hidden="" ht="14" outlineLevel="0" r="2354">
      <c r="A2354" s="3" t="inlineStr">
        <is>
          <t>2323</t>
        </is>
      </c>
      <c r="B2354" s="4" t="s">
        <f>=HYPERLINK("http://anyluxury.ru/shop/odezhda/detskaya-odezhda/tolstovka-spider-260-krasnaya-01168145/" , "01168145 Толстовка SPIDER 260 красная, размер XL")</f>
      </c>
      <c r="C2354" s="4" t="n">
        <v>1843.00</v>
      </c>
      <c r="D2354" s="4"/>
    </row>
    <row collapsed="" customFormat="false" customHeight="1" hidden="" ht="14" outlineLevel="0" r="2355">
      <c r="A2355" s="3" t="inlineStr">
        <is>
          <t>2324</t>
        </is>
      </c>
      <c r="B2355" s="4" t="s">
        <f>=HYPERLINK("http://anyluxury.ru/shop/odezhda/detskaya-odezhda/tolstovka-spider-260-krasnaya-01168145/" , "01168145 Толстовка SPIDER 260 красная, размер XXL")</f>
      </c>
      <c r="C2355" s="4" t="n">
        <v>1843.00</v>
      </c>
      <c r="D2355" s="4"/>
    </row>
    <row collapsed="" customFormat="false" customHeight="1" hidden="" ht="14" outlineLevel="0" r="2356">
      <c r="A2356" s="3" t="inlineStr">
        <is>
          <t>2325</t>
        </is>
      </c>
      <c r="B2356" s="4" t="s">
        <f>=HYPERLINK("http://anyluxury.ru/shop/odezhda/detskaya-odezhda/tolstovka-spider-260-yarkosinyaya-01168241/" , "01168241 Толстовка SPIDER 260 ярко-синяя, размер S")</f>
      </c>
      <c r="C2356" s="4" t="n">
        <v>1843.00</v>
      </c>
      <c r="D2356" s="4"/>
    </row>
    <row collapsed="" customFormat="false" customHeight="1" hidden="" ht="14" outlineLevel="0" r="2357">
      <c r="A2357" s="3" t="inlineStr">
        <is>
          <t>2326</t>
        </is>
      </c>
      <c r="B2357" s="4" t="s">
        <f>=HYPERLINK("http://anyluxury.ru/shop/odezhda/detskaya-odezhda/tolstovka-spider-260-yarkosinyaya-01168241/" , "01168241 Толстовка SPIDER 260 ярко-синяя, размер M")</f>
      </c>
      <c r="C2357" s="4" t="n">
        <v>1843.00</v>
      </c>
      <c r="D2357" s="4"/>
    </row>
    <row collapsed="" customFormat="false" customHeight="1" hidden="" ht="14" outlineLevel="0" r="2358">
      <c r="A2358" s="3" t="inlineStr">
        <is>
          <t>2327</t>
        </is>
      </c>
      <c r="B2358" s="4" t="s">
        <f>=HYPERLINK("http://anyluxury.ru/shop/odezhda/detskaya-odezhda/tolstovka-spider-260-yarkosinyaya-01168241/" , "01168241 Толстовка SPIDER 260 ярко-синяя, размер L")</f>
      </c>
      <c r="C2358" s="4" t="n">
        <v>1843.00</v>
      </c>
      <c r="D2358" s="4"/>
    </row>
    <row collapsed="" customFormat="false" customHeight="1" hidden="" ht="14" outlineLevel="0" r="2359">
      <c r="A2359" s="3" t="inlineStr">
        <is>
          <t>2328</t>
        </is>
      </c>
      <c r="B2359" s="4" t="s">
        <f>=HYPERLINK("http://anyluxury.ru/shop/odezhda/detskaya-odezhda/tolstovka-spider-260-yarkosinyaya-01168241/" , "01168241 Толстовка SPIDER 260 ярко-синяя, размер XL")</f>
      </c>
      <c r="C2359" s="4" t="n">
        <v>1843.00</v>
      </c>
      <c r="D2359" s="4"/>
    </row>
    <row collapsed="" customFormat="false" customHeight="1" hidden="" ht="14" outlineLevel="0" r="2360">
      <c r="A2360" s="3" t="inlineStr">
        <is>
          <t>2329</t>
        </is>
      </c>
      <c r="B2360" s="4" t="s">
        <f>=HYPERLINK("http://anyluxury.ru/shop/odezhda/detskaya-odezhda/tolstovka-spider-260-yarkosinyaya-01168241/" , "01168241 Толстовка SPIDER 260 ярко-синяя, размер XXL")</f>
      </c>
      <c r="C2360" s="4" t="n">
        <v>1843.00</v>
      </c>
      <c r="D2360" s="4"/>
    </row>
    <row collapsed="" customFormat="false" customHeight="1" hidden="" ht="14" outlineLevel="0" r="2361">
      <c r="A2361" s="3" t="inlineStr">
        <is>
          <t>2330</t>
        </is>
      </c>
      <c r="B2361" s="4" t="s">
        <f>=HYPERLINK("http://anyluxury.ru/shop/odezhda/detskaya-odezhda/tolstovka-spider-260-yarkosinyaya-01168241/" , "01168241 Толстовка SPIDER 260 ярко-синяя, размер 3XL")</f>
      </c>
      <c r="C2361" s="4" t="n">
        <v>2166.00</v>
      </c>
      <c r="D2361" s="4"/>
    </row>
    <row collapsed="" customFormat="false" customHeight="1" hidden="" ht="14" outlineLevel="0" r="2362">
      <c r="A2362" s="3" t="inlineStr">
        <is>
          <t>2331</t>
        </is>
      </c>
      <c r="B2362" s="4" t="s">
        <f>=HYPERLINK("http://anyluxury.ru/shop/odezhda/detskaya-odezhda/tolstovka-spider-260-belaya-01168102/" , "01168102 Толстовка SPIDER 260 белая, размер S")</f>
      </c>
      <c r="C2362" s="4" t="n">
        <v>1843.00</v>
      </c>
      <c r="D2362" s="4"/>
    </row>
    <row collapsed="" customFormat="false" customHeight="1" hidden="" ht="14" outlineLevel="0" r="2363">
      <c r="A2363" s="3" t="inlineStr">
        <is>
          <t>2332</t>
        </is>
      </c>
      <c r="B2363" s="4" t="s">
        <f>=HYPERLINK("http://anyluxury.ru/shop/odezhda/detskaya-odezhda/tolstovka-spider-260-belaya-01168102/" , "01168102 Толстовка SPIDER 260 белая, размер M")</f>
      </c>
      <c r="C2363" s="4" t="n">
        <v>1843.00</v>
      </c>
      <c r="D2363" s="4"/>
    </row>
    <row collapsed="" customFormat="false" customHeight="1" hidden="" ht="14" outlineLevel="0" r="2364">
      <c r="A2364" s="3" t="inlineStr">
        <is>
          <t>2333</t>
        </is>
      </c>
      <c r="B2364" s="4" t="s">
        <f>=HYPERLINK("http://anyluxury.ru/shop/odezhda/detskaya-odezhda/tolstovka-spider-260-belaya-01168102/" , "01168102 Толстовка SPIDER 260 белая, размер L")</f>
      </c>
      <c r="C2364" s="4" t="n">
        <v>1843.00</v>
      </c>
      <c r="D2364" s="4"/>
    </row>
    <row collapsed="" customFormat="false" customHeight="1" hidden="" ht="14" outlineLevel="0" r="2365">
      <c r="A2365" s="3" t="inlineStr">
        <is>
          <t>2334</t>
        </is>
      </c>
      <c r="B2365" s="4" t="s">
        <f>=HYPERLINK("http://anyluxury.ru/shop/odezhda/detskaya-odezhda/tolstovka-spider-260-belaya-01168102/" , "01168102 Толстовка SPIDER 260 белая, размер XL")</f>
      </c>
      <c r="C2365" s="4" t="n">
        <v>1843.00</v>
      </c>
      <c r="D2365" s="4"/>
    </row>
    <row collapsed="" customFormat="false" customHeight="1" hidden="" ht="14" outlineLevel="0" r="2366">
      <c r="A2366" s="3" t="inlineStr">
        <is>
          <t>2335</t>
        </is>
      </c>
      <c r="B2366" s="4" t="s">
        <f>=HYPERLINK("http://anyluxury.ru/shop/odezhda/detskaya-odezhda/tolstovka-spider-260-belaya-01168102/" , "01168102 Толстовка SPIDER 260 белая, размер XXL")</f>
      </c>
      <c r="C2366" s="4" t="n">
        <v>1843.00</v>
      </c>
      <c r="D2366" s="4"/>
    </row>
    <row collapsed="" customFormat="false" customHeight="1" hidden="" ht="14" outlineLevel="0" r="2367">
      <c r="A2367" s="3" t="inlineStr">
        <is>
          <t>2336</t>
        </is>
      </c>
      <c r="B2367" s="4" t="s">
        <f>=HYPERLINK("http://anyluxury.ru/shop/odezhda/detskaya-odezhda/tolstovka-spider-260-belaya-01168102/" , "01168102 Толстовка SPIDER 260 белая, размер 3XL")</f>
      </c>
      <c r="C2367" s="4" t="n">
        <v>2166.00</v>
      </c>
      <c r="D2367" s="4"/>
    </row>
    <row collapsed="" customFormat="false" customHeight="1" hidden="" ht="14" outlineLevel="0" r="2368">
      <c r="A2368" s="3" t="inlineStr">
        <is>
          <t>2337</t>
        </is>
      </c>
      <c r="B2368" s="4" t="s">
        <f>=HYPERLINK("http://anyluxury.ru/shop/odezhda/detskaya-odezhda/tolstovka-supreme-280-svetliy-melanzh-01178300/" , "01178300 Толстовка SUPREME 280 светлый меланж, размер XS")</f>
      </c>
      <c r="C2368" s="4" t="n">
        <v>2331.00</v>
      </c>
      <c r="D2368" s="4"/>
    </row>
    <row collapsed="" customFormat="false" customHeight="1" hidden="" ht="14" outlineLevel="0" r="2369">
      <c r="A2369" s="3" t="inlineStr">
        <is>
          <t>2338</t>
        </is>
      </c>
      <c r="B2369" s="4" t="s">
        <f>=HYPERLINK("http://anyluxury.ru/shop/odezhda/detskaya-odezhda/tolstovka-supreme-280-svetliy-melanzh-01178300/" , "01178300 Толстовка SUPREME 280 светлый меланж, размер S")</f>
      </c>
      <c r="C2369" s="4" t="n">
        <v>2331.00</v>
      </c>
      <c r="D2369" s="4"/>
    </row>
    <row collapsed="" customFormat="false" customHeight="1" hidden="" ht="14" outlineLevel="0" r="2370">
      <c r="A2370" s="3" t="inlineStr">
        <is>
          <t>2339</t>
        </is>
      </c>
      <c r="B2370" s="4" t="s">
        <f>=HYPERLINK("http://anyluxury.ru/shop/odezhda/detskaya-odezhda/tolstovka-supreme-280-svetliy-melanzh-01178300/" , "01178300 Толстовка SUPREME 280 светлый меланж, размер M")</f>
      </c>
      <c r="C2370" s="4" t="n">
        <v>2331.00</v>
      </c>
      <c r="D2370" s="4"/>
    </row>
    <row collapsed="" customFormat="false" customHeight="1" hidden="" ht="14" outlineLevel="0" r="2371">
      <c r="A2371" s="3" t="inlineStr">
        <is>
          <t>2340</t>
        </is>
      </c>
      <c r="B2371" s="4" t="s">
        <f>=HYPERLINK("http://anyluxury.ru/shop/odezhda/detskaya-odezhda/tolstovka-supreme-280-svetliy-melanzh-01178300/" , "01178300 Толстовка SUPREME 280 светлый меланж, размер L")</f>
      </c>
      <c r="C2371" s="4" t="n">
        <v>2331.00</v>
      </c>
      <c r="D2371" s="4"/>
    </row>
    <row collapsed="" customFormat="false" customHeight="1" hidden="" ht="14" outlineLevel="0" r="2372">
      <c r="A2372" s="3" t="inlineStr">
        <is>
          <t>2341</t>
        </is>
      </c>
      <c r="B2372" s="4" t="s">
        <f>=HYPERLINK("http://anyluxury.ru/shop/odezhda/detskaya-odezhda/tolstovka-supreme-280-svetliy-melanzh-01178300/" , "01178300 Толстовка SUPREME 280 светлый меланж, размер XL")</f>
      </c>
      <c r="C2372" s="4" t="n">
        <v>2331.00</v>
      </c>
      <c r="D2372" s="4"/>
    </row>
    <row collapsed="" customFormat="false" customHeight="1" hidden="" ht="14" outlineLevel="0" r="2373">
      <c r="A2373" s="3" t="inlineStr">
        <is>
          <t>2342</t>
        </is>
      </c>
      <c r="B2373" s="4" t="s">
        <f>=HYPERLINK("http://anyluxury.ru/shop/odezhda/detskaya-odezhda/tolstovka-supreme-280-svetliy-melanzh-01178300/" , "01178300 Толстовка SUPREME 280 светлый меланж, размер XXL")</f>
      </c>
      <c r="C2373" s="4" t="n">
        <v>2331.00</v>
      </c>
      <c r="D2373" s="4"/>
    </row>
    <row collapsed="" customFormat="false" customHeight="1" hidden="" ht="14" outlineLevel="0" r="2374">
      <c r="A2374" s="3" t="inlineStr">
        <is>
          <t>2343</t>
        </is>
      </c>
      <c r="B2374" s="4" t="s">
        <f>=HYPERLINK("http://anyluxury.ru/shop/odezhda/detskaya-odezhda/tolstovka-supreme-280-svetliy-melanzh-01178300/" , "01178300 Толстовка SUPREME 280 светлый меланж, размер 3XL")</f>
      </c>
      <c r="C2374" s="4" t="n">
        <v>2711.00</v>
      </c>
      <c r="D2374" s="4"/>
    </row>
    <row collapsed="" customFormat="false" customHeight="1" hidden="" ht="14" outlineLevel="0" r="2375">
      <c r="A2375" s="3" t="inlineStr">
        <is>
          <t>2344</t>
        </is>
      </c>
      <c r="B2375" s="4" t="s">
        <f>=HYPERLINK("http://anyluxury.ru/shop/odezhda/detskaya-odezhda/tolstovka-supreme-280-krasnaya-01178145/" , "01178145 Толстовка SUPREME 280 красная, размер XS")</f>
      </c>
      <c r="C2375" s="4" t="n">
        <v>2331.00</v>
      </c>
      <c r="D2375" s="4"/>
    </row>
    <row collapsed="" customFormat="false" customHeight="1" hidden="" ht="14" outlineLevel="0" r="2376">
      <c r="A2376" s="3" t="inlineStr">
        <is>
          <t>2345</t>
        </is>
      </c>
      <c r="B2376" s="4" t="s">
        <f>=HYPERLINK("http://anyluxury.ru/shop/odezhda/detskaya-odezhda/tolstovka-supreme-280-krasnaya-01178145/" , "01178145 Толстовка SUPREME 280 красная, размер S")</f>
      </c>
      <c r="C2376" s="4" t="n">
        <v>2331.00</v>
      </c>
      <c r="D2376" s="4"/>
    </row>
    <row collapsed="" customFormat="false" customHeight="1" hidden="" ht="14" outlineLevel="0" r="2377">
      <c r="A2377" s="3" t="inlineStr">
        <is>
          <t>2346</t>
        </is>
      </c>
      <c r="B2377" s="4" t="s">
        <f>=HYPERLINK("http://anyluxury.ru/shop/odezhda/detskaya-odezhda/tolstovka-supreme-280-krasnaya-01178145/" , "01178145 Толстовка SUPREME 280 красная, размер M")</f>
      </c>
      <c r="C2377" s="4" t="n">
        <v>2331.00</v>
      </c>
      <c r="D2377" s="4"/>
    </row>
    <row collapsed="" customFormat="false" customHeight="1" hidden="" ht="14" outlineLevel="0" r="2378">
      <c r="A2378" s="3" t="inlineStr">
        <is>
          <t>2347</t>
        </is>
      </c>
      <c r="B2378" s="4" t="s">
        <f>=HYPERLINK("http://anyluxury.ru/shop/odezhda/detskaya-odezhda/tolstovka-supreme-280-krasnaya-01178145/" , "01178145 Толстовка SUPREME 280 красная, размер L")</f>
      </c>
      <c r="C2378" s="4" t="n">
        <v>2331.00</v>
      </c>
      <c r="D2378" s="4"/>
    </row>
    <row collapsed="" customFormat="false" customHeight="1" hidden="" ht="14" outlineLevel="0" r="2379">
      <c r="A2379" s="3" t="inlineStr">
        <is>
          <t>2348</t>
        </is>
      </c>
      <c r="B2379" s="4" t="s">
        <f>=HYPERLINK("http://anyluxury.ru/shop/odezhda/detskaya-odezhda/tolstovka-supreme-280-krasnaya-01178145/" , "01178145 Толстовка SUPREME 280 красная, размер XL")</f>
      </c>
      <c r="C2379" s="4" t="n">
        <v>2331.00</v>
      </c>
      <c r="D2379" s="4"/>
    </row>
    <row collapsed="" customFormat="false" customHeight="1" hidden="" ht="14" outlineLevel="0" r="2380">
      <c r="A2380" s="3" t="inlineStr">
        <is>
          <t>2349</t>
        </is>
      </c>
      <c r="B2380" s="4" t="s">
        <f>=HYPERLINK("http://anyluxury.ru/shop/odezhda/detskaya-odezhda/tolstovka-supreme-280-krasnaya-01178145/" , "01178145 Толстовка SUPREME 280 красная, размер XXL")</f>
      </c>
      <c r="C2380" s="4" t="n">
        <v>2331.00</v>
      </c>
      <c r="D2380" s="4"/>
    </row>
    <row collapsed="" customFormat="false" customHeight="1" hidden="" ht="14" outlineLevel="0" r="2381">
      <c r="A2381" s="3" t="inlineStr">
        <is>
          <t>2350</t>
        </is>
      </c>
      <c r="B2381" s="4" t="s">
        <f>=HYPERLINK("http://anyluxury.ru/shop/odezhda/detskaya-odezhda/tolstovka-supreme-280-krasnaya-01178145/" , "01178145 Толстовка SUPREME 280 красная, размер 3XL")</f>
      </c>
      <c r="C2381" s="4" t="n">
        <v>2711.00</v>
      </c>
      <c r="D2381" s="4"/>
    </row>
    <row collapsed="" customFormat="false" customHeight="1" hidden="" ht="14" outlineLevel="0" r="2382">
      <c r="A2382" s="3" t="inlineStr">
        <is>
          <t>2351</t>
        </is>
      </c>
      <c r="B2382" s="4" t="s">
        <f>=HYPERLINK("http://anyluxury.ru/shop/odezhda/detskaya-odezhda/kurtka-muzhskaya-nordic-temnosinyaya-55500318/" , "55500318 Куртка мужская NORDIC темно-синяя, размер S")</f>
      </c>
      <c r="C2382" s="4" t="n">
        <v>4294.00</v>
      </c>
      <c r="D2382" s="4"/>
    </row>
    <row collapsed="" customFormat="false" customHeight="1" hidden="" ht="14" outlineLevel="0" r="2383">
      <c r="A2383" s="3" t="inlineStr">
        <is>
          <t>2352</t>
        </is>
      </c>
      <c r="B2383" s="4" t="s">
        <f>=HYPERLINK("http://anyluxury.ru/shop/odezhda/detskaya-odezhda/kurtka-muzhskaya-nordic-temnosinyaya-55500318/" , "55500318 Куртка мужская NORDIC темно-синяя, размер M")</f>
      </c>
      <c r="C2383" s="4" t="n">
        <v>4294.00</v>
      </c>
      <c r="D2383" s="4"/>
    </row>
    <row collapsed="" customFormat="false" customHeight="1" hidden="" ht="14" outlineLevel="0" r="2384">
      <c r="A2384" s="3" t="inlineStr">
        <is>
          <t>2353</t>
        </is>
      </c>
      <c r="B2384" s="4" t="s">
        <f>=HYPERLINK("http://anyluxury.ru/shop/odezhda/detskaya-odezhda/kurtka-muzhskaya-nordic-temnosinyaya-55500318/" , "55500318 Куртка мужская NORDIC темно-синяя, размер L")</f>
      </c>
      <c r="C2384" s="4" t="n">
        <v>4294.00</v>
      </c>
      <c r="D2384" s="4"/>
    </row>
    <row collapsed="" customFormat="false" customHeight="1" hidden="" ht="14" outlineLevel="0" r="2385">
      <c r="A2385" s="3" t="inlineStr">
        <is>
          <t>2354</t>
        </is>
      </c>
      <c r="B2385" s="4" t="s">
        <f>=HYPERLINK("http://anyluxury.ru/shop/odezhda/detskaya-odezhda/kurtka-muzhskaya-nordic-temnosinyaya-55500318/" , "55500318 Куртка мужская NORDIC темно-синяя, размер XL")</f>
      </c>
      <c r="C2385" s="4" t="n">
        <v>4294.00</v>
      </c>
      <c r="D2385" s="4"/>
    </row>
    <row collapsed="" customFormat="false" customHeight="1" hidden="" ht="14" outlineLevel="0" r="2386">
      <c r="A2386" s="3" t="inlineStr">
        <is>
          <t>2355</t>
        </is>
      </c>
      <c r="B2386" s="4" t="s">
        <f>=HYPERLINK("http://anyluxury.ru/shop/odezhda/detskaya-odezhda/kurtka-muzhskaya-nordic-temnosinyaya-55500318/" , "55500318 Куртка мужская NORDIC темно-синяя, размер XXL")</f>
      </c>
      <c r="C2386" s="4" t="n">
        <v>4294.00</v>
      </c>
      <c r="D2386" s="4"/>
    </row>
    <row collapsed="" customFormat="false" customHeight="1" hidden="" ht="14" outlineLevel="0" r="2387">
      <c r="A2387" s="3" t="inlineStr">
        <is>
          <t>2356</t>
        </is>
      </c>
      <c r="B2387" s="4" t="s">
        <f>=HYPERLINK("http://anyluxury.ru/shop/odezhda/detskaya-odezhda/kurtka-muzhskaya-nordic-krasnaya-55500145/" , "55500145 Куртка мужская NORDIC красная, размер S")</f>
      </c>
      <c r="C2387" s="4" t="n">
        <v>4294.00</v>
      </c>
      <c r="D2387" s="4"/>
    </row>
    <row collapsed="" customFormat="false" customHeight="1" hidden="" ht="14" outlineLevel="0" r="2388">
      <c r="A2388" s="3" t="inlineStr">
        <is>
          <t>2357</t>
        </is>
      </c>
      <c r="B2388" s="4" t="s">
        <f>=HYPERLINK("http://anyluxury.ru/shop/odezhda/detskaya-odezhda/kurtka-muzhskaya-nordic-krasnaya-55500145/" , "55500145 Куртка мужская NORDIC красная, размер M")</f>
      </c>
      <c r="C2388" s="4" t="n">
        <v>4294.00</v>
      </c>
      <c r="D2388" s="4"/>
    </row>
    <row collapsed="" customFormat="false" customHeight="1" hidden="" ht="14" outlineLevel="0" r="2389">
      <c r="A2389" s="3" t="inlineStr">
        <is>
          <t>2358</t>
        </is>
      </c>
      <c r="B2389" s="4" t="s">
        <f>=HYPERLINK("http://anyluxury.ru/shop/odezhda/detskaya-odezhda/kurtka-muzhskaya-nordic-krasnaya-55500145/" , "55500145 Куртка мужская NORDIC красная, размер L")</f>
      </c>
      <c r="C2389" s="4" t="n">
        <v>4294.00</v>
      </c>
      <c r="D2389" s="4"/>
    </row>
    <row collapsed="" customFormat="false" customHeight="1" hidden="" ht="14" outlineLevel="0" r="2390">
      <c r="A2390" s="3" t="inlineStr">
        <is>
          <t>2359</t>
        </is>
      </c>
      <c r="B2390" s="4" t="s">
        <f>=HYPERLINK("http://anyluxury.ru/shop/odezhda/detskaya-odezhda/kurtka-muzhskaya-nordic-krasnaya-55500145/" , "55500145 Куртка мужская NORDIC красная, размер XL")</f>
      </c>
      <c r="C2390" s="4" t="n">
        <v>4294.00</v>
      </c>
      <c r="D2390" s="4"/>
    </row>
    <row collapsed="" customFormat="false" customHeight="1" hidden="" ht="14" outlineLevel="0" r="2391">
      <c r="A2391" s="3" t="inlineStr">
        <is>
          <t>2360</t>
        </is>
      </c>
      <c r="B2391" s="4" t="s">
        <f>=HYPERLINK("http://anyluxury.ru/shop/odezhda/detskaya-odezhda/kurtka-muzhskaya-nordic-krasnaya-55500145/" , "55500145 Куртка мужская NORDIC красная, размер XXL")</f>
      </c>
      <c r="C2391" s="4" t="n">
        <v>4294.00</v>
      </c>
      <c r="D2391" s="4"/>
    </row>
    <row collapsed="" customFormat="false" customHeight="1" hidden="" ht="14" outlineLevel="0" r="2392">
      <c r="A2392" s="3" t="inlineStr">
        <is>
          <t>2361</t>
        </is>
      </c>
      <c r="B2392" s="4" t="s">
        <f>=HYPERLINK("http://anyluxury.ru/shop/odezhda/detskaya-odezhda/futbolka-detskaya-imperial-kids-oranzhevaya-250520/" , "2505.20 Футболка детская IMPERIAL KIDS оранжевая, на рост 96-104 см (4 года)")</f>
      </c>
      <c r="C2392" s="4" t="n">
        <v>593.00</v>
      </c>
      <c r="D2392" s="4"/>
    </row>
    <row collapsed="" customFormat="false" customHeight="1" hidden="" ht="14" outlineLevel="0" r="2393">
      <c r="A2393" s="3" t="inlineStr">
        <is>
          <t>2362</t>
        </is>
      </c>
      <c r="B2393" s="4" t="s">
        <f>=HYPERLINK("http://anyluxury.ru/shop/odezhda/detskaya-odezhda/futbolka-detskaya-imperial-kids-oranzhevaya-250520/" , "2505.20 Футболка детская IMPERIAL KIDS оранжевая, на рост 106-116 см (6 лет)")</f>
      </c>
      <c r="C2393" s="4" t="n">
        <v>593.00</v>
      </c>
      <c r="D2393" s="4"/>
    </row>
    <row collapsed="" customFormat="false" customHeight="1" hidden="" ht="14" outlineLevel="0" r="2394">
      <c r="A2394" s="3" t="inlineStr">
        <is>
          <t>2363</t>
        </is>
      </c>
      <c r="B2394" s="4" t="s">
        <f>=HYPERLINK("http://anyluxury.ru/shop/odezhda/detskaya-odezhda/futbolka-detskaya-imperial-kids-oranzhevaya-250520/" , "2505.20 Футболка детская IMPERIAL KIDS оранжевая, на рост 118-128 см (8 лет)")</f>
      </c>
      <c r="C2394" s="4" t="n">
        <v>593.00</v>
      </c>
      <c r="D2394" s="4"/>
    </row>
    <row collapsed="" customFormat="false" customHeight="1" hidden="" ht="14" outlineLevel="0" r="2395">
      <c r="A2395" s="3" t="inlineStr">
        <is>
          <t>2364</t>
        </is>
      </c>
      <c r="B2395" s="4" t="s">
        <f>=HYPERLINK("http://anyluxury.ru/shop/odezhda/detskaya-odezhda/futbolka-detskaya-imperial-kids-oranzhevaya-250520/" , "2505.20 Футболка детская IMPERIAL KIDS оранжевая, на рост 130-140 см (10 лет)")</f>
      </c>
      <c r="C2395" s="4" t="n">
        <v>593.00</v>
      </c>
      <c r="D2395" s="4"/>
    </row>
    <row collapsed="" customFormat="false" customHeight="1" hidden="" ht="14" outlineLevel="0" r="2396">
      <c r="A2396" s="3" t="inlineStr">
        <is>
          <t>2365</t>
        </is>
      </c>
      <c r="B2396" s="4" t="s">
        <f>=HYPERLINK("http://anyluxury.ru/shop/odezhda/detskaya-odezhda/futbolka-detskaya-imperial-kids-oranzhevaya-250520/" , "2505.20 Футболка детская IMPERIAL KIDS оранжевая, на рост 142-152 см (12 лет)")</f>
      </c>
      <c r="C2396" s="4" t="n">
        <v>593.00</v>
      </c>
      <c r="D2396" s="4"/>
    </row>
    <row collapsed="" customFormat="false" customHeight="1" hidden="" ht="14" outlineLevel="0" r="2397">
      <c r="A2397" s="3" t="inlineStr">
        <is>
          <t>2366</t>
        </is>
      </c>
      <c r="B2397" s="4" t="s">
        <f>=HYPERLINK("http://anyluxury.ru/shop/odezhda/detskaya-odezhda/futbolka-detskaya-imperial-kids-chernaya-250530/" , "2505.30 Футболка детская IMPERIAL KIDS черная, на рост 96-104 см (4 года)")</f>
      </c>
      <c r="C2397" s="4" t="n">
        <v>593.00</v>
      </c>
      <c r="D2397" s="4"/>
    </row>
    <row collapsed="" customFormat="false" customHeight="1" hidden="" ht="14" outlineLevel="0" r="2398">
      <c r="A2398" s="3" t="inlineStr">
        <is>
          <t>2367</t>
        </is>
      </c>
      <c r="B2398" s="4" t="s">
        <f>=HYPERLINK("http://anyluxury.ru/shop/odezhda/detskaya-odezhda/futbolka-detskaya-imperial-kids-chernaya-250530/" , "2505.30 Футболка детская IMPERIAL KIDS черная, на рост 106-116 см (6 лет)")</f>
      </c>
      <c r="C2398" s="4" t="n">
        <v>593.00</v>
      </c>
      <c r="D2398" s="4"/>
    </row>
    <row collapsed="" customFormat="false" customHeight="1" hidden="" ht="14" outlineLevel="0" r="2399">
      <c r="A2399" s="3" t="inlineStr">
        <is>
          <t>2368</t>
        </is>
      </c>
      <c r="B2399" s="4" t="s">
        <f>=HYPERLINK("http://anyluxury.ru/shop/odezhda/detskaya-odezhda/futbolka-detskaya-imperial-kids-chernaya-250530/" , "2505.30 Футболка детская IMPERIAL KIDS черная, на рост 118-128 см (8 лет)")</f>
      </c>
      <c r="C2399" s="4" t="n">
        <v>593.00</v>
      </c>
      <c r="D2399" s="4"/>
    </row>
    <row collapsed="" customFormat="false" customHeight="1" hidden="" ht="14" outlineLevel="0" r="2400">
      <c r="A2400" s="3" t="inlineStr">
        <is>
          <t>2369</t>
        </is>
      </c>
      <c r="B2400" s="4" t="s">
        <f>=HYPERLINK("http://anyluxury.ru/shop/odezhda/detskaya-odezhda/futbolka-detskaya-imperial-kids-chernaya-250530/" , "2505.30 Футболка детская IMPERIAL KIDS черная, на рост 130-140 см (10 лет)")</f>
      </c>
      <c r="C2400" s="4" t="n">
        <v>593.00</v>
      </c>
      <c r="D2400" s="4"/>
    </row>
    <row collapsed="" customFormat="false" customHeight="1" hidden="" ht="14" outlineLevel="0" r="2401">
      <c r="A2401" s="3" t="inlineStr">
        <is>
          <t>2370</t>
        </is>
      </c>
      <c r="B2401" s="4" t="s">
        <f>=HYPERLINK("http://anyluxury.ru/shop/odezhda/detskaya-odezhda/futbolka-detskaya-imperial-kids-chernaya-250530/" , "2505.30 Футболка детская IMPERIAL KIDS черная, на рост 142-152 см (12 лет)")</f>
      </c>
      <c r="C2401" s="4" t="n">
        <v>593.00</v>
      </c>
      <c r="D2401" s="4"/>
    </row>
    <row collapsed="" customFormat="false" customHeight="1" hidden="" ht="14" outlineLevel="0" r="2402">
      <c r="A2402" s="3" t="inlineStr">
        <is>
          <t>2371</t>
        </is>
      </c>
      <c r="B2402" s="4" t="s">
        <f>=HYPERLINK("http://anyluxury.ru/shop/odezhda/detskaya-odezhda/futbolka-detskaya-imperial-kids-kobalt-temnosinyaya-250547/" , "2505.47 Футболка детская IMPERIAL KIDS темно-синяя, на рост 96-104 см (4 года)")</f>
      </c>
      <c r="C2402" s="4" t="n">
        <v>593.00</v>
      </c>
      <c r="D2402" s="4"/>
    </row>
    <row collapsed="" customFormat="false" customHeight="1" hidden="" ht="14" outlineLevel="0" r="2403">
      <c r="A2403" s="3" t="inlineStr">
        <is>
          <t>2372</t>
        </is>
      </c>
      <c r="B2403" s="4" t="s">
        <f>=HYPERLINK("http://anyluxury.ru/shop/odezhda/detskaya-odezhda/futbolka-detskaya-imperial-kids-kobalt-temnosinyaya-250547/" , "2505.47 Футболка детская IMPERIAL KIDS темно-синяя, на рост 106-116 см (6 лет)")</f>
      </c>
      <c r="C2403" s="4" t="n">
        <v>593.00</v>
      </c>
      <c r="D2403" s="4"/>
    </row>
    <row collapsed="" customFormat="false" customHeight="1" hidden="" ht="14" outlineLevel="0" r="2404">
      <c r="A2404" s="3" t="inlineStr">
        <is>
          <t>2373</t>
        </is>
      </c>
      <c r="B2404" s="4" t="s">
        <f>=HYPERLINK("http://anyluxury.ru/shop/odezhda/detskaya-odezhda/futbolka-detskaya-imperial-kids-kobalt-temnosinyaya-250547/" , "2505.47 Футболка детская IMPERIAL KIDS темно-синяя, на рост 118-128 см (8 лет)")</f>
      </c>
      <c r="C2404" s="4" t="n">
        <v>593.00</v>
      </c>
      <c r="D2404" s="4"/>
    </row>
    <row collapsed="" customFormat="false" customHeight="1" hidden="" ht="14" outlineLevel="0" r="2405">
      <c r="A2405" s="3" t="inlineStr">
        <is>
          <t>2374</t>
        </is>
      </c>
      <c r="B2405" s="4" t="s">
        <f>=HYPERLINK("http://anyluxury.ru/shop/odezhda/detskaya-odezhda/futbolka-detskaya-imperial-kids-kobalt-temnosinyaya-250547/" , "2505.47 Футболка детская IMPERIAL KIDS темно-синяя, на рост 130-140 см (10 лет)")</f>
      </c>
      <c r="C2405" s="4" t="n">
        <v>593.00</v>
      </c>
      <c r="D2405" s="4"/>
    </row>
    <row collapsed="" customFormat="false" customHeight="1" hidden="" ht="14" outlineLevel="0" r="2406">
      <c r="A2406" s="3" t="inlineStr">
        <is>
          <t>2375</t>
        </is>
      </c>
      <c r="B2406" s="4" t="s">
        <f>=HYPERLINK("http://anyluxury.ru/shop/odezhda/detskaya-odezhda/futbolka-detskaya-imperial-kids-kobalt-temnosinyaya-250547/" , "2505.47 Футболка детская IMPERIAL KIDS темно-синяя, на рост 142-152 см (12 лет)")</f>
      </c>
      <c r="C2406" s="4" t="n">
        <v>593.00</v>
      </c>
      <c r="D2406" s="4"/>
    </row>
    <row collapsed="" customFormat="false" customHeight="1" hidden="" ht="14" outlineLevel="0" r="2407">
      <c r="A2407" s="3" t="inlineStr">
        <is>
          <t>2376</t>
        </is>
      </c>
      <c r="B2407" s="4" t="s">
        <f>=HYPERLINK("http://anyluxury.ru/shop/odezhda/detskaya-odezhda/futbolka-detskaya-imperial-kids-rozovaya-250553/" , "2505.53 Футболка детская IMPERIAL KIDS розовая, на рост 96-104 см (4 года)")</f>
      </c>
      <c r="C2407" s="4" t="n">
        <v>593.00</v>
      </c>
      <c r="D2407" s="4"/>
    </row>
    <row collapsed="" customFormat="false" customHeight="1" hidden="" ht="14" outlineLevel="0" r="2408">
      <c r="A2408" s="3" t="inlineStr">
        <is>
          <t>2377</t>
        </is>
      </c>
      <c r="B2408" s="4" t="s">
        <f>=HYPERLINK("http://anyluxury.ru/shop/odezhda/detskaya-odezhda/futbolka-detskaya-imperial-kids-rozovaya-250553/" , "2505.53 Футболка детская IMPERIAL KIDS розовая, на рост 106-116 см (6 лет)")</f>
      </c>
      <c r="C2408" s="4" t="n">
        <v>593.00</v>
      </c>
      <c r="D2408" s="4"/>
    </row>
    <row collapsed="" customFormat="false" customHeight="1" hidden="" ht="14" outlineLevel="0" r="2409">
      <c r="A2409" s="3" t="inlineStr">
        <is>
          <t>2378</t>
        </is>
      </c>
      <c r="B2409" s="4" t="s">
        <f>=HYPERLINK("http://anyluxury.ru/shop/odezhda/detskaya-odezhda/futbolka-detskaya-imperial-kids-rozovaya-250553/" , "2505.53 Футболка детская IMPERIAL KIDS розовая, на рост 118-128 см (8 лет)")</f>
      </c>
      <c r="C2409" s="4" t="n">
        <v>593.00</v>
      </c>
      <c r="D2409" s="4"/>
    </row>
    <row collapsed="" customFormat="false" customHeight="1" hidden="" ht="14" outlineLevel="0" r="2410">
      <c r="A2410" s="3" t="inlineStr">
        <is>
          <t>2379</t>
        </is>
      </c>
      <c r="B2410" s="4" t="s">
        <f>=HYPERLINK("http://anyluxury.ru/shop/odezhda/detskaya-odezhda/futbolka-detskaya-imperial-kids-rozovaya-250553/" , "2505.53 Футболка детская IMPERIAL KIDS розовая, на рост 130-140 см (10 лет)")</f>
      </c>
      <c r="C2410" s="4" t="n">
        <v>593.00</v>
      </c>
      <c r="D2410" s="4"/>
    </row>
    <row collapsed="" customFormat="false" customHeight="1" hidden="" ht="14" outlineLevel="0" r="2411">
      <c r="A2411" s="3" t="inlineStr">
        <is>
          <t>2380</t>
        </is>
      </c>
      <c r="B2411" s="4" t="s">
        <f>=HYPERLINK("http://anyluxury.ru/shop/odezhda/detskaya-odezhda/futbolka-detskaya-imperial-kids-rozovaya-250553/" , "2505.53 Футболка детская IMPERIAL KIDS розовая, на рост 142-152 см (12 лет)")</f>
      </c>
      <c r="C2411" s="4" t="n">
        <v>593.00</v>
      </c>
      <c r="D2411" s="4"/>
    </row>
    <row collapsed="" customFormat="false" customHeight="1" hidden="" ht="14" outlineLevel="0" r="2412">
      <c r="A2412" s="3" t="inlineStr">
        <is>
          <t>2381</t>
        </is>
      </c>
      <c r="B2412" s="4" t="s">
        <f>=HYPERLINK("http://anyluxury.ru/shop/odezhda/detskaya-odezhda/futbolka-detskaya-imperial-kids-shokoladnokorichnevaya-250559/" , "2505.59 Футболка детская IMPERIAL KIDS шоколадно-коричневая, на рост 96-104 см (4 года)")</f>
      </c>
      <c r="C2412" s="4" t="n">
        <v>593.00</v>
      </c>
      <c r="D2412" s="4"/>
    </row>
    <row collapsed="" customFormat="false" customHeight="1" hidden="" ht="14" outlineLevel="0" r="2413">
      <c r="A2413" s="3" t="inlineStr">
        <is>
          <t>2382</t>
        </is>
      </c>
      <c r="B2413" s="4" t="s">
        <f>=HYPERLINK("http://anyluxury.ru/shop/odezhda/detskaya-odezhda/futbolka-detskaya-imperial-kids-shokoladnokorichnevaya-250559/" , "2505.59 Футболка детская IMPERIAL KIDS шоколадно-коричневая, на рост 106-116 см (6 лет)")</f>
      </c>
      <c r="C2413" s="4" t="n">
        <v>593.00</v>
      </c>
      <c r="D2413" s="4"/>
    </row>
    <row collapsed="" customFormat="false" customHeight="1" hidden="" ht="14" outlineLevel="0" r="2414">
      <c r="A2414" s="3" t="inlineStr">
        <is>
          <t>2383</t>
        </is>
      </c>
      <c r="B2414" s="4" t="s">
        <f>=HYPERLINK("http://anyluxury.ru/shop/odezhda/detskaya-odezhda/futbolka-detskaya-imperial-kids-shokoladnokorichnevaya-250559/" , "2505.59 Футболка детская IMPERIAL KIDS шоколадно-коричневая, на рост 118-128 см (8 лет)")</f>
      </c>
      <c r="C2414" s="4" t="n">
        <v>593.00</v>
      </c>
      <c r="D2414" s="4"/>
    </row>
    <row collapsed="" customFormat="false" customHeight="1" hidden="" ht="14" outlineLevel="0" r="2415">
      <c r="A2415" s="3" t="inlineStr">
        <is>
          <t>2384</t>
        </is>
      </c>
      <c r="B2415" s="4" t="s">
        <f>=HYPERLINK("http://anyluxury.ru/shop/odezhda/detskaya-odezhda/futbolka-detskaya-imperial-kids-shokoladnokorichnevaya-250559/" , "2505.59 Футболка детская IMPERIAL KIDS шоколадно-коричневая, на рост 130-140 см (10 лет)")</f>
      </c>
      <c r="C2415" s="4" t="n">
        <v>593.00</v>
      </c>
      <c r="D2415" s="4"/>
    </row>
    <row collapsed="" customFormat="false" customHeight="1" hidden="" ht="14" outlineLevel="0" r="2416">
      <c r="A2416" s="3" t="inlineStr">
        <is>
          <t>2385</t>
        </is>
      </c>
      <c r="B2416" s="4" t="s">
        <f>=HYPERLINK("http://anyluxury.ru/shop/odezhda/detskaya-odezhda/futbolka-detskaya-imperial-kids-shokoladnokorichnevaya-250559/" , "2505.59 Футболка детская IMPERIAL KIDS шоколадно-коричневая, на рост 142-152 см (12 лет)")</f>
      </c>
      <c r="C2416" s="4" t="n">
        <v>593.00</v>
      </c>
      <c r="D2416" s="4"/>
    </row>
    <row collapsed="" customFormat="false" customHeight="1" hidden="" ht="14" outlineLevel="0" r="2417">
      <c r="A2417" s="3" t="inlineStr">
        <is>
          <t>2386</t>
        </is>
      </c>
      <c r="B2417" s="4" t="s">
        <f>=HYPERLINK("http://anyluxury.ru/shop/odezhda/detskaya-odezhda/futbolka-detskaya-imperial-kids-temnofioletovaya-250578/" , "2505.78 Футболка детская IMPERIAL KIDS темно-фиолетовая, на рост 96-104 см (4 года)")</f>
      </c>
      <c r="C2417" s="4" t="n">
        <v>593.00</v>
      </c>
      <c r="D2417" s="4"/>
    </row>
    <row collapsed="" customFormat="false" customHeight="1" hidden="" ht="14" outlineLevel="0" r="2418">
      <c r="A2418" s="3" t="inlineStr">
        <is>
          <t>2387</t>
        </is>
      </c>
      <c r="B2418" s="4" t="s">
        <f>=HYPERLINK("http://anyluxury.ru/shop/odezhda/detskaya-odezhda/futbolka-detskaya-imperial-kids-temnofioletovaya-250578/" , "2505.78 Футболка детская IMPERIAL KIDS темно-фиолетовая, на рост 106-116 см (6 лет)")</f>
      </c>
      <c r="C2418" s="4" t="n">
        <v>593.00</v>
      </c>
      <c r="D2418" s="4"/>
    </row>
    <row collapsed="" customFormat="false" customHeight="1" hidden="" ht="14" outlineLevel="0" r="2419">
      <c r="A2419" s="3" t="inlineStr">
        <is>
          <t>2388</t>
        </is>
      </c>
      <c r="B2419" s="4" t="s">
        <f>=HYPERLINK("http://anyluxury.ru/shop/odezhda/detskaya-odezhda/futbolka-detskaya-imperial-kids-temnofioletovaya-250578/" , "2505.78 Футболка детская IMPERIAL KIDS темно-фиолетовая, на рост 118-128 см (8 лет)")</f>
      </c>
      <c r="C2419" s="4" t="n">
        <v>593.00</v>
      </c>
      <c r="D2419" s="4"/>
    </row>
    <row collapsed="" customFormat="false" customHeight="1" hidden="" ht="14" outlineLevel="0" r="2420">
      <c r="A2420" s="3" t="inlineStr">
        <is>
          <t>2389</t>
        </is>
      </c>
      <c r="B2420" s="4" t="s">
        <f>=HYPERLINK("http://anyluxury.ru/shop/odezhda/detskaya-odezhda/futbolka-detskaya-imperial-kids-temnofioletovaya-250578/" , "2505.78 Футболка детская IMPERIAL KIDS темно-фиолетовая, на рост 130-140 см (10 лет)")</f>
      </c>
      <c r="C2420" s="4" t="n">
        <v>593.00</v>
      </c>
      <c r="D2420" s="4"/>
    </row>
    <row collapsed="" customFormat="false" customHeight="1" hidden="" ht="14" outlineLevel="0" r="2421">
      <c r="A2421" s="3" t="inlineStr">
        <is>
          <t>2390</t>
        </is>
      </c>
      <c r="B2421" s="4" t="s">
        <f>=HYPERLINK("http://anyluxury.ru/shop/odezhda/detskaya-odezhda/futbolka-detskaya-imperial-kids-temnofioletovaya-250578/" , "2505.78 Футболка детская IMPERIAL KIDS темно-фиолетовая, на рост 142-152 см (12 лет)")</f>
      </c>
      <c r="C2421" s="4" t="n">
        <v>593.00</v>
      </c>
      <c r="D2421" s="4"/>
    </row>
    <row collapsed="" customFormat="false" customHeight="1" hidden="" ht="14" outlineLevel="0" r="2422">
      <c r="A2422" s="3" t="inlineStr">
        <is>
          <t>2391</t>
        </is>
      </c>
      <c r="B2422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S")</f>
      </c>
      <c r="C2422" s="4" t="n">
        <v>930.00</v>
      </c>
      <c r="D2422" s="4"/>
    </row>
    <row collapsed="" customFormat="false" customHeight="1" hidden="" ht="14" outlineLevel="0" r="2423">
      <c r="A2423" s="3" t="inlineStr">
        <is>
          <t>2392</t>
        </is>
      </c>
      <c r="B2423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M")</f>
      </c>
      <c r="C2423" s="4" t="n">
        <v>930.00</v>
      </c>
      <c r="D2423" s="4"/>
    </row>
    <row collapsed="" customFormat="false" customHeight="1" hidden="" ht="14" outlineLevel="0" r="2424">
      <c r="A2424" s="3" t="inlineStr">
        <is>
          <t>2393</t>
        </is>
      </c>
      <c r="B2424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L")</f>
      </c>
      <c r="C2424" s="4" t="n">
        <v>930.00</v>
      </c>
      <c r="D2424" s="4"/>
    </row>
    <row collapsed="" customFormat="false" customHeight="1" hidden="" ht="14" outlineLevel="0" r="2425">
      <c r="A2425" s="3" t="inlineStr">
        <is>
          <t>2394</t>
        </is>
      </c>
      <c r="B2425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XL")</f>
      </c>
      <c r="C2425" s="4" t="n">
        <v>930.00</v>
      </c>
      <c r="D2425" s="4"/>
    </row>
    <row collapsed="" customFormat="false" customHeight="1" hidden="" ht="14" outlineLevel="0" r="2426">
      <c r="A2426" s="3" t="inlineStr">
        <is>
          <t>2395</t>
        </is>
      </c>
      <c r="B2426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S")</f>
      </c>
      <c r="C2426" s="4" t="n">
        <v>930.00</v>
      </c>
      <c r="D2426" s="4"/>
    </row>
    <row collapsed="" customFormat="false" customHeight="1" hidden="" ht="14" outlineLevel="0" r="2427">
      <c r="A2427" s="3" t="inlineStr">
        <is>
          <t>2396</t>
        </is>
      </c>
      <c r="B2427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M")</f>
      </c>
      <c r="C2427" s="4" t="n">
        <v>930.00</v>
      </c>
      <c r="D2427" s="4"/>
    </row>
    <row collapsed="" customFormat="false" customHeight="1" hidden="" ht="14" outlineLevel="0" r="2428">
      <c r="A2428" s="3" t="inlineStr">
        <is>
          <t>2397</t>
        </is>
      </c>
      <c r="B2428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L")</f>
      </c>
      <c r="C2428" s="4" t="n">
        <v>930.00</v>
      </c>
      <c r="D2428" s="4"/>
    </row>
    <row collapsed="" customFormat="false" customHeight="1" hidden="" ht="14" outlineLevel="0" r="2429">
      <c r="A2429" s="3" t="inlineStr">
        <is>
          <t>2398</t>
        </is>
      </c>
      <c r="B2429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XL")</f>
      </c>
      <c r="C2429" s="4" t="n">
        <v>930.00</v>
      </c>
      <c r="D2429" s="4"/>
    </row>
    <row collapsed="" customFormat="false" customHeight="1" hidden="" ht="14" outlineLevel="0" r="2430">
      <c r="A2430" s="3" t="inlineStr">
        <is>
          <t>2399</t>
        </is>
      </c>
      <c r="B2430" s="4" t="s">
        <f>=HYPERLINK("http://anyluxury.ru/shop/odezhda/detskaya-odezhda/futbolka-zhenskaya-s-dlinnim-rukavom-majestic-150-haki-437799/" , "4377.99 Футболка женская с длинным рукавом MAJESTIC 150 хаки, размер S")</f>
      </c>
      <c r="C2430" s="4" t="n">
        <v>877.00</v>
      </c>
      <c r="D2430" s="4"/>
    </row>
    <row collapsed="" customFormat="false" customHeight="1" hidden="" ht="14" outlineLevel="0" r="2431">
      <c r="A2431" s="3" t="inlineStr">
        <is>
          <t>2400</t>
        </is>
      </c>
      <c r="B2431" s="4" t="s">
        <f>=HYPERLINK("http://anyluxury.ru/shop/odezhda/detskaya-odezhda/futbolka-zhenskaya-s-dlinnim-rukavom-majestic-150-haki-437799/" , "4377.99 Футболка женская с длинным рукавом MAJESTIC 150 хаки, размер M")</f>
      </c>
      <c r="C2431" s="4" t="n">
        <v>877.00</v>
      </c>
      <c r="D2431" s="4"/>
    </row>
    <row collapsed="" customFormat="false" customHeight="1" hidden="" ht="14" outlineLevel="0" r="2432">
      <c r="A2432" s="3" t="inlineStr">
        <is>
          <t>2401</t>
        </is>
      </c>
      <c r="B2432" s="4" t="s">
        <f>=HYPERLINK("http://anyluxury.ru/shop/odezhda/detskaya-odezhda/futbolka-zhenskaya-s-dlinnim-rukavom-majestic-150-haki-437799/" , "4377.99 Футболка женская с длинным рукавом MAJESTIC 150 хаки, размер L")</f>
      </c>
      <c r="C2432" s="4" t="n">
        <v>877.00</v>
      </c>
      <c r="D2432" s="4"/>
    </row>
    <row collapsed="" customFormat="false" customHeight="1" hidden="" ht="14" outlineLevel="0" r="2433">
      <c r="A2433" s="3" t="inlineStr">
        <is>
          <t>2402</t>
        </is>
      </c>
      <c r="B2433" s="4" t="s">
        <f>=HYPERLINK("http://anyluxury.ru/shop/odezhda/detskaya-odezhda/futbolka-zhenskaya-s-dlinnim-rukavom-majestic-150-haki-437799/" , "4377.99 Футболка женская с длинным рукавом MAJESTIC 150 хаки, размер XL")</f>
      </c>
      <c r="C2433" s="4" t="n">
        <v>877.00</v>
      </c>
      <c r="D2433" s="4"/>
    </row>
    <row collapsed="" customFormat="false" customHeight="1" hidden="" ht="14" outlineLevel="0" r="2434">
      <c r="A2434" s="3" t="inlineStr">
        <is>
          <t>2403</t>
        </is>
      </c>
      <c r="B2434" s="4" t="s">
        <f>=HYPERLINK("http://anyluxury.ru/shop/odezhda/detskaya-odezhda/futbolka-s-dlinnim-rukavom-monarch-150-haki-137799/" , "1377.99 Футболка мужская с длинным рукавом MONARCH 150 хаки, размер S")</f>
      </c>
      <c r="C2434" s="4" t="n">
        <v>970.00</v>
      </c>
      <c r="D2434" s="4"/>
    </row>
    <row collapsed="" customFormat="false" customHeight="1" hidden="" ht="14" outlineLevel="0" r="2435">
      <c r="A2435" s="3" t="inlineStr">
        <is>
          <t>2404</t>
        </is>
      </c>
      <c r="B2435" s="4" t="s">
        <f>=HYPERLINK("http://anyluxury.ru/shop/odezhda/detskaya-odezhda/futbolka-s-dlinnim-rukavom-monarch-150-haki-137799/" , "1377.99 Футболка мужская с длинным рукавом MONARCH 150 хаки, размер M")</f>
      </c>
      <c r="C2435" s="4" t="n">
        <v>970.00</v>
      </c>
      <c r="D2435" s="4"/>
    </row>
    <row collapsed="" customFormat="false" customHeight="1" hidden="" ht="14" outlineLevel="0" r="2436">
      <c r="A2436" s="3" t="inlineStr">
        <is>
          <t>2405</t>
        </is>
      </c>
      <c r="B2436" s="4" t="s">
        <f>=HYPERLINK("http://anyluxury.ru/shop/odezhda/detskaya-odezhda/futbolka-s-dlinnim-rukavom-monarch-150-haki-137799/" , "1377.99 Футболка мужская с длинным рукавом MONARCH 150 хаки, размер L")</f>
      </c>
      <c r="C2436" s="4" t="n">
        <v>970.00</v>
      </c>
      <c r="D2436" s="4"/>
    </row>
    <row collapsed="" customFormat="false" customHeight="1" hidden="" ht="14" outlineLevel="0" r="2437">
      <c r="A2437" s="3" t="inlineStr">
        <is>
          <t>2406</t>
        </is>
      </c>
      <c r="B2437" s="4" t="s">
        <f>=HYPERLINK("http://anyluxury.ru/shop/odezhda/detskaya-odezhda/futbolka-s-dlinnim-rukavom-monarch-150-haki-137799/" , "1377.99 Футболка мужская с длинным рукавом MONARCH 150 хаки, размер XL")</f>
      </c>
      <c r="C2437" s="4" t="n">
        <v>970.00</v>
      </c>
      <c r="D2437" s="4"/>
    </row>
    <row collapsed="" customFormat="false" customHeight="1" hidden="" ht="14" outlineLevel="0" r="2438">
      <c r="A2438" s="3" t="inlineStr">
        <is>
          <t>2407</t>
        </is>
      </c>
      <c r="B2438" s="4" t="s">
        <f>=HYPERLINK("http://anyluxury.ru/shop/odezhda/detskaya-odezhda/futbolka-s-dlinnim-rukavom-monarch-150-haki-137799/" , "1377.99 Футболка мужская с длинным рукавом MONARCH 150 хаки, размер XXL")</f>
      </c>
      <c r="C2438" s="4" t="n">
        <v>970.00</v>
      </c>
      <c r="D2438" s="4"/>
    </row>
    <row collapsed="" customFormat="false" customHeight="1" hidden="" ht="14" outlineLevel="0" r="2439">
      <c r="A2439" s="3" t="inlineStr">
        <is>
          <t>2408</t>
        </is>
      </c>
      <c r="B2439" s="4" t="s">
        <f>=HYPERLINK("http://anyluxury.ru/shop/odezhda/detskaya-odezhda/futbolka-s-dlinnim-rukavom-monarch-150-haki-137799/" , "1377.99 Футболка мужская с длинным рукавом MONARCH 150 хаки, размер 3XL")</f>
      </c>
      <c r="C2439" s="4" t="n">
        <v>1179.00</v>
      </c>
      <c r="D2439" s="4"/>
    </row>
    <row collapsed="" customFormat="false" customHeight="1" hidden="" ht="14" outlineLevel="0" r="2440">
      <c r="A2440" s="3" t="inlineStr">
        <is>
          <t>2409</t>
        </is>
      </c>
      <c r="B2440" s="4" t="s">
        <f>=HYPERLINK("http://anyluxury.ru/shop/odezhda/detskaya-odezhda/tolstovka-iz-flisa-ness-300-seraya-antracit-155510/" , "1555.10 Толстовка из флиса NESS 300, серая (антрацит), размер S")</f>
      </c>
      <c r="C2440" s="4" t="n">
        <v>2840.00</v>
      </c>
      <c r="D2440" s="4"/>
    </row>
    <row collapsed="" customFormat="false" customHeight="1" hidden="" ht="14" outlineLevel="0" r="2441">
      <c r="A2441" s="3" t="inlineStr">
        <is>
          <t>2410</t>
        </is>
      </c>
      <c r="B2441" s="4" t="s">
        <f>=HYPERLINK("http://anyluxury.ru/shop/odezhda/detskaya-odezhda/tolstovka-iz-flisa-ness-300-seraya-antracit-155510/" , "1555.10 Толстовка из флиса NESS 300, серая (антрацит), размер M")</f>
      </c>
      <c r="C2441" s="4" t="n">
        <v>2840.00</v>
      </c>
      <c r="D2441" s="4"/>
    </row>
    <row collapsed="" customFormat="false" customHeight="1" hidden="" ht="14" outlineLevel="0" r="2442">
      <c r="A2442" s="3" t="inlineStr">
        <is>
          <t>2411</t>
        </is>
      </c>
      <c r="B2442" s="4" t="s">
        <f>=HYPERLINK("http://anyluxury.ru/shop/odezhda/detskaya-odezhda/tolstovka-iz-flisa-ness-300-seraya-antracit-155510/" , "1555.10 Толстовка из флиса NESS 300, серая (антрацит), размер L")</f>
      </c>
      <c r="C2442" s="4" t="n">
        <v>2840.00</v>
      </c>
      <c r="D2442" s="4"/>
    </row>
    <row collapsed="" customFormat="false" customHeight="1" hidden="" ht="14" outlineLevel="0" r="2443">
      <c r="A2443" s="3" t="inlineStr">
        <is>
          <t>2412</t>
        </is>
      </c>
      <c r="B2443" s="4" t="s">
        <f>=HYPERLINK("http://anyluxury.ru/shop/odezhda/detskaya-odezhda/tolstovka-iz-flisa-ness-300-seraya-antracit-155510/" , "1555.10 Толстовка из флиса NESS 300, серая (антрацит), размер XL")</f>
      </c>
      <c r="C2443" s="4" t="n">
        <v>2840.00</v>
      </c>
      <c r="D2443" s="4"/>
    </row>
    <row collapsed="" customFormat="false" customHeight="1" hidden="" ht="14" outlineLevel="0" r="2444">
      <c r="A2444" s="3" t="inlineStr">
        <is>
          <t>2413</t>
        </is>
      </c>
      <c r="B2444" s="4" t="s">
        <f>=HYPERLINK("http://anyluxury.ru/shop/odezhda/detskaya-odezhda/tolstovka-iz-flisa-ness-300-seraya-antracit-155510/" , "1555.10 Толстовка из флиса NESS 300, серая (антрацит), размер XXL")</f>
      </c>
      <c r="C2444" s="4" t="n">
        <v>2840.00</v>
      </c>
      <c r="D2444" s="4"/>
    </row>
    <row collapsed="" customFormat="false" customHeight="1" hidden="" ht="14" outlineLevel="0" r="2445">
      <c r="A2445" s="3" t="inlineStr">
        <is>
          <t>2414</t>
        </is>
      </c>
      <c r="B2445" s="4" t="s">
        <f>=HYPERLINK("http://anyluxury.ru/shop/odezhda/detskaya-odezhda/tolstovka-iz-flisa-ness-300-seraya-antracit-155510/" , "1555.10 Толстовка из флиса NESS 300, серая (антрацит), размер 3XL")</f>
      </c>
      <c r="C2445" s="4" t="n">
        <v>3324.00</v>
      </c>
      <c r="D2445" s="4"/>
    </row>
    <row collapsed="" customFormat="false" customHeight="1" hidden="" ht="14" outlineLevel="0" r="2446">
      <c r="A2446" s="3" t="inlineStr">
        <is>
          <t>2415</t>
        </is>
      </c>
      <c r="B2446" s="4" t="s">
        <f>=HYPERLINK("http://anyluxury.ru/shop/odezhda/detskaya-odezhda/tolstovka-iz-flisa-ness-300-chernaya-155530/" , "1555.30 Толстовка из флиса NESS 300, черная, размер S")</f>
      </c>
      <c r="C2446" s="4" t="n">
        <v>2840.00</v>
      </c>
      <c r="D2446" s="4"/>
    </row>
    <row collapsed="" customFormat="false" customHeight="1" hidden="" ht="14" outlineLevel="0" r="2447">
      <c r="A2447" s="3" t="inlineStr">
        <is>
          <t>2416</t>
        </is>
      </c>
      <c r="B2447" s="4" t="s">
        <f>=HYPERLINK("http://anyluxury.ru/shop/odezhda/detskaya-odezhda/tolstovka-iz-flisa-ness-300-chernaya-155530/" , "1555.30 Толстовка из флиса NESS 300, черная, размер M")</f>
      </c>
      <c r="C2447" s="4" t="n">
        <v>2840.00</v>
      </c>
      <c r="D2447" s="4"/>
    </row>
    <row collapsed="" customFormat="false" customHeight="1" hidden="" ht="14" outlineLevel="0" r="2448">
      <c r="A2448" s="3" t="inlineStr">
        <is>
          <t>2417</t>
        </is>
      </c>
      <c r="B2448" s="4" t="s">
        <f>=HYPERLINK("http://anyluxury.ru/shop/odezhda/detskaya-odezhda/tolstovka-iz-flisa-ness-300-chernaya-155530/" , "1555.30 Толстовка из флиса NESS 300, черная, размер L")</f>
      </c>
      <c r="C2448" s="4" t="n">
        <v>2840.00</v>
      </c>
      <c r="D2448" s="4"/>
    </row>
    <row collapsed="" customFormat="false" customHeight="1" hidden="" ht="14" outlineLevel="0" r="2449">
      <c r="A2449" s="3" t="inlineStr">
        <is>
          <t>2418</t>
        </is>
      </c>
      <c r="B2449" s="4" t="s">
        <f>=HYPERLINK("http://anyluxury.ru/shop/odezhda/detskaya-odezhda/tolstovka-iz-flisa-ness-300-chernaya-155530/" , "1555.30 Толстовка из флиса NESS 300, черная, размер XL")</f>
      </c>
      <c r="C2449" s="4" t="n">
        <v>2840.00</v>
      </c>
      <c r="D2449" s="4"/>
    </row>
    <row collapsed="" customFormat="false" customHeight="1" hidden="" ht="14" outlineLevel="0" r="2450">
      <c r="A2450" s="3" t="inlineStr">
        <is>
          <t>2419</t>
        </is>
      </c>
      <c r="B2450" s="4" t="s">
        <f>=HYPERLINK("http://anyluxury.ru/shop/odezhda/detskaya-odezhda/tolstovka-iz-flisa-ness-300-chernaya-155530/" , "1555.30 Толстовка из флиса NESS 300, черная, размер XXL")</f>
      </c>
      <c r="C2450" s="4" t="n">
        <v>2840.00</v>
      </c>
      <c r="D2450" s="4"/>
    </row>
    <row collapsed="" customFormat="false" customHeight="1" hidden="" ht="14" outlineLevel="0" r="2451">
      <c r="A2451" s="3" t="inlineStr">
        <is>
          <t>2420</t>
        </is>
      </c>
      <c r="B2451" s="4" t="s">
        <f>=HYPERLINK("http://anyluxury.ru/shop/odezhda/detskaya-odezhda/tolstovka-iz-flisa-ness-300-chernaya-155530/" , "1555.30 Толстовка из флиса NESS 300, черная, размер 3XL")</f>
      </c>
      <c r="C2451" s="4" t="n">
        <v>3324.00</v>
      </c>
      <c r="D2451" s="4"/>
    </row>
    <row collapsed="" customFormat="false" customHeight="1" hidden="" ht="14" outlineLevel="0" r="2452">
      <c r="A2452" s="3" t="inlineStr">
        <is>
          <t>2421</t>
        </is>
      </c>
      <c r="B2452" s="4" t="s">
        <f>=HYPERLINK("http://anyluxury.ru/shop/odezhda/detskaya-odezhda/tolstovka-iz-flisa-ness-300-chernaya-155530/" , "1555.30 Толстовка из флиса NESS 300, черная, размер 4XL")</f>
      </c>
      <c r="C2452" s="4" t="n">
        <v>3894.00</v>
      </c>
      <c r="D2452" s="4"/>
    </row>
    <row collapsed="" customFormat="false" customHeight="1" hidden="" ht="14" outlineLevel="0" r="2453">
      <c r="A2453" s="3" t="inlineStr">
        <is>
          <t>2422</t>
        </is>
      </c>
      <c r="B2453" s="4" t="s">
        <f>=HYPERLINK("http://anyluxury.ru/shop/odezhda/detskaya-odezhda/tolstovka-iz-flisa-ness-300-chernaya-155530/" , "1555.30 Толстовка из флиса NESS 300, черная, размер 5XL")</f>
      </c>
      <c r="C2453" s="4" t="n">
        <v>3894.00</v>
      </c>
      <c r="D2453" s="4"/>
    </row>
    <row collapsed="" customFormat="false" customHeight="1" hidden="" ht="14" outlineLevel="0" r="2454">
      <c r="A2454" s="3" t="inlineStr">
        <is>
          <t>2423</t>
        </is>
      </c>
      <c r="B2454" s="4" t="s">
        <f>=HYPERLINK("http://anyluxury.ru/shop/odezhda/detskaya-odezhda/tolstovka-new-supreme-280-ugolnoseraya-184010/" , "1840.10 Толстовка NEW SUPREME 280 угольно-серая, размер XS")</f>
      </c>
      <c r="C2454" s="4" t="n">
        <v>2292.00</v>
      </c>
      <c r="D2454" s="4"/>
    </row>
    <row collapsed="" customFormat="false" customHeight="1" hidden="" ht="14" outlineLevel="0" r="2455">
      <c r="A2455" s="3" t="inlineStr">
        <is>
          <t>2424</t>
        </is>
      </c>
      <c r="B2455" s="4" t="s">
        <f>=HYPERLINK("http://anyluxury.ru/shop/odezhda/detskaya-odezhda/tolstovka-new-supreme-280-ugolnoseraya-184010/" , "1840.10 Толстовка NEW SUPREME 280 угольно-серая, размер S")</f>
      </c>
      <c r="C2455" s="4" t="n">
        <v>2292.00</v>
      </c>
      <c r="D2455" s="4"/>
    </row>
    <row collapsed="" customFormat="false" customHeight="1" hidden="" ht="14" outlineLevel="0" r="2456">
      <c r="A2456" s="3" t="inlineStr">
        <is>
          <t>2425</t>
        </is>
      </c>
      <c r="B2456" s="4" t="s">
        <f>=HYPERLINK("http://anyluxury.ru/shop/odezhda/detskaya-odezhda/tolstovka-new-supreme-280-ugolnoseraya-184010/" , "1840.10 Толстовка NEW SUPREME 280 угольно-серая, размер M")</f>
      </c>
      <c r="C2456" s="4" t="n">
        <v>2292.00</v>
      </c>
      <c r="D2456" s="4"/>
    </row>
    <row collapsed="" customFormat="false" customHeight="1" hidden="" ht="14" outlineLevel="0" r="2457">
      <c r="A2457" s="3" t="inlineStr">
        <is>
          <t>2426</t>
        </is>
      </c>
      <c r="B2457" s="4" t="s">
        <f>=HYPERLINK("http://anyluxury.ru/shop/odezhda/detskaya-odezhda/tolstovka-new-supreme-280-ugolnoseraya-184010/" , "1840.10 Толстовка NEW SUPREME 280 угольно-серая, размер L")</f>
      </c>
      <c r="C2457" s="4" t="n">
        <v>2292.00</v>
      </c>
      <c r="D2457" s="4"/>
    </row>
    <row collapsed="" customFormat="false" customHeight="1" hidden="" ht="14" outlineLevel="0" r="2458">
      <c r="A2458" s="3" t="inlineStr">
        <is>
          <t>2427</t>
        </is>
      </c>
      <c r="B2458" s="4" t="s">
        <f>=HYPERLINK("http://anyluxury.ru/shop/odezhda/detskaya-odezhda/tolstovka-new-supreme-280-ugolnoseraya-184010/" , "1840.10 Толстовка NEW SUPREME 280 угольно-серая, размер XL")</f>
      </c>
      <c r="C2458" s="4" t="n">
        <v>2292.00</v>
      </c>
      <c r="D2458" s="4"/>
    </row>
    <row collapsed="" customFormat="false" customHeight="1" hidden="" ht="14" outlineLevel="0" r="2459">
      <c r="A2459" s="3" t="inlineStr">
        <is>
          <t>2428</t>
        </is>
      </c>
      <c r="B2459" s="4" t="s">
        <f>=HYPERLINK("http://anyluxury.ru/shop/odezhda/detskaya-odezhda/tolstovka-new-supreme-280-ugolnoseraya-184010/" , "1840.10 Толстовка NEW SUPREME 280 угольно-серая, размер XXL")</f>
      </c>
      <c r="C2459" s="4" t="n">
        <v>2292.00</v>
      </c>
      <c r="D2459" s="4"/>
    </row>
    <row collapsed="" customFormat="false" customHeight="1" hidden="" ht="14" outlineLevel="0" r="2460">
      <c r="A2460" s="3" t="inlineStr">
        <is>
          <t>2429</t>
        </is>
      </c>
      <c r="B2460" s="4" t="s">
        <f>=HYPERLINK("http://anyluxury.ru/shop/odezhda/detskaya-odezhda/tolstovka-new-supreme-280-ugolnoseraya-184010/" , "1840.10 Толстовка NEW SUPREME 280 угольно-серая, размер 3XL")</f>
      </c>
      <c r="C2460" s="4" t="n">
        <v>2693.00</v>
      </c>
      <c r="D2460" s="4"/>
    </row>
    <row collapsed="" customFormat="false" customHeight="1" hidden="" ht="14" outlineLevel="0" r="2461">
      <c r="A2461" s="3" t="inlineStr">
        <is>
          <t>2430</t>
        </is>
      </c>
      <c r="B2461" s="4" t="s">
        <f>=HYPERLINK("http://anyluxury.ru/shop/odezhda/detskaya-odezhda/tolstovka-new-supreme-280-seraya-184012/" , "1840.12 Толстовка NEW SUPREME 280 серая, размер XS")</f>
      </c>
      <c r="C2461" s="4" t="n">
        <v>2292.00</v>
      </c>
      <c r="D2461" s="4"/>
    </row>
    <row collapsed="" customFormat="false" customHeight="1" hidden="" ht="14" outlineLevel="0" r="2462">
      <c r="A2462" s="3" t="inlineStr">
        <is>
          <t>2431</t>
        </is>
      </c>
      <c r="B2462" s="4" t="s">
        <f>=HYPERLINK("http://anyluxury.ru/shop/odezhda/detskaya-odezhda/tolstovka-new-supreme-280-seraya-184012/" , "1840.12 Толстовка NEW SUPREME 280 серая, размер S")</f>
      </c>
      <c r="C2462" s="4" t="n">
        <v>2292.00</v>
      </c>
      <c r="D2462" s="4"/>
    </row>
    <row collapsed="" customFormat="false" customHeight="1" hidden="" ht="14" outlineLevel="0" r="2463">
      <c r="A2463" s="3" t="inlineStr">
        <is>
          <t>2432</t>
        </is>
      </c>
      <c r="B2463" s="4" t="s">
        <f>=HYPERLINK("http://anyluxury.ru/shop/odezhda/detskaya-odezhda/tolstovka-new-supreme-280-seraya-184012/" , "1840.12 Толстовка NEW SUPREME 280 серая, размер M")</f>
      </c>
      <c r="C2463" s="4" t="n">
        <v>2292.00</v>
      </c>
      <c r="D2463" s="4"/>
    </row>
    <row collapsed="" customFormat="false" customHeight="1" hidden="" ht="14" outlineLevel="0" r="2464">
      <c r="A2464" s="3" t="inlineStr">
        <is>
          <t>2433</t>
        </is>
      </c>
      <c r="B2464" s="4" t="s">
        <f>=HYPERLINK("http://anyluxury.ru/shop/odezhda/detskaya-odezhda/tolstovka-new-supreme-280-seraya-184012/" , "1840.12 Толстовка NEW SUPREME 280 серая, размер L")</f>
      </c>
      <c r="C2464" s="4" t="n">
        <v>2292.00</v>
      </c>
      <c r="D2464" s="4"/>
    </row>
    <row collapsed="" customFormat="false" customHeight="1" hidden="" ht="14" outlineLevel="0" r="2465">
      <c r="A2465" s="3" t="inlineStr">
        <is>
          <t>2434</t>
        </is>
      </c>
      <c r="B2465" s="4" t="s">
        <f>=HYPERLINK("http://anyluxury.ru/shop/odezhda/detskaya-odezhda/tolstovka-new-supreme-280-seraya-184012/" , "1840.12 Толстовка NEW SUPREME 280 серая, размер XL")</f>
      </c>
      <c r="C2465" s="4" t="n">
        <v>2292.00</v>
      </c>
      <c r="D2465" s="4"/>
    </row>
    <row collapsed="" customFormat="false" customHeight="1" hidden="" ht="14" outlineLevel="0" r="2466">
      <c r="A2466" s="3" t="inlineStr">
        <is>
          <t>2435</t>
        </is>
      </c>
      <c r="B2466" s="4" t="s">
        <f>=HYPERLINK("http://anyluxury.ru/shop/odezhda/detskaya-odezhda/tolstovka-new-supreme-280-seraya-184012/" , "1840.12 Толстовка NEW SUPREME 280 серая, размер XXL")</f>
      </c>
      <c r="C2466" s="4" t="n">
        <v>2292.00</v>
      </c>
      <c r="D2466" s="4"/>
    </row>
    <row collapsed="" customFormat="false" customHeight="1" hidden="" ht="14" outlineLevel="0" r="2467">
      <c r="A2467" s="3" t="inlineStr">
        <is>
          <t>2436</t>
        </is>
      </c>
      <c r="B2467" s="4" t="s">
        <f>=HYPERLINK("http://anyluxury.ru/shop/odezhda/detskaya-odezhda/tolstovka-new-supreme-280-seraya-184012/" , "1840.12 Толстовка NEW SUPREME 280 серая, размер 3XL")</f>
      </c>
      <c r="C2467" s="4" t="n">
        <v>2693.00</v>
      </c>
      <c r="D2467" s="4"/>
    </row>
    <row collapsed="" customFormat="false" customHeight="1" hidden="" ht="14" outlineLevel="0" r="2468">
      <c r="A2468" s="3" t="inlineStr">
        <is>
          <t>2437</t>
        </is>
      </c>
      <c r="B2468" s="4" t="s">
        <f>=HYPERLINK("http://anyluxury.ru/shop/odezhda/detskaya-odezhda/tolstovka-new-supreme-280-svetloseriy-melanzh-184016/" , "1840.16 Толстовка NEW SUPREME 280 светло-серый меланж, размер XS")</f>
      </c>
      <c r="C2468" s="4" t="n">
        <v>2292.00</v>
      </c>
      <c r="D2468" s="4"/>
    </row>
    <row collapsed="" customFormat="false" customHeight="1" hidden="" ht="14" outlineLevel="0" r="2469">
      <c r="A2469" s="3" t="inlineStr">
        <is>
          <t>2438</t>
        </is>
      </c>
      <c r="B2469" s="4" t="s">
        <f>=HYPERLINK("http://anyluxury.ru/shop/odezhda/detskaya-odezhda/tolstovka-new-supreme-280-svetloseriy-melanzh-184016/" , "1840.16 Толстовка NEW SUPREME 280 светло-серый меланж, размер S")</f>
      </c>
      <c r="C2469" s="4" t="n">
        <v>2292.00</v>
      </c>
      <c r="D2469" s="4"/>
    </row>
    <row collapsed="" customFormat="false" customHeight="1" hidden="" ht="14" outlineLevel="0" r="2470">
      <c r="A2470" s="3" t="inlineStr">
        <is>
          <t>2439</t>
        </is>
      </c>
      <c r="B2470" s="4" t="s">
        <f>=HYPERLINK("http://anyluxury.ru/shop/odezhda/detskaya-odezhda/tolstovka-new-supreme-280-svetloseriy-melanzh-184016/" , "1840.16 Толстовка NEW SUPREME 280 светло-серый меланж, размер M")</f>
      </c>
      <c r="C2470" s="4" t="n">
        <v>2292.00</v>
      </c>
      <c r="D2470" s="4"/>
    </row>
    <row collapsed="" customFormat="false" customHeight="1" hidden="" ht="14" outlineLevel="0" r="2471">
      <c r="A2471" s="3" t="inlineStr">
        <is>
          <t>2440</t>
        </is>
      </c>
      <c r="B2471" s="4" t="s">
        <f>=HYPERLINK("http://anyluxury.ru/shop/odezhda/detskaya-odezhda/tolstovka-new-supreme-280-svetloseriy-melanzh-184016/" , "1840.16 Толстовка NEW SUPREME 280 светло-серый меланж, размер L")</f>
      </c>
      <c r="C2471" s="4" t="n">
        <v>2292.00</v>
      </c>
      <c r="D2471" s="4"/>
    </row>
    <row collapsed="" customFormat="false" customHeight="1" hidden="" ht="14" outlineLevel="0" r="2472">
      <c r="A2472" s="3" t="inlineStr">
        <is>
          <t>2441</t>
        </is>
      </c>
      <c r="B2472" s="4" t="s">
        <f>=HYPERLINK("http://anyluxury.ru/shop/odezhda/detskaya-odezhda/tolstovka-new-supreme-280-svetloseriy-melanzh-184016/" , "1840.16 Толстовка NEW SUPREME 280 светло-серый меланж, размер XL")</f>
      </c>
      <c r="C2472" s="4" t="n">
        <v>2292.00</v>
      </c>
      <c r="D2472" s="4"/>
    </row>
    <row collapsed="" customFormat="false" customHeight="1" hidden="" ht="14" outlineLevel="0" r="2473">
      <c r="A2473" s="3" t="inlineStr">
        <is>
          <t>2442</t>
        </is>
      </c>
      <c r="B2473" s="4" t="s">
        <f>=HYPERLINK("http://anyluxury.ru/shop/odezhda/detskaya-odezhda/tolstovka-new-supreme-280-svetloseriy-melanzh-184016/" , "1840.16 Толстовка NEW SUPREME 280 светло-серый меланж, размер XXL")</f>
      </c>
      <c r="C2473" s="4" t="n">
        <v>2292.00</v>
      </c>
      <c r="D2473" s="4"/>
    </row>
    <row collapsed="" customFormat="false" customHeight="1" hidden="" ht="14" outlineLevel="0" r="2474">
      <c r="A2474" s="3" t="inlineStr">
        <is>
          <t>2443</t>
        </is>
      </c>
      <c r="B2474" s="4" t="s">
        <f>=HYPERLINK("http://anyluxury.ru/shop/odezhda/detskaya-odezhda/tolstovka-new-supreme-280-svetloseriy-melanzh-184016/" , "1840.16 Толстовка NEW SUPREME 280 светло-серый меланж, размер 3XL")</f>
      </c>
      <c r="C2474" s="4" t="n">
        <v>2693.00</v>
      </c>
      <c r="D2474" s="4"/>
    </row>
    <row collapsed="" customFormat="false" customHeight="1" hidden="" ht="14" outlineLevel="0" r="2475">
      <c r="A2475" s="3" t="inlineStr">
        <is>
          <t>2444</t>
        </is>
      </c>
      <c r="B2475" s="4" t="s">
        <f>=HYPERLINK("http://anyluxury.ru/shop/odezhda/detskaya-odezhda/tolstovka-new-supreme-280-zheltaya-184080/" , "1840.80 Толстовка NEW SUPREME 280 желтая, размер XS")</f>
      </c>
      <c r="C2475" s="4" t="n">
        <v>2292.00</v>
      </c>
      <c r="D2475" s="4"/>
    </row>
    <row collapsed="" customFormat="false" customHeight="1" hidden="" ht="14" outlineLevel="0" r="2476">
      <c r="A2476" s="3" t="inlineStr">
        <is>
          <t>2445</t>
        </is>
      </c>
      <c r="B2476" s="4" t="s">
        <f>=HYPERLINK("http://anyluxury.ru/shop/odezhda/detskaya-odezhda/tolstovka-new-supreme-280-zheltaya-184080/" , "1840.80 Толстовка NEW SUPREME 280 желтая, размер S")</f>
      </c>
      <c r="C2476" s="4" t="n">
        <v>2292.00</v>
      </c>
      <c r="D2476" s="4"/>
    </row>
    <row collapsed="" customFormat="false" customHeight="1" hidden="" ht="14" outlineLevel="0" r="2477">
      <c r="A2477" s="3" t="inlineStr">
        <is>
          <t>2446</t>
        </is>
      </c>
      <c r="B2477" s="4" t="s">
        <f>=HYPERLINK("http://anyluxury.ru/shop/odezhda/detskaya-odezhda/tolstovka-new-supreme-280-zheltaya-184080/" , "1840.80 Толстовка NEW SUPREME 280 желтая, размер M")</f>
      </c>
      <c r="C2477" s="4" t="n">
        <v>2292.00</v>
      </c>
      <c r="D2477" s="4"/>
    </row>
    <row collapsed="" customFormat="false" customHeight="1" hidden="" ht="14" outlineLevel="0" r="2478">
      <c r="A2478" s="3" t="inlineStr">
        <is>
          <t>2447</t>
        </is>
      </c>
      <c r="B2478" s="4" t="s">
        <f>=HYPERLINK("http://anyluxury.ru/shop/odezhda/detskaya-odezhda/tolstovka-new-supreme-280-zheltaya-184080/" , "1840.80 Толстовка NEW SUPREME 280 желтая, размер L")</f>
      </c>
      <c r="C2478" s="4" t="n">
        <v>2292.00</v>
      </c>
      <c r="D2478" s="4"/>
    </row>
    <row collapsed="" customFormat="false" customHeight="1" hidden="" ht="14" outlineLevel="0" r="2479">
      <c r="A2479" s="3" t="inlineStr">
        <is>
          <t>2448</t>
        </is>
      </c>
      <c r="B2479" s="4" t="s">
        <f>=HYPERLINK("http://anyluxury.ru/shop/odezhda/detskaya-odezhda/tolstovka-new-supreme-280-zheltaya-184080/" , "1840.80 Толстовка NEW SUPREME 280 желтая, размер XL")</f>
      </c>
      <c r="C2479" s="4" t="n">
        <v>2292.00</v>
      </c>
      <c r="D2479" s="4"/>
    </row>
    <row collapsed="" customFormat="false" customHeight="1" hidden="" ht="14" outlineLevel="0" r="2480">
      <c r="A2480" s="3" t="inlineStr">
        <is>
          <t>2449</t>
        </is>
      </c>
      <c r="B2480" s="4" t="s">
        <f>=HYPERLINK("http://anyluxury.ru/shop/odezhda/detskaya-odezhda/tolstovka-new-supreme-280-zheltaya-184080/" , "1840.80 Толстовка NEW SUPREME 280 желтая, размер XXL")</f>
      </c>
      <c r="C2480" s="4" t="n">
        <v>2292.00</v>
      </c>
      <c r="D2480" s="4"/>
    </row>
    <row collapsed="" customFormat="false" customHeight="1" hidden="" ht="14" outlineLevel="0" r="2481">
      <c r="A2481" s="3" t="inlineStr">
        <is>
          <t>2450</t>
        </is>
      </c>
      <c r="B2481" s="4" t="s">
        <f>=HYPERLINK("http://anyluxury.ru/shop/odezhda/detskaya-odezhda/tolstovka-new-supreme-280-zheltaya-184080/" , "1840.80 Толстовка NEW SUPREME 280 желтая, размер 3XL")</f>
      </c>
      <c r="C2481" s="4" t="n">
        <v>2693.00</v>
      </c>
      <c r="D2481" s="4"/>
    </row>
    <row collapsed="" customFormat="false" customHeight="1" hidden="" ht="14" outlineLevel="0" r="2482">
      <c r="A2482" s="3" t="inlineStr">
        <is>
          <t>2451</t>
        </is>
      </c>
      <c r="B2482" s="4" t="s">
        <f>=HYPERLINK("http://anyluxury.ru/shop/odezhda/detskaya-odezhda/kurtka-muzhskaya-north-300-chernaya-190930/" , "1909.30 Куртка мужская North черная, размер XS")</f>
      </c>
      <c r="C2482" s="4" t="n">
        <v>2813.00</v>
      </c>
      <c r="D2482" s="4"/>
    </row>
    <row collapsed="" customFormat="false" customHeight="1" hidden="" ht="14" outlineLevel="0" r="2483">
      <c r="A2483" s="3" t="inlineStr">
        <is>
          <t>2452</t>
        </is>
      </c>
      <c r="B2483" s="4" t="s">
        <f>=HYPERLINK("http://anyluxury.ru/shop/odezhda/detskaya-odezhda/kurtka-muzhskaya-north-300-chernaya-190930/" , "1909.30 Куртка мужская North черная, размер S")</f>
      </c>
      <c r="C2483" s="4" t="n">
        <v>2813.00</v>
      </c>
      <c r="D2483" s="4"/>
    </row>
    <row collapsed="" customFormat="false" customHeight="1" hidden="" ht="14" outlineLevel="0" r="2484">
      <c r="A2484" s="3" t="inlineStr">
        <is>
          <t>2453</t>
        </is>
      </c>
      <c r="B2484" s="4" t="s">
        <f>=HYPERLINK("http://anyluxury.ru/shop/odezhda/detskaya-odezhda/kurtka-muzhskaya-north-300-chernaya-190930/" , "1909.30 Куртка мужская North черная, размер M")</f>
      </c>
      <c r="C2484" s="4" t="n">
        <v>2813.00</v>
      </c>
      <c r="D2484" s="4"/>
    </row>
    <row collapsed="" customFormat="false" customHeight="1" hidden="" ht="14" outlineLevel="0" r="2485">
      <c r="A2485" s="3" t="inlineStr">
        <is>
          <t>2454</t>
        </is>
      </c>
      <c r="B2485" s="4" t="s">
        <f>=HYPERLINK("http://anyluxury.ru/shop/odezhda/detskaya-odezhda/kurtka-muzhskaya-north-300-chernaya-190930/" , "1909.30 Куртка мужская North черная, размер L")</f>
      </c>
      <c r="C2485" s="4" t="n">
        <v>2813.00</v>
      </c>
      <c r="D2485" s="4"/>
    </row>
    <row collapsed="" customFormat="false" customHeight="1" hidden="" ht="14" outlineLevel="0" r="2486">
      <c r="A2486" s="3" t="inlineStr">
        <is>
          <t>2455</t>
        </is>
      </c>
      <c r="B2486" s="4" t="s">
        <f>=HYPERLINK("http://anyluxury.ru/shop/odezhda/detskaya-odezhda/kurtka-muzhskaya-north-300-chernaya-190930/" , "1909.30 Куртка мужская North черная, размер XL")</f>
      </c>
      <c r="C2486" s="4" t="n">
        <v>2813.00</v>
      </c>
      <c r="D2486" s="4"/>
    </row>
    <row collapsed="" customFormat="false" customHeight="1" hidden="" ht="14" outlineLevel="0" r="2487">
      <c r="A2487" s="3" t="inlineStr">
        <is>
          <t>2456</t>
        </is>
      </c>
      <c r="B2487" s="4" t="s">
        <f>=HYPERLINK("http://anyluxury.ru/shop/odezhda/detskaya-odezhda/kurtka-muzhskaya-north-300-chernaya-190930/" , "1909.30 Куртка мужская North черная, размер XXL")</f>
      </c>
      <c r="C2487" s="4" t="n">
        <v>2813.00</v>
      </c>
      <c r="D2487" s="4"/>
    </row>
    <row collapsed="" customFormat="false" customHeight="1" hidden="" ht="14" outlineLevel="0" r="2488">
      <c r="A2488" s="3" t="inlineStr">
        <is>
          <t>2457</t>
        </is>
      </c>
      <c r="B2488" s="4" t="s">
        <f>=HYPERLINK("http://anyluxury.ru/shop/odezhda/detskaya-odezhda/kurtka-muzhskaya-north-300-chernaya-190930/" , "1909.30 Куртка мужская North черная, размер 3XL")</f>
      </c>
      <c r="C2488" s="4" t="n">
        <v>3260.00</v>
      </c>
      <c r="D2488" s="4"/>
    </row>
    <row collapsed="" customFormat="false" customHeight="1" hidden="" ht="14" outlineLevel="0" r="2489">
      <c r="A2489" s="3" t="inlineStr">
        <is>
          <t>2458</t>
        </is>
      </c>
      <c r="B2489" s="4" t="s">
        <f>=HYPERLINK("http://anyluxury.ru/shop/odezhda/detskaya-odezhda/kurtka-muzhskaya-north-300-chernaya-190930/" , "1909.30 Куртка мужская North черная, размер 4XL")</f>
      </c>
      <c r="C2489" s="4" t="n">
        <v>3802.00</v>
      </c>
      <c r="D2489" s="4"/>
    </row>
    <row collapsed="" customFormat="false" customHeight="1" hidden="" ht="14" outlineLevel="0" r="2490">
      <c r="A2490" s="3" t="inlineStr">
        <is>
          <t>2459</t>
        </is>
      </c>
      <c r="B2490" s="4" t="s">
        <f>=HYPERLINK("http://anyluxury.ru/shop/odezhda/detskaya-odezhda/kurtka-muzhskaya-north-300-chernaya-190930/" , "1909.30 Куртка мужская North черная, размер 5XL")</f>
      </c>
      <c r="C2490" s="4" t="n">
        <v>3802.00</v>
      </c>
      <c r="D2490" s="4"/>
    </row>
    <row collapsed="" customFormat="false" customHeight="1" hidden="" ht="14" outlineLevel="0" r="2491">
      <c r="A2491" s="3" t="inlineStr">
        <is>
          <t>2460</t>
        </is>
      </c>
      <c r="B2491" s="4" t="s">
        <f>=HYPERLINK("http://anyluxury.ru/shop/odezhda/detskaya-odezhda/kurtka-muzhskaya-north-300-bordovaya-190955/" , "1909.55 Куртка мужская North бордовая, размер XS")</f>
      </c>
      <c r="C2491" s="4" t="n">
        <v>2813.00</v>
      </c>
      <c r="D2491" s="4"/>
    </row>
    <row collapsed="" customFormat="false" customHeight="1" hidden="" ht="14" outlineLevel="0" r="2492">
      <c r="A2492" s="3" t="inlineStr">
        <is>
          <t>2461</t>
        </is>
      </c>
      <c r="B2492" s="4" t="s">
        <f>=HYPERLINK("http://anyluxury.ru/shop/odezhda/detskaya-odezhda/kurtka-muzhskaya-north-300-bordovaya-190955/" , "1909.55 Куртка мужская North бордовая, размер S")</f>
      </c>
      <c r="C2492" s="4" t="n">
        <v>2813.00</v>
      </c>
      <c r="D2492" s="4"/>
    </row>
    <row collapsed="" customFormat="false" customHeight="1" hidden="" ht="14" outlineLevel="0" r="2493">
      <c r="A2493" s="3" t="inlineStr">
        <is>
          <t>2462</t>
        </is>
      </c>
      <c r="B2493" s="4" t="s">
        <f>=HYPERLINK("http://anyluxury.ru/shop/odezhda/detskaya-odezhda/kurtka-muzhskaya-north-300-bordovaya-190955/" , "1909.55 Куртка мужская North бордовая, размер M")</f>
      </c>
      <c r="C2493" s="4" t="n">
        <v>2813.00</v>
      </c>
      <c r="D2493" s="4"/>
    </row>
    <row collapsed="" customFormat="false" customHeight="1" hidden="" ht="14" outlineLevel="0" r="2494">
      <c r="A2494" s="3" t="inlineStr">
        <is>
          <t>2463</t>
        </is>
      </c>
      <c r="B2494" s="4" t="s">
        <f>=HYPERLINK("http://anyluxury.ru/shop/odezhda/detskaya-odezhda/kurtka-muzhskaya-north-300-bordovaya-190955/" , "1909.55 Куртка мужская North бордовая, размер L")</f>
      </c>
      <c r="C2494" s="4" t="n">
        <v>2813.00</v>
      </c>
      <c r="D2494" s="4"/>
    </row>
    <row collapsed="" customFormat="false" customHeight="1" hidden="" ht="14" outlineLevel="0" r="2495">
      <c r="A2495" s="3" t="inlineStr">
        <is>
          <t>2464</t>
        </is>
      </c>
      <c r="B2495" s="4" t="s">
        <f>=HYPERLINK("http://anyluxury.ru/shop/odezhda/detskaya-odezhda/kurtka-muzhskaya-north-300-bordovaya-190955/" , "1909.55 Куртка мужская North бордовая, размер XL")</f>
      </c>
      <c r="C2495" s="4" t="n">
        <v>2813.00</v>
      </c>
      <c r="D2495" s="4"/>
    </row>
    <row collapsed="" customFormat="false" customHeight="1" hidden="" ht="14" outlineLevel="0" r="2496">
      <c r="A2496" s="3" t="inlineStr">
        <is>
          <t>2465</t>
        </is>
      </c>
      <c r="B2496" s="4" t="s">
        <f>=HYPERLINK("http://anyluxury.ru/shop/odezhda/detskaya-odezhda/kurtka-muzhskaya-north-300-bordovaya-190955/" , "1909.55 Куртка мужская North бордовая, размер XXL")</f>
      </c>
      <c r="C2496" s="4" t="n">
        <v>2813.00</v>
      </c>
      <c r="D2496" s="4"/>
    </row>
    <row collapsed="" customFormat="false" customHeight="1" hidden="" ht="14" outlineLevel="0" r="2497">
      <c r="A2497" s="3" t="inlineStr">
        <is>
          <t>2466</t>
        </is>
      </c>
      <c r="B2497" s="4" t="s">
        <f>=HYPERLINK("http://anyluxury.ru/shop/odezhda/detskaya-odezhda/kurtka-muzhskaya-north-300-bordovaya-190955/" , "1909.55 Куртка мужская North бордовая, размер 3XL")</f>
      </c>
      <c r="C2497" s="4" t="n">
        <v>3260.00</v>
      </c>
      <c r="D2497" s="4"/>
    </row>
    <row collapsed="" customFormat="false" customHeight="1" hidden="" ht="14" outlineLevel="0" r="2498">
      <c r="A2498" s="3" t="inlineStr">
        <is>
          <t>2467</t>
        </is>
      </c>
      <c r="B2498" s="4" t="s">
        <f>=HYPERLINK("http://anyluxury.ru/shop/odezhda/detskaya-odezhda/kurtka-muzhskaya-north-300-bordovaya-190955/" , "1909.55 Куртка мужская North 300, бордовая, размер 5XL")</f>
      </c>
      <c r="C2498" s="4" t="n">
        <v>3802.00</v>
      </c>
      <c r="D2498" s="4"/>
    </row>
    <row collapsed="" customFormat="false" customHeight="1" hidden="" ht="14" outlineLevel="0" r="2499">
      <c r="A2499" s="3" t="inlineStr">
        <is>
          <t>2468</t>
        </is>
      </c>
      <c r="B2499" s="4" t="s">
        <f>=HYPERLINK("http://anyluxury.ru/shop/odezhda/detskaya-odezhda/kurtka-muzhskaya-north-300-bezhevaya-190958/" , "1909.58 Куртка мужская North бежевая, размер XS")</f>
      </c>
      <c r="C2499" s="4" t="n">
        <v>2813.00</v>
      </c>
      <c r="D2499" s="4"/>
    </row>
    <row collapsed="" customFormat="false" customHeight="1" hidden="" ht="14" outlineLevel="0" r="2500">
      <c r="A2500" s="3" t="inlineStr">
        <is>
          <t>2469</t>
        </is>
      </c>
      <c r="B2500" s="4" t="s">
        <f>=HYPERLINK("http://anyluxury.ru/shop/odezhda/detskaya-odezhda/kurtka-muzhskaya-north-300-bezhevaya-190958/" , "1909.58 Куртка мужская North бежевая, размер S")</f>
      </c>
      <c r="C2500" s="4" t="n">
        <v>2813.00</v>
      </c>
      <c r="D2500" s="4"/>
    </row>
    <row collapsed="" customFormat="false" customHeight="1" hidden="" ht="14" outlineLevel="0" r="2501">
      <c r="A2501" s="3" t="inlineStr">
        <is>
          <t>2470</t>
        </is>
      </c>
      <c r="B2501" s="4" t="s">
        <f>=HYPERLINK("http://anyluxury.ru/shop/odezhda/detskaya-odezhda/kurtka-muzhskaya-north-300-bezhevaya-190958/" , "1909.58 Куртка мужская North бежевая, размер M")</f>
      </c>
      <c r="C2501" s="4" t="n">
        <v>2813.00</v>
      </c>
      <c r="D2501" s="4"/>
    </row>
    <row collapsed="" customFormat="false" customHeight="1" hidden="" ht="14" outlineLevel="0" r="2502">
      <c r="A2502" s="3" t="inlineStr">
        <is>
          <t>2471</t>
        </is>
      </c>
      <c r="B2502" s="4" t="s">
        <f>=HYPERLINK("http://anyluxury.ru/shop/odezhda/detskaya-odezhda/kurtka-muzhskaya-north-300-bezhevaya-190958/" , "1909.58 Куртка мужская North бежевая, размер L")</f>
      </c>
      <c r="C2502" s="4" t="n">
        <v>2813.00</v>
      </c>
      <c r="D2502" s="4"/>
    </row>
    <row collapsed="" customFormat="false" customHeight="1" hidden="" ht="14" outlineLevel="0" r="2503">
      <c r="A2503" s="3" t="inlineStr">
        <is>
          <t>2472</t>
        </is>
      </c>
      <c r="B2503" s="4" t="s">
        <f>=HYPERLINK("http://anyluxury.ru/shop/odezhda/detskaya-odezhda/kurtka-muzhskaya-north-300-bezhevaya-190958/" , "1909.58 Куртка мужская North бежевая, размер XL")</f>
      </c>
      <c r="C2503" s="4" t="n">
        <v>2813.00</v>
      </c>
      <c r="D2503" s="4"/>
    </row>
    <row collapsed="" customFormat="false" customHeight="1" hidden="" ht="14" outlineLevel="0" r="2504">
      <c r="A2504" s="3" t="inlineStr">
        <is>
          <t>2473</t>
        </is>
      </c>
      <c r="B2504" s="4" t="s">
        <f>=HYPERLINK("http://anyluxury.ru/shop/odezhda/detskaya-odezhda/kurtka-muzhskaya-north-300-bezhevaya-190958/" , "1909.58 Куртка мужская North бежевая, размер XXL")</f>
      </c>
      <c r="C2504" s="4" t="n">
        <v>2813.00</v>
      </c>
      <c r="D2504" s="4"/>
    </row>
    <row collapsed="" customFormat="false" customHeight="1" hidden="" ht="14" outlineLevel="0" r="2505">
      <c r="A2505" s="3" t="inlineStr">
        <is>
          <t>2474</t>
        </is>
      </c>
      <c r="B2505" s="4" t="s">
        <f>=HYPERLINK("http://anyluxury.ru/shop/odezhda/detskaya-odezhda/kurtka-muzhskaya-north-300-bezhevaya-190958/" , "1909.58 Куртка мужская North бежевая, размер 3XL")</f>
      </c>
      <c r="C2505" s="4" t="n">
        <v>3260.00</v>
      </c>
      <c r="D2505" s="4"/>
    </row>
    <row collapsed="" customFormat="false" customHeight="1" hidden="" ht="14" outlineLevel="0" r="2506">
      <c r="A2506" s="3" t="inlineStr">
        <is>
          <t>2475</t>
        </is>
      </c>
      <c r="B2506" s="4" t="s">
        <f>=HYPERLINK("http://anyluxury.ru/shop/odezhda/detskaya-odezhda/kurtka-muzhskaya-north-300-zelenaya-190990/" , "1909.90 Куртка мужская North зеленая, размер XS")</f>
      </c>
      <c r="C2506" s="4" t="n">
        <v>2813.00</v>
      </c>
      <c r="D2506" s="4"/>
    </row>
    <row collapsed="" customFormat="false" customHeight="1" hidden="" ht="14" outlineLevel="0" r="2507">
      <c r="A2507" s="3" t="inlineStr">
        <is>
          <t>2476</t>
        </is>
      </c>
      <c r="B2507" s="4" t="s">
        <f>=HYPERLINK("http://anyluxury.ru/shop/odezhda/detskaya-odezhda/kurtka-muzhskaya-north-300-zelenaya-190990/" , "1909.90 Куртка мужская North зеленая, размер S")</f>
      </c>
      <c r="C2507" s="4" t="n">
        <v>2813.00</v>
      </c>
      <c r="D2507" s="4"/>
    </row>
    <row collapsed="" customFormat="false" customHeight="1" hidden="" ht="14" outlineLevel="0" r="2508">
      <c r="A2508" s="3" t="inlineStr">
        <is>
          <t>2477</t>
        </is>
      </c>
      <c r="B2508" s="4" t="s">
        <f>=HYPERLINK("http://anyluxury.ru/shop/odezhda/detskaya-odezhda/kurtka-muzhskaya-north-300-zelenaya-190990/" , "1909.90 Куртка мужская North зеленая, размер M")</f>
      </c>
      <c r="C2508" s="4" t="n">
        <v>2813.00</v>
      </c>
      <c r="D2508" s="4"/>
    </row>
    <row collapsed="" customFormat="false" customHeight="1" hidden="" ht="14" outlineLevel="0" r="2509">
      <c r="A2509" s="3" t="inlineStr">
        <is>
          <t>2478</t>
        </is>
      </c>
      <c r="B2509" s="4" t="s">
        <f>=HYPERLINK("http://anyluxury.ru/shop/odezhda/detskaya-odezhda/kurtka-muzhskaya-north-300-zelenaya-190990/" , "1909.90 Куртка мужская North зеленая, размер L")</f>
      </c>
      <c r="C2509" s="4" t="n">
        <v>2813.00</v>
      </c>
      <c r="D2509" s="4"/>
    </row>
    <row collapsed="" customFormat="false" customHeight="1" hidden="" ht="14" outlineLevel="0" r="2510">
      <c r="A2510" s="3" t="inlineStr">
        <is>
          <t>2479</t>
        </is>
      </c>
      <c r="B2510" s="4" t="s">
        <f>=HYPERLINK("http://anyluxury.ru/shop/odezhda/detskaya-odezhda/kurtka-muzhskaya-north-300-zelenaya-190990/" , "1909.90 Куртка мужская North зеленая, размер XL")</f>
      </c>
      <c r="C2510" s="4" t="n">
        <v>2813.00</v>
      </c>
      <c r="D2510" s="4"/>
    </row>
    <row collapsed="" customFormat="false" customHeight="1" hidden="" ht="14" outlineLevel="0" r="2511">
      <c r="A2511" s="3" t="inlineStr">
        <is>
          <t>2480</t>
        </is>
      </c>
      <c r="B2511" s="4" t="s">
        <f>=HYPERLINK("http://anyluxury.ru/shop/odezhda/detskaya-odezhda/kurtka-muzhskaya-north-300-zelenaya-190990/" , "1909.90 Куртка мужская North зеленая, размер XXL")</f>
      </c>
      <c r="C2511" s="4" t="n">
        <v>2813.00</v>
      </c>
      <c r="D2511" s="4"/>
    </row>
    <row collapsed="" customFormat="false" customHeight="1" hidden="" ht="14" outlineLevel="0" r="2512">
      <c r="A2512" s="3" t="inlineStr">
        <is>
          <t>2481</t>
        </is>
      </c>
      <c r="B2512" s="4" t="s">
        <f>=HYPERLINK("http://anyluxury.ru/shop/odezhda/detskaya-odezhda/kurtka-muzhskaya-north-300-zelenaya-190990/" , "1909.90 Куртка мужская North зеленая, размер 3XL")</f>
      </c>
      <c r="C2512" s="4" t="n">
        <v>3260.00</v>
      </c>
      <c r="D2512" s="4"/>
    </row>
    <row collapsed="" customFormat="false" customHeight="1" hidden="" ht="14" outlineLevel="0" r="2513">
      <c r="A2513" s="3" t="inlineStr">
        <is>
          <t>2482</t>
        </is>
      </c>
      <c r="B2513" s="4" t="s">
        <f>=HYPERLINK("http://anyluxury.ru/shop/odezhda/detskaya-odezhda/kurtka-muzhskaya-north-300-zelenaya-190990/" , "1909.90 Куртка мужская North зеленая, размер 4XL")</f>
      </c>
      <c r="C2513" s="4" t="n">
        <v>3802.00</v>
      </c>
      <c r="D2513" s="4"/>
    </row>
    <row collapsed="" customFormat="false" customHeight="1" hidden="" ht="14" outlineLevel="0" r="2514">
      <c r="A2514" s="3" t="inlineStr">
        <is>
          <t>2483</t>
        </is>
      </c>
      <c r="B2514" s="4" t="s">
        <f>=HYPERLINK("http://anyluxury.ru/shop/odezhda/detskaya-odezhda/kurtka-muzhskaya-north-300-zelenaya-190990/" , "1909.90 Куртка мужская North зеленая, размер 5XL")</f>
      </c>
      <c r="C2514" s="4" t="n">
        <v>3802.00</v>
      </c>
      <c r="D2514" s="4"/>
    </row>
    <row collapsed="" customFormat="false" customHeight="1" hidden="" ht="14" outlineLevel="0" r="2515">
      <c r="A2515" s="3" t="inlineStr">
        <is>
          <t>2484</t>
        </is>
      </c>
      <c r="B2515" s="4" t="s">
        <f>=HYPERLINK("http://anyluxury.ru/shop/odezhda/detskaya-odezhda/kurtka-muzhskaya-north-300-haki-190999/" , "1909.99 Куртка мужская North хаки, размер XS")</f>
      </c>
      <c r="C2515" s="4" t="n">
        <v>2813.00</v>
      </c>
      <c r="D2515" s="4"/>
    </row>
    <row collapsed="" customFormat="false" customHeight="1" hidden="" ht="14" outlineLevel="0" r="2516">
      <c r="A2516" s="3" t="inlineStr">
        <is>
          <t>2485</t>
        </is>
      </c>
      <c r="B2516" s="4" t="s">
        <f>=HYPERLINK("http://anyluxury.ru/shop/odezhda/detskaya-odezhda/kurtka-muzhskaya-north-300-haki-190999/" , "1909.99 Куртка мужская North хаки, размер S")</f>
      </c>
      <c r="C2516" s="4" t="n">
        <v>2813.00</v>
      </c>
      <c r="D2516" s="4"/>
    </row>
    <row collapsed="" customFormat="false" customHeight="1" hidden="" ht="14" outlineLevel="0" r="2517">
      <c r="A2517" s="3" t="inlineStr">
        <is>
          <t>2486</t>
        </is>
      </c>
      <c r="B2517" s="4" t="s">
        <f>=HYPERLINK("http://anyluxury.ru/shop/odezhda/detskaya-odezhda/kurtka-muzhskaya-north-300-haki-190999/" , "1909.99 Куртка мужская North хаки, размер M")</f>
      </c>
      <c r="C2517" s="4" t="n">
        <v>2813.00</v>
      </c>
      <c r="D2517" s="4"/>
    </row>
    <row collapsed="" customFormat="false" customHeight="1" hidden="" ht="14" outlineLevel="0" r="2518">
      <c r="A2518" s="3" t="inlineStr">
        <is>
          <t>2487</t>
        </is>
      </c>
      <c r="B2518" s="4" t="s">
        <f>=HYPERLINK("http://anyluxury.ru/shop/odezhda/detskaya-odezhda/kurtka-muzhskaya-north-300-haki-190999/" , "1909.99 Куртка мужская North хаки, размер L")</f>
      </c>
      <c r="C2518" s="4" t="n">
        <v>2813.00</v>
      </c>
      <c r="D2518" s="4"/>
    </row>
    <row collapsed="" customFormat="false" customHeight="1" hidden="" ht="14" outlineLevel="0" r="2519">
      <c r="A2519" s="3" t="inlineStr">
        <is>
          <t>2488</t>
        </is>
      </c>
      <c r="B2519" s="4" t="s">
        <f>=HYPERLINK("http://anyluxury.ru/shop/odezhda/detskaya-odezhda/kurtka-muzhskaya-north-300-haki-190999/" , "1909.99 Куртка мужская North хаки, размер XL")</f>
      </c>
      <c r="C2519" s="4" t="n">
        <v>2813.00</v>
      </c>
      <c r="D2519" s="4"/>
    </row>
    <row collapsed="" customFormat="false" customHeight="1" hidden="" ht="14" outlineLevel="0" r="2520">
      <c r="A2520" s="3" t="inlineStr">
        <is>
          <t>2489</t>
        </is>
      </c>
      <c r="B2520" s="4" t="s">
        <f>=HYPERLINK("http://anyluxury.ru/shop/odezhda/detskaya-odezhda/kurtka-muzhskaya-north-300-haki-190999/" , "1909.99 Куртка мужская North хаки, размер XXL")</f>
      </c>
      <c r="C2520" s="4" t="n">
        <v>2813.00</v>
      </c>
      <c r="D2520" s="4"/>
    </row>
    <row collapsed="" customFormat="false" customHeight="1" hidden="" ht="14" outlineLevel="0" r="2521">
      <c r="A2521" s="3" t="inlineStr">
        <is>
          <t>2490</t>
        </is>
      </c>
      <c r="B2521" s="4" t="s">
        <f>=HYPERLINK("http://anyluxury.ru/shop/odezhda/detskaya-odezhda/kurtka-muzhskaya-north-300-haki-190999/" , "1909.99 Куртка мужская North хаки, размер 3XL")</f>
      </c>
      <c r="C2521" s="4" t="n">
        <v>3260.00</v>
      </c>
      <c r="D2521" s="4"/>
    </row>
    <row collapsed="" customFormat="false" customHeight="1" hidden="" ht="14" outlineLevel="0" r="2522">
      <c r="A2522" s="3" t="inlineStr">
        <is>
          <t>2491</t>
        </is>
      </c>
      <c r="B2522" s="4" t="s">
        <f>=HYPERLINK("http://anyluxury.ru/shop/odezhda/detskaya-odezhda/kurtka-zhenskaya-north-women-ugolnoseraya-557510/" , "5575.10 Куртка женская North Women угольно-серая, размер S")</f>
      </c>
      <c r="C2522" s="4" t="n">
        <v>2594.00</v>
      </c>
      <c r="D2522" s="4"/>
    </row>
    <row collapsed="" customFormat="false" customHeight="1" hidden="" ht="14" outlineLevel="0" r="2523">
      <c r="A2523" s="3" t="inlineStr">
        <is>
          <t>2492</t>
        </is>
      </c>
      <c r="B2523" s="4" t="s">
        <f>=HYPERLINK("http://anyluxury.ru/shop/odezhda/detskaya-odezhda/kurtka-zhenskaya-north-women-ugolnoseraya-557510/" , "5575.10 Куртка женская North Women угольно-серая, размер M")</f>
      </c>
      <c r="C2523" s="4" t="n">
        <v>2594.00</v>
      </c>
      <c r="D2523" s="4"/>
    </row>
    <row collapsed="" customFormat="false" customHeight="1" hidden="" ht="14" outlineLevel="0" r="2524">
      <c r="A2524" s="3" t="inlineStr">
        <is>
          <t>2493</t>
        </is>
      </c>
      <c r="B2524" s="4" t="s">
        <f>=HYPERLINK("http://anyluxury.ru/shop/odezhda/detskaya-odezhda/kurtka-zhenskaya-north-women-ugolnoseraya-557510/" , "5575.10 Куртка женская North Women угольно-серая, размер L")</f>
      </c>
      <c r="C2524" s="4" t="n">
        <v>2594.00</v>
      </c>
      <c r="D2524" s="4"/>
    </row>
    <row collapsed="" customFormat="false" customHeight="1" hidden="" ht="14" outlineLevel="0" r="2525">
      <c r="A2525" s="3" t="inlineStr">
        <is>
          <t>2494</t>
        </is>
      </c>
      <c r="B2525" s="4" t="s">
        <f>=HYPERLINK("http://anyluxury.ru/shop/odezhda/detskaya-odezhda/kurtka-zhenskaya-north-women-ugolnoseraya-557510/" , "5575.10 Куртка женская North Women угольно-серая, размер XL")</f>
      </c>
      <c r="C2525" s="4" t="n">
        <v>2594.00</v>
      </c>
      <c r="D2525" s="4"/>
    </row>
    <row collapsed="" customFormat="false" customHeight="1" hidden="" ht="14" outlineLevel="0" r="2526">
      <c r="A2526" s="3" t="inlineStr">
        <is>
          <t>2495</t>
        </is>
      </c>
      <c r="B2526" s="4" t="s">
        <f>=HYPERLINK("http://anyluxury.ru/shop/odezhda/detskaya-odezhda/kurtka-zhenskaya-north-women-ugolnoseraya-557510/" , "5575.10 Куртка женская North Women угольно-серая, размер XXL")</f>
      </c>
      <c r="C2526" s="4" t="n">
        <v>2594.00</v>
      </c>
      <c r="D2526" s="4"/>
    </row>
    <row collapsed="" customFormat="false" customHeight="1" hidden="" ht="14" outlineLevel="0" r="2527">
      <c r="A2527" s="3" t="inlineStr">
        <is>
          <t>2496</t>
        </is>
      </c>
      <c r="B2527" s="4" t="s">
        <f>=HYPERLINK("http://anyluxury.ru/shop/odezhda/detskaya-odezhda/kurtka-zhenskaya-north-women-bordovaya-557555/" , "5575.55 Куртка женская North Women бордовая, размер S")</f>
      </c>
      <c r="C2527" s="4" t="n">
        <v>2594.00</v>
      </c>
      <c r="D2527" s="4"/>
    </row>
    <row collapsed="" customFormat="false" customHeight="1" hidden="" ht="14" outlineLevel="0" r="2528">
      <c r="A2528" s="3" t="inlineStr">
        <is>
          <t>2497</t>
        </is>
      </c>
      <c r="B2528" s="4" t="s">
        <f>=HYPERLINK("http://anyluxury.ru/shop/odezhda/detskaya-odezhda/kurtka-zhenskaya-north-women-bordovaya-557555/" , "5575.55 Куртка женская North Women бордовая, размер M")</f>
      </c>
      <c r="C2528" s="4" t="n">
        <v>2594.00</v>
      </c>
      <c r="D2528" s="4"/>
    </row>
    <row collapsed="" customFormat="false" customHeight="1" hidden="" ht="14" outlineLevel="0" r="2529">
      <c r="A2529" s="3" t="inlineStr">
        <is>
          <t>2498</t>
        </is>
      </c>
      <c r="B2529" s="4" t="s">
        <f>=HYPERLINK("http://anyluxury.ru/shop/odezhda/detskaya-odezhda/kurtka-zhenskaya-north-women-bordovaya-557555/" , "5575.55 Куртка женская North Women бордовая, размер L")</f>
      </c>
      <c r="C2529" s="4" t="n">
        <v>2594.00</v>
      </c>
      <c r="D2529" s="4"/>
    </row>
    <row collapsed="" customFormat="false" customHeight="1" hidden="" ht="14" outlineLevel="0" r="2530">
      <c r="A2530" s="3" t="inlineStr">
        <is>
          <t>2499</t>
        </is>
      </c>
      <c r="B2530" s="4" t="s">
        <f>=HYPERLINK("http://anyluxury.ru/shop/odezhda/detskaya-odezhda/kurtka-zhenskaya-north-women-bordovaya-557555/" , "5575.55 Куртка женская North Women бордовая, размер XL")</f>
      </c>
      <c r="C2530" s="4" t="n">
        <v>2594.00</v>
      </c>
      <c r="D2530" s="4"/>
    </row>
    <row collapsed="" customFormat="false" customHeight="1" hidden="" ht="14" outlineLevel="0" r="2531">
      <c r="A2531" s="3" t="inlineStr">
        <is>
          <t>2500</t>
        </is>
      </c>
      <c r="B2531" s="4" t="s">
        <f>=HYPERLINK("http://anyluxury.ru/shop/odezhda/detskaya-odezhda/kurtka-zhenskaya-north-women-bordovaya-557555/" , "5575.55 Куртка женская North Women бордовая, размер XXL")</f>
      </c>
      <c r="C2531" s="4" t="n">
        <v>2594.00</v>
      </c>
      <c r="D2531" s="4"/>
    </row>
    <row collapsed="" customFormat="false" customHeight="1" hidden="" ht="14" outlineLevel="0" r="2532">
      <c r="A2532" s="3" t="inlineStr">
        <is>
          <t>2501</t>
        </is>
      </c>
      <c r="B2532" s="4" t="s">
        <f>=HYPERLINK("http://anyluxury.ru/shop/odezhda/detskaya-odezhda/kurtka-zhenskaya-north-women-korichnevaya-557559/" , "5575.59 Куртка женская North Women коричневая, размер S")</f>
      </c>
      <c r="C2532" s="4" t="n">
        <v>2594.00</v>
      </c>
      <c r="D2532" s="4"/>
    </row>
    <row collapsed="" customFormat="false" customHeight="1" hidden="" ht="14" outlineLevel="0" r="2533">
      <c r="A2533" s="3" t="inlineStr">
        <is>
          <t>2502</t>
        </is>
      </c>
      <c r="B2533" s="4" t="s">
        <f>=HYPERLINK("http://anyluxury.ru/shop/odezhda/detskaya-odezhda/kurtka-zhenskaya-north-women-korichnevaya-557559/" , "5575.59 Куртка женская North Women коричневая, размер M")</f>
      </c>
      <c r="C2533" s="4" t="n">
        <v>2594.00</v>
      </c>
      <c r="D2533" s="4"/>
    </row>
    <row collapsed="" customFormat="false" customHeight="1" hidden="" ht="14" outlineLevel="0" r="2534">
      <c r="A2534" s="3" t="inlineStr">
        <is>
          <t>2503</t>
        </is>
      </c>
      <c r="B2534" s="4" t="s">
        <f>=HYPERLINK("http://anyluxury.ru/shop/odezhda/detskaya-odezhda/kurtka-zhenskaya-north-women-korichnevaya-557559/" , "5575.59 Куртка женская North Women коричневая, размер L")</f>
      </c>
      <c r="C2534" s="4" t="n">
        <v>2594.00</v>
      </c>
      <c r="D2534" s="4"/>
    </row>
    <row collapsed="" customFormat="false" customHeight="1" hidden="" ht="14" outlineLevel="0" r="2535">
      <c r="A2535" s="3" t="inlineStr">
        <is>
          <t>2504</t>
        </is>
      </c>
      <c r="B2535" s="4" t="s">
        <f>=HYPERLINK("http://anyluxury.ru/shop/odezhda/detskaya-odezhda/kurtka-zhenskaya-north-women-korichnevaya-557559/" , "5575.59 Куртка женская North Women коричневая, размер XL")</f>
      </c>
      <c r="C2535" s="4" t="n">
        <v>2594.00</v>
      </c>
      <c r="D2535" s="4"/>
    </row>
    <row collapsed="" customFormat="false" customHeight="1" hidden="" ht="14" outlineLevel="0" r="2536">
      <c r="A2536" s="3" t="inlineStr">
        <is>
          <t>2505</t>
        </is>
      </c>
      <c r="B2536" s="4" t="s">
        <f>=HYPERLINK("http://anyluxury.ru/shop/odezhda/detskaya-odezhda/kurtka-zhenskaya-north-women-korichnevaya-557559/" , "5575.59 Куртка женская North Women коричневая, размер XXL")</f>
      </c>
      <c r="C2536" s="4" t="n">
        <v>2594.00</v>
      </c>
      <c r="D2536" s="4"/>
    </row>
    <row collapsed="" customFormat="false" customHeight="1" hidden="" ht="14" outlineLevel="0" r="2537">
      <c r="A2537" s="3" t="inlineStr">
        <is>
          <t>2506</t>
        </is>
      </c>
      <c r="B2537" s="4" t="s">
        <f>=HYPERLINK("http://anyluxury.ru/shop/odezhda/detskaya-odezhda/kurtka-zhenskaya-north-women-zelenaya-557590/" , "5575.90 Куртка женская North Women зеленая, размер S")</f>
      </c>
      <c r="C2537" s="4" t="n">
        <v>2594.00</v>
      </c>
      <c r="D2537" s="4"/>
    </row>
    <row collapsed="" customFormat="false" customHeight="1" hidden="" ht="14" outlineLevel="0" r="2538">
      <c r="A2538" s="3" t="inlineStr">
        <is>
          <t>2507</t>
        </is>
      </c>
      <c r="B2538" s="4" t="s">
        <f>=HYPERLINK("http://anyluxury.ru/shop/odezhda/detskaya-odezhda/kurtka-zhenskaya-north-women-zelenaya-557590/" , "5575.90 Куртка женская North Women зеленая, размер M")</f>
      </c>
      <c r="C2538" s="4" t="n">
        <v>2594.00</v>
      </c>
      <c r="D2538" s="4"/>
    </row>
    <row collapsed="" customFormat="false" customHeight="1" hidden="" ht="14" outlineLevel="0" r="2539">
      <c r="A2539" s="3" t="inlineStr">
        <is>
          <t>2508</t>
        </is>
      </c>
      <c r="B2539" s="4" t="s">
        <f>=HYPERLINK("http://anyluxury.ru/shop/odezhda/detskaya-odezhda/kurtka-zhenskaya-north-women-zelenaya-557590/" , "5575.90 Куртка женская North Women зеленая, размер L")</f>
      </c>
      <c r="C2539" s="4" t="n">
        <v>2594.00</v>
      </c>
      <c r="D2539" s="4"/>
    </row>
    <row collapsed="" customFormat="false" customHeight="1" hidden="" ht="14" outlineLevel="0" r="2540">
      <c r="A2540" s="3" t="inlineStr">
        <is>
          <t>2509</t>
        </is>
      </c>
      <c r="B2540" s="4" t="s">
        <f>=HYPERLINK("http://anyluxury.ru/shop/odezhda/detskaya-odezhda/kurtka-zhenskaya-north-women-zelenaya-557590/" , "5575.90 Куртка женская North Women зеленая, размер XL")</f>
      </c>
      <c r="C2540" s="4" t="n">
        <v>2594.00</v>
      </c>
      <c r="D2540" s="4"/>
    </row>
    <row collapsed="" customFormat="false" customHeight="1" hidden="" ht="14" outlineLevel="0" r="2541">
      <c r="A2541" s="3" t="inlineStr">
        <is>
          <t>2510</t>
        </is>
      </c>
      <c r="B2541" s="4" t="s">
        <f>=HYPERLINK("http://anyluxury.ru/shop/odezhda/detskaya-odezhda/kurtka-zhenskaya-north-women-zelenaya-557590/" , "5575.90 Куртка женская North Women зеленая, размер XXL")</f>
      </c>
      <c r="C2541" s="4" t="n">
        <v>2594.00</v>
      </c>
      <c r="D2541" s="4"/>
    </row>
    <row collapsed="" customFormat="false" customHeight="1" hidden="" ht="14" outlineLevel="0" r="2542">
      <c r="A2542" s="3" t="inlineStr">
        <is>
          <t>2511</t>
        </is>
      </c>
      <c r="B2542" s="4" t="s">
        <f>=HYPERLINK("http://anyluxury.ru/shop/odezhda/detskaya-odezhda/futbolka-detskaya-regent-fit-kids-chernaya-664530/" , "6645.30 Футболка детская REGENT FIT KIDS черная, на рост 96-104 см (4 года)")</f>
      </c>
      <c r="C2542" s="4" t="n">
        <v>486.00</v>
      </c>
      <c r="D2542" s="4"/>
    </row>
    <row collapsed="" customFormat="false" customHeight="1" hidden="" ht="14" outlineLevel="0" r="2543">
      <c r="A2543" s="3" t="inlineStr">
        <is>
          <t>2512</t>
        </is>
      </c>
      <c r="B2543" s="4" t="s">
        <f>=HYPERLINK("http://anyluxury.ru/shop/odezhda/detskaya-odezhda/futbolka-detskaya-regent-fit-kids-chernaya-664530/" , "6645.30 Футболка детская REGENT FIT KIDS черная, на рост 106-116 см (6 лет)")</f>
      </c>
      <c r="C2543" s="4" t="n">
        <v>486.00</v>
      </c>
      <c r="D2543" s="4"/>
    </row>
    <row collapsed="" customFormat="false" customHeight="1" hidden="" ht="14" outlineLevel="0" r="2544">
      <c r="A2544" s="3" t="inlineStr">
        <is>
          <t>2513</t>
        </is>
      </c>
      <c r="B2544" s="4" t="s">
        <f>=HYPERLINK("http://anyluxury.ru/shop/odezhda/detskaya-odezhda/futbolka-detskaya-regent-fit-kids-chernaya-664530/" , "6645.30 Футболка детская REGENT FIT KIDS черная, на рост 118-128 см (8 лет)")</f>
      </c>
      <c r="C2544" s="4" t="n">
        <v>486.00</v>
      </c>
      <c r="D2544" s="4"/>
    </row>
    <row collapsed="" customFormat="false" customHeight="1" hidden="" ht="14" outlineLevel="0" r="2545">
      <c r="A2545" s="3" t="inlineStr">
        <is>
          <t>2514</t>
        </is>
      </c>
      <c r="B2545" s="4" t="s">
        <f>=HYPERLINK("http://anyluxury.ru/shop/odezhda/detskaya-odezhda/futbolka-detskaya-regent-fit-kids-chernaya-664530/" , "6645.30 Футболка детская REGENT FIT KIDS черная, на рост 130-140 см (10 лет)")</f>
      </c>
      <c r="C2545" s="4" t="n">
        <v>486.00</v>
      </c>
      <c r="D2545" s="4"/>
    </row>
    <row collapsed="" customFormat="false" customHeight="1" hidden="" ht="14" outlineLevel="0" r="2546">
      <c r="A2546" s="3" t="inlineStr">
        <is>
          <t>2515</t>
        </is>
      </c>
      <c r="B2546" s="4" t="s">
        <f>=HYPERLINK("http://anyluxury.ru/shop/odezhda/detskaya-odezhda/futbolka-detskaya-regent-fit-kids-chernaya-664530/" , "6645.30 Футболка детская REGENT FIT KIDS черная, на рост 142-152 см (12 лет)")</f>
      </c>
      <c r="C2546" s="4" t="n">
        <v>486.00</v>
      </c>
      <c r="D2546" s="4"/>
    </row>
    <row collapsed="" customFormat="false" customHeight="1" hidden="" ht="14" outlineLevel="0" r="2547">
      <c r="A2547" s="3" t="inlineStr">
        <is>
          <t>2516</t>
        </is>
      </c>
      <c r="B2547" s="4" t="s">
        <f>=HYPERLINK("http://anyluxury.ru/shop/odezhda/detskaya-odezhda/futbolka-detskaya-regent-fit-kids-kobalt-temnosinyaya-664540/" , "6645.40 Футболка детская REGENT FIT KIDS темно-синяя, на рост 106-116 см (6 лет)")</f>
      </c>
      <c r="C2547" s="4" t="n">
        <v>486.00</v>
      </c>
      <c r="D2547" s="4"/>
    </row>
    <row collapsed="" customFormat="false" customHeight="1" hidden="" ht="14" outlineLevel="0" r="2548">
      <c r="A2548" s="3" t="inlineStr">
        <is>
          <t>2517</t>
        </is>
      </c>
      <c r="B2548" s="4" t="s">
        <f>=HYPERLINK("http://anyluxury.ru/shop/odezhda/detskaya-odezhda/futbolka-detskaya-regent-fit-kids-kobalt-temnosinyaya-664540/" , "6645.40 Футболка детская REGENT FIT KIDS темно-синяя, на рост 118-128 см (8 лет)")</f>
      </c>
      <c r="C2548" s="4" t="n">
        <v>486.00</v>
      </c>
      <c r="D2548" s="4"/>
    </row>
    <row collapsed="" customFormat="false" customHeight="1" hidden="" ht="14" outlineLevel="0" r="2549">
      <c r="A2549" s="3" t="inlineStr">
        <is>
          <t>2518</t>
        </is>
      </c>
      <c r="B2549" s="4" t="s">
        <f>=HYPERLINK("http://anyluxury.ru/shop/odezhda/detskaya-odezhda/futbolka-detskaya-regent-fit-kids-kobalt-temnosinyaya-664540/" , "6645.40 Футболка детская REGENT FIT KIDS темно-синяя, на рост 130-140 см (10 лет)")</f>
      </c>
      <c r="C2549" s="4" t="n">
        <v>486.00</v>
      </c>
      <c r="D2549" s="4"/>
    </row>
    <row collapsed="" customFormat="false" customHeight="1" hidden="" ht="14" outlineLevel="0" r="2550">
      <c r="A2550" s="3" t="inlineStr">
        <is>
          <t>2519</t>
        </is>
      </c>
      <c r="B2550" s="4" t="s">
        <f>=HYPERLINK("http://anyluxury.ru/shop/odezhda/detskaya-odezhda/futbolka-detskaya-regent-fit-kids-kobalt-temnosinyaya-664540/" , "6645.40 Футболка детская REGENT FIT KIDS темно-синяя, на рост 142-152 см (12 лет)")</f>
      </c>
      <c r="C2550" s="4" t="n">
        <v>486.00</v>
      </c>
      <c r="D2550" s="4"/>
    </row>
    <row collapsed="" customFormat="false" customHeight="1" hidden="" ht="14" outlineLevel="0" r="2551">
      <c r="A2551" s="3" t="inlineStr">
        <is>
          <t>2520</t>
        </is>
      </c>
      <c r="B2551" s="4" t="s">
        <f>=HYPERLINK("http://anyluxury.ru/shop/odezhda/detskaya-odezhda/futbolka-detskaya-regent-kids-150-rozovaya-orhideya-188656/" , "1886.56 Футболка детская REGENT KIDS 150 розовая орхидея, на рост 96-104 см (4 года)")</f>
      </c>
      <c r="C2551" s="4" t="n">
        <v>468.00</v>
      </c>
      <c r="D2551" s="4"/>
    </row>
    <row collapsed="" customFormat="false" customHeight="1" hidden="" ht="14" outlineLevel="0" r="2552">
      <c r="A2552" s="3" t="inlineStr">
        <is>
          <t>2521</t>
        </is>
      </c>
      <c r="B2552" s="4" t="s">
        <f>=HYPERLINK("http://anyluxury.ru/shop/odezhda/detskaya-odezhda/futbolka-detskaya-regent-kids-150-rozovaya-orhideya-188656/" , "1886.56 Футболка детская REGENT KIDS 150 розовая орхидея, на рост 106-116 см (6 лет)")</f>
      </c>
      <c r="C2552" s="4" t="n">
        <v>468.00</v>
      </c>
      <c r="D2552" s="4"/>
    </row>
    <row collapsed="" customFormat="false" customHeight="1" hidden="" ht="14" outlineLevel="0" r="2553">
      <c r="A2553" s="3" t="inlineStr">
        <is>
          <t>2522</t>
        </is>
      </c>
      <c r="B2553" s="4" t="s">
        <f>=HYPERLINK("http://anyluxury.ru/shop/odezhda/detskaya-odezhda/futbolka-detskaya-regent-kids-150-rozovaya-orhideya-188656/" , "1886.56 Футболка детская REGENT KIDS 150 розовая орхидея, на рост 118-128 см (8 лет)")</f>
      </c>
      <c r="C2553" s="4" t="n">
        <v>468.00</v>
      </c>
      <c r="D2553" s="4"/>
    </row>
    <row collapsed="" customFormat="false" customHeight="1" hidden="" ht="14" outlineLevel="0" r="2554">
      <c r="A2554" s="3" t="inlineStr">
        <is>
          <t>2523</t>
        </is>
      </c>
      <c r="B2554" s="4" t="s">
        <f>=HYPERLINK("http://anyluxury.ru/shop/odezhda/detskaya-odezhda/futbolka-detskaya-regent-kids-150-rozovaya-orhideya-188656/" , "1886.56 Футболка детская REGENT KIDS 150 розовая орхидея, на рост 130-140 см (10 лет)")</f>
      </c>
      <c r="C2554" s="4" t="n">
        <v>468.00</v>
      </c>
      <c r="D2554" s="4"/>
    </row>
    <row collapsed="" customFormat="false" customHeight="1" hidden="" ht="14" outlineLevel="0" r="2555">
      <c r="A2555" s="3" t="inlineStr">
        <is>
          <t>2524</t>
        </is>
      </c>
      <c r="B2555" s="4" t="s">
        <f>=HYPERLINK("http://anyluxury.ru/shop/odezhda/detskaya-odezhda/futbolka-detskaya-regent-kids-150-rozovaya-orhideya-188656/" , "1886.56 Футболка детская REGENT KIDS 150 розовая орхидея, на рост 142-152 см (12 лет)")</f>
      </c>
      <c r="C2555" s="4" t="n">
        <v>468.00</v>
      </c>
      <c r="D2555" s="4"/>
    </row>
    <row collapsed="" customFormat="false" customHeight="1" hidden="" ht="14" outlineLevel="0" r="2556">
      <c r="A2556" s="3" t="inlineStr">
        <is>
          <t>2525</t>
        </is>
      </c>
      <c r="B2556" s="4" t="s">
        <f>=HYPERLINK("http://anyluxury.ru/shop/odezhda/detskaya-odezhda/tolstovka-s-kapyushonom-slam-320-temnoseraya-240110/" , "2401.10 Толстовка с капюшоном SLAM 320, темно-серая, размер XS")</f>
      </c>
      <c r="C2556" s="4" t="n">
        <v>3682.00</v>
      </c>
      <c r="D2556" s="4"/>
    </row>
    <row collapsed="" customFormat="false" customHeight="1" hidden="" ht="14" outlineLevel="0" r="2557">
      <c r="A2557" s="3" t="inlineStr">
        <is>
          <t>2526</t>
        </is>
      </c>
      <c r="B2557" s="4" t="s">
        <f>=HYPERLINK("http://anyluxury.ru/shop/odezhda/detskaya-odezhda/tolstovka-s-kapyushonom-slam-320-temnoseraya-240110/" , "2401.10 Толстовка с капюшоном SLAM 320, темно-серая, размер S")</f>
      </c>
      <c r="C2557" s="4" t="n">
        <v>3682.00</v>
      </c>
      <c r="D2557" s="4"/>
    </row>
    <row collapsed="" customFormat="false" customHeight="1" hidden="" ht="14" outlineLevel="0" r="2558">
      <c r="A2558" s="3" t="inlineStr">
        <is>
          <t>2527</t>
        </is>
      </c>
      <c r="B2558" s="4" t="s">
        <f>=HYPERLINK("http://anyluxury.ru/shop/odezhda/detskaya-odezhda/tolstovka-s-kapyushonom-slam-320-temnoseraya-240110/" , "2401.10 Толстовка с капюшоном SLAM 320, темно-серая, размер M")</f>
      </c>
      <c r="C2558" s="4" t="n">
        <v>3682.00</v>
      </c>
      <c r="D2558" s="4"/>
    </row>
    <row collapsed="" customFormat="false" customHeight="1" hidden="" ht="14" outlineLevel="0" r="2559">
      <c r="A2559" s="3" t="inlineStr">
        <is>
          <t>2528</t>
        </is>
      </c>
      <c r="B2559" s="4" t="s">
        <f>=HYPERLINK("http://anyluxury.ru/shop/odezhda/detskaya-odezhda/tolstovka-s-kapyushonom-slam-320-temnoseraya-240110/" , "2401.10 Толстовка с капюшоном SLAM 320, темно-серая, размер L")</f>
      </c>
      <c r="C2559" s="4" t="n">
        <v>3682.00</v>
      </c>
      <c r="D2559" s="4"/>
    </row>
    <row collapsed="" customFormat="false" customHeight="1" hidden="" ht="14" outlineLevel="0" r="2560">
      <c r="A2560" s="3" t="inlineStr">
        <is>
          <t>2529</t>
        </is>
      </c>
      <c r="B2560" s="4" t="s">
        <f>=HYPERLINK("http://anyluxury.ru/shop/odezhda/detskaya-odezhda/tolstovka-s-kapyushonom-slam-320-temnoseraya-240110/" , "2401.10 Толстовка с капюшоном SLAM 320, темно-серая, размер XL")</f>
      </c>
      <c r="C2560" s="4" t="n">
        <v>3682.00</v>
      </c>
      <c r="D2560" s="4"/>
    </row>
    <row collapsed="" customFormat="false" customHeight="1" hidden="" ht="14" outlineLevel="0" r="2561">
      <c r="A2561" s="3" t="inlineStr">
        <is>
          <t>2530</t>
        </is>
      </c>
      <c r="B2561" s="4" t="s">
        <f>=HYPERLINK("http://anyluxury.ru/shop/odezhda/detskaya-odezhda/tolstovka-s-kapyushonom-slam-320-temnoseraya-240110/" , "2401.10 Толстовка с капюшоном SLAM 320, темно-серая, размер XXL")</f>
      </c>
      <c r="C2561" s="4" t="n">
        <v>3682.00</v>
      </c>
      <c r="D2561" s="4"/>
    </row>
    <row collapsed="" customFormat="false" customHeight="1" hidden="" ht="14" outlineLevel="0" r="2562">
      <c r="A2562" s="3" t="inlineStr">
        <is>
          <t>2531</t>
        </is>
      </c>
      <c r="B2562" s="4" t="s">
        <f>=HYPERLINK("http://anyluxury.ru/shop/odezhda/detskaya-odezhda/tolstovka-s-kapyushonom-slam-320-svetloseriy-melanzh-240116/" , "2401.16 Толстовка с капюшоном SLAM 320, светло-серый меланж, размер XS")</f>
      </c>
      <c r="C2562" s="4" t="n">
        <v>3682.00</v>
      </c>
      <c r="D2562" s="4"/>
    </row>
    <row collapsed="" customFormat="false" customHeight="1" hidden="" ht="14" outlineLevel="0" r="2563">
      <c r="A2563" s="3" t="inlineStr">
        <is>
          <t>2532</t>
        </is>
      </c>
      <c r="B2563" s="4" t="s">
        <f>=HYPERLINK("http://anyluxury.ru/shop/odezhda/detskaya-odezhda/tolstovka-s-kapyushonom-slam-320-svetloseriy-melanzh-240116/" , "2401.16 Толстовка с капюшоном SLAM 320, светло-серый меланж, размер S")</f>
      </c>
      <c r="C2563" s="4" t="n">
        <v>3682.00</v>
      </c>
      <c r="D2563" s="4"/>
    </row>
    <row collapsed="" customFormat="false" customHeight="1" hidden="" ht="14" outlineLevel="0" r="2564">
      <c r="A2564" s="3" t="inlineStr">
        <is>
          <t>2533</t>
        </is>
      </c>
      <c r="B2564" s="4" t="s">
        <f>=HYPERLINK("http://anyluxury.ru/shop/odezhda/detskaya-odezhda/tolstovka-s-kapyushonom-slam-320-svetloseriy-melanzh-240116/" , "2401.16 Толстовка с капюшоном SLAM 320, светло-серый меланж, размер M")</f>
      </c>
      <c r="C2564" s="4" t="n">
        <v>3682.00</v>
      </c>
      <c r="D2564" s="4"/>
    </row>
    <row collapsed="" customFormat="false" customHeight="1" hidden="" ht="14" outlineLevel="0" r="2565">
      <c r="A2565" s="3" t="inlineStr">
        <is>
          <t>2534</t>
        </is>
      </c>
      <c r="B2565" s="4" t="s">
        <f>=HYPERLINK("http://anyluxury.ru/shop/odezhda/detskaya-odezhda/tolstovka-s-kapyushonom-slam-320-svetloseriy-melanzh-240116/" , "2401.16 Толстовка с капюшоном SLAM 320, светло-серый меланж, размер L")</f>
      </c>
      <c r="C2565" s="4" t="n">
        <v>3682.00</v>
      </c>
      <c r="D2565" s="4"/>
    </row>
    <row collapsed="" customFormat="false" customHeight="1" hidden="" ht="14" outlineLevel="0" r="2566">
      <c r="A2566" s="3" t="inlineStr">
        <is>
          <t>2535</t>
        </is>
      </c>
      <c r="B2566" s="4" t="s">
        <f>=HYPERLINK("http://anyluxury.ru/shop/odezhda/detskaya-odezhda/tolstovka-s-kapyushonom-slam-320-svetloseriy-melanzh-240116/" , "2401.16 Толстовка с капюшоном SLAM 320, светло-серый меланж, размер XL")</f>
      </c>
      <c r="C2566" s="4" t="n">
        <v>3682.00</v>
      </c>
      <c r="D2566" s="4"/>
    </row>
    <row collapsed="" customFormat="false" customHeight="1" hidden="" ht="14" outlineLevel="0" r="2567">
      <c r="A2567" s="3" t="inlineStr">
        <is>
          <t>2536</t>
        </is>
      </c>
      <c r="B2567" s="4" t="s">
        <f>=HYPERLINK("http://anyluxury.ru/shop/odezhda/detskaya-odezhda/tolstovka-s-kapyushonom-slam-320-svetloseriy-melanzh-240116/" , "2401.16 Толстовка с капюшоном SLAM 320, светло-серый меланж, размер XXL")</f>
      </c>
      <c r="C2567" s="4" t="n">
        <v>3682.00</v>
      </c>
      <c r="D2567" s="4"/>
    </row>
    <row collapsed="" customFormat="false" customHeight="1" hidden="" ht="14" outlineLevel="0" r="2568">
      <c r="A2568" s="3" t="inlineStr">
        <is>
          <t>2537</t>
        </is>
      </c>
      <c r="B2568" s="4" t="s">
        <f>=HYPERLINK("http://anyluxury.ru/shop/odezhda/detskaya-odezhda/tolstovka-s-kapyushonom-slam-320-yarkorozovaya-fuksiya-240157/" , "2401.57 Толстовка с капюшоном SLAM 320, ярко-розовая (фуксия), размер XS")</f>
      </c>
      <c r="C2568" s="4" t="n">
        <v>3682.00</v>
      </c>
      <c r="D2568" s="4"/>
    </row>
    <row collapsed="" customFormat="false" customHeight="1" hidden="" ht="14" outlineLevel="0" r="2569">
      <c r="A2569" s="3" t="inlineStr">
        <is>
          <t>2538</t>
        </is>
      </c>
      <c r="B2569" s="4" t="s">
        <f>=HYPERLINK("http://anyluxury.ru/shop/odezhda/detskaya-odezhda/tolstovka-s-kapyushonom-slam-320-yarkorozovaya-fuksiya-240157/" , "2401.57 Толстовка с капюшоном SLAM 320, ярко-розовая (фуксия), размер S")</f>
      </c>
      <c r="C2569" s="4" t="n">
        <v>3682.00</v>
      </c>
      <c r="D2569" s="4"/>
    </row>
    <row collapsed="" customFormat="false" customHeight="1" hidden="" ht="14" outlineLevel="0" r="2570">
      <c r="A2570" s="3" t="inlineStr">
        <is>
          <t>2539</t>
        </is>
      </c>
      <c r="B2570" s="4" t="s">
        <f>=HYPERLINK("http://anyluxury.ru/shop/odezhda/detskaya-odezhda/tolstovka-s-kapyushonom-slam-320-yarkorozovaya-fuksiya-240157/" , "2401.57 Толстовка с капюшоном SLAM 320, ярко-розовая (фуксия), размер M")</f>
      </c>
      <c r="C2570" s="4" t="n">
        <v>3682.00</v>
      </c>
      <c r="D2570" s="4"/>
    </row>
    <row collapsed="" customFormat="false" customHeight="1" hidden="" ht="14" outlineLevel="0" r="2571">
      <c r="A2571" s="3" t="inlineStr">
        <is>
          <t>2540</t>
        </is>
      </c>
      <c r="B2571" s="4" t="s">
        <f>=HYPERLINK("http://anyluxury.ru/shop/odezhda/detskaya-odezhda/tolstovka-s-kapyushonom-slam-320-yarkorozovaya-fuksiya-240157/" , "2401.57 Толстовка с капюшоном SLAM 320, ярко-розовая (фуксия), размер L")</f>
      </c>
      <c r="C2571" s="4" t="n">
        <v>3682.00</v>
      </c>
      <c r="D2571" s="4"/>
    </row>
    <row collapsed="" customFormat="false" customHeight="1" hidden="" ht="14" outlineLevel="0" r="2572">
      <c r="A2572" s="3" t="inlineStr">
        <is>
          <t>2541</t>
        </is>
      </c>
      <c r="B2572" s="4" t="s">
        <f>=HYPERLINK("http://anyluxury.ru/shop/odezhda/detskaya-odezhda/tolstovka-s-kapyushonom-slam-320-yarkorozovaya-fuksiya-240157/" , "2401.57 Толстовка с капюшоном SLAM 320, ярко-розовая (фуксия), размер XL")</f>
      </c>
      <c r="C2572" s="4" t="n">
        <v>3682.00</v>
      </c>
      <c r="D2572" s="4"/>
    </row>
    <row collapsed="" customFormat="false" customHeight="1" hidden="" ht="14" outlineLevel="0" r="2573">
      <c r="A2573" s="3" t="inlineStr">
        <is>
          <t>2542</t>
        </is>
      </c>
      <c r="B2573" s="4" t="s">
        <f>=HYPERLINK("http://anyluxury.ru/shop/odezhda/detskaya-odezhda/tolstovka-s-kapyushonom-slam-320-yarkorozovaya-fuksiya-240157/" , "2401.57 Толстовка с капюшоном SLAM 320, ярко-розовая (фуксия), размер XXL")</f>
      </c>
      <c r="C2573" s="4" t="n">
        <v>3682.00</v>
      </c>
      <c r="D2573" s="4"/>
    </row>
    <row collapsed="" customFormat="false" customHeight="1" hidden="" ht="14" outlineLevel="0" r="2574">
      <c r="A2574" s="3" t="inlineStr">
        <is>
          <t>2543</t>
        </is>
      </c>
      <c r="B2574" s="4" t="s">
        <f>=HYPERLINK("http://anyluxury.ru/shop/odezhda/detskaya-odezhda/dozhdevik-v-kruglom-futlyare-nimbus-zheltiy-535480/" , "5354.80 Дождевик в круглом футляре Nimbus, желтый")</f>
      </c>
      <c r="C2574" s="4" t="n">
        <v>163.00</v>
      </c>
      <c r="D2574" s="4"/>
    </row>
    <row collapsed="" customFormat="false" customHeight="1" hidden="" ht="14" outlineLevel="0" r="2575">
      <c r="A2575" s="3" t="inlineStr">
        <is>
          <t>2544</t>
        </is>
      </c>
      <c r="B2575" s="4" t="s">
        <f>=HYPERLINK("http://anyluxury.ru/shop/odezhda/detskaya-odezhda/futbolka-zhenskaya-s-dlinnim-rukavom-majestic-golubaya-11425321/" , "11425321 Футболка женская с длинным рукавом MAJESTIC голубая, размер S")</f>
      </c>
      <c r="C2575" s="4" t="n">
        <v>930.00</v>
      </c>
      <c r="D2575" s="4"/>
    </row>
    <row collapsed="" customFormat="false" customHeight="1" hidden="" ht="14" outlineLevel="0" r="2576">
      <c r="A2576" s="3" t="inlineStr">
        <is>
          <t>2545</t>
        </is>
      </c>
      <c r="B2576" s="4" t="s">
        <f>=HYPERLINK("http://anyluxury.ru/shop/odezhda/detskaya-odezhda/futbolka-zhenskaya-s-dlinnim-rukavom-majestic-golubaya-11425321/" , "11425321 Футболка женская с длинным рукавом MAJESTIC голубая, размер M")</f>
      </c>
      <c r="C2576" s="4" t="n">
        <v>930.00</v>
      </c>
      <c r="D2576" s="4"/>
    </row>
    <row collapsed="" customFormat="false" customHeight="1" hidden="" ht="14" outlineLevel="0" r="2577">
      <c r="A2577" s="3" t="inlineStr">
        <is>
          <t>2546</t>
        </is>
      </c>
      <c r="B2577" s="4" t="s">
        <f>=HYPERLINK("http://anyluxury.ru/shop/odezhda/detskaya-odezhda/futbolka-zhenskaya-s-dlinnim-rukavom-majestic-golubaya-11425321/" , "11425321 Футболка женская с длинным рукавом MAJESTIC голубая, размер L")</f>
      </c>
      <c r="C2577" s="4" t="n">
        <v>930.00</v>
      </c>
      <c r="D2577" s="4"/>
    </row>
    <row collapsed="" customFormat="false" customHeight="1" hidden="" ht="14" outlineLevel="0" r="2578">
      <c r="A2578" s="3" t="inlineStr">
        <is>
          <t>2547</t>
        </is>
      </c>
      <c r="B2578" s="4" t="s">
        <f>=HYPERLINK("http://anyluxury.ru/shop/odezhda/detskaya-odezhda/futbolka-zhenskaya-s-dlinnim-rukavom-majestic-golubaya-11425321/" , "11425321 Футболка женская с длинным рукавом MAJESTIC голубая, размер XL")</f>
      </c>
      <c r="C2578" s="4" t="n">
        <v>930.00</v>
      </c>
      <c r="D2578" s="4"/>
    </row>
    <row collapsed="" customFormat="false" customHeight="1" hidden="" ht="14" outlineLevel="0" r="2579">
      <c r="A2579" s="3" t="inlineStr">
        <is>
          <t>2548</t>
        </is>
      </c>
      <c r="B2579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S")</f>
      </c>
      <c r="C2579" s="4" t="n">
        <v>877.00</v>
      </c>
      <c r="D2579" s="4"/>
    </row>
    <row collapsed="" customFormat="false" customHeight="1" hidden="" ht="14" outlineLevel="0" r="2580">
      <c r="A2580" s="3" t="inlineStr">
        <is>
          <t>2549</t>
        </is>
      </c>
      <c r="B2580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M")</f>
      </c>
      <c r="C2580" s="4" t="n">
        <v>877.00</v>
      </c>
      <c r="D2580" s="4"/>
    </row>
    <row collapsed="" customFormat="false" customHeight="1" hidden="" ht="14" outlineLevel="0" r="2581">
      <c r="A2581" s="3" t="inlineStr">
        <is>
          <t>2550</t>
        </is>
      </c>
      <c r="B2581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L")</f>
      </c>
      <c r="C2581" s="4" t="n">
        <v>877.00</v>
      </c>
      <c r="D2581" s="4"/>
    </row>
    <row collapsed="" customFormat="false" customHeight="1" hidden="" ht="14" outlineLevel="0" r="2582">
      <c r="A2582" s="3" t="inlineStr">
        <is>
          <t>2551</t>
        </is>
      </c>
      <c r="B2582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XL")</f>
      </c>
      <c r="C2582" s="4" t="n">
        <v>877.00</v>
      </c>
      <c r="D2582" s="4"/>
    </row>
    <row collapsed="" customFormat="false" customHeight="1" hidden="" ht="14" outlineLevel="0" r="2583">
      <c r="A2583" s="3" t="inlineStr">
        <is>
          <t>2552</t>
        </is>
      </c>
      <c r="B2583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S")</f>
      </c>
      <c r="C2583" s="4" t="n">
        <v>930.00</v>
      </c>
      <c r="D2583" s="4"/>
    </row>
    <row collapsed="" customFormat="false" customHeight="1" hidden="" ht="14" outlineLevel="0" r="2584">
      <c r="A2584" s="3" t="inlineStr">
        <is>
          <t>2553</t>
        </is>
      </c>
      <c r="B2584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M")</f>
      </c>
      <c r="C2584" s="4" t="n">
        <v>930.00</v>
      </c>
      <c r="D2584" s="4"/>
    </row>
    <row collapsed="" customFormat="false" customHeight="1" hidden="" ht="14" outlineLevel="0" r="2585">
      <c r="A2585" s="3" t="inlineStr">
        <is>
          <t>2554</t>
        </is>
      </c>
      <c r="B2585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L")</f>
      </c>
      <c r="C2585" s="4" t="n">
        <v>930.00</v>
      </c>
      <c r="D2585" s="4"/>
    </row>
    <row collapsed="" customFormat="false" customHeight="1" hidden="" ht="14" outlineLevel="0" r="2586">
      <c r="A2586" s="3" t="inlineStr">
        <is>
          <t>2555</t>
        </is>
      </c>
      <c r="B2586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XL")</f>
      </c>
      <c r="C2586" s="4" t="n">
        <v>930.00</v>
      </c>
      <c r="D2586" s="4"/>
    </row>
    <row collapsed="" customFormat="false" customHeight="1" hidden="" ht="14" outlineLevel="0" r="2587">
      <c r="A2587" s="3" t="inlineStr">
        <is>
          <t>2556</t>
        </is>
      </c>
      <c r="B2587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S")</f>
      </c>
      <c r="C2587" s="4" t="n">
        <v>877.00</v>
      </c>
      <c r="D2587" s="4"/>
    </row>
    <row collapsed="" customFormat="false" customHeight="1" hidden="" ht="14" outlineLevel="0" r="2588">
      <c r="A2588" s="3" t="inlineStr">
        <is>
          <t>2557</t>
        </is>
      </c>
      <c r="B2588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M")</f>
      </c>
      <c r="C2588" s="4" t="n">
        <v>877.00</v>
      </c>
      <c r="D2588" s="4"/>
    </row>
    <row collapsed="" customFormat="false" customHeight="1" hidden="" ht="14" outlineLevel="0" r="2589">
      <c r="A2589" s="3" t="inlineStr">
        <is>
          <t>2558</t>
        </is>
      </c>
      <c r="B2589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L")</f>
      </c>
      <c r="C2589" s="4" t="n">
        <v>877.00</v>
      </c>
      <c r="D2589" s="4"/>
    </row>
    <row collapsed="" customFormat="false" customHeight="1" hidden="" ht="14" outlineLevel="0" r="2590">
      <c r="A2590" s="3" t="inlineStr">
        <is>
          <t>2559</t>
        </is>
      </c>
      <c r="B2590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XL")</f>
      </c>
      <c r="C2590" s="4" t="n">
        <v>877.00</v>
      </c>
      <c r="D2590" s="4"/>
    </row>
    <row collapsed="" customFormat="false" customHeight="1" hidden="" ht="14" outlineLevel="0" r="2591">
      <c r="A2591" s="3" t="inlineStr">
        <is>
          <t>2560</t>
        </is>
      </c>
      <c r="B2591" s="4" t="s">
        <f>=HYPERLINK("http://anyluxury.ru/shop/odezhda/detskaya-odezhda/futbolka-muzhskaya-s-dlinnim-rukavom-monarch-golubaya-11420321/" , "11420321 Футболка мужская с длинным рукавом MONARCH голубая, размер S")</f>
      </c>
      <c r="C2591" s="4" t="n">
        <v>970.00</v>
      </c>
      <c r="D2591" s="4"/>
    </row>
    <row collapsed="" customFormat="false" customHeight="1" hidden="" ht="14" outlineLevel="0" r="2592">
      <c r="A2592" s="3" t="inlineStr">
        <is>
          <t>2561</t>
        </is>
      </c>
      <c r="B2592" s="4" t="s">
        <f>=HYPERLINK("http://anyluxury.ru/shop/odezhda/detskaya-odezhda/futbolka-muzhskaya-s-dlinnim-rukavom-monarch-golubaya-11420321/" , "11420321 Футболка мужская с длинным рукавом MONARCH голубая, размер M")</f>
      </c>
      <c r="C2592" s="4" t="n">
        <v>970.00</v>
      </c>
      <c r="D2592" s="4"/>
    </row>
    <row collapsed="" customFormat="false" customHeight="1" hidden="" ht="14" outlineLevel="0" r="2593">
      <c r="A2593" s="3" t="inlineStr">
        <is>
          <t>2562</t>
        </is>
      </c>
      <c r="B2593" s="4" t="s">
        <f>=HYPERLINK("http://anyluxury.ru/shop/odezhda/detskaya-odezhda/futbolka-muzhskaya-s-dlinnim-rukavom-monarch-golubaya-11420321/" , "11420321 Футболка мужская с длинным рукавом MONARCH голубая, размер L")</f>
      </c>
      <c r="C2593" s="4" t="n">
        <v>970.00</v>
      </c>
      <c r="D2593" s="4"/>
    </row>
    <row collapsed="" customFormat="false" customHeight="1" hidden="" ht="14" outlineLevel="0" r="2594">
      <c r="A2594" s="3" t="inlineStr">
        <is>
          <t>2563</t>
        </is>
      </c>
      <c r="B2594" s="4" t="s">
        <f>=HYPERLINK("http://anyluxury.ru/shop/odezhda/detskaya-odezhda/futbolka-muzhskaya-s-dlinnim-rukavom-monarch-golubaya-11420321/" , "11420321 Футболка мужская с длинным рукавом MONARCH голубая, размер XL")</f>
      </c>
      <c r="C2594" s="4" t="n">
        <v>970.00</v>
      </c>
      <c r="D2594" s="4"/>
    </row>
    <row collapsed="" customFormat="false" customHeight="1" hidden="" ht="14" outlineLevel="0" r="2595">
      <c r="A2595" s="3" t="inlineStr">
        <is>
          <t>2564</t>
        </is>
      </c>
      <c r="B2595" s="4" t="s">
        <f>=HYPERLINK("http://anyluxury.ru/shop/odezhda/detskaya-odezhda/futbolka-muzhskaya-s-dlinnim-rukavom-monarch-golubaya-11420321/" , "11420321 Футболка мужская с длинным рукавом MONARCH голубая, размер XXL")</f>
      </c>
      <c r="C2595" s="4" t="n">
        <v>970.00</v>
      </c>
      <c r="D2595" s="4"/>
    </row>
    <row collapsed="" customFormat="false" customHeight="1" hidden="" ht="14" outlineLevel="0" r="2596">
      <c r="A2596" s="3" t="inlineStr">
        <is>
          <t>2565</t>
        </is>
      </c>
      <c r="B2596" s="4" t="s">
        <f>=HYPERLINK("http://anyluxury.ru/shop/odezhda/detskaya-odezhda/futbolka-muzhskaya-s-dlinnim-rukavom-monarch-golubaya-11420321/" , "11420321 Футболка мужская с длинным рукавом MONARCH голубая, размер 3XL")</f>
      </c>
      <c r="C2596" s="4" t="n">
        <v>1179.00</v>
      </c>
      <c r="D2596" s="4"/>
    </row>
    <row collapsed="" customFormat="false" customHeight="1" hidden="" ht="14" outlineLevel="0" r="2597">
      <c r="A2597" s="3" t="inlineStr">
        <is>
          <t>2566</t>
        </is>
      </c>
      <c r="B2597" s="4" t="s">
        <f>=HYPERLINK("http://anyluxury.ru/shop/odezhda/detskaya-odezhda/kurtka-muzhskaya-north-300-yarkobiryuzovaya-55000321/" , "55000321 Куртка мужская North ярко-бирюзовая, размер XS")</f>
      </c>
      <c r="C2597" s="4" t="n">
        <v>2813.00</v>
      </c>
      <c r="D2597" s="4"/>
    </row>
    <row collapsed="" customFormat="false" customHeight="1" hidden="" ht="14" outlineLevel="0" r="2598">
      <c r="A2598" s="3" t="inlineStr">
        <is>
          <t>2567</t>
        </is>
      </c>
      <c r="B2598" s="4" t="s">
        <f>=HYPERLINK("http://anyluxury.ru/shop/odezhda/detskaya-odezhda/kurtka-muzhskaya-north-300-yarkobiryuzovaya-55000321/" , "55000321 Куртка мужская North ярко-бирюзовая, размер S")</f>
      </c>
      <c r="C2598" s="4" t="n">
        <v>2813.00</v>
      </c>
      <c r="D2598" s="4"/>
    </row>
    <row collapsed="" customFormat="false" customHeight="1" hidden="" ht="14" outlineLevel="0" r="2599">
      <c r="A2599" s="3" t="inlineStr">
        <is>
          <t>2568</t>
        </is>
      </c>
      <c r="B2599" s="4" t="s">
        <f>=HYPERLINK("http://anyluxury.ru/shop/odezhda/detskaya-odezhda/kurtka-muzhskaya-north-300-yarkobiryuzovaya-55000321/" , "55000321 Куртка мужская North ярко-бирюзовая, размер XL")</f>
      </c>
      <c r="C2599" s="4" t="n">
        <v>2813.00</v>
      </c>
      <c r="D2599" s="4"/>
    </row>
    <row collapsed="" customFormat="false" customHeight="1" hidden="" ht="14" outlineLevel="0" r="2600">
      <c r="A2600" s="3" t="inlineStr">
        <is>
          <t>2569</t>
        </is>
      </c>
      <c r="B2600" s="4" t="s">
        <f>=HYPERLINK("http://anyluxury.ru/shop/odezhda/detskaya-odezhda/kurtka-muzhskaya-north-300-yarkobiryuzovaya-55000321/" , "55000321 Куртка мужская North ярко-бирюзовая, размер XXL")</f>
      </c>
      <c r="C2600" s="4" t="n">
        <v>2813.00</v>
      </c>
      <c r="D2600" s="4"/>
    </row>
    <row collapsed="" customFormat="false" customHeight="1" hidden="" ht="14" outlineLevel="0" r="2601">
      <c r="A2601" s="3" t="inlineStr">
        <is>
          <t>2570</t>
        </is>
      </c>
      <c r="B2601" s="4" t="s">
        <f>=HYPERLINK("http://anyluxury.ru/shop/odezhda/detskaya-odezhda/kurtka-muzhskaya-north-300-yarkobiryuzovaya-55000321/" , "55000321 Куртка мужская North ярко-бирюзовая, размер 3XL")</f>
      </c>
      <c r="C2601" s="4" t="n">
        <v>3260.00</v>
      </c>
      <c r="D2601" s="4"/>
    </row>
    <row collapsed="" customFormat="false" customHeight="1" hidden="" ht="14" outlineLevel="0" r="2602">
      <c r="A2602" s="3" t="inlineStr">
        <is>
          <t>2571</t>
        </is>
      </c>
      <c r="B2602" s="4" t="s">
        <f>=HYPERLINK("http://anyluxury.ru/shop/odezhda/detskaya-odezhda/kurtka-zhenskaya-north-women-zeleniy-laym-54500281/" , "54500281 Куртка женская Notrth Women, зеленый лайм, размер S")</f>
      </c>
      <c r="C2602" s="4" t="n">
        <v>2594.00</v>
      </c>
      <c r="D2602" s="4"/>
    </row>
    <row collapsed="" customFormat="false" customHeight="1" hidden="" ht="14" outlineLevel="0" r="2603">
      <c r="A2603" s="3" t="inlineStr">
        <is>
          <t>2572</t>
        </is>
      </c>
      <c r="B2603" s="4" t="s">
        <f>=HYPERLINK("http://anyluxury.ru/shop/odezhda/detskaya-odezhda/kurtka-zhenskaya-north-women-zeleniy-laym-54500281/" , "54500281 Куртка женская Notrth Women, зеленый лайм, размер M")</f>
      </c>
      <c r="C2603" s="4" t="n">
        <v>2594.00</v>
      </c>
      <c r="D2603" s="4"/>
    </row>
    <row collapsed="" customFormat="false" customHeight="1" hidden="" ht="14" outlineLevel="0" r="2604">
      <c r="A2604" s="3" t="inlineStr">
        <is>
          <t>2573</t>
        </is>
      </c>
      <c r="B2604" s="4" t="s">
        <f>=HYPERLINK("http://anyluxury.ru/shop/odezhda/detskaya-odezhda/kurtka-zhenskaya-north-women-zeleniy-laym-54500281/" , "54500281 Куртка женская Notrth Women, зеленый лайм, размер L")</f>
      </c>
      <c r="C2604" s="4" t="n">
        <v>2594.00</v>
      </c>
      <c r="D2604" s="4"/>
    </row>
    <row collapsed="" customFormat="false" customHeight="1" hidden="" ht="14" outlineLevel="0" r="2605">
      <c r="A2605" s="3" t="inlineStr">
        <is>
          <t>2574</t>
        </is>
      </c>
      <c r="B2605" s="4" t="s">
        <f>=HYPERLINK("http://anyluxury.ru/shop/odezhda/detskaya-odezhda/kurtka-zhenskaya-north-women-zeleniy-laym-54500281/" , "54500281 Куртка женская Notrth Women, зеленый лайм, размер XL")</f>
      </c>
      <c r="C2605" s="4" t="n">
        <v>2594.00</v>
      </c>
      <c r="D2605" s="4"/>
    </row>
    <row collapsed="" customFormat="false" customHeight="1" hidden="" ht="14" outlineLevel="0" r="2606">
      <c r="A2606" s="3" t="inlineStr">
        <is>
          <t>2575</t>
        </is>
      </c>
      <c r="B2606" s="4" t="s">
        <f>=HYPERLINK("http://anyluxury.ru/shop/odezhda/detskaya-odezhda/kurtka-zhenskaya-north-women-zeleniy-laym-54500281/" , "54500281 Куртка женская Notrth Women, зеленый лайм, размер XXL")</f>
      </c>
      <c r="C2606" s="4" t="n">
        <v>2594.00</v>
      </c>
      <c r="D2606" s="4"/>
    </row>
    <row collapsed="" customFormat="false" customHeight="1" hidden="" ht="14" outlineLevel="0" r="2607">
      <c r="A2607" s="3" t="inlineStr">
        <is>
          <t>2576</t>
        </is>
      </c>
      <c r="B2607" s="4" t="s">
        <f>=HYPERLINK("http://anyluxury.ru/shop/odezhda/detskaya-odezhda/kurtka-zhenskaya-north-women-yarkosinyaya-royal-54500241/" , "54500241 Куртка женская North Women, ярко-синяя (royal), размер S")</f>
      </c>
      <c r="C2607" s="4" t="n">
        <v>2594.00</v>
      </c>
      <c r="D2607" s="4"/>
    </row>
    <row collapsed="" customFormat="false" customHeight="1" hidden="" ht="14" outlineLevel="0" r="2608">
      <c r="A2608" s="3" t="inlineStr">
        <is>
          <t>2577</t>
        </is>
      </c>
      <c r="B2608" s="4" t="s">
        <f>=HYPERLINK("http://anyluxury.ru/shop/odezhda/detskaya-odezhda/kurtka-zhenskaya-north-women-yarkosinyaya-royal-54500241/" , "54500241 Куртка женская North Women, ярко-синяя (royal), размер M")</f>
      </c>
      <c r="C2608" s="4" t="n">
        <v>2594.00</v>
      </c>
      <c r="D2608" s="4"/>
    </row>
    <row collapsed="" customFormat="false" customHeight="1" hidden="" ht="14" outlineLevel="0" r="2609">
      <c r="A2609" s="3" t="inlineStr">
        <is>
          <t>2578</t>
        </is>
      </c>
      <c r="B2609" s="4" t="s">
        <f>=HYPERLINK("http://anyluxury.ru/shop/odezhda/detskaya-odezhda/kurtka-zhenskaya-north-women-yarkosinyaya-royal-54500241/" , "54500241 Куртка женская North Women, ярко-синяя (royal), размер L")</f>
      </c>
      <c r="C2609" s="4" t="n">
        <v>2594.00</v>
      </c>
      <c r="D2609" s="4"/>
    </row>
    <row collapsed="" customFormat="false" customHeight="1" hidden="" ht="14" outlineLevel="0" r="2610">
      <c r="A2610" s="3" t="inlineStr">
        <is>
          <t>2579</t>
        </is>
      </c>
      <c r="B2610" s="4" t="s">
        <f>=HYPERLINK("http://anyluxury.ru/shop/odezhda/detskaya-odezhda/kurtka-zhenskaya-north-women-yarkosinyaya-royal-54500241/" , "54500241 Куртка женская North Women, ярко-синяя (royal), размер XL")</f>
      </c>
      <c r="C2610" s="4" t="n">
        <v>2594.00</v>
      </c>
      <c r="D2610" s="4"/>
    </row>
    <row collapsed="" customFormat="false" customHeight="1" hidden="" ht="14" outlineLevel="0" r="2611">
      <c r="A2611" s="3" t="inlineStr">
        <is>
          <t>2580</t>
        </is>
      </c>
      <c r="B2611" s="4" t="s">
        <f>=HYPERLINK("http://anyluxury.ru/shop/odezhda/detskaya-odezhda/kurtka-zhenskaya-north-women-yarkosinyaya-royal-54500241/" , "54500241 Куртка женская North Women, ярко-синяя (royal), размер XXL")</f>
      </c>
      <c r="C2611" s="4" t="n">
        <v>2594.00</v>
      </c>
      <c r="D2611" s="4"/>
    </row>
    <row collapsed="" customFormat="false" customHeight="1" hidden="" ht="14" outlineLevel="0" r="2612">
      <c r="A2612" s="3" t="inlineStr">
        <is>
          <t>2581</t>
        </is>
      </c>
      <c r="B2612" s="4" t="s">
        <f>=HYPERLINK("http://anyluxury.ru/shop/odezhda/detskaya-odezhda/futbolka-muzhskaya-marine-men-belaya-s-krasnim-01402987/" , "01402987 Футболка мужская MARINE MEN, белый/красный, размер S")</f>
      </c>
      <c r="C2612" s="4" t="n">
        <v>1683.00</v>
      </c>
      <c r="D2612" s="4"/>
    </row>
    <row collapsed="" customFormat="false" customHeight="1" hidden="" ht="14" outlineLevel="0" r="2613">
      <c r="A2613" s="3" t="inlineStr">
        <is>
          <t>2582</t>
        </is>
      </c>
      <c r="B2613" s="4" t="s">
        <f>=HYPERLINK("http://anyluxury.ru/shop/odezhda/detskaya-odezhda/futbolka-muzhskaya-marine-men-belaya-s-krasnim-01402987/" , "01402987 Футболка мужская MARINE MEN, белый/красный, размер L")</f>
      </c>
      <c r="C2613" s="4" t="n">
        <v>1683.00</v>
      </c>
      <c r="D2613" s="4"/>
    </row>
    <row collapsed="" customFormat="false" customHeight="1" hidden="" ht="14" outlineLevel="0" r="2614">
      <c r="A2614" s="3" t="inlineStr">
        <is>
          <t>2583</t>
        </is>
      </c>
      <c r="B2614" s="4" t="s">
        <f>=HYPERLINK("http://anyluxury.ru/shop/odezhda/detskaya-odezhda/futbolka-muzhskaya-marine-men-belaya-s-krasnim-01402987/" , "01402987 Футболка мужская MARINE MEN, белый/красный, размер XXL")</f>
      </c>
      <c r="C2614" s="4" t="n">
        <v>1683.00</v>
      </c>
      <c r="D2614" s="4"/>
    </row>
    <row collapsed="" customFormat="false" customHeight="1" hidden="" ht="14" outlineLevel="0" r="2615">
      <c r="A2615" s="3" t="inlineStr">
        <is>
          <t>2584</t>
        </is>
      </c>
      <c r="B2615" s="4" t="s">
        <f>=HYPERLINK("http://anyluxury.ru/shop/odezhda/detskaya-odezhda/futbolka-zhenskaya-marine-women-belaya-s-krasnim-01403987/" , "01403987 Футболка женская MARINE WOMEN, белый/красный, размер XS")</f>
      </c>
      <c r="C2615" s="4" t="n">
        <v>1939.00</v>
      </c>
      <c r="D2615" s="4"/>
    </row>
    <row collapsed="" customFormat="false" customHeight="1" hidden="" ht="14" outlineLevel="0" r="2616">
      <c r="A2616" s="3" t="inlineStr">
        <is>
          <t>2585</t>
        </is>
      </c>
      <c r="B2616" s="4" t="s">
        <f>=HYPERLINK("http://anyluxury.ru/shop/odezhda/detskaya-odezhda/futbolka-zhenskaya-marine-women-belaya-s-krasnim-01403987/" , "01403987 Футболка женская MARINE WOMEN, белый/красный, размер XL")</f>
      </c>
      <c r="C2616" s="4" t="n">
        <v>1939.00</v>
      </c>
      <c r="D2616" s="4"/>
    </row>
    <row collapsed="" customFormat="false" customHeight="1" hidden="" ht="14" outlineLevel="0" r="2617">
      <c r="A2617" s="3" t="inlineStr">
        <is>
          <t>2586</t>
        </is>
      </c>
      <c r="B2617" s="4" t="s">
        <f>=HYPERLINK("http://anyluxury.ru/shop/odezhda/detskaya-odezhda/futbolka-detskaya-miles-kids-seriy-s-zheltim-01400798/" , "01400798 Футболка MILES KIDS серый с желтым, размер 04Y")</f>
      </c>
      <c r="C2617" s="4" t="n">
        <v>850.00</v>
      </c>
      <c r="D2617" s="4"/>
    </row>
    <row collapsed="" customFormat="false" customHeight="1" hidden="" ht="14" outlineLevel="0" r="2618">
      <c r="A2618" s="3" t="inlineStr">
        <is>
          <t>2587</t>
        </is>
      </c>
      <c r="B2618" s="4" t="s">
        <f>=HYPERLINK("http://anyluxury.ru/shop/odezhda/detskaya-odezhda/futbolka-detskaya-miles-kids-seriy-s-zheltim-01400798/" , "01400798 Футболка MILES KIDS серый с желтым, размер 06Y")</f>
      </c>
      <c r="C2618" s="4" t="n">
        <v>850.00</v>
      </c>
      <c r="D2618" s="4"/>
    </row>
    <row collapsed="" customFormat="false" customHeight="1" hidden="" ht="14" outlineLevel="0" r="2619">
      <c r="A2619" s="3" t="inlineStr">
        <is>
          <t>2588</t>
        </is>
      </c>
      <c r="B2619" s="4" t="s">
        <f>=HYPERLINK("http://anyluxury.ru/shop/odezhda/detskaya-odezhda/futbolka-detskaya-miles-kids-seriy-s-zheltim-01400798/" , "01400798 Футболка MILES KIDS серый с желтым, размер 08Y")</f>
      </c>
      <c r="C2619" s="4" t="n">
        <v>850.00</v>
      </c>
      <c r="D2619" s="4"/>
    </row>
    <row collapsed="" customFormat="false" customHeight="1" hidden="" ht="14" outlineLevel="0" r="2620">
      <c r="A2620" s="3" t="inlineStr">
        <is>
          <t>2589</t>
        </is>
      </c>
      <c r="B2620" s="4" t="s">
        <f>=HYPERLINK("http://anyluxury.ru/shop/odezhda/detskaya-odezhda/futbolka-detskaya-miles-kids-seriy-s-zheltim-01400798/" , "01400798 Футболка MILES KIDS серый с желтым, размер 10Y")</f>
      </c>
      <c r="C2620" s="4" t="n">
        <v>850.00</v>
      </c>
      <c r="D2620" s="4"/>
    </row>
    <row collapsed="" customFormat="false" customHeight="1" hidden="" ht="14" outlineLevel="0" r="2621">
      <c r="A2621" s="3" t="inlineStr">
        <is>
          <t>2590</t>
        </is>
      </c>
      <c r="B2621" s="4" t="s">
        <f>=HYPERLINK("http://anyluxury.ru/shop/odezhda/detskaya-odezhda/futbolka-detskaya-miles-kids-seriy-s-zheltim-01400798/" , "01400798 Футболка MILES KIDS серый с желтым, размер 12Y")</f>
      </c>
      <c r="C2621" s="4" t="n">
        <v>850.00</v>
      </c>
      <c r="D2621" s="4"/>
    </row>
    <row collapsed="" customFormat="false" customHeight="1" hidden="" ht="14" outlineLevel="0" r="2622">
      <c r="A2622" s="3" t="inlineStr">
        <is>
          <t>2591</t>
        </is>
      </c>
      <c r="B2622" s="4" t="s">
        <f>=HYPERLINK("http://anyluxury.ru/shop/odezhda/detskaya-odezhda/futbolka-detskaya-miles-kids-seriy-s-zheltim-01400798/" , "01400798 Футболка MILES KIDS серый с желтым, размер 14Y")</f>
      </c>
      <c r="C2622" s="4" t="n">
        <v>850.00</v>
      </c>
      <c r="D2622" s="4"/>
    </row>
    <row collapsed="" customFormat="false" customHeight="1" hidden="" ht="14" outlineLevel="0" r="2623">
      <c r="A2623" s="3" t="inlineStr">
        <is>
          <t>2592</t>
        </is>
      </c>
      <c r="B2623" s="4" t="s">
        <f>=HYPERLINK("http://anyluxury.ru/shop/odezhda/detskaya-odezhda/futbolka-detskaya-miles-kids-belaya-s-temnosinim-01400904/" , "01400904 Футболка MILES KIDS белая с темно-синим, размер 04Y")</f>
      </c>
      <c r="C2623" s="4" t="n">
        <v>900.00</v>
      </c>
      <c r="D2623" s="4"/>
    </row>
    <row collapsed="" customFormat="false" customHeight="1" hidden="" ht="14" outlineLevel="0" r="2624">
      <c r="A2624" s="3" t="inlineStr">
        <is>
          <t>2593</t>
        </is>
      </c>
      <c r="B2624" s="4" t="s">
        <f>=HYPERLINK("http://anyluxury.ru/shop/odezhda/detskaya-odezhda/futbolka-detskaya-miles-kids-belaya-s-temnosinim-01400904/" , "01400904 Футболка MILES KIDS белая с темно-синим, размер 06Y")</f>
      </c>
      <c r="C2624" s="4" t="n">
        <v>900.00</v>
      </c>
      <c r="D2624" s="4"/>
    </row>
    <row collapsed="" customFormat="false" customHeight="1" hidden="" ht="14" outlineLevel="0" r="2625">
      <c r="A2625" s="3" t="inlineStr">
        <is>
          <t>2594</t>
        </is>
      </c>
      <c r="B2625" s="4" t="s">
        <f>=HYPERLINK("http://anyluxury.ru/shop/odezhda/detskaya-odezhda/futbolka-detskaya-miles-kids-belaya-s-temnosinim-01400904/" , "01400904 Футболка MILES KIDS белая с темно-синим, размер 08Y")</f>
      </c>
      <c r="C2625" s="4" t="n">
        <v>900.00</v>
      </c>
      <c r="D2625" s="4"/>
    </row>
    <row collapsed="" customFormat="false" customHeight="1" hidden="" ht="14" outlineLevel="0" r="2626">
      <c r="A2626" s="3" t="inlineStr">
        <is>
          <t>2595</t>
        </is>
      </c>
      <c r="B2626" s="4" t="s">
        <f>=HYPERLINK("http://anyluxury.ru/shop/odezhda/detskaya-odezhda/futbolka-detskaya-miles-kids-belaya-s-temnosinim-01400904/" , "01400904 Футболка MILES KIDS белая с темно-синим, размер 10Y")</f>
      </c>
      <c r="C2626" s="4" t="n">
        <v>900.00</v>
      </c>
      <c r="D2626" s="4"/>
    </row>
    <row collapsed="" customFormat="false" customHeight="1" hidden="" ht="14" outlineLevel="0" r="2627">
      <c r="A2627" s="3" t="inlineStr">
        <is>
          <t>2596</t>
        </is>
      </c>
      <c r="B2627" s="4" t="s">
        <f>=HYPERLINK("http://anyluxury.ru/shop/odezhda/detskaya-odezhda/futbolka-detskaya-miles-kids-belaya-s-temnosinim-01400904/" , "01400904 Футболка MILES KIDS белая с темно-синим, размер 12Y")</f>
      </c>
      <c r="C2627" s="4" t="n">
        <v>900.00</v>
      </c>
      <c r="D2627" s="4"/>
    </row>
    <row collapsed="" customFormat="false" customHeight="1" hidden="" ht="14" outlineLevel="0" r="2628">
      <c r="A2628" s="3" t="inlineStr">
        <is>
          <t>2597</t>
        </is>
      </c>
      <c r="B2628" s="4" t="s">
        <f>=HYPERLINK("http://anyluxury.ru/shop/odezhda/detskaya-odezhda/futbolka-detskaya-miles-kids-belaya-s-temnosinim-01400904/" , "01400904 Футболка MILES KIDS белая с темно-синим, размер 14Y")</f>
      </c>
      <c r="C2628" s="4" t="n">
        <v>900.00</v>
      </c>
      <c r="D2628" s="4"/>
    </row>
    <row collapsed="" customFormat="false" customHeight="1" hidden="" ht="14" outlineLevel="0" r="2629">
      <c r="A2629" s="3" t="inlineStr">
        <is>
          <t>2598</t>
        </is>
      </c>
      <c r="B2629" s="4" t="s">
        <f>=HYPERLINK("http://anyluxury.ru/shop/odezhda/detskaya-odezhda/futbolka-detskaya-miles-kids-belaya-s-krasnim-01400987/" , "01400987 Футболка MILES KIDS белая с красным, размер 04Y")</f>
      </c>
      <c r="C2629" s="4" t="n">
        <v>900.00</v>
      </c>
      <c r="D2629" s="4"/>
    </row>
    <row collapsed="" customFormat="false" customHeight="1" hidden="" ht="14" outlineLevel="0" r="2630">
      <c r="A2630" s="3" t="inlineStr">
        <is>
          <t>2599</t>
        </is>
      </c>
      <c r="B2630" s="4" t="s">
        <f>=HYPERLINK("http://anyluxury.ru/shop/odezhda/detskaya-odezhda/futbolka-detskaya-miles-kids-belaya-s-krasnim-01400987/" , "01400987 Футболка MILES KIDS белая с красным, размер 06Y")</f>
      </c>
      <c r="C2630" s="4" t="n">
        <v>900.00</v>
      </c>
      <c r="D2630" s="4"/>
    </row>
    <row collapsed="" customFormat="false" customHeight="1" hidden="" ht="14" outlineLevel="0" r="2631">
      <c r="A2631" s="3" t="inlineStr">
        <is>
          <t>2600</t>
        </is>
      </c>
      <c r="B2631" s="4" t="s">
        <f>=HYPERLINK("http://anyluxury.ru/shop/odezhda/detskaya-odezhda/futbolka-detskaya-miles-kids-belaya-s-krasnim-01400987/" , "01400987 Футболка MILES KIDS белая с красным, размер 08Y")</f>
      </c>
      <c r="C2631" s="4" t="n">
        <v>900.00</v>
      </c>
      <c r="D2631" s="4"/>
    </row>
    <row collapsed="" customFormat="false" customHeight="1" hidden="" ht="14" outlineLevel="0" r="2632">
      <c r="A2632" s="3" t="inlineStr">
        <is>
          <t>2601</t>
        </is>
      </c>
      <c r="B2632" s="4" t="s">
        <f>=HYPERLINK("http://anyluxury.ru/shop/odezhda/detskaya-odezhda/futbolka-detskaya-miles-kids-belaya-s-krasnim-01400987/" , "01400987 Футболка MILES KIDS белая с красным, размер 10Y")</f>
      </c>
      <c r="C2632" s="4" t="n">
        <v>900.00</v>
      </c>
      <c r="D2632" s="4"/>
    </row>
    <row collapsed="" customFormat="false" customHeight="1" hidden="" ht="14" outlineLevel="0" r="2633">
      <c r="A2633" s="3" t="inlineStr">
        <is>
          <t>2602</t>
        </is>
      </c>
      <c r="B2633" s="4" t="s">
        <f>=HYPERLINK("http://anyluxury.ru/shop/odezhda/detskaya-odezhda/futbolka-detskaya-miles-kids-belaya-s-krasnim-01400987/" , "01400987 Футболка MILES KIDS белая с красным, размер 12Y")</f>
      </c>
      <c r="C2633" s="4" t="n">
        <v>900.00</v>
      </c>
      <c r="D2633" s="4"/>
    </row>
    <row collapsed="" customFormat="false" customHeight="1" hidden="" ht="14" outlineLevel="0" r="2634">
      <c r="A2634" s="3" t="inlineStr">
        <is>
          <t>2603</t>
        </is>
      </c>
      <c r="B2634" s="4" t="s">
        <f>=HYPERLINK("http://anyluxury.ru/shop/odezhda/detskaya-odezhda/futbolka-detskaya-miles-kids-belaya-s-krasnim-01400987/" , "01400987 Футболка MILES KIDS белая с красным, размер 14Y")</f>
      </c>
      <c r="C2634" s="4" t="n">
        <v>900.00</v>
      </c>
      <c r="D2634" s="4"/>
    </row>
    <row collapsed="" customFormat="false" customHeight="1" hidden="" ht="14" outlineLevel="0" r="2635">
      <c r="A2635" s="3" t="inlineStr">
        <is>
          <t>2604</t>
        </is>
      </c>
      <c r="B2635" s="4" t="s">
        <f>=HYPERLINK("http://anyluxury.ru/shop/odezhda/detskaya-odezhda/tolstovka-studio-women-siniy-melanzh-01409239/" , "01409239 Толстовка STUDIO WOMEN синий меланж, размер XS")</f>
      </c>
      <c r="C2635" s="4" t="n">
        <v>1440.00</v>
      </c>
      <c r="D2635" s="4"/>
    </row>
    <row collapsed="" customFormat="false" customHeight="1" hidden="" ht="14" outlineLevel="0" r="2636">
      <c r="A2636" s="3" t="inlineStr">
        <is>
          <t>2605</t>
        </is>
      </c>
      <c r="B2636" s="4" t="s">
        <f>=HYPERLINK("http://anyluxury.ru/shop/odezhda/detskaya-odezhda/tolstovka-studio-women-siniy-melanzh-01409239/" , "01409239 Толстовка STUDIO WOMEN синий меланж, размер S")</f>
      </c>
      <c r="C2636" s="4" t="n">
        <v>1728.00</v>
      </c>
      <c r="D2636" s="4"/>
    </row>
    <row collapsed="" customFormat="false" customHeight="1" hidden="" ht="14" outlineLevel="0" r="2637">
      <c r="A2637" s="3" t="inlineStr">
        <is>
          <t>2606</t>
        </is>
      </c>
      <c r="B2637" s="4" t="s">
        <f>=HYPERLINK("http://anyluxury.ru/shop/odezhda/detskaya-odezhda/tolstovka-studio-women-siniy-melanzh-01409239/" , "01409239 Толстовка STUDIO WOMEN синий меланж, размер L")</f>
      </c>
      <c r="C2637" s="4" t="n">
        <v>1728.00</v>
      </c>
      <c r="D2637" s="4"/>
    </row>
    <row collapsed="" customFormat="false" customHeight="1" hidden="" ht="14" outlineLevel="0" r="2638">
      <c r="A2638" s="3" t="inlineStr">
        <is>
          <t>2607</t>
        </is>
      </c>
      <c r="B2638" s="4" t="s">
        <f>=HYPERLINK("http://anyluxury.ru/shop/odezhda/detskaya-odezhda/tolstovka-studio-women-siniy-melanzh-01409239/" , "01409239 Толстовка STUDIO WOMEN синий меланж, размер XL")</f>
      </c>
      <c r="C2638" s="4" t="n">
        <v>1728.00</v>
      </c>
      <c r="D2638" s="4"/>
    </row>
    <row collapsed="" customFormat="false" customHeight="1" hidden="" ht="14" outlineLevel="0" r="2639">
      <c r="A2639" s="3" t="inlineStr">
        <is>
          <t>2608</t>
        </is>
      </c>
      <c r="B2639" s="4" t="s">
        <f>=HYPERLINK("http://anyluxury.ru/shop/odezhda/detskaya-odezhda/tolstovka-studio-women-siniy-melanzh-01409239/" , "01409239 Толстовка STUDIO WOMEN синий меланж, размер XXL")</f>
      </c>
      <c r="C2639" s="4" t="n">
        <v>1440.00</v>
      </c>
      <c r="D2639" s="4"/>
    </row>
    <row collapsed="" customFormat="false" customHeight="1" hidden="" ht="14" outlineLevel="0" r="2640">
      <c r="A2640" s="3" t="inlineStr">
        <is>
          <t>2609</t>
        </is>
      </c>
      <c r="B2640" s="4" t="s">
        <f>=HYPERLINK("http://anyluxury.ru/shop/odezhda/detskaya-odezhda/tolstovka-kulonga-belaya-230560/" , "2305.60 Толстовка Kulonga, белая, размер XXL")</f>
      </c>
      <c r="C2640" s="4" t="n">
        <v>1590.00</v>
      </c>
      <c r="D2640" s="4"/>
    </row>
    <row collapsed="" customFormat="false" customHeight="1" hidden="" ht="14" outlineLevel="0" r="2641">
      <c r="A2641" s="3" t="inlineStr">
        <is>
          <t>2610</t>
        </is>
      </c>
      <c r="B2641" s="4" t="s">
        <f>=HYPERLINK("http://anyluxury.ru/shop/odezhda/detskaya-odezhda/tolstovka-kulonga-sinyaya-230540/" , "2305.40 Толстовка Kulonga, темно-синяя, размер XS")</f>
      </c>
      <c r="C2641" s="4" t="n">
        <v>900.00</v>
      </c>
      <c r="D2641" s="4"/>
    </row>
    <row collapsed="" customFormat="false" customHeight="1" hidden="" ht="14" outlineLevel="0" r="2642">
      <c r="A2642" s="3" t="inlineStr">
        <is>
          <t>2611</t>
        </is>
      </c>
      <c r="B2642" s="4" t="s">
        <f>=HYPERLINK("http://anyluxury.ru/shop/odezhda/detskaya-odezhda/kurtka-muzhskaya-speedway-krasnaya-217250/" , "2172.50 Куртка мужская SPEEDWAY красная, размер S")</f>
      </c>
      <c r="C2642" s="4" t="n">
        <v>3864.00</v>
      </c>
      <c r="D2642" s="4"/>
    </row>
    <row collapsed="" customFormat="false" customHeight="1" hidden="" ht="14" outlineLevel="0" r="2643">
      <c r="A2643" s="3" t="inlineStr">
        <is>
          <t>2612</t>
        </is>
      </c>
      <c r="B2643" s="4" t="s">
        <f>=HYPERLINK("http://anyluxury.ru/shop/odezhda/detskaya-odezhda/kurtka-muzhskaya-speedway-sinyaya-217244/" , "2172.44 Куртка мужская SPEEDWAY синяя, размер XXL")</f>
      </c>
      <c r="C2643" s="4" t="n">
        <v>3864.00</v>
      </c>
      <c r="D2643" s="4"/>
    </row>
    <row collapsed="" customFormat="false" customHeight="1" hidden="" ht="14" outlineLevel="0" r="2644">
      <c r="A2644" s="3" t="inlineStr">
        <is>
          <t>2613</t>
        </is>
      </c>
      <c r="B2644" s="4" t="s">
        <f>=HYPERLINK("http://anyluxury.ru/shop/odezhda/detskaya-odezhda/kurtka-muzhskaya-speedway-sinyaya-217244/" , "2172.44 Куртка мужская Speedway синяя, размер 4XL")</f>
      </c>
      <c r="C2644" s="4" t="n">
        <v>3192.00</v>
      </c>
      <c r="D2644" s="4"/>
    </row>
    <row collapsed="" customFormat="false" customHeight="1" hidden="" ht="14" outlineLevel="0" r="2645">
      <c r="A2645" s="3" t="inlineStr">
        <is>
          <t>2614</t>
        </is>
      </c>
      <c r="B2645" s="4" t="s">
        <f>=HYPERLINK("http://anyluxury.ru/shop/odezhda/detskaya-odezhda/kurtka-muzhskaya-speedway-sinyaya-217244/" , "2172.44 Куртка мужская Speedway синяя, размер 5XL")</f>
      </c>
      <c r="C2645" s="4" t="n">
        <v>3192.00</v>
      </c>
      <c r="D2645" s="4"/>
    </row>
    <row collapsed="" customFormat="false" customHeight="1" hidden="" ht="14" outlineLevel="0" r="2646">
      <c r="A2646" s="3" t="inlineStr">
        <is>
          <t>2615</t>
        </is>
      </c>
      <c r="B2646" s="4" t="s">
        <f>=HYPERLINK("http://anyluxury.ru/shop/odezhda/detskaya-odezhda/kurtka-flisovaya-turbo-sinyaya-s-temnosinim-01652204/" , "01652204 Куртка флисовая TURBO синий/темно-синий, размер XS")</f>
      </c>
      <c r="C2646" s="4" t="n">
        <v>4792.00</v>
      </c>
      <c r="D2646" s="4"/>
    </row>
    <row collapsed="" customFormat="false" customHeight="1" hidden="" ht="14" outlineLevel="0" r="2647">
      <c r="A2647" s="3" t="inlineStr">
        <is>
          <t>2616</t>
        </is>
      </c>
      <c r="B2647" s="4" t="s">
        <f>=HYPERLINK("http://anyluxury.ru/shop/odezhda/detskaya-odezhda/kurtka-flisovaya-turbo-sinyaya-s-temnosinim-01652204/" , "01652204 Куртка флисовая TURBO синий/темно-синий, размер S")</f>
      </c>
      <c r="C2647" s="4" t="n">
        <v>4792.00</v>
      </c>
      <c r="D2647" s="4"/>
    </row>
    <row collapsed="" customFormat="false" customHeight="1" hidden="" ht="14" outlineLevel="0" r="2648">
      <c r="A2648" s="3" t="inlineStr">
        <is>
          <t>2617</t>
        </is>
      </c>
      <c r="B2648" s="4" t="s">
        <f>=HYPERLINK("http://anyluxury.ru/shop/odezhda/detskaya-odezhda/kurtka-flisovaya-turbo-sinyaya-s-temnosinim-01652204/" , "01652204 Куртка флисовая TURBO синий/темно-синий, размер M")</f>
      </c>
      <c r="C2648" s="4" t="n">
        <v>4792.00</v>
      </c>
      <c r="D2648" s="4"/>
    </row>
    <row collapsed="" customFormat="false" customHeight="1" hidden="" ht="14" outlineLevel="0" r="2649">
      <c r="A2649" s="3" t="inlineStr">
        <is>
          <t>2618</t>
        </is>
      </c>
      <c r="B2649" s="4" t="s">
        <f>=HYPERLINK("http://anyluxury.ru/shop/odezhda/detskaya-odezhda/kurtka-flisovaya-turbo-sinyaya-s-temnosinim-01652204/" , "01652204 Куртка флисовая TURBO синий/темно-синий, размер L")</f>
      </c>
      <c r="C2649" s="4" t="n">
        <v>4792.00</v>
      </c>
      <c r="D2649" s="4"/>
    </row>
    <row collapsed="" customFormat="false" customHeight="1" hidden="" ht="14" outlineLevel="0" r="2650">
      <c r="A2650" s="3" t="inlineStr">
        <is>
          <t>2619</t>
        </is>
      </c>
      <c r="B2650" s="4" t="s">
        <f>=HYPERLINK("http://anyluxury.ru/shop/odezhda/detskaya-odezhda/kurtka-flisovaya-turbo-sinyaya-s-temnosinim-01652204/" , "01652204 Куртка флисовая TURBO синий/темно-синий, размер XL")</f>
      </c>
      <c r="C2650" s="4" t="n">
        <v>4792.00</v>
      </c>
      <c r="D2650" s="4"/>
    </row>
    <row collapsed="" customFormat="false" customHeight="1" hidden="" ht="14" outlineLevel="0" r="2651">
      <c r="A2651" s="3" t="inlineStr">
        <is>
          <t>2620</t>
        </is>
      </c>
      <c r="B2651" s="4" t="s">
        <f>=HYPERLINK("http://anyluxury.ru/shop/odezhda/detskaya-odezhda/kurtka-flisovaya-turbo-sinyaya-s-temnosinim-01652204/" , "01652204 Куртка флисовая TURBO синий/темно-синий, размер XXL")</f>
      </c>
      <c r="C2651" s="4" t="n">
        <v>4792.00</v>
      </c>
      <c r="D2651" s="4"/>
    </row>
    <row collapsed="" customFormat="false" customHeight="1" hidden="" ht="14" outlineLevel="0" r="2652">
      <c r="A2652" s="3" t="inlineStr">
        <is>
          <t>2621</t>
        </is>
      </c>
      <c r="B2652" s="4" t="s">
        <f>=HYPERLINK("http://anyluxury.ru/shop/odezhda/detskaya-odezhda/kurtka-flisovaya-turbo-sinyaya-s-temnosinim-01652204/" , "01652204 Куртка флисовая TURBO синий/темно-синий, размер 3XL")</f>
      </c>
      <c r="C2652" s="4" t="n">
        <v>5495.00</v>
      </c>
      <c r="D2652" s="4"/>
    </row>
    <row collapsed="" customFormat="false" customHeight="1" hidden="" ht="14" outlineLevel="0" r="2653">
      <c r="A2653" s="3" t="inlineStr">
        <is>
          <t>2622</t>
        </is>
      </c>
      <c r="B2653" s="4" t="s">
        <f>=HYPERLINK("http://anyluxury.ru/shop/odezhda/detskaya-odezhda/kurtka-flisovaya-turbo-sinyaya-s-temnosinim-01652204/" , "01652204 Куртка флисовая TURBO синий/темно-синий, размер 4XL")</f>
      </c>
      <c r="C2653" s="4" t="n">
        <v>5495.00</v>
      </c>
      <c r="D2653" s="4"/>
    </row>
    <row collapsed="" customFormat="false" customHeight="1" hidden="" ht="14" outlineLevel="0" r="2654">
      <c r="A2654" s="3" t="inlineStr">
        <is>
          <t>2623</t>
        </is>
      </c>
      <c r="B2654" s="4" t="s">
        <f>=HYPERLINK("http://anyluxury.ru/shop/odezhda/detskaya-odezhda/kurtka-flisovaya-turbo-sinyaya-s-temnosinim-01652204/" , "01652204 Куртка флисовая TURBO синий/темно-синий, размер 5XL")</f>
      </c>
      <c r="C2654" s="4" t="n">
        <v>5495.00</v>
      </c>
      <c r="D2654" s="4"/>
    </row>
    <row collapsed="" customFormat="false" customHeight="1" hidden="" ht="14" outlineLevel="0" r="2655">
      <c r="A2655" s="3" t="inlineStr">
        <is>
          <t>2624</t>
        </is>
      </c>
      <c r="B2655" s="4" t="s">
        <f>=HYPERLINK("http://anyluxury.ru/shop/odezhda/detskaya-odezhda/kurtka-flisovaya-turbo-temnoseraya-s-chernim-01652797/" , "01652797 Куртка флисовая TURBO темно-серый/черный, размер XS")</f>
      </c>
      <c r="C2655" s="4" t="n">
        <v>4792.00</v>
      </c>
      <c r="D2655" s="4"/>
    </row>
    <row collapsed="" customFormat="false" customHeight="1" hidden="" ht="14" outlineLevel="0" r="2656">
      <c r="A2656" s="3" t="inlineStr">
        <is>
          <t>2625</t>
        </is>
      </c>
      <c r="B2656" s="4" t="s">
        <f>=HYPERLINK("http://anyluxury.ru/shop/odezhda/detskaya-odezhda/kurtka-flisovaya-turbo-temnoseraya-s-chernim-01652797/" , "01652797 Куртка флисовая TURBO темно-серый/черный, размер S")</f>
      </c>
      <c r="C2656" s="4" t="n">
        <v>4792.00</v>
      </c>
      <c r="D2656" s="4"/>
    </row>
    <row collapsed="" customFormat="false" customHeight="1" hidden="" ht="14" outlineLevel="0" r="2657">
      <c r="A2657" s="3" t="inlineStr">
        <is>
          <t>2626</t>
        </is>
      </c>
      <c r="B2657" s="4" t="s">
        <f>=HYPERLINK("http://anyluxury.ru/shop/odezhda/detskaya-odezhda/kurtka-flisovaya-turbo-temnoseraya-s-chernim-01652797/" , "01652797 Куртка флисовая TURBO темно-серый/черный, размер M")</f>
      </c>
      <c r="C2657" s="4" t="n">
        <v>4792.00</v>
      </c>
      <c r="D2657" s="4"/>
    </row>
    <row collapsed="" customFormat="false" customHeight="1" hidden="" ht="14" outlineLevel="0" r="2658">
      <c r="A2658" s="3" t="inlineStr">
        <is>
          <t>2627</t>
        </is>
      </c>
      <c r="B2658" s="4" t="s">
        <f>=HYPERLINK("http://anyluxury.ru/shop/odezhda/detskaya-odezhda/kurtka-flisovaya-turbo-temnoseraya-s-chernim-01652797/" , "01652797 Куртка флисовая TURBO темно-серый/черный, размер L")</f>
      </c>
      <c r="C2658" s="4" t="n">
        <v>4792.00</v>
      </c>
      <c r="D2658" s="4"/>
    </row>
    <row collapsed="" customFormat="false" customHeight="1" hidden="" ht="14" outlineLevel="0" r="2659">
      <c r="A2659" s="3" t="inlineStr">
        <is>
          <t>2628</t>
        </is>
      </c>
      <c r="B2659" s="4" t="s">
        <f>=HYPERLINK("http://anyluxury.ru/shop/odezhda/detskaya-odezhda/kurtka-flisovaya-turbo-temnoseraya-s-chernim-01652797/" , "01652797 Куртка флисовая TURBO темно-серый/черный, размер XL")</f>
      </c>
      <c r="C2659" s="4" t="n">
        <v>4792.00</v>
      </c>
      <c r="D2659" s="4"/>
    </row>
    <row collapsed="" customFormat="false" customHeight="1" hidden="" ht="14" outlineLevel="0" r="2660">
      <c r="A2660" s="3" t="inlineStr">
        <is>
          <t>2629</t>
        </is>
      </c>
      <c r="B2660" s="4" t="s">
        <f>=HYPERLINK("http://anyluxury.ru/shop/odezhda/detskaya-odezhda/kurtka-flisovaya-turbo-temnoseraya-s-chernim-01652797/" , "01652797 Куртка флисовая TURBO темно-серый/черный, размер XXL")</f>
      </c>
      <c r="C2660" s="4" t="n">
        <v>4792.00</v>
      </c>
      <c r="D2660" s="4"/>
    </row>
    <row collapsed="" customFormat="false" customHeight="1" hidden="" ht="14" outlineLevel="0" r="2661">
      <c r="A2661" s="3" t="inlineStr">
        <is>
          <t>2630</t>
        </is>
      </c>
      <c r="B2661" s="4" t="s">
        <f>=HYPERLINK("http://anyluxury.ru/shop/odezhda/detskaya-odezhda/kurtka-flisovaya-turbo-temnoseraya-s-chernim-01652797/" , "01652797 Куртка флисовая TURBO темно-серый/черный, размер 3XL")</f>
      </c>
      <c r="C2661" s="4" t="n">
        <v>5495.00</v>
      </c>
      <c r="D2661" s="4"/>
    </row>
    <row collapsed="" customFormat="false" customHeight="1" hidden="" ht="14" outlineLevel="0" r="2662">
      <c r="A2662" s="3" t="inlineStr">
        <is>
          <t>2631</t>
        </is>
      </c>
      <c r="B2662" s="4" t="s">
        <f>=HYPERLINK("http://anyluxury.ru/shop/odezhda/detskaya-odezhda/kurtka-flisovaya-turbo-temnoseraya-s-chernim-01652797/" , "01652797 Куртка флисовая TURBO темно-серый/черный, размер 4XL")</f>
      </c>
      <c r="C2662" s="4" t="n">
        <v>5495.00</v>
      </c>
      <c r="D2662" s="4"/>
    </row>
    <row collapsed="" customFormat="false" customHeight="1" hidden="" ht="14" outlineLevel="0" r="2663">
      <c r="A2663" s="3" t="inlineStr">
        <is>
          <t>2632</t>
        </is>
      </c>
      <c r="B2663" s="4" t="s">
        <f>=HYPERLINK("http://anyluxury.ru/shop/odezhda/detskaya-odezhda/kurtka-flisovaya-turbo-temnoseraya-s-chernim-01652797/" , "01652797 Куртка флисовая TURBO темно-серый/черный, размер 5XL")</f>
      </c>
      <c r="C2663" s="4" t="n">
        <v>5495.00</v>
      </c>
      <c r="D2663" s="4"/>
    </row>
    <row collapsed="" customFormat="false" customHeight="1" hidden="" ht="14" outlineLevel="0" r="2664">
      <c r="A2664" s="3" t="inlineStr">
        <is>
          <t>2633</t>
        </is>
      </c>
      <c r="B2664" s="4" t="s">
        <f>=HYPERLINK("http://anyluxury.ru/shop/odezhda/detskaya-odezhda/tolstovka-uniseks-sandro-svetloseriy-melanzh-s-temnim-melanzhem-01700525/" , "01700525 Толстовка унисекс SANDRO светлый/темный меланж, размер XS")</f>
      </c>
      <c r="C2664" s="4" t="n">
        <v>2190.00</v>
      </c>
      <c r="D2664" s="4"/>
    </row>
    <row collapsed="" customFormat="false" customHeight="1" hidden="" ht="14" outlineLevel="0" r="2665">
      <c r="A2665" s="3" t="inlineStr">
        <is>
          <t>2634</t>
        </is>
      </c>
      <c r="B2665" s="4" t="s">
        <f>=HYPERLINK("http://anyluxury.ru/shop/odezhda/detskaya-odezhda/tolstovka-uniseks-sandro-svetloseriy-melanzh-s-temnim-melanzhem-01700525/" , "01700525 Толстовка унисекс SANDRO светлый/темный меланж, размер XL")</f>
      </c>
      <c r="C2665" s="4" t="n">
        <v>2190.00</v>
      </c>
      <c r="D2665" s="4"/>
    </row>
    <row collapsed="" customFormat="false" customHeight="1" hidden="" ht="14" outlineLevel="0" r="2666">
      <c r="A2666" s="3" t="inlineStr">
        <is>
          <t>2635</t>
        </is>
      </c>
      <c r="B2666" s="4" t="s">
        <f>=HYPERLINK("http://anyluxury.ru/shop/odezhda/detskaya-odezhda/tolstovka-uniseks-sandro-svetloseriy-melanzh-s-temnim-melanzhem-01700525/" , "01700525 Толстовка унисекс SANDRO светлый/темный меланж, размер XXL")</f>
      </c>
      <c r="C2666" s="4" t="n">
        <v>2190.00</v>
      </c>
      <c r="D2666" s="4"/>
    </row>
    <row collapsed="" customFormat="false" customHeight="1" hidden="" ht="14" outlineLevel="0" r="2667">
      <c r="A2667" s="3" t="inlineStr">
        <is>
          <t>2636</t>
        </is>
      </c>
      <c r="B2667" s="4" t="s">
        <f>=HYPERLINK("http://anyluxury.ru/shop/odezhda/detskaya-odezhda/tolstovka-uniseks-sandro-svetloseriy-melanzh-s-temnim-melanzhem-01700525/" , "01700525 Толстовка унисекс SANDRO светлый/темный меланж, размер 3XL")</f>
      </c>
      <c r="C2667" s="4" t="n">
        <v>2190.00</v>
      </c>
      <c r="D2667" s="4"/>
    </row>
    <row collapsed="" customFormat="false" customHeight="1" hidden="" ht="14" outlineLevel="0" r="2668">
      <c r="A2668" s="3" t="inlineStr">
        <is>
          <t>2637</t>
        </is>
      </c>
      <c r="B2668" s="4" t="s">
        <f>=HYPERLINK("http://anyluxury.ru/shop/odezhda/detskaya-odezhda/tolstovka-uniseks-sandro-temnosinyaya-s-chernim-melanzhem-01700526/" , "01700526 Толстовка унисекс SANDRO темно-синий/черный меланж, размер S")</f>
      </c>
      <c r="C2668" s="4" t="n">
        <v>2190.00</v>
      </c>
      <c r="D2668" s="4"/>
    </row>
    <row collapsed="" customFormat="false" customHeight="1" hidden="" ht="14" outlineLevel="0" r="2669">
      <c r="A2669" s="3" t="inlineStr">
        <is>
          <t>2638</t>
        </is>
      </c>
      <c r="B2669" s="4" t="s">
        <f>=HYPERLINK("http://anyluxury.ru/shop/odezhda/detskaya-odezhda/tolstovka-uniseks-sandro-temnosinyaya-s-chernim-melanzhem-01700526/" , "01700526 Толстовка унисекс SANDRO темно-синий/черный меланж, размер XXL")</f>
      </c>
      <c r="C2669" s="4" t="n">
        <v>2190.00</v>
      </c>
      <c r="D2669" s="4"/>
    </row>
    <row collapsed="" customFormat="false" customHeight="1" hidden="" ht="14" outlineLevel="0" r="2670">
      <c r="A2670" s="3" t="inlineStr">
        <is>
          <t>2639</t>
        </is>
      </c>
      <c r="B2670" s="4" t="s">
        <f>=HYPERLINK("http://anyluxury.ru/shop/odezhda/detskaya-odezhda/tolstovka-uniseks-sandro-temnosinyaya-s-chernim-melanzhem-01700526/" , "01700526 Толстовка унисекс SANDRO темно-синий/черный меланж, размер 3XL")</f>
      </c>
      <c r="C2670" s="4" t="n">
        <v>2190.00</v>
      </c>
      <c r="D2670" s="4"/>
    </row>
    <row collapsed="" customFormat="false" customHeight="1" hidden="" ht="14" outlineLevel="0" r="2671">
      <c r="A2671" s="3" t="inlineStr">
        <is>
          <t>2640</t>
        </is>
      </c>
      <c r="B2671" s="4" t="s">
        <f>=HYPERLINK("http://anyluxury.ru/shop/odezhda/detskaya-odezhda/tolstovka-uniseks-sandro-bordovaya-s-temnosinim-01700524/" , "01700524 Толстовка унисекс SANDRO бордовый/темно-синий, размер XS")</f>
      </c>
      <c r="C2671" s="4" t="n">
        <v>2190.00</v>
      </c>
      <c r="D2671" s="4"/>
    </row>
    <row collapsed="" customFormat="false" customHeight="1" hidden="" ht="14" outlineLevel="0" r="2672">
      <c r="A2672" s="3" t="inlineStr">
        <is>
          <t>2641</t>
        </is>
      </c>
      <c r="B2672" s="4" t="s">
        <f>=HYPERLINK("http://anyluxury.ru/shop/odezhda/detskaya-odezhda/tolstovka-uniseks-sandro-bordovaya-s-temnosinim-01700524/" , "01700524 Толстовка унисекс SANDRO бордовый/темно-синий, размер S")</f>
      </c>
      <c r="C2672" s="4" t="n">
        <v>2190.00</v>
      </c>
      <c r="D2672" s="4"/>
    </row>
    <row collapsed="" customFormat="false" customHeight="1" hidden="" ht="14" outlineLevel="0" r="2673">
      <c r="A2673" s="3" t="inlineStr">
        <is>
          <t>2642</t>
        </is>
      </c>
      <c r="B2673" s="4" t="s">
        <f>=HYPERLINK("http://anyluxury.ru/shop/odezhda/detskaya-odezhda/tolstovka-uniseks-sandro-bordovaya-s-temnosinim-01700524/" , "01700524 Толстовка унисекс SANDRO бордовый/темно-синий, размер XL")</f>
      </c>
      <c r="C2673" s="4" t="n">
        <v>2190.00</v>
      </c>
      <c r="D2673" s="4"/>
    </row>
    <row collapsed="" customFormat="false" customHeight="1" hidden="" ht="14" outlineLevel="0" r="2674">
      <c r="A2674" s="3" t="inlineStr">
        <is>
          <t>2643</t>
        </is>
      </c>
      <c r="B2674" s="4" t="s">
        <f>=HYPERLINK("http://anyluxury.ru/shop/odezhda/detskaya-odezhda/tolstovka-uniseks-sandro-bordovaya-s-temnosinim-01700524/" , "01700524 Толстовка унисекс SANDRO бордовый/темно-синий, размер XXL")</f>
      </c>
      <c r="C2674" s="4" t="n">
        <v>2190.00</v>
      </c>
      <c r="D2674" s="4"/>
    </row>
    <row collapsed="" customFormat="false" customHeight="1" hidden="" ht="14" outlineLevel="0" r="2675">
      <c r="A2675" s="3" t="inlineStr">
        <is>
          <t>2644</t>
        </is>
      </c>
      <c r="B2675" s="4" t="s">
        <f>=HYPERLINK("http://anyluxury.ru/shop/odezhda/detskaya-odezhda/tolstovka-uniseks-sandro-bordovaya-s-temnosinim-01700524/" , "01700524 Толстовка унисекс SANDRO бордовый/темно-синий, размер 3XL")</f>
      </c>
      <c r="C2675" s="4" t="n">
        <v>2190.00</v>
      </c>
      <c r="D2675" s="4"/>
    </row>
    <row collapsed="" customFormat="false" customHeight="1" hidden="" ht="14" outlineLevel="0" r="2676">
      <c r="A2676" s="3" t="inlineStr">
        <is>
          <t>2645</t>
        </is>
      </c>
      <c r="B2676" s="4" t="s">
        <f>=HYPERLINK("http://anyluxury.ru/shop/odezhda/detskaya-odezhda/tolstovka-uniseks-sandro-sinyaya-s-chernim-melanzhem-01700527/" , "01700527 Толстовка унисекс SANDRO синий/черный меланж, размер XS")</f>
      </c>
      <c r="C2676" s="4" t="n">
        <v>2190.00</v>
      </c>
      <c r="D2676" s="4"/>
    </row>
    <row collapsed="" customFormat="false" customHeight="1" hidden="" ht="14" outlineLevel="0" r="2677">
      <c r="A2677" s="3" t="inlineStr">
        <is>
          <t>2646</t>
        </is>
      </c>
      <c r="B2677" s="4" t="s">
        <f>=HYPERLINK("http://anyluxury.ru/shop/odezhda/detskaya-odezhda/tolstovka-uniseks-sandro-sinyaya-s-chernim-melanzhem-01700527/" , "01700527 Толстовка унисекс SANDRO синий/черный меланж, размер S")</f>
      </c>
      <c r="C2677" s="4" t="n">
        <v>2190.00</v>
      </c>
      <c r="D2677" s="4"/>
    </row>
    <row collapsed="" customFormat="false" customHeight="1" hidden="" ht="14" outlineLevel="0" r="2678">
      <c r="A2678" s="3" t="inlineStr">
        <is>
          <t>2647</t>
        </is>
      </c>
      <c r="B2678" s="4" t="s">
        <f>=HYPERLINK("http://anyluxury.ru/shop/odezhda/detskaya-odezhda/tolstovka-uniseks-sandro-sinyaya-s-chernim-melanzhem-01700527/" , "01700527 Толстовка унисекс SANDRO синий/черный меланж, размер M")</f>
      </c>
      <c r="C2678" s="4" t="n">
        <v>2190.00</v>
      </c>
      <c r="D2678" s="4"/>
    </row>
    <row collapsed="" customFormat="false" customHeight="1" hidden="" ht="14" outlineLevel="0" r="2679">
      <c r="A2679" s="3" t="inlineStr">
        <is>
          <t>2648</t>
        </is>
      </c>
      <c r="B2679" s="4" t="s">
        <f>=HYPERLINK("http://anyluxury.ru/shop/odezhda/detskaya-odezhda/tolstovka-uniseks-sandro-sinyaya-s-chernim-melanzhem-01700527/" , "01700527 Толстовка унисекс SANDRO синий/черный меланж, размер XL")</f>
      </c>
      <c r="C2679" s="4" t="n">
        <v>2190.00</v>
      </c>
      <c r="D2679" s="4"/>
    </row>
    <row collapsed="" customFormat="false" customHeight="1" hidden="" ht="14" outlineLevel="0" r="2680">
      <c r="A2680" s="3" t="inlineStr">
        <is>
          <t>2649</t>
        </is>
      </c>
      <c r="B2680" s="4" t="s">
        <f>=HYPERLINK("http://anyluxury.ru/shop/odezhda/detskaya-odezhda/tolstovka-uniseks-sandro-sinyaya-s-chernim-melanzhem-01700527/" , "01700527 Толстовка унисекс SANDRO синий/черный меланж, размер XXL")</f>
      </c>
      <c r="C2680" s="4" t="n">
        <v>2190.00</v>
      </c>
      <c r="D2680" s="4"/>
    </row>
    <row collapsed="" customFormat="false" customHeight="1" hidden="" ht="14" outlineLevel="0" r="2681">
      <c r="A2681" s="3" t="inlineStr">
        <is>
          <t>2650</t>
        </is>
      </c>
      <c r="B2681" s="4" t="s">
        <f>=HYPERLINK("http://anyluxury.ru/shop/odezhda/detskaya-odezhda/tolstovka-uniseks-sandro-sinyaya-s-chernim-melanzhem-01700527/" , "01700527 Толстовка унисекс SANDRO синий/черный меланж, размер 3XL")</f>
      </c>
      <c r="C2681" s="4" t="n">
        <v>2190.00</v>
      </c>
      <c r="D2681" s="4"/>
    </row>
    <row collapsed="" customFormat="false" customHeight="1" hidden="" ht="14" outlineLevel="0" r="2682">
      <c r="A2682" s="3" t="inlineStr">
        <is>
          <t>2651</t>
        </is>
      </c>
      <c r="B2682" s="4" t="s">
        <f>=HYPERLINK("http://anyluxury.ru/shop/odezhda/detskaya-odezhda/futbolka-s-dlinnim-rukavom-monarch-150-temnoseraya-137710/" , "1377.10 Футболка мужская с длинным рукавом MONARCH 150, темно-серая, размер S")</f>
      </c>
      <c r="C2682" s="4" t="n">
        <v>970.00</v>
      </c>
      <c r="D2682" s="4"/>
    </row>
    <row collapsed="" customFormat="false" customHeight="1" hidden="" ht="14" outlineLevel="0" r="2683">
      <c r="A2683" s="3" t="inlineStr">
        <is>
          <t>2652</t>
        </is>
      </c>
      <c r="B2683" s="4" t="s">
        <f>=HYPERLINK("http://anyluxury.ru/shop/odezhda/detskaya-odezhda/futbolka-s-dlinnim-rukavom-monarch-150-temnoseraya-137710/" , "1377.10 Футболка мужская с длинным рукавом MONARCH 150, темно-серая, размер M")</f>
      </c>
      <c r="C2683" s="4" t="n">
        <v>970.00</v>
      </c>
      <c r="D2683" s="4"/>
    </row>
    <row collapsed="" customFormat="false" customHeight="1" hidden="" ht="14" outlineLevel="0" r="2684">
      <c r="A2684" s="3" t="inlineStr">
        <is>
          <t>2653</t>
        </is>
      </c>
      <c r="B2684" s="4" t="s">
        <f>=HYPERLINK("http://anyluxury.ru/shop/odezhda/detskaya-odezhda/futbolka-s-dlinnim-rukavom-monarch-150-temnoseraya-137710/" , "1377.10 Футболка мужская с длинным рукавом MONARCH 150, темно-серая, размер L")</f>
      </c>
      <c r="C2684" s="4" t="n">
        <v>970.00</v>
      </c>
      <c r="D2684" s="4"/>
    </row>
    <row collapsed="" customFormat="false" customHeight="1" hidden="" ht="14" outlineLevel="0" r="2685">
      <c r="A2685" s="3" t="inlineStr">
        <is>
          <t>2654</t>
        </is>
      </c>
      <c r="B2685" s="4" t="s">
        <f>=HYPERLINK("http://anyluxury.ru/shop/odezhda/detskaya-odezhda/futbolka-s-dlinnim-rukavom-monarch-150-temnoseraya-137710/" , "1377.10 Футболка мужская с длинным рукавом MONARCH 150, темно-серая, размер XL")</f>
      </c>
      <c r="C2685" s="4" t="n">
        <v>970.00</v>
      </c>
      <c r="D2685" s="4"/>
    </row>
    <row collapsed="" customFormat="false" customHeight="1" hidden="" ht="14" outlineLevel="0" r="2686">
      <c r="A2686" s="3" t="inlineStr">
        <is>
          <t>2655</t>
        </is>
      </c>
      <c r="B2686" s="4" t="s">
        <f>=HYPERLINK("http://anyluxury.ru/shop/odezhda/detskaya-odezhda/futbolka-s-dlinnim-rukavom-monarch-150-temnoseraya-137710/" , "1377.10 Футболка мужская с длинным рукавом MONARCH 150, темно-серая, размер XXL")</f>
      </c>
      <c r="C2686" s="4" t="n">
        <v>970.00</v>
      </c>
      <c r="D2686" s="4"/>
    </row>
    <row collapsed="" customFormat="false" customHeight="1" hidden="" ht="14" outlineLevel="0" r="2687">
      <c r="A2687" s="3" t="inlineStr">
        <is>
          <t>2656</t>
        </is>
      </c>
      <c r="B2687" s="4" t="s">
        <f>=HYPERLINK("http://anyluxury.ru/shop/odezhda/detskaya-odezhda/futbolka-s-dlinnim-rukavom-monarch-150-temnoseraya-137710/" , "1377.10 Футболка мужская с длинным рукавом MONARCH 150, темно-серая, размер 3XL")</f>
      </c>
      <c r="C2687" s="4" t="n">
        <v>1179.00</v>
      </c>
      <c r="D2687" s="4"/>
    </row>
    <row collapsed="" customFormat="false" customHeight="1" hidden="" ht="14" outlineLevel="0" r="2688">
      <c r="A2688" s="3" t="inlineStr">
        <is>
          <t>2657</t>
        </is>
      </c>
      <c r="B2688" s="4" t="s">
        <f>=HYPERLINK("http://anyluxury.ru/shop/odezhda/detskaya-odezhda/futbolka-s-dlinnim-rukavom-monarch-150-yarkozelenaya-137792/" , "1377.92 Футболка мужская с длинным рукавом MONARCH 150, ярко-зеленая, размер S")</f>
      </c>
      <c r="C2688" s="4" t="n">
        <v>970.00</v>
      </c>
      <c r="D2688" s="4"/>
    </row>
    <row collapsed="" customFormat="false" customHeight="1" hidden="" ht="14" outlineLevel="0" r="2689">
      <c r="A2689" s="3" t="inlineStr">
        <is>
          <t>2658</t>
        </is>
      </c>
      <c r="B2689" s="4" t="s">
        <f>=HYPERLINK("http://anyluxury.ru/shop/odezhda/detskaya-odezhda/futbolka-s-dlinnim-rukavom-monarch-150-yarkozelenaya-137792/" , "1377.92 Футболка мужская с длинным рукавом MONARCH 150, ярко-зеленая, размер M")</f>
      </c>
      <c r="C2689" s="4" t="n">
        <v>970.00</v>
      </c>
      <c r="D2689" s="4"/>
    </row>
    <row collapsed="" customFormat="false" customHeight="1" hidden="" ht="14" outlineLevel="0" r="2690">
      <c r="A2690" s="3" t="inlineStr">
        <is>
          <t>2659</t>
        </is>
      </c>
      <c r="B2690" s="4" t="s">
        <f>=HYPERLINK("http://anyluxury.ru/shop/odezhda/detskaya-odezhda/futbolka-s-dlinnim-rukavom-monarch-150-yarkozelenaya-137792/" , "1377.92 Футболка мужская с длинным рукавом MONARCH 150, ярко-зеленая, размер L")</f>
      </c>
      <c r="C2690" s="4" t="n">
        <v>970.00</v>
      </c>
      <c r="D2690" s="4"/>
    </row>
    <row collapsed="" customFormat="false" customHeight="1" hidden="" ht="14" outlineLevel="0" r="2691">
      <c r="A2691" s="3" t="inlineStr">
        <is>
          <t>2660</t>
        </is>
      </c>
      <c r="B2691" s="4" t="s">
        <f>=HYPERLINK("http://anyluxury.ru/shop/odezhda/detskaya-odezhda/futbolka-s-dlinnim-rukavom-monarch-150-yarkozelenaya-137792/" , "1377.92 Футболка мужская с длинным рукавом MONARCH 150, ярко-зеленая, размер XL")</f>
      </c>
      <c r="C2691" s="4" t="n">
        <v>970.00</v>
      </c>
      <c r="D2691" s="4"/>
    </row>
    <row collapsed="" customFormat="false" customHeight="1" hidden="" ht="14" outlineLevel="0" r="2692">
      <c r="A2692" s="3" t="inlineStr">
        <is>
          <t>2661</t>
        </is>
      </c>
      <c r="B2692" s="4" t="s">
        <f>=HYPERLINK("http://anyluxury.ru/shop/odezhda/detskaya-odezhda/futbolka-s-dlinnim-rukavom-monarch-150-yarkozelenaya-137792/" , "1377.92 Футболка мужская с длинным рукавом MONARCH 150, ярко-зеленая, размер XXL")</f>
      </c>
      <c r="C2692" s="4" t="n">
        <v>970.00</v>
      </c>
      <c r="D2692" s="4"/>
    </row>
    <row collapsed="" customFormat="false" customHeight="1" hidden="" ht="14" outlineLevel="0" r="2693">
      <c r="A2693" s="3" t="inlineStr">
        <is>
          <t>2662</t>
        </is>
      </c>
      <c r="B2693" s="4" t="s">
        <f>=HYPERLINK("http://anyluxury.ru/shop/odezhda/detskaya-odezhda/futbolka-s-dlinnim-rukavom-monarch-150-yarkozelenaya-137792/" , "1377.92 Футболка мужская с длинным рукавом MONARCH 150, ярко-зеленая, размер 3XL")</f>
      </c>
      <c r="C2693" s="4" t="n">
        <v>1179.00</v>
      </c>
      <c r="D2693" s="4"/>
    </row>
    <row collapsed="" customFormat="false" customHeight="1" hidden="" ht="14" outlineLevel="0" r="2694">
      <c r="A2694" s="3" t="inlineStr">
        <is>
          <t>2663</t>
        </is>
      </c>
      <c r="B2694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S")</f>
      </c>
      <c r="C2694" s="4" t="n">
        <v>930.00</v>
      </c>
      <c r="D2694" s="4"/>
    </row>
    <row collapsed="" customFormat="false" customHeight="1" hidden="" ht="14" outlineLevel="0" r="2695">
      <c r="A2695" s="3" t="inlineStr">
        <is>
          <t>2664</t>
        </is>
      </c>
      <c r="B2695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M")</f>
      </c>
      <c r="C2695" s="4" t="n">
        <v>930.00</v>
      </c>
      <c r="D2695" s="4"/>
    </row>
    <row collapsed="" customFormat="false" customHeight="1" hidden="" ht="14" outlineLevel="0" r="2696">
      <c r="A2696" s="3" t="inlineStr">
        <is>
          <t>2665</t>
        </is>
      </c>
      <c r="B2696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L")</f>
      </c>
      <c r="C2696" s="4" t="n">
        <v>930.00</v>
      </c>
      <c r="D2696" s="4"/>
    </row>
    <row collapsed="" customFormat="false" customHeight="1" hidden="" ht="14" outlineLevel="0" r="2697">
      <c r="A2697" s="3" t="inlineStr">
        <is>
          <t>2666</t>
        </is>
      </c>
      <c r="B2697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XL")</f>
      </c>
      <c r="C2697" s="4" t="n">
        <v>930.00</v>
      </c>
      <c r="D2697" s="4"/>
    </row>
    <row collapsed="" customFormat="false" customHeight="1" hidden="" ht="14" outlineLevel="0" r="2698">
      <c r="A2698" s="3" t="inlineStr">
        <is>
          <t>2667</t>
        </is>
      </c>
      <c r="B2698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XXL")</f>
      </c>
      <c r="C2698" s="4" t="n">
        <v>930.00</v>
      </c>
      <c r="D2698" s="4"/>
    </row>
    <row collapsed="" customFormat="false" customHeight="1" hidden="" ht="14" outlineLevel="0" r="2699">
      <c r="A2699" s="3" t="inlineStr">
        <is>
          <t>2668</t>
        </is>
      </c>
      <c r="B2699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S")</f>
      </c>
      <c r="C2699" s="4" t="n">
        <v>930.00</v>
      </c>
      <c r="D2699" s="4"/>
    </row>
    <row collapsed="" customFormat="false" customHeight="1" hidden="" ht="14" outlineLevel="0" r="2700">
      <c r="A2700" s="3" t="inlineStr">
        <is>
          <t>2669</t>
        </is>
      </c>
      <c r="B2700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M")</f>
      </c>
      <c r="C2700" s="4" t="n">
        <v>930.00</v>
      </c>
      <c r="D2700" s="4"/>
    </row>
    <row collapsed="" customFormat="false" customHeight="1" hidden="" ht="14" outlineLevel="0" r="2701">
      <c r="A2701" s="3" t="inlineStr">
        <is>
          <t>2670</t>
        </is>
      </c>
      <c r="B2701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L")</f>
      </c>
      <c r="C2701" s="4" t="n">
        <v>930.00</v>
      </c>
      <c r="D2701" s="4"/>
    </row>
    <row collapsed="" customFormat="false" customHeight="1" hidden="" ht="14" outlineLevel="0" r="2702">
      <c r="A2702" s="3" t="inlineStr">
        <is>
          <t>2671</t>
        </is>
      </c>
      <c r="B2702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XL")</f>
      </c>
      <c r="C2702" s="4" t="n">
        <v>930.00</v>
      </c>
      <c r="D2702" s="4"/>
    </row>
    <row collapsed="" customFormat="false" customHeight="1" hidden="" ht="14" outlineLevel="0" r="2703">
      <c r="A2703" s="3" t="inlineStr">
        <is>
          <t>2672</t>
        </is>
      </c>
      <c r="B2703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XXL")</f>
      </c>
      <c r="C2703" s="4" t="n">
        <v>930.00</v>
      </c>
      <c r="D2703" s="4"/>
    </row>
    <row collapsed="" customFormat="false" customHeight="1" hidden="" ht="14" outlineLevel="0" r="2704">
      <c r="A2704" s="3" t="inlineStr">
        <is>
          <t>2673</t>
        </is>
      </c>
      <c r="B2704" s="4" t="s">
        <f>=HYPERLINK("http://anyluxury.ru/shop/odezhda/detskaya-odezhda/kurtka-flisovaya-muzhskaya-twohand-sinyaya-169144/" , "1691.44 Куртка мужская TWOHAND синяя, размер S")</f>
      </c>
      <c r="C2704" s="4" t="n">
        <v>3259.00</v>
      </c>
      <c r="D2704" s="4"/>
    </row>
    <row collapsed="" customFormat="false" customHeight="1" hidden="" ht="14" outlineLevel="0" r="2705">
      <c r="A2705" s="3" t="inlineStr">
        <is>
          <t>2674</t>
        </is>
      </c>
      <c r="B2705" s="4" t="s">
        <f>=HYPERLINK("http://anyluxury.ru/shop/odezhda/detskaya-odezhda/kurtka-flisovaya-muzhskaya-twohand-sinyaya-169144/" , "1691.44 Куртка мужская TWOHAND синяя, размер M")</f>
      </c>
      <c r="C2705" s="4" t="n">
        <v>3259.00</v>
      </c>
      <c r="D2705" s="4"/>
    </row>
    <row collapsed="" customFormat="false" customHeight="1" hidden="" ht="14" outlineLevel="0" r="2706">
      <c r="A2706" s="3" t="inlineStr">
        <is>
          <t>2675</t>
        </is>
      </c>
      <c r="B2706" s="4" t="s">
        <f>=HYPERLINK("http://anyluxury.ru/shop/odezhda/detskaya-odezhda/kurtka-flisovaya-muzhskaya-twohand-sinyaya-169144/" , "1691.44 Куртка мужская TWOHAND синяя, размер L")</f>
      </c>
      <c r="C2706" s="4" t="n">
        <v>3259.00</v>
      </c>
      <c r="D2706" s="4"/>
    </row>
    <row collapsed="" customFormat="false" customHeight="1" hidden="" ht="14" outlineLevel="0" r="2707">
      <c r="A2707" s="3" t="inlineStr">
        <is>
          <t>2676</t>
        </is>
      </c>
      <c r="B2707" s="4" t="s">
        <f>=HYPERLINK("http://anyluxury.ru/shop/odezhda/detskaya-odezhda/kurtka-flisovaya-muzhskaya-twohand-sinyaya-169144/" , "1691.44 Куртка мужская TWOHAND синяя, размер XL")</f>
      </c>
      <c r="C2707" s="4" t="n">
        <v>3259.00</v>
      </c>
      <c r="D2707" s="4"/>
    </row>
    <row collapsed="" customFormat="false" customHeight="1" hidden="" ht="14" outlineLevel="0" r="2708">
      <c r="A2708" s="3" t="inlineStr">
        <is>
          <t>2677</t>
        </is>
      </c>
      <c r="B2708" s="4" t="s">
        <f>=HYPERLINK("http://anyluxury.ru/shop/odezhda/detskaya-odezhda/kurtka-flisovaya-muzhskaya-twohand-sinyaya-169144/" , "1691.44 Куртка мужская TWOHAND синяя, размер XXL")</f>
      </c>
      <c r="C2708" s="4" t="n">
        <v>3259.00</v>
      </c>
      <c r="D2708" s="4"/>
    </row>
    <row collapsed="" customFormat="false" customHeight="1" hidden="" ht="14" outlineLevel="0" r="2709">
      <c r="A2709" s="3" t="inlineStr">
        <is>
          <t>2678</t>
        </is>
      </c>
      <c r="B2709" s="4" t="s">
        <f>=HYPERLINK("http://anyluxury.ru/shop/odezhda/detskaya-odezhda/kurtka-flisovaya-muzhskaya-twohand-temnosinyaya-169140/" , "1691.40 Куртка мужская TWOHAND темно-синяя, размер S")</f>
      </c>
      <c r="C2709" s="4" t="n">
        <v>3259.00</v>
      </c>
      <c r="D2709" s="4"/>
    </row>
    <row collapsed="" customFormat="false" customHeight="1" hidden="" ht="14" outlineLevel="0" r="2710">
      <c r="A2710" s="3" t="inlineStr">
        <is>
          <t>2679</t>
        </is>
      </c>
      <c r="B2710" s="4" t="s">
        <f>=HYPERLINK("http://anyluxury.ru/shop/odezhda/detskaya-odezhda/kurtka-flisovaya-muzhskaya-twohand-temnosinyaya-169140/" , "1691.40 Куртка мужская TWOHAND темно-синяя, размер M")</f>
      </c>
      <c r="C2710" s="4" t="n">
        <v>3259.00</v>
      </c>
      <c r="D2710" s="4"/>
    </row>
    <row collapsed="" customFormat="false" customHeight="1" hidden="" ht="14" outlineLevel="0" r="2711">
      <c r="A2711" s="3" t="inlineStr">
        <is>
          <t>2680</t>
        </is>
      </c>
      <c r="B2711" s="4" t="s">
        <f>=HYPERLINK("http://anyluxury.ru/shop/odezhda/detskaya-odezhda/kurtka-flisovaya-muzhskaya-twohand-temnosinyaya-169140/" , "1691.40 Куртка мужская TWOHAND темно-синяя, размер XXL")</f>
      </c>
      <c r="C2711" s="4" t="n">
        <v>3259.00</v>
      </c>
      <c r="D2711" s="4"/>
    </row>
    <row collapsed="" customFormat="false" customHeight="1" hidden="" ht="14" outlineLevel="0" r="2712">
      <c r="A2712" s="3" t="inlineStr">
        <is>
          <t>2681</t>
        </is>
      </c>
      <c r="B2712" s="4" t="s">
        <f>=HYPERLINK("http://anyluxury.ru/shop/odezhda/detskaya-odezhda/kurtka-flisovaya-muzhskaya-twohand-chernaya-169130/" , "1691.30 Куртка мужская TWOHAND черная, размер S")</f>
      </c>
      <c r="C2712" s="4" t="n">
        <v>3259.00</v>
      </c>
      <c r="D2712" s="4"/>
    </row>
    <row collapsed="" customFormat="false" customHeight="1" hidden="" ht="14" outlineLevel="0" r="2713">
      <c r="A2713" s="3" t="inlineStr">
        <is>
          <t>2682</t>
        </is>
      </c>
      <c r="B2713" s="4" t="s">
        <f>=HYPERLINK("http://anyluxury.ru/shop/odezhda/detskaya-odezhda/kurtka-flisovaya-muzhskaya-twohand-zelenoe-yabloko-169194/" , "1691.94 Куртка мужская TWOHAND зеленое яблоко, размер S")</f>
      </c>
      <c r="C2713" s="4" t="n">
        <v>3259.00</v>
      </c>
      <c r="D2713" s="4"/>
    </row>
    <row collapsed="" customFormat="false" customHeight="1" hidden="" ht="14" outlineLevel="0" r="2714">
      <c r="A2714" s="3" t="inlineStr">
        <is>
          <t>2683</t>
        </is>
      </c>
      <c r="B2714" s="4" t="s">
        <f>=HYPERLINK("http://anyluxury.ru/shop/odezhda/detskaya-odezhda/kurtka-flisovaya-zhenskaya-twohand-krasnaya-169250/" , "1692.50 Куртка женская TWOHAND красная, размер XL")</f>
      </c>
      <c r="C2714" s="4" t="n">
        <v>3259.00</v>
      </c>
      <c r="D2714" s="4"/>
    </row>
    <row collapsed="" customFormat="false" customHeight="1" hidden="" ht="14" outlineLevel="0" r="2715">
      <c r="A2715" s="3" t="inlineStr">
        <is>
          <t>2684</t>
        </is>
      </c>
      <c r="B2715" s="4" t="s">
        <f>=HYPERLINK("http://anyluxury.ru/shop/odezhda/detskaya-odezhda/kurtka-flisovaya-zhenskaya-twohand-sinyaya-169244/" , "1692.44 Куртка женская TWOHAND синяя, размер XL")</f>
      </c>
      <c r="C2715" s="4" t="n">
        <v>3259.00</v>
      </c>
      <c r="D2715" s="4"/>
    </row>
    <row collapsed="" customFormat="false" customHeight="1" hidden="" ht="14" outlineLevel="0" r="2716">
      <c r="A2716" s="3" t="inlineStr">
        <is>
          <t>2685</t>
        </is>
      </c>
      <c r="B2716" s="4" t="s">
        <f>=HYPERLINK("http://anyluxury.ru/shop/odezhda/detskaya-odezhda/kurtka-flisovaya-zhenskaya-twohand-sinyaya-169244/" , "1692.44 Куртка женская TWOHAND синяя, размер XXL")</f>
      </c>
      <c r="C2716" s="4" t="n">
        <v>3259.00</v>
      </c>
      <c r="D2716" s="4"/>
    </row>
    <row collapsed="" customFormat="false" customHeight="1" hidden="" ht="14" outlineLevel="0" r="2717">
      <c r="A2717" s="3" t="inlineStr">
        <is>
          <t>2686</t>
        </is>
      </c>
      <c r="B2717" s="4" t="s">
        <f>=HYPERLINK("http://anyluxury.ru/shop/odezhda/detskaya-odezhda/kurtka-muzhskaya-north-seriy-melanzh-190911/" , "1909.11 Куртка мужская North, серый меланж, размер XS")</f>
      </c>
      <c r="C2717" s="4" t="n">
        <v>2813.00</v>
      </c>
      <c r="D2717" s="4"/>
    </row>
    <row collapsed="" customFormat="false" customHeight="1" hidden="" ht="14" outlineLevel="0" r="2718">
      <c r="A2718" s="3" t="inlineStr">
        <is>
          <t>2687</t>
        </is>
      </c>
      <c r="B2718" s="4" t="s">
        <f>=HYPERLINK("http://anyluxury.ru/shop/odezhda/detskaya-odezhda/kurtka-muzhskaya-north-seriy-melanzh-190911/" , "1909.11 Куртка мужская North, серый меланж, размер S")</f>
      </c>
      <c r="C2718" s="4" t="n">
        <v>2813.00</v>
      </c>
      <c r="D2718" s="4"/>
    </row>
    <row collapsed="" customFormat="false" customHeight="1" hidden="" ht="14" outlineLevel="0" r="2719">
      <c r="A2719" s="3" t="inlineStr">
        <is>
          <t>2688</t>
        </is>
      </c>
      <c r="B2719" s="4" t="s">
        <f>=HYPERLINK("http://anyluxury.ru/shop/odezhda/detskaya-odezhda/kurtka-muzhskaya-north-seriy-melanzh-190911/" , "1909.11 Куртка мужская North, серый меланж, размер M")</f>
      </c>
      <c r="C2719" s="4" t="n">
        <v>2813.00</v>
      </c>
      <c r="D2719" s="4"/>
    </row>
    <row collapsed="" customFormat="false" customHeight="1" hidden="" ht="14" outlineLevel="0" r="2720">
      <c r="A2720" s="3" t="inlineStr">
        <is>
          <t>2689</t>
        </is>
      </c>
      <c r="B2720" s="4" t="s">
        <f>=HYPERLINK("http://anyluxury.ru/shop/odezhda/detskaya-odezhda/kurtka-muzhskaya-north-seriy-melanzh-190911/" , "1909.11 Куртка мужская North, серый меланж, размер L")</f>
      </c>
      <c r="C2720" s="4" t="n">
        <v>2813.00</v>
      </c>
      <c r="D2720" s="4"/>
    </row>
    <row collapsed="" customFormat="false" customHeight="1" hidden="" ht="14" outlineLevel="0" r="2721">
      <c r="A2721" s="3" t="inlineStr">
        <is>
          <t>2690</t>
        </is>
      </c>
      <c r="B2721" s="4" t="s">
        <f>=HYPERLINK("http://anyluxury.ru/shop/odezhda/detskaya-odezhda/kurtka-muzhskaya-north-seriy-melanzh-190911/" , "1909.11 Куртка мужская North, серый меланж, размер XL")</f>
      </c>
      <c r="C2721" s="4" t="n">
        <v>2813.00</v>
      </c>
      <c r="D2721" s="4"/>
    </row>
    <row collapsed="" customFormat="false" customHeight="1" hidden="" ht="14" outlineLevel="0" r="2722">
      <c r="A2722" s="3" t="inlineStr">
        <is>
          <t>2691</t>
        </is>
      </c>
      <c r="B2722" s="4" t="s">
        <f>=HYPERLINK("http://anyluxury.ru/shop/odezhda/detskaya-odezhda/kurtka-muzhskaya-north-seriy-melanzh-190911/" , "1909.11 Куртка мужская North, серый меланж, размер XXL")</f>
      </c>
      <c r="C2722" s="4" t="n">
        <v>2813.00</v>
      </c>
      <c r="D2722" s="4"/>
    </row>
    <row collapsed="" customFormat="false" customHeight="1" hidden="" ht="14" outlineLevel="0" r="2723">
      <c r="A2723" s="3" t="inlineStr">
        <is>
          <t>2692</t>
        </is>
      </c>
      <c r="B2723" s="4" t="s">
        <f>=HYPERLINK("http://anyluxury.ru/shop/odezhda/detskaya-odezhda/kurtka-muzhskaya-north-seriy-melanzh-190911/" , "1909.11 Куртка мужская North, серый меланж, размер 3XL")</f>
      </c>
      <c r="C2723" s="4" t="n">
        <v>3260.00</v>
      </c>
      <c r="D2723" s="4"/>
    </row>
    <row collapsed="" customFormat="false" customHeight="1" hidden="" ht="14" outlineLevel="0" r="2724">
      <c r="A2724" s="3" t="inlineStr">
        <is>
          <t>2693</t>
        </is>
      </c>
      <c r="B2724" s="4" t="s">
        <f>=HYPERLINK("http://anyluxury.ru/shop/odezhda/detskaya-odezhda/kurtka-muzhskaya-north-seriy-melanzh-190911/" , "1909.11 Куртка мужская North, серый меланж, размер 4XL")</f>
      </c>
      <c r="C2724" s="4" t="n">
        <v>3802.00</v>
      </c>
      <c r="D2724" s="4"/>
    </row>
    <row collapsed="" customFormat="false" customHeight="1" hidden="" ht="14" outlineLevel="0" r="2725">
      <c r="A2725" s="3" t="inlineStr">
        <is>
          <t>2694</t>
        </is>
      </c>
      <c r="B2725" s="4" t="s">
        <f>=HYPERLINK("http://anyluxury.ru/shop/odezhda/detskaya-odezhda/kurtka-muzhskaya-north-oranzheviy-neon-190929/" , "1909.29 Куртка мужская North, оранжевый неон, размер XS")</f>
      </c>
      <c r="C2725" s="4" t="n">
        <v>3260.00</v>
      </c>
      <c r="D2725" s="4"/>
    </row>
    <row collapsed="" customFormat="false" customHeight="1" hidden="" ht="14" outlineLevel="0" r="2726">
      <c r="A2726" s="3" t="inlineStr">
        <is>
          <t>2695</t>
        </is>
      </c>
      <c r="B2726" s="4" t="s">
        <f>=HYPERLINK("http://anyluxury.ru/shop/odezhda/detskaya-odezhda/kurtka-muzhskaya-north-oranzheviy-neon-190929/" , "1909.29 Куртка North мужская, оранжевый неон, размер 3XL")</f>
      </c>
      <c r="C2726" s="4" t="n">
        <v>3772.00</v>
      </c>
      <c r="D2726" s="4"/>
    </row>
    <row collapsed="" customFormat="false" customHeight="1" hidden="" ht="14" outlineLevel="0" r="2727">
      <c r="A2727" s="3" t="inlineStr">
        <is>
          <t>2696</t>
        </is>
      </c>
      <c r="B2727" s="4" t="s">
        <f>=HYPERLINK("http://anyluxury.ru/shop/odezhda/detskaya-odezhda/kurtka-muzhskaya-north-zheltiy-neon-190989/" , "1909.89 Куртка мужская North, желтый неон, размер XS")</f>
      </c>
      <c r="C2727" s="4" t="n">
        <v>3260.00</v>
      </c>
      <c r="D2727" s="4"/>
    </row>
    <row collapsed="" customFormat="false" customHeight="1" hidden="" ht="14" outlineLevel="0" r="2728">
      <c r="A2728" s="3" t="inlineStr">
        <is>
          <t>2697</t>
        </is>
      </c>
      <c r="B2728" s="4" t="s">
        <f>=HYPERLINK("http://anyluxury.ru/shop/odezhda/detskaya-odezhda/kurtka-muzhskaya-north-zheltiy-neon-190989/" , "1909.89 Куртка мужская North, желтый неон, размер L")</f>
      </c>
      <c r="C2728" s="4" t="n">
        <v>3260.00</v>
      </c>
      <c r="D2728" s="4"/>
    </row>
    <row collapsed="" customFormat="false" customHeight="1" hidden="" ht="14" outlineLevel="0" r="2729">
      <c r="A2729" s="3" t="inlineStr">
        <is>
          <t>2698</t>
        </is>
      </c>
      <c r="B2729" s="4" t="s">
        <f>=HYPERLINK("http://anyluxury.ru/shop/odezhda/detskaya-odezhda/kurtka-muzhskaya-north-zheltiy-neon-190989/" , "1909.89 Куртка мужская North, желтый неон, размер XXL")</f>
      </c>
      <c r="C2729" s="4" t="n">
        <v>3260.00</v>
      </c>
      <c r="D2729" s="4"/>
    </row>
    <row collapsed="" customFormat="false" customHeight="1" hidden="" ht="14" outlineLevel="0" r="2730">
      <c r="A2730" s="3" t="inlineStr">
        <is>
          <t>2699</t>
        </is>
      </c>
      <c r="B2730" s="4" t="s">
        <f>=HYPERLINK("http://anyluxury.ru/shop/odezhda/detskaya-odezhda/kurtka-muzhskaya-north-zheltiy-neon-190989/" , "1909.89 Куртка мужская North, желтый неон, размер 3XL")</f>
      </c>
      <c r="C2730" s="4" t="n">
        <v>3772.00</v>
      </c>
      <c r="D2730" s="4"/>
    </row>
    <row collapsed="" customFormat="false" customHeight="1" hidden="" ht="14" outlineLevel="0" r="2731">
      <c r="A2731" s="3" t="inlineStr">
        <is>
          <t>2700</t>
        </is>
      </c>
      <c r="B2731" s="4" t="s">
        <f>=HYPERLINK("http://anyluxury.ru/shop/odezhda/detskaya-odezhda/kurtka-zhenskaya-north-women-seriy-melanzh-557511/" , "5575.11 Куртка женская North Women, серый меланж, размер S")</f>
      </c>
      <c r="C2731" s="4" t="n">
        <v>2594.00</v>
      </c>
      <c r="D2731" s="4"/>
    </row>
    <row collapsed="" customFormat="false" customHeight="1" hidden="" ht="14" outlineLevel="0" r="2732">
      <c r="A2732" s="3" t="inlineStr">
        <is>
          <t>2701</t>
        </is>
      </c>
      <c r="B2732" s="4" t="s">
        <f>=HYPERLINK("http://anyluxury.ru/shop/odezhda/detskaya-odezhda/kurtka-zhenskaya-north-women-seriy-melanzh-557511/" , "5575.11 Куртка женская North Women, серый меланж, размер M")</f>
      </c>
      <c r="C2732" s="4" t="n">
        <v>2594.00</v>
      </c>
      <c r="D2732" s="4"/>
    </row>
    <row collapsed="" customFormat="false" customHeight="1" hidden="" ht="14" outlineLevel="0" r="2733">
      <c r="A2733" s="3" t="inlineStr">
        <is>
          <t>2702</t>
        </is>
      </c>
      <c r="B2733" s="4" t="s">
        <f>=HYPERLINK("http://anyluxury.ru/shop/odezhda/detskaya-odezhda/kurtka-zhenskaya-north-women-seriy-melanzh-557511/" , "5575.11 Куртка женская North Women, серый меланж, размер L")</f>
      </c>
      <c r="C2733" s="4" t="n">
        <v>2594.00</v>
      </c>
      <c r="D2733" s="4"/>
    </row>
    <row collapsed="" customFormat="false" customHeight="1" hidden="" ht="14" outlineLevel="0" r="2734">
      <c r="A2734" s="3" t="inlineStr">
        <is>
          <t>2703</t>
        </is>
      </c>
      <c r="B2734" s="4" t="s">
        <f>=HYPERLINK("http://anyluxury.ru/shop/odezhda/detskaya-odezhda/kurtka-zhenskaya-north-women-seriy-melanzh-557511/" , "5575.11 Куртка женская North Women, серый меланж, размер XL")</f>
      </c>
      <c r="C2734" s="4" t="n">
        <v>2594.00</v>
      </c>
      <c r="D2734" s="4"/>
    </row>
    <row collapsed="" customFormat="false" customHeight="1" hidden="" ht="14" outlineLevel="0" r="2735">
      <c r="A2735" s="3" t="inlineStr">
        <is>
          <t>2704</t>
        </is>
      </c>
      <c r="B2735" s="4" t="s">
        <f>=HYPERLINK("http://anyluxury.ru/shop/odezhda/detskaya-odezhda/kurtka-zhenskaya-north-women-seriy-melanzh-557511/" , "5575.11 Куртка женская North Women, серый меланж, размер XXL")</f>
      </c>
      <c r="C2735" s="4" t="n">
        <v>2594.00</v>
      </c>
      <c r="D2735" s="4"/>
    </row>
    <row collapsed="" customFormat="false" customHeight="1" hidden="" ht="14" outlineLevel="0" r="2736">
      <c r="A2736" s="3" t="inlineStr">
        <is>
          <t>2705</t>
        </is>
      </c>
      <c r="B2736" s="4" t="s">
        <f>=HYPERLINK("http://anyluxury.ru/shop/odezhda/detskaya-odezhda/kurtka-zhenskaya-north-women-oranzheviy-neon-557529/" , "5575.29 Куртка женская North Women, оранжевый неон, размер S")</f>
      </c>
      <c r="C2736" s="4" t="n">
        <v>2997.00</v>
      </c>
      <c r="D2736" s="4"/>
    </row>
    <row collapsed="" customFormat="false" customHeight="1" hidden="" ht="14" outlineLevel="0" r="2737">
      <c r="A2737" s="3" t="inlineStr">
        <is>
          <t>2706</t>
        </is>
      </c>
      <c r="B2737" s="4" t="s">
        <f>=HYPERLINK("http://anyluxury.ru/shop/odezhda/detskaya-odezhda/kurtka-zhenskaya-north-women-oranzheviy-neon-557529/" , "5575.29 Куртка женская North Women, оранжевый неон, размер M")</f>
      </c>
      <c r="C2737" s="4" t="n">
        <v>2997.00</v>
      </c>
      <c r="D2737" s="4"/>
    </row>
    <row collapsed="" customFormat="false" customHeight="1" hidden="" ht="14" outlineLevel="0" r="2738">
      <c r="A2738" s="3" t="inlineStr">
        <is>
          <t>2707</t>
        </is>
      </c>
      <c r="B2738" s="4" t="s">
        <f>=HYPERLINK("http://anyluxury.ru/shop/odezhda/detskaya-odezhda/kurtka-zhenskaya-north-women-oranzheviy-neon-557529/" , "5575.29 Куртка женская North Women, оранжевый неон, размер L")</f>
      </c>
      <c r="C2738" s="4" t="n">
        <v>2997.00</v>
      </c>
      <c r="D2738" s="4"/>
    </row>
    <row collapsed="" customFormat="false" customHeight="1" hidden="" ht="14" outlineLevel="0" r="2739">
      <c r="A2739" s="3" t="inlineStr">
        <is>
          <t>2708</t>
        </is>
      </c>
      <c r="B2739" s="4" t="s">
        <f>=HYPERLINK("http://anyluxury.ru/shop/odezhda/detskaya-odezhda/kurtka-zhenskaya-north-women-oranzheviy-neon-557529/" , "5575.29 Куртка женская North Women, оранжевый неон, размер XL")</f>
      </c>
      <c r="C2739" s="4" t="n">
        <v>2997.00</v>
      </c>
      <c r="D2739" s="4"/>
    </row>
    <row collapsed="" customFormat="false" customHeight="1" hidden="" ht="14" outlineLevel="0" r="2740">
      <c r="A2740" s="3" t="inlineStr">
        <is>
          <t>2709</t>
        </is>
      </c>
      <c r="B2740" s="4" t="s">
        <f>=HYPERLINK("http://anyluxury.ru/shop/odezhda/detskaya-odezhda/kurtka-zhenskaya-north-women-oranzheviy-neon-557529/" , "5575.29 Куртка женская North Women, оранжевый неон, размер XXL")</f>
      </c>
      <c r="C2740" s="4" t="n">
        <v>2997.00</v>
      </c>
      <c r="D2740" s="4"/>
    </row>
    <row collapsed="" customFormat="false" customHeight="1" hidden="" ht="14" outlineLevel="0" r="2741">
      <c r="A2741" s="3" t="inlineStr">
        <is>
          <t>2710</t>
        </is>
      </c>
      <c r="B2741" s="4" t="s">
        <f>=HYPERLINK("http://anyluxury.ru/shop/odezhda/detskaya-odezhda/kurtka-zhenskaya-north-women-zheltiy-neon-557589/" , "5575.89 Куртка женская North Women, желтый неон, размер L")</f>
      </c>
      <c r="C2741" s="4" t="n">
        <v>2997.00</v>
      </c>
      <c r="D2741" s="4"/>
    </row>
    <row collapsed="" customFormat="false" customHeight="1" hidden="" ht="14" outlineLevel="0" r="2742">
      <c r="A2742" s="3" t="inlineStr">
        <is>
          <t>2711</t>
        </is>
      </c>
      <c r="B2742" s="4" t="s">
        <f>=HYPERLINK("http://anyluxury.ru/shop/odezhda/detskaya-odezhda/kurtka-zhenskaya-north-women-zheltiy-neon-557589/" , "5575.89 Куртка женская North Women, желтый неон, размер XXL")</f>
      </c>
      <c r="C2742" s="4" t="n">
        <v>2997.00</v>
      </c>
      <c r="D2742" s="4"/>
    </row>
    <row collapsed="" customFormat="false" customHeight="1" hidden="" ht="14" outlineLevel="0" r="2743">
      <c r="A2743" s="3" t="inlineStr">
        <is>
          <t>2712</t>
        </is>
      </c>
      <c r="B2743" s="4" t="s">
        <f>=HYPERLINK("http://anyluxury.ru/shop/odezhda/detskaya-odezhda/tolstovka-iz-flisa-ness-300-zelenoe-yabloko-155594/" , "1555.94 Толстовка из флиса NESS 300, зеленое яблоко, размер S")</f>
      </c>
      <c r="C2743" s="4" t="n">
        <v>2840.00</v>
      </c>
      <c r="D2743" s="4"/>
    </row>
    <row collapsed="" customFormat="false" customHeight="1" hidden="" ht="14" outlineLevel="0" r="2744">
      <c r="A2744" s="3" t="inlineStr">
        <is>
          <t>2713</t>
        </is>
      </c>
      <c r="B2744" s="4" t="s">
        <f>=HYPERLINK("http://anyluxury.ru/shop/odezhda/detskaya-odezhda/tolstovka-iz-flisa-ness-300-zelenoe-yabloko-155594/" , "1555.94 Толстовка из флиса NESS 300, зеленое яблоко, размер M")</f>
      </c>
      <c r="C2744" s="4" t="n">
        <v>2840.00</v>
      </c>
      <c r="D2744" s="4"/>
    </row>
    <row collapsed="" customFormat="false" customHeight="1" hidden="" ht="14" outlineLevel="0" r="2745">
      <c r="A2745" s="3" t="inlineStr">
        <is>
          <t>2714</t>
        </is>
      </c>
      <c r="B2745" s="4" t="s">
        <f>=HYPERLINK("http://anyluxury.ru/shop/odezhda/detskaya-odezhda/tolstovka-iz-flisa-ness-300-zelenoe-yabloko-155594/" , "1555.94 Толстовка из флиса NESS 300, зеленое яблоко, размер L")</f>
      </c>
      <c r="C2745" s="4" t="n">
        <v>2840.00</v>
      </c>
      <c r="D2745" s="4"/>
    </row>
    <row collapsed="" customFormat="false" customHeight="1" hidden="" ht="14" outlineLevel="0" r="2746">
      <c r="A2746" s="3" t="inlineStr">
        <is>
          <t>2715</t>
        </is>
      </c>
      <c r="B2746" s="4" t="s">
        <f>=HYPERLINK("http://anyluxury.ru/shop/odezhda/detskaya-odezhda/tolstovka-iz-flisa-ness-300-zelenoe-yabloko-155594/" , "1555.94 Толстовка из флиса NESS 300, зеленое яблоко, размер XL")</f>
      </c>
      <c r="C2746" s="4" t="n">
        <v>2840.00</v>
      </c>
      <c r="D2746" s="4"/>
    </row>
    <row collapsed="" customFormat="false" customHeight="1" hidden="" ht="14" outlineLevel="0" r="2747">
      <c r="A2747" s="3" t="inlineStr">
        <is>
          <t>2716</t>
        </is>
      </c>
      <c r="B2747" s="4" t="s">
        <f>=HYPERLINK("http://anyluxury.ru/shop/odezhda/detskaya-odezhda/tolstovka-iz-flisa-ness-300-zelenoe-yabloko-155594/" , "1555.94 Толстовка из флиса NESS 300, зеленое яблоко, размер XXL")</f>
      </c>
      <c r="C2747" s="4" t="n">
        <v>2840.00</v>
      </c>
      <c r="D2747" s="4"/>
    </row>
    <row collapsed="" customFormat="false" customHeight="1" hidden="" ht="14" outlineLevel="0" r="2748">
      <c r="A2748" s="3" t="inlineStr">
        <is>
          <t>2717</t>
        </is>
      </c>
      <c r="B2748" s="4" t="s">
        <f>=HYPERLINK("http://anyluxury.ru/shop/odezhda/detskaya-odezhda/tolstovka-iz-flisa-ness-300-zelenoe-yabloko-155594/" , "1555.94 Толстовка из флиса NESS 300, зеленое яблоко, размер 3XL")</f>
      </c>
      <c r="C2748" s="4" t="n">
        <v>3324.00</v>
      </c>
      <c r="D2748" s="4"/>
    </row>
    <row collapsed="" customFormat="false" customHeight="1" hidden="" ht="14" outlineLevel="0" r="2749">
      <c r="A2749" s="3" t="inlineStr">
        <is>
          <t>2718</t>
        </is>
      </c>
      <c r="B2749" s="4" t="s">
        <f>=HYPERLINK("http://anyluxury.ru/shop/odezhda/detskaya-odezhda/kurtka-id501-belaya-fui50001/" , "FUI50001 Куртка ID.501 белая, размер M")</f>
      </c>
      <c r="C2749" s="4" t="n">
        <v>2913.00</v>
      </c>
      <c r="D2749" s="4"/>
    </row>
    <row collapsed="" customFormat="false" customHeight="1" hidden="" ht="14" outlineLevel="0" r="2750">
      <c r="A2750" s="3" t="inlineStr">
        <is>
          <t>2719</t>
        </is>
      </c>
      <c r="B2750" s="4" t="s">
        <f>=HYPERLINK("http://anyluxury.ru/shop/odezhda/detskaya-odezhda/kurtka-id501-temnosinyaya-fui50003/" , "FUI50003 Куртка ID.501 темно-синяя, размер L")</f>
      </c>
      <c r="C2750" s="4" t="n">
        <v>2913.00</v>
      </c>
      <c r="D2750" s="4"/>
    </row>
    <row collapsed="" customFormat="false" customHeight="1" hidden="" ht="14" outlineLevel="0" r="2751">
      <c r="A2751" s="3" t="inlineStr">
        <is>
          <t>2720</t>
        </is>
      </c>
      <c r="B2751" s="4" t="s">
        <f>=HYPERLINK("http://anyluxury.ru/shop/odezhda/detskaya-odezhda/kurtka-id501-krasnaya-fui50004/" , "FUI50004 Куртка ID.501 красная, размер XXL")</f>
      </c>
      <c r="C2751" s="4" t="n">
        <v>2913.00</v>
      </c>
      <c r="D2751" s="4"/>
    </row>
    <row collapsed="" customFormat="false" customHeight="1" hidden="" ht="14" outlineLevel="0" r="2752">
      <c r="A2752" s="3" t="inlineStr">
        <is>
          <t>2721</t>
        </is>
      </c>
      <c r="B2752" s="4" t="s">
        <f>=HYPERLINK("http://anyluxury.ru/shop/odezhda/detskaya-odezhda/kurtka-id501-biryuzovaya-fui50441/" , "FUI50441 Куртка ID.501 бирюзовая, размер S")</f>
      </c>
      <c r="C2752" s="4" t="n">
        <v>2913.00</v>
      </c>
      <c r="D2752" s="4"/>
    </row>
    <row collapsed="" customFormat="false" customHeight="1" hidden="" ht="14" outlineLevel="0" r="2753">
      <c r="A2753" s="3" t="inlineStr">
        <is>
          <t>2722</t>
        </is>
      </c>
      <c r="B2753" s="4" t="s">
        <f>=HYPERLINK("http://anyluxury.ru/shop/odezhda/detskaya-odezhda/kurtka-id501-biryuzovaya-fui50441/" , "FUI50441 Куртка ID.501 бирюзовая, размер XXL")</f>
      </c>
      <c r="C2753" s="4" t="n">
        <v>2913.00</v>
      </c>
      <c r="D2753" s="4"/>
    </row>
    <row collapsed="" customFormat="false" customHeight="1" hidden="" ht="14" outlineLevel="0" r="2754">
      <c r="A2754" s="3" t="inlineStr">
        <is>
          <t>2723</t>
        </is>
      </c>
      <c r="B2754" s="4" t="s">
        <f>=HYPERLINK("http://anyluxury.ru/shop/odezhda/detskaya-odezhda/kurtka-id501-biryuzovaya-fui50441/" , "FUI50441 Куртка ID.501 бирюзовая, размер 3XL")</f>
      </c>
      <c r="C2754" s="4" t="n">
        <v>2913.00</v>
      </c>
      <c r="D2754" s="4"/>
    </row>
    <row collapsed="" customFormat="false" customHeight="1" hidden="" ht="14" outlineLevel="0" r="2755">
      <c r="A2755" s="3" t="inlineStr">
        <is>
          <t>2724</t>
        </is>
      </c>
      <c r="B2755" s="4" t="s">
        <f>=HYPERLINK("http://anyluxury.ru/shop/odezhda/detskaya-odezhda/kurtka-id501-yarkosinyaya-fui50450/" , "FUI50450 Куртка ID.501 ярко-синяя, размер L")</f>
      </c>
      <c r="C2755" s="4" t="n">
        <v>2913.00</v>
      </c>
      <c r="D2755" s="4"/>
    </row>
    <row collapsed="" customFormat="false" customHeight="1" hidden="" ht="14" outlineLevel="0" r="2756">
      <c r="A2756" s="3" t="inlineStr">
        <is>
          <t>2725</t>
        </is>
      </c>
      <c r="B2756" s="4" t="s">
        <f>=HYPERLINK("http://anyluxury.ru/shop/odezhda/detskaya-odezhda/kurtka-id501-yarkosinyaya-fui50450/" , "FUI50450 Куртка ID.501 ярко-синяя, размер 3XL")</f>
      </c>
      <c r="C2756" s="4" t="n">
        <v>2913.00</v>
      </c>
      <c r="D2756" s="4"/>
    </row>
    <row collapsed="" customFormat="false" customHeight="1" hidden="" ht="14" outlineLevel="0" r="2757">
      <c r="A2757" s="3" t="inlineStr">
        <is>
          <t>2726</t>
        </is>
      </c>
      <c r="B2757" s="4" t="s">
        <f>=HYPERLINK("http://anyluxury.ru/shop/odezhda/detskaya-odezhda/kurtka-zhenskaya-id501-biryuzovaya-fwi51441/" , "FWI51441 Куртка женская ID.501 бирюзовая, размер XL")</f>
      </c>
      <c r="C2757" s="4" t="n">
        <v>2866.00</v>
      </c>
      <c r="D2757" s="4"/>
    </row>
    <row collapsed="" customFormat="false" customHeight="1" hidden="" ht="14" outlineLevel="0" r="2758">
      <c r="A2758" s="3" t="inlineStr">
        <is>
          <t>2727</t>
        </is>
      </c>
      <c r="B2758" s="4" t="s">
        <f>=HYPERLINK("http://anyluxury.ru/shop/odezhda/detskaya-odezhda/tolstovka-hooded-yarkosinyaya-wu620450/" , "WU620450 Толстовка Hooded ярко-синяя, размер S")</f>
      </c>
      <c r="C2758" s="4" t="n">
        <v>2793.00</v>
      </c>
      <c r="D2758" s="4"/>
    </row>
    <row collapsed="" customFormat="false" customHeight="1" hidden="" ht="14" outlineLevel="0" r="2759">
      <c r="A2759" s="3" t="inlineStr">
        <is>
          <t>2728</t>
        </is>
      </c>
      <c r="B2759" s="4" t="s">
        <f>=HYPERLINK("http://anyluxury.ru/shop/odezhda/detskaya-odezhda/tolstovka-hooded-yarkosinyaya-wu620450/" , "WU620450 Толстовка Hooded ярко-синяя, размер XXL")</f>
      </c>
      <c r="C2759" s="4" t="n">
        <v>2793.00</v>
      </c>
      <c r="D2759" s="4"/>
    </row>
    <row collapsed="" customFormat="false" customHeight="1" hidden="" ht="14" outlineLevel="0" r="2760">
      <c r="A2760" s="3" t="inlineStr">
        <is>
          <t>2729</t>
        </is>
      </c>
      <c r="B2760" s="4" t="s">
        <f>=HYPERLINK("http://anyluxury.ru/shop/odezhda/detskaya-odezhda/tolstovka-id002-belaya-wui20001/" , "WUI20001 Толстовка ID.002 белая, размер XS")</f>
      </c>
      <c r="C2760" s="4" t="n">
        <v>2153.00</v>
      </c>
      <c r="D2760" s="4"/>
    </row>
    <row collapsed="" customFormat="false" customHeight="1" hidden="" ht="14" outlineLevel="0" r="2761">
      <c r="A2761" s="3" t="inlineStr">
        <is>
          <t>2730</t>
        </is>
      </c>
      <c r="B2761" s="4" t="s">
        <f>=HYPERLINK("http://anyluxury.ru/shop/odezhda/detskaya-odezhda/tolstovka-id002-belaya-wui20001/" , "WUI20001 Толстовка ID.002 белая, размер XXL")</f>
      </c>
      <c r="C2761" s="4" t="n">
        <v>2153.00</v>
      </c>
      <c r="D2761" s="4"/>
    </row>
    <row collapsed="" customFormat="false" customHeight="1" hidden="" ht="14" outlineLevel="0" r="2762">
      <c r="A2762" s="3" t="inlineStr">
        <is>
          <t>2731</t>
        </is>
      </c>
      <c r="B2762" s="4" t="s">
        <f>=HYPERLINK("http://anyluxury.ru/shop/odezhda/detskaya-odezhda/tolstovka-id002-belaya-wui20001/" , "WUI20001 Толстовка ID.002 белая, размер 3XL")</f>
      </c>
      <c r="C2762" s="4" t="n">
        <v>3056.00</v>
      </c>
      <c r="D2762" s="4"/>
    </row>
    <row collapsed="" customFormat="false" customHeight="1" hidden="" ht="14" outlineLevel="0" r="2763">
      <c r="A2763" s="3" t="inlineStr">
        <is>
          <t>2732</t>
        </is>
      </c>
      <c r="B2763" s="4" t="s">
        <f>=HYPERLINK("http://anyluxury.ru/shop/odezhda/detskaya-odezhda/tolstovka-id002-belaya-wui20001/" , "WUI20001 Толстовка ID.002 белая, размер 4XL")</f>
      </c>
      <c r="C2763" s="4" t="n">
        <v>3056.00</v>
      </c>
      <c r="D2763" s="4"/>
    </row>
    <row collapsed="" customFormat="false" customHeight="1" hidden="" ht="14" outlineLevel="0" r="2764">
      <c r="A2764" s="3" t="inlineStr">
        <is>
          <t>2733</t>
        </is>
      </c>
      <c r="B2764" s="4" t="s">
        <f>=HYPERLINK("http://anyluxury.ru/shop/odezhda/detskaya-odezhda/tolstovka-id002-krasnaya-wui20004/" , "WUI20004 Толстовка ID.002 красная, размер XS")</f>
      </c>
      <c r="C2764" s="4" t="n">
        <v>2153.00</v>
      </c>
      <c r="D2764" s="4"/>
    </row>
    <row collapsed="" customFormat="false" customHeight="1" hidden="" ht="14" outlineLevel="0" r="2765">
      <c r="A2765" s="3" t="inlineStr">
        <is>
          <t>2734</t>
        </is>
      </c>
      <c r="B2765" s="4" t="s">
        <f>=HYPERLINK("http://anyluxury.ru/shop/odezhda/detskaya-odezhda/tolstovka-id002-krasnaya-wui20004/" , "WUI20004 Толстовка ID.002 красная, размер S")</f>
      </c>
      <c r="C2765" s="4" t="n">
        <v>2153.00</v>
      </c>
      <c r="D2765" s="4"/>
    </row>
    <row collapsed="" customFormat="false" customHeight="1" hidden="" ht="14" outlineLevel="0" r="2766">
      <c r="A2766" s="3" t="inlineStr">
        <is>
          <t>2735</t>
        </is>
      </c>
      <c r="B2766" s="4" t="s">
        <f>=HYPERLINK("http://anyluxury.ru/shop/odezhda/detskaya-odezhda/tolstovka-id002-krasnaya-wui20004/" , "WUI20004 Толстовка ID.002 красная, размер XXL")</f>
      </c>
      <c r="C2766" s="4" t="n">
        <v>2153.00</v>
      </c>
      <c r="D2766" s="4"/>
    </row>
    <row collapsed="" customFormat="false" customHeight="1" hidden="" ht="14" outlineLevel="0" r="2767">
      <c r="A2767" s="3" t="inlineStr">
        <is>
          <t>2736</t>
        </is>
      </c>
      <c r="B2767" s="4" t="s">
        <f>=HYPERLINK("http://anyluxury.ru/shop/odezhda/detskaya-odezhda/tolstovka-id002-krasnaya-wui20004/" , "WUI20004 Толстовка ID.002 красная, размер 3XL")</f>
      </c>
      <c r="C2767" s="4" t="n">
        <v>3056.00</v>
      </c>
      <c r="D2767" s="4"/>
    </row>
    <row collapsed="" customFormat="false" customHeight="1" hidden="" ht="14" outlineLevel="0" r="2768">
      <c r="A2768" s="3" t="inlineStr">
        <is>
          <t>2737</t>
        </is>
      </c>
      <c r="B2768" s="4" t="s">
        <f>=HYPERLINK("http://anyluxury.ru/shop/odezhda/detskaya-odezhda/tolstovka-id002-krasnaya-wui20004/" , "WUI20004 Толстовка ID.002 красная, размер 4XL")</f>
      </c>
      <c r="C2768" s="4" t="n">
        <v>3056.00</v>
      </c>
      <c r="D2768" s="4"/>
    </row>
    <row collapsed="" customFormat="false" customHeight="1" hidden="" ht="14" outlineLevel="0" r="2769">
      <c r="A2769" s="3" t="inlineStr">
        <is>
          <t>2738</t>
        </is>
      </c>
      <c r="B2769" s="4" t="s">
        <f>=HYPERLINK("http://anyluxury.ru/shop/odezhda/detskaya-odezhda/tolstovka-id002-yarkosiniy-wui20450/" , "WUI20450 Толстовка ID.002 ярко-синяя, размер S")</f>
      </c>
      <c r="C2769" s="4" t="n">
        <v>2153.00</v>
      </c>
      <c r="D2769" s="4"/>
    </row>
    <row collapsed="" customFormat="false" customHeight="1" hidden="" ht="14" outlineLevel="0" r="2770">
      <c r="A2770" s="3" t="inlineStr">
        <is>
          <t>2739</t>
        </is>
      </c>
      <c r="B2770" s="4" t="s">
        <f>=HYPERLINK("http://anyluxury.ru/shop/odezhda/detskaya-odezhda/tolstovka-id002-yarkosiniy-wui20450/" , "WUI20450 Толстовка ID.002 ярко-синяя, размер XL")</f>
      </c>
      <c r="C2770" s="4" t="n">
        <v>2153.00</v>
      </c>
      <c r="D2770" s="4"/>
    </row>
    <row collapsed="" customFormat="false" customHeight="1" hidden="" ht="14" outlineLevel="0" r="2771">
      <c r="A2771" s="3" t="inlineStr">
        <is>
          <t>2740</t>
        </is>
      </c>
      <c r="B2771" s="4" t="s">
        <f>=HYPERLINK("http://anyluxury.ru/shop/odezhda/detskaya-odezhda/tolstovka-id002-yarkosiniy-wui20450/" , "WUI20450 Толстовка ID.002 ярко-синяя, размер XXL")</f>
      </c>
      <c r="C2771" s="4" t="n">
        <v>2153.00</v>
      </c>
      <c r="D2771" s="4"/>
    </row>
    <row collapsed="" customFormat="false" customHeight="1" hidden="" ht="14" outlineLevel="0" r="2772">
      <c r="A2772" s="3" t="inlineStr">
        <is>
          <t>2741</t>
        </is>
      </c>
      <c r="B2772" s="4" t="s">
        <f>=HYPERLINK("http://anyluxury.ru/shop/odezhda/detskaya-odezhda/tolstovka-id002-yarkosiniy-wui20450/" , "WUI20450 Толстовка ID.002 ярко-синяя, размер 3XL")</f>
      </c>
      <c r="C2772" s="4" t="n">
        <v>3056.00</v>
      </c>
      <c r="D2772" s="4"/>
    </row>
    <row collapsed="" customFormat="false" customHeight="1" hidden="" ht="14" outlineLevel="0" r="2773">
      <c r="A2773" s="3" t="inlineStr">
        <is>
          <t>2742</t>
        </is>
      </c>
      <c r="B2773" s="4" t="s">
        <f>=HYPERLINK("http://anyluxury.ru/shop/odezhda/detskaya-odezhda/tolstovka-id002-yarkosiniy-wui20450/" , "WUI20450 Толстовка ID.002 ярко-синяя, размер 4XL")</f>
      </c>
      <c r="C2773" s="4" t="n">
        <v>3056.00</v>
      </c>
      <c r="D2773" s="4"/>
    </row>
    <row collapsed="" customFormat="false" customHeight="1" hidden="" ht="14" outlineLevel="0" r="2774">
      <c r="A2774" s="3" t="inlineStr">
        <is>
          <t>2743</t>
        </is>
      </c>
      <c r="B2774" s="4" t="s">
        <f>=HYPERLINK("http://anyluxury.ru/shop/odezhda/detskaya-odezhda/tolstovka-id003-chernaya-wui21002/" , "WUI21002 Толстовка ID.003 черная, размер S")</f>
      </c>
      <c r="C2774" s="4" t="n">
        <v>2839.00</v>
      </c>
      <c r="D2774" s="4"/>
    </row>
    <row collapsed="" customFormat="false" customHeight="1" hidden="" ht="14" outlineLevel="0" r="2775">
      <c r="A2775" s="3" t="inlineStr">
        <is>
          <t>2744</t>
        </is>
      </c>
      <c r="B2775" s="4" t="s">
        <f>=HYPERLINK("http://anyluxury.ru/shop/odezhda/detskaya-odezhda/tolstovka-id003-chernaya-wui21002/" , "WUI21002 Толстовка ID.003 черная, размер 4XL")</f>
      </c>
      <c r="C2775" s="4" t="n">
        <v>3544.00</v>
      </c>
      <c r="D2775" s="4"/>
    </row>
    <row collapsed="" customFormat="false" customHeight="1" hidden="" ht="14" outlineLevel="0" r="2776">
      <c r="A2776" s="3" t="inlineStr">
        <is>
          <t>2745</t>
        </is>
      </c>
      <c r="B2776" s="4" t="s">
        <f>=HYPERLINK("http://anyluxury.ru/shop/odezhda/detskaya-odezhda/futbolka-s-dlinnim-rukavom-imperial-lsl-men-chernaya-02074309/" , "02074309 Футболка с длинным рукавом IMPERIAL LSL MEN черная, размер S")</f>
      </c>
      <c r="C2776" s="4" t="n">
        <v>1286.00</v>
      </c>
      <c r="D2776" s="4"/>
    </row>
    <row collapsed="" customFormat="false" customHeight="1" hidden="" ht="14" outlineLevel="0" r="2777">
      <c r="A2777" s="3" t="inlineStr">
        <is>
          <t>2746</t>
        </is>
      </c>
      <c r="B2777" s="4" t="s">
        <f>=HYPERLINK("http://anyluxury.ru/shop/odezhda/detskaya-odezhda/futbolka-s-dlinnim-rukavom-imperial-lsl-men-chernaya-02074309/" , "02074309 Футболка с длинным рукавом IMPERIAL LSL MEN черная, размер M")</f>
      </c>
      <c r="C2777" s="4" t="n">
        <v>1286.00</v>
      </c>
      <c r="D2777" s="4"/>
    </row>
    <row collapsed="" customFormat="false" customHeight="1" hidden="" ht="14" outlineLevel="0" r="2778">
      <c r="A2778" s="3" t="inlineStr">
        <is>
          <t>2747</t>
        </is>
      </c>
      <c r="B2778" s="4" t="s">
        <f>=HYPERLINK("http://anyluxury.ru/shop/odezhda/detskaya-odezhda/futbolka-s-dlinnim-rukavom-imperial-lsl-men-chernaya-02074309/" , "02074309 Футболка с длинным рукавом IMPERIAL LSL MEN черная, размер L")</f>
      </c>
      <c r="C2778" s="4" t="n">
        <v>1286.00</v>
      </c>
      <c r="D2778" s="4"/>
    </row>
    <row collapsed="" customFormat="false" customHeight="1" hidden="" ht="14" outlineLevel="0" r="2779">
      <c r="A2779" s="3" t="inlineStr">
        <is>
          <t>2748</t>
        </is>
      </c>
      <c r="B2779" s="4" t="s">
        <f>=HYPERLINK("http://anyluxury.ru/shop/odezhda/detskaya-odezhda/futbolka-s-dlinnim-rukavom-imperial-lsl-men-chernaya-02074309/" , "02074309 Футболка с длинным рукавом IMPERIAL LSL MEN черная, размер XL")</f>
      </c>
      <c r="C2779" s="4" t="n">
        <v>1286.00</v>
      </c>
      <c r="D2779" s="4"/>
    </row>
    <row collapsed="" customFormat="false" customHeight="1" hidden="" ht="14" outlineLevel="0" r="2780">
      <c r="A2780" s="3" t="inlineStr">
        <is>
          <t>2749</t>
        </is>
      </c>
      <c r="B2780" s="4" t="s">
        <f>=HYPERLINK("http://anyluxury.ru/shop/odezhda/detskaya-odezhda/futbolka-s-dlinnim-rukavom-imperial-lsl-men-chernaya-02074309/" , "02074309 Футболка с длинным рукавом IMPERIAL LSL MEN черная, размер XXL")</f>
      </c>
      <c r="C2780" s="4" t="n">
        <v>1286.00</v>
      </c>
      <c r="D2780" s="4"/>
    </row>
    <row collapsed="" customFormat="false" customHeight="1" hidden="" ht="14" outlineLevel="0" r="2781">
      <c r="A2781" s="3" t="inlineStr">
        <is>
          <t>2750</t>
        </is>
      </c>
      <c r="B2781" s="4" t="s">
        <f>=HYPERLINK("http://anyluxury.ru/shop/odezhda/detskaya-odezhda/futbolka-s-dlinnim-rukavom-imperial-lsl-men-chernaya-02074309/" , "02074309 Футболка с длинным рукавом IMPERIAL LSL MEN черная, размер 3XL")</f>
      </c>
      <c r="C2781" s="4" t="n">
        <v>1515.00</v>
      </c>
      <c r="D2781" s="4"/>
    </row>
    <row collapsed="" customFormat="false" customHeight="1" hidden="" ht="14" outlineLevel="0" r="2782">
      <c r="A2782" s="3" t="inlineStr">
        <is>
          <t>2751</t>
        </is>
      </c>
      <c r="B2782" s="4" t="s">
        <f>=HYPERLINK("http://anyluxury.ru/shop/odezhda/detskaya-odezhda/futbolka-s-dlinnim-rukavom-imperial-lsl-men-chernaya-02074309/" , "02074309 Футболка с длинным рукавом IMPERIAL LSL MEN черная, размер 4XL")</f>
      </c>
      <c r="C2782" s="4" t="n">
        <v>1515.00</v>
      </c>
      <c r="D2782" s="4"/>
    </row>
    <row collapsed="" customFormat="false" customHeight="1" hidden="" ht="14" outlineLevel="0" r="2783">
      <c r="A2783" s="3" t="inlineStr">
        <is>
          <t>2752</t>
        </is>
      </c>
      <c r="B2783" s="4" t="s">
        <f>=HYPERLINK("http://anyluxury.ru/shop/odezhda/detskaya-odezhda/futbolka-s-dlinnim-rukavom-imperial-lsl-men-belaya-02074102/" , "02074102 Футболка с длинным рукавом IMPERIAL LSL MEN белая, размер S")</f>
      </c>
      <c r="C2783" s="4" t="n">
        <v>1062.00</v>
      </c>
      <c r="D2783" s="4"/>
    </row>
    <row collapsed="" customFormat="false" customHeight="1" hidden="" ht="14" outlineLevel="0" r="2784">
      <c r="A2784" s="3" t="inlineStr">
        <is>
          <t>2753</t>
        </is>
      </c>
      <c r="B2784" s="4" t="s">
        <f>=HYPERLINK("http://anyluxury.ru/shop/odezhda/detskaya-odezhda/futbolka-s-dlinnim-rukavom-imperial-lsl-men-belaya-02074102/" , "02074102 Футболка с длинным рукавом IMPERIAL LSL MEN белая, размер M")</f>
      </c>
      <c r="C2784" s="4" t="n">
        <v>1062.00</v>
      </c>
      <c r="D2784" s="4"/>
    </row>
    <row collapsed="" customFormat="false" customHeight="1" hidden="" ht="14" outlineLevel="0" r="2785">
      <c r="A2785" s="3" t="inlineStr">
        <is>
          <t>2754</t>
        </is>
      </c>
      <c r="B2785" s="4" t="s">
        <f>=HYPERLINK("http://anyluxury.ru/shop/odezhda/detskaya-odezhda/futbolka-s-dlinnim-rukavom-imperial-lsl-men-belaya-02074102/" , "02074102 Футболка с длинным рукавом IMPERIAL LSL MEN белая, размер L")</f>
      </c>
      <c r="C2785" s="4" t="n">
        <v>1062.00</v>
      </c>
      <c r="D2785" s="4"/>
    </row>
    <row collapsed="" customFormat="false" customHeight="1" hidden="" ht="14" outlineLevel="0" r="2786">
      <c r="A2786" s="3" t="inlineStr">
        <is>
          <t>2755</t>
        </is>
      </c>
      <c r="B2786" s="4" t="s">
        <f>=HYPERLINK("http://anyluxury.ru/shop/odezhda/detskaya-odezhda/futbolka-s-dlinnim-rukavom-imperial-lsl-men-belaya-02074102/" , "02074102 Футболка с длинным рукавом IMPERIAL LSL MEN белая, размер XL")</f>
      </c>
      <c r="C2786" s="4" t="n">
        <v>1062.00</v>
      </c>
      <c r="D2786" s="4"/>
    </row>
    <row collapsed="" customFormat="false" customHeight="1" hidden="" ht="14" outlineLevel="0" r="2787">
      <c r="A2787" s="3" t="inlineStr">
        <is>
          <t>2756</t>
        </is>
      </c>
      <c r="B2787" s="4" t="s">
        <f>=HYPERLINK("http://anyluxury.ru/shop/odezhda/detskaya-odezhda/futbolka-s-dlinnim-rukavom-imperial-lsl-men-belaya-02074102/" , "02074102 Футболка с длинным рукавом IMPERIAL LSL MEN белая, размер XXL")</f>
      </c>
      <c r="C2787" s="4" t="n">
        <v>1062.00</v>
      </c>
      <c r="D2787" s="4"/>
    </row>
    <row collapsed="" customFormat="false" customHeight="1" hidden="" ht="14" outlineLevel="0" r="2788">
      <c r="A2788" s="3" t="inlineStr">
        <is>
          <t>2757</t>
        </is>
      </c>
      <c r="B2788" s="4" t="s">
        <f>=HYPERLINK("http://anyluxury.ru/shop/odezhda/detskaya-odezhda/futbolka-s-dlinnim-rukavom-imperial-lsl-men-belaya-02074102/" , "02074102 Футболка с длинным рукавом IMPERIAL LSL MEN белая, размер 3XL")</f>
      </c>
      <c r="C2788" s="4" t="n">
        <v>1267.00</v>
      </c>
      <c r="D2788" s="4"/>
    </row>
    <row collapsed="" customFormat="false" customHeight="1" hidden="" ht="14" outlineLevel="0" r="2789">
      <c r="A2789" s="3" t="inlineStr">
        <is>
          <t>2758</t>
        </is>
      </c>
      <c r="B2789" s="4" t="s">
        <f>=HYPERLINK("http://anyluxury.ru/shop/odezhda/detskaya-odezhda/futbolka-s-dlinnim-rukavom-imperial-lsl-men-belaya-02074102/" , "02074102 Футболка с длинным рукавом IMPERIAL LSL MEN белая, размер 4XL")</f>
      </c>
      <c r="C2789" s="4" t="n">
        <v>1267.00</v>
      </c>
      <c r="D2789" s="4"/>
    </row>
    <row collapsed="" customFormat="false" customHeight="1" hidden="" ht="14" outlineLevel="0" r="2790">
      <c r="A2790" s="3" t="inlineStr">
        <is>
          <t>2759</t>
        </is>
      </c>
      <c r="B2790" s="4" t="s">
        <f>=HYPERLINK("http://anyluxury.ru/shop/odezhda/detskaya-odezhda/futbolka-s-dlinnim-rukavom-imperial-lsl-women-chernaya-02075309/" , "02075309 Футболка с длинным рукавом IMPERIAL LSL WOMEN черная, размер L")</f>
      </c>
      <c r="C2790" s="4" t="n">
        <v>1271.00</v>
      </c>
      <c r="D2790" s="4"/>
    </row>
    <row collapsed="" customFormat="false" customHeight="1" hidden="" ht="14" outlineLevel="0" r="2791">
      <c r="A2791" s="3" t="inlineStr">
        <is>
          <t>2760</t>
        </is>
      </c>
      <c r="B2791" s="4" t="s">
        <f>=HYPERLINK("http://anyluxury.ru/shop/odezhda/detskaya-odezhda/futbolka-s-dlinnim-rukavom-imperial-lsl-women-chernaya-02075309/" , "02075309 Футболка с длинным рукавом IMPERIAL LSL WOMEN черная, размер XL")</f>
      </c>
      <c r="C2791" s="4" t="n">
        <v>1271.00</v>
      </c>
      <c r="D2791" s="4"/>
    </row>
    <row collapsed="" customFormat="false" customHeight="1" hidden="" ht="14" outlineLevel="0" r="2792">
      <c r="A2792" s="3" t="inlineStr">
        <is>
          <t>2761</t>
        </is>
      </c>
      <c r="B2792" s="4" t="s">
        <f>=HYPERLINK("http://anyluxury.ru/shop/odezhda/detskaya-odezhda/futbolka-s-dlinnim-rukavom-imperial-lsl-women-chernaya-02075309/" , "02075309 Футболка с длинным рукавом IMPERIAL LSL WOMEN черная, размер XXL")</f>
      </c>
      <c r="C2792" s="4" t="n">
        <v>1271.00</v>
      </c>
      <c r="D2792" s="4"/>
    </row>
    <row collapsed="" customFormat="false" customHeight="1" hidden="" ht="14" outlineLevel="0" r="2793">
      <c r="A2793" s="3" t="inlineStr">
        <is>
          <t>2762</t>
        </is>
      </c>
      <c r="B2793" s="4" t="s">
        <f>=HYPERLINK("http://anyluxury.ru/shop/odezhda/detskaya-odezhda/futbolka-s-dlinnim-rukavom-imperial-lsl-women-belaya-02075102/" , "02075102 Футболка с длинным рукавом IMPERIAL LSL WOMEN белая, размер L")</f>
      </c>
      <c r="C2793" s="4" t="n">
        <v>1051.00</v>
      </c>
      <c r="D2793" s="4"/>
    </row>
    <row collapsed="" customFormat="false" customHeight="1" hidden="" ht="14" outlineLevel="0" r="2794">
      <c r="A2794" s="3" t="inlineStr">
        <is>
          <t>2763</t>
        </is>
      </c>
      <c r="B2794" s="4" t="s">
        <f>=HYPERLINK("http://anyluxury.ru/shop/odezhda/detskaya-odezhda/futbolka-s-dlinnim-rukavom-imperial-lsl-women-belaya-02075102/" , "02075102 Футболка с длинным рукавом IMPERIAL LSL WOMEN белая, размер XL")</f>
      </c>
      <c r="C2794" s="4" t="n">
        <v>1051.00</v>
      </c>
      <c r="D2794" s="4"/>
    </row>
    <row collapsed="" customFormat="false" customHeight="1" hidden="" ht="14" outlineLevel="0" r="2795">
      <c r="A2795" s="3" t="inlineStr">
        <is>
          <t>2764</t>
        </is>
      </c>
      <c r="B2795" s="4" t="s">
        <f>=HYPERLINK("http://anyluxury.ru/shop/odezhda/detskaya-odezhda/tolstovka-detskaya-stone-kids-temnosinyaya-02092319/" , "02092319 Толстовка детская STONE KIDS темно-синяя, на рост 106-116 см (6 лет)")</f>
      </c>
      <c r="C2795" s="4" t="n">
        <v>2522.00</v>
      </c>
      <c r="D2795" s="4"/>
    </row>
    <row collapsed="" customFormat="false" customHeight="1" hidden="" ht="14" outlineLevel="0" r="2796">
      <c r="A2796" s="3" t="inlineStr">
        <is>
          <t>2765</t>
        </is>
      </c>
      <c r="B2796" s="4" t="s">
        <f>=HYPERLINK("http://anyluxury.ru/shop/odezhda/detskaya-odezhda/tolstovka-detskaya-stone-kids-temnosinyaya-02092319/" , "02092319 Толстовка детская STONE KIDS темно-синяя, на рост 118-128 см (8 лет)")</f>
      </c>
      <c r="C2796" s="4" t="n">
        <v>2522.00</v>
      </c>
      <c r="D2796" s="4"/>
    </row>
    <row collapsed="" customFormat="false" customHeight="1" hidden="" ht="14" outlineLevel="0" r="2797">
      <c r="A2797" s="3" t="inlineStr">
        <is>
          <t>2766</t>
        </is>
      </c>
      <c r="B2797" s="4" t="s">
        <f>=HYPERLINK("http://anyluxury.ru/shop/odezhda/detskaya-odezhda/tolstovka-detskaya-stone-kids-seriy-melanzh-02092360/" , "02092360 Толстовка детская STONE KIDS серый меланж, на рост 106-116 см (6 лет)")</f>
      </c>
      <c r="C2797" s="4" t="n">
        <v>2522.00</v>
      </c>
      <c r="D2797" s="4"/>
    </row>
    <row collapsed="" customFormat="false" customHeight="1" hidden="" ht="14" outlineLevel="0" r="2798">
      <c r="A2798" s="3" t="inlineStr">
        <is>
          <t>2767</t>
        </is>
      </c>
      <c r="B2798" s="4" t="s">
        <f>=HYPERLINK("http://anyluxury.ru/shop/odezhda/detskaya-odezhda/tolstovka-detskaya-stone-kids-seriy-melanzh-02092360/" , "02092360 Толстовка детская STONE KIDS серый меланж, на рост 118-128 см (8 лет)")</f>
      </c>
      <c r="C2798" s="4" t="n">
        <v>2522.00</v>
      </c>
      <c r="D2798" s="4"/>
    </row>
    <row collapsed="" customFormat="false" customHeight="1" hidden="" ht="14" outlineLevel="0" r="2799">
      <c r="A2799" s="3" t="inlineStr">
        <is>
          <t>2768</t>
        </is>
      </c>
      <c r="B2799" s="4" t="s">
        <f>=HYPERLINK("http://anyluxury.ru/shop/odezhda/detskaya-odezhda/tolstovka-detskaya-stone-kids-seriy-melanzh-02092360/" , "02092360 Толстовка детская STONE KIDS серый меланж, на рост 130-140 см (10 лет)")</f>
      </c>
      <c r="C2799" s="4" t="n">
        <v>2522.00</v>
      </c>
      <c r="D2799" s="4"/>
    </row>
    <row collapsed="" customFormat="false" customHeight="1" hidden="" ht="14" outlineLevel="0" r="2800">
      <c r="A2800" s="3" t="inlineStr">
        <is>
          <t>2769</t>
        </is>
      </c>
      <c r="B2800" s="4" t="s">
        <f>=HYPERLINK("http://anyluxury.ru/shop/odezhda/detskaya-odezhda/tolstovka-detskaya-stone-kids-seriy-melanzh-02092360/" , "02092360 Толстовка детская STONE KIDS серый меланж, на рост 142-152 см (12 лет)")</f>
      </c>
      <c r="C2800" s="4" t="n">
        <v>2522.00</v>
      </c>
      <c r="D2800" s="4"/>
    </row>
    <row collapsed="" customFormat="false" customHeight="1" hidden="" ht="14" outlineLevel="0" r="2801">
      <c r="A2801" s="3" t="inlineStr">
        <is>
          <t>2770</t>
        </is>
      </c>
      <c r="B2801" s="4" t="s">
        <f>=HYPERLINK("http://anyluxury.ru/shop/odezhda/detskaya-odezhda/tolstovka-flisovaya-zhenskaya-frontflip-krasnaya-686050/" , "6860.50 Толстовка флисовая женская Frontflip красная, размер XXL")</f>
      </c>
      <c r="C2801" s="4" t="n">
        <v>2333.00</v>
      </c>
      <c r="D2801" s="4"/>
    </row>
    <row collapsed="" customFormat="false" customHeight="1" hidden="" ht="14" outlineLevel="0" r="2802">
      <c r="A2802" s="3" t="inlineStr">
        <is>
          <t>2771</t>
        </is>
      </c>
      <c r="B2802" s="4" t="s">
        <f>=HYPERLINK("http://anyluxury.ru/shop/odezhda/detskaya-odezhda/tolstovka-flisovaya-zhenskaya-frontflip-sinyaya-686044/" , "6860.44 Толстовка флисовая женская Frontflip синяя, размер XS")</f>
      </c>
      <c r="C2802" s="4" t="n">
        <v>2333.00</v>
      </c>
      <c r="D2802" s="4"/>
    </row>
    <row collapsed="" customFormat="false" customHeight="1" hidden="" ht="14" outlineLevel="0" r="2803">
      <c r="A2803" s="3" t="inlineStr">
        <is>
          <t>2772</t>
        </is>
      </c>
      <c r="B2803" s="4" t="s">
        <f>=HYPERLINK("http://anyluxury.ru/shop/odezhda/detskaya-odezhda/tolstovka-flisovaya-zhenskaya-frontflip-sinyaya-686044/" , "6860.44 Толстовка флисовая женская Frontflip синяя, размер 3XL")</f>
      </c>
      <c r="C2803" s="4" t="n">
        <v>2333.00</v>
      </c>
      <c r="D2803" s="4"/>
    </row>
    <row collapsed="" customFormat="false" customHeight="1" hidden="" ht="14" outlineLevel="0" r="2804">
      <c r="A2804" s="3" t="inlineStr">
        <is>
          <t>2773</t>
        </is>
      </c>
      <c r="B2804" s="4" t="s">
        <f>=HYPERLINK("http://anyluxury.ru/shop/odezhda/detskaya-odezhda/tolstovka-flisovaya-zhenskaya-frontflip-temnosinyaya-686040/" , "6860.40 Толстовка флисовая женская Frontflip темно-синяя, размер XS")</f>
      </c>
      <c r="C2804" s="4" t="n">
        <v>2333.00</v>
      </c>
      <c r="D2804" s="4"/>
    </row>
    <row collapsed="" customFormat="false" customHeight="1" hidden="" ht="14" outlineLevel="0" r="2805">
      <c r="A2805" s="3" t="inlineStr">
        <is>
          <t>2774</t>
        </is>
      </c>
      <c r="B2805" s="4" t="s">
        <f>=HYPERLINK("http://anyluxury.ru/shop/odezhda/detskaya-odezhda/tolstovka-flisovaya-zhenskaya-frontflip-seraya-686011/" , "6860.11 Толстовка флисовая женская Frontflip серая, размер XS")</f>
      </c>
      <c r="C2805" s="4" t="n">
        <v>2333.00</v>
      </c>
      <c r="D2805" s="4"/>
    </row>
    <row collapsed="" customFormat="false" customHeight="1" hidden="" ht="14" outlineLevel="0" r="2806">
      <c r="A2806" s="3" t="inlineStr">
        <is>
          <t>2775</t>
        </is>
      </c>
      <c r="B2806" s="4" t="s">
        <f>=HYPERLINK("http://anyluxury.ru/shop/odezhda/detskaya-odezhda/tolstovka-flisovaya-zhenskaya-frontflip-seraya-686011/" , "6860.11 Толстовка флисовая женская Frontflip серая, размер 3XL")</f>
      </c>
      <c r="C2806" s="4" t="n">
        <v>2333.00</v>
      </c>
      <c r="D2806" s="4"/>
    </row>
    <row collapsed="" customFormat="false" customHeight="1" hidden="" ht="14" outlineLevel="0" r="2807">
      <c r="A2807" s="3" t="inlineStr">
        <is>
          <t>2776</t>
        </is>
      </c>
      <c r="B2807" s="4" t="s">
        <f>=HYPERLINK("http://anyluxury.ru/shop/odezhda/detskaya-odezhda/tolstovka-s-kapyushonom-unit-kirenga-temnosinyaya-689440/" , "6894.40 Толстовка с капюшоном Unit Kirenga темно-синяя, размер XS")</f>
      </c>
      <c r="C2807" s="4" t="n">
        <v>1487.00</v>
      </c>
      <c r="D2807" s="4"/>
    </row>
    <row collapsed="" customFormat="false" customHeight="1" hidden="" ht="14" outlineLevel="0" r="2808">
      <c r="A2808" s="3" t="inlineStr">
        <is>
          <t>2777</t>
        </is>
      </c>
      <c r="B2808" s="4" t="s">
        <f>=HYPERLINK("http://anyluxury.ru/shop/odezhda/detskaya-odezhda/tolstovka-s-kapyushonom-unit-kirenga-temnosinyaya-689440/" , "6894.40 Толстовка с капюшоном Unit Kirenga темно-синяя, размер S")</f>
      </c>
      <c r="C2808" s="4" t="n">
        <v>1487.00</v>
      </c>
      <c r="D2808" s="4"/>
    </row>
    <row collapsed="" customFormat="false" customHeight="1" hidden="" ht="14" outlineLevel="0" r="2809">
      <c r="A2809" s="3" t="inlineStr">
        <is>
          <t>2778</t>
        </is>
      </c>
      <c r="B2809" s="4" t="s">
        <f>=HYPERLINK("http://anyluxury.ru/shop/odezhda/detskaya-odezhda/tolstovka-s-kapyushonom-unit-kirenga-temnosinyaya-689440/" , "6894.40 Толстовка с капюшоном Unit Kirenga темно-синяя, размер XXL")</f>
      </c>
      <c r="C2809" s="4" t="n">
        <v>1487.00</v>
      </c>
      <c r="D2809" s="4"/>
    </row>
    <row collapsed="" customFormat="false" customHeight="1" hidden="" ht="14" outlineLevel="0" r="2810">
      <c r="A2810" s="3" t="inlineStr">
        <is>
          <t>2779</t>
        </is>
      </c>
      <c r="B2810" s="4" t="s">
        <f>=HYPERLINK("http://anyluxury.ru/shop/odezhda/detskaya-odezhda/tolstovka-s-kapyushonom-unit-kirenga-temnosinyaya-689440/" , "6894.40 Толстовка с капюшоном Unit Kirenga темно-синяя, размер 3XL")</f>
      </c>
      <c r="C2810" s="4" t="n">
        <v>1487.00</v>
      </c>
      <c r="D2810" s="4"/>
    </row>
    <row collapsed="" customFormat="false" customHeight="1" hidden="" ht="14" outlineLevel="0" r="2811">
      <c r="A2811" s="3" t="inlineStr">
        <is>
          <t>2780</t>
        </is>
      </c>
      <c r="B2811" s="4" t="s">
        <f>=HYPERLINK("http://anyluxury.ru/shop/odezhda/detskaya-odezhda/tolstovka-s-kapyushonom-unit-kirenga-temnosinyaya-689440/" , "6894.40 Толстовка с капюшоном Unit Kirenga темно-синяя, размер 4XL")</f>
      </c>
      <c r="C2811" s="4" t="n">
        <v>1487.00</v>
      </c>
      <c r="D2811" s="4"/>
    </row>
    <row collapsed="" customFormat="false" customHeight="1" hidden="" ht="14" outlineLevel="0" r="2812">
      <c r="A2812" s="3" t="inlineStr">
        <is>
          <t>2781</t>
        </is>
      </c>
      <c r="B2812" s="4" t="s">
        <f>=HYPERLINK("http://anyluxury.ru/shop/odezhda/detskaya-odezhda/tolstovka-s-kapyushonom-unit-kirenga-chernaya-689430/" , "6894.30 Толстовка с капюшоном Unit Kirenga черная, размер XS")</f>
      </c>
      <c r="C2812" s="4" t="n">
        <v>1487.00</v>
      </c>
      <c r="D2812" s="4"/>
    </row>
    <row collapsed="" customFormat="false" customHeight="1" hidden="" ht="14" outlineLevel="0" r="2813">
      <c r="A2813" s="3" t="inlineStr">
        <is>
          <t>2782</t>
        </is>
      </c>
      <c r="B2813" s="4" t="s">
        <f>=HYPERLINK("http://anyluxury.ru/shop/odezhda/detskaya-odezhda/tolstovka-s-kapyushonom-unit-kirenga-chernaya-689430/" , "6894.30 Толстовка с капюшоном Unit Kirenga черная, размер S")</f>
      </c>
      <c r="C2813" s="4" t="n">
        <v>1487.00</v>
      </c>
      <c r="D2813" s="4"/>
    </row>
    <row collapsed="" customFormat="false" customHeight="1" hidden="" ht="14" outlineLevel="0" r="2814">
      <c r="A2814" s="3" t="inlineStr">
        <is>
          <t>2783</t>
        </is>
      </c>
      <c r="B2814" s="4" t="s">
        <f>=HYPERLINK("http://anyluxury.ru/shop/odezhda/detskaya-odezhda/tolstovka-s-kapyushonom-unit-kirenga-chernaya-689430/" , "6894.30 Толстовка с капюшоном Unit Kirenga черная, размер M")</f>
      </c>
      <c r="C2814" s="4" t="n">
        <v>1487.00</v>
      </c>
      <c r="D2814" s="4"/>
    </row>
    <row collapsed="" customFormat="false" customHeight="1" hidden="" ht="14" outlineLevel="0" r="2815">
      <c r="A2815" s="3" t="inlineStr">
        <is>
          <t>2784</t>
        </is>
      </c>
      <c r="B2815" s="4" t="s">
        <f>=HYPERLINK("http://anyluxury.ru/shop/odezhda/detskaya-odezhda/tolstovka-s-kapyushonom-unit-kirenga-chernaya-689430/" , "6894.30 Толстовка с капюшоном Unit Kirenga черная, размер 4XL")</f>
      </c>
      <c r="C2815" s="4" t="n">
        <v>1487.00</v>
      </c>
      <c r="D2815" s="4"/>
    </row>
    <row collapsed="" customFormat="false" customHeight="1" hidden="" ht="14" outlineLevel="0" r="2816">
      <c r="A2816" s="3" t="inlineStr">
        <is>
          <t>2785</t>
        </is>
      </c>
      <c r="B2816" s="4" t="s">
        <f>=HYPERLINK("http://anyluxury.ru/shop/odezhda/detskaya-odezhda/tolstovka-s-kapyushonom-unit-kirenga-chernaya-689430/" , "6894.30 Толстовка с капюшоном Kirenga, черная, размер 5XL")</f>
      </c>
      <c r="C2816" s="4" t="n">
        <v>1487.00</v>
      </c>
      <c r="D2816" s="4"/>
    </row>
    <row collapsed="" customFormat="false" customHeight="1" hidden="" ht="14" outlineLevel="0" r="2817">
      <c r="A2817" s="3" t="inlineStr">
        <is>
          <t>2786</t>
        </is>
      </c>
      <c r="B2817" s="4" t="s">
        <f>=HYPERLINK("http://anyluxury.ru/shop/odezhda/detskaya-odezhda/tolstovka-s-kapyushonom-unit-kirenga-belaya-689460/" , "6894.60 Толстовка с капюшоном Unit Kirenga белая, размер XS")</f>
      </c>
      <c r="C2817" s="4" t="n">
        <v>1487.00</v>
      </c>
      <c r="D2817" s="4"/>
    </row>
    <row collapsed="" customFormat="false" customHeight="1" hidden="" ht="14" outlineLevel="0" r="2818">
      <c r="A2818" s="3" t="inlineStr">
        <is>
          <t>2787</t>
        </is>
      </c>
      <c r="B2818" s="4" t="s">
        <f>=HYPERLINK("http://anyluxury.ru/shop/odezhda/detskaya-odezhda/tolstovka-s-kapyushonom-unit-kirenga-belaya-689460/" , "6894.60 Толстовка с капюшоном Unit Kirenga белая, размер S")</f>
      </c>
      <c r="C2818" s="4" t="n">
        <v>1487.00</v>
      </c>
      <c r="D2818" s="4"/>
    </row>
    <row collapsed="" customFormat="false" customHeight="1" hidden="" ht="14" outlineLevel="0" r="2819">
      <c r="A2819" s="3" t="inlineStr">
        <is>
          <t>2788</t>
        </is>
      </c>
      <c r="B2819" s="4" t="s">
        <f>=HYPERLINK("http://anyluxury.ru/shop/odezhda/detskaya-odezhda/tolstovka-s-kapyushonom-unit-kirenga-belaya-689460/" , "6894.60 Толстовка с капюшоном Unit Kirenga белая, размер M")</f>
      </c>
      <c r="C2819" s="4" t="n">
        <v>1487.00</v>
      </c>
      <c r="D2819" s="4"/>
    </row>
    <row collapsed="" customFormat="false" customHeight="1" hidden="" ht="14" outlineLevel="0" r="2820">
      <c r="A2820" s="3" t="inlineStr">
        <is>
          <t>2789</t>
        </is>
      </c>
      <c r="B2820" s="4" t="s">
        <f>=HYPERLINK("http://anyluxury.ru/shop/odezhda/detskaya-odezhda/tolstovka-s-kapyushonom-unit-kirenga-belaya-689460/" , "6894.60 Толстовка с капюшоном Unit Kirenga белая, размер XXL")</f>
      </c>
      <c r="C2820" s="4" t="n">
        <v>1487.00</v>
      </c>
      <c r="D2820" s="4"/>
    </row>
    <row collapsed="" customFormat="false" customHeight="1" hidden="" ht="14" outlineLevel="0" r="2821">
      <c r="A2821" s="3" t="inlineStr">
        <is>
          <t>2790</t>
        </is>
      </c>
      <c r="B2821" s="4" t="s">
        <f>=HYPERLINK("http://anyluxury.ru/shop/odezhda/detskaya-odezhda/tolstovka-s-kapyushonom-unit-kirenga-belaya-689460/" , "6894.60 Толстовка с капюшоном Unit Kirenga белая, размер 4XL")</f>
      </c>
      <c r="C2821" s="4" t="n">
        <v>1487.00</v>
      </c>
      <c r="D2821" s="4"/>
    </row>
    <row collapsed="" customFormat="false" customHeight="1" hidden="" ht="14" outlineLevel="0" r="2822">
      <c r="A2822" s="3" t="inlineStr">
        <is>
          <t>2791</t>
        </is>
      </c>
      <c r="B2822" s="4" t="s">
        <f>=HYPERLINK("http://anyluxury.ru/shop/odezhda/detskaya-odezhda/tolstovka-s-kapyushonom-unit-kirenga-seriy-melanzh-689411/" , "6894.11 Толстовка с капюшоном Unit Kirenga серый меланж, размер XS")</f>
      </c>
      <c r="C2822" s="4" t="n">
        <v>1487.00</v>
      </c>
      <c r="D2822" s="4"/>
    </row>
    <row collapsed="" customFormat="false" customHeight="1" hidden="" ht="14" outlineLevel="0" r="2823">
      <c r="A2823" s="3" t="inlineStr">
        <is>
          <t>2792</t>
        </is>
      </c>
      <c r="B2823" s="4" t="s">
        <f>=HYPERLINK("http://anyluxury.ru/shop/odezhda/detskaya-odezhda/tolstovka-s-kapyushonom-unit-kirenga-seriy-melanzh-689411/" , "6894.11 Толстовка с капюшоном Unit Kirenga серый меланж, размер S")</f>
      </c>
      <c r="C2823" s="4" t="n">
        <v>1487.00</v>
      </c>
      <c r="D2823" s="4"/>
    </row>
    <row collapsed="" customFormat="false" customHeight="1" hidden="" ht="14" outlineLevel="0" r="2824">
      <c r="A2824" s="3" t="inlineStr">
        <is>
          <t>2793</t>
        </is>
      </c>
      <c r="B2824" s="4" t="s">
        <f>=HYPERLINK("http://anyluxury.ru/shop/odezhda/detskaya-odezhda/tolstovka-s-kapyushonom-unit-kirenga-seriy-melanzh-689411/" , "6894.11 Толстовка с капюшоном Unit Kirenga серый меланж, размер M")</f>
      </c>
      <c r="C2824" s="4" t="n">
        <v>1487.00</v>
      </c>
      <c r="D2824" s="4"/>
    </row>
    <row collapsed="" customFormat="false" customHeight="1" hidden="" ht="14" outlineLevel="0" r="2825">
      <c r="A2825" s="3" t="inlineStr">
        <is>
          <t>2794</t>
        </is>
      </c>
      <c r="B2825" s="4" t="s">
        <f>=HYPERLINK("http://anyluxury.ru/shop/odezhda/detskaya-odezhda/tolstovka-s-kapyushonom-unit-kirenga-seriy-melanzh-689411/" , "6894.11 Толстовка с капюшоном Unit Kirenga серый меланж, размер L")</f>
      </c>
      <c r="C2825" s="4" t="n">
        <v>1487.00</v>
      </c>
      <c r="D2825" s="4"/>
    </row>
    <row collapsed="" customFormat="false" customHeight="1" hidden="" ht="14" outlineLevel="0" r="2826">
      <c r="A2826" s="3" t="inlineStr">
        <is>
          <t>2795</t>
        </is>
      </c>
      <c r="B2826" s="4" t="s">
        <f>=HYPERLINK("http://anyluxury.ru/shop/odezhda/detskaya-odezhda/tolstovka-s-kapyushonom-unit-kirenga-seriy-melanzh-689411/" , "6894.11 Толстовка с капюшоном Unit Kirenga серый меланж, размер XL")</f>
      </c>
      <c r="C2826" s="4" t="n">
        <v>1487.00</v>
      </c>
      <c r="D2826" s="4"/>
    </row>
    <row collapsed="" customFormat="false" customHeight="1" hidden="" ht="14" outlineLevel="0" r="2827">
      <c r="A2827" s="3" t="inlineStr">
        <is>
          <t>2796</t>
        </is>
      </c>
      <c r="B2827" s="4" t="s">
        <f>=HYPERLINK("http://anyluxury.ru/shop/odezhda/detskaya-odezhda/tolstovka-s-kapyushonom-unit-kirenga-seriy-melanzh-689411/" , "6894.11 Толстовка с капюшоном Unit Kirenga серый меланж, размер 4XL")</f>
      </c>
      <c r="C2827" s="4" t="n">
        <v>1487.00</v>
      </c>
      <c r="D2827" s="4"/>
    </row>
    <row collapsed="" customFormat="false" customHeight="1" hidden="" ht="14" outlineLevel="0" r="2828">
      <c r="A2828" s="3" t="inlineStr">
        <is>
          <t>2797</t>
        </is>
      </c>
      <c r="B2828" s="4" t="s">
        <f>=HYPERLINK("http://anyluxury.ru/shop/odezhda/detskaya-odezhda/tolstovka-s-kapyushonom-unit-kirenga-seriy-melanzh-689411/" , "6894.11 Толстовка с капюшоном Unit Kirenga серый меланж, размер XL")</f>
      </c>
      <c r="C2828" s="4" t="n">
        <v>1344.00</v>
      </c>
      <c r="D2828" s="4"/>
    </row>
    <row collapsed="" customFormat="false" customHeight="1" hidden="" ht="14" outlineLevel="0" r="2829">
      <c r="A2829" s="3" t="inlineStr">
        <is>
          <t>2798</t>
        </is>
      </c>
      <c r="B2829" s="4" t="s">
        <f>=HYPERLINK("http://anyluxury.ru/shop/odezhda/detskaya-odezhda/tolstovka-s-kapyushonom-unit-kirenga-krasnaya-689450/" , "6894.50 Толстовка с капюшоном Unit Kirenga красная, размер XS")</f>
      </c>
      <c r="C2829" s="4" t="n">
        <v>1487.00</v>
      </c>
      <c r="D2829" s="4"/>
    </row>
    <row collapsed="" customFormat="false" customHeight="1" hidden="" ht="14" outlineLevel="0" r="2830">
      <c r="A2830" s="3" t="inlineStr">
        <is>
          <t>2799</t>
        </is>
      </c>
      <c r="B2830" s="4" t="s">
        <f>=HYPERLINK("http://anyluxury.ru/shop/odezhda/detskaya-odezhda/tolstovka-s-kapyushonom-unit-kirenga-krasnaya-689450/" , "6894.50 Толстовка с капюшоном Unit Kirenga красная, размер S")</f>
      </c>
      <c r="C2830" s="4" t="n">
        <v>1487.00</v>
      </c>
      <c r="D2830" s="4"/>
    </row>
    <row collapsed="" customFormat="false" customHeight="1" hidden="" ht="14" outlineLevel="0" r="2831">
      <c r="A2831" s="3" t="inlineStr">
        <is>
          <t>2800</t>
        </is>
      </c>
      <c r="B2831" s="4" t="s">
        <f>=HYPERLINK("http://anyluxury.ru/shop/odezhda/detskaya-odezhda/tolstovka-s-kapyushonom-unit-kirenga-krasnaya-689450/" , "6894.50 Толстовка с капюшоном Unit Kirenga красная, размер 3XL")</f>
      </c>
      <c r="C2831" s="4" t="n">
        <v>1487.00</v>
      </c>
      <c r="D2831" s="4"/>
    </row>
    <row collapsed="" customFormat="false" customHeight="1" hidden="" ht="14" outlineLevel="0" r="2832">
      <c r="A2832" s="3" t="inlineStr">
        <is>
          <t>2801</t>
        </is>
      </c>
      <c r="B2832" s="4" t="s">
        <f>=HYPERLINK("http://anyluxury.ru/shop/odezhda/detskaya-odezhda/tolstovka-s-kapyushonom-unit-kirenga-krasnaya-689450/" , "6894.50 Толстовка с капюшоном Unit Kirenga красная, размер 4XL")</f>
      </c>
      <c r="C2832" s="4" t="n">
        <v>1487.00</v>
      </c>
      <c r="D2832" s="4"/>
    </row>
    <row collapsed="" customFormat="false" customHeight="1" hidden="" ht="14" outlineLevel="0" r="2833">
      <c r="A2833" s="3" t="inlineStr">
        <is>
          <t>2802</t>
        </is>
      </c>
      <c r="B2833" s="4" t="s">
        <f>=HYPERLINK("http://anyluxury.ru/shop/odezhda/detskaya-odezhda/tolstovka-unit-toima-temnosinyaya-689640/" , "6896.40 Толстовка Unit Toima, темно-синяя, размер XS")</f>
      </c>
      <c r="C2833" s="4" t="n">
        <v>1191.00</v>
      </c>
      <c r="D2833" s="4"/>
    </row>
    <row collapsed="" customFormat="false" customHeight="1" hidden="" ht="14" outlineLevel="0" r="2834">
      <c r="A2834" s="3" t="inlineStr">
        <is>
          <t>2803</t>
        </is>
      </c>
      <c r="B2834" s="4" t="s">
        <f>=HYPERLINK("http://anyluxury.ru/shop/odezhda/detskaya-odezhda/tolstovka-unit-toima-temnosinyaya-689640/" , "6896.40 Толстовка Unit Toima, темно-синяя, размер S")</f>
      </c>
      <c r="C2834" s="4" t="n">
        <v>1191.00</v>
      </c>
      <c r="D2834" s="4"/>
    </row>
    <row collapsed="" customFormat="false" customHeight="1" hidden="" ht="14" outlineLevel="0" r="2835">
      <c r="A2835" s="3" t="inlineStr">
        <is>
          <t>2804</t>
        </is>
      </c>
      <c r="B2835" s="4" t="s">
        <f>=HYPERLINK("http://anyluxury.ru/shop/odezhda/detskaya-odezhda/tolstovka-unit-toima-temnosinyaya-689640/" , "6896.40 Толстовка Unit Toima, темно-синяя, размер M")</f>
      </c>
      <c r="C2835" s="4" t="n">
        <v>1191.00</v>
      </c>
      <c r="D2835" s="4"/>
    </row>
    <row collapsed="" customFormat="false" customHeight="1" hidden="" ht="14" outlineLevel="0" r="2836">
      <c r="A2836" s="3" t="inlineStr">
        <is>
          <t>2805</t>
        </is>
      </c>
      <c r="B2836" s="4" t="s">
        <f>=HYPERLINK("http://anyluxury.ru/shop/odezhda/detskaya-odezhda/tolstovka-unit-toima-temnosinyaya-689640/" , "6896.40 Толстовка Unit Toima, темно-синяя, размер 3XL")</f>
      </c>
      <c r="C2836" s="4" t="n">
        <v>1191.00</v>
      </c>
      <c r="D2836" s="4"/>
    </row>
    <row collapsed="" customFormat="false" customHeight="1" hidden="" ht="14" outlineLevel="0" r="2837">
      <c r="A2837" s="3" t="inlineStr">
        <is>
          <t>2806</t>
        </is>
      </c>
      <c r="B2837" s="4" t="s">
        <f>=HYPERLINK("http://anyluxury.ru/shop/odezhda/detskaya-odezhda/tolstovka-unit-toima-temnosinyaya-689640/" , "6896.40 Толстовка Unit Toima, темно-синяя, размер 4XL")</f>
      </c>
      <c r="C2837" s="4" t="n">
        <v>1191.00</v>
      </c>
      <c r="D2837" s="4"/>
    </row>
    <row collapsed="" customFormat="false" customHeight="1" hidden="" ht="14" outlineLevel="0" r="2838">
      <c r="A2838" s="3" t="inlineStr">
        <is>
          <t>2807</t>
        </is>
      </c>
      <c r="B2838" s="4" t="s">
        <f>=HYPERLINK("http://anyluxury.ru/shop/odezhda/detskaya-odezhda/tolstovka-unit-toima-temnosinyaya-689640/" , "6896.40 Толстовка Toima, темно-синяя, размер 5XL")</f>
      </c>
      <c r="C2838" s="4" t="n">
        <v>1191.00</v>
      </c>
      <c r="D2838" s="4"/>
    </row>
    <row collapsed="" customFormat="false" customHeight="1" hidden="" ht="14" outlineLevel="0" r="2839">
      <c r="A2839" s="3" t="inlineStr">
        <is>
          <t>2808</t>
        </is>
      </c>
      <c r="B2839" s="4" t="s">
        <f>=HYPERLINK("http://anyluxury.ru/shop/odezhda/detskaya-odezhda/tolstovka-unit-toima-seriy-melanzh-689611/" , "6896.11 Толстовка Unit Toima серый меланж, размер XS")</f>
      </c>
      <c r="C2839" s="4" t="n">
        <v>1191.00</v>
      </c>
      <c r="D2839" s="4"/>
    </row>
    <row collapsed="" customFormat="false" customHeight="1" hidden="" ht="14" outlineLevel="0" r="2840">
      <c r="A2840" s="3" t="inlineStr">
        <is>
          <t>2809</t>
        </is>
      </c>
      <c r="B2840" s="4" t="s">
        <f>=HYPERLINK("http://anyluxury.ru/shop/odezhda/detskaya-odezhda/tolstovka-unit-toima-seriy-melanzh-689611/" , "6896.11 Толстовка Unit Toima серый меланж, размер S")</f>
      </c>
      <c r="C2840" s="4" t="n">
        <v>1191.00</v>
      </c>
      <c r="D2840" s="4"/>
    </row>
    <row collapsed="" customFormat="false" customHeight="1" hidden="" ht="14" outlineLevel="0" r="2841">
      <c r="A2841" s="3" t="inlineStr">
        <is>
          <t>2810</t>
        </is>
      </c>
      <c r="B2841" s="4" t="s">
        <f>=HYPERLINK("http://anyluxury.ru/shop/odezhda/detskaya-odezhda/tolstovka-unit-toima-seriy-melanzh-689611/" , "6896.11 Толстовка Unit Toima серый меланж, размер 4XL")</f>
      </c>
      <c r="C2841" s="4" t="n">
        <v>1191.00</v>
      </c>
      <c r="D2841" s="4"/>
    </row>
    <row collapsed="" customFormat="false" customHeight="1" hidden="" ht="14" outlineLevel="0" r="2842">
      <c r="A2842" s="3" t="inlineStr">
        <is>
          <t>2811</t>
        </is>
      </c>
      <c r="B2842" s="4" t="s">
        <f>=HYPERLINK("http://anyluxury.ru/shop/odezhda/detskaya-odezhda/tolstovka-unit-toima-krasnaya-689650/" , "6896.50 Толстовка Unit Toima, красная, размер XS")</f>
      </c>
      <c r="C2842" s="4" t="n">
        <v>1191.00</v>
      </c>
      <c r="D2842" s="4"/>
    </row>
    <row collapsed="" customFormat="false" customHeight="1" hidden="" ht="14" outlineLevel="0" r="2843">
      <c r="A2843" s="3" t="inlineStr">
        <is>
          <t>2812</t>
        </is>
      </c>
      <c r="B2843" s="4" t="s">
        <f>=HYPERLINK("http://anyluxury.ru/shop/odezhda/detskaya-odezhda/tolstovka-unit-toima-krasnaya-689650/" , "6896.50 Толстовка Unit Toima, красная, размер S")</f>
      </c>
      <c r="C2843" s="4" t="n">
        <v>1191.00</v>
      </c>
      <c r="D2843" s="4"/>
    </row>
    <row collapsed="" customFormat="false" customHeight="1" hidden="" ht="14" outlineLevel="0" r="2844">
      <c r="A2844" s="3" t="inlineStr">
        <is>
          <t>2813</t>
        </is>
      </c>
      <c r="B2844" s="4" t="s">
        <f>=HYPERLINK("http://anyluxury.ru/shop/odezhda/detskaya-odezhda/tolstovka-unit-toima-krasnaya-689650/" , "6896.50 Толстовка Unit Toima, красная, размер L")</f>
      </c>
      <c r="C2844" s="4" t="n">
        <v>1191.00</v>
      </c>
      <c r="D2844" s="4"/>
    </row>
    <row collapsed="" customFormat="false" customHeight="1" hidden="" ht="14" outlineLevel="0" r="2845">
      <c r="A2845" s="3" t="inlineStr">
        <is>
          <t>2814</t>
        </is>
      </c>
      <c r="B2845" s="4" t="s">
        <f>=HYPERLINK("http://anyluxury.ru/shop/odezhda/detskaya-odezhda/tolstovka-unit-toima-krasnaya-689650/" , "6896.50 Толстовка Unit Toima, красная, размер 3XL")</f>
      </c>
      <c r="C2845" s="4" t="n">
        <v>1191.00</v>
      </c>
      <c r="D2845" s="4"/>
    </row>
    <row collapsed="" customFormat="false" customHeight="1" hidden="" ht="14" outlineLevel="0" r="2846">
      <c r="A2846" s="3" t="inlineStr">
        <is>
          <t>2815</t>
        </is>
      </c>
      <c r="B2846" s="4" t="s">
        <f>=HYPERLINK("http://anyluxury.ru/shop/odezhda/detskaya-odezhda/tolstovka-unit-toima-krasnaya-689650/" , "6896.50 Толстовка Unit Toima, красная, размер 4XL")</f>
      </c>
      <c r="C2846" s="4" t="n">
        <v>1191.00</v>
      </c>
      <c r="D2846" s="4"/>
    </row>
    <row collapsed="" customFormat="false" customHeight="1" hidden="" ht="14" outlineLevel="0" r="2847">
      <c r="A2847" s="3" t="inlineStr">
        <is>
          <t>2816</t>
        </is>
      </c>
      <c r="B2847" s="4" t="s">
        <f>=HYPERLINK("http://anyluxury.ru/shop/odezhda/detskaya-odezhda/tolstovka-unit-toima-chernaya-689630/" , "6896.30 Толстовка Unit Toima, черная, размер XS")</f>
      </c>
      <c r="C2847" s="4" t="n">
        <v>1191.00</v>
      </c>
      <c r="D2847" s="4"/>
    </row>
    <row collapsed="" customFormat="false" customHeight="1" hidden="" ht="14" outlineLevel="0" r="2848">
      <c r="A2848" s="3" t="inlineStr">
        <is>
          <t>2817</t>
        </is>
      </c>
      <c r="B2848" s="4" t="s">
        <f>=HYPERLINK("http://anyluxury.ru/shop/odezhda/detskaya-odezhda/tolstovka-unit-toima-chernaya-689630/" , "6896.30 Толстовка Unit Toima, черная, размер XL")</f>
      </c>
      <c r="C2848" s="4" t="n">
        <v>1191.00</v>
      </c>
      <c r="D2848" s="4"/>
    </row>
    <row collapsed="" customFormat="false" customHeight="1" hidden="" ht="14" outlineLevel="0" r="2849">
      <c r="A2849" s="3" t="inlineStr">
        <is>
          <t>2818</t>
        </is>
      </c>
      <c r="B2849" s="4" t="s">
        <f>=HYPERLINK("http://anyluxury.ru/shop/odezhda/detskaya-odezhda/tolstovka-unit-toima-chernaya-689630/" , "6896.30 Толстовка Unit Toima, черная, размер XXL")</f>
      </c>
      <c r="C2849" s="4" t="n">
        <v>1191.00</v>
      </c>
      <c r="D2849" s="4"/>
    </row>
    <row collapsed="" customFormat="false" customHeight="1" hidden="" ht="14" outlineLevel="0" r="2850">
      <c r="A2850" s="3" t="inlineStr">
        <is>
          <t>2819</t>
        </is>
      </c>
      <c r="B2850" s="4" t="s">
        <f>=HYPERLINK("http://anyluxury.ru/shop/odezhda/detskaya-odezhda/tolstovka-unit-toima-chernaya-689630/" , "6896.30 Толстовка Unit Toima, черная, размер 3XL")</f>
      </c>
      <c r="C2850" s="4" t="n">
        <v>1191.00</v>
      </c>
      <c r="D2850" s="4"/>
    </row>
    <row collapsed="" customFormat="false" customHeight="1" hidden="" ht="14" outlineLevel="0" r="2851">
      <c r="A2851" s="3" t="inlineStr">
        <is>
          <t>2820</t>
        </is>
      </c>
      <c r="B2851" s="4" t="s">
        <f>=HYPERLINK("http://anyluxury.ru/shop/odezhda/detskaya-odezhda/tolstovka-unit-toima-chernaya-689630/" , "6896.30 Толстовка Unit Toima, черная, размер 4XL")</f>
      </c>
      <c r="C2851" s="4" t="n">
        <v>1191.00</v>
      </c>
      <c r="D2851" s="4"/>
    </row>
    <row collapsed="" customFormat="false" customHeight="1" hidden="" ht="14" outlineLevel="0" r="2852">
      <c r="A2852" s="3" t="inlineStr">
        <is>
          <t>2821</t>
        </is>
      </c>
      <c r="B2852" s="4" t="s">
        <f>=HYPERLINK("http://anyluxury.ru/shop/odezhda/detskaya-odezhda/tolstovka-unit-toima-chernaya-689630/" , "6896.30 Толстовка Toima, черная, размер 5XL")</f>
      </c>
      <c r="C2852" s="4" t="n">
        <v>1191.00</v>
      </c>
      <c r="D2852" s="4"/>
    </row>
    <row collapsed="" customFormat="false" customHeight="1" hidden="" ht="14" outlineLevel="0" r="2853">
      <c r="A2853" s="3" t="inlineStr">
        <is>
          <t>2822</t>
        </is>
      </c>
      <c r="B2853" s="4" t="s">
        <f>=HYPERLINK("http://anyluxury.ru/shop/odezhda/detskaya-odezhda/tolstovka-s-kapyushonom-unit-kirenga-heavy-temnosinyaya-692640/" , "6926.40 Толстовка с капюшоном Unit Kirenga Heavy темно-синяя, размер XS")</f>
      </c>
      <c r="C2853" s="4" t="n">
        <v>2050.00</v>
      </c>
      <c r="D2853" s="4"/>
    </row>
    <row collapsed="" customFormat="false" customHeight="1" hidden="" ht="14" outlineLevel="0" r="2854">
      <c r="A2854" s="3" t="inlineStr">
        <is>
          <t>2823</t>
        </is>
      </c>
      <c r="B2854" s="4" t="s">
        <f>=HYPERLINK("http://anyluxury.ru/shop/odezhda/detskaya-odezhda/tolstovka-s-kapyushonom-unit-kirenga-heavy-temnosinyaya-692640/" , "6926.40 Толстовка с капюшоном Unit Kirenga Heavy темно-синяя, размер S")</f>
      </c>
      <c r="C2854" s="4" t="n">
        <v>2050.00</v>
      </c>
      <c r="D2854" s="4"/>
    </row>
    <row collapsed="" customFormat="false" customHeight="1" hidden="" ht="14" outlineLevel="0" r="2855">
      <c r="A2855" s="3" t="inlineStr">
        <is>
          <t>2824</t>
        </is>
      </c>
      <c r="B2855" s="4" t="s">
        <f>=HYPERLINK("http://anyluxury.ru/shop/odezhda/detskaya-odezhda/tolstovka-s-kapyushonom-unit-kirenga-heavy-temnosinyaya-692640/" , "6926.40 Толстовка с капюшоном Unit Kirenga Heavy темно-синяя, размер M")</f>
      </c>
      <c r="C2855" s="4" t="n">
        <v>2050.00</v>
      </c>
      <c r="D2855" s="4"/>
    </row>
    <row collapsed="" customFormat="false" customHeight="1" hidden="" ht="14" outlineLevel="0" r="2856">
      <c r="A2856" s="3" t="inlineStr">
        <is>
          <t>2825</t>
        </is>
      </c>
      <c r="B2856" s="4" t="s">
        <f>=HYPERLINK("http://anyluxury.ru/shop/odezhda/detskaya-odezhda/tolstovka-s-kapyushonom-unit-kirenga-heavy-temnosinyaya-692640/" , "6926.40 Толстовка с капюшоном Unit Kirenga Heavy темно-синяя, размер XL")</f>
      </c>
      <c r="C2856" s="4" t="n">
        <v>2050.00</v>
      </c>
      <c r="D2856" s="4"/>
    </row>
    <row collapsed="" customFormat="false" customHeight="1" hidden="" ht="14" outlineLevel="0" r="2857">
      <c r="A2857" s="3" t="inlineStr">
        <is>
          <t>2826</t>
        </is>
      </c>
      <c r="B2857" s="4" t="s">
        <f>=HYPERLINK("http://anyluxury.ru/shop/odezhda/detskaya-odezhda/tolstovka-s-kapyushonom-unit-kirenga-heavy-temnosinyaya-692640/" , "6926.40 Толстовка с капюшоном Unit Kirenga Heavy темно-синяя, размер 4XL")</f>
      </c>
      <c r="C2857" s="4" t="n">
        <v>2050.00</v>
      </c>
      <c r="D2857" s="4"/>
    </row>
    <row collapsed="" customFormat="false" customHeight="1" hidden="" ht="14" outlineLevel="0" r="2858">
      <c r="A2858" s="3" t="inlineStr">
        <is>
          <t>2827</t>
        </is>
      </c>
      <c r="B2858" s="4" t="s">
        <f>=HYPERLINK("http://anyluxury.ru/shop/odezhda/detskaya-odezhda/tolstovka-s-kapyushonom-unit-kirenga-heavy-belaya-692660/" , "6926.60 Толстовка с капюшоном Unit Kirenga Heavy белая, размер XS")</f>
      </c>
      <c r="C2858" s="4" t="n">
        <v>2050.00</v>
      </c>
      <c r="D2858" s="4"/>
    </row>
    <row collapsed="" customFormat="false" customHeight="1" hidden="" ht="14" outlineLevel="0" r="2859">
      <c r="A2859" s="3" t="inlineStr">
        <is>
          <t>2828</t>
        </is>
      </c>
      <c r="B2859" s="4" t="s">
        <f>=HYPERLINK("http://anyluxury.ru/shop/odezhda/detskaya-odezhda/tolstovka-s-kapyushonom-unit-kirenga-heavy-belaya-692660/" , "6926.60 Толстовка с капюшоном Unit Kirenga Heavy белая, размер S")</f>
      </c>
      <c r="C2859" s="4" t="n">
        <v>2050.00</v>
      </c>
      <c r="D2859" s="4"/>
    </row>
    <row collapsed="" customFormat="false" customHeight="1" hidden="" ht="14" outlineLevel="0" r="2860">
      <c r="A2860" s="3" t="inlineStr">
        <is>
          <t>2829</t>
        </is>
      </c>
      <c r="B2860" s="4" t="s">
        <f>=HYPERLINK("http://anyluxury.ru/shop/odezhda/detskaya-odezhda/tolstovka-s-kapyushonom-unit-kirenga-heavy-belaya-692660/" , "6926.60 Толстовка с капюшоном Unit Kirenga Heavy белая, размер M")</f>
      </c>
      <c r="C2860" s="4" t="n">
        <v>2050.00</v>
      </c>
      <c r="D2860" s="4"/>
    </row>
    <row collapsed="" customFormat="false" customHeight="1" hidden="" ht="14" outlineLevel="0" r="2861">
      <c r="A2861" s="3" t="inlineStr">
        <is>
          <t>2830</t>
        </is>
      </c>
      <c r="B2861" s="4" t="s">
        <f>=HYPERLINK("http://anyluxury.ru/shop/odezhda/detskaya-odezhda/tolstovka-s-kapyushonom-unit-kirenga-heavy-belaya-692660/" , "6926.60 Толстовка с капюшоном Unit Kirenga Heavy белая, размер XL")</f>
      </c>
      <c r="C2861" s="4" t="n">
        <v>2050.00</v>
      </c>
      <c r="D2861" s="4"/>
    </row>
    <row collapsed="" customFormat="false" customHeight="1" hidden="" ht="14" outlineLevel="0" r="2862">
      <c r="A2862" s="3" t="inlineStr">
        <is>
          <t>2831</t>
        </is>
      </c>
      <c r="B2862" s="4" t="s">
        <f>=HYPERLINK("http://anyluxury.ru/shop/odezhda/detskaya-odezhda/tolstovka-s-kapyushonom-unit-kirenga-heavy-belaya-692660/" , "6926.60 Толстовка с капюшоном Unit Kirenga Heavy белая, размер 3XL")</f>
      </c>
      <c r="C2862" s="4" t="n">
        <v>2050.00</v>
      </c>
      <c r="D2862" s="4"/>
    </row>
    <row collapsed="" customFormat="false" customHeight="1" hidden="" ht="14" outlineLevel="0" r="2863">
      <c r="A2863" s="3" t="inlineStr">
        <is>
          <t>2832</t>
        </is>
      </c>
      <c r="B2863" s="4" t="s">
        <f>=HYPERLINK("http://anyluxury.ru/shop/odezhda/detskaya-odezhda/tolstovka-s-kapyushonom-unit-kirenga-heavy-seriy-melanzh-692611/" , "6926.11 Толстовка с капюшоном Unit Kirenga Heavy серый меланж, размер XS")</f>
      </c>
      <c r="C2863" s="4" t="n">
        <v>2050.00</v>
      </c>
      <c r="D2863" s="4"/>
    </row>
    <row collapsed="" customFormat="false" customHeight="1" hidden="" ht="14" outlineLevel="0" r="2864">
      <c r="A2864" s="3" t="inlineStr">
        <is>
          <t>2833</t>
        </is>
      </c>
      <c r="B2864" s="4" t="s">
        <f>=HYPERLINK("http://anyluxury.ru/shop/odezhda/detskaya-odezhda/tolstovka-s-kapyushonom-unit-kirenga-heavy-seriy-melanzh-692611/" , "6926.11 Толстовка с капюшоном Unit Kirenga Heavy серый меланж, размер S")</f>
      </c>
      <c r="C2864" s="4" t="n">
        <v>2050.00</v>
      </c>
      <c r="D2864" s="4"/>
    </row>
    <row collapsed="" customFormat="false" customHeight="1" hidden="" ht="14" outlineLevel="0" r="2865">
      <c r="A2865" s="3" t="inlineStr">
        <is>
          <t>2834</t>
        </is>
      </c>
      <c r="B2865" s="4" t="s">
        <f>=HYPERLINK("http://anyluxury.ru/shop/odezhda/detskaya-odezhda/tolstovka-s-kapyushonom-unit-kirenga-heavy-seriy-melanzh-692611/" , "6926.11 Толстовка с капюшоном Unit Kirenga Heavy серый меланж, размер M")</f>
      </c>
      <c r="C2865" s="4" t="n">
        <v>2050.00</v>
      </c>
      <c r="D2865" s="4"/>
    </row>
    <row collapsed="" customFormat="false" customHeight="1" hidden="" ht="14" outlineLevel="0" r="2866">
      <c r="A2866" s="3" t="inlineStr">
        <is>
          <t>2835</t>
        </is>
      </c>
      <c r="B2866" s="4" t="s">
        <f>=HYPERLINK("http://anyluxury.ru/shop/odezhda/detskaya-odezhda/tolstovka-s-kapyushonom-unit-kirenga-heavy-seriy-melanzh-692611/" , "6926.11 Толстовка с капюшоном Unit Kirenga Heavy серый меланж, размер L")</f>
      </c>
      <c r="C2866" s="4" t="n">
        <v>2050.00</v>
      </c>
      <c r="D2866" s="4"/>
    </row>
    <row collapsed="" customFormat="false" customHeight="1" hidden="" ht="14" outlineLevel="0" r="2867">
      <c r="A2867" s="3" t="inlineStr">
        <is>
          <t>2836</t>
        </is>
      </c>
      <c r="B2867" s="4" t="s">
        <f>=HYPERLINK("http://anyluxury.ru/shop/odezhda/detskaya-odezhda/tolstovka-s-kapyushonom-unit-kirenga-heavy-seriy-melanzh-692611/" , "6926.11 Толстовка с капюшоном Unit Kirenga Heavy серый меланж, размер XXL")</f>
      </c>
      <c r="C2867" s="4" t="n">
        <v>2050.00</v>
      </c>
      <c r="D2867" s="4"/>
    </row>
    <row collapsed="" customFormat="false" customHeight="1" hidden="" ht="14" outlineLevel="0" r="2868">
      <c r="A2868" s="3" t="inlineStr">
        <is>
          <t>2837</t>
        </is>
      </c>
      <c r="B2868" s="4" t="s">
        <f>=HYPERLINK("http://anyluxury.ru/shop/odezhda/detskaya-odezhda/tolstovka-s-kapyushonom-unit-kirenga-heavy-seriy-melanzh-692611/" , "6926.11 Толстовка с капюшоном Unit Kirenga Heavy серый меланж, размер 3XL")</f>
      </c>
      <c r="C2868" s="4" t="n">
        <v>2050.00</v>
      </c>
      <c r="D2868" s="4"/>
    </row>
    <row collapsed="" customFormat="false" customHeight="1" hidden="" ht="14" outlineLevel="0" r="2869">
      <c r="A2869" s="3" t="inlineStr">
        <is>
          <t>2838</t>
        </is>
      </c>
      <c r="B2869" s="4" t="s">
        <f>=HYPERLINK("http://anyluxury.ru/shop/odezhda/detskaya-odezhda/tolstovka-s-kapyushonom-unit-kirenga-heavy-seriy-melanzh-692611/" , "6926.11 Толстовка с капюшоном Kirenga Heavy, серый меланж, размер 5XL")</f>
      </c>
      <c r="C2869" s="4" t="n">
        <v>2050.00</v>
      </c>
      <c r="D2869" s="4"/>
    </row>
    <row collapsed="" customFormat="false" customHeight="1" hidden="" ht="14" outlineLevel="0" r="2870">
      <c r="A2870" s="3" t="inlineStr">
        <is>
          <t>2839</t>
        </is>
      </c>
      <c r="B2870" s="4" t="s">
        <f>=HYPERLINK("http://anyluxury.ru/shop/odezhda/detskaya-odezhda/tolstovka-s-kapyushonom-unit-kirenga-heavy-krasnaya-692650/" , "6926.50 Толстовка с капюшоном Unit Kirenga Heavy красная, размер XS")</f>
      </c>
      <c r="C2870" s="4" t="n">
        <v>2050.00</v>
      </c>
      <c r="D2870" s="4"/>
    </row>
    <row collapsed="" customFormat="false" customHeight="1" hidden="" ht="14" outlineLevel="0" r="2871">
      <c r="A2871" s="3" t="inlineStr">
        <is>
          <t>2840</t>
        </is>
      </c>
      <c r="B2871" s="4" t="s">
        <f>=HYPERLINK("http://anyluxury.ru/shop/odezhda/detskaya-odezhda/tolstovka-s-kapyushonom-unit-kirenga-heavy-krasnaya-692650/" , "6926.50 Толстовка с капюшоном Unit Kirenga Heavy красная, размер S")</f>
      </c>
      <c r="C2871" s="4" t="n">
        <v>2050.00</v>
      </c>
      <c r="D2871" s="4"/>
    </row>
    <row collapsed="" customFormat="false" customHeight="1" hidden="" ht="14" outlineLevel="0" r="2872">
      <c r="A2872" s="3" t="inlineStr">
        <is>
          <t>2841</t>
        </is>
      </c>
      <c r="B2872" s="4" t="s">
        <f>=HYPERLINK("http://anyluxury.ru/shop/odezhda/detskaya-odezhda/tolstovka-s-kapyushonom-unit-kirenga-heavy-krasnaya-692650/" , "6926.50 Толстовка с капюшоном Unit Kirenga Heavy красная, размер M")</f>
      </c>
      <c r="C2872" s="4" t="n">
        <v>2050.00</v>
      </c>
      <c r="D2872" s="4"/>
    </row>
    <row collapsed="" customFormat="false" customHeight="1" hidden="" ht="14" outlineLevel="0" r="2873">
      <c r="A2873" s="3" t="inlineStr">
        <is>
          <t>2842</t>
        </is>
      </c>
      <c r="B2873" s="4" t="s">
        <f>=HYPERLINK("http://anyluxury.ru/shop/odezhda/detskaya-odezhda/tolstovka-s-kapyushonom-unit-kirenga-heavy-krasnaya-692650/" , "6926.50 Толстовка с капюшоном Unit Kirenga Heavy красная, размер 3XL")</f>
      </c>
      <c r="C2873" s="4" t="n">
        <v>2050.00</v>
      </c>
      <c r="D2873" s="4"/>
    </row>
    <row collapsed="" customFormat="false" customHeight="1" hidden="" ht="14" outlineLevel="0" r="2874">
      <c r="A2874" s="3" t="inlineStr">
        <is>
          <t>2843</t>
        </is>
      </c>
      <c r="B2874" s="4" t="s">
        <f>=HYPERLINK("http://anyluxury.ru/shop/odezhda/detskaya-odezhda/tolstovka-s-kapyushonom-unit-kirenga-heavy-krasnaya-692650/" , "6926.50 Толстовка с капюшоном Unit Kirenga Heavy красная, размер 4XL")</f>
      </c>
      <c r="C2874" s="4" t="n">
        <v>2050.00</v>
      </c>
      <c r="D2874" s="4"/>
    </row>
    <row collapsed="" customFormat="false" customHeight="1" hidden="" ht="14" outlineLevel="0" r="2875">
      <c r="A2875" s="3" t="inlineStr">
        <is>
          <t>2844</t>
        </is>
      </c>
      <c r="B2875" s="4" t="s">
        <f>=HYPERLINK("http://anyluxury.ru/shop/odezhda/detskaya-odezhda/tolstovka-s-kapyushonom-unit-kirenga-heavy-krasnaya-692650/" , "6926.50 Толстовка с капюшоном Kirenga Heavy, красная, размер 5XL")</f>
      </c>
      <c r="C2875" s="4" t="n">
        <v>2050.00</v>
      </c>
      <c r="D2875" s="4"/>
    </row>
    <row collapsed="" customFormat="false" customHeight="1" hidden="" ht="14" outlineLevel="0" r="2876">
      <c r="A2876" s="3" t="inlineStr">
        <is>
          <t>2845</t>
        </is>
      </c>
      <c r="B2876" s="4" t="s">
        <f>=HYPERLINK("http://anyluxury.ru/shop/odezhda/detskaya-odezhda/tolstovka-s-kapyushonom-unit-kirenga-heavy-chernaya-692630/" , "6926.30 Толстовка с капюшоном Unit Kirenga Heavy черная, размер XS")</f>
      </c>
      <c r="C2876" s="4" t="n">
        <v>2050.00</v>
      </c>
      <c r="D2876" s="4"/>
    </row>
    <row collapsed="" customFormat="false" customHeight="1" hidden="" ht="14" outlineLevel="0" r="2877">
      <c r="A2877" s="3" t="inlineStr">
        <is>
          <t>2846</t>
        </is>
      </c>
      <c r="B2877" s="4" t="s">
        <f>=HYPERLINK("http://anyluxury.ru/shop/odezhda/detskaya-odezhda/tolstovka-s-kapyushonom-unit-kirenga-heavy-chernaya-692630/" , "6926.30 Толстовка с капюшоном Unit Kirenga Heavy черная, размер S")</f>
      </c>
      <c r="C2877" s="4" t="n">
        <v>2050.00</v>
      </c>
      <c r="D2877" s="4"/>
    </row>
    <row collapsed="" customFormat="false" customHeight="1" hidden="" ht="14" outlineLevel="0" r="2878">
      <c r="A2878" s="3" t="inlineStr">
        <is>
          <t>2847</t>
        </is>
      </c>
      <c r="B2878" s="4" t="s">
        <f>=HYPERLINK("http://anyluxury.ru/shop/odezhda/detskaya-odezhda/tolstovka-s-kapyushonom-unit-kirenga-heavy-chernaya-692630/" , "6926.30 Толстовка с капюшоном Unit Kirenga Heavy черная, размер 3XL")</f>
      </c>
      <c r="C2878" s="4" t="n">
        <v>2050.00</v>
      </c>
      <c r="D2878" s="4"/>
    </row>
    <row collapsed="" customFormat="false" customHeight="1" hidden="" ht="14" outlineLevel="0" r="2879">
      <c r="A2879" s="3" t="inlineStr">
        <is>
          <t>2848</t>
        </is>
      </c>
      <c r="B2879" s="4" t="s">
        <f>=HYPERLINK("http://anyluxury.ru/shop/odezhda/detskaya-odezhda/tolstovka-s-kapyushonom-unit-kirenga-heavy-chernaya-692630/" , "6926.30 Толстовка с капюшоном Unit Kirenga Heavy черная, размер 4XL")</f>
      </c>
      <c r="C2879" s="4" t="n">
        <v>2050.00</v>
      </c>
      <c r="D2879" s="4"/>
    </row>
    <row collapsed="" customFormat="false" customHeight="1" hidden="" ht="14" outlineLevel="0" r="2880">
      <c r="A2880" s="3" t="inlineStr">
        <is>
          <t>2849</t>
        </is>
      </c>
      <c r="B2880" s="4" t="s">
        <f>=HYPERLINK("http://anyluxury.ru/shop/odezhda/detskaya-odezhda/tolstovka-unit-toima-heavy-temnosinyaya-692840/" , "6928.40 Толстовка Unit Toima Heavy темно-синяя, размер XS")</f>
      </c>
      <c r="C2880" s="4" t="n">
        <v>1472.00</v>
      </c>
      <c r="D2880" s="4"/>
    </row>
    <row collapsed="" customFormat="false" customHeight="1" hidden="" ht="14" outlineLevel="0" r="2881">
      <c r="A2881" s="3" t="inlineStr">
        <is>
          <t>2850</t>
        </is>
      </c>
      <c r="B2881" s="4" t="s">
        <f>=HYPERLINK("http://anyluxury.ru/shop/odezhda/detskaya-odezhda/tolstovka-unit-toima-heavy-temnosinyaya-692840/" , "6928.40 Толстовка Unit Toima Heavy темно-синяя, размер 4XL")</f>
      </c>
      <c r="C2881" s="4" t="n">
        <v>1472.00</v>
      </c>
      <c r="D2881" s="4"/>
    </row>
    <row collapsed="" customFormat="false" customHeight="1" hidden="" ht="14" outlineLevel="0" r="2882">
      <c r="A2882" s="3" t="inlineStr">
        <is>
          <t>2851</t>
        </is>
      </c>
      <c r="B2882" s="4" t="s">
        <f>=HYPERLINK("http://anyluxury.ru/shop/odezhda/detskaya-odezhda/tolstovka-unit-toima-heavy-belaya-692860/" , "6928.60 Толстовка Unit Toima Heavy белая, размер XS")</f>
      </c>
      <c r="C2882" s="4" t="n">
        <v>1472.00</v>
      </c>
      <c r="D2882" s="4"/>
    </row>
    <row collapsed="" customFormat="false" customHeight="1" hidden="" ht="14" outlineLevel="0" r="2883">
      <c r="A2883" s="3" t="inlineStr">
        <is>
          <t>2852</t>
        </is>
      </c>
      <c r="B2883" s="4" t="s">
        <f>=HYPERLINK("http://anyluxury.ru/shop/odezhda/detskaya-odezhda/tolstovka-unit-toima-heavy-belaya-692860/" , "6928.60 Толстовка Unit Toima Heavy белая, размер S")</f>
      </c>
      <c r="C2883" s="4" t="n">
        <v>1472.00</v>
      </c>
      <c r="D2883" s="4"/>
    </row>
    <row collapsed="" customFormat="false" customHeight="1" hidden="" ht="14" outlineLevel="0" r="2884">
      <c r="A2884" s="3" t="inlineStr">
        <is>
          <t>2853</t>
        </is>
      </c>
      <c r="B2884" s="4" t="s">
        <f>=HYPERLINK("http://anyluxury.ru/shop/odezhda/detskaya-odezhda/tolstovka-unit-toima-heavy-belaya-692860/" , "6928.60 Толстовка Unit Toima Heavy белая, размер L")</f>
      </c>
      <c r="C2884" s="4" t="n">
        <v>1472.00</v>
      </c>
      <c r="D2884" s="4"/>
    </row>
    <row collapsed="" customFormat="false" customHeight="1" hidden="" ht="14" outlineLevel="0" r="2885">
      <c r="A2885" s="3" t="inlineStr">
        <is>
          <t>2854</t>
        </is>
      </c>
      <c r="B2885" s="4" t="s">
        <f>=HYPERLINK("http://anyluxury.ru/shop/odezhda/detskaya-odezhda/tolstovka-unit-toima-heavy-belaya-692860/" , "6928.60 Толстовка Unit Toima Heavy белая, размер XL")</f>
      </c>
      <c r="C2885" s="4" t="n">
        <v>1472.00</v>
      </c>
      <c r="D2885" s="4"/>
    </row>
    <row collapsed="" customFormat="false" customHeight="1" hidden="" ht="14" outlineLevel="0" r="2886">
      <c r="A2886" s="3" t="inlineStr">
        <is>
          <t>2855</t>
        </is>
      </c>
      <c r="B2886" s="4" t="s">
        <f>=HYPERLINK("http://anyluxury.ru/shop/odezhda/detskaya-odezhda/tolstovka-unit-toima-heavy-belaya-692860/" , "6928.60 Толстовка Unit Toima Heavy белая, размер XXL")</f>
      </c>
      <c r="C2886" s="4" t="n">
        <v>1472.00</v>
      </c>
      <c r="D2886" s="4"/>
    </row>
    <row collapsed="" customFormat="false" customHeight="1" hidden="" ht="14" outlineLevel="0" r="2887">
      <c r="A2887" s="3" t="inlineStr">
        <is>
          <t>2856</t>
        </is>
      </c>
      <c r="B2887" s="4" t="s">
        <f>=HYPERLINK("http://anyluxury.ru/shop/odezhda/detskaya-odezhda/tolstovka-unit-toima-heavy-belaya-692860/" , "6928.60 Толстовка Unit Toima Heavy белая, размер 3XL")</f>
      </c>
      <c r="C2887" s="4" t="n">
        <v>1472.00</v>
      </c>
      <c r="D2887" s="4"/>
    </row>
    <row collapsed="" customFormat="false" customHeight="1" hidden="" ht="14" outlineLevel="0" r="2888">
      <c r="A2888" s="3" t="inlineStr">
        <is>
          <t>2857</t>
        </is>
      </c>
      <c r="B2888" s="4" t="s">
        <f>=HYPERLINK("http://anyluxury.ru/shop/odezhda/detskaya-odezhda/tolstovka-unit-toima-heavy-belaya-692860/" , "6928.60 Толстовка Unit Toima Heavy белая, размер 4XL")</f>
      </c>
      <c r="C2888" s="4" t="n">
        <v>1472.00</v>
      </c>
      <c r="D2888" s="4"/>
    </row>
    <row collapsed="" customFormat="false" customHeight="1" hidden="" ht="14" outlineLevel="0" r="2889">
      <c r="A2889" s="3" t="inlineStr">
        <is>
          <t>2858</t>
        </is>
      </c>
      <c r="B2889" s="4" t="s">
        <f>=HYPERLINK("http://anyluxury.ru/shop/odezhda/detskaya-odezhda/tolstovka-unit-toima-heavy-belaya-692860/" , "6928.60 Толстовка Unit Toima Heavy белая, размер 4XL")</f>
      </c>
      <c r="C2889" s="4" t="n">
        <v>1472.00</v>
      </c>
      <c r="D2889" s="4"/>
    </row>
    <row collapsed="" customFormat="false" customHeight="1" hidden="" ht="14" outlineLevel="0" r="2890">
      <c r="A2890" s="3" t="inlineStr">
        <is>
          <t>2859</t>
        </is>
      </c>
      <c r="B2890" s="4" t="s">
        <f>=HYPERLINK("http://anyluxury.ru/shop/odezhda/detskaya-odezhda/tolstovka-unit-toima-heavy-seriy-melanzh-692811/" , "6928.11 Толстовка Unit Toima Heavy серый меланж, размер XS")</f>
      </c>
      <c r="C2890" s="4" t="n">
        <v>1472.00</v>
      </c>
      <c r="D2890" s="4"/>
    </row>
    <row collapsed="" customFormat="false" customHeight="1" hidden="" ht="14" outlineLevel="0" r="2891">
      <c r="A2891" s="3" t="inlineStr">
        <is>
          <t>2860</t>
        </is>
      </c>
      <c r="B2891" s="4" t="s">
        <f>=HYPERLINK("http://anyluxury.ru/shop/odezhda/detskaya-odezhda/tolstovka-unit-toima-heavy-seriy-melanzh-692811/" , "6928.11 Толстовка Unit Toima Heavy серый меланж, размер S")</f>
      </c>
      <c r="C2891" s="4" t="n">
        <v>1472.00</v>
      </c>
      <c r="D2891" s="4"/>
    </row>
    <row collapsed="" customFormat="false" customHeight="1" hidden="" ht="14" outlineLevel="0" r="2892">
      <c r="A2892" s="3" t="inlineStr">
        <is>
          <t>2861</t>
        </is>
      </c>
      <c r="B2892" s="4" t="s">
        <f>=HYPERLINK("http://anyluxury.ru/shop/odezhda/detskaya-odezhda/tolstovka-unit-toima-heavy-seriy-melanzh-692811/" , "6928.11 Толстовка Unit Toima Heavy серый меланж, размер L")</f>
      </c>
      <c r="C2892" s="4" t="n">
        <v>1472.00</v>
      </c>
      <c r="D2892" s="4"/>
    </row>
    <row collapsed="" customFormat="false" customHeight="1" hidden="" ht="14" outlineLevel="0" r="2893">
      <c r="A2893" s="3" t="inlineStr">
        <is>
          <t>2862</t>
        </is>
      </c>
      <c r="B2893" s="4" t="s">
        <f>=HYPERLINK("http://anyluxury.ru/shop/odezhda/detskaya-odezhda/tolstovka-unit-toima-heavy-seriy-melanzh-692811/" , "6928.11 Толстовка Unit Toima Heavy серый меланж, размер XL")</f>
      </c>
      <c r="C2893" s="4" t="n">
        <v>1472.00</v>
      </c>
      <c r="D2893" s="4"/>
    </row>
    <row collapsed="" customFormat="false" customHeight="1" hidden="" ht="14" outlineLevel="0" r="2894">
      <c r="A2894" s="3" t="inlineStr">
        <is>
          <t>2863</t>
        </is>
      </c>
      <c r="B2894" s="4" t="s">
        <f>=HYPERLINK("http://anyluxury.ru/shop/odezhda/detskaya-odezhda/tolstovka-unit-toima-heavy-seriy-melanzh-692811/" , "6928.11 Толстовка Unit Toima Heavy серый меланж, размер 3XL")</f>
      </c>
      <c r="C2894" s="4" t="n">
        <v>1472.00</v>
      </c>
      <c r="D2894" s="4"/>
    </row>
    <row collapsed="" customFormat="false" customHeight="1" hidden="" ht="14" outlineLevel="0" r="2895">
      <c r="A2895" s="3" t="inlineStr">
        <is>
          <t>2864</t>
        </is>
      </c>
      <c r="B2895" s="4" t="s">
        <f>=HYPERLINK("http://anyluxury.ru/shop/odezhda/detskaya-odezhda/tolstovka-unit-toima-heavy-seriy-melanzh-692811/" , "6928.11 Толстовка Unit Toima Heavy, серый меланж, размер 4XL")</f>
      </c>
      <c r="C2895" s="4" t="n">
        <v>1472.00</v>
      </c>
      <c r="D2895" s="4"/>
    </row>
    <row collapsed="" customFormat="false" customHeight="1" hidden="" ht="14" outlineLevel="0" r="2896">
      <c r="A2896" s="3" t="inlineStr">
        <is>
          <t>2865</t>
        </is>
      </c>
      <c r="B2896" s="4" t="s">
        <f>=HYPERLINK("http://anyluxury.ru/shop/odezhda/detskaya-odezhda/tolstovka-unit-toima-heavy-krasnaya-692850/" , "6928.50 Толстовка Unit Toima Heavy красная, размер M")</f>
      </c>
      <c r="C2896" s="4" t="n">
        <v>1472.00</v>
      </c>
      <c r="D2896" s="4"/>
    </row>
    <row collapsed="" customFormat="false" customHeight="1" hidden="" ht="14" outlineLevel="0" r="2897">
      <c r="A2897" s="3" t="inlineStr">
        <is>
          <t>2866</t>
        </is>
      </c>
      <c r="B2897" s="4" t="s">
        <f>=HYPERLINK("http://anyluxury.ru/shop/odezhda/detskaya-odezhda/tolstovka-unit-toima-heavy-krasnaya-692850/" , "6928.50 Толстовка Unit Toima Heavy красная, размер XXL")</f>
      </c>
      <c r="C2897" s="4" t="n">
        <v>1472.00</v>
      </c>
      <c r="D2897" s="4"/>
    </row>
    <row collapsed="" customFormat="false" customHeight="1" hidden="" ht="14" outlineLevel="0" r="2898">
      <c r="A2898" s="3" t="inlineStr">
        <is>
          <t>2867</t>
        </is>
      </c>
      <c r="B2898" s="4" t="s">
        <f>=HYPERLINK("http://anyluxury.ru/shop/odezhda/detskaya-odezhda/tolstovka-unit-toima-heavy-krasnaya-692850/" , "6928.50 Толстовка Unit Toima Heavy красная, размер 3XL")</f>
      </c>
      <c r="C2898" s="4" t="n">
        <v>1472.00</v>
      </c>
      <c r="D2898" s="4"/>
    </row>
    <row collapsed="" customFormat="false" customHeight="1" hidden="" ht="14" outlineLevel="0" r="2899">
      <c r="A2899" s="3" t="inlineStr">
        <is>
          <t>2868</t>
        </is>
      </c>
      <c r="B2899" s="4" t="s">
        <f>=HYPERLINK("http://anyluxury.ru/shop/odezhda/detskaya-odezhda/tolstovka-unit-toima-heavy-krasnaya-692850/" , "6928.50 Толстовка Unit Toima Heavy красная, размер 4XL")</f>
      </c>
      <c r="C2899" s="4" t="n">
        <v>1472.00</v>
      </c>
      <c r="D2899" s="4"/>
    </row>
    <row collapsed="" customFormat="false" customHeight="1" hidden="" ht="14" outlineLevel="0" r="2900">
      <c r="A2900" s="3" t="inlineStr">
        <is>
          <t>2869</t>
        </is>
      </c>
      <c r="B2900" s="4" t="s">
        <f>=HYPERLINK("http://anyluxury.ru/shop/odezhda/detskaya-odezhda/tolstovka-unit-toima-heavy-chernaya-692830/" , "6928.30 Толстовка Unit Toima Heavy черная, размер XS")</f>
      </c>
      <c r="C2900" s="4" t="n">
        <v>1472.00</v>
      </c>
      <c r="D2900" s="4"/>
    </row>
    <row collapsed="" customFormat="false" customHeight="1" hidden="" ht="14" outlineLevel="0" r="2901">
      <c r="A2901" s="3" t="inlineStr">
        <is>
          <t>2870</t>
        </is>
      </c>
      <c r="B2901" s="4" t="s">
        <f>=HYPERLINK("http://anyluxury.ru/shop/odezhda/detskaya-odezhda/tolstovka-unit-toima-heavy-chernaya-692830/" , "6928.30 Толстовка Unit Toima Heavy черная, размер S")</f>
      </c>
      <c r="C2901" s="4" t="n">
        <v>1472.00</v>
      </c>
      <c r="D2901" s="4"/>
    </row>
    <row collapsed="" customFormat="false" customHeight="1" hidden="" ht="14" outlineLevel="0" r="2902">
      <c r="A2902" s="3" t="inlineStr">
        <is>
          <t>2871</t>
        </is>
      </c>
      <c r="B2902" s="4" t="s">
        <f>=HYPERLINK("http://anyluxury.ru/shop/odezhda/detskaya-odezhda/tolstovka-unit-toima-heavy-chernaya-692830/" , "6928.30 Толстовка Unit Toima Heavy черная, размер L")</f>
      </c>
      <c r="C2902" s="4" t="n">
        <v>1472.00</v>
      </c>
      <c r="D2902" s="4"/>
    </row>
    <row collapsed="" customFormat="false" customHeight="1" hidden="" ht="14" outlineLevel="0" r="2903">
      <c r="A2903" s="3" t="inlineStr">
        <is>
          <t>2872</t>
        </is>
      </c>
      <c r="B2903" s="4" t="s">
        <f>=HYPERLINK("http://anyluxury.ru/shop/odezhda/detskaya-odezhda/tolstovka-unit-toima-heavy-chernaya-692830/" , "6928.30 Толстовка Unit Toima Heavy черная, размер 4XL")</f>
      </c>
      <c r="C2903" s="4" t="n">
        <v>1472.00</v>
      </c>
      <c r="D2903" s="4"/>
    </row>
    <row collapsed="" customFormat="false" customHeight="1" hidden="" ht="14" outlineLevel="0" r="2904">
      <c r="A2904" s="3" t="inlineStr">
        <is>
          <t>2873</t>
        </is>
      </c>
      <c r="B2904" s="4" t="s">
        <f>=HYPERLINK("http://anyluxury.ru/shop/odezhda/detskaya-odezhda/tolstovka-unit-toima-heavy-chernaya-692830/" , "6928.30 Толстовка Toima Heavy, черная, размер 5XL")</f>
      </c>
      <c r="C2904" s="4" t="n">
        <v>1472.00</v>
      </c>
      <c r="D2904" s="4"/>
    </row>
    <row collapsed="" customFormat="false" customHeight="1" hidden="" ht="14" outlineLevel="0" r="2905">
      <c r="A2905" s="3" t="inlineStr">
        <is>
          <t>2874</t>
        </is>
      </c>
      <c r="B2905" s="4" t="s">
        <f>=HYPERLINK("http://anyluxury.ru/shop/odezhda/detskaya-odezhda/tolstovka-hooded-belaya-wu620001/" , "WU620001 Толстовка Hooded белая, размер XS")</f>
      </c>
      <c r="C2905" s="4" t="n">
        <v>2800.00</v>
      </c>
      <c r="D2905" s="4"/>
    </row>
    <row collapsed="" customFormat="false" customHeight="1" hidden="" ht="14" outlineLevel="0" r="2906">
      <c r="A2906" s="3" t="inlineStr">
        <is>
          <t>2875</t>
        </is>
      </c>
      <c r="B2906" s="4" t="s">
        <f>=HYPERLINK("http://anyluxury.ru/shop/odezhda/detskaya-odezhda/tolstovka-hooded-seriy-melanzh-wu620610/" , "WU620610 Толстовка Hooded серый меланж, размер XS")</f>
      </c>
      <c r="C2906" s="4" t="n">
        <v>2793.00</v>
      </c>
      <c r="D2906" s="4"/>
    </row>
    <row collapsed="" customFormat="false" customHeight="1" hidden="" ht="14" outlineLevel="0" r="2907">
      <c r="A2907" s="3" t="inlineStr">
        <is>
          <t>2876</t>
        </is>
      </c>
      <c r="B2907" s="4" t="s">
        <f>=HYPERLINK("http://anyluxury.ru/shop/odezhda/detskaya-odezhda/tolstovka-hooded-seriy-melanzh-wu620610/" , "WU620610 Толстовка Hooded серый меланж, размер S")</f>
      </c>
      <c r="C2907" s="4" t="n">
        <v>2793.00</v>
      </c>
      <c r="D2907" s="4"/>
    </row>
    <row collapsed="" customFormat="false" customHeight="1" hidden="" ht="14" outlineLevel="0" r="2908">
      <c r="A2908" s="3" t="inlineStr">
        <is>
          <t>2877</t>
        </is>
      </c>
      <c r="B2908" s="4" t="s">
        <f>=HYPERLINK("http://anyluxury.ru/shop/odezhda/detskaya-odezhda/tolstovka-hooded-seriy-melanzh-wu620610/" , "WU620610 Толстовка Hooded серый меланж, размер XXL")</f>
      </c>
      <c r="C2908" s="4" t="n">
        <v>2793.00</v>
      </c>
      <c r="D2908" s="4"/>
    </row>
    <row collapsed="" customFormat="false" customHeight="1" hidden="" ht="14" outlineLevel="0" r="2909">
      <c r="A2909" s="3" t="inlineStr">
        <is>
          <t>2878</t>
        </is>
      </c>
      <c r="B2909" s="4" t="s">
        <f>=HYPERLINK("http://anyluxury.ru/shop/odezhda/detskaya-odezhda/tolstovka-id002-chernaya-wui20002/" , "WUI20002 Толстовка ID.002 черная, размер XXL")</f>
      </c>
      <c r="C2909" s="4" t="n">
        <v>2153.00</v>
      </c>
      <c r="D2909" s="4"/>
    </row>
    <row collapsed="" customFormat="false" customHeight="1" hidden="" ht="14" outlineLevel="0" r="2910">
      <c r="A2910" s="3" t="inlineStr">
        <is>
          <t>2879</t>
        </is>
      </c>
      <c r="B2910" s="4" t="s">
        <f>=HYPERLINK("http://anyluxury.ru/shop/odezhda/detskaya-odezhda/tolstovka-id002-chernaya-wui20002/" , "WUI20002 Толстовка ID.002 черная, размер 3XL")</f>
      </c>
      <c r="C2910" s="4" t="n">
        <v>3056.00</v>
      </c>
      <c r="D2910" s="4"/>
    </row>
    <row collapsed="" customFormat="false" customHeight="1" hidden="" ht="14" outlineLevel="0" r="2911">
      <c r="A2911" s="3" t="inlineStr">
        <is>
          <t>2880</t>
        </is>
      </c>
      <c r="B2911" s="4" t="s">
        <f>=HYPERLINK("http://anyluxury.ru/shop/odezhda/detskaya-odezhda/tolstovka-id002-chernaya-wui20002/" , "WUI20002 Толстовка ID.002 черная, размер 4XL")</f>
      </c>
      <c r="C2911" s="4" t="n">
        <v>3056.00</v>
      </c>
      <c r="D2911" s="4"/>
    </row>
    <row collapsed="" customFormat="false" customHeight="1" hidden="" ht="14" outlineLevel="0" r="2912">
      <c r="A2912" s="3" t="inlineStr">
        <is>
          <t>2881</t>
        </is>
      </c>
      <c r="B2912" s="4" t="s">
        <f>=HYPERLINK("http://anyluxury.ru/shop/odezhda/detskaya-odezhda/tolstovka-id002-chernaya-wui20002/" , "WUI20002 Толстовка ID.002 черная, размер 5XL")</f>
      </c>
      <c r="C2912" s="4" t="n">
        <v>3056.00</v>
      </c>
      <c r="D2912" s="4"/>
    </row>
    <row collapsed="" customFormat="false" customHeight="1" hidden="" ht="14" outlineLevel="0" r="2913">
      <c r="A2913" s="3" t="inlineStr">
        <is>
          <t>2882</t>
        </is>
      </c>
      <c r="B2913" s="4" t="s">
        <f>=HYPERLINK("http://anyluxury.ru/shop/odezhda/detskaya-odezhda/tolstovka-id002-temnosinyaya-wui20003/" , "WUI20003 Толстовка ID.002 темно-синяя, размер XL")</f>
      </c>
      <c r="C2913" s="4" t="n">
        <v>2153.00</v>
      </c>
      <c r="D2913" s="4"/>
    </row>
    <row collapsed="" customFormat="false" customHeight="1" hidden="" ht="14" outlineLevel="0" r="2914">
      <c r="A2914" s="3" t="inlineStr">
        <is>
          <t>2883</t>
        </is>
      </c>
      <c r="B2914" s="4" t="s">
        <f>=HYPERLINK("http://anyluxury.ru/shop/odezhda/detskaya-odezhda/tolstovka-id002-temnosinyaya-wui20003/" , "WUI20003 Толстовка ID.002 темно-синяя, размер XXL")</f>
      </c>
      <c r="C2914" s="4" t="n">
        <v>2153.00</v>
      </c>
      <c r="D2914" s="4"/>
    </row>
    <row collapsed="" customFormat="false" customHeight="1" hidden="" ht="14" outlineLevel="0" r="2915">
      <c r="A2915" s="3" t="inlineStr">
        <is>
          <t>2884</t>
        </is>
      </c>
      <c r="B2915" s="4" t="s">
        <f>=HYPERLINK("http://anyluxury.ru/shop/odezhda/detskaya-odezhda/tolstovka-id002-temnosinyaya-wui20003/" , "WUI20003 Толстовка ID.002 темно-синяя, размер 3XL")</f>
      </c>
      <c r="C2915" s="4" t="n">
        <v>3056.00</v>
      </c>
      <c r="D2915" s="4"/>
    </row>
    <row collapsed="" customFormat="false" customHeight="1" hidden="" ht="14" outlineLevel="0" r="2916">
      <c r="A2916" s="3" t="inlineStr">
        <is>
          <t>2885</t>
        </is>
      </c>
      <c r="B2916" s="4" t="s">
        <f>=HYPERLINK("http://anyluxury.ru/shop/odezhda/detskaya-odezhda/tolstovka-id002-temnosinyaya-wui20003/" , "WUI20003 Толстовка ID.002 темно-синяя, размер 4XL")</f>
      </c>
      <c r="C2916" s="4" t="n">
        <v>3056.00</v>
      </c>
      <c r="D2916" s="4"/>
    </row>
    <row collapsed="" customFormat="false" customHeight="1" hidden="" ht="14" outlineLevel="0" r="2917">
      <c r="A2917" s="3" t="inlineStr">
        <is>
          <t>2886</t>
        </is>
      </c>
      <c r="B2917" s="4" t="s">
        <f>=HYPERLINK("http://anyluxury.ru/shop/odezhda/detskaya-odezhda/tolstovka-id002-temnosinyaya-wui20003/" , "WUI20003 Толстовка ID.002 темно-синяя, размер 5XL")</f>
      </c>
      <c r="C2917" s="4" t="n">
        <v>3056.00</v>
      </c>
      <c r="D2917" s="4"/>
    </row>
    <row collapsed="" customFormat="false" customHeight="1" hidden="" ht="14" outlineLevel="0" r="2918">
      <c r="A2918" s="3" t="inlineStr">
        <is>
          <t>2887</t>
        </is>
      </c>
      <c r="B2918" s="4" t="s">
        <f>=HYPERLINK("http://anyluxury.ru/shop/odezhda/detskaya-odezhda/tolstovka-id002-zelenaya-wui20520/" , "WUI20520 Толстовка ID.002 зеленая, размер XS")</f>
      </c>
      <c r="C2918" s="4" t="n">
        <v>1229.00</v>
      </c>
      <c r="D2918" s="4"/>
    </row>
    <row collapsed="" customFormat="false" customHeight="1" hidden="" ht="14" outlineLevel="0" r="2919">
      <c r="A2919" s="3" t="inlineStr">
        <is>
          <t>2888</t>
        </is>
      </c>
      <c r="B2919" s="4" t="s">
        <f>=HYPERLINK("http://anyluxury.ru/shop/odezhda/detskaya-odezhda/tolstovka-id002-zelenaya-wui20520/" , "WUI20520 Толстовка ID.002 зеленая, размер S")</f>
      </c>
      <c r="C2919" s="4" t="n">
        <v>1229.00</v>
      </c>
      <c r="D2919" s="4"/>
    </row>
    <row collapsed="" customFormat="false" customHeight="1" hidden="" ht="14" outlineLevel="0" r="2920">
      <c r="A2920" s="3" t="inlineStr">
        <is>
          <t>2889</t>
        </is>
      </c>
      <c r="B2920" s="4" t="s">
        <f>=HYPERLINK("http://anyluxury.ru/shop/odezhda/detskaya-odezhda/tolstovka-id002-seriy-melanzh-wui20610/" , "WUI20610 Толстовка ID.002 серый меланж, размер S")</f>
      </c>
      <c r="C2920" s="4" t="n">
        <v>2153.00</v>
      </c>
      <c r="D2920" s="4"/>
    </row>
    <row collapsed="" customFormat="false" customHeight="1" hidden="" ht="14" outlineLevel="0" r="2921">
      <c r="A2921" s="3" t="inlineStr">
        <is>
          <t>2890</t>
        </is>
      </c>
      <c r="B2921" s="4" t="s">
        <f>=HYPERLINK("http://anyluxury.ru/shop/odezhda/detskaya-odezhda/tolstovka-id002-seriy-melanzh-wui20610/" , "WUI20610 Толстовка ID.002 серый меланж, размер XXL")</f>
      </c>
      <c r="C2921" s="4" t="n">
        <v>2153.00</v>
      </c>
      <c r="D2921" s="4"/>
    </row>
    <row collapsed="" customFormat="false" customHeight="1" hidden="" ht="14" outlineLevel="0" r="2922">
      <c r="A2922" s="3" t="inlineStr">
        <is>
          <t>2891</t>
        </is>
      </c>
      <c r="B2922" s="4" t="s">
        <f>=HYPERLINK("http://anyluxury.ru/shop/odezhda/detskaya-odezhda/tolstovka-id002-seriy-melanzh-wui20610/" , "WUI20610 Толстовка ID.002 серый меланж, размер 3XL")</f>
      </c>
      <c r="C2922" s="4" t="n">
        <v>3056.00</v>
      </c>
      <c r="D2922" s="4"/>
    </row>
    <row collapsed="" customFormat="false" customHeight="1" hidden="" ht="14" outlineLevel="0" r="2923">
      <c r="A2923" s="3" t="inlineStr">
        <is>
          <t>2892</t>
        </is>
      </c>
      <c r="B2923" s="4" t="s">
        <f>=HYPERLINK("http://anyluxury.ru/shop/odezhda/detskaya-odezhda/tolstovka-id002-seriy-melanzh-wui20610/" , "WUI20610 Толстовка ID.002 серый меланж, размер 4XL")</f>
      </c>
      <c r="C2923" s="4" t="n">
        <v>3056.00</v>
      </c>
      <c r="D2923" s="4"/>
    </row>
    <row collapsed="" customFormat="false" customHeight="1" hidden="" ht="14" outlineLevel="0" r="2924">
      <c r="A2924" s="3" t="inlineStr">
        <is>
          <t>2893</t>
        </is>
      </c>
      <c r="B2924" s="4" t="s">
        <f>=HYPERLINK("http://anyluxury.ru/shop/odezhda/detskaya-odezhda/tolstovka-id002-seriy-melanzh-wui20610/" , "WUI20610 Толстовка ID.002 серый меланж, размер 5XL")</f>
      </c>
      <c r="C2924" s="4" t="n">
        <v>3056.00</v>
      </c>
      <c r="D2924" s="4"/>
    </row>
    <row collapsed="" customFormat="false" customHeight="1" hidden="" ht="14" outlineLevel="0" r="2925">
      <c r="A2925" s="3" t="inlineStr">
        <is>
          <t>2894</t>
        </is>
      </c>
      <c r="B2925" s="4" t="s">
        <f>=HYPERLINK("http://anyluxury.ru/shop/odezhda/detskaya-odezhda/tolstovka-id003-temnosinyaya-wui21003/" , "WUI21003 Толстовка ID.003 темно-синяя, размер XS")</f>
      </c>
      <c r="C2925" s="4" t="n">
        <v>2839.00</v>
      </c>
      <c r="D2925" s="4"/>
    </row>
    <row collapsed="" customFormat="false" customHeight="1" hidden="" ht="14" outlineLevel="0" r="2926">
      <c r="A2926" s="3" t="inlineStr">
        <is>
          <t>2895</t>
        </is>
      </c>
      <c r="B2926" s="4" t="s">
        <f>=HYPERLINK("http://anyluxury.ru/shop/odezhda/detskaya-odezhda/tolstovka-id003-temnosinyaya-wui21003/" , "WUI21003 Толстовка ID.003 темно-синяя, размер S")</f>
      </c>
      <c r="C2926" s="4" t="n">
        <v>2839.00</v>
      </c>
      <c r="D2926" s="4"/>
    </row>
    <row collapsed="" customFormat="false" customHeight="1" hidden="" ht="14" outlineLevel="0" r="2927">
      <c r="A2927" s="3" t="inlineStr">
        <is>
          <t>2896</t>
        </is>
      </c>
      <c r="B2927" s="4" t="s">
        <f>=HYPERLINK("http://anyluxury.ru/shop/odezhda/detskaya-odezhda/tolstovka-id003-temnosinyaya-wui21003/" , "WUI21003 Толстовка ID.003 темно-синяя, размер M")</f>
      </c>
      <c r="C2927" s="4" t="n">
        <v>2839.00</v>
      </c>
      <c r="D2927" s="4"/>
    </row>
    <row collapsed="" customFormat="false" customHeight="1" hidden="" ht="14" outlineLevel="0" r="2928">
      <c r="A2928" s="3" t="inlineStr">
        <is>
          <t>2897</t>
        </is>
      </c>
      <c r="B2928" s="4" t="s">
        <f>=HYPERLINK("http://anyluxury.ru/shop/odezhda/detskaya-odezhda/tolstovka-id003-temnosinyaya-wui21003/" , "WUI21003 Толстовка ID.003 темно-синяя, размер XXL")</f>
      </c>
      <c r="C2928" s="4" t="n">
        <v>2839.00</v>
      </c>
      <c r="D2928" s="4"/>
    </row>
    <row collapsed="" customFormat="false" customHeight="1" hidden="" ht="14" outlineLevel="0" r="2929">
      <c r="A2929" s="3" t="inlineStr">
        <is>
          <t>2898</t>
        </is>
      </c>
      <c r="B2929" s="4" t="s">
        <f>=HYPERLINK("http://anyluxury.ru/shop/odezhda/detskaya-odezhda/tolstovka-id003-temnosinyaya-wui21003/" , "WUI21003 Толстовка ID.003 темно-синяя, размер 3XL")</f>
      </c>
      <c r="C2929" s="4" t="n">
        <v>3544.00</v>
      </c>
      <c r="D2929" s="4"/>
    </row>
    <row collapsed="" customFormat="false" customHeight="1" hidden="" ht="14" outlineLevel="0" r="2930">
      <c r="A2930" s="3" t="inlineStr">
        <is>
          <t>2899</t>
        </is>
      </c>
      <c r="B2930" s="4" t="s">
        <f>=HYPERLINK("http://anyluxury.ru/shop/odezhda/detskaya-odezhda/tolstovka-id003-temnosinyaya-wui21003/" , "WUI21003 Толстовка ID.003 темно-синяя, размер 4XL")</f>
      </c>
      <c r="C2930" s="4" t="n">
        <v>3544.00</v>
      </c>
      <c r="D2930" s="4"/>
    </row>
    <row collapsed="" customFormat="false" customHeight="1" hidden="" ht="14" outlineLevel="0" r="2931">
      <c r="A2931" s="3" t="inlineStr">
        <is>
          <t>2900</t>
        </is>
      </c>
      <c r="B2931" s="4" t="s">
        <f>=HYPERLINK("http://anyluxury.ru/shop/odezhda/detskaya-odezhda/tolstovka-id003-krasnaya-wui21004/" , "WUI21004 Толстовка ID.003 красная, размер XS")</f>
      </c>
      <c r="C2931" s="4" t="n">
        <v>2839.00</v>
      </c>
      <c r="D2931" s="4"/>
    </row>
    <row collapsed="" customFormat="false" customHeight="1" hidden="" ht="14" outlineLevel="0" r="2932">
      <c r="A2932" s="3" t="inlineStr">
        <is>
          <t>2901</t>
        </is>
      </c>
      <c r="B2932" s="4" t="s">
        <f>=HYPERLINK("http://anyluxury.ru/shop/odezhda/detskaya-odezhda/tolstovka-id003-krasnaya-wui21004/" , "WUI21004 Толстовка ID.003 красная, размер S")</f>
      </c>
      <c r="C2932" s="4" t="n">
        <v>2839.00</v>
      </c>
      <c r="D2932" s="4"/>
    </row>
    <row collapsed="" customFormat="false" customHeight="1" hidden="" ht="14" outlineLevel="0" r="2933">
      <c r="A2933" s="3" t="inlineStr">
        <is>
          <t>2902</t>
        </is>
      </c>
      <c r="B2933" s="4" t="s">
        <f>=HYPERLINK("http://anyluxury.ru/shop/odezhda/detskaya-odezhda/tolstovka-id003-krasnaya-wui21004/" , "WUI21004 Толстовка ID.003 красная, размер XXL")</f>
      </c>
      <c r="C2933" s="4" t="n">
        <v>2839.00</v>
      </c>
      <c r="D2933" s="4"/>
    </row>
    <row collapsed="" customFormat="false" customHeight="1" hidden="" ht="14" outlineLevel="0" r="2934">
      <c r="A2934" s="3" t="inlineStr">
        <is>
          <t>2903</t>
        </is>
      </c>
      <c r="B2934" s="4" t="s">
        <f>=HYPERLINK("http://anyluxury.ru/shop/odezhda/detskaya-odezhda/tolstovka-id003-krasnaya-wui21004/" , "WUI21004 Толстовка ID.003 красная, размер 4XL")</f>
      </c>
      <c r="C2934" s="4" t="n">
        <v>3544.00</v>
      </c>
      <c r="D2934" s="4"/>
    </row>
    <row collapsed="" customFormat="false" customHeight="1" hidden="" ht="14" outlineLevel="0" r="2935">
      <c r="A2935" s="3" t="inlineStr">
        <is>
          <t>2904</t>
        </is>
      </c>
      <c r="B2935" s="4" t="s">
        <f>=HYPERLINK("http://anyluxury.ru/shop/odezhda/detskaya-odezhda/tolstovka-id003-oranzhevaya-wui21235/" , "WUI21235 Толстовка ID.003 оранжевая, размер 4XL")</f>
      </c>
      <c r="C2935" s="4" t="n">
        <v>2153.00</v>
      </c>
      <c r="D2935" s="4"/>
    </row>
    <row collapsed="" customFormat="false" customHeight="1" hidden="" ht="14" outlineLevel="0" r="2936">
      <c r="A2936" s="3" t="inlineStr">
        <is>
          <t>2905</t>
        </is>
      </c>
      <c r="B2936" s="4" t="s">
        <f>=HYPERLINK("http://anyluxury.ru/shop/odezhda/detskaya-odezhda/tolstovka-id003-biryuzovaya-wui21441/" , "WUI21441 Толстовка ID.003 бирюзовая, размер 3XL")</f>
      </c>
      <c r="C2936" s="4" t="n">
        <v>2153.00</v>
      </c>
      <c r="D2936" s="4"/>
    </row>
    <row collapsed="" customFormat="false" customHeight="1" hidden="" ht="14" outlineLevel="0" r="2937">
      <c r="A2937" s="3" t="inlineStr">
        <is>
          <t>2906</t>
        </is>
      </c>
      <c r="B2937" s="4" t="s">
        <f>=HYPERLINK("http://anyluxury.ru/shop/odezhda/detskaya-odezhda/tolstovka-id003-biryuzovaya-wui21441/" , "WUI21441 Толстовка ID.003 бирюзовая, размер 4XL")</f>
      </c>
      <c r="C2937" s="4" t="n">
        <v>2153.00</v>
      </c>
      <c r="D2937" s="4"/>
    </row>
    <row collapsed="" customFormat="false" customHeight="1" hidden="" ht="14" outlineLevel="0" r="2938">
      <c r="A2938" s="3" t="inlineStr">
        <is>
          <t>2907</t>
        </is>
      </c>
      <c r="B2938" s="4" t="s">
        <f>=HYPERLINK("http://anyluxury.ru/shop/odezhda/detskaya-odezhda/tolstovka-id003-yarkosinyaya-wui21450/" , "WUI21450 Толстовка ID.003 ярко-синяя, размер S")</f>
      </c>
      <c r="C2938" s="4" t="n">
        <v>2839.00</v>
      </c>
      <c r="D2938" s="4"/>
    </row>
    <row collapsed="" customFormat="false" customHeight="1" hidden="" ht="14" outlineLevel="0" r="2939">
      <c r="A2939" s="3" t="inlineStr">
        <is>
          <t>2908</t>
        </is>
      </c>
      <c r="B2939" s="4" t="s">
        <f>=HYPERLINK("http://anyluxury.ru/shop/odezhda/detskaya-odezhda/tolstovka-id003-yarkosinyaya-wui21450/" , "WUI21450 Толстовка ID.003 ярко-синяя, размер XXL")</f>
      </c>
      <c r="C2939" s="4" t="n">
        <v>2839.00</v>
      </c>
      <c r="D2939" s="4"/>
    </row>
    <row collapsed="" customFormat="false" customHeight="1" hidden="" ht="14" outlineLevel="0" r="2940">
      <c r="A2940" s="3" t="inlineStr">
        <is>
          <t>2909</t>
        </is>
      </c>
      <c r="B2940" s="4" t="s">
        <f>=HYPERLINK("http://anyluxury.ru/shop/odezhda/detskaya-odezhda/tolstovka-id003-yarkosinyaya-wui21450/" , "WUI21450 Толстовка ID.003 ярко-синяя, размер 4XL")</f>
      </c>
      <c r="C2940" s="4" t="n">
        <v>3544.00</v>
      </c>
      <c r="D2940" s="4"/>
    </row>
    <row collapsed="" customFormat="false" customHeight="1" hidden="" ht="14" outlineLevel="0" r="2941">
      <c r="A2941" s="3" t="inlineStr">
        <is>
          <t>2910</t>
        </is>
      </c>
      <c r="B2941" s="4" t="s">
        <f>=HYPERLINK("http://anyluxury.ru/shop/odezhda/detskaya-odezhda/tolstovka-id003-seriy-melanzh-wui21610/" , "WUI21610 Толстовка ID.003 серый меланж, размер XS")</f>
      </c>
      <c r="C2941" s="4" t="n">
        <v>2839.00</v>
      </c>
      <c r="D2941" s="4"/>
    </row>
    <row collapsed="" customFormat="false" customHeight="1" hidden="" ht="14" outlineLevel="0" r="2942">
      <c r="A2942" s="3" t="inlineStr">
        <is>
          <t>2911</t>
        </is>
      </c>
      <c r="B2942" s="4" t="s">
        <f>=HYPERLINK("http://anyluxury.ru/shop/odezhda/detskaya-odezhda/tolstovka-id003-seriy-melanzh-wui21610/" , "WUI21610 Толстовка ID.003 серый меланж, размер S")</f>
      </c>
      <c r="C2942" s="4" t="n">
        <v>2839.00</v>
      </c>
      <c r="D2942" s="4"/>
    </row>
    <row collapsed="" customFormat="false" customHeight="1" hidden="" ht="14" outlineLevel="0" r="2943">
      <c r="A2943" s="3" t="inlineStr">
        <is>
          <t>2912</t>
        </is>
      </c>
      <c r="B2943" s="4" t="s">
        <f>=HYPERLINK("http://anyluxury.ru/shop/odezhda/detskaya-odezhda/tolstovka-id003-seriy-melanzh-wui21610/" , "WUI21610 Толстовка ID.003 серый меланж, размер XXL")</f>
      </c>
      <c r="C2943" s="4" t="n">
        <v>2839.00</v>
      </c>
      <c r="D2943" s="4"/>
    </row>
    <row collapsed="" customFormat="false" customHeight="1" hidden="" ht="14" outlineLevel="0" r="2944">
      <c r="A2944" s="3" t="inlineStr">
        <is>
          <t>2913</t>
        </is>
      </c>
      <c r="B2944" s="4" t="s">
        <f>=HYPERLINK("http://anyluxury.ru/shop/odezhda/detskaya-odezhda/tolstovka-id003-seriy-melanzh-wui21610/" , "WUI21610 Толстовка ID.003 серый меланж, размер 3XL")</f>
      </c>
      <c r="C2944" s="4" t="n">
        <v>3544.00</v>
      </c>
      <c r="D2944" s="4"/>
    </row>
    <row collapsed="" customFormat="false" customHeight="1" hidden="" ht="14" outlineLevel="0" r="2945">
      <c r="A2945" s="3" t="inlineStr">
        <is>
          <t>2914</t>
        </is>
      </c>
      <c r="B2945" s="4" t="s">
        <f>=HYPERLINK("http://anyluxury.ru/shop/odezhda/detskaya-odezhda/tolstovka-id003-seriy-melanzh-wui21610/" , "WUI21610 Толстовка ID.003 серый меланж, размер 4XL")</f>
      </c>
      <c r="C2945" s="4" t="n">
        <v>3544.00</v>
      </c>
      <c r="D2945" s="4"/>
    </row>
    <row collapsed="" customFormat="false" customHeight="1" hidden="" ht="14" outlineLevel="0" r="2946">
      <c r="A2946" s="3" t="inlineStr">
        <is>
          <t>2915</t>
        </is>
      </c>
      <c r="B2946" s="4" t="s">
        <f>=HYPERLINK("http://anyluxury.ru/shop/odezhda/detskaya-odezhda/dozhdevik-uniseks-rainman-temnosiniy-745640/" , "7456.40 Дождевик унисекс Rainman темно-синий, размер XS/S")</f>
      </c>
      <c r="C2946" s="4" t="n">
        <v>1520.00</v>
      </c>
      <c r="D2946" s="4"/>
    </row>
    <row collapsed="" customFormat="false" customHeight="1" hidden="" ht="14" outlineLevel="0" r="2947">
      <c r="A2947" s="3" t="inlineStr">
        <is>
          <t>2916</t>
        </is>
      </c>
      <c r="B2947" s="4" t="s">
        <f>=HYPERLINK("http://anyluxury.ru/shop/odezhda/detskaya-odezhda/dozhdevik-uniseks-rainman-temnosiniy-745640/" , "7456.40 Дождевик унисекс Rainman темно-синий, размер XS")</f>
      </c>
      <c r="C2947" s="4" t="n">
        <v>1520.00</v>
      </c>
      <c r="D2947" s="4"/>
    </row>
    <row collapsed="" customFormat="false" customHeight="1" hidden="" ht="14" outlineLevel="0" r="2948">
      <c r="A2948" s="3" t="inlineStr">
        <is>
          <t>2917</t>
        </is>
      </c>
      <c r="B2948" s="4" t="s">
        <f>=HYPERLINK("http://anyluxury.ru/shop/odezhda/detskaya-odezhda/dozhdevik-uniseks-rainman-temnosiniy-745640/" , "7456.40 Дождевик унисекс Rainman темно-синий, размер M")</f>
      </c>
      <c r="C2948" s="4" t="n">
        <v>1520.00</v>
      </c>
      <c r="D2948" s="4"/>
    </row>
    <row collapsed="" customFormat="false" customHeight="1" hidden="" ht="14" outlineLevel="0" r="2949">
      <c r="A2949" s="3" t="inlineStr">
        <is>
          <t>2918</t>
        </is>
      </c>
      <c r="B2949" s="4" t="s">
        <f>=HYPERLINK("http://anyluxury.ru/shop/odezhda/detskaya-odezhda/tolstovka-s-kapyushonom-snake-ii-golubaya-761114/" , "7611.14 Толстовка с капюшоном SNAKE II голубая, размер XS")</f>
      </c>
      <c r="C2949" s="4" t="n">
        <v>2466.00</v>
      </c>
      <c r="D2949" s="4"/>
    </row>
    <row collapsed="" customFormat="false" customHeight="1" hidden="" ht="14" outlineLevel="0" r="2950">
      <c r="A2950" s="3" t="inlineStr">
        <is>
          <t>2919</t>
        </is>
      </c>
      <c r="B2950" s="4" t="s">
        <f>=HYPERLINK("http://anyluxury.ru/shop/odezhda/detskaya-odezhda/tolstovka-s-kapyushonom-snake-ii-golubaya-761114/" , "7611.14 Толстовка с капюшоном SNAKE II голубая, размер S")</f>
      </c>
      <c r="C2950" s="4" t="n">
        <v>2466.00</v>
      </c>
      <c r="D2950" s="4"/>
    </row>
    <row collapsed="" customFormat="false" customHeight="1" hidden="" ht="14" outlineLevel="0" r="2951">
      <c r="A2951" s="3" t="inlineStr">
        <is>
          <t>2920</t>
        </is>
      </c>
      <c r="B2951" s="4" t="s">
        <f>=HYPERLINK("http://anyluxury.ru/shop/odezhda/detskaya-odezhda/tolstovka-s-kapyushonom-snake-ii-golubaya-761114/" , "7611.14 Толстовка с капюшоном SNAKE II голубая, размер M")</f>
      </c>
      <c r="C2951" s="4" t="n">
        <v>2466.00</v>
      </c>
      <c r="D2951" s="4"/>
    </row>
    <row collapsed="" customFormat="false" customHeight="1" hidden="" ht="14" outlineLevel="0" r="2952">
      <c r="A2952" s="3" t="inlineStr">
        <is>
          <t>2921</t>
        </is>
      </c>
      <c r="B2952" s="4" t="s">
        <f>=HYPERLINK("http://anyluxury.ru/shop/odezhda/detskaya-odezhda/tolstovka-s-kapyushonom-snake-ii-golubaya-761114/" , "7611.14 Толстовка с капюшоном SNAKE II голубая, размер L")</f>
      </c>
      <c r="C2952" s="4" t="n">
        <v>2466.00</v>
      </c>
      <c r="D2952" s="4"/>
    </row>
    <row collapsed="" customFormat="false" customHeight="1" hidden="" ht="14" outlineLevel="0" r="2953">
      <c r="A2953" s="3" t="inlineStr">
        <is>
          <t>2922</t>
        </is>
      </c>
      <c r="B2953" s="4" t="s">
        <f>=HYPERLINK("http://anyluxury.ru/shop/odezhda/detskaya-odezhda/tolstovka-s-kapyushonom-snake-ii-golubaya-761114/" , "7611.14 Толстовка с капюшоном SNAKE II голубая, размер XL")</f>
      </c>
      <c r="C2953" s="4" t="n">
        <v>2466.00</v>
      </c>
      <c r="D2953" s="4"/>
    </row>
    <row collapsed="" customFormat="false" customHeight="1" hidden="" ht="14" outlineLevel="0" r="2954">
      <c r="A2954" s="3" t="inlineStr">
        <is>
          <t>2923</t>
        </is>
      </c>
      <c r="B2954" s="4" t="s">
        <f>=HYPERLINK("http://anyluxury.ru/shop/odezhda/detskaya-odezhda/tolstovka-s-kapyushonom-snake-ii-golubaya-761114/" , "7611.14 Толстовка с капюшоном SNAKE II голубая, размер XXL")</f>
      </c>
      <c r="C2954" s="4" t="n">
        <v>2466.00</v>
      </c>
      <c r="D2954" s="4"/>
    </row>
    <row collapsed="" customFormat="false" customHeight="1" hidden="" ht="14" outlineLevel="0" r="2955">
      <c r="A2955" s="3" t="inlineStr">
        <is>
          <t>2924</t>
        </is>
      </c>
      <c r="B2955" s="4" t="s">
        <f>=HYPERLINK("http://anyluxury.ru/shop/odezhda/detskaya-odezhda/tolstovka-s-kapyushonom-snake-ii-golubaya-761114/" , "7611.14 Толстовка с капюшоном SNAKE II голубая, размер 3XL")</f>
      </c>
      <c r="C2955" s="4" t="n">
        <v>2922.00</v>
      </c>
      <c r="D2955" s="4"/>
    </row>
    <row collapsed="" customFormat="false" customHeight="1" hidden="" ht="14" outlineLevel="0" r="2956">
      <c r="A2956" s="3" t="inlineStr">
        <is>
          <t>2925</t>
        </is>
      </c>
      <c r="B2956" s="4" t="s">
        <f>=HYPERLINK("http://anyluxury.ru/shop/odezhda/detskaya-odezhda/tolstovka-s-kapyushonom-snake-ii-golubaya-761114/" , "7611.14 Толстовка с капюшоном SNAKE II голубая, размер 4XL")</f>
      </c>
      <c r="C2956" s="4" t="n">
        <v>3748.00</v>
      </c>
      <c r="D2956" s="4"/>
    </row>
    <row collapsed="" customFormat="false" customHeight="1" hidden="" ht="14" outlineLevel="0" r="2957">
      <c r="A2957" s="3" t="inlineStr">
        <is>
          <t>2926</t>
        </is>
      </c>
      <c r="B2957" s="4" t="s">
        <f>=HYPERLINK("http://anyluxury.ru/shop/odezhda/detskaya-odezhda/tolstovka-s-kapyushonom-snake-ii-biryuzovaya-761142/" , "7611.42 Толстовка с капюшоном SNAKE II бирюзовая, размер XS")</f>
      </c>
      <c r="C2957" s="4" t="n">
        <v>2466.00</v>
      </c>
      <c r="D2957" s="4"/>
    </row>
    <row collapsed="" customFormat="false" customHeight="1" hidden="" ht="14" outlineLevel="0" r="2958">
      <c r="A2958" s="3" t="inlineStr">
        <is>
          <t>2927</t>
        </is>
      </c>
      <c r="B2958" s="4" t="s">
        <f>=HYPERLINK("http://anyluxury.ru/shop/odezhda/detskaya-odezhda/tolstovka-s-kapyushonom-snake-ii-biryuzovaya-761142/" , "7611.42 Толстовка с капюшоном SNAKE II бирюзовая, размер S")</f>
      </c>
      <c r="C2958" s="4" t="n">
        <v>2466.00</v>
      </c>
      <c r="D2958" s="4"/>
    </row>
    <row collapsed="" customFormat="false" customHeight="1" hidden="" ht="14" outlineLevel="0" r="2959">
      <c r="A2959" s="3" t="inlineStr">
        <is>
          <t>2928</t>
        </is>
      </c>
      <c r="B2959" s="4" t="s">
        <f>=HYPERLINK("http://anyluxury.ru/shop/odezhda/detskaya-odezhda/tolstovka-s-kapyushonom-snake-ii-biryuzovaya-761142/" , "7611.42 Толстовка с капюшоном SNAKE II бирюзовая, размер M")</f>
      </c>
      <c r="C2959" s="4" t="n">
        <v>2466.00</v>
      </c>
      <c r="D2959" s="4"/>
    </row>
    <row collapsed="" customFormat="false" customHeight="1" hidden="" ht="14" outlineLevel="0" r="2960">
      <c r="A2960" s="3" t="inlineStr">
        <is>
          <t>2929</t>
        </is>
      </c>
      <c r="B2960" s="4" t="s">
        <f>=HYPERLINK("http://anyluxury.ru/shop/odezhda/detskaya-odezhda/tolstovka-s-kapyushonom-snake-ii-biryuzovaya-761142/" , "7611.42 Толстовка с капюшоном SNAKE II бирюзовая, размер L")</f>
      </c>
      <c r="C2960" s="4" t="n">
        <v>2466.00</v>
      </c>
      <c r="D2960" s="4"/>
    </row>
    <row collapsed="" customFormat="false" customHeight="1" hidden="" ht="14" outlineLevel="0" r="2961">
      <c r="A2961" s="3" t="inlineStr">
        <is>
          <t>2930</t>
        </is>
      </c>
      <c r="B2961" s="4" t="s">
        <f>=HYPERLINK("http://anyluxury.ru/shop/odezhda/detskaya-odezhda/tolstovka-s-kapyushonom-snake-ii-biryuzovaya-761142/" , "7611.42 Толстовка с капюшоном SNAKE II бирюзовая, размер XL")</f>
      </c>
      <c r="C2961" s="4" t="n">
        <v>2466.00</v>
      </c>
      <c r="D2961" s="4"/>
    </row>
    <row collapsed="" customFormat="false" customHeight="1" hidden="" ht="14" outlineLevel="0" r="2962">
      <c r="A2962" s="3" t="inlineStr">
        <is>
          <t>2931</t>
        </is>
      </c>
      <c r="B2962" s="4" t="s">
        <f>=HYPERLINK("http://anyluxury.ru/shop/odezhda/detskaya-odezhda/tolstovka-s-kapyushonom-snake-ii-biryuzovaya-761142/" , "7611.42 Толстовка с капюшоном SNAKE II бирюзовая, размер XXL")</f>
      </c>
      <c r="C2962" s="4" t="n">
        <v>2466.00</v>
      </c>
      <c r="D2962" s="4"/>
    </row>
    <row collapsed="" customFormat="false" customHeight="1" hidden="" ht="14" outlineLevel="0" r="2963">
      <c r="A2963" s="3" t="inlineStr">
        <is>
          <t>2932</t>
        </is>
      </c>
      <c r="B2963" s="4" t="s">
        <f>=HYPERLINK("http://anyluxury.ru/shop/odezhda/detskaya-odezhda/tolstovka-s-kapyushonom-snake-ii-biryuzovaya-761142/" , "7611.42 Толстовка с капюшоном SNAKE II бирюзовая, размер 3XL")</f>
      </c>
      <c r="C2963" s="4" t="n">
        <v>2922.00</v>
      </c>
      <c r="D2963" s="4"/>
    </row>
    <row collapsed="" customFormat="false" customHeight="1" hidden="" ht="14" outlineLevel="0" r="2964">
      <c r="A2964" s="3" t="inlineStr">
        <is>
          <t>2933</t>
        </is>
      </c>
      <c r="B2964" s="4" t="s">
        <f>=HYPERLINK("http://anyluxury.ru/shop/odezhda/detskaya-odezhda/tolstovka-s-kapyushonom-snake-ii-svetloseriy-melanzh-761116/" , "7611.16 Толстовка с капюшоном SNAKE II светло-серый меланж, размер XS")</f>
      </c>
      <c r="C2964" s="4" t="n">
        <v>2466.00</v>
      </c>
      <c r="D2964" s="4"/>
    </row>
    <row collapsed="" customFormat="false" customHeight="1" hidden="" ht="14" outlineLevel="0" r="2965">
      <c r="A2965" s="3" t="inlineStr">
        <is>
          <t>2934</t>
        </is>
      </c>
      <c r="B2965" s="4" t="s">
        <f>=HYPERLINK("http://anyluxury.ru/shop/odezhda/detskaya-odezhda/tolstovka-s-kapyushonom-snake-ii-svetloseriy-melanzh-761116/" , "7611.16 Толстовка с капюшоном SNAKE II светло-серый меланж, размер S")</f>
      </c>
      <c r="C2965" s="4" t="n">
        <v>2466.00</v>
      </c>
      <c r="D2965" s="4"/>
    </row>
    <row collapsed="" customFormat="false" customHeight="1" hidden="" ht="14" outlineLevel="0" r="2966">
      <c r="A2966" s="3" t="inlineStr">
        <is>
          <t>2935</t>
        </is>
      </c>
      <c r="B2966" s="4" t="s">
        <f>=HYPERLINK("http://anyluxury.ru/shop/odezhda/detskaya-odezhda/tolstovka-s-kapyushonom-snake-ii-svetloseriy-melanzh-761116/" , "7611.16 Толстовка с капюшоном SNAKE II светло-серый меланж, размер M")</f>
      </c>
      <c r="C2966" s="4" t="n">
        <v>2466.00</v>
      </c>
      <c r="D2966" s="4"/>
    </row>
    <row collapsed="" customFormat="false" customHeight="1" hidden="" ht="14" outlineLevel="0" r="2967">
      <c r="A2967" s="3" t="inlineStr">
        <is>
          <t>2936</t>
        </is>
      </c>
      <c r="B2967" s="4" t="s">
        <f>=HYPERLINK("http://anyluxury.ru/shop/odezhda/detskaya-odezhda/tolstovka-s-kapyushonom-snake-ii-svetloseriy-melanzh-761116/" , "7611.16 Толстовка с капюшоном SNAKE II светло-серый меланж, размер L")</f>
      </c>
      <c r="C2967" s="4" t="n">
        <v>2466.00</v>
      </c>
      <c r="D2967" s="4"/>
    </row>
    <row collapsed="" customFormat="false" customHeight="1" hidden="" ht="14" outlineLevel="0" r="2968">
      <c r="A2968" s="3" t="inlineStr">
        <is>
          <t>2937</t>
        </is>
      </c>
      <c r="B2968" s="4" t="s">
        <f>=HYPERLINK("http://anyluxury.ru/shop/odezhda/detskaya-odezhda/tolstovka-s-kapyushonom-snake-ii-svetloseriy-melanzh-761116/" , "7611.16 Толстовка с капюшоном SNAKE II светло-серый меланж, размер XL")</f>
      </c>
      <c r="C2968" s="4" t="n">
        <v>2466.00</v>
      </c>
      <c r="D2968" s="4"/>
    </row>
    <row collapsed="" customFormat="false" customHeight="1" hidden="" ht="14" outlineLevel="0" r="2969">
      <c r="A2969" s="3" t="inlineStr">
        <is>
          <t>2938</t>
        </is>
      </c>
      <c r="B2969" s="4" t="s">
        <f>=HYPERLINK("http://anyluxury.ru/shop/odezhda/detskaya-odezhda/tolstovka-s-kapyushonom-snake-ii-svetloseriy-melanzh-761116/" , "7611.16 Толстовка с капюшоном SNAKE II светло-серый меланж, размер XXL")</f>
      </c>
      <c r="C2969" s="4" t="n">
        <v>2466.00</v>
      </c>
      <c r="D2969" s="4"/>
    </row>
    <row collapsed="" customFormat="false" customHeight="1" hidden="" ht="14" outlineLevel="0" r="2970">
      <c r="A2970" s="3" t="inlineStr">
        <is>
          <t>2939</t>
        </is>
      </c>
      <c r="B2970" s="4" t="s">
        <f>=HYPERLINK("http://anyluxury.ru/shop/odezhda/detskaya-odezhda/tolstovka-s-kapyushonom-snake-ii-svetloseriy-melanzh-761116/" , "7611.16 Толстовка с капюшоном SNAKE II светло-серый меланж, размер 3XL")</f>
      </c>
      <c r="C2970" s="4" t="n">
        <v>2922.00</v>
      </c>
      <c r="D2970" s="4"/>
    </row>
    <row collapsed="" customFormat="false" customHeight="1" hidden="" ht="14" outlineLevel="0" r="2971">
      <c r="A2971" s="3" t="inlineStr">
        <is>
          <t>2940</t>
        </is>
      </c>
      <c r="B2971" s="4" t="s">
        <f>=HYPERLINK("http://anyluxury.ru/shop/odezhda/detskaya-odezhda/tolstovka-s-kapyushonom-snake-ii-chernaya-761130/" , "7611.30 Толстовка с капюшоном SNAKE II черная, размер XS")</f>
      </c>
      <c r="C2971" s="4" t="n">
        <v>2466.00</v>
      </c>
      <c r="D2971" s="4"/>
    </row>
    <row collapsed="" customFormat="false" customHeight="1" hidden="" ht="14" outlineLevel="0" r="2972">
      <c r="A2972" s="3" t="inlineStr">
        <is>
          <t>2941</t>
        </is>
      </c>
      <c r="B2972" s="4" t="s">
        <f>=HYPERLINK("http://anyluxury.ru/shop/odezhda/detskaya-odezhda/tolstovka-s-kapyushonom-snake-ii-chernaya-761130/" , "7611.30 Толстовка с капюшоном SNAKE II черная, размер S")</f>
      </c>
      <c r="C2972" s="4" t="n">
        <v>2466.00</v>
      </c>
      <c r="D2972" s="4"/>
    </row>
    <row collapsed="" customFormat="false" customHeight="1" hidden="" ht="14" outlineLevel="0" r="2973">
      <c r="A2973" s="3" t="inlineStr">
        <is>
          <t>2942</t>
        </is>
      </c>
      <c r="B2973" s="4" t="s">
        <f>=HYPERLINK("http://anyluxury.ru/shop/odezhda/detskaya-odezhda/tolstovka-s-kapyushonom-snake-ii-chernaya-761130/" , "7611.30 Толстовка с капюшоном SNAKE II черная, размер M")</f>
      </c>
      <c r="C2973" s="4" t="n">
        <v>2466.00</v>
      </c>
      <c r="D2973" s="4"/>
    </row>
    <row collapsed="" customFormat="false" customHeight="1" hidden="" ht="14" outlineLevel="0" r="2974">
      <c r="A2974" s="3" t="inlineStr">
        <is>
          <t>2943</t>
        </is>
      </c>
      <c r="B2974" s="4" t="s">
        <f>=HYPERLINK("http://anyluxury.ru/shop/odezhda/detskaya-odezhda/tolstovka-s-kapyushonom-snake-ii-chernaya-761130/" , "7611.30 Толстовка с капюшоном SNAKE II черная, размер L")</f>
      </c>
      <c r="C2974" s="4" t="n">
        <v>2466.00</v>
      </c>
      <c r="D2974" s="4"/>
    </row>
    <row collapsed="" customFormat="false" customHeight="1" hidden="" ht="14" outlineLevel="0" r="2975">
      <c r="A2975" s="3" t="inlineStr">
        <is>
          <t>2944</t>
        </is>
      </c>
      <c r="B2975" s="4" t="s">
        <f>=HYPERLINK("http://anyluxury.ru/shop/odezhda/detskaya-odezhda/tolstovka-s-kapyushonom-snake-ii-chernaya-761130/" , "7611.30 Толстовка с капюшоном SNAKE II черная, размер XL")</f>
      </c>
      <c r="C2975" s="4" t="n">
        <v>2466.00</v>
      </c>
      <c r="D2975" s="4"/>
    </row>
    <row collapsed="" customFormat="false" customHeight="1" hidden="" ht="14" outlineLevel="0" r="2976">
      <c r="A2976" s="3" t="inlineStr">
        <is>
          <t>2945</t>
        </is>
      </c>
      <c r="B2976" s="4" t="s">
        <f>=HYPERLINK("http://anyluxury.ru/shop/odezhda/detskaya-odezhda/tolstovka-s-kapyushonom-snake-ii-chernaya-761130/" , "7611.30 Толстовка с капюшоном SNAKE II черная, размер XXL")</f>
      </c>
      <c r="C2976" s="4" t="n">
        <v>2466.00</v>
      </c>
      <c r="D2976" s="4"/>
    </row>
    <row collapsed="" customFormat="false" customHeight="1" hidden="" ht="14" outlineLevel="0" r="2977">
      <c r="A2977" s="3" t="inlineStr">
        <is>
          <t>2946</t>
        </is>
      </c>
      <c r="B2977" s="4" t="s">
        <f>=HYPERLINK("http://anyluxury.ru/shop/odezhda/detskaya-odezhda/tolstovka-s-kapyushonom-snake-ii-chernaya-761130/" , "7611.30 Толстовка с капюшоном SNAKE II черная, размер 3XL")</f>
      </c>
      <c r="C2977" s="4" t="n">
        <v>2922.00</v>
      </c>
      <c r="D2977" s="4"/>
    </row>
    <row collapsed="" customFormat="false" customHeight="1" hidden="" ht="14" outlineLevel="0" r="2978">
      <c r="A2978" s="3" t="inlineStr">
        <is>
          <t>2947</t>
        </is>
      </c>
      <c r="B2978" s="4" t="s">
        <f>=HYPERLINK("http://anyluxury.ru/shop/odezhda/detskaya-odezhda/tolstovka-s-kapyushonom-snake-ii-chernaya-761130/" , "7611.30 Толстовка с капюшоном SNAKE II черная, размер 4XL")</f>
      </c>
      <c r="C2978" s="4" t="n">
        <v>3748.00</v>
      </c>
      <c r="D2978" s="4"/>
    </row>
    <row collapsed="" customFormat="false" customHeight="1" hidden="" ht="14" outlineLevel="0" r="2979">
      <c r="A2979" s="3" t="inlineStr">
        <is>
          <t>2948</t>
        </is>
      </c>
      <c r="B2979" s="4" t="s">
        <f>=HYPERLINK("http://anyluxury.ru/shop/odezhda/detskaya-odezhda/tolstovka-s-kapyushonom-snake-ii-bordovaya-761155/" , "7611.55 Толстовка с капюшоном SNAKE II бордовая, размер XS")</f>
      </c>
      <c r="C2979" s="4" t="n">
        <v>2466.00</v>
      </c>
      <c r="D2979" s="4"/>
    </row>
    <row collapsed="" customFormat="false" customHeight="1" hidden="" ht="14" outlineLevel="0" r="2980">
      <c r="A2980" s="3" t="inlineStr">
        <is>
          <t>2949</t>
        </is>
      </c>
      <c r="B2980" s="4" t="s">
        <f>=HYPERLINK("http://anyluxury.ru/shop/odezhda/detskaya-odezhda/tolstovka-s-kapyushonom-snake-ii-bordovaya-761155/" , "7611.55 Толстовка с капюшоном SNAKE II бордовая, размер S")</f>
      </c>
      <c r="C2980" s="4" t="n">
        <v>2466.00</v>
      </c>
      <c r="D2980" s="4"/>
    </row>
    <row collapsed="" customFormat="false" customHeight="1" hidden="" ht="14" outlineLevel="0" r="2981">
      <c r="A2981" s="3" t="inlineStr">
        <is>
          <t>2950</t>
        </is>
      </c>
      <c r="B2981" s="4" t="s">
        <f>=HYPERLINK("http://anyluxury.ru/shop/odezhda/detskaya-odezhda/tolstovka-s-kapyushonom-snake-ii-bordovaya-761155/" , "7611.55 Толстовка с капюшоном SNAKE II бордовая, размер M")</f>
      </c>
      <c r="C2981" s="4" t="n">
        <v>2466.00</v>
      </c>
      <c r="D2981" s="4"/>
    </row>
    <row collapsed="" customFormat="false" customHeight="1" hidden="" ht="14" outlineLevel="0" r="2982">
      <c r="A2982" s="3" t="inlineStr">
        <is>
          <t>2951</t>
        </is>
      </c>
      <c r="B2982" s="4" t="s">
        <f>=HYPERLINK("http://anyluxury.ru/shop/odezhda/detskaya-odezhda/tolstovka-s-kapyushonom-snake-ii-bordovaya-761155/" , "7611.55 Толстовка с капюшоном SNAKE II бордовая, размер L")</f>
      </c>
      <c r="C2982" s="4" t="n">
        <v>2466.00</v>
      </c>
      <c r="D2982" s="4"/>
    </row>
    <row collapsed="" customFormat="false" customHeight="1" hidden="" ht="14" outlineLevel="0" r="2983">
      <c r="A2983" s="3" t="inlineStr">
        <is>
          <t>2952</t>
        </is>
      </c>
      <c r="B2983" s="4" t="s">
        <f>=HYPERLINK("http://anyluxury.ru/shop/odezhda/detskaya-odezhda/tolstovka-s-kapyushonom-snake-ii-bordovaya-761155/" , "7611.55 Толстовка с капюшоном SNAKE II бордовая, размер XL")</f>
      </c>
      <c r="C2983" s="4" t="n">
        <v>2466.00</v>
      </c>
      <c r="D2983" s="4"/>
    </row>
    <row collapsed="" customFormat="false" customHeight="1" hidden="" ht="14" outlineLevel="0" r="2984">
      <c r="A2984" s="3" t="inlineStr">
        <is>
          <t>2953</t>
        </is>
      </c>
      <c r="B2984" s="4" t="s">
        <f>=HYPERLINK("http://anyluxury.ru/shop/odezhda/detskaya-odezhda/tolstovka-s-kapyushonom-snake-ii-bordovaya-761155/" , "7611.55 Толстовка с капюшоном SNAKE II бордовая, размер XXL")</f>
      </c>
      <c r="C2984" s="4" t="n">
        <v>2466.00</v>
      </c>
      <c r="D2984" s="4"/>
    </row>
    <row collapsed="" customFormat="false" customHeight="1" hidden="" ht="14" outlineLevel="0" r="2985">
      <c r="A2985" s="3" t="inlineStr">
        <is>
          <t>2954</t>
        </is>
      </c>
      <c r="B2985" s="4" t="s">
        <f>=HYPERLINK("http://anyluxury.ru/shop/odezhda/detskaya-odezhda/tolstovka-s-kapyushonom-snake-ii-bordovaya-761155/" , "7611.55 Толстовка с капюшоном SNAKE II бордовая, размер 3XL")</f>
      </c>
      <c r="C2985" s="4" t="n">
        <v>2922.00</v>
      </c>
      <c r="D2985" s="4"/>
    </row>
    <row collapsed="" customFormat="false" customHeight="1" hidden="" ht="14" outlineLevel="0" r="2986">
      <c r="A2986" s="3" t="inlineStr">
        <is>
          <t>2955</t>
        </is>
      </c>
      <c r="B2986" s="4" t="s">
        <f>=HYPERLINK("http://anyluxury.ru/shop/odezhda/detskaya-odezhda/tolstovka-s-kapyushonom-snake-ii-cherniy-melanzh-761112/" , "7611.12 Толстовка с капюшоном SNAKE II черный меланж, размер XS")</f>
      </c>
      <c r="C2986" s="4" t="n">
        <v>2466.00</v>
      </c>
      <c r="D2986" s="4"/>
    </row>
    <row collapsed="" customFormat="false" customHeight="1" hidden="" ht="14" outlineLevel="0" r="2987">
      <c r="A2987" s="3" t="inlineStr">
        <is>
          <t>2956</t>
        </is>
      </c>
      <c r="B2987" s="4" t="s">
        <f>=HYPERLINK("http://anyluxury.ru/shop/odezhda/detskaya-odezhda/tolstovka-s-kapyushonom-snake-ii-cherniy-melanzh-761112/" , "7611.12 Толстовка с капюшоном SNAKE II черный меланж, размер S")</f>
      </c>
      <c r="C2987" s="4" t="n">
        <v>2466.00</v>
      </c>
      <c r="D2987" s="4"/>
    </row>
    <row collapsed="" customFormat="false" customHeight="1" hidden="" ht="14" outlineLevel="0" r="2988">
      <c r="A2988" s="3" t="inlineStr">
        <is>
          <t>2957</t>
        </is>
      </c>
      <c r="B2988" s="4" t="s">
        <f>=HYPERLINK("http://anyluxury.ru/shop/odezhda/detskaya-odezhda/tolstovka-s-kapyushonom-snake-ii-cherniy-melanzh-761112/" , "7611.12 Толстовка с капюшоном SNAKE II черный меланж, размер M")</f>
      </c>
      <c r="C2988" s="4" t="n">
        <v>2466.00</v>
      </c>
      <c r="D2988" s="4"/>
    </row>
    <row collapsed="" customFormat="false" customHeight="1" hidden="" ht="14" outlineLevel="0" r="2989">
      <c r="A2989" s="3" t="inlineStr">
        <is>
          <t>2958</t>
        </is>
      </c>
      <c r="B2989" s="4" t="s">
        <f>=HYPERLINK("http://anyluxury.ru/shop/odezhda/detskaya-odezhda/tolstovka-s-kapyushonom-snake-ii-cherniy-melanzh-761112/" , "7611.12 Толстовка с капюшоном SNAKE II черный меланж, размер L")</f>
      </c>
      <c r="C2989" s="4" t="n">
        <v>2466.00</v>
      </c>
      <c r="D2989" s="4"/>
    </row>
    <row collapsed="" customFormat="false" customHeight="1" hidden="" ht="14" outlineLevel="0" r="2990">
      <c r="A2990" s="3" t="inlineStr">
        <is>
          <t>2959</t>
        </is>
      </c>
      <c r="B2990" s="4" t="s">
        <f>=HYPERLINK("http://anyluxury.ru/shop/odezhda/detskaya-odezhda/tolstovka-s-kapyushonom-snake-ii-cherniy-melanzh-761112/" , "7611.12 Толстовка с капюшоном SNAKE II черный меланж, размер XL")</f>
      </c>
      <c r="C2990" s="4" t="n">
        <v>2466.00</v>
      </c>
      <c r="D2990" s="4"/>
    </row>
    <row collapsed="" customFormat="false" customHeight="1" hidden="" ht="14" outlineLevel="0" r="2991">
      <c r="A2991" s="3" t="inlineStr">
        <is>
          <t>2960</t>
        </is>
      </c>
      <c r="B2991" s="4" t="s">
        <f>=HYPERLINK("http://anyluxury.ru/shop/odezhda/detskaya-odezhda/tolstovka-s-kapyushonom-snake-ii-cherniy-melanzh-761112/" , "7611.12 Толстовка с капюшоном SNAKE II черный меланж, размер XXL")</f>
      </c>
      <c r="C2991" s="4" t="n">
        <v>2466.00</v>
      </c>
      <c r="D2991" s="4"/>
    </row>
    <row collapsed="" customFormat="false" customHeight="1" hidden="" ht="14" outlineLevel="0" r="2992">
      <c r="A2992" s="3" t="inlineStr">
        <is>
          <t>2961</t>
        </is>
      </c>
      <c r="B2992" s="4" t="s">
        <f>=HYPERLINK("http://anyluxury.ru/shop/odezhda/detskaya-odezhda/tolstovka-s-kapyushonom-snake-ii-cherniy-melanzh-761112/" , "7611.12 Толстовка с капюшоном SNAKE II черный меланж, размер 3XL")</f>
      </c>
      <c r="C2992" s="4" t="n">
        <v>2922.00</v>
      </c>
      <c r="D2992" s="4"/>
    </row>
    <row collapsed="" customFormat="false" customHeight="1" hidden="" ht="14" outlineLevel="0" r="2993">
      <c r="A2993" s="3" t="inlineStr">
        <is>
          <t>2962</t>
        </is>
      </c>
      <c r="B2993" s="4" t="s">
        <f>=HYPERLINK("http://anyluxury.ru/shop/odezhda/detskaya-odezhda/tolstovka-s-kapyushonom-snake-ii-temnoseraya-761110/" , "7611.10 Толстовка с капюшоном SNAKE II темно-серая, размер XS")</f>
      </c>
      <c r="C2993" s="4" t="n">
        <v>2466.00</v>
      </c>
      <c r="D2993" s="4"/>
    </row>
    <row collapsed="" customFormat="false" customHeight="1" hidden="" ht="14" outlineLevel="0" r="2994">
      <c r="A2994" s="3" t="inlineStr">
        <is>
          <t>2963</t>
        </is>
      </c>
      <c r="B2994" s="4" t="s">
        <f>=HYPERLINK("http://anyluxury.ru/shop/odezhda/detskaya-odezhda/tolstovka-s-kapyushonom-snake-ii-temnoseraya-761110/" , "7611.10 Толстовка с капюшоном SNAKE II темно-серая, размер S")</f>
      </c>
      <c r="C2994" s="4" t="n">
        <v>2466.00</v>
      </c>
      <c r="D2994" s="4"/>
    </row>
    <row collapsed="" customFormat="false" customHeight="1" hidden="" ht="14" outlineLevel="0" r="2995">
      <c r="A2995" s="3" t="inlineStr">
        <is>
          <t>2964</t>
        </is>
      </c>
      <c r="B2995" s="4" t="s">
        <f>=HYPERLINK("http://anyluxury.ru/shop/odezhda/detskaya-odezhda/tolstovka-s-kapyushonom-snake-ii-temnoseraya-761110/" , "7611.10 Толстовка с капюшоном SNAKE II темно-серая, размер M")</f>
      </c>
      <c r="C2995" s="4" t="n">
        <v>2466.00</v>
      </c>
      <c r="D2995" s="4"/>
    </row>
    <row collapsed="" customFormat="false" customHeight="1" hidden="" ht="14" outlineLevel="0" r="2996">
      <c r="A2996" s="3" t="inlineStr">
        <is>
          <t>2965</t>
        </is>
      </c>
      <c r="B2996" s="4" t="s">
        <f>=HYPERLINK("http://anyluxury.ru/shop/odezhda/detskaya-odezhda/tolstovka-s-kapyushonom-snake-ii-temnoseraya-761110/" , "7611.10 Толстовка с капюшоном SNAKE II темно-серая, размер L")</f>
      </c>
      <c r="C2996" s="4" t="n">
        <v>2466.00</v>
      </c>
      <c r="D2996" s="4"/>
    </row>
    <row collapsed="" customFormat="false" customHeight="1" hidden="" ht="14" outlineLevel="0" r="2997">
      <c r="A2997" s="3" t="inlineStr">
        <is>
          <t>2966</t>
        </is>
      </c>
      <c r="B2997" s="4" t="s">
        <f>=HYPERLINK("http://anyluxury.ru/shop/odezhda/detskaya-odezhda/tolstovka-s-kapyushonom-snake-ii-temnoseraya-761110/" , "7611.10 Толстовка с капюшоном SNAKE II темно-серая, размер XL")</f>
      </c>
      <c r="C2997" s="4" t="n">
        <v>2466.00</v>
      </c>
      <c r="D2997" s="4"/>
    </row>
    <row collapsed="" customFormat="false" customHeight="1" hidden="" ht="14" outlineLevel="0" r="2998">
      <c r="A2998" s="3" t="inlineStr">
        <is>
          <t>2967</t>
        </is>
      </c>
      <c r="B2998" s="4" t="s">
        <f>=HYPERLINK("http://anyluxury.ru/shop/odezhda/detskaya-odezhda/tolstovka-s-kapyushonom-snake-ii-temnoseraya-761110/" , "7611.10 Толстовка с капюшоном SNAKE II темно-серая, размер XXL")</f>
      </c>
      <c r="C2998" s="4" t="n">
        <v>2466.00</v>
      </c>
      <c r="D2998" s="4"/>
    </row>
    <row collapsed="" customFormat="false" customHeight="1" hidden="" ht="14" outlineLevel="0" r="2999">
      <c r="A2999" s="3" t="inlineStr">
        <is>
          <t>2968</t>
        </is>
      </c>
      <c r="B2999" s="4" t="s">
        <f>=HYPERLINK("http://anyluxury.ru/shop/odezhda/detskaya-odezhda/tolstovka-s-kapyushonom-snake-ii-temnoseraya-761110/" , "7611.10 Толстовка с капюшоном SNAKE II темно-серая, размер 3XL")</f>
      </c>
      <c r="C2999" s="4" t="n">
        <v>2922.00</v>
      </c>
      <c r="D2999" s="4"/>
    </row>
    <row collapsed="" customFormat="false" customHeight="1" hidden="" ht="14" outlineLevel="0" r="3000">
      <c r="A3000" s="3" t="inlineStr">
        <is>
          <t>2969</t>
        </is>
      </c>
      <c r="B3000" s="4" t="s">
        <f>=HYPERLINK("http://anyluxury.ru/shop/odezhda/detskaya-odezhda/tolstovka-s-kapyushonom-snake-ii-temnoseraya-761110/" , "7611.10 Толстовка с капюшоном SNAKE II темно-серая, размер 4XL")</f>
      </c>
      <c r="C3000" s="4" t="n">
        <v>3748.00</v>
      </c>
      <c r="D3000" s="4"/>
    </row>
    <row collapsed="" customFormat="false" customHeight="1" hidden="" ht="14" outlineLevel="0" r="3001">
      <c r="A3001" s="3" t="inlineStr">
        <is>
          <t>2970</t>
        </is>
      </c>
      <c r="B3001" s="4" t="s">
        <f>=HYPERLINK("http://anyluxury.ru/shop/odezhda/detskaya-odezhda/tolstovka-s-kapyushonom-snake-ii-temnofioletovaya-761178/" , "7611.78 Толстовка с капюшоном SNAKE II темно-фиолетовая, размер XS")</f>
      </c>
      <c r="C3001" s="4" t="n">
        <v>2466.00</v>
      </c>
      <c r="D3001" s="4"/>
    </row>
    <row collapsed="" customFormat="false" customHeight="1" hidden="" ht="14" outlineLevel="0" r="3002">
      <c r="A3002" s="3" t="inlineStr">
        <is>
          <t>2971</t>
        </is>
      </c>
      <c r="B3002" s="4" t="s">
        <f>=HYPERLINK("http://anyluxury.ru/shop/odezhda/detskaya-odezhda/tolstovka-s-kapyushonom-snake-ii-temnofioletovaya-761178/" , "7611.78 Толстовка с капюшоном SNAKE II темно-фиолетовая, размер S")</f>
      </c>
      <c r="C3002" s="4" t="n">
        <v>2466.00</v>
      </c>
      <c r="D3002" s="4"/>
    </row>
    <row collapsed="" customFormat="false" customHeight="1" hidden="" ht="14" outlineLevel="0" r="3003">
      <c r="A3003" s="3" t="inlineStr">
        <is>
          <t>2972</t>
        </is>
      </c>
      <c r="B3003" s="4" t="s">
        <f>=HYPERLINK("http://anyluxury.ru/shop/odezhda/detskaya-odezhda/tolstovka-s-kapyushonom-snake-ii-temnofioletovaya-761178/" , "7611.78 Толстовка с капюшоном SNAKE II темно-фиолетовая, размер M")</f>
      </c>
      <c r="C3003" s="4" t="n">
        <v>2466.00</v>
      </c>
      <c r="D3003" s="4"/>
    </row>
    <row collapsed="" customFormat="false" customHeight="1" hidden="" ht="14" outlineLevel="0" r="3004">
      <c r="A3004" s="3" t="inlineStr">
        <is>
          <t>2973</t>
        </is>
      </c>
      <c r="B3004" s="4" t="s">
        <f>=HYPERLINK("http://anyluxury.ru/shop/odezhda/detskaya-odezhda/tolstovka-s-kapyushonom-snake-ii-temnofioletovaya-761178/" , "7611.78 Толстовка с капюшоном SNAKE II темно-фиолетовая, размер L")</f>
      </c>
      <c r="C3004" s="4" t="n">
        <v>2466.00</v>
      </c>
      <c r="D3004" s="4"/>
    </row>
    <row collapsed="" customFormat="false" customHeight="1" hidden="" ht="14" outlineLevel="0" r="3005">
      <c r="A3005" s="3" t="inlineStr">
        <is>
          <t>2974</t>
        </is>
      </c>
      <c r="B3005" s="4" t="s">
        <f>=HYPERLINK("http://anyluxury.ru/shop/odezhda/detskaya-odezhda/tolstovka-s-kapyushonom-snake-ii-temnofioletovaya-761178/" , "7611.78 Толстовка с капюшоном SNAKE II темно-фиолетовая, размер XL")</f>
      </c>
      <c r="C3005" s="4" t="n">
        <v>2466.00</v>
      </c>
      <c r="D3005" s="4"/>
    </row>
    <row collapsed="" customFormat="false" customHeight="1" hidden="" ht="14" outlineLevel="0" r="3006">
      <c r="A3006" s="3" t="inlineStr">
        <is>
          <t>2975</t>
        </is>
      </c>
      <c r="B3006" s="4" t="s">
        <f>=HYPERLINK("http://anyluxury.ru/shop/odezhda/detskaya-odezhda/tolstovka-s-kapyushonom-snake-ii-temnofioletovaya-761178/" , "7611.78 Толстовка с капюшоном SNAKE II темно-фиолетовая, размер XXL")</f>
      </c>
      <c r="C3006" s="4" t="n">
        <v>2466.00</v>
      </c>
      <c r="D3006" s="4"/>
    </row>
    <row collapsed="" customFormat="false" customHeight="1" hidden="" ht="14" outlineLevel="0" r="3007">
      <c r="A3007" s="3" t="inlineStr">
        <is>
          <t>2976</t>
        </is>
      </c>
      <c r="B3007" s="4" t="s">
        <f>=HYPERLINK("http://anyluxury.ru/shop/odezhda/detskaya-odezhda/tolstovka-s-kapyushonom-snake-ii-temnofioletovaya-761178/" , "7611.78 Толстовка с капюшоном SNAKE II темно-фиолетовая, размер 3XL")</f>
      </c>
      <c r="C3007" s="4" t="n">
        <v>2922.00</v>
      </c>
      <c r="D3007" s="4"/>
    </row>
    <row collapsed="" customFormat="false" customHeight="1" hidden="" ht="14" outlineLevel="0" r="3008">
      <c r="A3008" s="3" t="inlineStr">
        <is>
          <t>2977</t>
        </is>
      </c>
      <c r="B3008" s="4" t="s">
        <f>=HYPERLINK("http://anyluxury.ru/shop/odezhda/detskaya-odezhda/tolstovka-s-kapyushonom-snake-ii-temnosinyaya-761140/" , "7611.40 Толстовка с капюшоном SNAKE II темно-синяя, размер XS")</f>
      </c>
      <c r="C3008" s="4" t="n">
        <v>2466.00</v>
      </c>
      <c r="D3008" s="4"/>
    </row>
    <row collapsed="" customFormat="false" customHeight="1" hidden="" ht="14" outlineLevel="0" r="3009">
      <c r="A3009" s="3" t="inlineStr">
        <is>
          <t>2978</t>
        </is>
      </c>
      <c r="B3009" s="4" t="s">
        <f>=HYPERLINK("http://anyluxury.ru/shop/odezhda/detskaya-odezhda/tolstovka-s-kapyushonom-snake-ii-temnosinyaya-761140/" , "7611.40 Толстовка с капюшоном SNAKE II темно-синяя, размер S")</f>
      </c>
      <c r="C3009" s="4" t="n">
        <v>2466.00</v>
      </c>
      <c r="D3009" s="4"/>
    </row>
    <row collapsed="" customFormat="false" customHeight="1" hidden="" ht="14" outlineLevel="0" r="3010">
      <c r="A3010" s="3" t="inlineStr">
        <is>
          <t>2979</t>
        </is>
      </c>
      <c r="B3010" s="4" t="s">
        <f>=HYPERLINK("http://anyluxury.ru/shop/odezhda/detskaya-odezhda/tolstovka-s-kapyushonom-snake-ii-temnosinyaya-761140/" , "7611.40 Толстовка с капюшоном SNAKE II темно-синяя, размер M")</f>
      </c>
      <c r="C3010" s="4" t="n">
        <v>2466.00</v>
      </c>
      <c r="D3010" s="4"/>
    </row>
    <row collapsed="" customFormat="false" customHeight="1" hidden="" ht="14" outlineLevel="0" r="3011">
      <c r="A3011" s="3" t="inlineStr">
        <is>
          <t>2980</t>
        </is>
      </c>
      <c r="B3011" s="4" t="s">
        <f>=HYPERLINK("http://anyluxury.ru/shop/odezhda/detskaya-odezhda/tolstovka-s-kapyushonom-snake-ii-temnosinyaya-761140/" , "7611.40 Толстовка с капюшоном SNAKE II темно-синяя, размер L")</f>
      </c>
      <c r="C3011" s="4" t="n">
        <v>2466.00</v>
      </c>
      <c r="D3011" s="4"/>
    </row>
    <row collapsed="" customFormat="false" customHeight="1" hidden="" ht="14" outlineLevel="0" r="3012">
      <c r="A3012" s="3" t="inlineStr">
        <is>
          <t>2981</t>
        </is>
      </c>
      <c r="B3012" s="4" t="s">
        <f>=HYPERLINK("http://anyluxury.ru/shop/odezhda/detskaya-odezhda/tolstovka-s-kapyushonom-snake-ii-temnosinyaya-761140/" , "7611.40 Толстовка с капюшоном SNAKE II темно-синяя, размер XL")</f>
      </c>
      <c r="C3012" s="4" t="n">
        <v>2466.00</v>
      </c>
      <c r="D3012" s="4"/>
    </row>
    <row collapsed="" customFormat="false" customHeight="1" hidden="" ht="14" outlineLevel="0" r="3013">
      <c r="A3013" s="3" t="inlineStr">
        <is>
          <t>2982</t>
        </is>
      </c>
      <c r="B3013" s="4" t="s">
        <f>=HYPERLINK("http://anyluxury.ru/shop/odezhda/detskaya-odezhda/tolstovka-s-kapyushonom-snake-ii-temnosinyaya-761140/" , "7611.40 Толстовка с капюшоном SNAKE II темно-синяя, размер XXL")</f>
      </c>
      <c r="C3013" s="4" t="n">
        <v>2466.00</v>
      </c>
      <c r="D3013" s="4"/>
    </row>
    <row collapsed="" customFormat="false" customHeight="1" hidden="" ht="14" outlineLevel="0" r="3014">
      <c r="A3014" s="3" t="inlineStr">
        <is>
          <t>2983</t>
        </is>
      </c>
      <c r="B3014" s="4" t="s">
        <f>=HYPERLINK("http://anyluxury.ru/shop/odezhda/detskaya-odezhda/tolstovka-s-kapyushonom-snake-ii-temnosinyaya-761140/" , "7611.40 Толстовка с капюшоном SNAKE II темно-синяя, размер 3XL")</f>
      </c>
      <c r="C3014" s="4" t="n">
        <v>2922.00</v>
      </c>
      <c r="D3014" s="4"/>
    </row>
    <row collapsed="" customFormat="false" customHeight="1" hidden="" ht="14" outlineLevel="0" r="3015">
      <c r="A3015" s="3" t="inlineStr">
        <is>
          <t>2984</t>
        </is>
      </c>
      <c r="B3015" s="4" t="s">
        <f>=HYPERLINK("http://anyluxury.ru/shop/odezhda/detskaya-odezhda/tolstovka-s-kapyushonom-snake-ii-temnosinyaya-761140/" , "7611.40 Толстовка с капюшоном SNAKE II темно-синяя, размер 4XL")</f>
      </c>
      <c r="C3015" s="4" t="n">
        <v>3748.00</v>
      </c>
      <c r="D3015" s="4"/>
    </row>
    <row collapsed="" customFormat="false" customHeight="1" hidden="" ht="14" outlineLevel="0" r="3016">
      <c r="A3016" s="3" t="inlineStr">
        <is>
          <t>2985</t>
        </is>
      </c>
      <c r="B3016" s="4" t="s">
        <f>=HYPERLINK("http://anyluxury.ru/shop/odezhda/detskaya-odezhda/tolstovka-s-kapyushonom-snake-ii-yarkorozovaya-fuksiya-761157/" , "7611.57 Толстовка с капюшоном SNAKE II ярко-розовая (фуксия), размер XS")</f>
      </c>
      <c r="C3016" s="4" t="n">
        <v>2466.00</v>
      </c>
      <c r="D3016" s="4"/>
    </row>
    <row collapsed="" customFormat="false" customHeight="1" hidden="" ht="14" outlineLevel="0" r="3017">
      <c r="A3017" s="3" t="inlineStr">
        <is>
          <t>2986</t>
        </is>
      </c>
      <c r="B3017" s="4" t="s">
        <f>=HYPERLINK("http://anyluxury.ru/shop/odezhda/detskaya-odezhda/tolstovka-s-kapyushonom-snake-ii-yarkorozovaya-fuksiya-761157/" , "7611.57 Толстовка с капюшоном SNAKE II ярко-розовая (фуксия), размер S")</f>
      </c>
      <c r="C3017" s="4" t="n">
        <v>2466.00</v>
      </c>
      <c r="D3017" s="4"/>
    </row>
    <row collapsed="" customFormat="false" customHeight="1" hidden="" ht="14" outlineLevel="0" r="3018">
      <c r="A3018" s="3" t="inlineStr">
        <is>
          <t>2987</t>
        </is>
      </c>
      <c r="B3018" s="4" t="s">
        <f>=HYPERLINK("http://anyluxury.ru/shop/odezhda/detskaya-odezhda/tolstovka-s-kapyushonom-snake-ii-yarkorozovaya-fuksiya-761157/" , "7611.57 Толстовка с капюшоном SNAKE II ярко-розовая (фуксия), размер M")</f>
      </c>
      <c r="C3018" s="4" t="n">
        <v>2466.00</v>
      </c>
      <c r="D3018" s="4"/>
    </row>
    <row collapsed="" customFormat="false" customHeight="1" hidden="" ht="14" outlineLevel="0" r="3019">
      <c r="A3019" s="3" t="inlineStr">
        <is>
          <t>2988</t>
        </is>
      </c>
      <c r="B3019" s="4" t="s">
        <f>=HYPERLINK("http://anyluxury.ru/shop/odezhda/detskaya-odezhda/tolstovka-s-kapyushonom-snake-ii-yarkorozovaya-fuksiya-761157/" , "7611.57 Толстовка с капюшоном SNAKE II ярко-розовая (фуксия), размер L")</f>
      </c>
      <c r="C3019" s="4" t="n">
        <v>2466.00</v>
      </c>
      <c r="D3019" s="4"/>
    </row>
    <row collapsed="" customFormat="false" customHeight="1" hidden="" ht="14" outlineLevel="0" r="3020">
      <c r="A3020" s="3" t="inlineStr">
        <is>
          <t>2989</t>
        </is>
      </c>
      <c r="B3020" s="4" t="s">
        <f>=HYPERLINK("http://anyluxury.ru/shop/odezhda/detskaya-odezhda/tolstovka-s-kapyushonom-snake-ii-yarkorozovaya-fuksiya-761157/" , "7611.57 Толстовка с капюшоном SNAKE II ярко-розовая (фуксия), размер XL")</f>
      </c>
      <c r="C3020" s="4" t="n">
        <v>2466.00</v>
      </c>
      <c r="D3020" s="4"/>
    </row>
    <row collapsed="" customFormat="false" customHeight="1" hidden="" ht="14" outlineLevel="0" r="3021">
      <c r="A3021" s="3" t="inlineStr">
        <is>
          <t>2990</t>
        </is>
      </c>
      <c r="B3021" s="4" t="s">
        <f>=HYPERLINK("http://anyluxury.ru/shop/odezhda/detskaya-odezhda/tolstovka-s-kapyushonom-snake-ii-yarkorozovaya-fuksiya-761157/" , "7611.57 Толстовка с капюшоном SNAKE II ярко-розовая (фуксия), размер XXL")</f>
      </c>
      <c r="C3021" s="4" t="n">
        <v>2466.00</v>
      </c>
      <c r="D3021" s="4"/>
    </row>
    <row collapsed="" customFormat="false" customHeight="1" hidden="" ht="14" outlineLevel="0" r="3022">
      <c r="A3022" s="3" t="inlineStr">
        <is>
          <t>2991</t>
        </is>
      </c>
      <c r="B3022" s="4" t="s">
        <f>=HYPERLINK("http://anyluxury.ru/shop/odezhda/detskaya-odezhda/tolstovka-s-kapyushonom-snake-ii-yarkorozovaya-fuksiya-761157/" , "7611.57 Толстовка с капюшоном SNAKE II ярко-розовая (фуксия), размер 3XL")</f>
      </c>
      <c r="C3022" s="4" t="n">
        <v>2922.00</v>
      </c>
      <c r="D3022" s="4"/>
    </row>
    <row collapsed="" customFormat="false" customHeight="1" hidden="" ht="14" outlineLevel="0" r="3023">
      <c r="A3023" s="3" t="inlineStr">
        <is>
          <t>2992</t>
        </is>
      </c>
      <c r="B3023" s="4" t="s">
        <f>=HYPERLINK("http://anyluxury.ru/shop/odezhda/detskaya-odezhda/tolstovka-s-kapyushonom-snake-ii-seriy-melanzh-761111/" , "7611.11 Толстовка с капюшоном SNAKE II серый меланж, размер XS")</f>
      </c>
      <c r="C3023" s="4" t="n">
        <v>2466.00</v>
      </c>
      <c r="D3023" s="4"/>
    </row>
    <row collapsed="" customFormat="false" customHeight="1" hidden="" ht="14" outlineLevel="0" r="3024">
      <c r="A3024" s="3" t="inlineStr">
        <is>
          <t>2993</t>
        </is>
      </c>
      <c r="B3024" s="4" t="s">
        <f>=HYPERLINK("http://anyluxury.ru/shop/odezhda/detskaya-odezhda/tolstovka-s-kapyushonom-snake-ii-seriy-melanzh-761111/" , "7611.11 Толстовка с капюшоном SNAKE II серый меланж, размер S")</f>
      </c>
      <c r="C3024" s="4" t="n">
        <v>2466.00</v>
      </c>
      <c r="D3024" s="4"/>
    </row>
    <row collapsed="" customFormat="false" customHeight="1" hidden="" ht="14" outlineLevel="0" r="3025">
      <c r="A3025" s="3" t="inlineStr">
        <is>
          <t>2994</t>
        </is>
      </c>
      <c r="B3025" s="4" t="s">
        <f>=HYPERLINK("http://anyluxury.ru/shop/odezhda/detskaya-odezhda/tolstovka-s-kapyushonom-snake-ii-seriy-melanzh-761111/" , "7611.11 Толстовка с капюшоном SNAKE II серый меланж, размер M")</f>
      </c>
      <c r="C3025" s="4" t="n">
        <v>2466.00</v>
      </c>
      <c r="D3025" s="4"/>
    </row>
    <row collapsed="" customFormat="false" customHeight="1" hidden="" ht="14" outlineLevel="0" r="3026">
      <c r="A3026" s="3" t="inlineStr">
        <is>
          <t>2995</t>
        </is>
      </c>
      <c r="B3026" s="4" t="s">
        <f>=HYPERLINK("http://anyluxury.ru/shop/odezhda/detskaya-odezhda/tolstovka-s-kapyushonom-snake-ii-seriy-melanzh-761111/" , "7611.11 Толстовка с капюшоном SNAKE II серый меланж, размер L")</f>
      </c>
      <c r="C3026" s="4" t="n">
        <v>2466.00</v>
      </c>
      <c r="D3026" s="4"/>
    </row>
    <row collapsed="" customFormat="false" customHeight="1" hidden="" ht="14" outlineLevel="0" r="3027">
      <c r="A3027" s="3" t="inlineStr">
        <is>
          <t>2996</t>
        </is>
      </c>
      <c r="B3027" s="4" t="s">
        <f>=HYPERLINK("http://anyluxury.ru/shop/odezhda/detskaya-odezhda/tolstovka-s-kapyushonom-snake-ii-seriy-melanzh-761111/" , "7611.11 Толстовка с капюшоном SNAKE II серый меланж, размер XL")</f>
      </c>
      <c r="C3027" s="4" t="n">
        <v>2466.00</v>
      </c>
      <c r="D3027" s="4"/>
    </row>
    <row collapsed="" customFormat="false" customHeight="1" hidden="" ht="14" outlineLevel="0" r="3028">
      <c r="A3028" s="3" t="inlineStr">
        <is>
          <t>2997</t>
        </is>
      </c>
      <c r="B3028" s="4" t="s">
        <f>=HYPERLINK("http://anyluxury.ru/shop/odezhda/detskaya-odezhda/tolstovka-s-kapyushonom-snake-ii-seriy-melanzh-761111/" , "7611.11 Толстовка с капюшоном SNAKE II серый меланж, размер XXL")</f>
      </c>
      <c r="C3028" s="4" t="n">
        <v>2466.00</v>
      </c>
      <c r="D3028" s="4"/>
    </row>
    <row collapsed="" customFormat="false" customHeight="1" hidden="" ht="14" outlineLevel="0" r="3029">
      <c r="A3029" s="3" t="inlineStr">
        <is>
          <t>2998</t>
        </is>
      </c>
      <c r="B3029" s="4" t="s">
        <f>=HYPERLINK("http://anyluxury.ru/shop/odezhda/detskaya-odezhda/tolstovka-s-kapyushonom-snake-ii-seriy-melanzh-761111/" , "7611.11 Толстовка с капюшоном SNAKE II серый меланж, размер 3XL")</f>
      </c>
      <c r="C3029" s="4" t="n">
        <v>2922.00</v>
      </c>
      <c r="D3029" s="4"/>
    </row>
    <row collapsed="" customFormat="false" customHeight="1" hidden="" ht="14" outlineLevel="0" r="3030">
      <c r="A3030" s="3" t="inlineStr">
        <is>
          <t>2999</t>
        </is>
      </c>
      <c r="B3030" s="4" t="s">
        <f>=HYPERLINK("http://anyluxury.ru/shop/odezhda/detskaya-odezhda/tolstovka-s-kapyushonom-snake-ii-seriy-melanzh-761111/" , "7611.11 Толстовка с капюшоном SNAKE II серый меланж, размер 4XL")</f>
      </c>
      <c r="C3030" s="4" t="n">
        <v>3748.00</v>
      </c>
      <c r="D3030" s="4"/>
    </row>
    <row collapsed="" customFormat="false" customHeight="1" hidden="" ht="14" outlineLevel="0" r="3031">
      <c r="A3031" s="3" t="inlineStr">
        <is>
          <t>3000</t>
        </is>
      </c>
      <c r="B3031" s="4" t="s">
        <f>=HYPERLINK("http://anyluxury.ru/shop/odezhda/detskaya-odezhda/tolstovka-s-kapyushonom-snake-ii-oranzhevaya-761120/" , "7611.20 Толстовка с капюшоном SNAKE II оранжевая, размер XS")</f>
      </c>
      <c r="C3031" s="4" t="n">
        <v>2466.00</v>
      </c>
      <c r="D3031" s="4"/>
    </row>
    <row collapsed="" customFormat="false" customHeight="1" hidden="" ht="14" outlineLevel="0" r="3032">
      <c r="A3032" s="3" t="inlineStr">
        <is>
          <t>3001</t>
        </is>
      </c>
      <c r="B3032" s="4" t="s">
        <f>=HYPERLINK("http://anyluxury.ru/shop/odezhda/detskaya-odezhda/tolstovka-s-kapyushonom-snake-ii-oranzhevaya-761120/" , "7611.20 Толстовка с капюшоном SNAKE II оранжевая, размер S")</f>
      </c>
      <c r="C3032" s="4" t="n">
        <v>2466.00</v>
      </c>
      <c r="D3032" s="4"/>
    </row>
    <row collapsed="" customFormat="false" customHeight="1" hidden="" ht="14" outlineLevel="0" r="3033">
      <c r="A3033" s="3" t="inlineStr">
        <is>
          <t>3002</t>
        </is>
      </c>
      <c r="B3033" s="4" t="s">
        <f>=HYPERLINK("http://anyluxury.ru/shop/odezhda/detskaya-odezhda/tolstovka-s-kapyushonom-snake-ii-oranzhevaya-761120/" , "7611.20 Толстовка с капюшоном SNAKE II оранжевая, размер M")</f>
      </c>
      <c r="C3033" s="4" t="n">
        <v>2466.00</v>
      </c>
      <c r="D3033" s="4"/>
    </row>
    <row collapsed="" customFormat="false" customHeight="1" hidden="" ht="14" outlineLevel="0" r="3034">
      <c r="A3034" s="3" t="inlineStr">
        <is>
          <t>3003</t>
        </is>
      </c>
      <c r="B3034" s="4" t="s">
        <f>=HYPERLINK("http://anyluxury.ru/shop/odezhda/detskaya-odezhda/tolstovka-s-kapyushonom-snake-ii-oranzhevaya-761120/" , "7611.20 Толстовка с капюшоном SNAKE II оранжевая, размер L")</f>
      </c>
      <c r="C3034" s="4" t="n">
        <v>2466.00</v>
      </c>
      <c r="D3034" s="4"/>
    </row>
    <row collapsed="" customFormat="false" customHeight="1" hidden="" ht="14" outlineLevel="0" r="3035">
      <c r="A3035" s="3" t="inlineStr">
        <is>
          <t>3004</t>
        </is>
      </c>
      <c r="B3035" s="4" t="s">
        <f>=HYPERLINK("http://anyluxury.ru/shop/odezhda/detskaya-odezhda/tolstovka-s-kapyushonom-snake-ii-oranzhevaya-761120/" , "7611.20 Толстовка с капюшоном SNAKE II оранжевая, размер XL")</f>
      </c>
      <c r="C3035" s="4" t="n">
        <v>2466.00</v>
      </c>
      <c r="D3035" s="4"/>
    </row>
    <row collapsed="" customFormat="false" customHeight="1" hidden="" ht="14" outlineLevel="0" r="3036">
      <c r="A3036" s="3" t="inlineStr">
        <is>
          <t>3005</t>
        </is>
      </c>
      <c r="B3036" s="4" t="s">
        <f>=HYPERLINK("http://anyluxury.ru/shop/odezhda/detskaya-odezhda/tolstovka-s-kapyushonom-snake-ii-oranzhevaya-761120/" , "7611.20 Толстовка с капюшоном SNAKE II оранжевая, размер XXL")</f>
      </c>
      <c r="C3036" s="4" t="n">
        <v>2466.00</v>
      </c>
      <c r="D3036" s="4"/>
    </row>
    <row collapsed="" customFormat="false" customHeight="1" hidden="" ht="14" outlineLevel="0" r="3037">
      <c r="A3037" s="3" t="inlineStr">
        <is>
          <t>3006</t>
        </is>
      </c>
      <c r="B3037" s="4" t="s">
        <f>=HYPERLINK("http://anyluxury.ru/shop/odezhda/detskaya-odezhda/tolstovka-s-kapyushonom-snake-ii-krasnaya-761150/" , "7611.50 Толстовка с капюшоном SNAKE II красная, размер XS")</f>
      </c>
      <c r="C3037" s="4" t="n">
        <v>2466.00</v>
      </c>
      <c r="D3037" s="4"/>
    </row>
    <row collapsed="" customFormat="false" customHeight="1" hidden="" ht="14" outlineLevel="0" r="3038">
      <c r="A3038" s="3" t="inlineStr">
        <is>
          <t>3007</t>
        </is>
      </c>
      <c r="B3038" s="4" t="s">
        <f>=HYPERLINK("http://anyluxury.ru/shop/odezhda/detskaya-odezhda/tolstovka-s-kapyushonom-snake-ii-krasnaya-761150/" , "7611.50 Толстовка с капюшоном SNAKE II красная, размер S")</f>
      </c>
      <c r="C3038" s="4" t="n">
        <v>2466.00</v>
      </c>
      <c r="D3038" s="4"/>
    </row>
    <row collapsed="" customFormat="false" customHeight="1" hidden="" ht="14" outlineLevel="0" r="3039">
      <c r="A3039" s="3" t="inlineStr">
        <is>
          <t>3008</t>
        </is>
      </c>
      <c r="B3039" s="4" t="s">
        <f>=HYPERLINK("http://anyluxury.ru/shop/odezhda/detskaya-odezhda/tolstovka-s-kapyushonom-snake-ii-krasnaya-761150/" , "7611.50 Толстовка с капюшоном SNAKE II красная, размер M")</f>
      </c>
      <c r="C3039" s="4" t="n">
        <v>2466.00</v>
      </c>
      <c r="D3039" s="4"/>
    </row>
    <row collapsed="" customFormat="false" customHeight="1" hidden="" ht="14" outlineLevel="0" r="3040">
      <c r="A3040" s="3" t="inlineStr">
        <is>
          <t>3009</t>
        </is>
      </c>
      <c r="B3040" s="4" t="s">
        <f>=HYPERLINK("http://anyluxury.ru/shop/odezhda/detskaya-odezhda/tolstovka-s-kapyushonom-snake-ii-krasnaya-761150/" , "7611.50 Толстовка с капюшоном SNAKE II красная, размер L")</f>
      </c>
      <c r="C3040" s="4" t="n">
        <v>2466.00</v>
      </c>
      <c r="D3040" s="4"/>
    </row>
    <row collapsed="" customFormat="false" customHeight="1" hidden="" ht="14" outlineLevel="0" r="3041">
      <c r="A3041" s="3" t="inlineStr">
        <is>
          <t>3010</t>
        </is>
      </c>
      <c r="B3041" s="4" t="s">
        <f>=HYPERLINK("http://anyluxury.ru/shop/odezhda/detskaya-odezhda/tolstovka-s-kapyushonom-snake-ii-krasnaya-761150/" , "7611.50 Толстовка с капюшоном SNAKE II красная, размер XL")</f>
      </c>
      <c r="C3041" s="4" t="n">
        <v>2466.00</v>
      </c>
      <c r="D3041" s="4"/>
    </row>
    <row collapsed="" customFormat="false" customHeight="1" hidden="" ht="14" outlineLevel="0" r="3042">
      <c r="A3042" s="3" t="inlineStr">
        <is>
          <t>3011</t>
        </is>
      </c>
      <c r="B3042" s="4" t="s">
        <f>=HYPERLINK("http://anyluxury.ru/shop/odezhda/detskaya-odezhda/tolstovka-s-kapyushonom-snake-ii-krasnaya-761150/" , "7611.50 Толстовка с капюшоном SNAKE II красная, размер XXL")</f>
      </c>
      <c r="C3042" s="4" t="n">
        <v>2466.00</v>
      </c>
      <c r="D3042" s="4"/>
    </row>
    <row collapsed="" customFormat="false" customHeight="1" hidden="" ht="14" outlineLevel="0" r="3043">
      <c r="A3043" s="3" t="inlineStr">
        <is>
          <t>3012</t>
        </is>
      </c>
      <c r="B3043" s="4" t="s">
        <f>=HYPERLINK("http://anyluxury.ru/shop/odezhda/detskaya-odezhda/tolstovka-s-kapyushonom-snake-ii-krasnaya-761150/" , "7611.50 Толстовка с капюшоном SNAKE II красная, размер 3XL")</f>
      </c>
      <c r="C3043" s="4" t="n">
        <v>2922.00</v>
      </c>
      <c r="D3043" s="4"/>
    </row>
    <row collapsed="" customFormat="false" customHeight="1" hidden="" ht="14" outlineLevel="0" r="3044">
      <c r="A3044" s="3" t="inlineStr">
        <is>
          <t>3013</t>
        </is>
      </c>
      <c r="B3044" s="4" t="s">
        <f>=HYPERLINK("http://anyluxury.ru/shop/odezhda/detskaya-odezhda/tolstovka-s-kapyushonom-snake-ii-krasnaya-761150/" , "7611.50 Толстовка с капюшоном SNAKE II красная, размер 4XL")</f>
      </c>
      <c r="C3044" s="4" t="n">
        <v>3748.00</v>
      </c>
      <c r="D3044" s="4"/>
    </row>
    <row collapsed="" customFormat="false" customHeight="1" hidden="" ht="14" outlineLevel="0" r="3045">
      <c r="A3045" s="3" t="inlineStr">
        <is>
          <t>3014</t>
        </is>
      </c>
      <c r="B3045" s="4" t="s">
        <f>=HYPERLINK("http://anyluxury.ru/shop/odezhda/detskaya-odezhda/tolstovka-s-kapyushonom-snake-ii-yarkosinyaya-761144/" , "7611.44 Толстовка с капюшоном SNAKE II ярко-синяя, размер XS")</f>
      </c>
      <c r="C3045" s="4" t="n">
        <v>2466.00</v>
      </c>
      <c r="D3045" s="4"/>
    </row>
    <row collapsed="" customFormat="false" customHeight="1" hidden="" ht="14" outlineLevel="0" r="3046">
      <c r="A3046" s="3" t="inlineStr">
        <is>
          <t>3015</t>
        </is>
      </c>
      <c r="B3046" s="4" t="s">
        <f>=HYPERLINK("http://anyluxury.ru/shop/odezhda/detskaya-odezhda/tolstovka-s-kapyushonom-snake-ii-yarkosinyaya-761144/" , "7611.44 Толстовка с капюшоном SNAKE II ярко-синяя, размер S")</f>
      </c>
      <c r="C3046" s="4" t="n">
        <v>2466.00</v>
      </c>
      <c r="D3046" s="4"/>
    </row>
    <row collapsed="" customFormat="false" customHeight="1" hidden="" ht="14" outlineLevel="0" r="3047">
      <c r="A3047" s="3" t="inlineStr">
        <is>
          <t>3016</t>
        </is>
      </c>
      <c r="B3047" s="4" t="s">
        <f>=HYPERLINK("http://anyluxury.ru/shop/odezhda/detskaya-odezhda/tolstovka-s-kapyushonom-snake-ii-yarkosinyaya-761144/" , "7611.44 Толстовка с капюшоном SNAKE II ярко-синяя, размер M")</f>
      </c>
      <c r="C3047" s="4" t="n">
        <v>2466.00</v>
      </c>
      <c r="D3047" s="4"/>
    </row>
    <row collapsed="" customFormat="false" customHeight="1" hidden="" ht="14" outlineLevel="0" r="3048">
      <c r="A3048" s="3" t="inlineStr">
        <is>
          <t>3017</t>
        </is>
      </c>
      <c r="B3048" s="4" t="s">
        <f>=HYPERLINK("http://anyluxury.ru/shop/odezhda/detskaya-odezhda/tolstovka-s-kapyushonom-snake-ii-yarkosinyaya-761144/" , "7611.44 Толстовка с капюшоном SNAKE II ярко-синяя, размер L")</f>
      </c>
      <c r="C3048" s="4" t="n">
        <v>2466.00</v>
      </c>
      <c r="D3048" s="4"/>
    </row>
    <row collapsed="" customFormat="false" customHeight="1" hidden="" ht="14" outlineLevel="0" r="3049">
      <c r="A3049" s="3" t="inlineStr">
        <is>
          <t>3018</t>
        </is>
      </c>
      <c r="B3049" s="4" t="s">
        <f>=HYPERLINK("http://anyluxury.ru/shop/odezhda/detskaya-odezhda/tolstovka-s-kapyushonom-snake-ii-yarkosinyaya-761144/" , "7611.44 Толстовка с капюшоном SNAKE II ярко-синяя, размер XL")</f>
      </c>
      <c r="C3049" s="4" t="n">
        <v>2466.00</v>
      </c>
      <c r="D3049" s="4"/>
    </row>
    <row collapsed="" customFormat="false" customHeight="1" hidden="" ht="14" outlineLevel="0" r="3050">
      <c r="A3050" s="3" t="inlineStr">
        <is>
          <t>3019</t>
        </is>
      </c>
      <c r="B3050" s="4" t="s">
        <f>=HYPERLINK("http://anyluxury.ru/shop/odezhda/detskaya-odezhda/tolstovka-s-kapyushonom-snake-ii-yarkosinyaya-761144/" , "7611.44 Толстовка с капюшоном SNAKE II ярко-синяя, размер XXL")</f>
      </c>
      <c r="C3050" s="4" t="n">
        <v>2466.00</v>
      </c>
      <c r="D3050" s="4"/>
    </row>
    <row collapsed="" customFormat="false" customHeight="1" hidden="" ht="14" outlineLevel="0" r="3051">
      <c r="A3051" s="3" t="inlineStr">
        <is>
          <t>3020</t>
        </is>
      </c>
      <c r="B3051" s="4" t="s">
        <f>=HYPERLINK("http://anyluxury.ru/shop/odezhda/detskaya-odezhda/tolstovka-s-kapyushonom-snake-ii-yarkosinyaya-761144/" , "7611.44 Толстовка с капюшоном SNAKE II ярко-синяя, размер 3XL")</f>
      </c>
      <c r="C3051" s="4" t="n">
        <v>2922.00</v>
      </c>
      <c r="D3051" s="4"/>
    </row>
    <row collapsed="" customFormat="false" customHeight="1" hidden="" ht="14" outlineLevel="0" r="3052">
      <c r="A3052" s="3" t="inlineStr">
        <is>
          <t>3021</t>
        </is>
      </c>
      <c r="B3052" s="4" t="s">
        <f>=HYPERLINK("http://anyluxury.ru/shop/odezhda/detskaya-odezhda/tolstovka-s-kapyushonom-snake-ii-yarkosinyaya-761144/" , "7611.44 Толстовка с капюшоном SNAKE II ярко-синяя, размер 4XL")</f>
      </c>
      <c r="C3052" s="4" t="n">
        <v>3748.00</v>
      </c>
      <c r="D3052" s="4"/>
    </row>
    <row collapsed="" customFormat="false" customHeight="1" hidden="" ht="14" outlineLevel="0" r="3053">
      <c r="A3053" s="3" t="inlineStr">
        <is>
          <t>3022</t>
        </is>
      </c>
      <c r="B3053" s="4" t="s">
        <f>=HYPERLINK("http://anyluxury.ru/shop/odezhda/detskaya-odezhda/tolstovka-s-kapyushonom-snake-ii-belaya-761160/" , "7611.60 Толстовка с капюшоном SNAKE II белая, размер XS")</f>
      </c>
      <c r="C3053" s="4" t="n">
        <v>2466.00</v>
      </c>
      <c r="D3053" s="4"/>
    </row>
    <row collapsed="" customFormat="false" customHeight="1" hidden="" ht="14" outlineLevel="0" r="3054">
      <c r="A3054" s="3" t="inlineStr">
        <is>
          <t>3023</t>
        </is>
      </c>
      <c r="B3054" s="4" t="s">
        <f>=HYPERLINK("http://anyluxury.ru/shop/odezhda/detskaya-odezhda/tolstovka-s-kapyushonom-snake-ii-belaya-761160/" , "7611.60 Толстовка с капюшоном SNAKE II белая, размер S")</f>
      </c>
      <c r="C3054" s="4" t="n">
        <v>2466.00</v>
      </c>
      <c r="D3054" s="4"/>
    </row>
    <row collapsed="" customFormat="false" customHeight="1" hidden="" ht="14" outlineLevel="0" r="3055">
      <c r="A3055" s="3" t="inlineStr">
        <is>
          <t>3024</t>
        </is>
      </c>
      <c r="B3055" s="4" t="s">
        <f>=HYPERLINK("http://anyluxury.ru/shop/odezhda/detskaya-odezhda/tolstovka-s-kapyushonom-snake-ii-belaya-761160/" , "7611.60 Толстовка с капюшоном SNAKE II белая, размер M")</f>
      </c>
      <c r="C3055" s="4" t="n">
        <v>2466.00</v>
      </c>
      <c r="D3055" s="4"/>
    </row>
    <row collapsed="" customFormat="false" customHeight="1" hidden="" ht="14" outlineLevel="0" r="3056">
      <c r="A3056" s="3" t="inlineStr">
        <is>
          <t>3025</t>
        </is>
      </c>
      <c r="B3056" s="4" t="s">
        <f>=HYPERLINK("http://anyluxury.ru/shop/odezhda/detskaya-odezhda/tolstovka-s-kapyushonom-snake-ii-belaya-761160/" , "7611.60 Толстовка с капюшоном SNAKE II белая, размер L")</f>
      </c>
      <c r="C3056" s="4" t="n">
        <v>2466.00</v>
      </c>
      <c r="D3056" s="4"/>
    </row>
    <row collapsed="" customFormat="false" customHeight="1" hidden="" ht="14" outlineLevel="0" r="3057">
      <c r="A3057" s="3" t="inlineStr">
        <is>
          <t>3026</t>
        </is>
      </c>
      <c r="B3057" s="4" t="s">
        <f>=HYPERLINK("http://anyluxury.ru/shop/odezhda/detskaya-odezhda/tolstovka-s-kapyushonom-snake-ii-belaya-761160/" , "7611.60 Толстовка с капюшоном SNAKE II белая, размер XL")</f>
      </c>
      <c r="C3057" s="4" t="n">
        <v>2466.00</v>
      </c>
      <c r="D3057" s="4"/>
    </row>
    <row collapsed="" customFormat="false" customHeight="1" hidden="" ht="14" outlineLevel="0" r="3058">
      <c r="A3058" s="3" t="inlineStr">
        <is>
          <t>3027</t>
        </is>
      </c>
      <c r="B3058" s="4" t="s">
        <f>=HYPERLINK("http://anyluxury.ru/shop/odezhda/detskaya-odezhda/tolstovka-s-kapyushonom-snake-ii-belaya-761160/" , "7611.60 Толстовка с капюшоном SNAKE II белая, размер XXL")</f>
      </c>
      <c r="C3058" s="4" t="n">
        <v>2466.00</v>
      </c>
      <c r="D3058" s="4"/>
    </row>
    <row collapsed="" customFormat="false" customHeight="1" hidden="" ht="14" outlineLevel="0" r="3059">
      <c r="A3059" s="3" t="inlineStr">
        <is>
          <t>3028</t>
        </is>
      </c>
      <c r="B3059" s="4" t="s">
        <f>=HYPERLINK("http://anyluxury.ru/shop/odezhda/detskaya-odezhda/tolstovka-s-kapyushonom-snake-ii-belaya-761160/" , "7611.60 Толстовка с капюшоном SNAKE II белая, размер 3XL")</f>
      </c>
      <c r="C3059" s="4" t="n">
        <v>2922.00</v>
      </c>
      <c r="D3059" s="4"/>
    </row>
    <row collapsed="" customFormat="false" customHeight="1" hidden="" ht="14" outlineLevel="0" r="3060">
      <c r="A3060" s="3" t="inlineStr">
        <is>
          <t>3029</t>
        </is>
      </c>
      <c r="B3060" s="4" t="s">
        <f>=HYPERLINK("http://anyluxury.ru/shop/odezhda/detskaya-odezhda/tolstovka-s-kapyushonom-snake-ii-yarkozelenaya-761190/" , "7611.90 Толстовка с капюшоном SNAKE II ярко-зеленая, размер XS")</f>
      </c>
      <c r="C3060" s="4" t="n">
        <v>2466.00</v>
      </c>
      <c r="D3060" s="4"/>
    </row>
    <row collapsed="" customFormat="false" customHeight="1" hidden="" ht="14" outlineLevel="0" r="3061">
      <c r="A3061" s="3" t="inlineStr">
        <is>
          <t>3030</t>
        </is>
      </c>
      <c r="B3061" s="4" t="s">
        <f>=HYPERLINK("http://anyluxury.ru/shop/odezhda/detskaya-odezhda/tolstovka-s-kapyushonom-snake-ii-yarkozelenaya-761190/" , "7611.90 Толстовка с капюшоном SNAKE II ярко-зеленая, размер S")</f>
      </c>
      <c r="C3061" s="4" t="n">
        <v>2466.00</v>
      </c>
      <c r="D3061" s="4"/>
    </row>
    <row collapsed="" customFormat="false" customHeight="1" hidden="" ht="14" outlineLevel="0" r="3062">
      <c r="A3062" s="3" t="inlineStr">
        <is>
          <t>3031</t>
        </is>
      </c>
      <c r="B3062" s="4" t="s">
        <f>=HYPERLINK("http://anyluxury.ru/shop/odezhda/detskaya-odezhda/tolstovka-s-kapyushonom-snake-ii-yarkozelenaya-761190/" , "7611.90 Толстовка с капюшоном SNAKE II ярко-зеленая, размер M")</f>
      </c>
      <c r="C3062" s="4" t="n">
        <v>2466.00</v>
      </c>
      <c r="D3062" s="4"/>
    </row>
    <row collapsed="" customFormat="false" customHeight="1" hidden="" ht="14" outlineLevel="0" r="3063">
      <c r="A3063" s="3" t="inlineStr">
        <is>
          <t>3032</t>
        </is>
      </c>
      <c r="B3063" s="4" t="s">
        <f>=HYPERLINK("http://anyluxury.ru/shop/odezhda/detskaya-odezhda/tolstovka-s-kapyushonom-snake-ii-yarkozelenaya-761190/" , "7611.90 Толстовка с капюшоном SNAKE II ярко-зеленая, размер L")</f>
      </c>
      <c r="C3063" s="4" t="n">
        <v>2466.00</v>
      </c>
      <c r="D3063" s="4"/>
    </row>
    <row collapsed="" customFormat="false" customHeight="1" hidden="" ht="14" outlineLevel="0" r="3064">
      <c r="A3064" s="3" t="inlineStr">
        <is>
          <t>3033</t>
        </is>
      </c>
      <c r="B3064" s="4" t="s">
        <f>=HYPERLINK("http://anyluxury.ru/shop/odezhda/detskaya-odezhda/tolstovka-s-kapyushonom-snake-ii-yarkozelenaya-761190/" , "7611.90 Толстовка с капюшоном SNAKE II ярко-зеленая, размер XL")</f>
      </c>
      <c r="C3064" s="4" t="n">
        <v>2466.00</v>
      </c>
      <c r="D3064" s="4"/>
    </row>
    <row collapsed="" customFormat="false" customHeight="1" hidden="" ht="14" outlineLevel="0" r="3065">
      <c r="A3065" s="3" t="inlineStr">
        <is>
          <t>3034</t>
        </is>
      </c>
      <c r="B3065" s="4" t="s">
        <f>=HYPERLINK("http://anyluxury.ru/shop/odezhda/detskaya-odezhda/tolstovka-s-kapyushonom-snake-ii-yarkozelenaya-761190/" , "7611.90 Толстовка с капюшоном SNAKE II ярко-зеленая, размер XXL")</f>
      </c>
      <c r="C3065" s="4" t="n">
        <v>2466.00</v>
      </c>
      <c r="D3065" s="4"/>
    </row>
    <row collapsed="" customFormat="false" customHeight="1" hidden="" ht="14" outlineLevel="0" r="3066">
      <c r="A3066" s="3" t="inlineStr">
        <is>
          <t>3035</t>
        </is>
      </c>
      <c r="B3066" s="4" t="s">
        <f>=HYPERLINK("http://anyluxury.ru/shop/odezhda/detskaya-odezhda/tolstovka-s-kapyushonom-snake-ii-yarkozelenaya-761190/" , "7611.90 Толстовка с капюшоном SNAKE II ярко-зеленая, размер 3XL")</f>
      </c>
      <c r="C3066" s="4" t="n">
        <v>2922.00</v>
      </c>
      <c r="D3066" s="4"/>
    </row>
    <row collapsed="" customFormat="false" customHeight="1" hidden="" ht="14" outlineLevel="0" r="3067">
      <c r="A3067" s="3" t="inlineStr">
        <is>
          <t>3036</t>
        </is>
      </c>
      <c r="B3067" s="4" t="s">
        <f>=HYPERLINK("http://anyluxury.ru/shop/odezhda/detskaya-odezhda/kurtka-muzhskaya-norman-chernaya-02093312/" , "02093312 Куртка мужская NORMAN черная, размер S")</f>
      </c>
      <c r="C3067" s="4" t="n">
        <v>2101.00</v>
      </c>
      <c r="D3067" s="4"/>
    </row>
    <row collapsed="" customFormat="false" customHeight="1" hidden="" ht="14" outlineLevel="0" r="3068">
      <c r="A3068" s="3" t="inlineStr">
        <is>
          <t>3037</t>
        </is>
      </c>
      <c r="B3068" s="4" t="s">
        <f>=HYPERLINK("http://anyluxury.ru/shop/odezhda/detskaya-odezhda/kurtka-muzhskaya-norman-chernaya-02093312/" , "02093312 Куртка мужская NORMAN черная, размер M")</f>
      </c>
      <c r="C3068" s="4" t="n">
        <v>2101.00</v>
      </c>
      <c r="D3068" s="4"/>
    </row>
    <row collapsed="" customFormat="false" customHeight="1" hidden="" ht="14" outlineLevel="0" r="3069">
      <c r="A3069" s="3" t="inlineStr">
        <is>
          <t>3038</t>
        </is>
      </c>
      <c r="B3069" s="4" t="s">
        <f>=HYPERLINK("http://anyluxury.ru/shop/odezhda/detskaya-odezhda/kurtka-muzhskaya-norman-chernaya-02093312/" , "02093312 Куртка мужская NORMAN черная, размер L")</f>
      </c>
      <c r="C3069" s="4" t="n">
        <v>2101.00</v>
      </c>
      <c r="D3069" s="4"/>
    </row>
    <row collapsed="" customFormat="false" customHeight="1" hidden="" ht="14" outlineLevel="0" r="3070">
      <c r="A3070" s="3" t="inlineStr">
        <is>
          <t>3039</t>
        </is>
      </c>
      <c r="B3070" s="4" t="s">
        <f>=HYPERLINK("http://anyluxury.ru/shop/odezhda/detskaya-odezhda/kurtka-muzhskaya-norman-chernaya-02093312/" , "02093312 Куртка мужская NORMAN черная, размер XL")</f>
      </c>
      <c r="C3070" s="4" t="n">
        <v>2101.00</v>
      </c>
      <c r="D3070" s="4"/>
    </row>
    <row collapsed="" customFormat="false" customHeight="1" hidden="" ht="14" outlineLevel="0" r="3071">
      <c r="A3071" s="3" t="inlineStr">
        <is>
          <t>3040</t>
        </is>
      </c>
      <c r="B3071" s="4" t="s">
        <f>=HYPERLINK("http://anyluxury.ru/shop/odezhda/detskaya-odezhda/kurtka-muzhskaya-norman-chernaya-02093312/" , "02093312 Куртка мужская NORMAN черная, размер XXL")</f>
      </c>
      <c r="C3071" s="4" t="n">
        <v>2101.00</v>
      </c>
      <c r="D3071" s="4"/>
    </row>
    <row collapsed="" customFormat="false" customHeight="1" hidden="" ht="14" outlineLevel="0" r="3072">
      <c r="A3072" s="3" t="inlineStr">
        <is>
          <t>3041</t>
        </is>
      </c>
      <c r="B3072" s="4" t="s">
        <f>=HYPERLINK("http://anyluxury.ru/shop/odezhda/detskaya-odezhda/kurtka-muzhskaya-norman-chernaya-02093312/" , "02093312 Куртка мужская NORMAN черная, размер 3XL")</f>
      </c>
      <c r="C3072" s="4" t="n">
        <v>2410.00</v>
      </c>
      <c r="D3072" s="4"/>
    </row>
    <row collapsed="" customFormat="false" customHeight="1" hidden="" ht="14" outlineLevel="0" r="3073">
      <c r="A3073" s="3" t="inlineStr">
        <is>
          <t>3042</t>
        </is>
      </c>
      <c r="B3073" s="4" t="s">
        <f>=HYPERLINK("http://anyluxury.ru/shop/odezhda/detskaya-odezhda/kurtka-muzhskaya-norman-chernaya-02093312/" , "02093312 Куртка мужская Norman Men, черная, размер 4XL")</f>
      </c>
      <c r="C3073" s="4" t="n">
        <v>2934.00</v>
      </c>
      <c r="D3073" s="4"/>
    </row>
    <row collapsed="" customFormat="false" customHeight="1" hidden="" ht="14" outlineLevel="0" r="3074">
      <c r="A3074" s="3" t="inlineStr">
        <is>
          <t>3043</t>
        </is>
      </c>
      <c r="B3074" s="4" t="s">
        <f>=HYPERLINK("http://anyluxury.ru/shop/odezhda/detskaya-odezhda/kurtka-muzhskaya-norman-chernaya-02093312/" , "02093312 Куртка мужская Norman Men, черная, размер 5XL")</f>
      </c>
      <c r="C3074" s="4" t="n">
        <v>2934.00</v>
      </c>
      <c r="D3074" s="4"/>
    </row>
    <row collapsed="" customFormat="false" customHeight="1" hidden="" ht="14" outlineLevel="0" r="3075">
      <c r="A3075" s="3" t="inlineStr">
        <is>
          <t>3044</t>
        </is>
      </c>
      <c r="B3075" s="4" t="s">
        <f>=HYPERLINK("http://anyluxury.ru/shop/odezhda/detskaya-odezhda/kurtka-muzhskaya-norman-seraya-02093370/" , "02093370 Куртка мужская NORMAN серая, размер S")</f>
      </c>
      <c r="C3075" s="4" t="n">
        <v>2101.00</v>
      </c>
      <c r="D3075" s="4"/>
    </row>
    <row collapsed="" customFormat="false" customHeight="1" hidden="" ht="14" outlineLevel="0" r="3076">
      <c r="A3076" s="3" t="inlineStr">
        <is>
          <t>3045</t>
        </is>
      </c>
      <c r="B3076" s="4" t="s">
        <f>=HYPERLINK("http://anyluxury.ru/shop/odezhda/detskaya-odezhda/kurtka-muzhskaya-norman-seraya-02093370/" , "02093370 Куртка мужская NORMAN серая, размер M")</f>
      </c>
      <c r="C3076" s="4" t="n">
        <v>2101.00</v>
      </c>
      <c r="D3076" s="4"/>
    </row>
    <row collapsed="" customFormat="false" customHeight="1" hidden="" ht="14" outlineLevel="0" r="3077">
      <c r="A3077" s="3" t="inlineStr">
        <is>
          <t>3046</t>
        </is>
      </c>
      <c r="B3077" s="4" t="s">
        <f>=HYPERLINK("http://anyluxury.ru/shop/odezhda/detskaya-odezhda/kurtka-muzhskaya-norman-seraya-02093370/" , "02093370 Куртка мужская NORMAN серая, размер XL")</f>
      </c>
      <c r="C3077" s="4" t="n">
        <v>2101.00</v>
      </c>
      <c r="D3077" s="4"/>
    </row>
    <row collapsed="" customFormat="false" customHeight="1" hidden="" ht="14" outlineLevel="0" r="3078">
      <c r="A3078" s="3" t="inlineStr">
        <is>
          <t>3047</t>
        </is>
      </c>
      <c r="B3078" s="4" t="s">
        <f>=HYPERLINK("http://anyluxury.ru/shop/odezhda/detskaya-odezhda/kurtka-muzhskaya-norman-seraya-02093370/" , "02093370 Куртка мужская NORMAN серая, размер 3XL")</f>
      </c>
      <c r="C3078" s="4" t="n">
        <v>2410.00</v>
      </c>
      <c r="D3078" s="4"/>
    </row>
    <row collapsed="" customFormat="false" customHeight="1" hidden="" ht="14" outlineLevel="0" r="3079">
      <c r="A3079" s="3" t="inlineStr">
        <is>
          <t>3048</t>
        </is>
      </c>
      <c r="B3079" s="4" t="s">
        <f>=HYPERLINK("http://anyluxury.ru/shop/odezhda/detskaya-odezhda/kurtka-muzhskaya-norman-seraya-02093370/" , "02093370 Куртка мужская Norman Men, серая, размер 4XL")</f>
      </c>
      <c r="C3079" s="4" t="n">
        <v>2934.00</v>
      </c>
      <c r="D3079" s="4"/>
    </row>
    <row collapsed="" customFormat="false" customHeight="1" hidden="" ht="14" outlineLevel="0" r="3080">
      <c r="A3080" s="3" t="inlineStr">
        <is>
          <t>3049</t>
        </is>
      </c>
      <c r="B3080" s="4" t="s">
        <f>=HYPERLINK("http://anyluxury.ru/shop/odezhda/detskaya-odezhda/kurtka-muzhskaya-norman-seraya-02093370/" , "02093370 Куртка мужская Norman Men, серая, размер 5XL")</f>
      </c>
      <c r="C3080" s="4" t="n">
        <v>2934.00</v>
      </c>
      <c r="D3080" s="4"/>
    </row>
    <row collapsed="" customFormat="false" customHeight="1" hidden="" ht="14" outlineLevel="0" r="3081">
      <c r="A3081" s="3" t="inlineStr">
        <is>
          <t>3050</t>
        </is>
      </c>
      <c r="B3081" s="4" t="s">
        <f>=HYPERLINK("http://anyluxury.ru/shop/odezhda/detskaya-odezhda/kurtka-muzhskaya-norman-temnosinyaya-02093318/" , "02093318 Куртка мужская NORMAN темно-синяя, размер S")</f>
      </c>
      <c r="C3081" s="4" t="n">
        <v>2101.00</v>
      </c>
      <c r="D3081" s="4"/>
    </row>
    <row collapsed="" customFormat="false" customHeight="1" hidden="" ht="14" outlineLevel="0" r="3082">
      <c r="A3082" s="3" t="inlineStr">
        <is>
          <t>3051</t>
        </is>
      </c>
      <c r="B3082" s="4" t="s">
        <f>=HYPERLINK("http://anyluxury.ru/shop/odezhda/detskaya-odezhda/kurtka-muzhskaya-norman-temnosinyaya-02093318/" , "02093318 Куртка мужская NORMAN темно-синяя, размер M")</f>
      </c>
      <c r="C3082" s="4" t="n">
        <v>2101.00</v>
      </c>
      <c r="D3082" s="4"/>
    </row>
    <row collapsed="" customFormat="false" customHeight="1" hidden="" ht="14" outlineLevel="0" r="3083">
      <c r="A3083" s="3" t="inlineStr">
        <is>
          <t>3052</t>
        </is>
      </c>
      <c r="B3083" s="4" t="s">
        <f>=HYPERLINK("http://anyluxury.ru/shop/odezhda/detskaya-odezhda/kurtka-muzhskaya-norman-temnosinyaya-02093318/" , "02093318 Куртка мужская NORMAN темно-синяя, размер L")</f>
      </c>
      <c r="C3083" s="4" t="n">
        <v>2101.00</v>
      </c>
      <c r="D3083" s="4"/>
    </row>
    <row collapsed="" customFormat="false" customHeight="1" hidden="" ht="14" outlineLevel="0" r="3084">
      <c r="A3084" s="3" t="inlineStr">
        <is>
          <t>3053</t>
        </is>
      </c>
      <c r="B3084" s="4" t="s">
        <f>=HYPERLINK("http://anyluxury.ru/shop/odezhda/detskaya-odezhda/kurtka-muzhskaya-norman-temnosinyaya-02093318/" , "02093318 Куртка мужская NORMAN темно-синяя, размер XL")</f>
      </c>
      <c r="C3084" s="4" t="n">
        <v>2101.00</v>
      </c>
      <c r="D3084" s="4"/>
    </row>
    <row collapsed="" customFormat="false" customHeight="1" hidden="" ht="14" outlineLevel="0" r="3085">
      <c r="A3085" s="3" t="inlineStr">
        <is>
          <t>3054</t>
        </is>
      </c>
      <c r="B3085" s="4" t="s">
        <f>=HYPERLINK("http://anyluxury.ru/shop/odezhda/detskaya-odezhda/kurtka-muzhskaya-norman-temnosinyaya-02093318/" , "02093318 Куртка мужская NORMAN темно-синяя, размер XXL")</f>
      </c>
      <c r="C3085" s="4" t="n">
        <v>2101.00</v>
      </c>
      <c r="D3085" s="4"/>
    </row>
    <row collapsed="" customFormat="false" customHeight="1" hidden="" ht="14" outlineLevel="0" r="3086">
      <c r="A3086" s="3" t="inlineStr">
        <is>
          <t>3055</t>
        </is>
      </c>
      <c r="B3086" s="4" t="s">
        <f>=HYPERLINK("http://anyluxury.ru/shop/odezhda/detskaya-odezhda/kurtka-muzhskaya-norman-temnosinyaya-02093318/" , "02093318 Куртка мужская NORMAN темно-синяя, размер 3XL")</f>
      </c>
      <c r="C3086" s="4" t="n">
        <v>2410.00</v>
      </c>
      <c r="D3086" s="4"/>
    </row>
    <row collapsed="" customFormat="false" customHeight="1" hidden="" ht="14" outlineLevel="0" r="3087">
      <c r="A3087" s="3" t="inlineStr">
        <is>
          <t>3056</t>
        </is>
      </c>
      <c r="B3087" s="4" t="s">
        <f>=HYPERLINK("http://anyluxury.ru/shop/odezhda/detskaya-odezhda/kurtka-muzhskaya-norman-temnosinyaya-02093318/" , "02093318 Куртка мужская Norman Men, темно-синяя, размер 4XL")</f>
      </c>
      <c r="C3087" s="4" t="n">
        <v>2934.00</v>
      </c>
      <c r="D3087" s="4"/>
    </row>
    <row collapsed="" customFormat="false" customHeight="1" hidden="" ht="14" outlineLevel="0" r="3088">
      <c r="A3088" s="3" t="inlineStr">
        <is>
          <t>3057</t>
        </is>
      </c>
      <c r="B3088" s="4" t="s">
        <f>=HYPERLINK("http://anyluxury.ru/shop/odezhda/detskaya-odezhda/kurtka-muzhskaya-norman-temnosinyaya-02093318/" , "02093318 Куртка мужская Norman Men, темно-синяя, размер 5XL")</f>
      </c>
      <c r="C3088" s="4" t="n">
        <v>2934.00</v>
      </c>
      <c r="D3088" s="4"/>
    </row>
    <row collapsed="" customFormat="false" customHeight="1" hidden="" ht="14" outlineLevel="0" r="3089">
      <c r="A3089" s="3" t="inlineStr">
        <is>
          <t>3058</t>
        </is>
      </c>
      <c r="B3089" s="4" t="s">
        <f>=HYPERLINK("http://anyluxury.ru/shop/odezhda/detskaya-odezhda/kurtka-muzhskaya-norman-krasnaya-02093145/" , "02093145 Куртка мужская NORMAN красная, размер S")</f>
      </c>
      <c r="C3089" s="4" t="n">
        <v>2101.00</v>
      </c>
      <c r="D3089" s="4"/>
    </row>
    <row collapsed="" customFormat="false" customHeight="1" hidden="" ht="14" outlineLevel="0" r="3090">
      <c r="A3090" s="3" t="inlineStr">
        <is>
          <t>3059</t>
        </is>
      </c>
      <c r="B3090" s="4" t="s">
        <f>=HYPERLINK("http://anyluxury.ru/shop/odezhda/detskaya-odezhda/kurtka-muzhskaya-norman-krasnaya-02093145/" , "02093145 Куртка мужская NORMAN красная, размер M")</f>
      </c>
      <c r="C3090" s="4" t="n">
        <v>2101.00</v>
      </c>
      <c r="D3090" s="4"/>
    </row>
    <row collapsed="" customFormat="false" customHeight="1" hidden="" ht="14" outlineLevel="0" r="3091">
      <c r="A3091" s="3" t="inlineStr">
        <is>
          <t>3060</t>
        </is>
      </c>
      <c r="B3091" s="4" t="s">
        <f>=HYPERLINK("http://anyluxury.ru/shop/odezhda/detskaya-odezhda/kurtka-muzhskaya-norman-krasnaya-02093145/" , "02093145 Куртка мужская NORMAN красная, размер L")</f>
      </c>
      <c r="C3091" s="4" t="n">
        <v>2101.00</v>
      </c>
      <c r="D3091" s="4"/>
    </row>
    <row collapsed="" customFormat="false" customHeight="1" hidden="" ht="14" outlineLevel="0" r="3092">
      <c r="A3092" s="3" t="inlineStr">
        <is>
          <t>3061</t>
        </is>
      </c>
      <c r="B3092" s="4" t="s">
        <f>=HYPERLINK("http://anyluxury.ru/shop/odezhda/detskaya-odezhda/kurtka-muzhskaya-norman-krasnaya-02093145/" , "02093145 Куртка мужская NORMAN красная, размер XL")</f>
      </c>
      <c r="C3092" s="4" t="n">
        <v>2101.00</v>
      </c>
      <c r="D3092" s="4"/>
    </row>
    <row collapsed="" customFormat="false" customHeight="1" hidden="" ht="14" outlineLevel="0" r="3093">
      <c r="A3093" s="3" t="inlineStr">
        <is>
          <t>3062</t>
        </is>
      </c>
      <c r="B3093" s="4" t="s">
        <f>=HYPERLINK("http://anyluxury.ru/shop/odezhda/detskaya-odezhda/kurtka-muzhskaya-norman-krasnaya-02093145/" , "02093145 Куртка мужская NORMAN красная, размер XXL")</f>
      </c>
      <c r="C3093" s="4" t="n">
        <v>2101.00</v>
      </c>
      <c r="D3093" s="4"/>
    </row>
    <row collapsed="" customFormat="false" customHeight="1" hidden="" ht="14" outlineLevel="0" r="3094">
      <c r="A3094" s="3" t="inlineStr">
        <is>
          <t>3063</t>
        </is>
      </c>
      <c r="B3094" s="4" t="s">
        <f>=HYPERLINK("http://anyluxury.ru/shop/odezhda/detskaya-odezhda/kurtka-muzhskaya-norman-krasnaya-02093145/" , "02093145 Куртка мужская NORMAN красная, размер 3XL")</f>
      </c>
      <c r="C3094" s="4" t="n">
        <v>2410.00</v>
      </c>
      <c r="D3094" s="4"/>
    </row>
    <row collapsed="" customFormat="false" customHeight="1" hidden="" ht="14" outlineLevel="0" r="3095">
      <c r="A3095" s="3" t="inlineStr">
        <is>
          <t>3064</t>
        </is>
      </c>
      <c r="B3095" s="4" t="s">
        <f>=HYPERLINK("http://anyluxury.ru/shop/odezhda/detskaya-odezhda/kurtka-zhenskaya-norman-women-chernaya-02094312/" , "02094312 Куртка женская Norman Women черная, размер S")</f>
      </c>
      <c r="C3095" s="4" t="n">
        <v>2039.00</v>
      </c>
      <c r="D3095" s="4"/>
    </row>
    <row collapsed="" customFormat="false" customHeight="1" hidden="" ht="14" outlineLevel="0" r="3096">
      <c r="A3096" s="3" t="inlineStr">
        <is>
          <t>3065</t>
        </is>
      </c>
      <c r="B3096" s="4" t="s">
        <f>=HYPERLINK("http://anyluxury.ru/shop/odezhda/detskaya-odezhda/kurtka-zhenskaya-norman-women-chernaya-02094312/" , "02094312 Куртка женская Norman Women черная, размер M")</f>
      </c>
      <c r="C3096" s="4" t="n">
        <v>2039.00</v>
      </c>
      <c r="D3096" s="4"/>
    </row>
    <row collapsed="" customFormat="false" customHeight="1" hidden="" ht="14" outlineLevel="0" r="3097">
      <c r="A3097" s="3" t="inlineStr">
        <is>
          <t>3066</t>
        </is>
      </c>
      <c r="B3097" s="4" t="s">
        <f>=HYPERLINK("http://anyluxury.ru/shop/odezhda/detskaya-odezhda/kurtka-zhenskaya-norman-women-chernaya-02094312/" , "02094312 Куртка женская Norman Women черная, размер L")</f>
      </c>
      <c r="C3097" s="4" t="n">
        <v>2039.00</v>
      </c>
      <c r="D3097" s="4"/>
    </row>
    <row collapsed="" customFormat="false" customHeight="1" hidden="" ht="14" outlineLevel="0" r="3098">
      <c r="A3098" s="3" t="inlineStr">
        <is>
          <t>3067</t>
        </is>
      </c>
      <c r="B3098" s="4" t="s">
        <f>=HYPERLINK("http://anyluxury.ru/shop/odezhda/detskaya-odezhda/kurtka-zhenskaya-norman-women-chernaya-02094312/" , "02094312 Куртка женская Norman Women черная, размер XL")</f>
      </c>
      <c r="C3098" s="4" t="n">
        <v>2039.00</v>
      </c>
      <c r="D3098" s="4"/>
    </row>
    <row collapsed="" customFormat="false" customHeight="1" hidden="" ht="14" outlineLevel="0" r="3099">
      <c r="A3099" s="3" t="inlineStr">
        <is>
          <t>3068</t>
        </is>
      </c>
      <c r="B3099" s="4" t="s">
        <f>=HYPERLINK("http://anyluxury.ru/shop/odezhda/detskaya-odezhda/kurtka-zhenskaya-norman-women-chernaya-02094312/" , "02094312 Куртка женская Norman Women черная, размер XXL")</f>
      </c>
      <c r="C3099" s="4" t="n">
        <v>2039.00</v>
      </c>
      <c r="D3099" s="4"/>
    </row>
    <row collapsed="" customFormat="false" customHeight="1" hidden="" ht="14" outlineLevel="0" r="3100">
      <c r="A3100" s="3" t="inlineStr">
        <is>
          <t>3069</t>
        </is>
      </c>
      <c r="B3100" s="4" t="s">
        <f>=HYPERLINK("http://anyluxury.ru/shop/odezhda/detskaya-odezhda/kurtka-zhenskaya-norman-women-chernaya-02094312/" , "02094312 Куртка женская Norman Women, черная, размер 3XL")</f>
      </c>
      <c r="C3100" s="4" t="n">
        <v>2317.00</v>
      </c>
      <c r="D3100" s="4"/>
    </row>
    <row collapsed="" customFormat="false" customHeight="1" hidden="" ht="14" outlineLevel="0" r="3101">
      <c r="A3101" s="3" t="inlineStr">
        <is>
          <t>3070</t>
        </is>
      </c>
      <c r="B3101" s="4" t="s">
        <f>=HYPERLINK("http://anyluxury.ru/shop/odezhda/detskaya-odezhda/kurtka-zhenskaya-norman-women-seraya-02094370/" , "02094370 Куртка женская Norman Women серая, размер S")</f>
      </c>
      <c r="C3101" s="4" t="n">
        <v>2039.00</v>
      </c>
      <c r="D3101" s="4"/>
    </row>
    <row collapsed="" customFormat="false" customHeight="1" hidden="" ht="14" outlineLevel="0" r="3102">
      <c r="A3102" s="3" t="inlineStr">
        <is>
          <t>3071</t>
        </is>
      </c>
      <c r="B3102" s="4" t="s">
        <f>=HYPERLINK("http://anyluxury.ru/shop/odezhda/detskaya-odezhda/kurtka-zhenskaya-norman-women-seraya-02094370/" , "02094370 Куртка женская Norman Women серая, размер M")</f>
      </c>
      <c r="C3102" s="4" t="n">
        <v>2039.00</v>
      </c>
      <c r="D3102" s="4"/>
    </row>
    <row collapsed="" customFormat="false" customHeight="1" hidden="" ht="14" outlineLevel="0" r="3103">
      <c r="A3103" s="3" t="inlineStr">
        <is>
          <t>3072</t>
        </is>
      </c>
      <c r="B3103" s="4" t="s">
        <f>=HYPERLINK("http://anyluxury.ru/shop/odezhda/detskaya-odezhda/kurtka-zhenskaya-norman-women-seraya-02094370/" , "02094370 Куртка женская Norman Women серая, размер L")</f>
      </c>
      <c r="C3103" s="4" t="n">
        <v>2039.00</v>
      </c>
      <c r="D3103" s="4"/>
    </row>
    <row collapsed="" customFormat="false" customHeight="1" hidden="" ht="14" outlineLevel="0" r="3104">
      <c r="A3104" s="3" t="inlineStr">
        <is>
          <t>3073</t>
        </is>
      </c>
      <c r="B3104" s="4" t="s">
        <f>=HYPERLINK("http://anyluxury.ru/shop/odezhda/detskaya-odezhda/kurtka-zhenskaya-norman-women-seraya-02094370/" , "02094370 Куртка женская Norman Women серая, размер XL")</f>
      </c>
      <c r="C3104" s="4" t="n">
        <v>2039.00</v>
      </c>
      <c r="D3104" s="4"/>
    </row>
    <row collapsed="" customFormat="false" customHeight="1" hidden="" ht="14" outlineLevel="0" r="3105">
      <c r="A3105" s="3" t="inlineStr">
        <is>
          <t>3074</t>
        </is>
      </c>
      <c r="B3105" s="4" t="s">
        <f>=HYPERLINK("http://anyluxury.ru/shop/odezhda/detskaya-odezhda/kurtka-zhenskaya-norman-women-seraya-02094370/" , "02094370 Куртка женская Norman Women серая, размер XXL")</f>
      </c>
      <c r="C3105" s="4" t="n">
        <v>2039.00</v>
      </c>
      <c r="D3105" s="4"/>
    </row>
    <row collapsed="" customFormat="false" customHeight="1" hidden="" ht="14" outlineLevel="0" r="3106">
      <c r="A3106" s="3" t="inlineStr">
        <is>
          <t>3075</t>
        </is>
      </c>
      <c r="B3106" s="4" t="s">
        <f>=HYPERLINK("http://anyluxury.ru/shop/odezhda/detskaya-odezhda/kurtka-zhenskaya-norman-women-seraya-02094370/" , "02094370 Куртка женская Norman Women, серая, размер 3XL")</f>
      </c>
      <c r="C3106" s="4" t="n">
        <v>2317.00</v>
      </c>
      <c r="D3106" s="4"/>
    </row>
    <row collapsed="" customFormat="false" customHeight="1" hidden="" ht="14" outlineLevel="0" r="3107">
      <c r="A3107" s="3" t="inlineStr">
        <is>
          <t>3076</t>
        </is>
      </c>
      <c r="B3107" s="4" t="s">
        <f>=HYPERLINK("http://anyluxury.ru/shop/odezhda/detskaya-odezhda/kurtka-zhenskaya-norman-women-temnosinyaya-02094318/" , "02094318 Куртка женская Norman Women темно-синяя, размер S")</f>
      </c>
      <c r="C3107" s="4" t="n">
        <v>2039.00</v>
      </c>
      <c r="D3107" s="4"/>
    </row>
    <row collapsed="" customFormat="false" customHeight="1" hidden="" ht="14" outlineLevel="0" r="3108">
      <c r="A3108" s="3" t="inlineStr">
        <is>
          <t>3077</t>
        </is>
      </c>
      <c r="B3108" s="4" t="s">
        <f>=HYPERLINK("http://anyluxury.ru/shop/odezhda/detskaya-odezhda/kurtka-zhenskaya-norman-women-temnosinyaya-02094318/" , "02094318 Куртка женская Norman Women темно-синяя, размер M")</f>
      </c>
      <c r="C3108" s="4" t="n">
        <v>2039.00</v>
      </c>
      <c r="D3108" s="4"/>
    </row>
    <row collapsed="" customFormat="false" customHeight="1" hidden="" ht="14" outlineLevel="0" r="3109">
      <c r="A3109" s="3" t="inlineStr">
        <is>
          <t>3078</t>
        </is>
      </c>
      <c r="B3109" s="4" t="s">
        <f>=HYPERLINK("http://anyluxury.ru/shop/odezhda/detskaya-odezhda/kurtka-zhenskaya-norman-women-temnosinyaya-02094318/" , "02094318 Куртка женская NORMAN темно-синяя, размер L")</f>
      </c>
      <c r="C3109" s="4" t="n">
        <v>2039.00</v>
      </c>
      <c r="D3109" s="4"/>
    </row>
    <row collapsed="" customFormat="false" customHeight="1" hidden="" ht="14" outlineLevel="0" r="3110">
      <c r="A3110" s="3" t="inlineStr">
        <is>
          <t>3079</t>
        </is>
      </c>
      <c r="B3110" s="4" t="s">
        <f>=HYPERLINK("http://anyluxury.ru/shop/odezhda/detskaya-odezhda/kurtka-zhenskaya-norman-women-temnosinyaya-02094318/" , "02094318 Куртка женская NORMAN темно-синяя, размер XL")</f>
      </c>
      <c r="C3110" s="4" t="n">
        <v>2039.00</v>
      </c>
      <c r="D3110" s="4"/>
    </row>
    <row collapsed="" customFormat="false" customHeight="1" hidden="" ht="14" outlineLevel="0" r="3111">
      <c r="A3111" s="3" t="inlineStr">
        <is>
          <t>3080</t>
        </is>
      </c>
      <c r="B3111" s="4" t="s">
        <f>=HYPERLINK("http://anyluxury.ru/shop/odezhda/detskaya-odezhda/kurtka-zhenskaya-norman-women-temnosinyaya-02094318/" , "02094318 Куртка женская Norman Women темно-синяя, размер XXL")</f>
      </c>
      <c r="C3111" s="4" t="n">
        <v>2039.00</v>
      </c>
      <c r="D3111" s="4"/>
    </row>
    <row collapsed="" customFormat="false" customHeight="1" hidden="" ht="14" outlineLevel="0" r="3112">
      <c r="A3112" s="3" t="inlineStr">
        <is>
          <t>3081</t>
        </is>
      </c>
      <c r="B3112" s="4" t="s">
        <f>=HYPERLINK("http://anyluxury.ru/shop/odezhda/detskaya-odezhda/kurtka-zhenskaya-norman-women-temnosinyaya-02094318/" , "02094318 Куртка женская Norman Women, темно-синяя, размер 3XL")</f>
      </c>
      <c r="C3112" s="4" t="n">
        <v>2317.00</v>
      </c>
      <c r="D3112" s="4"/>
    </row>
    <row collapsed="" customFormat="false" customHeight="1" hidden="" ht="14" outlineLevel="0" r="3113">
      <c r="A3113" s="3" t="inlineStr">
        <is>
          <t>3082</t>
        </is>
      </c>
      <c r="B3113" s="4" t="s">
        <f>=HYPERLINK("http://anyluxury.ru/shop/odezhda/detskaya-odezhda/kurtka-zhenskaya-norman-women-krasnaya-02094145/" , "02094145 Куртка женская Norman Women красная, размер S")</f>
      </c>
      <c r="C3113" s="4" t="n">
        <v>2039.00</v>
      </c>
      <c r="D3113" s="4"/>
    </row>
    <row collapsed="" customFormat="false" customHeight="1" hidden="" ht="14" outlineLevel="0" r="3114">
      <c r="A3114" s="3" t="inlineStr">
        <is>
          <t>3083</t>
        </is>
      </c>
      <c r="B3114" s="4" t="s">
        <f>=HYPERLINK("http://anyluxury.ru/shop/odezhda/detskaya-odezhda/kurtka-zhenskaya-norman-women-krasnaya-02094145/" , "02094145 Куртка женская Norman Women красная, размер M")</f>
      </c>
      <c r="C3114" s="4" t="n">
        <v>2039.00</v>
      </c>
      <c r="D3114" s="4"/>
    </row>
    <row collapsed="" customFormat="false" customHeight="1" hidden="" ht="14" outlineLevel="0" r="3115">
      <c r="A3115" s="3" t="inlineStr">
        <is>
          <t>3084</t>
        </is>
      </c>
      <c r="B3115" s="4" t="s">
        <f>=HYPERLINK("http://anyluxury.ru/shop/odezhda/detskaya-odezhda/kurtka-zhenskaya-norman-women-krasnaya-02094145/" , "02094145 Куртка женская Norman Women красная, размер L")</f>
      </c>
      <c r="C3115" s="4" t="n">
        <v>2039.00</v>
      </c>
      <c r="D3115" s="4"/>
    </row>
    <row collapsed="" customFormat="false" customHeight="1" hidden="" ht="14" outlineLevel="0" r="3116">
      <c r="A3116" s="3" t="inlineStr">
        <is>
          <t>3085</t>
        </is>
      </c>
      <c r="B3116" s="4" t="s">
        <f>=HYPERLINK("http://anyluxury.ru/shop/odezhda/detskaya-odezhda/kurtka-zhenskaya-norman-women-krasnaya-02094145/" , "02094145 Куртка женская Norman Women красная, размер XL")</f>
      </c>
      <c r="C3116" s="4" t="n">
        <v>2039.00</v>
      </c>
      <c r="D3116" s="4"/>
    </row>
    <row collapsed="" customFormat="false" customHeight="1" hidden="" ht="14" outlineLevel="0" r="3117">
      <c r="A3117" s="3" t="inlineStr">
        <is>
          <t>3086</t>
        </is>
      </c>
      <c r="B3117" s="4" t="s">
        <f>=HYPERLINK("http://anyluxury.ru/shop/odezhda/detskaya-odezhda/kurtka-zhenskaya-norman-women-krasnaya-02094145/" , "02094145 Куртка женская Norman Women красная, размер XXL")</f>
      </c>
      <c r="C3117" s="4" t="n">
        <v>2039.00</v>
      </c>
      <c r="D3117" s="4"/>
    </row>
    <row collapsed="" customFormat="false" customHeight="1" hidden="" ht="14" outlineLevel="0" r="3118">
      <c r="A3118" s="3" t="inlineStr">
        <is>
          <t>3087</t>
        </is>
      </c>
      <c r="B3118" s="4" t="s">
        <f>=HYPERLINK("http://anyluxury.ru/shop/odezhda/detskaya-odezhda/kurtka-zhenskaya-norman-women-krasnaya-02094145/" , "02094145 Куртка женская Norman Women, красная, размер 3XL")</f>
      </c>
      <c r="C3118" s="4" t="n">
        <v>2317.00</v>
      </c>
      <c r="D3118" s="4"/>
    </row>
    <row collapsed="" customFormat="false" customHeight="1" hidden="" ht="14" outlineLevel="0" r="3119">
      <c r="A3119" s="3" t="inlineStr">
        <is>
          <t>3088</t>
        </is>
      </c>
      <c r="B3119" s="4" t="s">
        <f>=HYPERLINK("http://anyluxury.ru/shop/odezhda/detskaya-odezhda/tolstovka-kulonga-heavy-seriy-melanzh-336711/" , "3367.11 Толстовка Kulonga Heavy серый меланж, размер XS")</f>
      </c>
      <c r="C3119" s="4" t="n">
        <v>1817.00</v>
      </c>
      <c r="D3119" s="4"/>
    </row>
    <row collapsed="" customFormat="false" customHeight="1" hidden="" ht="14" outlineLevel="0" r="3120">
      <c r="A3120" s="3" t="inlineStr">
        <is>
          <t>3089</t>
        </is>
      </c>
      <c r="B3120" s="4" t="s">
        <f>=HYPERLINK("http://anyluxury.ru/shop/odezhda/detskaya-odezhda/futbolka-muzhskaya-s-dlinnim-rukavom-funky-lsl-belaya-s-chernim-02942109/" , "02942109 Футболка мужская с длинным рукавом FUNKY LSL белая с черным, размер M")</f>
      </c>
      <c r="C3120" s="4" t="n">
        <v>1211.00</v>
      </c>
      <c r="D3120" s="4"/>
    </row>
    <row collapsed="" customFormat="false" customHeight="1" hidden="" ht="14" outlineLevel="0" r="3121">
      <c r="A3121" s="3" t="inlineStr">
        <is>
          <t>3090</t>
        </is>
      </c>
      <c r="B3121" s="4" t="s">
        <f>=HYPERLINK("http://anyluxury.ru/shop/odezhda/detskaya-odezhda/futbolka-muzhskaya-s-dlinnim-rukavom-funky-lsl-belaya-s-chernim-02942109/" , "02942109 Футболка мужская с длинным рукавом FUNKY LSL белая с черным, размер XXL")</f>
      </c>
      <c r="C3121" s="4" t="n">
        <v>1211.00</v>
      </c>
      <c r="D3121" s="4"/>
    </row>
    <row collapsed="" customFormat="false" customHeight="1" hidden="" ht="14" outlineLevel="0" r="3122">
      <c r="A3122" s="3" t="inlineStr">
        <is>
          <t>3091</t>
        </is>
      </c>
      <c r="B3122" s="4" t="s">
        <f>=HYPERLINK("http://anyluxury.ru/shop/odezhda/detskaya-odezhda/futbolka-muzhskaya-s-dlinnim-rukavom-funky-lsl-belaya-s-bordovim-02942108/" , "02942108 Футболка мужская с длинным рукавом FUNKY LSL белая с бордовым, размер S")</f>
      </c>
      <c r="C3122" s="4" t="n">
        <v>1211.00</v>
      </c>
      <c r="D3122" s="4"/>
    </row>
    <row collapsed="" customFormat="false" customHeight="1" hidden="" ht="14" outlineLevel="0" r="3123">
      <c r="A3123" s="3" t="inlineStr">
        <is>
          <t>3092</t>
        </is>
      </c>
      <c r="B3123" s="4" t="s">
        <f>=HYPERLINK("http://anyluxury.ru/shop/odezhda/detskaya-odezhda/futbolka-muzhskaya-s-dlinnim-rukavom-funky-lsl-belaya-s-temnosinim-02942904/" , "02942904 Футболка мужская с длинным рукавом FUNKY LSL белая с темно-синим, размер 3XL")</f>
      </c>
      <c r="C3123" s="4" t="n">
        <v>1346.00</v>
      </c>
      <c r="D3123" s="4"/>
    </row>
    <row collapsed="" customFormat="false" customHeight="1" hidden="" ht="14" outlineLevel="0" r="3124">
      <c r="A3124" s="3" t="inlineStr">
        <is>
          <t>3093</t>
        </is>
      </c>
      <c r="B3124" s="4" t="s">
        <f>=HYPERLINK("http://anyluxury.ru/shop/odezhda/detskaya-odezhda/futbolka-muzhskaya-s-dlinnim-rukavom-funky-lsl-belaya-s-yarkosinim-02942907/" , "02942907 Футболка мужская с длинным рукавом FUNKY LSL белая с ярко-синим, размер XXL")</f>
      </c>
      <c r="C3124" s="4" t="n">
        <v>1211.00</v>
      </c>
      <c r="D3124" s="4"/>
    </row>
    <row collapsed="" customFormat="false" customHeight="1" hidden="" ht="14" outlineLevel="0" r="3125">
      <c r="A3125" s="3" t="inlineStr">
        <is>
          <t>3094</t>
        </is>
      </c>
      <c r="B3125" s="4" t="s">
        <f>=HYPERLINK("http://anyluxury.ru/shop/odezhda/detskaya-odezhda/bryuki-jared-men-chernie-02917312/" , "02917312 Брюки JARED MEN черные, размер 38")</f>
      </c>
      <c r="C3125" s="4" t="n">
        <v>5501.00</v>
      </c>
      <c r="D3125" s="4"/>
    </row>
    <row collapsed="" customFormat="false" customHeight="1" hidden="" ht="14" outlineLevel="0" r="3126">
      <c r="A3126" s="3" t="inlineStr">
        <is>
          <t>3095</t>
        </is>
      </c>
      <c r="B3126" s="4" t="s">
        <f>=HYPERLINK("http://anyluxury.ru/shop/odezhda/detskaya-odezhda/bryuki-jared-men-chernie-02917312/" , "02917312 Брюки JARED MEN черные, размер 40")</f>
      </c>
      <c r="C3126" s="4" t="n">
        <v>5501.00</v>
      </c>
      <c r="D3126" s="4"/>
    </row>
    <row collapsed="" customFormat="false" customHeight="1" hidden="" ht="14" outlineLevel="0" r="3127">
      <c r="A3127" s="3" t="inlineStr">
        <is>
          <t>3096</t>
        </is>
      </c>
      <c r="B3127" s="4" t="s">
        <f>=HYPERLINK("http://anyluxury.ru/shop/odezhda/detskaya-odezhda/bryuki-jared-men-chernie-02917312/" , "02917312 Брюки JARED MEN черные, размер 42")</f>
      </c>
      <c r="C3127" s="4" t="n">
        <v>5501.00</v>
      </c>
      <c r="D3127" s="4"/>
    </row>
    <row collapsed="" customFormat="false" customHeight="1" hidden="" ht="14" outlineLevel="0" r="3128">
      <c r="A3128" s="3" t="inlineStr">
        <is>
          <t>3097</t>
        </is>
      </c>
      <c r="B3128" s="4" t="s">
        <f>=HYPERLINK("http://anyluxury.ru/shop/odezhda/detskaya-odezhda/bryuki-jared-men-chernie-02917312/" , "02917312 Брюки JARED MEN черные, размер 44")</f>
      </c>
      <c r="C3128" s="4" t="n">
        <v>5501.00</v>
      </c>
      <c r="D3128" s="4"/>
    </row>
    <row collapsed="" customFormat="false" customHeight="1" hidden="" ht="14" outlineLevel="0" r="3129">
      <c r="A3129" s="3" t="inlineStr">
        <is>
          <t>3098</t>
        </is>
      </c>
      <c r="B3129" s="4" t="s">
        <f>=HYPERLINK("http://anyluxury.ru/shop/odezhda/detskaya-odezhda/bryuki-jared-men-chernie-02917312/" , "02917312 Брюки JARED MEN черные, размер 46")</f>
      </c>
      <c r="C3129" s="4" t="n">
        <v>5501.00</v>
      </c>
      <c r="D3129" s="4"/>
    </row>
    <row collapsed="" customFormat="false" customHeight="1" hidden="" ht="14" outlineLevel="0" r="3130">
      <c r="A3130" s="3" t="inlineStr">
        <is>
          <t>3099</t>
        </is>
      </c>
      <c r="B3130" s="4" t="s">
        <f>=HYPERLINK("http://anyluxury.ru/shop/odezhda/detskaya-odezhda/bryuki-jared-men-temnosinie-02917319/" , "02917319 Брюки JARED MEN темно-синие, размер 38")</f>
      </c>
      <c r="C3130" s="4" t="n">
        <v>5501.00</v>
      </c>
      <c r="D3130" s="4"/>
    </row>
    <row collapsed="" customFormat="false" customHeight="1" hidden="" ht="14" outlineLevel="0" r="3131">
      <c r="A3131" s="3" t="inlineStr">
        <is>
          <t>3100</t>
        </is>
      </c>
      <c r="B3131" s="4" t="s">
        <f>=HYPERLINK("http://anyluxury.ru/shop/odezhda/detskaya-odezhda/bryuki-jared-men-temnosinie-02917319/" , "02917319 Брюки JARED MEN темно-синие, размер 40")</f>
      </c>
      <c r="C3131" s="4" t="n">
        <v>5501.00</v>
      </c>
      <c r="D3131" s="4"/>
    </row>
    <row collapsed="" customFormat="false" customHeight="1" hidden="" ht="14" outlineLevel="0" r="3132">
      <c r="A3132" s="3" t="inlineStr">
        <is>
          <t>3101</t>
        </is>
      </c>
      <c r="B3132" s="4" t="s">
        <f>=HYPERLINK("http://anyluxury.ru/shop/odezhda/detskaya-odezhda/bryuki-jared-men-temnosinie-02917319/" , "02917319 Брюки JARED MEN темно-синие, размер 42")</f>
      </c>
      <c r="C3132" s="4" t="n">
        <v>5501.00</v>
      </c>
      <c r="D3132" s="4"/>
    </row>
    <row collapsed="" customFormat="false" customHeight="1" hidden="" ht="14" outlineLevel="0" r="3133">
      <c r="A3133" s="3" t="inlineStr">
        <is>
          <t>3102</t>
        </is>
      </c>
      <c r="B3133" s="4" t="s">
        <f>=HYPERLINK("http://anyluxury.ru/shop/odezhda/detskaya-odezhda/bryuki-jared-men-temnosinie-02917319/" , "02917319 Брюки JARED MEN темно-синие, размер 44")</f>
      </c>
      <c r="C3133" s="4" t="n">
        <v>5501.00</v>
      </c>
      <c r="D3133" s="4"/>
    </row>
    <row collapsed="" customFormat="false" customHeight="1" hidden="" ht="14" outlineLevel="0" r="3134">
      <c r="A3134" s="3" t="inlineStr">
        <is>
          <t>3103</t>
        </is>
      </c>
      <c r="B3134" s="4" t="s">
        <f>=HYPERLINK("http://anyluxury.ru/shop/odezhda/detskaya-odezhda/bryuki-jared-men-temnosinie-02917319/" , "02917319 Брюки JARED MEN темно-синие, размер 46")</f>
      </c>
      <c r="C3134" s="4" t="n">
        <v>5501.00</v>
      </c>
      <c r="D3134" s="4"/>
    </row>
    <row collapsed="" customFormat="false" customHeight="1" hidden="" ht="14" outlineLevel="0" r="3135">
      <c r="A3135" s="3" t="inlineStr">
        <is>
          <t>3104</t>
        </is>
      </c>
      <c r="B3135" s="4" t="s">
        <f>=HYPERLINK("http://anyluxury.ru/shop/odezhda/detskaya-odezhda/bryuki-jared-women-chernie-02918312/" , "02918312 Брюки JARED WOMEN черные, размер 36")</f>
      </c>
      <c r="C3135" s="4" t="n">
        <v>5488.00</v>
      </c>
      <c r="D3135" s="4"/>
    </row>
    <row collapsed="" customFormat="false" customHeight="1" hidden="" ht="14" outlineLevel="0" r="3136">
      <c r="A3136" s="3" t="inlineStr">
        <is>
          <t>3105</t>
        </is>
      </c>
      <c r="B3136" s="4" t="s">
        <f>=HYPERLINK("http://anyluxury.ru/shop/odezhda/detskaya-odezhda/bryuki-jared-women-chernie-02918312/" , "02918312 Брюки JARED WOMEN черные, размер 38")</f>
      </c>
      <c r="C3136" s="4" t="n">
        <v>5488.00</v>
      </c>
      <c r="D3136" s="4"/>
    </row>
    <row collapsed="" customFormat="false" customHeight="1" hidden="" ht="14" outlineLevel="0" r="3137">
      <c r="A3137" s="3" t="inlineStr">
        <is>
          <t>3106</t>
        </is>
      </c>
      <c r="B3137" s="4" t="s">
        <f>=HYPERLINK("http://anyluxury.ru/shop/odezhda/detskaya-odezhda/bryuki-jared-women-chernie-02918312/" , "02918312 Брюки JARED WOMEN черные, размер 40")</f>
      </c>
      <c r="C3137" s="4" t="n">
        <v>5488.00</v>
      </c>
      <c r="D3137" s="4"/>
    </row>
    <row collapsed="" customFormat="false" customHeight="1" hidden="" ht="14" outlineLevel="0" r="3138">
      <c r="A3138" s="3" t="inlineStr">
        <is>
          <t>3107</t>
        </is>
      </c>
      <c r="B3138" s="4" t="s">
        <f>=HYPERLINK("http://anyluxury.ru/shop/odezhda/detskaya-odezhda/bryuki-jared-women-chernie-02918312/" , "02918312 Брюки JARED WOMEN черные, размер 42")</f>
      </c>
      <c r="C3138" s="4" t="n">
        <v>5488.00</v>
      </c>
      <c r="D3138" s="4"/>
    </row>
    <row collapsed="" customFormat="false" customHeight="1" hidden="" ht="14" outlineLevel="0" r="3139">
      <c r="A3139" s="3" t="inlineStr">
        <is>
          <t>3108</t>
        </is>
      </c>
      <c r="B3139" s="4" t="s">
        <f>=HYPERLINK("http://anyluxury.ru/shop/odezhda/detskaya-odezhda/bryuki-jared-women-chernie-02918312/" , "02918312 Брюки JARED WOMEN черные, размер 44")</f>
      </c>
      <c r="C3139" s="4" t="n">
        <v>5488.00</v>
      </c>
      <c r="D3139" s="4"/>
    </row>
    <row collapsed="" customFormat="false" customHeight="1" hidden="" ht="14" outlineLevel="0" r="3140">
      <c r="A3140" s="3" t="inlineStr">
        <is>
          <t>3109</t>
        </is>
      </c>
      <c r="B3140" s="4" t="s">
        <f>=HYPERLINK("http://anyluxury.ru/shop/odezhda/detskaya-odezhda/bryuki-jared-women-golubie-02918250/" , "02918250 Брюки JARED WOMEN голубые, размер 36")</f>
      </c>
      <c r="C3140" s="4" t="n">
        <v>5488.00</v>
      </c>
      <c r="D3140" s="4"/>
    </row>
    <row collapsed="" customFormat="false" customHeight="1" hidden="" ht="14" outlineLevel="0" r="3141">
      <c r="A3141" s="3" t="inlineStr">
        <is>
          <t>3110</t>
        </is>
      </c>
      <c r="B3141" s="4" t="s">
        <f>=HYPERLINK("http://anyluxury.ru/shop/odezhda/detskaya-odezhda/bryuki-jared-women-golubie-02918250/" , "02918250 Брюки JARED WOMEN голубые, размер 38")</f>
      </c>
      <c r="C3141" s="4" t="n">
        <v>5488.00</v>
      </c>
      <c r="D3141" s="4"/>
    </row>
    <row collapsed="" customFormat="false" customHeight="1" hidden="" ht="14" outlineLevel="0" r="3142">
      <c r="A3142" s="3" t="inlineStr">
        <is>
          <t>3111</t>
        </is>
      </c>
      <c r="B3142" s="4" t="s">
        <f>=HYPERLINK("http://anyluxury.ru/shop/odezhda/detskaya-odezhda/bryuki-jared-women-golubie-02918250/" , "02918250 Брюки JARED WOMEN голубые, размер 40")</f>
      </c>
      <c r="C3142" s="4" t="n">
        <v>5488.00</v>
      </c>
      <c r="D3142" s="4"/>
    </row>
    <row collapsed="" customFormat="false" customHeight="1" hidden="" ht="14" outlineLevel="0" r="3143">
      <c r="A3143" s="3" t="inlineStr">
        <is>
          <t>3112</t>
        </is>
      </c>
      <c r="B3143" s="4" t="s">
        <f>=HYPERLINK("http://anyluxury.ru/shop/odezhda/detskaya-odezhda/bryuki-jared-women-golubie-02918250/" , "02918250 Брюки JARED WOMEN голубые, размер 42")</f>
      </c>
      <c r="C3143" s="4" t="n">
        <v>5488.00</v>
      </c>
      <c r="D3143" s="4"/>
    </row>
    <row collapsed="" customFormat="false" customHeight="1" hidden="" ht="14" outlineLevel="0" r="3144">
      <c r="A3144" s="3" t="inlineStr">
        <is>
          <t>3113</t>
        </is>
      </c>
      <c r="B3144" s="4" t="s">
        <f>=HYPERLINK("http://anyluxury.ru/shop/odezhda/detskaya-odezhda/bryuki-jared-women-temnosinie-02918319/" , "02918319 Брюки JARED WOMEN темно-синие, размер 38")</f>
      </c>
      <c r="C3144" s="4" t="n">
        <v>5488.00</v>
      </c>
      <c r="D3144" s="4"/>
    </row>
    <row collapsed="" customFormat="false" customHeight="1" hidden="" ht="14" outlineLevel="0" r="3145">
      <c r="A3145" s="3" t="inlineStr">
        <is>
          <t>3114</t>
        </is>
      </c>
      <c r="B3145" s="4" t="s">
        <f>=HYPERLINK("http://anyluxury.ru/shop/odezhda/detskaya-odezhda/bryuki-jared-women-temnosinie-02918319/" , "02918319 Брюки JARED WOMEN темно-синие, размер 40")</f>
      </c>
      <c r="C3145" s="4" t="n">
        <v>5488.00</v>
      </c>
      <c r="D3145" s="4"/>
    </row>
    <row collapsed="" customFormat="false" customHeight="1" hidden="" ht="14" outlineLevel="0" r="3146">
      <c r="A3146" s="3" t="inlineStr">
        <is>
          <t>3115</t>
        </is>
      </c>
      <c r="B3146" s="4" t="s">
        <f>=HYPERLINK("http://anyluxury.ru/shop/odezhda/detskaya-odezhda/bryuki-jared-women-temnosinie-02918319/" , "02918319 Брюки JARED WOMEN темно-синие, размер 42")</f>
      </c>
      <c r="C3146" s="4" t="n">
        <v>5488.00</v>
      </c>
      <c r="D3146" s="4"/>
    </row>
    <row collapsed="" customFormat="false" customHeight="1" hidden="" ht="14" outlineLevel="0" r="3147">
      <c r="A3147" s="3" t="inlineStr">
        <is>
          <t>3116</t>
        </is>
      </c>
      <c r="B3147" s="4" t="s">
        <f>=HYPERLINK("http://anyluxury.ru/shop/odezhda/detskaya-odezhda/bryuki-jared-women-temnosinie-02918319/" , "02918319 Брюки JARED WOMEN темно-синие, размер 44")</f>
      </c>
      <c r="C3147" s="4" t="n">
        <v>5488.00</v>
      </c>
      <c r="D3147" s="4"/>
    </row>
    <row collapsed="" customFormat="false" customHeight="1" hidden="" ht="14" outlineLevel="0" r="3148">
      <c r="A3148" s="3" t="inlineStr">
        <is>
          <t>3117</t>
        </is>
      </c>
      <c r="B3148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S")</f>
      </c>
      <c r="C3148" s="4" t="n">
        <v>1235.00</v>
      </c>
      <c r="D3148" s="4"/>
    </row>
    <row collapsed="" customFormat="false" customHeight="1" hidden="" ht="14" outlineLevel="0" r="3149">
      <c r="A3149" s="3" t="inlineStr">
        <is>
          <t>3118</t>
        </is>
      </c>
      <c r="B3149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M")</f>
      </c>
      <c r="C3149" s="4" t="n">
        <v>1235.00</v>
      </c>
      <c r="D3149" s="4"/>
    </row>
    <row collapsed="" customFormat="false" customHeight="1" hidden="" ht="14" outlineLevel="0" r="3150">
      <c r="A3150" s="3" t="inlineStr">
        <is>
          <t>3119</t>
        </is>
      </c>
      <c r="B3150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L")</f>
      </c>
      <c r="C3150" s="4" t="n">
        <v>1235.00</v>
      </c>
      <c r="D3150" s="4"/>
    </row>
    <row collapsed="" customFormat="false" customHeight="1" hidden="" ht="14" outlineLevel="0" r="3151">
      <c r="A3151" s="3" t="inlineStr">
        <is>
          <t>3120</t>
        </is>
      </c>
      <c r="B3151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XL")</f>
      </c>
      <c r="C3151" s="4" t="n">
        <v>1235.00</v>
      </c>
      <c r="D3151" s="4"/>
    </row>
    <row collapsed="" customFormat="false" customHeight="1" hidden="" ht="14" outlineLevel="0" r="3152">
      <c r="A3152" s="3" t="inlineStr">
        <is>
          <t>3121</t>
        </is>
      </c>
      <c r="B3152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XXL")</f>
      </c>
      <c r="C3152" s="4" t="n">
        <v>1235.00</v>
      </c>
      <c r="D3152" s="4"/>
    </row>
    <row collapsed="" customFormat="false" customHeight="1" hidden="" ht="14" outlineLevel="0" r="3153">
      <c r="A3153" s="3" t="inlineStr">
        <is>
          <t>3122</t>
        </is>
      </c>
      <c r="B3153" s="4" t="s">
        <f>=HYPERLINK("http://anyluxury.ru/shop/odezhda/detskaya-odezhda/tolstovka-uniseks-seattle-seriy-melanzh-s-bordovim-02998113/" , "02998113 Толстовка унисекс SEATTLE серый меланж/бордовый, размер M")</f>
      </c>
      <c r="C3153" s="4" t="n">
        <v>3815.00</v>
      </c>
      <c r="D3153" s="4"/>
    </row>
    <row collapsed="" customFormat="false" customHeight="1" hidden="" ht="14" outlineLevel="0" r="3154">
      <c r="A3154" s="3" t="inlineStr">
        <is>
          <t>3123</t>
        </is>
      </c>
      <c r="B3154" s="4" t="s">
        <f>=HYPERLINK("http://anyluxury.ru/shop/odezhda/detskaya-odezhda/tolstovka-uniseks-seattle-seriy-melanzh-s-bordovim-02998113/" , "02998113 Толстовка унисекс SEATTLE серый меланж/бордовый, размер XL")</f>
      </c>
      <c r="C3154" s="4" t="n">
        <v>3815.00</v>
      </c>
      <c r="D3154" s="4"/>
    </row>
    <row collapsed="" customFormat="false" customHeight="1" hidden="" ht="14" outlineLevel="0" r="3155">
      <c r="A3155" s="3" t="inlineStr">
        <is>
          <t>3124</t>
        </is>
      </c>
      <c r="B3155" s="4" t="s">
        <f>=HYPERLINK("http://anyluxury.ru/shop/odezhda/detskaya-odezhda/tolstovka-uniseks-seattle-seriy-melanzh-s-bordovim-02998113/" , "02998113 Толстовка унисекс SEATTLE серый меланж/бордовый, размер XXL")</f>
      </c>
      <c r="C3155" s="4" t="n">
        <v>3815.00</v>
      </c>
      <c r="D3155" s="4"/>
    </row>
    <row collapsed="" customFormat="false" customHeight="1" hidden="" ht="14" outlineLevel="0" r="3156">
      <c r="A3156" s="3" t="inlineStr">
        <is>
          <t>3125</t>
        </is>
      </c>
      <c r="B3156" s="4" t="s">
        <f>=HYPERLINK("http://anyluxury.ru/shop/odezhda/detskaya-odezhda/tolstovka-uniseks-seattle-seriy-melanzh-s-bordovim-02998113/" , "02998113 Толстовка унисекс SEATTLE серый меланж/бордовый, размер 3XL")</f>
      </c>
      <c r="C3156" s="4" t="n">
        <v>4225.00</v>
      </c>
      <c r="D3156" s="4"/>
    </row>
    <row collapsed="" customFormat="false" customHeight="1" hidden="" ht="14" outlineLevel="0" r="3157">
      <c r="A3157" s="3" t="inlineStr">
        <is>
          <t>3126</t>
        </is>
      </c>
      <c r="B3157" s="4" t="s">
        <f>=HYPERLINK("http://anyluxury.ru/shop/odezhda/detskaya-odezhda/tolstovka-uniseks-seattle-seriy-melanzh-c-temnosinim-02998110/" , "02998110 Толстовка унисекс SEATTLE серый меланж/темно-синий, размер XS")</f>
      </c>
      <c r="C3157" s="4" t="n">
        <v>3815.00</v>
      </c>
      <c r="D3157" s="4"/>
    </row>
    <row collapsed="" customFormat="false" customHeight="1" hidden="" ht="14" outlineLevel="0" r="3158">
      <c r="A3158" s="3" t="inlineStr">
        <is>
          <t>3127</t>
        </is>
      </c>
      <c r="B3158" s="4" t="s">
        <f>=HYPERLINK("http://anyluxury.ru/shop/odezhda/detskaya-odezhda/tolstovka-uniseks-seattle-seriy-melanzh-c-temnosinim-02998110/" , "02998110 Толстовка унисекс SEATTLE серый меланж/темно-синий, размер S")</f>
      </c>
      <c r="C3158" s="4" t="n">
        <v>3815.00</v>
      </c>
      <c r="D3158" s="4"/>
    </row>
    <row collapsed="" customFormat="false" customHeight="1" hidden="" ht="14" outlineLevel="0" r="3159">
      <c r="A3159" s="3" t="inlineStr">
        <is>
          <t>3128</t>
        </is>
      </c>
      <c r="B3159" s="4" t="s">
        <f>=HYPERLINK("http://anyluxury.ru/shop/odezhda/detskaya-odezhda/tolstovka-uniseks-seattle-seriy-melanzh-c-temnosinim-02998110/" , "02998110 Толстовка унисекс SEATTLE серый меланж/темно-синий, размер 3XL")</f>
      </c>
      <c r="C3159" s="4" t="n">
        <v>4225.00</v>
      </c>
      <c r="D3159" s="4"/>
    </row>
    <row collapsed="" customFormat="false" customHeight="1" hidden="" ht="14" outlineLevel="0" r="3160">
      <c r="A3160" s="3" t="inlineStr">
        <is>
          <t>3129</t>
        </is>
      </c>
      <c r="B3160" s="4" t="s">
        <f>=HYPERLINK("http://anyluxury.ru/shop/odezhda/detskaya-odezhda/tolstovka-uniseks-seattle-belaya-s-temnosinim-02998904/" , "02998904 Толстовка унисекс SEATTLE белая с темно-синим, размер XS")</f>
      </c>
      <c r="C3160" s="4" t="n">
        <v>3815.00</v>
      </c>
      <c r="D3160" s="4"/>
    </row>
    <row collapsed="" customFormat="false" customHeight="1" hidden="" ht="14" outlineLevel="0" r="3161">
      <c r="A3161" s="3" t="inlineStr">
        <is>
          <t>3130</t>
        </is>
      </c>
      <c r="B3161" s="4" t="s">
        <f>=HYPERLINK("http://anyluxury.ru/shop/odezhda/detskaya-odezhda/tolstovka-uniseks-seattle-belaya-s-temnosinim-02998904/" , "02998904 Толстовка унисекс SEATTLE белая с темно-синим, размер S")</f>
      </c>
      <c r="C3161" s="4" t="n">
        <v>3815.00</v>
      </c>
      <c r="D3161" s="4"/>
    </row>
    <row collapsed="" customFormat="false" customHeight="1" hidden="" ht="14" outlineLevel="0" r="3162">
      <c r="A3162" s="3" t="inlineStr">
        <is>
          <t>3131</t>
        </is>
      </c>
      <c r="B3162" s="4" t="s">
        <f>=HYPERLINK("http://anyluxury.ru/shop/odezhda/detskaya-odezhda/tolstovka-uniseks-seattle-belaya-s-temnosinim-02998904/" , "02998904 Толстовка унисекс SEATTLE белая с темно-синим, размер 3XL")</f>
      </c>
      <c r="C3162" s="4" t="n">
        <v>4225.00</v>
      </c>
      <c r="D3162" s="4"/>
    </row>
    <row collapsed="" customFormat="false" customHeight="1" hidden="" ht="14" outlineLevel="0" r="3163">
      <c r="A3163" s="3" t="inlineStr">
        <is>
          <t>3132</t>
        </is>
      </c>
      <c r="B3163" s="4" t="s">
        <f>=HYPERLINK("http://anyluxury.ru/shop/odezhda/detskaya-odezhda/tolstovka-uniseks-spencer-chernaya-02991312/" , "02991312 Толстовка унисекс SPENCER черная, размер XS")</f>
      </c>
      <c r="C3163" s="4" t="n">
        <v>3196.00</v>
      </c>
      <c r="D3163" s="4"/>
    </row>
    <row collapsed="" customFormat="false" customHeight="1" hidden="" ht="14" outlineLevel="0" r="3164">
      <c r="A3164" s="3" t="inlineStr">
        <is>
          <t>3133</t>
        </is>
      </c>
      <c r="B3164" s="4" t="s">
        <f>=HYPERLINK("http://anyluxury.ru/shop/odezhda/detskaya-odezhda/tolstovka-uniseks-spencer-chernaya-02991312/" , "02991312 Толстовка унисекс SPENCER черная, размер S")</f>
      </c>
      <c r="C3164" s="4" t="n">
        <v>3196.00</v>
      </c>
      <c r="D3164" s="4"/>
    </row>
    <row collapsed="" customFormat="false" customHeight="1" hidden="" ht="14" outlineLevel="0" r="3165">
      <c r="A3165" s="3" t="inlineStr">
        <is>
          <t>3134</t>
        </is>
      </c>
      <c r="B3165" s="4" t="s">
        <f>=HYPERLINK("http://anyluxury.ru/shop/odezhda/detskaya-odezhda/tolstovka-uniseks-spencer-chernaya-02991312/" , "02991312 Толстовка унисекс SPENCER черная, размер M")</f>
      </c>
      <c r="C3165" s="4" t="n">
        <v>3196.00</v>
      </c>
      <c r="D3165" s="4"/>
    </row>
    <row collapsed="" customFormat="false" customHeight="1" hidden="" ht="14" outlineLevel="0" r="3166">
      <c r="A3166" s="3" t="inlineStr">
        <is>
          <t>3135</t>
        </is>
      </c>
      <c r="B3166" s="4" t="s">
        <f>=HYPERLINK("http://anyluxury.ru/shop/odezhda/detskaya-odezhda/tolstovka-uniseks-spencer-chernaya-02991312/" , "02991312 Толстовка унисекс SPENCER черная, размер L")</f>
      </c>
      <c r="C3166" s="4" t="n">
        <v>3196.00</v>
      </c>
      <c r="D3166" s="4"/>
    </row>
    <row collapsed="" customFormat="false" customHeight="1" hidden="" ht="14" outlineLevel="0" r="3167">
      <c r="A3167" s="3" t="inlineStr">
        <is>
          <t>3136</t>
        </is>
      </c>
      <c r="B3167" s="4" t="s">
        <f>=HYPERLINK("http://anyluxury.ru/shop/odezhda/detskaya-odezhda/tolstovka-uniseks-spencer-chernaya-02991312/" , "02991312 Толстовка унисекс SPENCER черная, размер XL")</f>
      </c>
      <c r="C3167" s="4" t="n">
        <v>3196.00</v>
      </c>
      <c r="D3167" s="4"/>
    </row>
    <row collapsed="" customFormat="false" customHeight="1" hidden="" ht="14" outlineLevel="0" r="3168">
      <c r="A3168" s="3" t="inlineStr">
        <is>
          <t>3137</t>
        </is>
      </c>
      <c r="B3168" s="4" t="s">
        <f>=HYPERLINK("http://anyluxury.ru/shop/odezhda/detskaya-odezhda/tolstovka-uniseks-spencer-chernaya-02991312/" , "02991312 Толстовка унисекс SPENCER черная, размер XXL")</f>
      </c>
      <c r="C3168" s="4" t="n">
        <v>3196.00</v>
      </c>
      <c r="D3168" s="4"/>
    </row>
    <row collapsed="" customFormat="false" customHeight="1" hidden="" ht="14" outlineLevel="0" r="3169">
      <c r="A3169" s="3" t="inlineStr">
        <is>
          <t>3138</t>
        </is>
      </c>
      <c r="B3169" s="4" t="s">
        <f>=HYPERLINK("http://anyluxury.ru/shop/odezhda/detskaya-odezhda/tolstovka-uniseks-spencer-chernaya-02991312/" , "02991312 Толстовка унисекс SPENCER черная, размер 3XL")</f>
      </c>
      <c r="C3169" s="4" t="n">
        <v>3573.00</v>
      </c>
      <c r="D3169" s="4"/>
    </row>
    <row collapsed="" customFormat="false" customHeight="1" hidden="" ht="14" outlineLevel="0" r="3170">
      <c r="A3170" s="3" t="inlineStr">
        <is>
          <t>3139</t>
        </is>
      </c>
      <c r="B3170" s="4" t="s">
        <f>=HYPERLINK("http://anyluxury.ru/shop/odezhda/detskaya-odezhda/tolstovka-uniseks-spencer-golubaya-02991251/" , "02991251 Толстовка унисекс SPENCER голубая, размер XS")</f>
      </c>
      <c r="C3170" s="4" t="n">
        <v>3196.00</v>
      </c>
      <c r="D3170" s="4"/>
    </row>
    <row collapsed="" customFormat="false" customHeight="1" hidden="" ht="14" outlineLevel="0" r="3171">
      <c r="A3171" s="3" t="inlineStr">
        <is>
          <t>3140</t>
        </is>
      </c>
      <c r="B3171" s="4" t="s">
        <f>=HYPERLINK("http://anyluxury.ru/shop/odezhda/detskaya-odezhda/tolstovka-uniseks-spencer-golubaya-02991251/" , "02991251 Толстовка унисекс SPENCER голубая, размер S")</f>
      </c>
      <c r="C3171" s="4" t="n">
        <v>3196.00</v>
      </c>
      <c r="D3171" s="4"/>
    </row>
    <row collapsed="" customFormat="false" customHeight="1" hidden="" ht="14" outlineLevel="0" r="3172">
      <c r="A3172" s="3" t="inlineStr">
        <is>
          <t>3141</t>
        </is>
      </c>
      <c r="B3172" s="4" t="s">
        <f>=HYPERLINK("http://anyluxury.ru/shop/odezhda/detskaya-odezhda/tolstovka-uniseks-spencer-golubaya-02991251/" , "02991251 Толстовка унисекс SPENCER голубая, размер M")</f>
      </c>
      <c r="C3172" s="4" t="n">
        <v>3196.00</v>
      </c>
      <c r="D3172" s="4"/>
    </row>
    <row collapsed="" customFormat="false" customHeight="1" hidden="" ht="14" outlineLevel="0" r="3173">
      <c r="A3173" s="3" t="inlineStr">
        <is>
          <t>3142</t>
        </is>
      </c>
      <c r="B3173" s="4" t="s">
        <f>=HYPERLINK("http://anyluxury.ru/shop/odezhda/detskaya-odezhda/tolstovka-uniseks-spencer-golubaya-02991251/" , "02991251 Толстовка унисекс SPENCER голубая, размер L")</f>
      </c>
      <c r="C3173" s="4" t="n">
        <v>3196.00</v>
      </c>
      <c r="D3173" s="4"/>
    </row>
    <row collapsed="" customFormat="false" customHeight="1" hidden="" ht="14" outlineLevel="0" r="3174">
      <c r="A3174" s="3" t="inlineStr">
        <is>
          <t>3143</t>
        </is>
      </c>
      <c r="B3174" s="4" t="s">
        <f>=HYPERLINK("http://anyluxury.ru/shop/odezhda/detskaya-odezhda/tolstovka-uniseks-spencer-golubaya-02991251/" , "02991251 Толстовка унисекс SPENCER голубая, размер XL")</f>
      </c>
      <c r="C3174" s="4" t="n">
        <v>3196.00</v>
      </c>
      <c r="D3174" s="4"/>
    </row>
    <row collapsed="" customFormat="false" customHeight="1" hidden="" ht="14" outlineLevel="0" r="3175">
      <c r="A3175" s="3" t="inlineStr">
        <is>
          <t>3144</t>
        </is>
      </c>
      <c r="B3175" s="4" t="s">
        <f>=HYPERLINK("http://anyluxury.ru/shop/odezhda/detskaya-odezhda/tolstovka-uniseks-spencer-golubaya-02991251/" , "02991251 Толстовка унисекс SPENCER, голубая, размер XXL")</f>
      </c>
      <c r="C3175" s="4" t="n">
        <v>3196.00</v>
      </c>
      <c r="D3175" s="4"/>
    </row>
    <row collapsed="" customFormat="false" customHeight="1" hidden="" ht="14" outlineLevel="0" r="3176">
      <c r="A3176" s="3" t="inlineStr">
        <is>
          <t>3145</t>
        </is>
      </c>
      <c r="B3176" s="4" t="s">
        <f>=HYPERLINK("http://anyluxury.ru/shop/odezhda/detskaya-odezhda/tolstovka-uniseks-spencer-golubaya-02991251/" , "02991251 Толстовка унисекс SPENCER, голубая, размер 3XL")</f>
      </c>
      <c r="C3176" s="4" t="n">
        <v>3573.00</v>
      </c>
      <c r="D3176" s="4"/>
    </row>
    <row collapsed="" customFormat="false" customHeight="1" hidden="" ht="14" outlineLevel="0" r="3177">
      <c r="A3177" s="3" t="inlineStr">
        <is>
          <t>3146</t>
        </is>
      </c>
      <c r="B3177" s="4" t="s">
        <f>=HYPERLINK("http://anyluxury.ru/shop/odezhda/detskaya-odezhda/tolstovka-uniseks-spencer-rozovaya-02991143/" , "02991143 Толстовка унисекс SPENCER розовая, размер XS")</f>
      </c>
      <c r="C3177" s="4" t="n">
        <v>3196.00</v>
      </c>
      <c r="D3177" s="4"/>
    </row>
    <row collapsed="" customFormat="false" customHeight="1" hidden="" ht="14" outlineLevel="0" r="3178">
      <c r="A3178" s="3" t="inlineStr">
        <is>
          <t>3147</t>
        </is>
      </c>
      <c r="B3178" s="4" t="s">
        <f>=HYPERLINK("http://anyluxury.ru/shop/odezhda/detskaya-odezhda/tolstovka-uniseks-spencer-rozovaya-02991143/" , "02991143 Толстовка унисекс SPENCER розовая, размер S")</f>
      </c>
      <c r="C3178" s="4" t="n">
        <v>3196.00</v>
      </c>
      <c r="D3178" s="4"/>
    </row>
    <row collapsed="" customFormat="false" customHeight="1" hidden="" ht="14" outlineLevel="0" r="3179">
      <c r="A3179" s="3" t="inlineStr">
        <is>
          <t>3148</t>
        </is>
      </c>
      <c r="B3179" s="4" t="s">
        <f>=HYPERLINK("http://anyluxury.ru/shop/odezhda/detskaya-odezhda/tolstovka-uniseks-spencer-rozovaya-02991143/" , "02991143 Толстовка унисекс SPENCER розовая, размер M")</f>
      </c>
      <c r="C3179" s="4" t="n">
        <v>3196.00</v>
      </c>
      <c r="D3179" s="4"/>
    </row>
    <row collapsed="" customFormat="false" customHeight="1" hidden="" ht="14" outlineLevel="0" r="3180">
      <c r="A3180" s="3" t="inlineStr">
        <is>
          <t>3149</t>
        </is>
      </c>
      <c r="B3180" s="4" t="s">
        <f>=HYPERLINK("http://anyluxury.ru/shop/odezhda/detskaya-odezhda/tolstovka-uniseks-spencer-rozovaya-02991143/" , "02991143 Толстовка унисекс SPENCER розовая, размер L")</f>
      </c>
      <c r="C3180" s="4" t="n">
        <v>3196.00</v>
      </c>
      <c r="D3180" s="4"/>
    </row>
    <row collapsed="" customFormat="false" customHeight="1" hidden="" ht="14" outlineLevel="0" r="3181">
      <c r="A3181" s="3" t="inlineStr">
        <is>
          <t>3150</t>
        </is>
      </c>
      <c r="B3181" s="4" t="s">
        <f>=HYPERLINK("http://anyluxury.ru/shop/odezhda/detskaya-odezhda/tolstovka-uniseks-spencer-rozovaya-02991143/" , "02991143 Толстовка унисекс SPENCER розовая, размер XL")</f>
      </c>
      <c r="C3181" s="4" t="n">
        <v>3196.00</v>
      </c>
      <c r="D3181" s="4"/>
    </row>
    <row collapsed="" customFormat="false" customHeight="1" hidden="" ht="14" outlineLevel="0" r="3182">
      <c r="A3182" s="3" t="inlineStr">
        <is>
          <t>3151</t>
        </is>
      </c>
      <c r="B3182" s="4" t="s">
        <f>=HYPERLINK("http://anyluxury.ru/shop/odezhda/detskaya-odezhda/tolstovka-uniseks-spencer-rozovaya-02991143/" , "02991143 Толстовка унисекс SPENCER, розовая, размер XXL")</f>
      </c>
      <c r="C3182" s="4" t="n">
        <v>3196.00</v>
      </c>
      <c r="D3182" s="4"/>
    </row>
    <row collapsed="" customFormat="false" customHeight="1" hidden="" ht="14" outlineLevel="0" r="3183">
      <c r="A3183" s="3" t="inlineStr">
        <is>
          <t>3152</t>
        </is>
      </c>
      <c r="B3183" s="4" t="s">
        <f>=HYPERLINK("http://anyluxury.ru/shop/odezhda/detskaya-odezhda/tolstovka-uniseks-spencer-rozovaya-02991143/" , "02991143 Толстовка унисекс SPENCER, розовая, размер 3XL")</f>
      </c>
      <c r="C3183" s="4" t="n">
        <v>3573.00</v>
      </c>
      <c r="D3183" s="4"/>
    </row>
    <row collapsed="" customFormat="false" customHeight="1" hidden="" ht="14" outlineLevel="0" r="3184">
      <c r="A3184" s="3" t="inlineStr">
        <is>
          <t>3153</t>
        </is>
      </c>
      <c r="B3184" s="4" t="s">
        <f>=HYPERLINK("http://anyluxury.ru/shop/odezhda/detskaya-odezhda/tolstovka-uniseks-spencer-temnosinyaya-02991319/" , "02991319 Толстовка унисекс SPENCER темно-синяя, размер XS")</f>
      </c>
      <c r="C3184" s="4" t="n">
        <v>3196.00</v>
      </c>
      <c r="D3184" s="4"/>
    </row>
    <row collapsed="" customFormat="false" customHeight="1" hidden="" ht="14" outlineLevel="0" r="3185">
      <c r="A3185" s="3" t="inlineStr">
        <is>
          <t>3154</t>
        </is>
      </c>
      <c r="B3185" s="4" t="s">
        <f>=HYPERLINK("http://anyluxury.ru/shop/odezhda/detskaya-odezhda/tolstovka-uniseks-spencer-temnosinyaya-02991319/" , "02991319 Толстовка унисекс SPENCER темно-синяя, размер S")</f>
      </c>
      <c r="C3185" s="4" t="n">
        <v>3196.00</v>
      </c>
      <c r="D3185" s="4"/>
    </row>
    <row collapsed="" customFormat="false" customHeight="1" hidden="" ht="14" outlineLevel="0" r="3186">
      <c r="A3186" s="3" t="inlineStr">
        <is>
          <t>3155</t>
        </is>
      </c>
      <c r="B3186" s="4" t="s">
        <f>=HYPERLINK("http://anyluxury.ru/shop/odezhda/detskaya-odezhda/tolstovka-uniseks-spencer-temnosinyaya-02991319/" , "02991319 Толстовка унисекс SPENCER темно-синяя, размер M")</f>
      </c>
      <c r="C3186" s="4" t="n">
        <v>3196.00</v>
      </c>
      <c r="D3186" s="4"/>
    </row>
    <row collapsed="" customFormat="false" customHeight="1" hidden="" ht="14" outlineLevel="0" r="3187">
      <c r="A3187" s="3" t="inlineStr">
        <is>
          <t>3156</t>
        </is>
      </c>
      <c r="B3187" s="4" t="s">
        <f>=HYPERLINK("http://anyluxury.ru/shop/odezhda/detskaya-odezhda/tolstovka-uniseks-spencer-temnosinyaya-02991319/" , "02991319 Толстовка унисекс SPENCER темно-синяя, размер L")</f>
      </c>
      <c r="C3187" s="4" t="n">
        <v>3196.00</v>
      </c>
      <c r="D3187" s="4"/>
    </row>
    <row collapsed="" customFormat="false" customHeight="1" hidden="" ht="14" outlineLevel="0" r="3188">
      <c r="A3188" s="3" t="inlineStr">
        <is>
          <t>3157</t>
        </is>
      </c>
      <c r="B3188" s="4" t="s">
        <f>=HYPERLINK("http://anyluxury.ru/shop/odezhda/detskaya-odezhda/tolstovka-uniseks-spencer-temnosinyaya-02991319/" , "02991319 Толстовка унисекс SPENCER темно-синяя, размер XL")</f>
      </c>
      <c r="C3188" s="4" t="n">
        <v>3196.00</v>
      </c>
      <c r="D3188" s="4"/>
    </row>
    <row collapsed="" customFormat="false" customHeight="1" hidden="" ht="14" outlineLevel="0" r="3189">
      <c r="A3189" s="3" t="inlineStr">
        <is>
          <t>3158</t>
        </is>
      </c>
      <c r="B3189" s="4" t="s">
        <f>=HYPERLINK("http://anyluxury.ru/shop/odezhda/detskaya-odezhda/tolstovka-uniseks-spencer-seriy-melanzh-02991360/" , "02991360 Толстовка унисекс SPENCER серый меланж, размер XS")</f>
      </c>
      <c r="C3189" s="4" t="n">
        <v>3196.00</v>
      </c>
      <c r="D3189" s="4"/>
    </row>
    <row collapsed="" customFormat="false" customHeight="1" hidden="" ht="14" outlineLevel="0" r="3190">
      <c r="A3190" s="3" t="inlineStr">
        <is>
          <t>3159</t>
        </is>
      </c>
      <c r="B3190" s="4" t="s">
        <f>=HYPERLINK("http://anyluxury.ru/shop/odezhda/detskaya-odezhda/tolstovka-uniseks-spencer-seriy-melanzh-02991360/" , "02991360 Толстовка унисекс SPENCER серый меланж, размер S")</f>
      </c>
      <c r="C3190" s="4" t="n">
        <v>3196.00</v>
      </c>
      <c r="D3190" s="4"/>
    </row>
    <row collapsed="" customFormat="false" customHeight="1" hidden="" ht="14" outlineLevel="0" r="3191">
      <c r="A3191" s="3" t="inlineStr">
        <is>
          <t>3160</t>
        </is>
      </c>
      <c r="B3191" s="4" t="s">
        <f>=HYPERLINK("http://anyluxury.ru/shop/odezhda/detskaya-odezhda/tolstovka-uniseks-spencer-seriy-melanzh-02991360/" , "02991360 Толстовка унисекс SPENCER серый меланж, размер M")</f>
      </c>
      <c r="C3191" s="4" t="n">
        <v>3196.00</v>
      </c>
      <c r="D3191" s="4"/>
    </row>
    <row collapsed="" customFormat="false" customHeight="1" hidden="" ht="14" outlineLevel="0" r="3192">
      <c r="A3192" s="3" t="inlineStr">
        <is>
          <t>3161</t>
        </is>
      </c>
      <c r="B3192" s="4" t="s">
        <f>=HYPERLINK("http://anyluxury.ru/shop/odezhda/detskaya-odezhda/tolstovka-uniseks-spencer-seriy-melanzh-02991360/" , "02991360 Толстовка унисекс SPENCER серый меланж, размер L")</f>
      </c>
      <c r="C3192" s="4" t="n">
        <v>3196.00</v>
      </c>
      <c r="D3192" s="4"/>
    </row>
    <row collapsed="" customFormat="false" customHeight="1" hidden="" ht="14" outlineLevel="0" r="3193">
      <c r="A3193" s="3" t="inlineStr">
        <is>
          <t>3162</t>
        </is>
      </c>
      <c r="B3193" s="4" t="s">
        <f>=HYPERLINK("http://anyluxury.ru/shop/odezhda/detskaya-odezhda/tolstovka-uniseks-spencer-seriy-melanzh-02991360/" , "02991360 Толстовка унисекс SPENCER серый меланж, размер XL")</f>
      </c>
      <c r="C3193" s="4" t="n">
        <v>3196.00</v>
      </c>
      <c r="D3193" s="4"/>
    </row>
    <row collapsed="" customFormat="false" customHeight="1" hidden="" ht="14" outlineLevel="0" r="3194">
      <c r="A3194" s="3" t="inlineStr">
        <is>
          <t>3163</t>
        </is>
      </c>
      <c r="B3194" s="4" t="s">
        <f>=HYPERLINK("http://anyluxury.ru/shop/odezhda/detskaya-odezhda/tolstovka-uniseks-spencer-seriy-melanzh-02991360/" , "02991360 Толстовка унисекс SPENCER серый меланж, размер XXL")</f>
      </c>
      <c r="C3194" s="4" t="n">
        <v>3196.00</v>
      </c>
      <c r="D3194" s="4"/>
    </row>
    <row collapsed="" customFormat="false" customHeight="1" hidden="" ht="14" outlineLevel="0" r="3195">
      <c r="A3195" s="3" t="inlineStr">
        <is>
          <t>3164</t>
        </is>
      </c>
      <c r="B3195" s="4" t="s">
        <f>=HYPERLINK("http://anyluxury.ru/shop/odezhda/detskaya-odezhda/tolstovka-uniseks-spencer-seriy-melanzh-02991360/" , "02991360 Толстовка унисекс SPENCER серый меланж, размер 3XL")</f>
      </c>
      <c r="C3195" s="4" t="n">
        <v>3573.00</v>
      </c>
      <c r="D3195" s="4"/>
    </row>
    <row collapsed="" customFormat="false" customHeight="1" hidden="" ht="14" outlineLevel="0" r="3196">
      <c r="A3196" s="3" t="inlineStr">
        <is>
          <t>3165</t>
        </is>
      </c>
      <c r="B3196" s="4" t="s">
        <f>=HYPERLINK("http://anyluxury.ru/shop/odezhda/detskaya-odezhda/tolstovka-uniseks-spencer-siniy-melanzh-02991222/" , "02991222 Толстовка унисекс SPENCER синий меланж, размер XS")</f>
      </c>
      <c r="C3196" s="4" t="n">
        <v>3196.00</v>
      </c>
      <c r="D3196" s="4"/>
    </row>
    <row collapsed="" customFormat="false" customHeight="1" hidden="" ht="14" outlineLevel="0" r="3197">
      <c r="A3197" s="3" t="inlineStr">
        <is>
          <t>3166</t>
        </is>
      </c>
      <c r="B3197" s="4" t="s">
        <f>=HYPERLINK("http://anyluxury.ru/shop/odezhda/detskaya-odezhda/tolstovka-uniseks-spencer-siniy-melanzh-02991222/" , "02991222 Толстовка унисекс SPENCER синий меланж, размер S")</f>
      </c>
      <c r="C3197" s="4" t="n">
        <v>3196.00</v>
      </c>
      <c r="D3197" s="4"/>
    </row>
    <row collapsed="" customFormat="false" customHeight="1" hidden="" ht="14" outlineLevel="0" r="3198">
      <c r="A3198" s="3" t="inlineStr">
        <is>
          <t>3167</t>
        </is>
      </c>
      <c r="B3198" s="4" t="s">
        <f>=HYPERLINK("http://anyluxury.ru/shop/odezhda/detskaya-odezhda/tolstovka-uniseks-spencer-siniy-melanzh-02991222/" , "02991222 Толстовка унисекс SPENCER синий меланж, размер M")</f>
      </c>
      <c r="C3198" s="4" t="n">
        <v>3196.00</v>
      </c>
      <c r="D3198" s="4"/>
    </row>
    <row collapsed="" customFormat="false" customHeight="1" hidden="" ht="14" outlineLevel="0" r="3199">
      <c r="A3199" s="3" t="inlineStr">
        <is>
          <t>3168</t>
        </is>
      </c>
      <c r="B3199" s="4" t="s">
        <f>=HYPERLINK("http://anyluxury.ru/shop/odezhda/detskaya-odezhda/tolstovka-uniseks-spencer-siniy-melanzh-02991222/" , "02991222 Толстовка унисекс SPENCER синий меланж, размер L")</f>
      </c>
      <c r="C3199" s="4" t="n">
        <v>3196.00</v>
      </c>
      <c r="D3199" s="4"/>
    </row>
    <row collapsed="" customFormat="false" customHeight="1" hidden="" ht="14" outlineLevel="0" r="3200">
      <c r="A3200" s="3" t="inlineStr">
        <is>
          <t>3169</t>
        </is>
      </c>
      <c r="B3200" s="4" t="s">
        <f>=HYPERLINK("http://anyluxury.ru/shop/odezhda/detskaya-odezhda/tolstovka-uniseks-spencer-siniy-melanzh-02991222/" , "02991222 Толстовка унисекс SPENCER синий меланж, размер XL")</f>
      </c>
      <c r="C3200" s="4" t="n">
        <v>3196.00</v>
      </c>
      <c r="D3200" s="4"/>
    </row>
    <row collapsed="" customFormat="false" customHeight="1" hidden="" ht="14" outlineLevel="0" r="3201">
      <c r="A3201" s="3" t="inlineStr">
        <is>
          <t>3170</t>
        </is>
      </c>
      <c r="B3201" s="4" t="s">
        <f>=HYPERLINK("http://anyluxury.ru/shop/odezhda/detskaya-odezhda/tolstovka-uniseks-spencer-siniy-melanzh-02991222/" , "02991222 Толстовка унисекс Spencer синий меланж, размер XXL")</f>
      </c>
      <c r="C3201" s="4" t="n">
        <v>3196.00</v>
      </c>
      <c r="D3201" s="4"/>
    </row>
    <row collapsed="" customFormat="false" customHeight="1" hidden="" ht="14" outlineLevel="0" r="3202">
      <c r="A3202" s="3" t="inlineStr">
        <is>
          <t>3171</t>
        </is>
      </c>
      <c r="B3202" s="4" t="s">
        <f>=HYPERLINK("http://anyluxury.ru/shop/odezhda/detskaya-odezhda/tolstovka-uniseks-spencer-belaya-02991102/" , "02991102 Толстовка унисекс SPENCER белая, размер XS")</f>
      </c>
      <c r="C3202" s="4" t="n">
        <v>3196.00</v>
      </c>
      <c r="D3202" s="4"/>
    </row>
    <row collapsed="" customFormat="false" customHeight="1" hidden="" ht="14" outlineLevel="0" r="3203">
      <c r="A3203" s="3" t="inlineStr">
        <is>
          <t>3172</t>
        </is>
      </c>
      <c r="B3203" s="4" t="s">
        <f>=HYPERLINK("http://anyluxury.ru/shop/odezhda/detskaya-odezhda/tolstovka-uniseks-spencer-belaya-02991102/" , "02991102 Толстовка унисекс SPENCER белая, размер S")</f>
      </c>
      <c r="C3203" s="4" t="n">
        <v>3196.00</v>
      </c>
      <c r="D3203" s="4"/>
    </row>
    <row collapsed="" customFormat="false" customHeight="1" hidden="" ht="14" outlineLevel="0" r="3204">
      <c r="A3204" s="3" t="inlineStr">
        <is>
          <t>3173</t>
        </is>
      </c>
      <c r="B3204" s="4" t="s">
        <f>=HYPERLINK("http://anyluxury.ru/shop/odezhda/detskaya-odezhda/tolstovka-uniseks-spencer-belaya-02991102/" , "02991102 Толстовка унисекс SPENCER белая, размер M")</f>
      </c>
      <c r="C3204" s="4" t="n">
        <v>3196.00</v>
      </c>
      <c r="D3204" s="4"/>
    </row>
    <row collapsed="" customFormat="false" customHeight="1" hidden="" ht="14" outlineLevel="0" r="3205">
      <c r="A3205" s="3" t="inlineStr">
        <is>
          <t>3174</t>
        </is>
      </c>
      <c r="B3205" s="4" t="s">
        <f>=HYPERLINK("http://anyluxury.ru/shop/odezhda/detskaya-odezhda/tolstovka-uniseks-spencer-belaya-02991102/" , "02991102 Толстовка унисекс SPENCER белая, размер L")</f>
      </c>
      <c r="C3205" s="4" t="n">
        <v>3196.00</v>
      </c>
      <c r="D3205" s="4"/>
    </row>
    <row collapsed="" customFormat="false" customHeight="1" hidden="" ht="14" outlineLevel="0" r="3206">
      <c r="A3206" s="3" t="inlineStr">
        <is>
          <t>3175</t>
        </is>
      </c>
      <c r="B3206" s="4" t="s">
        <f>=HYPERLINK("http://anyluxury.ru/shop/odezhda/detskaya-odezhda/tolstovka-uniseks-spencer-belaya-02991102/" , "02991102 Толстовка унисекс SPENCER белая, размер XL")</f>
      </c>
      <c r="C3206" s="4" t="n">
        <v>3196.00</v>
      </c>
      <c r="D3206" s="4"/>
    </row>
    <row collapsed="" customFormat="false" customHeight="1" hidden="" ht="14" outlineLevel="0" r="3207">
      <c r="A3207" s="3" t="inlineStr">
        <is>
          <t>3176</t>
        </is>
      </c>
      <c r="B3207" s="4" t="s">
        <f>=HYPERLINK("http://anyluxury.ru/shop/odezhda/detskaya-odezhda/tolstovka-uniseks-spencer-belaya-02991102/" , "02991102 Толстовка унисекс SPENCER белая, размер XXL")</f>
      </c>
      <c r="C3207" s="4" t="n">
        <v>3196.00</v>
      </c>
      <c r="D3207" s="4"/>
    </row>
    <row collapsed="" customFormat="false" customHeight="1" hidden="" ht="14" outlineLevel="0" r="3208">
      <c r="A3208" s="3" t="inlineStr">
        <is>
          <t>3177</t>
        </is>
      </c>
      <c r="B3208" s="4" t="s">
        <f>=HYPERLINK("http://anyluxury.ru/shop/odezhda/detskaya-odezhda/tolstovka-uniseks-spencer-belaya-02991102/" , "02991102 Толстовка унисекс SPENCER белая, размер 3XL")</f>
      </c>
      <c r="C3208" s="4" t="n">
        <v>3573.00</v>
      </c>
      <c r="D3208" s="4"/>
    </row>
    <row collapsed="" customFormat="false" customHeight="1" hidden="" ht="14" outlineLevel="0" r="3209">
      <c r="A3209" s="3" t="inlineStr">
        <is>
          <t>3178</t>
        </is>
      </c>
      <c r="B3209" s="4" t="s">
        <f>=HYPERLINK("http://anyluxury.ru/shop/odezhda/detskaya-odezhda/tolstovka-uniseks-sully-chernaya-02990312/" , "02990312 Толстовка унисекс SULLY черная, размер XS")</f>
      </c>
      <c r="C3209" s="4" t="n">
        <v>2444.00</v>
      </c>
      <c r="D3209" s="4"/>
    </row>
    <row collapsed="" customFormat="false" customHeight="1" hidden="" ht="14" outlineLevel="0" r="3210">
      <c r="A3210" s="3" t="inlineStr">
        <is>
          <t>3179</t>
        </is>
      </c>
      <c r="B3210" s="4" t="s">
        <f>=HYPERLINK("http://anyluxury.ru/shop/odezhda/detskaya-odezhda/tolstovka-uniseks-sully-chernaya-02990312/" , "02990312 Толстовка унисекс SULLY черная, размер S")</f>
      </c>
      <c r="C3210" s="4" t="n">
        <v>2444.00</v>
      </c>
      <c r="D3210" s="4"/>
    </row>
    <row collapsed="" customFormat="false" customHeight="1" hidden="" ht="14" outlineLevel="0" r="3211">
      <c r="A3211" s="3" t="inlineStr">
        <is>
          <t>3180</t>
        </is>
      </c>
      <c r="B3211" s="4" t="s">
        <f>=HYPERLINK("http://anyluxury.ru/shop/odezhda/detskaya-odezhda/tolstovka-uniseks-sully-chernaya-02990312/" , "02990312 Толстовка унисекс SULLY черная, размер M")</f>
      </c>
      <c r="C3211" s="4" t="n">
        <v>2444.00</v>
      </c>
      <c r="D3211" s="4"/>
    </row>
    <row collapsed="" customFormat="false" customHeight="1" hidden="" ht="14" outlineLevel="0" r="3212">
      <c r="A3212" s="3" t="inlineStr">
        <is>
          <t>3181</t>
        </is>
      </c>
      <c r="B3212" s="4" t="s">
        <f>=HYPERLINK("http://anyluxury.ru/shop/odezhda/detskaya-odezhda/tolstovka-uniseks-sully-chernaya-02990312/" , "02990312 Толстовка унисекс SULLY черная, размер L")</f>
      </c>
      <c r="C3212" s="4" t="n">
        <v>2444.00</v>
      </c>
      <c r="D3212" s="4"/>
    </row>
    <row collapsed="" customFormat="false" customHeight="1" hidden="" ht="14" outlineLevel="0" r="3213">
      <c r="A3213" s="3" t="inlineStr">
        <is>
          <t>3182</t>
        </is>
      </c>
      <c r="B3213" s="4" t="s">
        <f>=HYPERLINK("http://anyluxury.ru/shop/odezhda/detskaya-odezhda/tolstovka-uniseks-sully-chernaya-02990312/" , "02990312 Толстовка унисекс SULLY черная, размер XL")</f>
      </c>
      <c r="C3213" s="4" t="n">
        <v>2444.00</v>
      </c>
      <c r="D3213" s="4"/>
    </row>
    <row collapsed="" customFormat="false" customHeight="1" hidden="" ht="14" outlineLevel="0" r="3214">
      <c r="A3214" s="3" t="inlineStr">
        <is>
          <t>3183</t>
        </is>
      </c>
      <c r="B3214" s="4" t="s">
        <f>=HYPERLINK("http://anyluxury.ru/shop/odezhda/detskaya-odezhda/tolstovka-uniseks-sully-chernaya-02990312/" , "02990312 Толстовка унисекс SULLY черная, размер XXL")</f>
      </c>
      <c r="C3214" s="4" t="n">
        <v>2444.00</v>
      </c>
      <c r="D3214" s="4"/>
    </row>
    <row collapsed="" customFormat="false" customHeight="1" hidden="" ht="14" outlineLevel="0" r="3215">
      <c r="A3215" s="3" t="inlineStr">
        <is>
          <t>3184</t>
        </is>
      </c>
      <c r="B3215" s="4" t="s">
        <f>=HYPERLINK("http://anyluxury.ru/shop/odezhda/detskaya-odezhda/tolstovka-uniseks-sully-rozovaya-02990143/" , "02990143 Толстовка унисекс SULLY розовая, размер XS")</f>
      </c>
      <c r="C3215" s="4" t="n">
        <v>2444.00</v>
      </c>
      <c r="D3215" s="4"/>
    </row>
    <row collapsed="" customFormat="false" customHeight="1" hidden="" ht="14" outlineLevel="0" r="3216">
      <c r="A3216" s="3" t="inlineStr">
        <is>
          <t>3185</t>
        </is>
      </c>
      <c r="B3216" s="4" t="s">
        <f>=HYPERLINK("http://anyluxury.ru/shop/odezhda/detskaya-odezhda/tolstovka-uniseks-sully-rozovaya-02990143/" , "02990143 Толстовка унисекс SULLY розовая, размер S")</f>
      </c>
      <c r="C3216" s="4" t="n">
        <v>2444.00</v>
      </c>
      <c r="D3216" s="4"/>
    </row>
    <row collapsed="" customFormat="false" customHeight="1" hidden="" ht="14" outlineLevel="0" r="3217">
      <c r="A3217" s="3" t="inlineStr">
        <is>
          <t>3186</t>
        </is>
      </c>
      <c r="B3217" s="4" t="s">
        <f>=HYPERLINK("http://anyluxury.ru/shop/odezhda/detskaya-odezhda/tolstovka-uniseks-sully-rozovaya-02990143/" , "02990143 Толстовка унисекс SULLY розовая, размер M")</f>
      </c>
      <c r="C3217" s="4" t="n">
        <v>2444.00</v>
      </c>
      <c r="D3217" s="4"/>
    </row>
    <row collapsed="" customFormat="false" customHeight="1" hidden="" ht="14" outlineLevel="0" r="3218">
      <c r="A3218" s="3" t="inlineStr">
        <is>
          <t>3187</t>
        </is>
      </c>
      <c r="B3218" s="4" t="s">
        <f>=HYPERLINK("http://anyluxury.ru/shop/odezhda/detskaya-odezhda/tolstovka-uniseks-sully-rozovaya-02990143/" , "02990143 Толстовка унисекс SULLY розовая, размер L")</f>
      </c>
      <c r="C3218" s="4" t="n">
        <v>2444.00</v>
      </c>
      <c r="D3218" s="4"/>
    </row>
    <row collapsed="" customFormat="false" customHeight="1" hidden="" ht="14" outlineLevel="0" r="3219">
      <c r="A3219" s="3" t="inlineStr">
        <is>
          <t>3188</t>
        </is>
      </c>
      <c r="B3219" s="4" t="s">
        <f>=HYPERLINK("http://anyluxury.ru/shop/odezhda/detskaya-odezhda/tolstovka-uniseks-sully-rozovaya-02990143/" , "02990143 Толстовка унисекс SULLY, розовая, размер XL")</f>
      </c>
      <c r="C3219" s="4" t="n">
        <v>2444.00</v>
      </c>
      <c r="D3219" s="4"/>
    </row>
    <row collapsed="" customFormat="false" customHeight="1" hidden="" ht="14" outlineLevel="0" r="3220">
      <c r="A3220" s="3" t="inlineStr">
        <is>
          <t>3189</t>
        </is>
      </c>
      <c r="B3220" s="4" t="s">
        <f>=HYPERLINK("http://anyluxury.ru/shop/odezhda/detskaya-odezhda/tolstovka-uniseks-sully-rozovaya-02990143/" , "02990143 Толстовка унисекс SULLY, розовая, размер XXL")</f>
      </c>
      <c r="C3220" s="4" t="n">
        <v>2444.00</v>
      </c>
      <c r="D3220" s="4"/>
    </row>
    <row collapsed="" customFormat="false" customHeight="1" hidden="" ht="14" outlineLevel="0" r="3221">
      <c r="A3221" s="3" t="inlineStr">
        <is>
          <t>3190</t>
        </is>
      </c>
      <c r="B3221" s="4" t="s">
        <f>=HYPERLINK("http://anyluxury.ru/shop/odezhda/detskaya-odezhda/tolstovka-uniseks-sully-seriy-melanzh-02990360/" , "02990360 Толстовка унисекс SULLY серый меланж, размер XS")</f>
      </c>
      <c r="C3221" s="4" t="n">
        <v>2444.00</v>
      </c>
      <c r="D3221" s="4"/>
    </row>
    <row collapsed="" customFormat="false" customHeight="1" hidden="" ht="14" outlineLevel="0" r="3222">
      <c r="A3222" s="3" t="inlineStr">
        <is>
          <t>3191</t>
        </is>
      </c>
      <c r="B3222" s="4" t="s">
        <f>=HYPERLINK("http://anyluxury.ru/shop/odezhda/detskaya-odezhda/tolstovka-uniseks-sully-seriy-melanzh-02990360/" , "02990360 Толстовка унисекс SULLY серый меланж, размер S")</f>
      </c>
      <c r="C3222" s="4" t="n">
        <v>2444.00</v>
      </c>
      <c r="D3222" s="4"/>
    </row>
    <row collapsed="" customFormat="false" customHeight="1" hidden="" ht="14" outlineLevel="0" r="3223">
      <c r="A3223" s="3" t="inlineStr">
        <is>
          <t>3192</t>
        </is>
      </c>
      <c r="B3223" s="4" t="s">
        <f>=HYPERLINK("http://anyluxury.ru/shop/odezhda/detskaya-odezhda/tolstovka-uniseks-sully-seriy-melanzh-02990360/" , "02990360 Толстовка унисекс SULLY серый меланж, размер M")</f>
      </c>
      <c r="C3223" s="4" t="n">
        <v>2444.00</v>
      </c>
      <c r="D3223" s="4"/>
    </row>
    <row collapsed="" customFormat="false" customHeight="1" hidden="" ht="14" outlineLevel="0" r="3224">
      <c r="A3224" s="3" t="inlineStr">
        <is>
          <t>3193</t>
        </is>
      </c>
      <c r="B3224" s="4" t="s">
        <f>=HYPERLINK("http://anyluxury.ru/shop/odezhda/detskaya-odezhda/tolstovka-uniseks-sully-seriy-melanzh-02990360/" , "02990360 Толстовка унисекс SULLY серый меланж, размер L")</f>
      </c>
      <c r="C3224" s="4" t="n">
        <v>2444.00</v>
      </c>
      <c r="D3224" s="4"/>
    </row>
    <row collapsed="" customFormat="false" customHeight="1" hidden="" ht="14" outlineLevel="0" r="3225">
      <c r="A3225" s="3" t="inlineStr">
        <is>
          <t>3194</t>
        </is>
      </c>
      <c r="B3225" s="4" t="s">
        <f>=HYPERLINK("http://anyluxury.ru/shop/odezhda/detskaya-odezhda/tolstovka-uniseks-sully-seriy-melanzh-02990360/" , "02990360 Толстовка унисекс SULLY серый меланж, размер XL")</f>
      </c>
      <c r="C3225" s="4" t="n">
        <v>2444.00</v>
      </c>
      <c r="D3225" s="4"/>
    </row>
    <row collapsed="" customFormat="false" customHeight="1" hidden="" ht="14" outlineLevel="0" r="3226">
      <c r="A3226" s="3" t="inlineStr">
        <is>
          <t>3195</t>
        </is>
      </c>
      <c r="B3226" s="4" t="s">
        <f>=HYPERLINK("http://anyluxury.ru/shop/odezhda/detskaya-odezhda/tolstovka-uniseks-sully-seriy-melanzh-02990360/" , "02990360 Толстовка унисекс SULLY серый меланж, размер XXL")</f>
      </c>
      <c r="C3226" s="4" t="n">
        <v>2444.00</v>
      </c>
      <c r="D3226" s="4"/>
    </row>
    <row collapsed="" customFormat="false" customHeight="1" hidden="" ht="14" outlineLevel="0" r="3227">
      <c r="A3227" s="3" t="inlineStr">
        <is>
          <t>3196</t>
        </is>
      </c>
      <c r="B3227" s="4" t="s">
        <f>=HYPERLINK("http://anyluxury.ru/shop/odezhda/detskaya-odezhda/tolstovka-uniseks-sully-seriy-melanzh-02990360/" , "02990360 Толстовка унисекс SULLY, серый меланж, размер 3XL")</f>
      </c>
      <c r="C3227" s="4" t="n">
        <v>2732.00</v>
      </c>
      <c r="D3227" s="4"/>
    </row>
    <row collapsed="" customFormat="false" customHeight="1" hidden="" ht="14" outlineLevel="0" r="3228">
      <c r="A3228" s="3" t="inlineStr">
        <is>
          <t>3197</t>
        </is>
      </c>
      <c r="B3228" s="4" t="s">
        <f>=HYPERLINK("http://anyluxury.ru/shop/odezhda/detskaya-odezhda/tolstovka-uniseks-sully-belaya-02990102/" , "02990102 Толстовка унисекс SULLY белая, размер XS")</f>
      </c>
      <c r="C3228" s="4" t="n">
        <v>2444.00</v>
      </c>
      <c r="D3228" s="4"/>
    </row>
    <row collapsed="" customFormat="false" customHeight="1" hidden="" ht="14" outlineLevel="0" r="3229">
      <c r="A3229" s="3" t="inlineStr">
        <is>
          <t>3198</t>
        </is>
      </c>
      <c r="B3229" s="4" t="s">
        <f>=HYPERLINK("http://anyluxury.ru/shop/odezhda/detskaya-odezhda/tolstovka-uniseks-sully-belaya-02990102/" , "02990102 Толстовка унисекс SULLY белая, размер S")</f>
      </c>
      <c r="C3229" s="4" t="n">
        <v>2444.00</v>
      </c>
      <c r="D3229" s="4"/>
    </row>
    <row collapsed="" customFormat="false" customHeight="1" hidden="" ht="14" outlineLevel="0" r="3230">
      <c r="A3230" s="3" t="inlineStr">
        <is>
          <t>3199</t>
        </is>
      </c>
      <c r="B3230" s="4" t="s">
        <f>=HYPERLINK("http://anyluxury.ru/shop/odezhda/detskaya-odezhda/tolstovka-uniseks-sully-belaya-02990102/" , "02990102 Толстовка унисекс SULLY белая, размер M")</f>
      </c>
      <c r="C3230" s="4" t="n">
        <v>2444.00</v>
      </c>
      <c r="D3230" s="4"/>
    </row>
    <row collapsed="" customFormat="false" customHeight="1" hidden="" ht="14" outlineLevel="0" r="3231">
      <c r="A3231" s="3" t="inlineStr">
        <is>
          <t>3200</t>
        </is>
      </c>
      <c r="B3231" s="4" t="s">
        <f>=HYPERLINK("http://anyluxury.ru/shop/odezhda/detskaya-odezhda/tolstovka-uniseks-sully-belaya-02990102/" , "02990102 Толстовка унисекс SULLY белая, размер L")</f>
      </c>
      <c r="C3231" s="4" t="n">
        <v>2444.00</v>
      </c>
      <c r="D3231" s="4"/>
    </row>
    <row collapsed="" customFormat="false" customHeight="1" hidden="" ht="14" outlineLevel="0" r="3232">
      <c r="A3232" s="3" t="inlineStr">
        <is>
          <t>3201</t>
        </is>
      </c>
      <c r="B3232" s="4" t="s">
        <f>=HYPERLINK("http://anyluxury.ru/shop/odezhda/detskaya-odezhda/tolstovka-uniseks-sully-belaya-02990102/" , "02990102 Толстовка унисекс SULLY белая, размер XL")</f>
      </c>
      <c r="C3232" s="4" t="n">
        <v>2444.00</v>
      </c>
      <c r="D3232" s="4"/>
    </row>
    <row collapsed="" customFormat="false" customHeight="1" hidden="" ht="14" outlineLevel="0" r="3233">
      <c r="A3233" s="3" t="inlineStr">
        <is>
          <t>3202</t>
        </is>
      </c>
      <c r="B3233" s="4" t="s">
        <f>=HYPERLINK("http://anyluxury.ru/shop/odezhda/detskaya-odezhda/tolstovka-uniseks-sully-belaya-02990102/" , "02990102 Толстовка унисекс SULLY белая, размер XXL")</f>
      </c>
      <c r="C3233" s="4" t="n">
        <v>2444.00</v>
      </c>
      <c r="D3233" s="4"/>
    </row>
    <row collapsed="" customFormat="false" customHeight="1" hidden="" ht="14" outlineLevel="0" r="3234">
      <c r="A3234" s="3" t="inlineStr">
        <is>
          <t>3203</t>
        </is>
      </c>
      <c r="B3234" s="4" t="s">
        <f>=HYPERLINK("http://anyluxury.ru/shop/odezhda/detskaya-odezhda/tolstovka-s-kapyushonom-unit-kirenga-yarkosinyaya-689444/" , "6894.44 Толстовка с капюшоном Unit Kirenga ярко-синяя, размер XS")</f>
      </c>
      <c r="C3234" s="4" t="n">
        <v>1487.00</v>
      </c>
      <c r="D3234" s="4"/>
    </row>
    <row collapsed="" customFormat="false" customHeight="1" hidden="" ht="14" outlineLevel="0" r="3235">
      <c r="A3235" s="3" t="inlineStr">
        <is>
          <t>3204</t>
        </is>
      </c>
      <c r="B3235" s="4" t="s">
        <f>=HYPERLINK("http://anyluxury.ru/shop/odezhda/detskaya-odezhda/tolstovka-s-kapyushonom-unit-kirenga-yarkosinyaya-689444/" , "6894.44 Толстовка с капюшоном Unit Kirenga ярко-синяя, размер S")</f>
      </c>
      <c r="C3235" s="4" t="n">
        <v>1487.00</v>
      </c>
      <c r="D3235" s="4"/>
    </row>
    <row collapsed="" customFormat="false" customHeight="1" hidden="" ht="14" outlineLevel="0" r="3236">
      <c r="A3236" s="3" t="inlineStr">
        <is>
          <t>3205</t>
        </is>
      </c>
      <c r="B3236" s="4" t="s">
        <f>=HYPERLINK("http://anyluxury.ru/shop/odezhda/detskaya-odezhda/tolstovka-s-kapyushonom-unit-kirenga-yarkosinyaya-689444/" , "6894.44 Толстовка с капюшоном Unit Kirenga ярко-синяя, размер 3XL")</f>
      </c>
      <c r="C3236" s="4" t="n">
        <v>1487.00</v>
      </c>
      <c r="D3236" s="4"/>
    </row>
    <row collapsed="" customFormat="false" customHeight="1" hidden="" ht="14" outlineLevel="0" r="3237">
      <c r="A3237" s="3" t="inlineStr">
        <is>
          <t>3206</t>
        </is>
      </c>
      <c r="B3237" s="4" t="s">
        <f>=HYPERLINK("http://anyluxury.ru/shop/odezhda/detskaya-odezhda/tolstovka-s-kapyushonom-unit-kirenga-yarkosinyaya-689444/" , "6894.44 Толстовка с капюшоном Unit Kirenga ярко-синяя, размер 4XL")</f>
      </c>
      <c r="C3237" s="4" t="n">
        <v>1487.00</v>
      </c>
      <c r="D3237" s="4"/>
    </row>
    <row collapsed="" customFormat="false" customHeight="1" hidden="" ht="14" outlineLevel="0" r="3238">
      <c r="A3238" s="3" t="inlineStr">
        <is>
          <t>3207</t>
        </is>
      </c>
      <c r="B3238" s="4" t="s">
        <f>=HYPERLINK("http://anyluxury.ru/shop/odezhda/detskaya-odezhda/tolstovka-s-kapyushonom-unit-kirenga-yarkosinyaya-689444/" , "6894.44 Толстовка с капюшоном Unit Kirenga ярко-синяя, размер L")</f>
      </c>
      <c r="C3238" s="4" t="n">
        <v>1344.00</v>
      </c>
      <c r="D3238" s="4"/>
    </row>
    <row collapsed="" customFormat="false" customHeight="1" hidden="" ht="14" outlineLevel="0" r="3239">
      <c r="A3239" s="3" t="inlineStr">
        <is>
          <t>3208</t>
        </is>
      </c>
      <c r="B3239" s="4" t="s">
        <f>=HYPERLINK("http://anyluxury.ru/shop/odezhda/detskaya-odezhda/tolstovka-s-kapyushonom-unit-kirenga-yarkosinyaya-689444/" , "6894.44 Толстовка с капюшоном Kirenga, темно-синяя, размер 5XL")</f>
      </c>
      <c r="C3239" s="4" t="n">
        <v>1487.00</v>
      </c>
      <c r="D3239" s="4"/>
    </row>
    <row collapsed="" customFormat="false" customHeight="1" hidden="" ht="14" outlineLevel="0" r="3240">
      <c r="A3240" s="3" t="inlineStr">
        <is>
          <t>3209</t>
        </is>
      </c>
      <c r="B3240" s="4" t="s">
        <f>=HYPERLINK("http://anyluxury.ru/shop/odezhda/detskaya-odezhda/tolstovka-s-kapyushonom-unit-kirenga-fioletovaya-689478/" , "6894.78 Толстовка с капюшоном Unit Kirenga фиолетовая, размер XS")</f>
      </c>
      <c r="C3240" s="4" t="n">
        <v>1487.00</v>
      </c>
      <c r="D3240" s="4"/>
    </row>
    <row collapsed="" customFormat="false" customHeight="1" hidden="" ht="14" outlineLevel="0" r="3241">
      <c r="A3241" s="3" t="inlineStr">
        <is>
          <t>3210</t>
        </is>
      </c>
      <c r="B3241" s="4" t="s">
        <f>=HYPERLINK("http://anyluxury.ru/shop/odezhda/detskaya-odezhda/tolstovka-s-kapyushonom-unit-kirenga-fioletovaya-689478/" , "6894.78 Толстовка с капюшоном Unit Kirenga фиолетовая, размер S")</f>
      </c>
      <c r="C3241" s="4" t="n">
        <v>1487.00</v>
      </c>
      <c r="D3241" s="4"/>
    </row>
    <row collapsed="" customFormat="false" customHeight="1" hidden="" ht="14" outlineLevel="0" r="3242">
      <c r="A3242" s="3" t="inlineStr">
        <is>
          <t>3211</t>
        </is>
      </c>
      <c r="B3242" s="4" t="s">
        <f>=HYPERLINK("http://anyluxury.ru/shop/odezhda/detskaya-odezhda/tolstovka-s-kapyushonom-unit-kirenga-fioletovaya-689478/" , "6894.78 Толстовка с капюшоном Unit Kirenga фиолетовая, размер XL")</f>
      </c>
      <c r="C3242" s="4" t="n">
        <v>1487.00</v>
      </c>
      <c r="D3242" s="4"/>
    </row>
    <row collapsed="" customFormat="false" customHeight="1" hidden="" ht="14" outlineLevel="0" r="3243">
      <c r="A3243" s="3" t="inlineStr">
        <is>
          <t>3212</t>
        </is>
      </c>
      <c r="B3243" s="4" t="s">
        <f>=HYPERLINK("http://anyluxury.ru/shop/odezhda/detskaya-odezhda/tolstovka-s-kapyushonom-unit-kirenga-fioletovaya-689478/" , "6894.78 Толстовка с капюшоном Unit Kirenga фиолетовая, размер XXL")</f>
      </c>
      <c r="C3243" s="4" t="n">
        <v>1487.00</v>
      </c>
      <c r="D3243" s="4"/>
    </row>
    <row collapsed="" customFormat="false" customHeight="1" hidden="" ht="14" outlineLevel="0" r="3244">
      <c r="A3244" s="3" t="inlineStr">
        <is>
          <t>3213</t>
        </is>
      </c>
      <c r="B3244" s="4" t="s">
        <f>=HYPERLINK("http://anyluxury.ru/shop/odezhda/detskaya-odezhda/tolstovka-s-kapyushonom-unit-kirenga-fioletovaya-689478/" , "6894.78 Толстовка с капюшоном Unit Kirenga фиолетовая, размер 3XL")</f>
      </c>
      <c r="C3244" s="4" t="n">
        <v>1487.00</v>
      </c>
      <c r="D3244" s="4"/>
    </row>
    <row collapsed="" customFormat="false" customHeight="1" hidden="" ht="14" outlineLevel="0" r="3245">
      <c r="A3245" s="3" t="inlineStr">
        <is>
          <t>3214</t>
        </is>
      </c>
      <c r="B3245" s="4" t="s">
        <f>=HYPERLINK("http://anyluxury.ru/shop/odezhda/detskaya-odezhda/tolstovka-s-kapyushonom-unit-kirenga-fioletovaya-689478/" , "6894.78 Толстовка с капюшоном Unit Kirenga фиолетовая, размер 4XL")</f>
      </c>
      <c r="C3245" s="4" t="n">
        <v>1487.00</v>
      </c>
      <c r="D3245" s="4"/>
    </row>
    <row collapsed="" customFormat="false" customHeight="1" hidden="" ht="14" outlineLevel="0" r="3246">
      <c r="A3246" s="3" t="inlineStr">
        <is>
          <t>3215</t>
        </is>
      </c>
      <c r="B3246" s="4" t="s">
        <f>=HYPERLINK("http://anyluxury.ru/shop/odezhda/detskaya-odezhda/tolstovka-s-kapyushonom-unit-kirenga-heavy-biryuzovaya-692614/" , "6926.14 Толстовка с капюшоном Unit Kirenga Heavy бирюзовая, размер S")</f>
      </c>
      <c r="C3246" s="4" t="n">
        <v>2050.00</v>
      </c>
      <c r="D3246" s="4"/>
    </row>
    <row collapsed="" customFormat="false" customHeight="1" hidden="" ht="14" outlineLevel="0" r="3247">
      <c r="A3247" s="3" t="inlineStr">
        <is>
          <t>3216</t>
        </is>
      </c>
      <c r="B3247" s="4" t="s">
        <f>=HYPERLINK("http://anyluxury.ru/shop/odezhda/detskaya-odezhda/tolstovka-s-kapyushonom-unit-kirenga-heavy-biryuzovaya-692614/" , "6926.14 Толстовка с капюшоном Unit Kirenga Heavy бирюзовая, размер M")</f>
      </c>
      <c r="C3247" s="4" t="n">
        <v>2050.00</v>
      </c>
      <c r="D3247" s="4"/>
    </row>
    <row collapsed="" customFormat="false" customHeight="1" hidden="" ht="14" outlineLevel="0" r="3248">
      <c r="A3248" s="3" t="inlineStr">
        <is>
          <t>3217</t>
        </is>
      </c>
      <c r="B3248" s="4" t="s">
        <f>=HYPERLINK("http://anyluxury.ru/shop/odezhda/detskaya-odezhda/tolstovka-s-kapyushonom-unit-kirenga-heavy-biryuzovaya-692614/" , "6926.14 Толстовка с капюшоном Unit Kirenga Heavy бирюзовая, размер XXL")</f>
      </c>
      <c r="C3248" s="4" t="n">
        <v>2050.00</v>
      </c>
      <c r="D3248" s="4"/>
    </row>
    <row collapsed="" customFormat="false" customHeight="1" hidden="" ht="14" outlineLevel="0" r="3249">
      <c r="A3249" s="3" t="inlineStr">
        <is>
          <t>3218</t>
        </is>
      </c>
      <c r="B3249" s="4" t="s">
        <f>=HYPERLINK("http://anyluxury.ru/shop/odezhda/detskaya-odezhda/tolstovka-s-kapyushonom-unit-kirenga-heavy-biryuzovaya-692614/" , "6926.14 Толстовка с капюшоном Unit Kirenga Heavy бирюзовая, размер 4XL")</f>
      </c>
      <c r="C3249" s="4" t="n">
        <v>2050.00</v>
      </c>
      <c r="D3249" s="4"/>
    </row>
    <row collapsed="" customFormat="false" customHeight="1" hidden="" ht="14" outlineLevel="0" r="3250">
      <c r="A3250" s="3" t="inlineStr">
        <is>
          <t>3219</t>
        </is>
      </c>
      <c r="B3250" s="4" t="s">
        <f>=HYPERLINK("http://anyluxury.ru/shop/odezhda/detskaya-odezhda/tolstovka-s-kapyushonom-unit-kirenga-heavy-temnozelenaya-692690/" , "6926.90 Толстовка с капюшоном Unit Kirenga Heavy темно-зеленая, размер 4XL")</f>
      </c>
      <c r="C3250" s="4" t="n">
        <v>2050.00</v>
      </c>
      <c r="D3250" s="4"/>
    </row>
    <row collapsed="" customFormat="false" customHeight="1" hidden="" ht="14" outlineLevel="0" r="3251">
      <c r="A3251" s="3" t="inlineStr">
        <is>
          <t>3220</t>
        </is>
      </c>
      <c r="B3251" s="4" t="s">
        <f>=HYPERLINK("http://anyluxury.ru/shop/odezhda/detskaya-odezhda/tolstovka-unit-toima-yarkosinyaya-689644/" , "6896.44 Толстовка Unit Toima ярко-синяя, размер XS")</f>
      </c>
      <c r="C3251" s="4" t="n">
        <v>1191.00</v>
      </c>
      <c r="D3251" s="4"/>
    </row>
    <row collapsed="" customFormat="false" customHeight="1" hidden="" ht="14" outlineLevel="0" r="3252">
      <c r="A3252" s="3" t="inlineStr">
        <is>
          <t>3221</t>
        </is>
      </c>
      <c r="B3252" s="4" t="s">
        <f>=HYPERLINK("http://anyluxury.ru/shop/odezhda/detskaya-odezhda/tolstovka-unit-toima-yarkosinyaya-689644/" , "6896.44 Толстовка Unit Toima ярко-синяя, размер S")</f>
      </c>
      <c r="C3252" s="4" t="n">
        <v>1191.00</v>
      </c>
      <c r="D3252" s="4"/>
    </row>
    <row collapsed="" customFormat="false" customHeight="1" hidden="" ht="14" outlineLevel="0" r="3253">
      <c r="A3253" s="3" t="inlineStr">
        <is>
          <t>3222</t>
        </is>
      </c>
      <c r="B3253" s="4" t="s">
        <f>=HYPERLINK("http://anyluxury.ru/shop/odezhda/detskaya-odezhda/tolstovka-unit-toima-yarkosinyaya-689644/" , "6896.44 Толстовка Unit Toima ярко-синяя, размер L")</f>
      </c>
      <c r="C3253" s="4" t="n">
        <v>1191.00</v>
      </c>
      <c r="D3253" s="4"/>
    </row>
    <row collapsed="" customFormat="false" customHeight="1" hidden="" ht="14" outlineLevel="0" r="3254">
      <c r="A3254" s="3" t="inlineStr">
        <is>
          <t>3223</t>
        </is>
      </c>
      <c r="B3254" s="4" t="s">
        <f>=HYPERLINK("http://anyluxury.ru/shop/odezhda/detskaya-odezhda/tolstovka-unit-toima-yarkosinyaya-689644/" , "6896.44 Толстовка Unit Toima ярко-синяя, размер 3XL")</f>
      </c>
      <c r="C3254" s="4" t="n">
        <v>1191.00</v>
      </c>
      <c r="D3254" s="4"/>
    </row>
    <row collapsed="" customFormat="false" customHeight="1" hidden="" ht="14" outlineLevel="0" r="3255">
      <c r="A3255" s="3" t="inlineStr">
        <is>
          <t>3224</t>
        </is>
      </c>
      <c r="B3255" s="4" t="s">
        <f>=HYPERLINK("http://anyluxury.ru/shop/odezhda/detskaya-odezhda/tolstovka-unit-toima-yarkosinyaya-689644/" , "6896.44 Толстовка Unit Toima ярко-синяя, размер 4XL")</f>
      </c>
      <c r="C3255" s="4" t="n">
        <v>1191.00</v>
      </c>
      <c r="D3255" s="4"/>
    </row>
    <row collapsed="" customFormat="false" customHeight="1" hidden="" ht="14" outlineLevel="0" r="3256">
      <c r="A3256" s="3" t="inlineStr">
        <is>
          <t>3225</t>
        </is>
      </c>
      <c r="B3256" s="4" t="s">
        <f>=HYPERLINK("http://anyluxury.ru/shop/odezhda/detskaya-odezhda/tolstovka-unit-toima-yarkosinyaya-689644/" , "6896.44 Толстовка Toima, ярко-синяя, размер 5XL")</f>
      </c>
      <c r="C3256" s="4" t="n">
        <v>1191.00</v>
      </c>
      <c r="D3256" s="4"/>
    </row>
    <row collapsed="" customFormat="false" customHeight="1" hidden="" ht="14" outlineLevel="0" r="3257">
      <c r="A3257" s="3" t="inlineStr">
        <is>
          <t>3226</t>
        </is>
      </c>
      <c r="B3257" s="4" t="s">
        <f>=HYPERLINK("http://anyluxury.ru/shop/odezhda/detskaya-odezhda/tolstovka-unit-toima-fioletovaya-689678/" , "6896.78 Толстовка Unit Toima фиолетовая, размер XS")</f>
      </c>
      <c r="C3257" s="4" t="n">
        <v>1191.00</v>
      </c>
      <c r="D3257" s="4"/>
    </row>
    <row collapsed="" customFormat="false" customHeight="1" hidden="" ht="14" outlineLevel="0" r="3258">
      <c r="A3258" s="3" t="inlineStr">
        <is>
          <t>3227</t>
        </is>
      </c>
      <c r="B3258" s="4" t="s">
        <f>=HYPERLINK("http://anyluxury.ru/shop/odezhda/detskaya-odezhda/tolstovka-unit-toima-fioletovaya-689678/" , "6896.78 Толстовка Unit Toima фиолетовая, размер S")</f>
      </c>
      <c r="C3258" s="4" t="n">
        <v>1191.00</v>
      </c>
      <c r="D3258" s="4"/>
    </row>
    <row collapsed="" customFormat="false" customHeight="1" hidden="" ht="14" outlineLevel="0" r="3259">
      <c r="A3259" s="3" t="inlineStr">
        <is>
          <t>3228</t>
        </is>
      </c>
      <c r="B3259" s="4" t="s">
        <f>=HYPERLINK("http://anyluxury.ru/shop/odezhda/detskaya-odezhda/tolstovka-unit-toima-fioletovaya-689678/" , "6896.78 Толстовка Unit Toima фиолетовая, размер XXL")</f>
      </c>
      <c r="C3259" s="4" t="n">
        <v>1191.00</v>
      </c>
      <c r="D3259" s="4"/>
    </row>
    <row collapsed="" customFormat="false" customHeight="1" hidden="" ht="14" outlineLevel="0" r="3260">
      <c r="A3260" s="3" t="inlineStr">
        <is>
          <t>3229</t>
        </is>
      </c>
      <c r="B3260" s="4" t="s">
        <f>=HYPERLINK("http://anyluxury.ru/shop/odezhda/detskaya-odezhda/tolstovka-unit-toima-fioletovaya-689678/" , "6896.78 Толстовка Unit Toima фиолетовая, размер 4XL")</f>
      </c>
      <c r="C3260" s="4" t="n">
        <v>1191.00</v>
      </c>
      <c r="D3260" s="4"/>
    </row>
    <row collapsed="" customFormat="false" customHeight="1" hidden="" ht="14" outlineLevel="0" r="3261">
      <c r="A3261" s="3" t="inlineStr">
        <is>
          <t>3230</t>
        </is>
      </c>
      <c r="B3261" s="4" t="s">
        <f>=HYPERLINK("http://anyluxury.ru/shop/odezhda/detskaya-odezhda/tolstovka-unit-toima-heavy-biryuzovaya-692814/" , "6928.14 Толстовка Unit Toima Heavy бирюзовая, размер XS")</f>
      </c>
      <c r="C3261" s="4" t="n">
        <v>1472.00</v>
      </c>
      <c r="D3261" s="4"/>
    </row>
    <row collapsed="" customFormat="false" customHeight="1" hidden="" ht="14" outlineLevel="0" r="3262">
      <c r="A3262" s="3" t="inlineStr">
        <is>
          <t>3231</t>
        </is>
      </c>
      <c r="B3262" s="4" t="s">
        <f>=HYPERLINK("http://anyluxury.ru/shop/odezhda/detskaya-odezhda/tolstovka-unit-toima-heavy-biryuzovaya-692814/" , "6928.14 Толстовка Unit Toima Heavy бирюзовая, размер XL")</f>
      </c>
      <c r="C3262" s="4" t="n">
        <v>1472.00</v>
      </c>
      <c r="D3262" s="4"/>
    </row>
    <row collapsed="" customFormat="false" customHeight="1" hidden="" ht="14" outlineLevel="0" r="3263">
      <c r="A3263" s="3" t="inlineStr">
        <is>
          <t>3232</t>
        </is>
      </c>
      <c r="B3263" s="4" t="s">
        <f>=HYPERLINK("http://anyluxury.ru/shop/odezhda/detskaya-odezhda/tolstovka-unit-toima-heavy-biryuzovaya-692814/" , "6928.14 Толстовка Unit Toima Heavy бирюзовая, размер XXL")</f>
      </c>
      <c r="C3263" s="4" t="n">
        <v>1472.00</v>
      </c>
      <c r="D3263" s="4"/>
    </row>
    <row collapsed="" customFormat="false" customHeight="1" hidden="" ht="14" outlineLevel="0" r="3264">
      <c r="A3264" s="3" t="inlineStr">
        <is>
          <t>3233</t>
        </is>
      </c>
      <c r="B3264" s="4" t="s">
        <f>=HYPERLINK("http://anyluxury.ru/shop/odezhda/detskaya-odezhda/tolstovka-unit-toima-heavy-biryuzovaya-692814/" , "6928.14 Толстовка Unit Toima Heavy бирюзовая, размер 3XL")</f>
      </c>
      <c r="C3264" s="4" t="n">
        <v>1472.00</v>
      </c>
      <c r="D3264" s="4"/>
    </row>
    <row collapsed="" customFormat="false" customHeight="1" hidden="" ht="14" outlineLevel="0" r="3265">
      <c r="A3265" s="3" t="inlineStr">
        <is>
          <t>3234</t>
        </is>
      </c>
      <c r="B3265" s="4" t="s">
        <f>=HYPERLINK("http://anyluxury.ru/shop/odezhda/detskaya-odezhda/tolstovka-unit-toima-heavy-biryuzovaya-692814/" , "6928.14 Толстовка Unit Toima Heavy бирюзовая, размер 4XL")</f>
      </c>
      <c r="C3265" s="4" t="n">
        <v>1472.00</v>
      </c>
      <c r="D3265" s="4"/>
    </row>
    <row collapsed="" customFormat="false" customHeight="1" hidden="" ht="14" outlineLevel="0" r="3266">
      <c r="A3266" s="3" t="inlineStr">
        <is>
          <t>3235</t>
        </is>
      </c>
      <c r="B3266" s="4" t="s">
        <f>=HYPERLINK("http://anyluxury.ru/shop/odezhda/detskaya-odezhda/tolstovka-unit-toima-heavy-temnozelenaya-692890/" , "6928.90 Толстовка Unit Toima Heavy темно-зеленая, размер XS")</f>
      </c>
      <c r="C3266" s="4" t="n">
        <v>1472.00</v>
      </c>
      <c r="D3266" s="4"/>
    </row>
    <row collapsed="" customFormat="false" customHeight="1" hidden="" ht="14" outlineLevel="0" r="3267">
      <c r="A3267" s="3" t="inlineStr">
        <is>
          <t>3236</t>
        </is>
      </c>
      <c r="B3267" s="4" t="s">
        <f>=HYPERLINK("http://anyluxury.ru/shop/odezhda/detskaya-odezhda/tolstovka-unit-toima-heavy-temnozelenaya-692890/" , "6928.90 Толстовка Unit Toima Heavy темно-зеленая, размер S")</f>
      </c>
      <c r="C3267" s="4" t="n">
        <v>1472.00</v>
      </c>
      <c r="D3267" s="4"/>
    </row>
    <row collapsed="" customFormat="false" customHeight="1" hidden="" ht="14" outlineLevel="0" r="3268">
      <c r="A3268" s="3" t="inlineStr">
        <is>
          <t>3237</t>
        </is>
      </c>
      <c r="B3268" s="4" t="s">
        <f>=HYPERLINK("http://anyluxury.ru/shop/odezhda/detskaya-odezhda/tolstovka-unit-toima-heavy-temnozelenaya-692890/" , "6928.90 Толстовка Unit Toima Heavy темно-зеленая, размер M")</f>
      </c>
      <c r="C3268" s="4" t="n">
        <v>1472.00</v>
      </c>
      <c r="D3268" s="4"/>
    </row>
    <row collapsed="" customFormat="false" customHeight="1" hidden="" ht="14" outlineLevel="0" r="3269">
      <c r="A3269" s="3" t="inlineStr">
        <is>
          <t>3238</t>
        </is>
      </c>
      <c r="B3269" s="4" t="s">
        <f>=HYPERLINK("http://anyluxury.ru/shop/odezhda/detskaya-odezhda/tolstovka-unit-toima-heavy-temnozelenaya-692890/" , "6928.90 Толстовка Unit Toima Heavy темно-зеленая, размер XL")</f>
      </c>
      <c r="C3269" s="4" t="n">
        <v>1472.00</v>
      </c>
      <c r="D3269" s="4"/>
    </row>
    <row collapsed="" customFormat="false" customHeight="1" hidden="" ht="14" outlineLevel="0" r="3270">
      <c r="A3270" s="3" t="inlineStr">
        <is>
          <t>3239</t>
        </is>
      </c>
      <c r="B3270" s="4" t="s">
        <f>=HYPERLINK("http://anyluxury.ru/shop/odezhda/detskaya-odezhda/tolstovka-unit-toima-heavy-temnozelenaya-692890/" , "6928.90 Толстовка Unit Toima Heavy темно-зеленая, размер XXL")</f>
      </c>
      <c r="C3270" s="4" t="n">
        <v>1472.00</v>
      </c>
      <c r="D3270" s="4"/>
    </row>
    <row collapsed="" customFormat="false" customHeight="1" hidden="" ht="14" outlineLevel="0" r="3271">
      <c r="A3271" s="3" t="inlineStr">
        <is>
          <t>3240</t>
        </is>
      </c>
      <c r="B3271" s="4" t="s">
        <f>=HYPERLINK("http://anyluxury.ru/shop/odezhda/detskaya-odezhda/tolstovka-unit-toima-heavy-temnozelenaya-692890/" , "6928.90 Толстовка Unit Toima Heavy темно-зеленая, размер 3XL")</f>
      </c>
      <c r="C3271" s="4" t="n">
        <v>1472.00</v>
      </c>
      <c r="D3271" s="4"/>
    </row>
    <row collapsed="" customFormat="false" customHeight="1" hidden="" ht="14" outlineLevel="0" r="3272">
      <c r="A3272" s="3" t="inlineStr">
        <is>
          <t>3241</t>
        </is>
      </c>
      <c r="B3272" s="4" t="s">
        <f>=HYPERLINK("http://anyluxury.ru/shop/odezhda/detskaya-odezhda/tolstovka-unit-toima-heavy-temnozelenaya-692890/" , "6928.90 Толстовка Unit Toima Heavy темно-зеленая, размер 4XL")</f>
      </c>
      <c r="C3272" s="4" t="n">
        <v>1472.00</v>
      </c>
      <c r="D3272" s="4"/>
    </row>
    <row collapsed="" customFormat="false" customHeight="1" hidden="" ht="14" outlineLevel="0" r="3273">
      <c r="A3273" s="3" t="inlineStr">
        <is>
          <t>3242</t>
        </is>
      </c>
      <c r="B3273" s="4" t="s">
        <f>=HYPERLINK("http://anyluxury.ru/shop/odezhda/detskaya-odezhda/panama-detskaya-bizbolka-challenge-kids-belaya-1115360/" , "11153.60 Панама детская Bizbolka Challenge Kids, белая")</f>
      </c>
      <c r="C3273" s="4" t="n">
        <v>499.00</v>
      </c>
      <c r="D3273" s="4"/>
    </row>
    <row collapsed="" customFormat="false" customHeight="1" hidden="" ht="14" outlineLevel="0" r="3274">
      <c r="A3274" s="3" t="inlineStr">
        <is>
          <t>3243</t>
        </is>
      </c>
      <c r="B3274" s="4" t="s">
        <f>=HYPERLINK("http://anyluxury.ru/shop/odezhda/detskaya-odezhda/panama-detskaya-bizbolka-challenge-kids-krasnaya-1115350/" , "11153.50 Панама детская Bizbolka Challenge Kids, красная")</f>
      </c>
      <c r="C3274" s="4" t="n">
        <v>499.00</v>
      </c>
      <c r="D3274" s="4"/>
    </row>
    <row collapsed="" customFormat="false" customHeight="1" hidden="" ht="14" outlineLevel="0" r="3275">
      <c r="A3275" s="3" t="inlineStr">
        <is>
          <t>3244</t>
        </is>
      </c>
      <c r="B3275" s="4" t="s">
        <f>=HYPERLINK("http://anyluxury.ru/shop/odezhda/detskaya-odezhda/panama-detskaya-bizbolka-challenge-kids-yarkosinyaya-1115344/" , "11153.44 Панама детская Bizbolka Challenge Kids, ярко-синяя")</f>
      </c>
      <c r="C3275" s="4" t="n">
        <v>499.00</v>
      </c>
      <c r="D3275" s="4"/>
    </row>
    <row collapsed="" customFormat="false" customHeight="1" hidden="" ht="14" outlineLevel="0" r="3276">
      <c r="A3276" s="3" t="inlineStr">
        <is>
          <t>3245</t>
        </is>
      </c>
      <c r="B3276" s="4" t="s">
        <f>=HYPERLINK("http://anyluxury.ru/shop/odezhda/detskaya-odezhda/panama-detskaya-bizbolka-challenge-kids-chernaya-1115330/" , "11153.30 Панама детская Bizbolka Challenge Kids, черная")</f>
      </c>
      <c r="C3276" s="4" t="n">
        <v>499.00</v>
      </c>
      <c r="D3276" s="4"/>
    </row>
    <row collapsed="" customFormat="false" customHeight="1" hidden="" ht="14" outlineLevel="0" r="3277">
      <c r="A3277" s="3" t="inlineStr">
        <is>
          <t>3246</t>
        </is>
      </c>
      <c r="B3277" s="4" t="s">
        <f>=HYPERLINK("http://anyluxury.ru/shop/odezhda/detskaya-odezhda/panama-detskaya-bizbolka-challenge-kids-golubaya-1115314/" , "11153.14 Панама детская Bizbolka Challenge Kids, голубая")</f>
      </c>
      <c r="C3277" s="4" t="n">
        <v>499.00</v>
      </c>
      <c r="D3277" s="4"/>
    </row>
    <row collapsed="" customFormat="false" customHeight="1" hidden="" ht="14" outlineLevel="0" r="3278">
      <c r="A3278" s="3" t="inlineStr">
        <is>
          <t>3247</t>
        </is>
      </c>
      <c r="B3278" s="4" t="s">
        <f>=HYPERLINK("http://anyluxury.ru/shop/odezhda/detskaya-odezhda/svitshot-zhenskiy-kulonga-raeglan-temnosiniy-1113840/" , "11138.40 Свитшот Kulonga Raeglan женский темно-синий, размер XS")</f>
      </c>
      <c r="C3278" s="4" t="n">
        <v>500.00</v>
      </c>
      <c r="D3278" s="4"/>
    </row>
    <row collapsed="" customFormat="false" customHeight="1" hidden="" ht="14" outlineLevel="0" r="3279">
      <c r="A3279" s="3" t="inlineStr">
        <is>
          <t>3248</t>
        </is>
      </c>
      <c r="B3279" s="4" t="s">
        <f>=HYPERLINK("http://anyluxury.ru/shop/odezhda/detskaya-odezhda/svitshot-zhenskiy-kulonga-raeglan-temnosiniy-1113840/" , "11138.40 Свитшот Kulonga Raeglan женский темно-синий, размер XXL")</f>
      </c>
      <c r="C3279" s="4" t="n">
        <v>500.00</v>
      </c>
      <c r="D3279" s="4"/>
    </row>
    <row collapsed="" customFormat="false" customHeight="1" hidden="" ht="14" outlineLevel="0" r="3280">
      <c r="A3280" s="3" t="inlineStr">
        <is>
          <t>3249</t>
        </is>
      </c>
      <c r="B3280" s="4" t="s">
        <f>=HYPERLINK("http://anyluxury.ru/shop/odezhda/detskaya-odezhda/tolstovka-hooded-chernaya-wu620002/" , "WU620002 Толстовка Hooded черная, размер XXS")</f>
      </c>
      <c r="C3280" s="4" t="n">
        <v>2793.00</v>
      </c>
      <c r="D3280" s="4"/>
    </row>
    <row collapsed="" customFormat="false" customHeight="1" hidden="" ht="14" outlineLevel="0" r="3281">
      <c r="A3281" s="3" t="inlineStr">
        <is>
          <t>3250</t>
        </is>
      </c>
      <c r="B3281" s="4" t="s">
        <f>=HYPERLINK("http://anyluxury.ru/shop/odezhda/detskaya-odezhda/tolstovka-hooded-chernaya-wu620002/" , "WU620002 Толстовка Hooded черная, размер XS")</f>
      </c>
      <c r="C3281" s="4" t="n">
        <v>2793.00</v>
      </c>
      <c r="D3281" s="4"/>
    </row>
    <row collapsed="" customFormat="false" customHeight="1" hidden="" ht="14" outlineLevel="0" r="3282">
      <c r="A3282" s="3" t="inlineStr">
        <is>
          <t>3251</t>
        </is>
      </c>
      <c r="B3282" s="4" t="s">
        <f>=HYPERLINK("http://anyluxury.ru/shop/odezhda/detskaya-odezhda/tolstovka-hooded-chernaya-wu620002/" , "WU620002 Толстовка Hooded черная, размер S")</f>
      </c>
      <c r="C3282" s="4" t="n">
        <v>2793.00</v>
      </c>
      <c r="D3282" s="4"/>
    </row>
    <row collapsed="" customFormat="false" customHeight="1" hidden="" ht="14" outlineLevel="0" r="3283">
      <c r="A3283" s="3" t="inlineStr">
        <is>
          <t>3252</t>
        </is>
      </c>
      <c r="B3283" s="4" t="s">
        <f>=HYPERLINK("http://anyluxury.ru/shop/odezhda/detskaya-odezhda/tolstovka-hooded-rozovaya-wu620304/" , "WU620304 Толстовка Hooded розовая, размер XXS")</f>
      </c>
      <c r="C3283" s="4" t="n">
        <v>2800.00</v>
      </c>
      <c r="D3283" s="4"/>
    </row>
    <row collapsed="" customFormat="false" customHeight="1" hidden="" ht="14" outlineLevel="0" r="3284">
      <c r="A3284" s="3" t="inlineStr">
        <is>
          <t>3253</t>
        </is>
      </c>
      <c r="B3284" s="4" t="s">
        <f>=HYPERLINK("http://anyluxury.ru/shop/odezhda/detskaya-odezhda/tolstovka-hooded-rozovaya-wu620304/" , "WU620304 Толстовка Hooded розовая, размер XXL")</f>
      </c>
      <c r="C3284" s="4" t="n">
        <v>2800.00</v>
      </c>
      <c r="D3284" s="4"/>
    </row>
    <row collapsed="" customFormat="false" customHeight="1" hidden="" ht="14" outlineLevel="0" r="3285">
      <c r="A3285" s="3" t="inlineStr">
        <is>
          <t>3254</t>
        </is>
      </c>
      <c r="B3285" s="4" t="s">
        <f>=HYPERLINK("http://anyluxury.ru/shop/odezhda/detskaya-odezhda/tolstovka-hooded-fioletovaya-wu620352/" , "WU620352 Толстовка Hooded фиолетовая, размер XXS")</f>
      </c>
      <c r="C3285" s="4" t="n">
        <v>2800.00</v>
      </c>
      <c r="D3285" s="4"/>
    </row>
    <row collapsed="" customFormat="false" customHeight="1" hidden="" ht="14" outlineLevel="0" r="3286">
      <c r="A3286" s="3" t="inlineStr">
        <is>
          <t>3255</t>
        </is>
      </c>
      <c r="B3286" s="4" t="s">
        <f>=HYPERLINK("http://anyluxury.ru/shop/odezhda/detskaya-odezhda/tolstovka-hooded-fioletovaya-wu620352/" , "WU620352 Толстовка Hooded фиолетовая, размер XS")</f>
      </c>
      <c r="C3286" s="4" t="n">
        <v>2800.00</v>
      </c>
      <c r="D3286" s="4"/>
    </row>
    <row collapsed="" customFormat="false" customHeight="1" hidden="" ht="14" outlineLevel="0" r="3287">
      <c r="A3287" s="3" t="inlineStr">
        <is>
          <t>3256</t>
        </is>
      </c>
      <c r="B3287" s="4" t="s">
        <f>=HYPERLINK("http://anyluxury.ru/shop/odezhda/detskaya-odezhda/tolstovka-hooded-temnobiryuzovaya-wu620445/" , "WU620445 Толстовка Hooded темно-бирюзовая, размер XXS")</f>
      </c>
      <c r="C3287" s="4" t="n">
        <v>2800.00</v>
      </c>
      <c r="D3287" s="4"/>
    </row>
    <row collapsed="" customFormat="false" customHeight="1" hidden="" ht="14" outlineLevel="0" r="3288">
      <c r="A3288" s="3" t="inlineStr">
        <is>
          <t>3257</t>
        </is>
      </c>
      <c r="B3288" s="4" t="s">
        <f>=HYPERLINK("http://anyluxury.ru/shop/odezhda/detskaya-odezhda/dozhdevik-rainman-zip-yarkosiniy-1112444/" , "11124.44 Дождевик Rainman Zip ярко-синий, размер XS")</f>
      </c>
      <c r="C3288" s="4" t="n">
        <v>1290.00</v>
      </c>
      <c r="D3288" s="4"/>
    </row>
    <row collapsed="" customFormat="false" customHeight="1" hidden="" ht="14" outlineLevel="0" r="3289">
      <c r="A3289" s="3" t="inlineStr">
        <is>
          <t>3258</t>
        </is>
      </c>
      <c r="B3289" s="4" t="s">
        <f>=HYPERLINK("http://anyluxury.ru/shop/odezhda/detskaya-odezhda/dozhdevik-rainman-zip-yarkosiniy-1112444/" , "11124.44 Дождевик Rainman Zip ярко-синий, размер S")</f>
      </c>
      <c r="C3289" s="4" t="n">
        <v>1290.00</v>
      </c>
      <c r="D3289" s="4"/>
    </row>
    <row collapsed="" customFormat="false" customHeight="1" hidden="" ht="14" outlineLevel="0" r="3290">
      <c r="A3290" s="3" t="inlineStr">
        <is>
          <t>3259</t>
        </is>
      </c>
      <c r="B3290" s="4" t="s">
        <f>=HYPERLINK("http://anyluxury.ru/shop/odezhda/detskaya-odezhda/dozhdevik-rainman-zip-yarkosiniy-1112444/" , "11124.44 Дождевик Rainman Zip, ярко-синий, размер S")</f>
      </c>
      <c r="C3290" s="4" t="n">
        <v>1290.00</v>
      </c>
      <c r="D3290" s="4"/>
    </row>
    <row collapsed="" customFormat="false" customHeight="1" hidden="" ht="14" outlineLevel="0" r="3291">
      <c r="A3291" s="3" t="inlineStr">
        <is>
          <t>3260</t>
        </is>
      </c>
      <c r="B3291" s="4" t="s">
        <f>=HYPERLINK("http://anyluxury.ru/shop/odezhda/detskaya-odezhda/dozhdevik-rainman-zip-yarkosiniy-1112444/" , "11124.44 Дождевик Rainman Zip, ярко-синий, размер M")</f>
      </c>
      <c r="C3291" s="4" t="n">
        <v>1290.00</v>
      </c>
      <c r="D3291" s="4"/>
    </row>
    <row collapsed="" customFormat="false" customHeight="1" hidden="" ht="14" outlineLevel="0" r="3292">
      <c r="A3292" s="3" t="inlineStr">
        <is>
          <t>3261</t>
        </is>
      </c>
      <c r="B3292" s="4" t="s">
        <f>=HYPERLINK("http://anyluxury.ru/shop/odezhda/detskaya-odezhda/dozhdevik-rainman-zip-yarkosiniy-1112444/" , "11124.44 Дождевик Rainman Zip, ярко-синий, размер L")</f>
      </c>
      <c r="C3292" s="4" t="n">
        <v>1290.00</v>
      </c>
      <c r="D3292" s="4"/>
    </row>
    <row collapsed="" customFormat="false" customHeight="1" hidden="" ht="14" outlineLevel="0" r="3293">
      <c r="A3293" s="3" t="inlineStr">
        <is>
          <t>3262</t>
        </is>
      </c>
      <c r="B3293" s="4" t="s">
        <f>=HYPERLINK("http://anyluxury.ru/shop/odezhda/detskaya-odezhda/dozhdevik-rainman-zip-yarkosiniy-1112444/" , "11124.44 Дождевик Rainman Zip, ярко-синий, размер XL")</f>
      </c>
      <c r="C3293" s="4" t="n">
        <v>1290.00</v>
      </c>
      <c r="D3293" s="4"/>
    </row>
    <row collapsed="" customFormat="false" customHeight="1" hidden="" ht="14" outlineLevel="0" r="3294">
      <c r="A3294" s="3" t="inlineStr">
        <is>
          <t>3263</t>
        </is>
      </c>
      <c r="B3294" s="4" t="s">
        <f>=HYPERLINK("http://anyluxury.ru/shop/odezhda/detskaya-odezhda/dozhdevik-rainman-zip-yarkosiniy-1112444/" , "11124.44 Дождевик Rainman Zip, ярко-синий, размер XXL")</f>
      </c>
      <c r="C3294" s="4" t="n">
        <v>1290.00</v>
      </c>
      <c r="D3294" s="4"/>
    </row>
    <row collapsed="" customFormat="false" customHeight="1" hidden="" ht="14" outlineLevel="0" r="3295">
      <c r="A3295" s="3" t="inlineStr">
        <is>
          <t>3264</t>
        </is>
      </c>
      <c r="B3295" s="4" t="s">
        <f>=HYPERLINK("http://anyluxury.ru/shop/odezhda/detskaya-odezhda/dozhdevik-rainman-zip-neonovozheltiy-1112480/" , "11124.80 Дождевик Rainman Zip неоново-желтый, размер XS")</f>
      </c>
      <c r="C3295" s="4" t="n">
        <v>1290.00</v>
      </c>
      <c r="D3295" s="4"/>
    </row>
    <row collapsed="" customFormat="false" customHeight="1" hidden="" ht="14" outlineLevel="0" r="3296">
      <c r="A3296" s="3" t="inlineStr">
        <is>
          <t>3265</t>
        </is>
      </c>
      <c r="B3296" s="4" t="s">
        <f>=HYPERLINK("http://anyluxury.ru/shop/odezhda/detskaya-odezhda/dozhdevik-rainman-zip-neonovozheltiy-1112480/" , "11124.80 Дождевик Rainman Zip неоново-желтый, размер S")</f>
      </c>
      <c r="C3296" s="4" t="n">
        <v>1290.00</v>
      </c>
      <c r="D3296" s="4"/>
    </row>
    <row collapsed="" customFormat="false" customHeight="1" hidden="" ht="14" outlineLevel="0" r="3297">
      <c r="A3297" s="3" t="inlineStr">
        <is>
          <t>3266</t>
        </is>
      </c>
      <c r="B3297" s="4" t="s">
        <f>=HYPERLINK("http://anyluxury.ru/shop/odezhda/detskaya-odezhda/dozhdevik-rainman-zip-neonovozheltiy-1112480/" , "11124.80 Дождевик Rainman Zip неоново-желтый, размер M")</f>
      </c>
      <c r="C3297" s="4" t="n">
        <v>1290.00</v>
      </c>
      <c r="D3297" s="4"/>
    </row>
    <row collapsed="" customFormat="false" customHeight="1" hidden="" ht="14" outlineLevel="0" r="3298">
      <c r="A3298" s="3" t="inlineStr">
        <is>
          <t>3267</t>
        </is>
      </c>
      <c r="B3298" s="4" t="s">
        <f>=HYPERLINK("http://anyluxury.ru/shop/odezhda/detskaya-odezhda/dozhdevik-rainman-zip-neonovozheltiy-1112480/" , "11124.80 Дождевик Rainman Zip неоново-желтый, размер L")</f>
      </c>
      <c r="C3298" s="4" t="n">
        <v>1290.00</v>
      </c>
      <c r="D3298" s="4"/>
    </row>
    <row collapsed="" customFormat="false" customHeight="1" hidden="" ht="14" outlineLevel="0" r="3299">
      <c r="A3299" s="3" t="inlineStr">
        <is>
          <t>3268</t>
        </is>
      </c>
      <c r="B3299" s="4" t="s">
        <f>=HYPERLINK("http://anyluxury.ru/shop/odezhda/detskaya-odezhda/dozhdevik-rainman-zip-neonovozheltiy-1112480/" , "11124.80 Дождевик Rainman Zip неоново-желтый, размер XL")</f>
      </c>
      <c r="C3299" s="4" t="n">
        <v>1290.00</v>
      </c>
      <c r="D3299" s="4"/>
    </row>
    <row collapsed="" customFormat="false" customHeight="1" hidden="" ht="14" outlineLevel="0" r="3300">
      <c r="A3300" s="3" t="inlineStr">
        <is>
          <t>3269</t>
        </is>
      </c>
      <c r="B3300" s="4" t="s">
        <f>=HYPERLINK("http://anyluxury.ru/shop/odezhda/detskaya-odezhda/dozhdevik-rainman-zip-neonovozheltiy-1112480/" , "11124.80 Дождевик Rainman Zip неоново-желтый, размер XXL")</f>
      </c>
      <c r="C3300" s="4" t="n">
        <v>1290.00</v>
      </c>
      <c r="D3300" s="4"/>
    </row>
    <row collapsed="" customFormat="false" customHeight="1" hidden="" ht="14" outlineLevel="0" r="3301">
      <c r="A3301" s="3" t="inlineStr">
        <is>
          <t>3270</t>
        </is>
      </c>
      <c r="B3301" s="4" t="s">
        <f>=HYPERLINK("http://anyluxury.ru/shop/odezhda/detskaya-odezhda/dozhdevik-rainman-zip-neonovozheltiy-1112480/" , "11124.80 Дождевик Rainman Zip, желтый неон, размер S")</f>
      </c>
      <c r="C3301" s="4" t="n">
        <v>1290.00</v>
      </c>
      <c r="D3301" s="4"/>
    </row>
    <row collapsed="" customFormat="false" customHeight="1" hidden="" ht="14" outlineLevel="0" r="3302">
      <c r="A3302" s="3" t="inlineStr">
        <is>
          <t>3271</t>
        </is>
      </c>
      <c r="B3302" s="4" t="s">
        <f>=HYPERLINK("http://anyluxury.ru/shop/odezhda/detskaya-odezhda/dozhdevik-rainman-zip-neonovozheltiy-1112480/" , "11124.80 Дождевик Rainman Zip, желтый неон, размер M")</f>
      </c>
      <c r="C3302" s="4" t="n">
        <v>1290.00</v>
      </c>
      <c r="D3302" s="4"/>
    </row>
    <row collapsed="" customFormat="false" customHeight="1" hidden="" ht="14" outlineLevel="0" r="3303">
      <c r="A3303" s="3" t="inlineStr">
        <is>
          <t>3272</t>
        </is>
      </c>
      <c r="B3303" s="4" t="s">
        <f>=HYPERLINK("http://anyluxury.ru/shop/odezhda/detskaya-odezhda/dozhdevik-rainman-zip-neonovozheltiy-1112480/" , "11124.80 Дождевик Rainman Zip, желтый неон, размер L")</f>
      </c>
      <c r="C3303" s="4" t="n">
        <v>1290.00</v>
      </c>
      <c r="D3303" s="4"/>
    </row>
    <row collapsed="" customFormat="false" customHeight="1" hidden="" ht="14" outlineLevel="0" r="3304">
      <c r="A3304" s="3" t="inlineStr">
        <is>
          <t>3273</t>
        </is>
      </c>
      <c r="B3304" s="4" t="s">
        <f>=HYPERLINK("http://anyluxury.ru/shop/odezhda/detskaya-odezhda/dozhdevik-rainman-zip-neonovozheltiy-1112480/" , "11124.80 Дождевик Rainman Zip, желтый неон, размер XL")</f>
      </c>
      <c r="C3304" s="4" t="n">
        <v>1290.00</v>
      </c>
      <c r="D3304" s="4"/>
    </row>
    <row collapsed="" customFormat="false" customHeight="1" hidden="" ht="14" outlineLevel="0" r="3305">
      <c r="A3305" s="3" t="inlineStr">
        <is>
          <t>3274</t>
        </is>
      </c>
      <c r="B3305" s="4" t="s">
        <f>=HYPERLINK("http://anyluxury.ru/shop/odezhda/detskaya-odezhda/dozhdevik-rainman-zip-neonovozheltiy-1112480/" , "11124.80 Дождевик Rainman Zip, желтый неон, размер XXL")</f>
      </c>
      <c r="C3305" s="4" t="n">
        <v>1290.00</v>
      </c>
      <c r="D3305" s="4"/>
    </row>
    <row collapsed="" customFormat="false" customHeight="1" hidden="" ht="14" outlineLevel="0" r="3306">
      <c r="A3306" s="3" t="inlineStr">
        <is>
          <t>3275</t>
        </is>
      </c>
      <c r="B3306" s="4" t="s">
        <f>=HYPERLINK("http://anyluxury.ru/shop/odezhda/detskaya-odezhda/dozhdevik-rainman-zip-temnosiniy-1112440/" , "11124.40 Дождевик Rainman Zip темно-синий, размер XS")</f>
      </c>
      <c r="C3306" s="4" t="n">
        <v>1290.00</v>
      </c>
      <c r="D3306" s="4"/>
    </row>
    <row collapsed="" customFormat="false" customHeight="1" hidden="" ht="14" outlineLevel="0" r="3307">
      <c r="A3307" s="3" t="inlineStr">
        <is>
          <t>3276</t>
        </is>
      </c>
      <c r="B3307" s="4" t="s">
        <f>=HYPERLINK("http://anyluxury.ru/shop/odezhda/detskaya-odezhda/dozhdevik-rainman-zip-temnosiniy-1112440/" , "11124.40 Дождевик Rainman Zip темно-синий, размер S")</f>
      </c>
      <c r="C3307" s="4" t="n">
        <v>1290.00</v>
      </c>
      <c r="D3307" s="4"/>
    </row>
    <row collapsed="" customFormat="false" customHeight="1" hidden="" ht="14" outlineLevel="0" r="3308">
      <c r="A3308" s="3" t="inlineStr">
        <is>
          <t>3277</t>
        </is>
      </c>
      <c r="B3308" s="4" t="s">
        <f>=HYPERLINK("http://anyluxury.ru/shop/odezhda/detskaya-odezhda/dozhdevik-rainman-zip-temnosiniy-1112440/" , "11124.40 Дождевик Rainman Zip, темно-синий, размер XS")</f>
      </c>
      <c r="C3308" s="4" t="n">
        <v>1140.00</v>
      </c>
      <c r="D3308" s="4"/>
    </row>
    <row collapsed="" customFormat="false" customHeight="1" hidden="" ht="14" outlineLevel="0" r="3309">
      <c r="A3309" s="3" t="inlineStr">
        <is>
          <t>3278</t>
        </is>
      </c>
      <c r="B3309" s="4" t="s">
        <f>=HYPERLINK("http://anyluxury.ru/shop/odezhda/detskaya-odezhda/dozhdevik-rainman-zip-temnosiniy-1112440/" , "11124.40 Дождевик Rainman Zip, темно-синий, размер S")</f>
      </c>
      <c r="C3309" s="4" t="n">
        <v>1290.00</v>
      </c>
      <c r="D3309" s="4"/>
    </row>
    <row collapsed="" customFormat="false" customHeight="1" hidden="" ht="14" outlineLevel="0" r="3310">
      <c r="A3310" s="3" t="inlineStr">
        <is>
          <t>3279</t>
        </is>
      </c>
      <c r="B3310" s="4" t="s">
        <f>=HYPERLINK("http://anyluxury.ru/shop/odezhda/detskaya-odezhda/dozhdevik-rainman-zip-temnosiniy-1112440/" , "11124.40 Дождевик Rainman Zip, темно-синий, размер M")</f>
      </c>
      <c r="C3310" s="4" t="n">
        <v>1290.00</v>
      </c>
      <c r="D3310" s="4"/>
    </row>
    <row collapsed="" customFormat="false" customHeight="1" hidden="" ht="14" outlineLevel="0" r="3311">
      <c r="A3311" s="3" t="inlineStr">
        <is>
          <t>3280</t>
        </is>
      </c>
      <c r="B3311" s="4" t="s">
        <f>=HYPERLINK("http://anyluxury.ru/shop/odezhda/detskaya-odezhda/dozhdevik-rainman-zip-temnosiniy-1112440/" , "11124.40 Дождевик Rainman Zip, темно-синий, размер L")</f>
      </c>
      <c r="C3311" s="4" t="n">
        <v>1290.00</v>
      </c>
      <c r="D3311" s="4"/>
    </row>
    <row collapsed="" customFormat="false" customHeight="1" hidden="" ht="14" outlineLevel="0" r="3312">
      <c r="A3312" s="3" t="inlineStr">
        <is>
          <t>3281</t>
        </is>
      </c>
      <c r="B3312" s="4" t="s">
        <f>=HYPERLINK("http://anyluxury.ru/shop/odezhda/detskaya-odezhda/dozhdevik-rainman-zip-temnosiniy-1112440/" , "11124.40 Дождевик Rainman Zip, темно-синий, размер XL")</f>
      </c>
      <c r="C3312" s="4" t="n">
        <v>1290.00</v>
      </c>
      <c r="D3312" s="4"/>
    </row>
    <row collapsed="" customFormat="false" customHeight="1" hidden="" ht="14" outlineLevel="0" r="3313">
      <c r="A3313" s="3" t="inlineStr">
        <is>
          <t>3282</t>
        </is>
      </c>
      <c r="B3313" s="4" t="s">
        <f>=HYPERLINK("http://anyluxury.ru/shop/odezhda/detskaya-odezhda/dozhdevik-rainman-zip-temnosiniy-1112440/" , "11124.40 Дождевик Rainman Zip, темно-синий, размер XXL")</f>
      </c>
      <c r="C3313" s="4" t="n">
        <v>1290.00</v>
      </c>
      <c r="D3313" s="4"/>
    </row>
    <row collapsed="" customFormat="false" customHeight="1" hidden="" ht="14" outlineLevel="0" r="3314">
      <c r="A3314" s="3" t="inlineStr">
        <is>
          <t>3283</t>
        </is>
      </c>
      <c r="B3314" s="4" t="s">
        <f>=HYPERLINK("http://anyluxury.ru/shop/odezhda/detskaya-odezhda/dozhdevik-rainman-zip-cherniy-1112430/" , "11124.30 Дождевик Rainman Zip, черный, размер S")</f>
      </c>
      <c r="C3314" s="4" t="n">
        <v>1290.00</v>
      </c>
      <c r="D3314" s="4"/>
    </row>
    <row collapsed="" customFormat="false" customHeight="1" hidden="" ht="14" outlineLevel="0" r="3315">
      <c r="A3315" s="3" t="inlineStr">
        <is>
          <t>3284</t>
        </is>
      </c>
      <c r="B3315" s="4" t="s">
        <f>=HYPERLINK("http://anyluxury.ru/shop/odezhda/detskaya-odezhda/dozhdevik-rainman-zip-cherniy-1112430/" , "11124.30 Дождевик Rainman Zip, черный, размер M")</f>
      </c>
      <c r="C3315" s="4" t="n">
        <v>1290.00</v>
      </c>
      <c r="D3315" s="4"/>
    </row>
    <row collapsed="" customFormat="false" customHeight="1" hidden="" ht="14" outlineLevel="0" r="3316">
      <c r="A3316" s="3" t="inlineStr">
        <is>
          <t>3285</t>
        </is>
      </c>
      <c r="B3316" s="4" t="s">
        <f>=HYPERLINK("http://anyluxury.ru/shop/odezhda/detskaya-odezhda/dozhdevik-rainman-zip-cherniy-1112430/" , "11124.30 Дождевик Rainman Zip, черный, размер L")</f>
      </c>
      <c r="C3316" s="4" t="n">
        <v>1290.00</v>
      </c>
      <c r="D3316" s="4"/>
    </row>
    <row collapsed="" customFormat="false" customHeight="1" hidden="" ht="14" outlineLevel="0" r="3317">
      <c r="A3317" s="3" t="inlineStr">
        <is>
          <t>3286</t>
        </is>
      </c>
      <c r="B3317" s="4" t="s">
        <f>=HYPERLINK("http://anyluxury.ru/shop/odezhda/detskaya-odezhda/dozhdevik-rainman-zip-cherniy-1112430/" , "11124.30 Дождевик Rainman Zip, черный, размер XL")</f>
      </c>
      <c r="C3317" s="4" t="n">
        <v>1290.00</v>
      </c>
      <c r="D3317" s="4"/>
    </row>
    <row collapsed="" customFormat="false" customHeight="1" hidden="" ht="14" outlineLevel="0" r="3318">
      <c r="A3318" s="3" t="inlineStr">
        <is>
          <t>3287</t>
        </is>
      </c>
      <c r="B3318" s="4" t="s">
        <f>=HYPERLINK("http://anyluxury.ru/shop/odezhda/detskaya-odezhda/dozhdevik-rainman-zip-cherniy-1112430/" , "11124.30 Дождевик Rainman Zip, черный, размер XXL")</f>
      </c>
      <c r="C3318" s="4" t="n">
        <v>1290.00</v>
      </c>
      <c r="D3318" s="4"/>
    </row>
    <row collapsed="" customFormat="false" customHeight="1" hidden="" ht="14" outlineLevel="0" r="3319">
      <c r="A3319" s="3" t="inlineStr">
        <is>
          <t>3288</t>
        </is>
      </c>
      <c r="B3319" s="4" t="s">
        <f>=HYPERLINK("http://anyluxury.ru/shop/odezhda/detskaya-odezhda/dozhdevik-uniseks-rainman-strong-zelenoe-yabloko-1112394/" , "11123.94 Дождевик унисекс Rainman Strong зеленое яблоко, размер XS")</f>
      </c>
      <c r="C3319" s="4" t="n">
        <v>1240.00</v>
      </c>
      <c r="D3319" s="4"/>
    </row>
    <row collapsed="" customFormat="false" customHeight="1" hidden="" ht="14" outlineLevel="0" r="3320">
      <c r="A3320" s="3" t="inlineStr">
        <is>
          <t>3289</t>
        </is>
      </c>
      <c r="B3320" s="4" t="s">
        <f>=HYPERLINK("http://anyluxury.ru/shop/odezhda/detskaya-odezhda/dozhdevik-uniseks-rainman-strong-zelenoe-yabloko-1112394/" , "11123.94 Дождевик унисекс Rainman Strong зеленое яблоко, размер S")</f>
      </c>
      <c r="C3320" s="4" t="n">
        <v>1240.00</v>
      </c>
      <c r="D3320" s="4"/>
    </row>
    <row collapsed="" customFormat="false" customHeight="1" hidden="" ht="14" outlineLevel="0" r="3321">
      <c r="A3321" s="3" t="inlineStr">
        <is>
          <t>3290</t>
        </is>
      </c>
      <c r="B3321" s="4" t="s">
        <f>=HYPERLINK("http://anyluxury.ru/shop/odezhda/detskaya-odezhda/dozhdevik-uniseks-rainman-strong-zelenoe-yabloko-1112394/" , "11123.94 Дождевик унисекс Rainman Strong зеленое яблоко, размер M")</f>
      </c>
      <c r="C3321" s="4" t="n">
        <v>1240.00</v>
      </c>
      <c r="D3321" s="4"/>
    </row>
    <row collapsed="" customFormat="false" customHeight="1" hidden="" ht="14" outlineLevel="0" r="3322">
      <c r="A3322" s="3" t="inlineStr">
        <is>
          <t>3291</t>
        </is>
      </c>
      <c r="B3322" s="4" t="s">
        <f>=HYPERLINK("http://anyluxury.ru/shop/odezhda/detskaya-odezhda/dozhdevik-uniseks-rainman-strong-zelenoe-yabloko-1112394/" , "11123.94 Дождевик унисекс Rainman Strong зеленое яблоко, размер L")</f>
      </c>
      <c r="C3322" s="4" t="n">
        <v>1240.00</v>
      </c>
      <c r="D3322" s="4"/>
    </row>
    <row collapsed="" customFormat="false" customHeight="1" hidden="" ht="14" outlineLevel="0" r="3323">
      <c r="A3323" s="3" t="inlineStr">
        <is>
          <t>3292</t>
        </is>
      </c>
      <c r="B3323" s="4" t="s">
        <f>=HYPERLINK("http://anyluxury.ru/shop/odezhda/detskaya-odezhda/dozhdevik-uniseks-rainman-strong-beliy-1112360/" , "11123.60 Дождевик унисекс Rainman Strong белый, размер XS")</f>
      </c>
      <c r="C3323" s="4" t="n">
        <v>1240.00</v>
      </c>
      <c r="D3323" s="4"/>
    </row>
    <row collapsed="" customFormat="false" customHeight="1" hidden="" ht="14" outlineLevel="0" r="3324">
      <c r="A3324" s="3" t="inlineStr">
        <is>
          <t>3293</t>
        </is>
      </c>
      <c r="B3324" s="4" t="s">
        <f>=HYPERLINK("http://anyluxury.ru/shop/odezhda/detskaya-odezhda/dozhdevik-uniseks-rainman-strong-beliy-1112360/" , "11123.60 Дождевик унисекс Rainman Strong белый, размер S")</f>
      </c>
      <c r="C3324" s="4" t="n">
        <v>1240.00</v>
      </c>
      <c r="D3324" s="4"/>
    </row>
    <row collapsed="" customFormat="false" customHeight="1" hidden="" ht="14" outlineLevel="0" r="3325">
      <c r="A3325" s="3" t="inlineStr">
        <is>
          <t>3294</t>
        </is>
      </c>
      <c r="B3325" s="4" t="s">
        <f>=HYPERLINK("http://anyluxury.ru/shop/odezhda/detskaya-odezhda/dozhdevik-uniseks-rainman-strong-beliy-1112360/" , "11123.60 Дождевик унисекс Rainman Strong белый, размер M")</f>
      </c>
      <c r="C3325" s="4" t="n">
        <v>1240.00</v>
      </c>
      <c r="D3325" s="4"/>
    </row>
    <row collapsed="" customFormat="false" customHeight="1" hidden="" ht="14" outlineLevel="0" r="3326">
      <c r="A3326" s="3" t="inlineStr">
        <is>
          <t>3295</t>
        </is>
      </c>
      <c r="B3326" s="4" t="s">
        <f>=HYPERLINK("http://anyluxury.ru/shop/odezhda/detskaya-odezhda/dozhdevik-uniseks-rainman-strong-beliy-1112360/" , "11123.60 Дождевик унисекс Rainman Strong белый, размер L")</f>
      </c>
      <c r="C3326" s="4" t="n">
        <v>1240.00</v>
      </c>
      <c r="D3326" s="4"/>
    </row>
    <row collapsed="" customFormat="false" customHeight="1" hidden="" ht="14" outlineLevel="0" r="3327">
      <c r="A3327" s="3" t="inlineStr">
        <is>
          <t>3296</t>
        </is>
      </c>
      <c r="B3327" s="4" t="s">
        <f>=HYPERLINK("http://anyluxury.ru/shop/odezhda/detskaya-odezhda/dozhdevik-uniseks-rainman-strong-beliy-1112360/" , "11123.60 Дождевик унисекс Rainman Strong белый, размер XL")</f>
      </c>
      <c r="C3327" s="4" t="n">
        <v>1240.00</v>
      </c>
      <c r="D3327" s="4"/>
    </row>
    <row collapsed="" customFormat="false" customHeight="1" hidden="" ht="14" outlineLevel="0" r="3328">
      <c r="A3328" s="3" t="inlineStr">
        <is>
          <t>3297</t>
        </is>
      </c>
      <c r="B3328" s="4" t="s">
        <f>=HYPERLINK("http://anyluxury.ru/shop/odezhda/detskaya-odezhda/dozhdevik-uniseks-rainman-strong-beliy-1112360/" , "11123.60 Дождевик унисекс Rainman Strong белый, размер XXL")</f>
      </c>
      <c r="C3328" s="4" t="n">
        <v>1240.00</v>
      </c>
      <c r="D3328" s="4"/>
    </row>
    <row collapsed="" customFormat="false" customHeight="1" hidden="" ht="14" outlineLevel="0" r="3329">
      <c r="A3329" s="3" t="inlineStr">
        <is>
          <t>3298</t>
        </is>
      </c>
      <c r="B3329" s="4" t="s">
        <f>=HYPERLINK("http://anyluxury.ru/shop/odezhda/detskaya-odezhda/dozhdevik-uniseks-rainman-strong-cherniy-1112330/" , "11123.30 Дождевик унисекс Rainman Strong черный, размер XS")</f>
      </c>
      <c r="C3329" s="4" t="n">
        <v>1240.00</v>
      </c>
      <c r="D3329" s="4"/>
    </row>
    <row collapsed="" customFormat="false" customHeight="1" hidden="" ht="14" outlineLevel="0" r="3330">
      <c r="A3330" s="3" t="inlineStr">
        <is>
          <t>3299</t>
        </is>
      </c>
      <c r="B3330" s="4" t="s">
        <f>=HYPERLINK("http://anyluxury.ru/shop/odezhda/detskaya-odezhda/dozhdevik-uniseks-rainman-strong-cherniy-1112330/" , "11123.30 Дождевик унисекс Rainman Strong черный, размер S")</f>
      </c>
      <c r="C3330" s="4" t="n">
        <v>1240.00</v>
      </c>
      <c r="D3330" s="4"/>
    </row>
    <row collapsed="" customFormat="false" customHeight="1" hidden="" ht="14" outlineLevel="0" r="3331">
      <c r="A3331" s="3" t="inlineStr">
        <is>
          <t>3300</t>
        </is>
      </c>
      <c r="B3331" s="4" t="s">
        <f>=HYPERLINK("http://anyluxury.ru/shop/odezhda/detskaya-odezhda/dozhdevik-uniseks-rainman-strong-cherniy-1112330/" , "11123.30 Дождевик унисекс Rainman Strong черный, размер M")</f>
      </c>
      <c r="C3331" s="4" t="n">
        <v>1240.00</v>
      </c>
      <c r="D3331" s="4"/>
    </row>
    <row collapsed="" customFormat="false" customHeight="1" hidden="" ht="14" outlineLevel="0" r="3332">
      <c r="A3332" s="3" t="inlineStr">
        <is>
          <t>3301</t>
        </is>
      </c>
      <c r="B3332" s="4" t="s">
        <f>=HYPERLINK("http://anyluxury.ru/shop/odezhda/detskaya-odezhda/dozhdevik-uniseks-rainman-strong-cherniy-1112330/" , "11123.30 Дождевик унисекс Rainman Strong черный, размер L")</f>
      </c>
      <c r="C3332" s="4" t="n">
        <v>1240.00</v>
      </c>
      <c r="D3332" s="4"/>
    </row>
    <row collapsed="" customFormat="false" customHeight="1" hidden="" ht="14" outlineLevel="0" r="3333">
      <c r="A3333" s="3" t="inlineStr">
        <is>
          <t>3302</t>
        </is>
      </c>
      <c r="B3333" s="4" t="s">
        <f>=HYPERLINK("http://anyluxury.ru/shop/odezhda/detskaya-odezhda/dozhdevik-uniseks-rainman-strong-cherniy-1112330/" , "11123.30 Дождевик унисекс Rainman Strong черный, размер XL")</f>
      </c>
      <c r="C3333" s="4" t="n">
        <v>1240.00</v>
      </c>
      <c r="D3333" s="4"/>
    </row>
    <row collapsed="" customFormat="false" customHeight="1" hidden="" ht="14" outlineLevel="0" r="3334">
      <c r="A3334" s="3" t="inlineStr">
        <is>
          <t>3303</t>
        </is>
      </c>
      <c r="B3334" s="4" t="s">
        <f>=HYPERLINK("http://anyluxury.ru/shop/odezhda/detskaya-odezhda/dozhdevik-uniseks-rainman-strong-cherniy-1112330/" , "11123.30 Дождевик унисекс Rainman Strong черный, размер XXL")</f>
      </c>
      <c r="C3334" s="4" t="n">
        <v>1240.00</v>
      </c>
      <c r="D3334" s="4"/>
    </row>
    <row collapsed="" customFormat="false" customHeight="1" hidden="" ht="14" outlineLevel="0" r="3335">
      <c r="A3335" s="3" t="inlineStr">
        <is>
          <t>3304</t>
        </is>
      </c>
      <c r="B3335" s="4" t="s">
        <f>=HYPERLINK("http://anyluxury.ru/shop/odezhda/detskaya-odezhda/dozhdevik-uniseks-rainman-strong-zheltiy-neon-1112380/" , "11123.80 Дождевик унисекс Rainman Strong, желтый неон, размер XS")</f>
      </c>
      <c r="C3335" s="4" t="n">
        <v>1240.00</v>
      </c>
      <c r="D3335" s="4"/>
    </row>
    <row collapsed="" customFormat="false" customHeight="1" hidden="" ht="14" outlineLevel="0" r="3336">
      <c r="A3336" s="3" t="inlineStr">
        <is>
          <t>3305</t>
        </is>
      </c>
      <c r="B3336" s="4" t="s">
        <f>=HYPERLINK("http://anyluxury.ru/shop/odezhda/detskaya-odezhda/dozhdevik-uniseks-rainman-strong-zheltiy-neon-1112380/" , "11123.80 Дождевик унисекс Rainman Strong, желтый неон, размер S")</f>
      </c>
      <c r="C3336" s="4" t="n">
        <v>1240.00</v>
      </c>
      <c r="D3336" s="4"/>
    </row>
    <row collapsed="" customFormat="false" customHeight="1" hidden="" ht="14" outlineLevel="0" r="3337">
      <c r="A3337" s="3" t="inlineStr">
        <is>
          <t>3306</t>
        </is>
      </c>
      <c r="B3337" s="4" t="s">
        <f>=HYPERLINK("http://anyluxury.ru/shop/odezhda/detskaya-odezhda/dozhdevik-uniseks-rainman-strong-zheltiy-neon-1112380/" , "11123.80 Дождевик унисекс Rainman Strong, желтый неон, размер M")</f>
      </c>
      <c r="C3337" s="4" t="n">
        <v>1240.00</v>
      </c>
      <c r="D3337" s="4"/>
    </row>
    <row collapsed="" customFormat="false" customHeight="1" hidden="" ht="14" outlineLevel="0" r="3338">
      <c r="A3338" s="3" t="inlineStr">
        <is>
          <t>3307</t>
        </is>
      </c>
      <c r="B3338" s="4" t="s">
        <f>=HYPERLINK("http://anyluxury.ru/shop/odezhda/detskaya-odezhda/dozhdevik-uniseks-rainman-strong-zheltiy-neon-1112380/" , "11123.80 Дождевик унисекс Rainman Strong, желтый неон, размер L")</f>
      </c>
      <c r="C3338" s="4" t="n">
        <v>1240.00</v>
      </c>
      <c r="D3338" s="4"/>
    </row>
    <row collapsed="" customFormat="false" customHeight="1" hidden="" ht="14" outlineLevel="0" r="3339">
      <c r="A3339" s="3" t="inlineStr">
        <is>
          <t>3308</t>
        </is>
      </c>
      <c r="B3339" s="4" t="s">
        <f>=HYPERLINK("http://anyluxury.ru/shop/odezhda/detskaya-odezhda/dozhdevik-uniseks-rainman-strong-zheltiy-neon-1112380/" , "11123.80 Дождевик унисекс Rainman Strong, желтый неон, размер XL")</f>
      </c>
      <c r="C3339" s="4" t="n">
        <v>1240.00</v>
      </c>
      <c r="D3339" s="4"/>
    </row>
    <row collapsed="" customFormat="false" customHeight="1" hidden="" ht="14" outlineLevel="0" r="3340">
      <c r="A3340" s="3" t="inlineStr">
        <is>
          <t>3309</t>
        </is>
      </c>
      <c r="B3340" s="4" t="s">
        <f>=HYPERLINK("http://anyluxury.ru/shop/odezhda/detskaya-odezhda/dozhdevik-uniseks-rainman-strong-zheltiy-neon-1112380/" , "11123.80 Дождевик унисекс Rainman Strong, желтый неон, размер XXL")</f>
      </c>
      <c r="C3340" s="4" t="n">
        <v>1240.00</v>
      </c>
      <c r="D3340" s="4"/>
    </row>
    <row collapsed="" customFormat="false" customHeight="1" hidden="" ht="14" outlineLevel="0" r="3341">
      <c r="A3341" s="3" t="inlineStr">
        <is>
          <t>3310</t>
        </is>
      </c>
      <c r="B3341" s="4" t="s">
        <f>=HYPERLINK("http://anyluxury.ru/shop/odezhda/detskaya-odezhda/dozhdevik-uniseks-rainman-strong-krasniy-1112350/" , "11123.50 Дождевик унисекс Rainman Strong красный, размер XS")</f>
      </c>
      <c r="C3341" s="4" t="n">
        <v>1240.00</v>
      </c>
      <c r="D3341" s="4"/>
    </row>
    <row collapsed="" customFormat="false" customHeight="1" hidden="" ht="14" outlineLevel="0" r="3342">
      <c r="A3342" s="3" t="inlineStr">
        <is>
          <t>3311</t>
        </is>
      </c>
      <c r="B3342" s="4" t="s">
        <f>=HYPERLINK("http://anyluxury.ru/shop/odezhda/detskaya-odezhda/dozhdevik-uniseks-rainman-strong-krasniy-1112350/" , "11123.50 Дождевик унисекс Rainman Strong красный, размер S")</f>
      </c>
      <c r="C3342" s="4" t="n">
        <v>1240.00</v>
      </c>
      <c r="D3342" s="4"/>
    </row>
    <row collapsed="" customFormat="false" customHeight="1" hidden="" ht="14" outlineLevel="0" r="3343">
      <c r="A3343" s="3" t="inlineStr">
        <is>
          <t>3312</t>
        </is>
      </c>
      <c r="B3343" s="4" t="s">
        <f>=HYPERLINK("http://anyluxury.ru/shop/odezhda/detskaya-odezhda/dozhdevik-uniseks-rainman-strong-krasniy-1112350/" , "11123.50 Дождевик унисекс Rainman Strong красный, размер M")</f>
      </c>
      <c r="C3343" s="4" t="n">
        <v>1240.00</v>
      </c>
      <c r="D3343" s="4"/>
    </row>
    <row collapsed="" customFormat="false" customHeight="1" hidden="" ht="14" outlineLevel="0" r="3344">
      <c r="A3344" s="3" t="inlineStr">
        <is>
          <t>3313</t>
        </is>
      </c>
      <c r="B3344" s="4" t="s">
        <f>=HYPERLINK("http://anyluxury.ru/shop/odezhda/detskaya-odezhda/dozhdevik-uniseks-rainman-strong-krasniy-1112350/" , "11123.50 Дождевик унисекс Rainman Strong красный, размер L")</f>
      </c>
      <c r="C3344" s="4" t="n">
        <v>1240.00</v>
      </c>
      <c r="D3344" s="4"/>
    </row>
    <row collapsed="" customFormat="false" customHeight="1" hidden="" ht="14" outlineLevel="0" r="3345">
      <c r="A3345" s="3" t="inlineStr">
        <is>
          <t>3314</t>
        </is>
      </c>
      <c r="B3345" s="4" t="s">
        <f>=HYPERLINK("http://anyluxury.ru/shop/odezhda/detskaya-odezhda/dozhdevik-uniseks-rainman-strong-krasniy-1112350/" , "11123.50 Дождевик унисекс Rainman Strong красный, размер XL")</f>
      </c>
      <c r="C3345" s="4" t="n">
        <v>1240.00</v>
      </c>
      <c r="D3345" s="4"/>
    </row>
    <row collapsed="" customFormat="false" customHeight="1" hidden="" ht="14" outlineLevel="0" r="3346">
      <c r="A3346" s="3" t="inlineStr">
        <is>
          <t>3315</t>
        </is>
      </c>
      <c r="B3346" s="4" t="s">
        <f>=HYPERLINK("http://anyluxury.ru/shop/odezhda/detskaya-odezhda/dozhdevik-uniseks-rainman-strong-krasniy-1112350/" , "11123.50 Дождевик унисекс Rainman Strong красный, размер XXL")</f>
      </c>
      <c r="C3346" s="4" t="n">
        <v>1240.00</v>
      </c>
      <c r="D3346" s="4"/>
    </row>
    <row collapsed="" customFormat="false" customHeight="1" hidden="" ht="14" outlineLevel="0" r="3347">
      <c r="A3347" s="3" t="inlineStr">
        <is>
          <t>3316</t>
        </is>
      </c>
      <c r="B3347" s="4" t="s">
        <f>=HYPERLINK("http://anyluxury.ru/shop/odezhda/detskaya-odezhda/dozhdevik-uniseks-rainman-strong-yarkosiniy-1112344/" , "11123.44 Дождевик унисекс Rainman Strong ярко-синий, размер XS")</f>
      </c>
      <c r="C3347" s="4" t="n">
        <v>1240.00</v>
      </c>
      <c r="D3347" s="4"/>
    </row>
    <row collapsed="" customFormat="false" customHeight="1" hidden="" ht="14" outlineLevel="0" r="3348">
      <c r="A3348" s="3" t="inlineStr">
        <is>
          <t>3317</t>
        </is>
      </c>
      <c r="B3348" s="4" t="s">
        <f>=HYPERLINK("http://anyluxury.ru/shop/odezhda/detskaya-odezhda/dozhdevik-uniseks-rainman-strong-yarkosiniy-1112344/" , "11123.44 Дождевик унисекс Rainman Strong ярко-синий, размер S")</f>
      </c>
      <c r="C3348" s="4" t="n">
        <v>1240.00</v>
      </c>
      <c r="D3348" s="4"/>
    </row>
    <row collapsed="" customFormat="false" customHeight="1" hidden="" ht="14" outlineLevel="0" r="3349">
      <c r="A3349" s="3" t="inlineStr">
        <is>
          <t>3318</t>
        </is>
      </c>
      <c r="B3349" s="4" t="s">
        <f>=HYPERLINK("http://anyluxury.ru/shop/odezhda/detskaya-odezhda/dozhdevik-uniseks-rainman-strong-yarkosiniy-1112344/" , "11123.44 Дождевик унисекс Rainman Strong ярко-синий, размер M")</f>
      </c>
      <c r="C3349" s="4" t="n">
        <v>1240.00</v>
      </c>
      <c r="D3349" s="4"/>
    </row>
    <row collapsed="" customFormat="false" customHeight="1" hidden="" ht="14" outlineLevel="0" r="3350">
      <c r="A3350" s="3" t="inlineStr">
        <is>
          <t>3319</t>
        </is>
      </c>
      <c r="B3350" s="4" t="s">
        <f>=HYPERLINK("http://anyluxury.ru/shop/odezhda/detskaya-odezhda/dozhdevik-uniseks-rainman-strong-yarkosiniy-1112344/" , "11123.44 Дождевик унисекс Rainman Strong ярко-синий, размер L")</f>
      </c>
      <c r="C3350" s="4" t="n">
        <v>1240.00</v>
      </c>
      <c r="D3350" s="4"/>
    </row>
    <row collapsed="" customFormat="false" customHeight="1" hidden="" ht="14" outlineLevel="0" r="3351">
      <c r="A3351" s="3" t="inlineStr">
        <is>
          <t>3320</t>
        </is>
      </c>
      <c r="B3351" s="4" t="s">
        <f>=HYPERLINK("http://anyluxury.ru/shop/odezhda/detskaya-odezhda/dozhdevik-uniseks-rainman-strong-yarkosiniy-1112344/" , "11123.44 Дождевик унисекс Rainman Strong ярко-синий, размер XL")</f>
      </c>
      <c r="C3351" s="4" t="n">
        <v>1240.00</v>
      </c>
      <c r="D3351" s="4"/>
    </row>
    <row collapsed="" customFormat="false" customHeight="1" hidden="" ht="14" outlineLevel="0" r="3352">
      <c r="A3352" s="3" t="inlineStr">
        <is>
          <t>3321</t>
        </is>
      </c>
      <c r="B3352" s="4" t="s">
        <f>=HYPERLINK("http://anyluxury.ru/shop/odezhda/detskaya-odezhda/dozhdevik-uniseks-rainman-strong-yarkosiniy-1112344/" , "11123.44 Дождевик унисекс Rainman Strong ярко-синий, размер XXL")</f>
      </c>
      <c r="C3352" s="4" t="n">
        <v>1240.00</v>
      </c>
      <c r="D3352" s="4"/>
    </row>
    <row collapsed="" customFormat="false" customHeight="1" hidden="" ht="14" outlineLevel="0" r="3353">
      <c r="A3353" s="3" t="inlineStr">
        <is>
          <t>3322</t>
        </is>
      </c>
      <c r="B3353" s="4" t="s">
        <f>=HYPERLINK("http://anyluxury.ru/shop/odezhda/detskaya-odezhda/tolstovka-kulonga-chernaya-230530/" , "2305.30 Толстовка Kulonga, черная, размер XS")</f>
      </c>
      <c r="C3353" s="4" t="n">
        <v>900.00</v>
      </c>
      <c r="D3353" s="4"/>
    </row>
    <row collapsed="" customFormat="false" customHeight="1" hidden="" ht="14" outlineLevel="0" r="3354">
      <c r="A3354" s="3" t="inlineStr">
        <is>
          <t>3323</t>
        </is>
      </c>
      <c r="B3354" s="4" t="s">
        <f>=HYPERLINK("http://anyluxury.ru/shop/odezhda/detskaya-odezhda/fartuk-detskiy-polyushko-dzhinsoviy-1190644/" , "11906.44 Фартук детский «Полюшко», джинсовый")</f>
      </c>
      <c r="C3354" s="4" t="n">
        <v>770.00</v>
      </c>
      <c r="D3354" s="4"/>
    </row>
    <row collapsed="" customFormat="false" customHeight="1" hidden="" ht="14" outlineLevel="0" r="3355">
      <c r="A3355" s="3" t="inlineStr">
        <is>
          <t>3324</t>
        </is>
      </c>
      <c r="B3355" s="4" t="s">
        <f>=HYPERLINK("http://anyluxury.ru/shop/odezhda/detskaya-odezhda/tolstovka-kulonga-terry-seriy-melanzh-1154611/" , "11546.11 Толстовка Kulonga Terry, серый меланж, размер XS")</f>
      </c>
      <c r="C3355" s="4" t="n">
        <v>2600.00</v>
      </c>
      <c r="D3355" s="4"/>
    </row>
    <row collapsed="" customFormat="false" customHeight="1" hidden="" ht="14" outlineLevel="0" r="3356">
      <c r="A3356" s="3" t="inlineStr">
        <is>
          <t>3325</t>
        </is>
      </c>
      <c r="B3356" s="4" t="s">
        <f>=HYPERLINK("http://anyluxury.ru/shop/odezhda/detskaya-odezhda/tolstovka-kulonga-terry-seriy-melanzh-1154611/" , "11546.11 Толстовка Kulonga Terry, серый меланж, размер XS")</f>
      </c>
      <c r="C3356" s="4" t="n">
        <v>2686.00</v>
      </c>
      <c r="D3356" s="4"/>
    </row>
    <row collapsed="" customFormat="false" customHeight="1" hidden="" ht="14" outlineLevel="0" r="3357">
      <c r="A3357" s="3" t="inlineStr">
        <is>
          <t>3326</t>
        </is>
      </c>
      <c r="B3357" s="4" t="s">
        <f>=HYPERLINK("http://anyluxury.ru/shop/odezhda/detskaya-odezhda/tolstovka-kulonga-terry-seriy-melanzh-1154611/" , "11546.11 Толстовка Kulonga Terry, серый меланж, размер S")</f>
      </c>
      <c r="C3357" s="4" t="n">
        <v>2600.00</v>
      </c>
      <c r="D3357" s="4"/>
    </row>
    <row collapsed="" customFormat="false" customHeight="1" hidden="" ht="14" outlineLevel="0" r="3358">
      <c r="A3358" s="3" t="inlineStr">
        <is>
          <t>3327</t>
        </is>
      </c>
      <c r="B3358" s="4" t="s">
        <f>=HYPERLINK("http://anyluxury.ru/shop/odezhda/detskaya-odezhda/dozhdevik-plashh-plashh-temnosiniy-7061140/" , "70611.40 Дождевик «Плащ, плащ», темно-синий, размер L")</f>
      </c>
      <c r="C3358" s="4" t="n">
        <v>1668.00</v>
      </c>
      <c r="D3358" s="4"/>
    </row>
    <row collapsed="" customFormat="false" customHeight="1" hidden="" ht="14" outlineLevel="0" r="3359">
      <c r="A3359" s="3" t="inlineStr">
        <is>
          <t>3328</t>
        </is>
      </c>
      <c r="B3359" s="4" t="s">
        <f>=HYPERLINK("http://anyluxury.ru/shop/odezhda/detskaya-odezhda/dozhdevik-plashh-plashh-temnosiniy-7061140/" , "70611.40 Дождевик «Плащ, плащ», темно-синий, размер XL")</f>
      </c>
      <c r="C3359" s="4" t="n">
        <v>1668.00</v>
      </c>
      <c r="D3359" s="4"/>
    </row>
    <row collapsed="" customFormat="false" customHeight="1" hidden="" ht="14" outlineLevel="0" r="3360">
      <c r="A3360" s="3" t="inlineStr">
        <is>
          <t>3329</t>
        </is>
      </c>
      <c r="B3360" s="4" t="s">
        <f>=HYPERLINK("http://anyluxury.ru/shop/odezhda/detskaya-odezhda/dozhdevik-plashh-plashh-temnosiniy-7061140/" , "70611.40 Дождевик «Плащ, плащ», темно-синий, размер XXL")</f>
      </c>
      <c r="C3360" s="4" t="n">
        <v>1668.00</v>
      </c>
      <c r="D3360" s="4"/>
    </row>
    <row collapsed="" customFormat="false" customHeight="1" hidden="" ht="14" outlineLevel="0" r="3361">
      <c r="A3361" s="3" t="inlineStr">
        <is>
          <t>3330</t>
        </is>
      </c>
      <c r="B3361" s="4" t="s">
        <f>=HYPERLINK("http://anyluxury.ru/shop/odezhda/detskaya-odezhda/tolstovka-kulonga-terry-temnosinyaya-1154640/" , "11546.40 Толстовка Kulonga Terry, темно-синяя, размер XS")</f>
      </c>
      <c r="C3361" s="4" t="n">
        <v>2600.00</v>
      </c>
      <c r="D3361" s="4"/>
    </row>
    <row collapsed="" customFormat="false" customHeight="1" hidden="" ht="14" outlineLevel="0" r="3362">
      <c r="A3362" s="3" t="inlineStr">
        <is>
          <t>3331</t>
        </is>
      </c>
      <c r="B3362" s="4" t="s">
        <f>=HYPERLINK("http://anyluxury.ru/shop/odezhda/detskaya-odezhda/tolstovka-kulonga-terry-temnosinyaya-1154640/" , "11546.40 Толстовка Kulonga Terry, темно-синяя, размер S")</f>
      </c>
      <c r="C3362" s="4" t="n">
        <v>2600.00</v>
      </c>
      <c r="D3362" s="4"/>
    </row>
    <row collapsed="" customFormat="false" customHeight="1" hidden="" ht="14" outlineLevel="0" r="3363">
      <c r="A3363" s="3" t="inlineStr">
        <is>
          <t>3332</t>
        </is>
      </c>
      <c r="B3363" s="4" t="s">
        <f>=HYPERLINK("http://anyluxury.ru/shop/odezhda/detskaya-odezhda/tolstovka-kulonga-terry-bordovaya-1154655/" , "11546.55 Толстовка Kulonga Terry, бордовая, размер S")</f>
      </c>
      <c r="C3363" s="4" t="n">
        <v>2600.00</v>
      </c>
      <c r="D3363" s="4"/>
    </row>
    <row collapsed="" customFormat="false" customHeight="1" hidden="" ht="14" outlineLevel="0" r="3364">
      <c r="A3364" s="3" t="inlineStr">
        <is>
          <t>3333</t>
        </is>
      </c>
      <c r="B3364" s="4" t="s">
        <f>=HYPERLINK("http://anyluxury.ru/shop/odezhda/detskaya-odezhda/tolstovka-kulonga-terry-bordovaya-1154655/" , "11546.55 Толстовка Kulonga Terry, бордовая, размер XXL")</f>
      </c>
      <c r="C3364" s="4" t="n">
        <v>2600.00</v>
      </c>
      <c r="D3364" s="4"/>
    </row>
    <row collapsed="" customFormat="false" customHeight="1" hidden="" ht="14" outlineLevel="0" r="3365">
      <c r="A3365" s="3" t="inlineStr">
        <is>
          <t>3334</t>
        </is>
      </c>
      <c r="B3365" s="4" t="s">
        <f>=HYPERLINK("http://anyluxury.ru/shop/odezhda/detskaya-odezhda/varezhki-nordkyn-molochnobelie-1045260/" , "10452.60 Варежки Nordkyn, молочно-белые, размер L")</f>
      </c>
      <c r="C3365" s="4" t="n">
        <v>790.00</v>
      </c>
      <c r="D3365" s="4"/>
    </row>
    <row collapsed="" customFormat="false" customHeight="1" hidden="" ht="14" outlineLevel="0" r="3366">
      <c r="A3366" s="3" t="inlineStr">
        <is>
          <t>3335</t>
        </is>
      </c>
      <c r="B3366" s="4" t="s">
        <f>=HYPERLINK("http://anyluxury.ru/shop/odezhda/detskaya-odezhda/varezhki-nordkyn-molochnobelie-1045260/" , "10452.60 Варежки Nordkyn, молочно-белые, размер S/M")</f>
      </c>
      <c r="C3366" s="4" t="n">
        <v>790.00</v>
      </c>
      <c r="D3366" s="4"/>
    </row>
    <row collapsed="" customFormat="false" customHeight="1" hidden="" ht="14" outlineLevel="0" r="3367">
      <c r="A3367" s="3" t="inlineStr">
        <is>
          <t>3336</t>
        </is>
      </c>
      <c r="B3367" s="4" t="s">
        <f>=HYPERLINK("http://anyluxury.ru/shop/odezhda/detskaya-odezhda/tolstovka-revers-sinyaya-s-zheltim-1113540/" , "11135.40 Толстовка Revers, синяя с желтым, размер XS")</f>
      </c>
      <c r="C3367" s="4" t="n">
        <v>2700.00</v>
      </c>
      <c r="D3367" s="4"/>
    </row>
    <row collapsed="" customFormat="false" customHeight="1" hidden="" ht="14" outlineLevel="0" r="3368">
      <c r="A3368" s="3" t="inlineStr">
        <is>
          <t>3337</t>
        </is>
      </c>
      <c r="B3368" s="4" t="s">
        <f>=HYPERLINK("http://anyluxury.ru/shop/odezhda/detskaya-odezhda/tolstovka-revers-sinyaya-s-zheltim-1113540/" , "11135.40 Толстовка Revers, синяя с желтым, размер S")</f>
      </c>
      <c r="C3368" s="4" t="n">
        <v>2700.00</v>
      </c>
      <c r="D3368" s="4"/>
    </row>
    <row collapsed="" customFormat="false" customHeight="1" hidden="" ht="14" outlineLevel="0" r="3369">
      <c r="A3369" s="3" t="inlineStr">
        <is>
          <t>3338</t>
        </is>
      </c>
      <c r="B3369" s="4" t="s">
        <f>=HYPERLINK("http://anyluxury.ru/shop/odezhda/detskaya-odezhda/tolstovka-revers-sinyaya-s-zheltim-1113540/" , "11135.40 Толстовка Revers, синяя с желтым, размер M")</f>
      </c>
      <c r="C3369" s="4" t="n">
        <v>2700.00</v>
      </c>
      <c r="D3369" s="4"/>
    </row>
    <row collapsed="" customFormat="false" customHeight="1" hidden="" ht="14" outlineLevel="0" r="3370">
      <c r="A3370" s="3" t="inlineStr">
        <is>
          <t>3339</t>
        </is>
      </c>
      <c r="B3370" s="4" t="s">
        <f>=HYPERLINK("http://anyluxury.ru/shop/odezhda/detskaya-odezhda/tolstovka-revers-seraya-s-krasnim-1113511/" , "11135.11 Толстовка Revers, серая с красным, размер XS")</f>
      </c>
      <c r="C3370" s="4" t="n">
        <v>2700.00</v>
      </c>
      <c r="D3370" s="4"/>
    </row>
    <row collapsed="" customFormat="false" customHeight="1" hidden="" ht="14" outlineLevel="0" r="3371">
      <c r="A3371" s="3" t="inlineStr">
        <is>
          <t>3340</t>
        </is>
      </c>
      <c r="B3371" s="4" t="s">
        <f>=HYPERLINK("http://anyluxury.ru/shop/odezhda/detskaya-odezhda/tolstovka-revers-seraya-s-krasnim-1113511/" , "11135.11 Толстовка Revers, серая с красным, размер S")</f>
      </c>
      <c r="C3371" s="4" t="n">
        <v>2700.00</v>
      </c>
      <c r="D3371" s="4"/>
    </row>
    <row collapsed="" customFormat="false" customHeight="1" hidden="" ht="14" outlineLevel="0" r="3372">
      <c r="A3372" s="3" t="inlineStr">
        <is>
          <t>3341</t>
        </is>
      </c>
      <c r="B3372" s="4" t="s">
        <f>=HYPERLINK("http://anyluxury.ru/shop/odezhda/detskaya-odezhda/tolstovka-revers-seraya-s-krasnim-1113511/" , "11135.11 Толстовка Revers, серая с красным, размер XL")</f>
      </c>
      <c r="C3372" s="4" t="n">
        <v>2700.00</v>
      </c>
      <c r="D3372" s="4"/>
    </row>
    <row collapsed="" customFormat="false" customHeight="1" hidden="" ht="14" outlineLevel="0" r="3373">
      <c r="A3373" s="3" t="inlineStr">
        <is>
          <t>3342</t>
        </is>
      </c>
      <c r="B3373" s="4" t="s">
        <f>=HYPERLINK("http://anyluxury.ru/shop/odezhda/detskaya-odezhda/varezhki-nordkyn-sinie-1045240/" , "10452.40 Варежки Nordkyn, синие, размер S/M")</f>
      </c>
      <c r="C3373" s="4" t="n">
        <v>789.00</v>
      </c>
      <c r="D3373" s="4"/>
    </row>
    <row collapsed="" customFormat="false" customHeight="1" hidden="" ht="14" outlineLevel="0" r="3374">
      <c r="A3374" s="3" t="inlineStr">
        <is>
          <t>3343</t>
        </is>
      </c>
      <c r="B3374" s="4" t="s">
        <f>=HYPERLINK("http://anyluxury.ru/shop/odezhda/detskaya-odezhda/varezhki-nordkyn-krasnie-1045250/" , "10452.50 Варежки Nordkyn, красные, размер L")</f>
      </c>
      <c r="C3374" s="4" t="n">
        <v>789.00</v>
      </c>
      <c r="D3374" s="4"/>
    </row>
    <row collapsed="" customFormat="false" customHeight="1" hidden="" ht="14" outlineLevel="0" r="3375">
      <c r="A3375" s="3" t="inlineStr">
        <is>
          <t>3344</t>
        </is>
      </c>
      <c r="B3375" s="4" t="s">
        <f>=HYPERLINK("http://anyluxury.ru/shop/odezhda/detskaya-odezhda/tolstovka-unit-toima-zelenoe-yabloko-689694/" , "6896.94 Толстовка Unit Toima, зеленое яблоко, размер XS")</f>
      </c>
      <c r="C3375" s="4" t="n">
        <v>1191.00</v>
      </c>
      <c r="D3375" s="4"/>
    </row>
    <row collapsed="" customFormat="false" customHeight="1" hidden="" ht="14" outlineLevel="0" r="3376">
      <c r="A3376" s="3" t="inlineStr">
        <is>
          <t>3345</t>
        </is>
      </c>
      <c r="B3376" s="4" t="s">
        <f>=HYPERLINK("http://anyluxury.ru/shop/odezhda/detskaya-odezhda/tolstovka-unit-toima-zelenoe-yabloko-689694/" , "6896.94 Толстовка Unit Toima, зеленое яблоко, размер XL")</f>
      </c>
      <c r="C3376" s="4" t="n">
        <v>1191.00</v>
      </c>
      <c r="D3376" s="4"/>
    </row>
    <row collapsed="" customFormat="false" customHeight="1" hidden="" ht="14" outlineLevel="0" r="3377">
      <c r="A3377" s="3" t="inlineStr">
        <is>
          <t>3346</t>
        </is>
      </c>
      <c r="B3377" s="4" t="s">
        <f>=HYPERLINK("http://anyluxury.ru/shop/odezhda/detskaya-odezhda/tolstovka-unit-toima-zelenoe-yabloko-689694/" , "6896.94 Толстовка Unit Toima, зеленое яблоко, размер XXL")</f>
      </c>
      <c r="C3377" s="4" t="n">
        <v>1191.00</v>
      </c>
      <c r="D3377" s="4"/>
    </row>
    <row collapsed="" customFormat="false" customHeight="1" hidden="" ht="14" outlineLevel="0" r="3378">
      <c r="A3378" s="3" t="inlineStr">
        <is>
          <t>3347</t>
        </is>
      </c>
      <c r="B3378" s="4" t="s">
        <f>=HYPERLINK("http://anyluxury.ru/shop/odezhda/detskaya-odezhda/tolstovka-unit-toima-zelenoe-yabloko-689694/" , "6896.94 Толстовка Unit Toima, зеленое яблоко, размер 3XL")</f>
      </c>
      <c r="C3378" s="4" t="n">
        <v>1191.00</v>
      </c>
      <c r="D3378" s="4"/>
    </row>
    <row collapsed="" customFormat="false" customHeight="1" hidden="" ht="14" outlineLevel="0" r="3379">
      <c r="A3379" s="3" t="inlineStr">
        <is>
          <t>3348</t>
        </is>
      </c>
      <c r="B3379" s="4" t="s">
        <f>=HYPERLINK("http://anyluxury.ru/shop/odezhda/detskaya-odezhda/tolstovka-unit-toima-zelenoe-yabloko-689694/" , "6896.94 Толстовка Unit Toima, зеленое яблоко, размер 4XL")</f>
      </c>
      <c r="C3379" s="4" t="n">
        <v>1191.00</v>
      </c>
      <c r="D3379" s="4"/>
    </row>
    <row collapsed="" customFormat="false" customHeight="1" hidden="" ht="14" outlineLevel="0" r="3380">
      <c r="A3380" s="3" t="inlineStr">
        <is>
          <t>3349</t>
        </is>
      </c>
      <c r="B3380" s="4" t="s">
        <f>=HYPERLINK("http://anyluxury.ru/shop/odezhda/detskaya-odezhda/tolstovka-unit-toima-zheltaya-689680/" , "6896.80 Толстовка Unit Toima, желтая, размер XS")</f>
      </c>
      <c r="C3380" s="4" t="n">
        <v>1191.00</v>
      </c>
      <c r="D3380" s="4"/>
    </row>
    <row collapsed="" customFormat="false" customHeight="1" hidden="" ht="14" outlineLevel="0" r="3381">
      <c r="A3381" s="3" t="inlineStr">
        <is>
          <t>3350</t>
        </is>
      </c>
      <c r="B3381" s="4" t="s">
        <f>=HYPERLINK("http://anyluxury.ru/shop/odezhda/detskaya-odezhda/tolstovka-unit-toima-zheltaya-689680/" , "6896.80 Толстовка Unit Toima, желтая, размер XXL")</f>
      </c>
      <c r="C3381" s="4" t="n">
        <v>1191.00</v>
      </c>
      <c r="D3381" s="4"/>
    </row>
    <row collapsed="" customFormat="false" customHeight="1" hidden="" ht="14" outlineLevel="0" r="3382">
      <c r="A3382" s="3" t="inlineStr">
        <is>
          <t>3351</t>
        </is>
      </c>
      <c r="B3382" s="4" t="s">
        <f>=HYPERLINK("http://anyluxury.ru/shop/odezhda/detskaya-odezhda/tolstovka-unit-toima-zheltaya-689680/" , "6896.80 Толстовка Unit Toima, желтая, размер 3XL")</f>
      </c>
      <c r="C3382" s="4" t="n">
        <v>1191.00</v>
      </c>
      <c r="D3382" s="4"/>
    </row>
    <row collapsed="" customFormat="false" customHeight="1" hidden="" ht="14" outlineLevel="0" r="3383">
      <c r="A3383" s="3" t="inlineStr">
        <is>
          <t>3352</t>
        </is>
      </c>
      <c r="B3383" s="4" t="s">
        <f>=HYPERLINK("http://anyluxury.ru/shop/odezhda/detskaya-odezhda/tolstovka-unit-toima-zheltaya-689680/" , "6896.80 Толстовка Unit Toima, желтая, размер 4XL")</f>
      </c>
      <c r="C3383" s="4" t="n">
        <v>1191.00</v>
      </c>
      <c r="D3383" s="4"/>
    </row>
    <row collapsed="" customFormat="false" customHeight="1" hidden="" ht="14" outlineLevel="0" r="3384">
      <c r="A3384" s="3" t="inlineStr">
        <is>
          <t>3353</t>
        </is>
      </c>
      <c r="B3384" s="4" t="s">
        <f>=HYPERLINK("http://anyluxury.ru/shop/odezhda/detskaya-odezhda/tolstovka-s-kapyushonom-unit-kirenga-zelenoe-yabloko-689494/" , "6894.94 Толстовка с капюшоном Unit Kirenga зеленое яблоко, размер XS")</f>
      </c>
      <c r="C3384" s="4" t="n">
        <v>1487.00</v>
      </c>
      <c r="D3384" s="4"/>
    </row>
    <row collapsed="" customFormat="false" customHeight="1" hidden="" ht="14" outlineLevel="0" r="3385">
      <c r="A3385" s="3" t="inlineStr">
        <is>
          <t>3354</t>
        </is>
      </c>
      <c r="B3385" s="4" t="s">
        <f>=HYPERLINK("http://anyluxury.ru/shop/odezhda/detskaya-odezhda/tolstovka-s-kapyushonom-unit-kirenga-zelenoe-yabloko-689494/" , "6894.94 Толстовка с капюшоном Unit Kirenga зеленое яблоко, размер S")</f>
      </c>
      <c r="C3385" s="4" t="n">
        <v>1487.00</v>
      </c>
      <c r="D3385" s="4"/>
    </row>
    <row collapsed="" customFormat="false" customHeight="1" hidden="" ht="14" outlineLevel="0" r="3386">
      <c r="A3386" s="3" t="inlineStr">
        <is>
          <t>3355</t>
        </is>
      </c>
      <c r="B3386" s="4" t="s">
        <f>=HYPERLINK("http://anyluxury.ru/shop/odezhda/detskaya-odezhda/tolstovka-s-kapyushonom-unit-kirenga-zelenoe-yabloko-689494/" , "6894.94 Толстовка с капюшоном Unit Kirenga зеленое яблоко, размер M")</f>
      </c>
      <c r="C3386" s="4" t="n">
        <v>1487.00</v>
      </c>
      <c r="D3386" s="4"/>
    </row>
    <row collapsed="" customFormat="false" customHeight="1" hidden="" ht="14" outlineLevel="0" r="3387">
      <c r="A3387" s="3" t="inlineStr">
        <is>
          <t>3356</t>
        </is>
      </c>
      <c r="B3387" s="4" t="s">
        <f>=HYPERLINK("http://anyluxury.ru/shop/odezhda/detskaya-odezhda/tolstovka-s-kapyushonom-unit-kirenga-zelenoe-yabloko-689494/" , "6894.94 Толстовка с капюшоном Unit Kirenga зеленое яблоко, размер XL")</f>
      </c>
      <c r="C3387" s="4" t="n">
        <v>1490.00</v>
      </c>
      <c r="D3387" s="4"/>
    </row>
    <row collapsed="" customFormat="false" customHeight="1" hidden="" ht="14" outlineLevel="0" r="3388">
      <c r="A3388" s="3" t="inlineStr">
        <is>
          <t>3357</t>
        </is>
      </c>
      <c r="B3388" s="4" t="s">
        <f>=HYPERLINK("http://anyluxury.ru/shop/odezhda/detskaya-odezhda/tolstovka-s-kapyushonom-unit-kirenga-zelenoe-yabloko-689494/" , "6894.94 Толстовка с капюшоном Unit Kirenga зеленое яблоко, размер 3XL")</f>
      </c>
      <c r="C3388" s="4" t="n">
        <v>1487.00</v>
      </c>
      <c r="D3388" s="4"/>
    </row>
    <row collapsed="" customFormat="false" customHeight="1" hidden="" ht="14" outlineLevel="0" r="3389">
      <c r="A3389" s="3" t="inlineStr">
        <is>
          <t>3358</t>
        </is>
      </c>
      <c r="B3389" s="4" t="s">
        <f>=HYPERLINK("http://anyluxury.ru/shop/odezhda/detskaya-odezhda/tolstovka-s-kapyushonom-unit-kirenga-zelenoe-yabloko-689494/" , "6894.94 Толстовка с капюшоном Unit Kirenga зеленое яблоко, размер 4XL")</f>
      </c>
      <c r="C3389" s="4" t="n">
        <v>1487.00</v>
      </c>
      <c r="D3389" s="4"/>
    </row>
    <row collapsed="" customFormat="false" customHeight="1" hidden="" ht="14" outlineLevel="0" r="3390">
      <c r="A3390" s="3" t="inlineStr">
        <is>
          <t>3359</t>
        </is>
      </c>
      <c r="B3390" s="4" t="s">
        <f>=HYPERLINK("http://anyluxury.ru/shop/odezhda/detskaya-odezhda/tolstovka-s-kapyushonom-unit-kirenga-zheltaya-689480/" , "6894.80 Толстовка с капюшоном Unit Kirenga желтая, размер S")</f>
      </c>
      <c r="C3390" s="4" t="n">
        <v>1487.00</v>
      </c>
      <c r="D3390" s="4"/>
    </row>
    <row collapsed="" customFormat="false" customHeight="1" hidden="" ht="14" outlineLevel="0" r="3391">
      <c r="A3391" s="3" t="inlineStr">
        <is>
          <t>3360</t>
        </is>
      </c>
      <c r="B3391" s="4" t="s">
        <f>=HYPERLINK("http://anyluxury.ru/shop/odezhda/detskaya-odezhda/tolstovka-s-kapyushonom-unit-kirenga-zheltaya-689480/" , "6894.80 Толстовка с капюшоном Unit Kirenga желтая, размер M")</f>
      </c>
      <c r="C3391" s="4" t="n">
        <v>1487.00</v>
      </c>
      <c r="D3391" s="4"/>
    </row>
    <row collapsed="" customFormat="false" customHeight="1" hidden="" ht="14" outlineLevel="0" r="3392">
      <c r="A3392" s="3" t="inlineStr">
        <is>
          <t>3361</t>
        </is>
      </c>
      <c r="B3392" s="4" t="s">
        <f>=HYPERLINK("http://anyluxury.ru/shop/odezhda/detskaya-odezhda/tolstovka-s-kapyushonom-unit-kirenga-zheltaya-689480/" , "6894.80 Толстовка с капюшоном Unit Kirenga желтая, размер 3XL")</f>
      </c>
      <c r="C3392" s="4" t="n">
        <v>1487.00</v>
      </c>
      <c r="D3392" s="4"/>
    </row>
    <row collapsed="" customFormat="false" customHeight="1" hidden="" ht="14" outlineLevel="0" r="3393">
      <c r="A3393" s="3" t="inlineStr">
        <is>
          <t>3362</t>
        </is>
      </c>
      <c r="B3393" s="4" t="s">
        <f>=HYPERLINK("http://anyluxury.ru/shop/odezhda/detskaya-odezhda/tolstovka-s-kapyushonom-unit-kirenga-zheltaya-689480/" , "6894.80 Толстовка с капюшоном Unit Kirenga желтая, размер 4XL")</f>
      </c>
      <c r="C3393" s="4" t="n">
        <v>1487.00</v>
      </c>
      <c r="D3393" s="4"/>
    </row>
    <row collapsed="" customFormat="false" customHeight="1" hidden="" ht="14" outlineLevel="0" r="3394">
      <c r="A3394" s="3" t="inlineStr">
        <is>
          <t>3363</t>
        </is>
      </c>
      <c r="B3394" s="4" t="s">
        <f>=HYPERLINK("http://anyluxury.ru/shop/odezhda/detskaya-odezhda/rubashka-polo-detskaya-virma-kids-seriy-melanzh-1157511/" , "11575.11 Рубашка поло детская Virma Kids серый меланж, 6 лет")</f>
      </c>
      <c r="C3394" s="4" t="n">
        <v>580.00</v>
      </c>
      <c r="D3394" s="4"/>
    </row>
    <row collapsed="" customFormat="false" customHeight="1" hidden="" ht="14" outlineLevel="0" r="3395">
      <c r="A3395" s="3" t="inlineStr">
        <is>
          <t>3364</t>
        </is>
      </c>
      <c r="B3395" s="4" t="s">
        <f>=HYPERLINK("http://anyluxury.ru/shop/odezhda/detskaya-odezhda/rubashka-polo-detskaya-virma-kids-seriy-melanzh-1157511/" , "11575.11 Рубашка поло детская Virma Kids серый меланж, 8 лет")</f>
      </c>
      <c r="C3395" s="4" t="n">
        <v>580.00</v>
      </c>
      <c r="D3395" s="4"/>
    </row>
    <row collapsed="" customFormat="false" customHeight="1" hidden="" ht="14" outlineLevel="0" r="3396">
      <c r="A3396" s="3" t="inlineStr">
        <is>
          <t>3365</t>
        </is>
      </c>
      <c r="B3396" s="4" t="s">
        <f>=HYPERLINK("http://anyluxury.ru/shop/odezhda/detskaya-odezhda/rubashka-polo-detskaya-virma-kids-seriy-melanzh-1157511/" , "11575.11 Рубашка поло детская Virma Kids серый меланж, 12 лет")</f>
      </c>
      <c r="C3396" s="4" t="n">
        <v>580.00</v>
      </c>
      <c r="D3396" s="4"/>
    </row>
    <row collapsed="" customFormat="false" customHeight="1" hidden="" ht="14" outlineLevel="0" r="3397">
      <c r="A3397" s="3" t="inlineStr">
        <is>
          <t>3366</t>
        </is>
      </c>
      <c r="B3397" s="4" t="s">
        <f>=HYPERLINK("http://anyluxury.ru/shop/odezhda/detskaya-odezhda/rubashka-polo-detskaya-virma-kids-seriy-melanzh-1157511/" , "11575.11 Рубашка поло детская Virma Kids серый меланж, 14 лет")</f>
      </c>
      <c r="C3397" s="4" t="n">
        <v>580.00</v>
      </c>
      <c r="D3397" s="4"/>
    </row>
    <row collapsed="" customFormat="false" customHeight="1" hidden="" ht="14" outlineLevel="0" r="3398">
      <c r="A3398" s="3" t="inlineStr">
        <is>
          <t>3367</t>
        </is>
      </c>
      <c r="B3398" s="4" t="s">
        <f>=HYPERLINK("http://anyluxury.ru/shop/odezhda/detskaya-odezhda/rubashka-polo-detskaya-virma-kids-chernaya-1157530/" , "11575.30 Рубашка поло детская Virma Kids, черная, 6 лет")</f>
      </c>
      <c r="C3398" s="4" t="n">
        <v>580.00</v>
      </c>
      <c r="D3398" s="4"/>
    </row>
    <row collapsed="" customFormat="false" customHeight="1" hidden="" ht="14" outlineLevel="0" r="3399">
      <c r="A3399" s="3" t="inlineStr">
        <is>
          <t>3368</t>
        </is>
      </c>
      <c r="B3399" s="4" t="s">
        <f>=HYPERLINK("http://anyluxury.ru/shop/odezhda/detskaya-odezhda/rubashka-polo-detskaya-virma-kids-chernaya-1157530/" , "11575.30 Рубашка поло детская Virma Kids, черная, 14 лет")</f>
      </c>
      <c r="C3399" s="4" t="n">
        <v>580.00</v>
      </c>
      <c r="D3399" s="4"/>
    </row>
    <row collapsed="" customFormat="false" customHeight="1" hidden="" ht="14" outlineLevel="0" r="3400">
      <c r="A3400" s="3" t="inlineStr">
        <is>
          <t>3369</t>
        </is>
      </c>
      <c r="B3400" s="4" t="s">
        <f>=HYPERLINK("http://anyluxury.ru/shop/odezhda/detskaya-odezhda/rubashka-polo-detskaya-virma-kids-belaya-1157560/" , "11575.60 Рубашка поло детская Virma Kids, белая, 6 лет")</f>
      </c>
      <c r="C3400" s="4" t="n">
        <v>580.00</v>
      </c>
      <c r="D3400" s="4"/>
    </row>
    <row collapsed="" customFormat="false" customHeight="1" hidden="" ht="14" outlineLevel="0" r="3401">
      <c r="A3401" s="3" t="inlineStr">
        <is>
          <t>3370</t>
        </is>
      </c>
      <c r="B3401" s="4" t="s">
        <f>=HYPERLINK("http://anyluxury.ru/shop/odezhda/detskaya-odezhda/rubashka-polo-detskaya-virma-kids-belaya-1157560/" , "11575.60 Рубашка поло детская Virma Kids, белая, 8 лет")</f>
      </c>
      <c r="C3401" s="4" t="n">
        <v>580.00</v>
      </c>
      <c r="D3401" s="4"/>
    </row>
    <row collapsed="" customFormat="false" customHeight="1" hidden="" ht="14" outlineLevel="0" r="3402">
      <c r="A3402" s="3" t="inlineStr">
        <is>
          <t>3371</t>
        </is>
      </c>
      <c r="B3402" s="4" t="s">
        <f>=HYPERLINK("http://anyluxury.ru/shop/odezhda/detskaya-odezhda/rubashka-polo-detskaya-virma-kids-temnosinyaya-1157540/" , "11575.40 Рубашка поло детская Virma Kids, темно-синяя, 6 лет")</f>
      </c>
      <c r="C3402" s="4" t="n">
        <v>580.00</v>
      </c>
      <c r="D3402" s="4"/>
    </row>
    <row collapsed="" customFormat="false" customHeight="1" hidden="" ht="14" outlineLevel="0" r="3403">
      <c r="A3403" s="3" t="inlineStr">
        <is>
          <t>3372</t>
        </is>
      </c>
      <c r="B3403" s="4" t="s">
        <f>=HYPERLINK("http://anyluxury.ru/shop/odezhda/detskaya-odezhda/rubashka-polo-detskaya-virma-kids-temnosinyaya-1157540/" , "11575.40 Рубашка поло детская Virma Kids, темно-синяя, 8 лет")</f>
      </c>
      <c r="C3403" s="4" t="n">
        <v>580.00</v>
      </c>
      <c r="D3403" s="4"/>
    </row>
    <row collapsed="" customFormat="false" customHeight="1" hidden="" ht="14" outlineLevel="0" r="3404">
      <c r="A3404" s="3" t="inlineStr">
        <is>
          <t>3373</t>
        </is>
      </c>
      <c r="B3404" s="4" t="s">
        <f>=HYPERLINK("http://anyluxury.ru/shop/odezhda/detskaya-odezhda/rubashka-polo-detskaya-virma-kids-temnosinyaya-1157540/" , "11575.40 Рубашка поло детская Virma Kids, темно-синяя, 10 лет")</f>
      </c>
      <c r="C3404" s="4" t="n">
        <v>580.00</v>
      </c>
      <c r="D3404" s="4"/>
    </row>
    <row collapsed="" customFormat="false" customHeight="1" hidden="" ht="14" outlineLevel="0" r="3405">
      <c r="A3405" s="3" t="inlineStr">
        <is>
          <t>3374</t>
        </is>
      </c>
      <c r="B3405" s="4" t="s">
        <f>=HYPERLINK("http://anyluxury.ru/shop/odezhda/detskaya-odezhda/rubashka-polo-detskaya-virma-kids-temnosinyaya-1157540/" , "11575.40 Рубашка поло детская Virma Kids, темно-синяя, 12 лет")</f>
      </c>
      <c r="C3405" s="4" t="n">
        <v>580.00</v>
      </c>
      <c r="D3405" s="4"/>
    </row>
    <row collapsed="" customFormat="false" customHeight="1" hidden="" ht="14" outlineLevel="0" r="3406">
      <c r="A3406" s="3" t="inlineStr">
        <is>
          <t>3375</t>
        </is>
      </c>
      <c r="B3406" s="4" t="s">
        <f>=HYPERLINK("http://anyluxury.ru/shop/odezhda/detskaya-odezhda/rubashka-polo-detskaya-virma-kids-temnosinyaya-1157540/" , "11575.40 Рубашка поло детская Virma Kids, темно-синяя, 14 лет")</f>
      </c>
      <c r="C3406" s="4" t="n">
        <v>580.00</v>
      </c>
      <c r="D3406" s="4"/>
    </row>
    <row collapsed="" customFormat="false" customHeight="1" hidden="" ht="14" outlineLevel="0" r="3407">
      <c r="A3407" s="3" t="inlineStr">
        <is>
          <t>3376</t>
        </is>
      </c>
      <c r="B3407" s="4" t="s">
        <f>=HYPERLINK("http://anyluxury.ru/shop/odezhda/detskaya-odezhda/rubashka-polo-detskaya-virma-kids-yarkosinyaya-1157544/" , "11575.44 Рубашка поло детская Virma Kids, ярко-синяя, 6 лет")</f>
      </c>
      <c r="C3407" s="4" t="n">
        <v>580.00</v>
      </c>
      <c r="D3407" s="4"/>
    </row>
    <row collapsed="" customFormat="false" customHeight="1" hidden="" ht="14" outlineLevel="0" r="3408">
      <c r="A3408" s="3" t="inlineStr">
        <is>
          <t>3377</t>
        </is>
      </c>
      <c r="B3408" s="4" t="s">
        <f>=HYPERLINK("http://anyluxury.ru/shop/odezhda/detskaya-odezhda/rubashka-polo-detskaya-virma-kids-yarkosinyaya-1157544/" , "11575.44 Рубашка поло детская Virma Kids, ярко-синяя, 8 лет")</f>
      </c>
      <c r="C3408" s="4" t="n">
        <v>580.00</v>
      </c>
      <c r="D3408" s="4"/>
    </row>
    <row collapsed="" customFormat="false" customHeight="1" hidden="" ht="14" outlineLevel="0" r="3409">
      <c r="A3409" s="3" t="inlineStr">
        <is>
          <t>3378</t>
        </is>
      </c>
      <c r="B3409" s="4" t="s">
        <f>=HYPERLINK("http://anyluxury.ru/shop/odezhda/detskaya-odezhda/rubashka-polo-detskaya-virma-kids-yarkosinyaya-1157544/" , "11575.44 Рубашка поло детская Virma Kids, ярко-синяя, 10 лет")</f>
      </c>
      <c r="C3409" s="4" t="n">
        <v>580.00</v>
      </c>
      <c r="D3409" s="4"/>
    </row>
    <row collapsed="" customFormat="false" customHeight="1" hidden="" ht="14" outlineLevel="0" r="3410">
      <c r="A3410" s="3" t="inlineStr">
        <is>
          <t>3379</t>
        </is>
      </c>
      <c r="B3410" s="4" t="s">
        <f>=HYPERLINK("http://anyluxury.ru/shop/odezhda/detskaya-odezhda/rubashka-polo-detskaya-virma-kids-krasnaya-1157550/" , "11575.50 Рубашка поло детская Virma Kids, красная, 6 лет")</f>
      </c>
      <c r="C3410" s="4" t="n">
        <v>580.00</v>
      </c>
      <c r="D3410" s="4"/>
    </row>
    <row collapsed="" customFormat="false" customHeight="1" hidden="" ht="14" outlineLevel="0" r="3411">
      <c r="A3411" s="3" t="inlineStr">
        <is>
          <t>3380</t>
        </is>
      </c>
      <c r="B3411" s="4" t="s">
        <f>=HYPERLINK("http://anyluxury.ru/shop/odezhda/detskaya-odezhda/rubashka-polo-detskaya-virma-kids-krasnaya-1157550/" , "11575.50 Рубашка поло детская Virma Kids, красная, 10 лет")</f>
      </c>
      <c r="C3411" s="4" t="n">
        <v>580.00</v>
      </c>
      <c r="D3411" s="4"/>
    </row>
    <row collapsed="" customFormat="false" customHeight="1" hidden="" ht="14" outlineLevel="0" r="3412">
      <c r="A3412" s="3" t="inlineStr">
        <is>
          <t>3381</t>
        </is>
      </c>
      <c r="B3412" s="4" t="s">
        <f>=HYPERLINK("http://anyluxury.ru/shop/odezhda/detskaya-odezhda/rubashka-polo-detskaya-virma-kids-krasnaya-1157550/" , "11575.50 Рубашка поло детская Virma Kids, красная, 14 лет")</f>
      </c>
      <c r="C3412" s="4" t="n">
        <v>580.00</v>
      </c>
      <c r="D3412" s="4"/>
    </row>
    <row collapsed="" customFormat="false" customHeight="1" hidden="" ht="14" outlineLevel="0" r="3413">
      <c r="A3413" s="3" t="inlineStr">
        <is>
          <t>3382</t>
        </is>
      </c>
      <c r="B3413" s="4" t="s">
        <f>=HYPERLINK("http://anyluxury.ru/shop/odezhda/detskaya-odezhda/tolstovka-kulonga-terry-temnosinyaya-kobalt-1154641/" , "11546.41 Толстовка Kulonga Terry, темно-синяя (кобальт), размер XS")</f>
      </c>
      <c r="C3413" s="4" t="n">
        <v>2600.00</v>
      </c>
      <c r="D3413" s="4"/>
    </row>
    <row collapsed="" customFormat="false" customHeight="1" hidden="" ht="14" outlineLevel="0" r="3414">
      <c r="A3414" s="3" t="inlineStr">
        <is>
          <t>3383</t>
        </is>
      </c>
      <c r="B3414" s="4" t="s">
        <f>=HYPERLINK("http://anyluxury.ru/shop/odezhda/detskaya-odezhda/tolstovka-kulonga-terry-temnosinyaya-kobalt-1154641/" , "11546.41 Толстовка Kulonga Terry, темно-синяя (кобальт), размер S")</f>
      </c>
      <c r="C3414" s="4" t="n">
        <v>2600.00</v>
      </c>
      <c r="D3414" s="4"/>
    </row>
    <row collapsed="" customFormat="false" customHeight="1" hidden="" ht="14" outlineLevel="0" r="3415">
      <c r="A3415" s="3" t="inlineStr">
        <is>
          <t>3384</t>
        </is>
      </c>
      <c r="B3415" s="4" t="s">
        <f>=HYPERLINK("http://anyluxury.ru/shop/odezhda/detskaya-odezhda/varezhki-brugge-goluboy-melanzh-1076514/" , "10765.14 Варежки Brugge, голубой меланж, размер S/M")</f>
      </c>
      <c r="C3415" s="4" t="n">
        <v>1188.00</v>
      </c>
      <c r="D3415" s="4"/>
    </row>
    <row collapsed="" customFormat="false" customHeight="1" hidden="" ht="14" outlineLevel="0" r="3416">
      <c r="A3416" s="3" t="inlineStr">
        <is>
          <t>3385</t>
        </is>
      </c>
      <c r="B3416" s="4" t="s">
        <f>=HYPERLINK("http://anyluxury.ru/shop/odezhda/detskaya-odezhda/varezhki-brugge-siniy-melanzh-1076540/" , "10765.40 Варежки Brugge, синий меланж, размер S/M")</f>
      </c>
      <c r="C3416" s="4" t="n">
        <v>1188.00</v>
      </c>
      <c r="D3416" s="4"/>
    </row>
    <row collapsed="" customFormat="false" customHeight="1" hidden="" ht="14" outlineLevel="0" r="3417">
      <c r="A3417" s="3" t="inlineStr">
        <is>
          <t>3386</t>
        </is>
      </c>
      <c r="B3417" s="4" t="s">
        <f>=HYPERLINK("http://anyluxury.ru/shop/odezhda/detskaya-odezhda/varezhki-brugge-molochnobelie-1076560/" , "10765.60 Варежки Brugge, молочно-белые, размер S/M")</f>
      </c>
      <c r="C3417" s="4" t="n">
        <v>1188.00</v>
      </c>
      <c r="D3417" s="4"/>
    </row>
    <row collapsed="" customFormat="false" customHeight="1" hidden="" ht="14" outlineLevel="0" r="3418">
      <c r="A3418" s="3" t="inlineStr">
        <is>
          <t>3387</t>
        </is>
      </c>
      <c r="B3418" s="4" t="s">
        <f>=HYPERLINK("http://anyluxury.ru/shop/odezhda/detskaya-odezhda/varezhki-brugge-molochnobelie-1076560/" , "10765.60 Варежки Brugge, молочно-белые, размер L/XL")</f>
      </c>
      <c r="C3418" s="4" t="n">
        <v>1188.00</v>
      </c>
      <c r="D3418" s="4"/>
    </row>
    <row collapsed="" customFormat="false" customHeight="1" hidden="" ht="14" outlineLevel="0" r="3419">
      <c r="A3419" s="3" t="inlineStr">
        <is>
          <t>3388</t>
        </is>
      </c>
      <c r="B3419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S")</f>
      </c>
      <c r="C3419" s="4" t="n">
        <v>1286.00</v>
      </c>
      <c r="D3419" s="4"/>
    </row>
    <row collapsed="" customFormat="false" customHeight="1" hidden="" ht="14" outlineLevel="0" r="3420">
      <c r="A3420" s="3" t="inlineStr">
        <is>
          <t>3389</t>
        </is>
      </c>
      <c r="B3420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M")</f>
      </c>
      <c r="C3420" s="4" t="n">
        <v>1286.00</v>
      </c>
      <c r="D3420" s="4"/>
    </row>
    <row collapsed="" customFormat="false" customHeight="1" hidden="" ht="14" outlineLevel="0" r="3421">
      <c r="A3421" s="3" t="inlineStr">
        <is>
          <t>3390</t>
        </is>
      </c>
      <c r="B3421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L")</f>
      </c>
      <c r="C3421" s="4" t="n">
        <v>1286.00</v>
      </c>
      <c r="D3421" s="4"/>
    </row>
    <row collapsed="" customFormat="false" customHeight="1" hidden="" ht="14" outlineLevel="0" r="3422">
      <c r="A3422" s="3" t="inlineStr">
        <is>
          <t>3391</t>
        </is>
      </c>
      <c r="B3422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XL")</f>
      </c>
      <c r="C3422" s="4" t="n">
        <v>1286.00</v>
      </c>
      <c r="D3422" s="4"/>
    </row>
    <row collapsed="" customFormat="false" customHeight="1" hidden="" ht="14" outlineLevel="0" r="3423">
      <c r="A3423" s="3" t="inlineStr">
        <is>
          <t>3392</t>
        </is>
      </c>
      <c r="B3423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XXL")</f>
      </c>
      <c r="C3423" s="4" t="n">
        <v>1286.00</v>
      </c>
      <c r="D3423" s="4"/>
    </row>
    <row collapsed="" customFormat="false" customHeight="1" hidden="" ht="14" outlineLevel="0" r="3424">
      <c r="A3424" s="3" t="inlineStr">
        <is>
          <t>3393</t>
        </is>
      </c>
      <c r="B3424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3XL")</f>
      </c>
      <c r="C3424" s="4" t="n">
        <v>1515.00</v>
      </c>
      <c r="D3424" s="4"/>
    </row>
    <row collapsed="" customFormat="false" customHeight="1" hidden="" ht="14" outlineLevel="0" r="3425">
      <c r="A3425" s="3" t="inlineStr">
        <is>
          <t>3394</t>
        </is>
      </c>
      <c r="B3425" s="4" t="s">
        <f>=HYPERLINK("http://anyluxury.ru/shop/odezhda/detskaya-odezhda/futbolka-s-dlinnim-rukavom-imperial-lsl-men-oranzhevaya-02074400/" , "02074400 Футболка с длинным рукавом IMPERIAL LSL MEN оранжевая, размер M")</f>
      </c>
      <c r="C3425" s="4" t="n">
        <v>1286.00</v>
      </c>
      <c r="D3425" s="4"/>
    </row>
    <row collapsed="" customFormat="false" customHeight="1" hidden="" ht="14" outlineLevel="0" r="3426">
      <c r="A3426" s="3" t="inlineStr">
        <is>
          <t>3395</t>
        </is>
      </c>
      <c r="B3426" s="4" t="s">
        <f>=HYPERLINK("http://anyluxury.ru/shop/odezhda/detskaya-odezhda/futbolka-s-dlinnim-rukavom-imperial-lsl-men-oranzhevaya-02074400/" , "02074400 Футболка с длинным рукавом IMPERIAL LSL MEN оранжевая, размер L")</f>
      </c>
      <c r="C3426" s="4" t="n">
        <v>1286.00</v>
      </c>
      <c r="D3426" s="4"/>
    </row>
    <row collapsed="" customFormat="false" customHeight="1" hidden="" ht="14" outlineLevel="0" r="3427">
      <c r="A3427" s="3" t="inlineStr">
        <is>
          <t>3396</t>
        </is>
      </c>
      <c r="B3427" s="4" t="s">
        <f>=HYPERLINK("http://anyluxury.ru/shop/odezhda/detskaya-odezhda/futbolka-s-dlinnim-rukavom-imperial-lsl-men-oranzhevaya-02074400/" , "02074400 Футболка с длинным рукавом IMPERIAL LSL MEN оранжевая, размер XL")</f>
      </c>
      <c r="C3427" s="4" t="n">
        <v>1286.00</v>
      </c>
      <c r="D3427" s="4"/>
    </row>
    <row collapsed="" customFormat="false" customHeight="1" hidden="" ht="14" outlineLevel="0" r="3428">
      <c r="A3428" s="3" t="inlineStr">
        <is>
          <t>3397</t>
        </is>
      </c>
      <c r="B3428" s="4" t="s">
        <f>=HYPERLINK("http://anyluxury.ru/shop/odezhda/detskaya-odezhda/futbolka-s-dlinnim-rukavom-imperial-lsl-men-oranzhevaya-02074400/" , "02074400 Футболка с длинным рукавом IMPERIAL LSL MEN оранжевая, размер XXL")</f>
      </c>
      <c r="C3428" s="4" t="n">
        <v>1286.00</v>
      </c>
      <c r="D3428" s="4"/>
    </row>
    <row collapsed="" customFormat="false" customHeight="1" hidden="" ht="14" outlineLevel="0" r="3429">
      <c r="A3429" s="3" t="inlineStr">
        <is>
          <t>3398</t>
        </is>
      </c>
      <c r="B3429" s="4" t="s">
        <f>=HYPERLINK("http://anyluxury.ru/shop/odezhda/detskaya-odezhda/futbolka-s-dlinnim-rukavom-imperial-lsl-men-oranzhevaya-02074400/" , "02074400 Футболка с длинным рукавом IMPERIAL LSL MEN оранжевая, размер 3XL")</f>
      </c>
      <c r="C3429" s="4" t="n">
        <v>1515.00</v>
      </c>
      <c r="D3429" s="4"/>
    </row>
    <row collapsed="" customFormat="false" customHeight="1" hidden="" ht="14" outlineLevel="0" r="3430">
      <c r="A3430" s="3" t="inlineStr">
        <is>
          <t>3399</t>
        </is>
      </c>
      <c r="B3430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S")</f>
      </c>
      <c r="C3430" s="4" t="n">
        <v>1271.00</v>
      </c>
      <c r="D3430" s="4"/>
    </row>
    <row collapsed="" customFormat="false" customHeight="1" hidden="" ht="14" outlineLevel="0" r="3431">
      <c r="A3431" s="3" t="inlineStr">
        <is>
          <t>3400</t>
        </is>
      </c>
      <c r="B3431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M")</f>
      </c>
      <c r="C3431" s="4" t="n">
        <v>1271.00</v>
      </c>
      <c r="D3431" s="4"/>
    </row>
    <row collapsed="" customFormat="false" customHeight="1" hidden="" ht="14" outlineLevel="0" r="3432">
      <c r="A3432" s="3" t="inlineStr">
        <is>
          <t>3401</t>
        </is>
      </c>
      <c r="B3432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L")</f>
      </c>
      <c r="C3432" s="4" t="n">
        <v>1271.00</v>
      </c>
      <c r="D3432" s="4"/>
    </row>
    <row collapsed="" customFormat="false" customHeight="1" hidden="" ht="14" outlineLevel="0" r="3433">
      <c r="A3433" s="3" t="inlineStr">
        <is>
          <t>3402</t>
        </is>
      </c>
      <c r="B3433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XL")</f>
      </c>
      <c r="C3433" s="4" t="n">
        <v>1271.00</v>
      </c>
      <c r="D3433" s="4"/>
    </row>
    <row collapsed="" customFormat="false" customHeight="1" hidden="" ht="14" outlineLevel="0" r="3434">
      <c r="A3434" s="3" t="inlineStr">
        <is>
          <t>3403</t>
        </is>
      </c>
      <c r="B3434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XXL")</f>
      </c>
      <c r="C3434" s="4" t="n">
        <v>1271.00</v>
      </c>
      <c r="D3434" s="4"/>
    </row>
    <row collapsed="" customFormat="false" customHeight="1" hidden="" ht="14" outlineLevel="0" r="3435">
      <c r="A3435" s="3" t="inlineStr">
        <is>
          <t>3404</t>
        </is>
      </c>
      <c r="B3435" s="4" t="s">
        <f>=HYPERLINK("http://anyluxury.ru/shop/odezhda/detskaya-odezhda/futbolka-s-dlinnim-rukavom-imperial-lsl-women-seriy-melanzh-02075350/" , "02075350 Футболка с длинным рукавом IMPERIAL LSL WOMEN серый меланж, размер S")</f>
      </c>
      <c r="C3435" s="4" t="n">
        <v>1271.00</v>
      </c>
      <c r="D3435" s="4"/>
    </row>
    <row collapsed="" customFormat="false" customHeight="1" hidden="" ht="14" outlineLevel="0" r="3436">
      <c r="A3436" s="3" t="inlineStr">
        <is>
          <t>3405</t>
        </is>
      </c>
      <c r="B3436" s="4" t="s">
        <f>=HYPERLINK("http://anyluxury.ru/shop/odezhda/detskaya-odezhda/futbolka-s-dlinnim-rukavom-imperial-lsl-women-seriy-melanzh-02075350/" , "02075350 Футболка с длинным рукавом IMPERIAL LSL WOMEN серый меланж, размер M")</f>
      </c>
      <c r="C3436" s="4" t="n">
        <v>1271.00</v>
      </c>
      <c r="D3436" s="4"/>
    </row>
    <row collapsed="" customFormat="false" customHeight="1" hidden="" ht="14" outlineLevel="0" r="3437">
      <c r="A3437" s="3" t="inlineStr">
        <is>
          <t>3406</t>
        </is>
      </c>
      <c r="B3437" s="4" t="s">
        <f>=HYPERLINK("http://anyluxury.ru/shop/odezhda/detskaya-odezhda/futbolka-s-dlinnim-rukavom-imperial-lsl-women-seriy-melanzh-02075350/" , "02075350 Футболка с длинным рукавом IMPERIAL LSL WOMEN серый меланж, размер L")</f>
      </c>
      <c r="C3437" s="4" t="n">
        <v>1271.00</v>
      </c>
      <c r="D3437" s="4"/>
    </row>
    <row collapsed="" customFormat="false" customHeight="1" hidden="" ht="14" outlineLevel="0" r="3438">
      <c r="A3438" s="3" t="inlineStr">
        <is>
          <t>3407</t>
        </is>
      </c>
      <c r="B3438" s="4" t="s">
        <f>=HYPERLINK("http://anyluxury.ru/shop/odezhda/detskaya-odezhda/futbolka-s-dlinnim-rukavom-imperial-lsl-women-seriy-melanzh-02075350/" , "02075350 Футболка с длинным рукавом IMPERIAL LSL WOMEN серый меланж, размер XL")</f>
      </c>
      <c r="C3438" s="4" t="n">
        <v>1271.00</v>
      </c>
      <c r="D3438" s="4"/>
    </row>
    <row collapsed="" customFormat="false" customHeight="1" hidden="" ht="14" outlineLevel="0" r="3439">
      <c r="A3439" s="3" t="inlineStr">
        <is>
          <t>3408</t>
        </is>
      </c>
      <c r="B3439" s="4" t="s">
        <f>=HYPERLINK("http://anyluxury.ru/shop/odezhda/detskaya-odezhda/futbolka-s-dlinnim-rukavom-imperial-lsl-women-seriy-melanzh-02075350/" , "02075350 Футболка с длинным рукавом IMPERIAL LSL WOMEN серый меланж, размер XXL")</f>
      </c>
      <c r="C3439" s="4" t="n">
        <v>1271.00</v>
      </c>
      <c r="D3439" s="4"/>
    </row>
    <row collapsed="" customFormat="false" customHeight="1" hidden="" ht="14" outlineLevel="0" r="3440">
      <c r="A3440" s="3" t="inlineStr">
        <is>
          <t>3409</t>
        </is>
      </c>
      <c r="B3440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S")</f>
      </c>
      <c r="C3440" s="4" t="n">
        <v>1271.00</v>
      </c>
      <c r="D3440" s="4"/>
    </row>
    <row collapsed="" customFormat="false" customHeight="1" hidden="" ht="14" outlineLevel="0" r="3441">
      <c r="A3441" s="3" t="inlineStr">
        <is>
          <t>3410</t>
        </is>
      </c>
      <c r="B3441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M")</f>
      </c>
      <c r="C3441" s="4" t="n">
        <v>1271.00</v>
      </c>
      <c r="D3441" s="4"/>
    </row>
    <row collapsed="" customFormat="false" customHeight="1" hidden="" ht="14" outlineLevel="0" r="3442">
      <c r="A3442" s="3" t="inlineStr">
        <is>
          <t>3411</t>
        </is>
      </c>
      <c r="B3442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L")</f>
      </c>
      <c r="C3442" s="4" t="n">
        <v>1271.00</v>
      </c>
      <c r="D3442" s="4"/>
    </row>
    <row collapsed="" customFormat="false" customHeight="1" hidden="" ht="14" outlineLevel="0" r="3443">
      <c r="A3443" s="3" t="inlineStr">
        <is>
          <t>3412</t>
        </is>
      </c>
      <c r="B3443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XL")</f>
      </c>
      <c r="C3443" s="4" t="n">
        <v>1271.00</v>
      </c>
      <c r="D3443" s="4"/>
    </row>
    <row collapsed="" customFormat="false" customHeight="1" hidden="" ht="14" outlineLevel="0" r="3444">
      <c r="A3444" s="3" t="inlineStr">
        <is>
          <t>3413</t>
        </is>
      </c>
      <c r="B3444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XXL")</f>
      </c>
      <c r="C3444" s="4" t="n">
        <v>1271.00</v>
      </c>
      <c r="D3444" s="4"/>
    </row>
    <row collapsed="" customFormat="false" customHeight="1" hidden="" ht="14" outlineLevel="0" r="3445">
      <c r="A3445" s="3" t="inlineStr">
        <is>
          <t>3414</t>
        </is>
      </c>
      <c r="B3445" s="4" t="s">
        <f>=HYPERLINK("http://anyluxury.ru/shop/odezhda/detskaya-odezhda/futbolka-s-dlinnim-rukavom-imperial-lsl-women-oranzhevaya-02075400/" , "02075400 Футболка с длинным рукавом IMPERIAL LSL WOMEN оранжевая, размер S")</f>
      </c>
      <c r="C3445" s="4" t="n">
        <v>1271.00</v>
      </c>
      <c r="D3445" s="4"/>
    </row>
    <row collapsed="" customFormat="false" customHeight="1" hidden="" ht="14" outlineLevel="0" r="3446">
      <c r="A3446" s="3" t="inlineStr">
        <is>
          <t>3415</t>
        </is>
      </c>
      <c r="B3446" s="4" t="s">
        <f>=HYPERLINK("http://anyluxury.ru/shop/odezhda/detskaya-odezhda/futbolka-s-dlinnim-rukavom-imperial-lsl-women-oranzhevaya-02075400/" , "02075400 Футболка с длинным рукавом IMPERIAL LSL WOMEN оранжевая, размер M")</f>
      </c>
      <c r="C3446" s="4" t="n">
        <v>1271.00</v>
      </c>
      <c r="D3446" s="4"/>
    </row>
    <row collapsed="" customFormat="false" customHeight="1" hidden="" ht="14" outlineLevel="0" r="3447">
      <c r="A3447" s="3" t="inlineStr">
        <is>
          <t>3416</t>
        </is>
      </c>
      <c r="B3447" s="4" t="s">
        <f>=HYPERLINK("http://anyluxury.ru/shop/odezhda/detskaya-odezhda/futbolka-s-dlinnim-rukavom-imperial-lsl-women-oranzhevaya-02075400/" , "02075400 Футболка с длинным рукавом IMPERIAL LSL WOMEN оранжевая, размер L")</f>
      </c>
      <c r="C3447" s="4" t="n">
        <v>1271.00</v>
      </c>
      <c r="D3447" s="4"/>
    </row>
    <row collapsed="" customFormat="false" customHeight="1" hidden="" ht="14" outlineLevel="0" r="3448">
      <c r="A3448" s="3" t="inlineStr">
        <is>
          <t>3417</t>
        </is>
      </c>
      <c r="B3448" s="4" t="s">
        <f>=HYPERLINK("http://anyluxury.ru/shop/odezhda/detskaya-odezhda/futbolka-s-dlinnim-rukavom-imperial-lsl-women-oranzhevaya-02075400/" , "02075400 Футболка с длинным рукавом IMPERIAL LSL WOMEN оранжевая, размер XL")</f>
      </c>
      <c r="C3448" s="4" t="n">
        <v>1271.00</v>
      </c>
      <c r="D3448" s="4"/>
    </row>
    <row collapsed="" customFormat="false" customHeight="1" hidden="" ht="14" outlineLevel="0" r="3449">
      <c r="A3449" s="3" t="inlineStr">
        <is>
          <t>3418</t>
        </is>
      </c>
      <c r="B3449" s="4" t="s">
        <f>=HYPERLINK("http://anyluxury.ru/shop/odezhda/detskaya-odezhda/futbolka-s-dlinnim-rukavom-imperial-lsl-women-oranzhevaya-02075400/" , "02075400 Футболка с длинным рукавом IMPERIAL LSL WOMEN оранжевая, размер XXL")</f>
      </c>
      <c r="C3449" s="4" t="n">
        <v>1271.00</v>
      </c>
      <c r="D3449" s="4"/>
    </row>
    <row collapsed="" customFormat="false" customHeight="1" hidden="" ht="14" outlineLevel="0" r="3450">
      <c r="A3450" s="3" t="inlineStr">
        <is>
          <t>3419</t>
        </is>
      </c>
      <c r="B3450" s="4" t="s">
        <f>=HYPERLINK("http://anyluxury.ru/shop/odezhda/detskaya-odezhda/futbolka-s-dlinnim-rukavom-imperial-lsl-women-krasnaya-02075145/" , "02075145 Футболка с длинными рукавами IMPERIAL LSL WOMEN красная, размер S")</f>
      </c>
      <c r="C3450" s="4" t="n">
        <v>1271.00</v>
      </c>
      <c r="D3450" s="4"/>
    </row>
    <row collapsed="" customFormat="false" customHeight="1" hidden="" ht="14" outlineLevel="0" r="3451">
      <c r="A3451" s="3" t="inlineStr">
        <is>
          <t>3420</t>
        </is>
      </c>
      <c r="B3451" s="4" t="s">
        <f>=HYPERLINK("http://anyluxury.ru/shop/odezhda/detskaya-odezhda/futbolka-s-dlinnim-rukavom-imperial-lsl-women-krasnaya-02075145/" , "02075145 Футболка с длинными рукавами IMPERIAL LSL WOMEN красная, размер M")</f>
      </c>
      <c r="C3451" s="4" t="n">
        <v>1271.00</v>
      </c>
      <c r="D3451" s="4"/>
    </row>
    <row collapsed="" customFormat="false" customHeight="1" hidden="" ht="14" outlineLevel="0" r="3452">
      <c r="A3452" s="3" t="inlineStr">
        <is>
          <t>3421</t>
        </is>
      </c>
      <c r="B3452" s="4" t="s">
        <f>=HYPERLINK("http://anyluxury.ru/shop/odezhda/detskaya-odezhda/futbolka-s-dlinnim-rukavom-imperial-lsl-women-krasnaya-02075145/" , "02075145 Футболка с длинными рукавами IMPERIAL LSL WOMEN красная, размер L")</f>
      </c>
      <c r="C3452" s="4" t="n">
        <v>1271.00</v>
      </c>
      <c r="D3452" s="4"/>
    </row>
    <row collapsed="" customFormat="false" customHeight="1" hidden="" ht="14" outlineLevel="0" r="3453">
      <c r="A3453" s="3" t="inlineStr">
        <is>
          <t>3422</t>
        </is>
      </c>
      <c r="B3453" s="4" t="s">
        <f>=HYPERLINK("http://anyluxury.ru/shop/odezhda/detskaya-odezhda/futbolka-s-dlinnim-rukavom-imperial-lsl-women-krasnaya-02075145/" , "02075145 Футболка с длинными рукавами IMPERIAL LSL WOMEN красная, размер XL")</f>
      </c>
      <c r="C3453" s="4" t="n">
        <v>1271.00</v>
      </c>
      <c r="D3453" s="4"/>
    </row>
    <row collapsed="" customFormat="false" customHeight="1" hidden="" ht="14" outlineLevel="0" r="3454">
      <c r="A3454" s="3" t="inlineStr">
        <is>
          <t>3423</t>
        </is>
      </c>
      <c r="B3454" s="4" t="s">
        <f>=HYPERLINK("http://anyluxury.ru/shop/odezhda/detskaya-odezhda/futbolka-s-dlinnim-rukavom-imperial-lsl-women-krasnaya-02075145/" , "02075145 Футболка с длинными рукавами IMPERIAL LSL WOMEN красная, размер XXL")</f>
      </c>
      <c r="C3454" s="4" t="n">
        <v>1271.00</v>
      </c>
      <c r="D3454" s="4"/>
    </row>
    <row collapsed="" customFormat="false" customHeight="1" hidden="" ht="14" outlineLevel="0" r="3455">
      <c r="A3455" s="3" t="inlineStr">
        <is>
          <t>3424</t>
        </is>
      </c>
      <c r="B3455" s="4" t="s">
        <f>=HYPERLINK("http://anyluxury.ru/shop/odezhda/detskaya-odezhda/futbolka-s-dlinnim-rukavom-sporty-lsl-men-yarkobiryuzovaya-02071321/" , "02071321 Футболка с длинным рукавом SPORTY LSL MEN ярко-бирюзовая, размер S")</f>
      </c>
      <c r="C3455" s="4" t="n">
        <v>839.00</v>
      </c>
      <c r="D3455" s="4"/>
    </row>
    <row collapsed="" customFormat="false" customHeight="1" hidden="" ht="14" outlineLevel="0" r="3456">
      <c r="A3456" s="3" t="inlineStr">
        <is>
          <t>3425</t>
        </is>
      </c>
      <c r="B3456" s="4" t="s">
        <f>=HYPERLINK("http://anyluxury.ru/shop/odezhda/detskaya-odezhda/futbolka-s-dlinnim-rukavom-sporty-lsl-men-yarkobiryuzovaya-02071321/" , "02071321 Футболка с длинным рукавом SPORTY LSL MEN ярко-бирюзовая, размер M")</f>
      </c>
      <c r="C3456" s="4" t="n">
        <v>839.00</v>
      </c>
      <c r="D3456" s="4"/>
    </row>
    <row collapsed="" customFormat="false" customHeight="1" hidden="" ht="14" outlineLevel="0" r="3457">
      <c r="A3457" s="3" t="inlineStr">
        <is>
          <t>3426</t>
        </is>
      </c>
      <c r="B3457" s="4" t="s">
        <f>=HYPERLINK("http://anyluxury.ru/shop/odezhda/detskaya-odezhda/futbolka-s-dlinnim-rukavom-sporty-lsl-men-yarkobiryuzovaya-02071321/" , "02071321 Футболка с длинным рукавом SPORTY LSL MEN ярко-бирюзовая, размер L")</f>
      </c>
      <c r="C3457" s="4" t="n">
        <v>839.00</v>
      </c>
      <c r="D3457" s="4"/>
    </row>
    <row collapsed="" customFormat="false" customHeight="1" hidden="" ht="14" outlineLevel="0" r="3458">
      <c r="A3458" s="3" t="inlineStr">
        <is>
          <t>3427</t>
        </is>
      </c>
      <c r="B3458" s="4" t="s">
        <f>=HYPERLINK("http://anyluxury.ru/shop/odezhda/detskaya-odezhda/futbolka-s-dlinnim-rukavom-sporty-lsl-men-yarkobiryuzovaya-02071321/" , "02071321 Футболка с длинным рукавом SPORTY LSL MEN ярко-бирюзовая, размер XL")</f>
      </c>
      <c r="C3458" s="4" t="n">
        <v>839.00</v>
      </c>
      <c r="D3458" s="4"/>
    </row>
    <row collapsed="" customFormat="false" customHeight="1" hidden="" ht="14" outlineLevel="0" r="3459">
      <c r="A3459" s="3" t="inlineStr">
        <is>
          <t>3428</t>
        </is>
      </c>
      <c r="B3459" s="4" t="s">
        <f>=HYPERLINK("http://anyluxury.ru/shop/odezhda/detskaya-odezhda/futbolka-s-dlinnim-rukavom-sporty-lsl-men-yarkobiryuzovaya-02071321/" , "02071321 Футболка с длинным рукавом SPORTY LSL MEN ярко-бирюзовая, размер XXL")</f>
      </c>
      <c r="C3459" s="4" t="n">
        <v>839.00</v>
      </c>
      <c r="D3459" s="4"/>
    </row>
    <row collapsed="" customFormat="false" customHeight="1" hidden="" ht="14" outlineLevel="0" r="3460">
      <c r="A3460" s="3" t="inlineStr">
        <is>
          <t>3429</t>
        </is>
      </c>
      <c r="B3460" s="4" t="s">
        <f>=HYPERLINK("http://anyluxury.ru/shop/odezhda/detskaya-odezhda/futbolka-s-dlinnim-rukavom-sporty-lsl-men-yarkobiryuzovaya-02071321/" , "02071321 Футболка с длинным рукавом SPORTY LSL MEN ярко-бирюзовая, размер 3XL")</f>
      </c>
      <c r="C3460" s="4" t="n">
        <v>960.00</v>
      </c>
      <c r="D3460" s="4"/>
    </row>
    <row collapsed="" customFormat="false" customHeight="1" hidden="" ht="14" outlineLevel="0" r="3461">
      <c r="A3461" s="3" t="inlineStr">
        <is>
          <t>3430</t>
        </is>
      </c>
      <c r="B3461" s="4" t="s">
        <f>=HYPERLINK("http://anyluxury.ru/shop/odezhda/detskaya-odezhda/futbolka-s-dlinnim-rukavom-sporty-lsl-men-zheltiy-neon-02071306/" , "02071306 Футболка с длинным рукавом SPORTY LSL MEN желтый неон, размер S")</f>
      </c>
      <c r="C3461" s="4" t="n">
        <v>839.00</v>
      </c>
      <c r="D3461" s="4"/>
    </row>
    <row collapsed="" customFormat="false" customHeight="1" hidden="" ht="14" outlineLevel="0" r="3462">
      <c r="A3462" s="3" t="inlineStr">
        <is>
          <t>3431</t>
        </is>
      </c>
      <c r="B3462" s="4" t="s">
        <f>=HYPERLINK("http://anyluxury.ru/shop/odezhda/detskaya-odezhda/futbolka-s-dlinnim-rukavom-sporty-lsl-men-zheltiy-neon-02071306/" , "02071306 Футболка с длинным рукавом SPORTY LSL MEN желтый неон, размер M")</f>
      </c>
      <c r="C3462" s="4" t="n">
        <v>839.00</v>
      </c>
      <c r="D3462" s="4"/>
    </row>
    <row collapsed="" customFormat="false" customHeight="1" hidden="" ht="14" outlineLevel="0" r="3463">
      <c r="A3463" s="3" t="inlineStr">
        <is>
          <t>3432</t>
        </is>
      </c>
      <c r="B3463" s="4" t="s">
        <f>=HYPERLINK("http://anyluxury.ru/shop/odezhda/detskaya-odezhda/futbolka-s-dlinnim-rukavom-sporty-lsl-men-zheltiy-neon-02071306/" , "02071306 Футболка с длинным рукавом SPORTY LSL MEN желтый неон, размер L")</f>
      </c>
      <c r="C3463" s="4" t="n">
        <v>839.00</v>
      </c>
      <c r="D3463" s="4"/>
    </row>
    <row collapsed="" customFormat="false" customHeight="1" hidden="" ht="14" outlineLevel="0" r="3464">
      <c r="A3464" s="3" t="inlineStr">
        <is>
          <t>3433</t>
        </is>
      </c>
      <c r="B3464" s="4" t="s">
        <f>=HYPERLINK("http://anyluxury.ru/shop/odezhda/detskaya-odezhda/futbolka-s-dlinnim-rukavom-sporty-lsl-men-zheltiy-neon-02071306/" , "02071306 Футболка с длинным рукавом SPORTY LSL MEN желтый неон, размер XL")</f>
      </c>
      <c r="C3464" s="4" t="n">
        <v>839.00</v>
      </c>
      <c r="D3464" s="4"/>
    </row>
    <row collapsed="" customFormat="false" customHeight="1" hidden="" ht="14" outlineLevel="0" r="3465">
      <c r="A3465" s="3" t="inlineStr">
        <is>
          <t>3434</t>
        </is>
      </c>
      <c r="B3465" s="4" t="s">
        <f>=HYPERLINK("http://anyluxury.ru/shop/odezhda/detskaya-odezhda/futbolka-s-dlinnim-rukavom-sporty-lsl-men-zheltiy-neon-02071306/" , "02071306 Футболка с длинным рукавом SPORTY LSL MEN желтый неон, размер XXL")</f>
      </c>
      <c r="C3465" s="4" t="n">
        <v>839.00</v>
      </c>
      <c r="D3465" s="4"/>
    </row>
    <row collapsed="" customFormat="false" customHeight="1" hidden="" ht="14" outlineLevel="0" r="3466">
      <c r="A3466" s="3" t="inlineStr">
        <is>
          <t>3435</t>
        </is>
      </c>
      <c r="B3466" s="4" t="s">
        <f>=HYPERLINK("http://anyluxury.ru/shop/odezhda/detskaya-odezhda/futbolka-s-dlinnim-rukavom-sporty-lsl-men-zheltiy-neon-02071306/" , "02071306 Футболка с длинным рукавом SPORTY LSL MEN желтый неон, размер 3XL")</f>
      </c>
      <c r="C3466" s="4" t="n">
        <v>960.00</v>
      </c>
      <c r="D3466" s="4"/>
    </row>
    <row collapsed="" customFormat="false" customHeight="1" hidden="" ht="14" outlineLevel="0" r="3467">
      <c r="A3467" s="3" t="inlineStr">
        <is>
          <t>3436</t>
        </is>
      </c>
      <c r="B3467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XS")</f>
      </c>
      <c r="C3467" s="4" t="n">
        <v>810.00</v>
      </c>
      <c r="D3467" s="4"/>
    </row>
    <row collapsed="" customFormat="false" customHeight="1" hidden="" ht="14" outlineLevel="0" r="3468">
      <c r="A3468" s="3" t="inlineStr">
        <is>
          <t>3437</t>
        </is>
      </c>
      <c r="B3468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S")</f>
      </c>
      <c r="C3468" s="4" t="n">
        <v>810.00</v>
      </c>
      <c r="D3468" s="4"/>
    </row>
    <row collapsed="" customFormat="false" customHeight="1" hidden="" ht="14" outlineLevel="0" r="3469">
      <c r="A3469" s="3" t="inlineStr">
        <is>
          <t>3438</t>
        </is>
      </c>
      <c r="B3469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M")</f>
      </c>
      <c r="C3469" s="4" t="n">
        <v>810.00</v>
      </c>
      <c r="D3469" s="4"/>
    </row>
    <row collapsed="" customFormat="false" customHeight="1" hidden="" ht="14" outlineLevel="0" r="3470">
      <c r="A3470" s="3" t="inlineStr">
        <is>
          <t>3439</t>
        </is>
      </c>
      <c r="B3470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L")</f>
      </c>
      <c r="C3470" s="4" t="n">
        <v>810.00</v>
      </c>
      <c r="D3470" s="4"/>
    </row>
    <row collapsed="" customFormat="false" customHeight="1" hidden="" ht="14" outlineLevel="0" r="3471">
      <c r="A3471" s="3" t="inlineStr">
        <is>
          <t>3440</t>
        </is>
      </c>
      <c r="B3471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XL")</f>
      </c>
      <c r="C3471" s="4" t="n">
        <v>810.00</v>
      </c>
      <c r="D3471" s="4"/>
    </row>
    <row collapsed="" customFormat="false" customHeight="1" hidden="" ht="14" outlineLevel="0" r="3472">
      <c r="A3472" s="3" t="inlineStr">
        <is>
          <t>3441</t>
        </is>
      </c>
      <c r="B3472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XXL")</f>
      </c>
      <c r="C3472" s="4" t="n">
        <v>810.00</v>
      </c>
      <c r="D3472" s="4"/>
    </row>
    <row collapsed="" customFormat="false" customHeight="1" hidden="" ht="14" outlineLevel="0" r="3473">
      <c r="A3473" s="3" t="inlineStr">
        <is>
          <t>3442</t>
        </is>
      </c>
      <c r="B3473" s="4" t="s">
        <f>=HYPERLINK("http://anyluxury.ru/shop/odezhda/detskaya-odezhda/futbolka-s-dlinnim-rukavom-sporty-lsl-women-zeleniy-neon-02072286/" , "02072286 Футболка с длинным рукавом SPORTY LSL WOMEN зеленый неон, размер XS")</f>
      </c>
      <c r="C3473" s="4" t="n">
        <v>810.00</v>
      </c>
      <c r="D3473" s="4"/>
    </row>
    <row collapsed="" customFormat="false" customHeight="1" hidden="" ht="14" outlineLevel="0" r="3474">
      <c r="A3474" s="3" t="inlineStr">
        <is>
          <t>3443</t>
        </is>
      </c>
      <c r="B3474" s="4" t="s">
        <f>=HYPERLINK("http://anyluxury.ru/shop/odezhda/detskaya-odezhda/futbolka-s-dlinnim-rukavom-sporty-lsl-women-zeleniy-neon-02072286/" , "02072286 Футболка с длинным рукавом SPORTY LSL WOMEN зеленый неон, размер S")</f>
      </c>
      <c r="C3474" s="4" t="n">
        <v>810.00</v>
      </c>
      <c r="D3474" s="4"/>
    </row>
    <row collapsed="" customFormat="false" customHeight="1" hidden="" ht="14" outlineLevel="0" r="3475">
      <c r="A3475" s="3" t="inlineStr">
        <is>
          <t>3444</t>
        </is>
      </c>
      <c r="B3475" s="4" t="s">
        <f>=HYPERLINK("http://anyluxury.ru/shop/odezhda/detskaya-odezhda/futbolka-s-dlinnim-rukavom-sporty-lsl-women-zeleniy-neon-02072286/" , "02072286 Футболка с длинным рукавом SPORTY LSL WOMEN зеленый неон, размер M")</f>
      </c>
      <c r="C3475" s="4" t="n">
        <v>810.00</v>
      </c>
      <c r="D3475" s="4"/>
    </row>
    <row collapsed="" customFormat="false" customHeight="1" hidden="" ht="14" outlineLevel="0" r="3476">
      <c r="A3476" s="3" t="inlineStr">
        <is>
          <t>3445</t>
        </is>
      </c>
      <c r="B3476" s="4" t="s">
        <f>=HYPERLINK("http://anyluxury.ru/shop/odezhda/detskaya-odezhda/futbolka-s-dlinnim-rukavom-sporty-lsl-women-zeleniy-neon-02072286/" , "02072286 Футболка с длинным рукавом SPORTY LSL WOMEN зеленый неон, размер L")</f>
      </c>
      <c r="C3476" s="4" t="n">
        <v>810.00</v>
      </c>
      <c r="D3476" s="4"/>
    </row>
    <row collapsed="" customFormat="false" customHeight="1" hidden="" ht="14" outlineLevel="0" r="3477">
      <c r="A3477" s="3" t="inlineStr">
        <is>
          <t>3446</t>
        </is>
      </c>
      <c r="B3477" s="4" t="s">
        <f>=HYPERLINK("http://anyluxury.ru/shop/odezhda/detskaya-odezhda/futbolka-s-dlinnim-rukavom-sporty-lsl-women-zeleniy-neon-02072286/" , "02072286 Футболка с длинным рукавом SPORTY LSL WOMEN зеленый неон, размер XL")</f>
      </c>
      <c r="C3477" s="4" t="n">
        <v>810.00</v>
      </c>
      <c r="D3477" s="4"/>
    </row>
    <row collapsed="" customFormat="false" customHeight="1" hidden="" ht="14" outlineLevel="0" r="3478">
      <c r="A3478" s="3" t="inlineStr">
        <is>
          <t>3447</t>
        </is>
      </c>
      <c r="B3478" s="4" t="s">
        <f>=HYPERLINK("http://anyluxury.ru/shop/odezhda/detskaya-odezhda/futbolka-s-dlinnim-rukavom-sporty-lsl-women-zeleniy-neon-02072286/" , "02072286 Футболка с длинным рукавом SPORTY LSL WOMEN зеленый неон, размер XXL")</f>
      </c>
      <c r="C3478" s="4" t="n">
        <v>810.00</v>
      </c>
      <c r="D3478" s="4"/>
    </row>
    <row collapsed="" customFormat="false" customHeight="1" hidden="" ht="14" outlineLevel="0" r="3479">
      <c r="A3479" s="3" t="inlineStr">
        <is>
          <t>3448</t>
        </is>
      </c>
      <c r="B3479" s="4" t="s">
        <f>=HYPERLINK("http://anyluxury.ru/shop/odezhda/detskaya-odezhda/futbolka-s-dlinnim-rukavom-sporty-lsl-women-zheltiy-neon-02072306/" , "02072306 Футболка с длинным рукавом SPORTY LSL WOMEN желтый неон, размер XS")</f>
      </c>
      <c r="C3479" s="4" t="n">
        <v>810.00</v>
      </c>
      <c r="D3479" s="4"/>
    </row>
    <row collapsed="" customFormat="false" customHeight="1" hidden="" ht="14" outlineLevel="0" r="3480">
      <c r="A3480" s="3" t="inlineStr">
        <is>
          <t>3449</t>
        </is>
      </c>
      <c r="B3480" s="4" t="s">
        <f>=HYPERLINK("http://anyluxury.ru/shop/odezhda/detskaya-odezhda/futbolka-s-dlinnim-rukavom-sporty-lsl-women-zheltiy-neon-02072306/" , "02072306 Футболка с длинным рукавом SPORTY LSL WOMEN желтый неон, размер S")</f>
      </c>
      <c r="C3480" s="4" t="n">
        <v>810.00</v>
      </c>
      <c r="D3480" s="4"/>
    </row>
    <row collapsed="" customFormat="false" customHeight="1" hidden="" ht="14" outlineLevel="0" r="3481">
      <c r="A3481" s="3" t="inlineStr">
        <is>
          <t>3450</t>
        </is>
      </c>
      <c r="B3481" s="4" t="s">
        <f>=HYPERLINK("http://anyluxury.ru/shop/odezhda/detskaya-odezhda/futbolka-s-dlinnim-rukavom-sporty-lsl-women-zheltiy-neon-02072306/" , "02072306 Футболка с длинным рукавом SPORTY LSL WOMEN желтый неон, размер M")</f>
      </c>
      <c r="C3481" s="4" t="n">
        <v>810.00</v>
      </c>
      <c r="D3481" s="4"/>
    </row>
    <row collapsed="" customFormat="false" customHeight="1" hidden="" ht="14" outlineLevel="0" r="3482">
      <c r="A3482" s="3" t="inlineStr">
        <is>
          <t>3451</t>
        </is>
      </c>
      <c r="B3482" s="4" t="s">
        <f>=HYPERLINK("http://anyluxury.ru/shop/odezhda/detskaya-odezhda/futbolka-s-dlinnim-rukavom-sporty-lsl-women-zheltiy-neon-02072306/" , "02072306 Футболка с длинным рукавом SPORTY LSL WOMEN желтый неон, размер L")</f>
      </c>
      <c r="C3482" s="4" t="n">
        <v>810.00</v>
      </c>
      <c r="D3482" s="4"/>
    </row>
    <row collapsed="" customFormat="false" customHeight="1" hidden="" ht="14" outlineLevel="0" r="3483">
      <c r="A3483" s="3" t="inlineStr">
        <is>
          <t>3452</t>
        </is>
      </c>
      <c r="B3483" s="4" t="s">
        <f>=HYPERLINK("http://anyluxury.ru/shop/odezhda/detskaya-odezhda/futbolka-s-dlinnim-rukavom-sporty-lsl-women-zheltiy-neon-02072306/" , "02072306 Футболка с длинным рукавом SPORTY LSL WOMEN желтый неон, размер XL")</f>
      </c>
      <c r="C3483" s="4" t="n">
        <v>810.00</v>
      </c>
      <c r="D3483" s="4"/>
    </row>
    <row collapsed="" customFormat="false" customHeight="1" hidden="" ht="14" outlineLevel="0" r="3484">
      <c r="A3484" s="3" t="inlineStr">
        <is>
          <t>3453</t>
        </is>
      </c>
      <c r="B3484" s="4" t="s">
        <f>=HYPERLINK("http://anyluxury.ru/shop/odezhda/detskaya-odezhda/futbolka-s-dlinnim-rukavom-sporty-lsl-women-zheltiy-neon-02072306/" , "02072306 Футболка с длинным рукавом SPORTY LSL WOMEN желтый неон, размер XXL")</f>
      </c>
      <c r="C3484" s="4" t="n">
        <v>810.00</v>
      </c>
      <c r="D3484" s="4"/>
    </row>
    <row collapsed="" customFormat="false" customHeight="1" hidden="" ht="14" outlineLevel="0" r="3485">
      <c r="A3485" s="3" t="inlineStr">
        <is>
          <t>3454</t>
        </is>
      </c>
      <c r="B3485" s="4" t="s">
        <f>=HYPERLINK("http://anyluxury.ru/shop/odezhda/detskaya-odezhda/futbolka-s-dlinnim-rukavom-sporty-lsl-women-krasnaya-02072145/" , "02072145 Футболка с длинным рукавом SPORTY LSL WOMEN красная, размер XS")</f>
      </c>
      <c r="C3485" s="4" t="n">
        <v>810.00</v>
      </c>
      <c r="D3485" s="4"/>
    </row>
    <row collapsed="" customFormat="false" customHeight="1" hidden="" ht="14" outlineLevel="0" r="3486">
      <c r="A3486" s="3" t="inlineStr">
        <is>
          <t>3455</t>
        </is>
      </c>
      <c r="B3486" s="4" t="s">
        <f>=HYPERLINK("http://anyluxury.ru/shop/odezhda/detskaya-odezhda/futbolka-s-dlinnim-rukavom-sporty-lsl-women-krasnaya-02072145/" , "02072145 Футболка с длинным рукавом SPORTY LSL WOMEN красная, размер S")</f>
      </c>
      <c r="C3486" s="4" t="n">
        <v>810.00</v>
      </c>
      <c r="D3486" s="4"/>
    </row>
    <row collapsed="" customFormat="false" customHeight="1" hidden="" ht="14" outlineLevel="0" r="3487">
      <c r="A3487" s="3" t="inlineStr">
        <is>
          <t>3456</t>
        </is>
      </c>
      <c r="B3487" s="4" t="s">
        <f>=HYPERLINK("http://anyluxury.ru/shop/odezhda/detskaya-odezhda/futbolka-s-dlinnim-rukavom-sporty-lsl-women-krasnaya-02072145/" , "02072145 Футболка с длинным рукавом SPORTY LSL WOMEN красная, размер M")</f>
      </c>
      <c r="C3487" s="4" t="n">
        <v>810.00</v>
      </c>
      <c r="D3487" s="4"/>
    </row>
    <row collapsed="" customFormat="false" customHeight="1" hidden="" ht="14" outlineLevel="0" r="3488">
      <c r="A3488" s="3" t="inlineStr">
        <is>
          <t>3457</t>
        </is>
      </c>
      <c r="B3488" s="4" t="s">
        <f>=HYPERLINK("http://anyluxury.ru/shop/odezhda/detskaya-odezhda/futbolka-s-dlinnim-rukavom-sporty-lsl-women-krasnaya-02072145/" , "02072145 Футболка с длинным рукавом SPORTY LSL WOMEN красная, размер L")</f>
      </c>
      <c r="C3488" s="4" t="n">
        <v>810.00</v>
      </c>
      <c r="D3488" s="4"/>
    </row>
    <row collapsed="" customFormat="false" customHeight="1" hidden="" ht="14" outlineLevel="0" r="3489">
      <c r="A3489" s="3" t="inlineStr">
        <is>
          <t>3458</t>
        </is>
      </c>
      <c r="B3489" s="4" t="s">
        <f>=HYPERLINK("http://anyluxury.ru/shop/odezhda/detskaya-odezhda/futbolka-s-dlinnim-rukavom-sporty-lsl-women-krasnaya-02072145/" , "02072145 Футболка с длинным рукавом SPORTY LSL WOMEN красная, размер XL")</f>
      </c>
      <c r="C3489" s="4" t="n">
        <v>810.00</v>
      </c>
      <c r="D3489" s="4"/>
    </row>
    <row collapsed="" customFormat="false" customHeight="1" hidden="" ht="14" outlineLevel="0" r="3490">
      <c r="A3490" s="3" t="inlineStr">
        <is>
          <t>3459</t>
        </is>
      </c>
      <c r="B3490" s="4" t="s">
        <f>=HYPERLINK("http://anyluxury.ru/shop/odezhda/detskaya-odezhda/futbolka-s-dlinnim-rukavom-sporty-lsl-women-krasnaya-02072145/" , "02072145 Футболка с длинным рукавом SPORTY LSL WOMEN красная, размер XXL")</f>
      </c>
      <c r="C3490" s="4" t="n">
        <v>810.00</v>
      </c>
      <c r="D3490" s="4"/>
    </row>
    <row collapsed="" customFormat="false" customHeight="1" hidden="" ht="14" outlineLevel="0" r="3491">
      <c r="A3491" s="3" t="inlineStr">
        <is>
          <t>3460</t>
        </is>
      </c>
      <c r="B3491" s="4" t="s">
        <f>=HYPERLINK("http://anyluxury.ru/shop/odezhda/detskaya-odezhda/tolstovka-detskaya-stone-kids-chernaya-02092312/" , "02092312 Толстовка детская STONE KIDS черная, на рост 106-116 см (6 лет)")</f>
      </c>
      <c r="C3491" s="4" t="n">
        <v>2522.00</v>
      </c>
      <c r="D3491" s="4"/>
    </row>
    <row collapsed="" customFormat="false" customHeight="1" hidden="" ht="14" outlineLevel="0" r="3492">
      <c r="A3492" s="3" t="inlineStr">
        <is>
          <t>3461</t>
        </is>
      </c>
      <c r="B3492" s="4" t="s">
        <f>=HYPERLINK("http://anyluxury.ru/shop/odezhda/detskaya-odezhda/tolstovka-detskaya-stone-kids-chernaya-02092312/" , "02092312 Толстовка детская STONE KIDS черная, на рост 118-128 см (8 лет)")</f>
      </c>
      <c r="C3492" s="4" t="n">
        <v>2522.00</v>
      </c>
      <c r="D3492" s="4"/>
    </row>
    <row collapsed="" customFormat="false" customHeight="1" hidden="" ht="14" outlineLevel="0" r="3493">
      <c r="A3493" s="3" t="inlineStr">
        <is>
          <t>3462</t>
        </is>
      </c>
      <c r="B3493" s="4" t="s">
        <f>=HYPERLINK("http://anyluxury.ru/shop/odezhda/detskaya-odezhda/tolstovka-detskaya-stone-kids-chernaya-02092312/" , "02092312 Толстовка детская STONE KIDS черная, на рост 130-140 см (10 лет)")</f>
      </c>
      <c r="C3493" s="4" t="n">
        <v>2522.00</v>
      </c>
      <c r="D3493" s="4"/>
    </row>
    <row collapsed="" customFormat="false" customHeight="1" hidden="" ht="14" outlineLevel="0" r="3494">
      <c r="A3494" s="3" t="inlineStr">
        <is>
          <t>3463</t>
        </is>
      </c>
      <c r="B3494" s="4" t="s">
        <f>=HYPERLINK("http://anyluxury.ru/shop/odezhda/detskaya-odezhda/tolstovka-detskaya-stone-kids-chernaya-02092312/" , "02092312 Толстовка детская STONE KIDS черная, на рост 142-152 см (12 лет)")</f>
      </c>
      <c r="C3494" s="4" t="n">
        <v>2522.00</v>
      </c>
      <c r="D3494" s="4"/>
    </row>
    <row collapsed="" customFormat="false" customHeight="1" hidden="" ht="14" outlineLevel="0" r="3495">
      <c r="A3495" s="3" t="inlineStr">
        <is>
          <t>3464</t>
        </is>
      </c>
      <c r="B3495" s="4" t="s">
        <f>=HYPERLINK("http://anyluxury.ru/shop/odezhda/detskaya-odezhda/tolstovka-detskaya-stone-kids-rozovaya-02092138/" , "02092138 Толстовка детская STONE KIDS розовая, на рост 106-116 см (6 лет)")</f>
      </c>
      <c r="C3495" s="4" t="n">
        <v>2522.00</v>
      </c>
      <c r="D3495" s="4"/>
    </row>
    <row collapsed="" customFormat="false" customHeight="1" hidden="" ht="14" outlineLevel="0" r="3496">
      <c r="A3496" s="3" t="inlineStr">
        <is>
          <t>3465</t>
        </is>
      </c>
      <c r="B3496" s="4" t="s">
        <f>=HYPERLINK("http://anyluxury.ru/shop/odezhda/detskaya-odezhda/tolstovka-detskaya-stone-kids-rozovaya-02092138/" , "02092138 Толстовка детская STONE KIDS розовая, на рост 118-128 см (8 лет)")</f>
      </c>
      <c r="C3496" s="4" t="n">
        <v>2522.00</v>
      </c>
      <c r="D3496" s="4"/>
    </row>
    <row collapsed="" customFormat="false" customHeight="1" hidden="" ht="14" outlineLevel="0" r="3497">
      <c r="A3497" s="3" t="inlineStr">
        <is>
          <t>3466</t>
        </is>
      </c>
      <c r="B3497" s="4" t="s">
        <f>=HYPERLINK("http://anyluxury.ru/shop/odezhda/detskaya-odezhda/tolstovka-detskaya-stone-kids-rozovaya-02092138/" , "02092138 Толстовка детская STONE KIDS розовая, на рост 130-140 см (10 лет)")</f>
      </c>
      <c r="C3497" s="4" t="n">
        <v>2522.00</v>
      </c>
      <c r="D3497" s="4"/>
    </row>
    <row collapsed="" customFormat="false" customHeight="1" hidden="" ht="14" outlineLevel="0" r="3498">
      <c r="A3498" s="3" t="inlineStr">
        <is>
          <t>3467</t>
        </is>
      </c>
      <c r="B3498" s="4" t="s">
        <f>=HYPERLINK("http://anyluxury.ru/shop/odezhda/detskaya-odezhda/tolstovka-detskaya-stone-kids-rozovaya-02092138/" , "02092138 Толстовка детская STONE KIDS розовая, на рост 142-152 см (12 лет)")</f>
      </c>
      <c r="C3498" s="4" t="n">
        <v>2522.00</v>
      </c>
      <c r="D3498" s="4"/>
    </row>
    <row collapsed="" customFormat="false" customHeight="1" hidden="" ht="14" outlineLevel="0" r="3499">
      <c r="A3499" s="3" t="inlineStr">
        <is>
          <t>3468</t>
        </is>
      </c>
      <c r="B3499" s="4" t="s">
        <f>=HYPERLINK("http://anyluxury.ru/shop/odezhda/detskaya-odezhda/tolstovka-detskaya-stone-kids-krasnaya-02092145/" , "02092145 Толстовка детская STONE KIDS красная, на рост 106-116 см (6 лет)")</f>
      </c>
      <c r="C3499" s="4" t="n">
        <v>2522.00</v>
      </c>
      <c r="D3499" s="4"/>
    </row>
    <row collapsed="" customFormat="false" customHeight="1" hidden="" ht="14" outlineLevel="0" r="3500">
      <c r="A3500" s="3" t="inlineStr">
        <is>
          <t>3469</t>
        </is>
      </c>
      <c r="B3500" s="4" t="s">
        <f>=HYPERLINK("http://anyluxury.ru/shop/odezhda/detskaya-odezhda/tolstovka-detskaya-stone-kids-krasnaya-02092145/" , "02092145 Толстовка детская STONE KIDS красная, на рост 118-128 см (8 лет)")</f>
      </c>
      <c r="C3500" s="4" t="n">
        <v>2522.00</v>
      </c>
      <c r="D3500" s="4"/>
    </row>
    <row collapsed="" customFormat="false" customHeight="1" hidden="" ht="14" outlineLevel="0" r="3501">
      <c r="A3501" s="3" t="inlineStr">
        <is>
          <t>3470</t>
        </is>
      </c>
      <c r="B3501" s="4" t="s">
        <f>=HYPERLINK("http://anyluxury.ru/shop/odezhda/detskaya-odezhda/tolstovka-detskaya-stone-kids-krasnaya-02092145/" , "02092145 Толстовка детская STONE KIDS красная, на рост 130-140 см (10 лет)")</f>
      </c>
      <c r="C3501" s="4" t="n">
        <v>2522.00</v>
      </c>
      <c r="D3501" s="4"/>
    </row>
    <row collapsed="" customFormat="false" customHeight="1" hidden="" ht="14" outlineLevel="0" r="3502">
      <c r="A3502" s="3" t="inlineStr">
        <is>
          <t>3471</t>
        </is>
      </c>
      <c r="B3502" s="4" t="s">
        <f>=HYPERLINK("http://anyluxury.ru/shop/odezhda/detskaya-odezhda/tolstovka-detskaya-stone-kids-krasnaya-02092145/" , "02092145 Толстовка детская STONE KIDS красная, на рост 142-152 см (12 лет)")</f>
      </c>
      <c r="C3502" s="4" t="n">
        <v>2522.00</v>
      </c>
      <c r="D3502" s="4"/>
    </row>
    <row collapsed="" customFormat="false" customHeight="1" hidden="" ht="14" outlineLevel="0" r="3503">
      <c r="A3503" s="3" t="inlineStr">
        <is>
          <t>3472</t>
        </is>
      </c>
      <c r="B3503" s="4" t="s">
        <f>=HYPERLINK("http://anyluxury.ru/shop/odezhda/detskaya-odezhda/svitshot-uniseks-set-in-beliy-wu01w001/" , "WU01W001 Свитшот унисекс Set In, белый, размер XS")</f>
      </c>
      <c r="C3503" s="4" t="n">
        <v>2069.00</v>
      </c>
      <c r="D3503" s="4"/>
    </row>
    <row collapsed="" customFormat="false" customHeight="1" hidden="" ht="14" outlineLevel="0" r="3504">
      <c r="A3504" s="3" t="inlineStr">
        <is>
          <t>3473</t>
        </is>
      </c>
      <c r="B3504" s="4" t="s">
        <f>=HYPERLINK("http://anyluxury.ru/shop/odezhda/detskaya-odezhda/svitshot-uniseks-set-in-beliy-wu01w001/" , "WU01W001 Свитшот унисекс Set In, белый, размер S")</f>
      </c>
      <c r="C3504" s="4" t="n">
        <v>2069.00</v>
      </c>
      <c r="D3504" s="4"/>
    </row>
    <row collapsed="" customFormat="false" customHeight="1" hidden="" ht="14" outlineLevel="0" r="3505">
      <c r="A3505" s="3" t="inlineStr">
        <is>
          <t>3474</t>
        </is>
      </c>
      <c r="B3505" s="4" t="s">
        <f>=HYPERLINK("http://anyluxury.ru/shop/odezhda/detskaya-odezhda/svitshot-uniseks-set-in-beliy-wu01w001/" , "WU01W001 Свитшот унисекс Set In, белый, размер M")</f>
      </c>
      <c r="C3505" s="4" t="n">
        <v>2069.00</v>
      </c>
      <c r="D3505" s="4"/>
    </row>
    <row collapsed="" customFormat="false" customHeight="1" hidden="" ht="14" outlineLevel="0" r="3506">
      <c r="A3506" s="3" t="inlineStr">
        <is>
          <t>3475</t>
        </is>
      </c>
      <c r="B3506" s="4" t="s">
        <f>=HYPERLINK("http://anyluxury.ru/shop/odezhda/detskaya-odezhda/svitshot-uniseks-set-in-beliy-wu01w001/" , "WU01W001 Свитшот унисекс Set In, белый, размер L")</f>
      </c>
      <c r="C3506" s="4" t="n">
        <v>2069.00</v>
      </c>
      <c r="D3506" s="4"/>
    </row>
    <row collapsed="" customFormat="false" customHeight="1" hidden="" ht="14" outlineLevel="0" r="3507">
      <c r="A3507" s="3" t="inlineStr">
        <is>
          <t>3476</t>
        </is>
      </c>
      <c r="B3507" s="4" t="s">
        <f>=HYPERLINK("http://anyluxury.ru/shop/odezhda/detskaya-odezhda/svitshot-uniseks-set-in-beliy-wu01w001/" , "WU01W001 Свитшот унисекс Set In, белый, размер XL")</f>
      </c>
      <c r="C3507" s="4" t="n">
        <v>2069.00</v>
      </c>
      <c r="D3507" s="4"/>
    </row>
    <row collapsed="" customFormat="false" customHeight="1" hidden="" ht="14" outlineLevel="0" r="3508">
      <c r="A3508" s="3" t="inlineStr">
        <is>
          <t>3477</t>
        </is>
      </c>
      <c r="B3508" s="4" t="s">
        <f>=HYPERLINK("http://anyluxury.ru/shop/odezhda/detskaya-odezhda/svitshot-uniseks-set-in-beliy-wu01w001/" , "WU01W001 Свитшот унисекс Set In, белый, размер XXL")</f>
      </c>
      <c r="C3508" s="4" t="n">
        <v>2069.00</v>
      </c>
      <c r="D3508" s="4"/>
    </row>
    <row collapsed="" customFormat="false" customHeight="1" hidden="" ht="14" outlineLevel="0" r="3509">
      <c r="A3509" s="3" t="inlineStr">
        <is>
          <t>3478</t>
        </is>
      </c>
      <c r="B3509" s="4" t="s">
        <f>=HYPERLINK("http://anyluxury.ru/shop/odezhda/detskaya-odezhda/svitshot-uniseks-set-in-beliy-wu01w001/" , "WU01W001 Свитшот унисекс Set In, белый, размер 3XL")</f>
      </c>
      <c r="C3509" s="4" t="n">
        <v>2069.00</v>
      </c>
      <c r="D3509" s="4"/>
    </row>
    <row collapsed="" customFormat="false" customHeight="1" hidden="" ht="14" outlineLevel="0" r="3510">
      <c r="A3510" s="3" t="inlineStr">
        <is>
          <t>3479</t>
        </is>
      </c>
      <c r="B3510" s="4" t="s">
        <f>=HYPERLINK("http://anyluxury.ru/shop/odezhda/detskaya-odezhda/svitshot-uniseks-set-in-beliy-wu01w001/" , "WU01W001 Свитшот унисекс Set In, белый, размер 4XL")</f>
      </c>
      <c r="C3510" s="4" t="n">
        <v>2585.00</v>
      </c>
      <c r="D3510" s="4"/>
    </row>
    <row collapsed="" customFormat="false" customHeight="1" hidden="" ht="14" outlineLevel="0" r="3511">
      <c r="A3511" s="3" t="inlineStr">
        <is>
          <t>3480</t>
        </is>
      </c>
      <c r="B3511" s="4" t="s">
        <f>=HYPERLINK("http://anyluxury.ru/shop/odezhda/detskaya-odezhda/svitshot-uniseks-set-in-beliy-wu01w001/" , "WU01W001 Свитшот унисекс Set In, белый, размер 5XL")</f>
      </c>
      <c r="C3511" s="4" t="n">
        <v>2585.00</v>
      </c>
      <c r="D3511" s="4"/>
    </row>
    <row collapsed="" customFormat="false" customHeight="1" hidden="" ht="14" outlineLevel="0" r="3512">
      <c r="A3512" s="3" t="inlineStr">
        <is>
          <t>3481</t>
        </is>
      </c>
      <c r="B3512" s="4" t="s">
        <f>=HYPERLINK("http://anyluxury.ru/shop/odezhda/detskaya-odezhda/svitshot-uniseks-set-in-cherniy-wu01w005/" , "WU01W005 Свитшот унисекс Set In, черный, размер XS")</f>
      </c>
      <c r="C3512" s="4" t="n">
        <v>2069.00</v>
      </c>
      <c r="D3512" s="4"/>
    </row>
    <row collapsed="" customFormat="false" customHeight="1" hidden="" ht="14" outlineLevel="0" r="3513">
      <c r="A3513" s="3" t="inlineStr">
        <is>
          <t>3482</t>
        </is>
      </c>
      <c r="B3513" s="4" t="s">
        <f>=HYPERLINK("http://anyluxury.ru/shop/odezhda/detskaya-odezhda/svitshot-uniseks-set-in-cherniy-wu01w005/" , "WU01W005 Свитшот унисекс Set In, черный, размер S")</f>
      </c>
      <c r="C3513" s="4" t="n">
        <v>2069.00</v>
      </c>
      <c r="D3513" s="4"/>
    </row>
    <row collapsed="" customFormat="false" customHeight="1" hidden="" ht="14" outlineLevel="0" r="3514">
      <c r="A3514" s="3" t="inlineStr">
        <is>
          <t>3483</t>
        </is>
      </c>
      <c r="B3514" s="4" t="s">
        <f>=HYPERLINK("http://anyluxury.ru/shop/odezhda/detskaya-odezhda/svitshot-uniseks-set-in-cherniy-wu01w005/" , "WU01W005 Свитшот унисекс Set In, черный, размер 3XL")</f>
      </c>
      <c r="C3514" s="4" t="n">
        <v>2069.00</v>
      </c>
      <c r="D3514" s="4"/>
    </row>
    <row collapsed="" customFormat="false" customHeight="1" hidden="" ht="14" outlineLevel="0" r="3515">
      <c r="A3515" s="3" t="inlineStr">
        <is>
          <t>3484</t>
        </is>
      </c>
      <c r="B3515" s="4" t="s">
        <f>=HYPERLINK("http://anyluxury.ru/shop/odezhda/detskaya-odezhda/svitshot-uniseks-set-in-cherniy-wu01w005/" , "WU01W005 Свитшот унисекс Set In, черный, размер 4XL")</f>
      </c>
      <c r="C3515" s="4" t="n">
        <v>2585.00</v>
      </c>
      <c r="D3515" s="4"/>
    </row>
    <row collapsed="" customFormat="false" customHeight="1" hidden="" ht="14" outlineLevel="0" r="3516">
      <c r="A3516" s="3" t="inlineStr">
        <is>
          <t>3485</t>
        </is>
      </c>
      <c r="B3516" s="4" t="s">
        <f>=HYPERLINK("http://anyluxury.ru/shop/odezhda/detskaya-odezhda/svitshot-uniseks-set-in-temnosiniy-wu01w006/" , "WU01W006 Свитшот унисекс Set In, темно-синий, размер XS")</f>
      </c>
      <c r="C3516" s="4" t="n">
        <v>2069.00</v>
      </c>
      <c r="D3516" s="4"/>
    </row>
    <row collapsed="" customFormat="false" customHeight="1" hidden="" ht="14" outlineLevel="0" r="3517">
      <c r="A3517" s="3" t="inlineStr">
        <is>
          <t>3486</t>
        </is>
      </c>
      <c r="B3517" s="4" t="s">
        <f>=HYPERLINK("http://anyluxury.ru/shop/odezhda/detskaya-odezhda/svitshot-uniseks-set-in-temnosiniy-wu01w006/" , "WU01W006 Свитшот унисекс Set In, темно-синий, размер S")</f>
      </c>
      <c r="C3517" s="4" t="n">
        <v>2069.00</v>
      </c>
      <c r="D3517" s="4"/>
    </row>
    <row collapsed="" customFormat="false" customHeight="1" hidden="" ht="14" outlineLevel="0" r="3518">
      <c r="A3518" s="3" t="inlineStr">
        <is>
          <t>3487</t>
        </is>
      </c>
      <c r="B3518" s="4" t="s">
        <f>=HYPERLINK("http://anyluxury.ru/shop/odezhda/detskaya-odezhda/svitshot-uniseks-set-in-temnosiniy-wu01w006/" , "WU01W006 Свитшот унисекс Set In, темно-синий, размер XL")</f>
      </c>
      <c r="C3518" s="4" t="n">
        <v>2069.00</v>
      </c>
      <c r="D3518" s="4"/>
    </row>
    <row collapsed="" customFormat="false" customHeight="1" hidden="" ht="14" outlineLevel="0" r="3519">
      <c r="A3519" s="3" t="inlineStr">
        <is>
          <t>3488</t>
        </is>
      </c>
      <c r="B3519" s="4" t="s">
        <f>=HYPERLINK("http://anyluxury.ru/shop/odezhda/detskaya-odezhda/svitshot-uniseks-set-in-temnosiniy-wu01w006/" , "WU01W006 Свитшот унисекс Set In, темно-синий, размер XXL")</f>
      </c>
      <c r="C3519" s="4" t="n">
        <v>2069.00</v>
      </c>
      <c r="D3519" s="4"/>
    </row>
    <row collapsed="" customFormat="false" customHeight="1" hidden="" ht="14" outlineLevel="0" r="3520">
      <c r="A3520" s="3" t="inlineStr">
        <is>
          <t>3489</t>
        </is>
      </c>
      <c r="B3520" s="4" t="s">
        <f>=HYPERLINK("http://anyluxury.ru/shop/odezhda/detskaya-odezhda/svitshot-uniseks-set-in-temnosiniy-wu01w006/" , "WU01W006 Свитшот унисекс Set In, темно-синий, размер 4XL")</f>
      </c>
      <c r="C3520" s="4" t="n">
        <v>2585.00</v>
      </c>
      <c r="D3520" s="4"/>
    </row>
    <row collapsed="" customFormat="false" customHeight="1" hidden="" ht="14" outlineLevel="0" r="3521">
      <c r="A3521" s="3" t="inlineStr">
        <is>
          <t>3490</t>
        </is>
      </c>
      <c r="B3521" s="4" t="s">
        <f>=HYPERLINK("http://anyluxury.ru/shop/odezhda/detskaya-odezhda/svitshot-uniseks-set-in-bezheviy-wu01w123/" , "WU01W123 Свитшот унисекс Set In, бежевый, размер XS")</f>
      </c>
      <c r="C3521" s="4" t="n">
        <v>2069.00</v>
      </c>
      <c r="D3521" s="4"/>
    </row>
    <row collapsed="" customFormat="false" customHeight="1" hidden="" ht="14" outlineLevel="0" r="3522">
      <c r="A3522" s="3" t="inlineStr">
        <is>
          <t>3491</t>
        </is>
      </c>
      <c r="B3522" s="4" t="s">
        <f>=HYPERLINK("http://anyluxury.ru/shop/odezhda/detskaya-odezhda/svitshot-uniseks-set-in-bezheviy-wu01w123/" , "WU01W123 Свитшот унисекс Set In, бежевый, размер XL")</f>
      </c>
      <c r="C3522" s="4" t="n">
        <v>2069.00</v>
      </c>
      <c r="D3522" s="4"/>
    </row>
    <row collapsed="" customFormat="false" customHeight="1" hidden="" ht="14" outlineLevel="0" r="3523">
      <c r="A3523" s="3" t="inlineStr">
        <is>
          <t>3492</t>
        </is>
      </c>
      <c r="B3523" s="4" t="s">
        <f>=HYPERLINK("http://anyluxury.ru/shop/odezhda/detskaya-odezhda/svitshot-uniseks-set-in-bezheviy-wu01w123/" , "WU01W123 Свитшот унисекс Set In, бежевый, размер XXL")</f>
      </c>
      <c r="C3523" s="4" t="n">
        <v>2069.00</v>
      </c>
      <c r="D3523" s="4"/>
    </row>
    <row collapsed="" customFormat="false" customHeight="1" hidden="" ht="14" outlineLevel="0" r="3524">
      <c r="A3524" s="3" t="inlineStr">
        <is>
          <t>3493</t>
        </is>
      </c>
      <c r="B3524" s="4" t="s">
        <f>=HYPERLINK("http://anyluxury.ru/shop/odezhda/detskaya-odezhda/svitshot-uniseks-set-in-bezheviy-wu01w123/" , "WU01W123 Свитшот унисекс Set In, бежевый, размер 3XL")</f>
      </c>
      <c r="C3524" s="4" t="n">
        <v>2069.00</v>
      </c>
      <c r="D3524" s="4"/>
    </row>
    <row collapsed="" customFormat="false" customHeight="1" hidden="" ht="14" outlineLevel="0" r="3525">
      <c r="A3525" s="3" t="inlineStr">
        <is>
          <t>3494</t>
        </is>
      </c>
      <c r="B3525" s="4" t="s">
        <f>=HYPERLINK("http://anyluxury.ru/shop/odezhda/detskaya-odezhda/svitshot-uniseks-set-in-svetlozheltiy-wu01w199/" , "WU01W199 Свитшот унисекс Set In, светло-желтый, размер XS")</f>
      </c>
      <c r="C3525" s="4" t="n">
        <v>2069.00</v>
      </c>
      <c r="D3525" s="4"/>
    </row>
    <row collapsed="" customFormat="false" customHeight="1" hidden="" ht="14" outlineLevel="0" r="3526">
      <c r="A3526" s="3" t="inlineStr">
        <is>
          <t>3495</t>
        </is>
      </c>
      <c r="B3526" s="4" t="s">
        <f>=HYPERLINK("http://anyluxury.ru/shop/odezhda/detskaya-odezhda/svitshot-uniseks-set-in-svetlozheltiy-wu01w199/" , "WU01W199 Свитшот унисекс Set In, светло-желтый, размер L")</f>
      </c>
      <c r="C3526" s="4" t="n">
        <v>2069.00</v>
      </c>
      <c r="D3526" s="4"/>
    </row>
    <row collapsed="" customFormat="false" customHeight="1" hidden="" ht="14" outlineLevel="0" r="3527">
      <c r="A3527" s="3" t="inlineStr">
        <is>
          <t>3496</t>
        </is>
      </c>
      <c r="B3527" s="4" t="s">
        <f>=HYPERLINK("http://anyluxury.ru/shop/odezhda/detskaya-odezhda/svitshot-uniseks-set-in-svetlozheltiy-wu01w199/" , "WU01W199 Свитшот унисекс Set In, светло-желтый, размер XL")</f>
      </c>
      <c r="C3527" s="4" t="n">
        <v>2069.00</v>
      </c>
      <c r="D3527" s="4"/>
    </row>
    <row collapsed="" customFormat="false" customHeight="1" hidden="" ht="14" outlineLevel="0" r="3528">
      <c r="A3528" s="3" t="inlineStr">
        <is>
          <t>3497</t>
        </is>
      </c>
      <c r="B3528" s="4" t="s">
        <f>=HYPERLINK("http://anyluxury.ru/shop/odezhda/detskaya-odezhda/svitshot-uniseks-set-in-svetlozheltiy-wu01w199/" , "WU01W199 Свитшот унисекс Set In, светло-желтый, размер XXL")</f>
      </c>
      <c r="C3528" s="4" t="n">
        <v>2069.00</v>
      </c>
      <c r="D3528" s="4"/>
    </row>
    <row collapsed="" customFormat="false" customHeight="1" hidden="" ht="14" outlineLevel="0" r="3529">
      <c r="A3529" s="3" t="inlineStr">
        <is>
          <t>3498</t>
        </is>
      </c>
      <c r="B3529" s="4" t="s">
        <f>=HYPERLINK("http://anyluxury.ru/shop/odezhda/detskaya-odezhda/svitshot-uniseks-set-in-svetlozheltiy-wu01w199/" , "WU01W199 Свитшот унисекс Set In, светло-желтый, размер 3XL")</f>
      </c>
      <c r="C3529" s="4" t="n">
        <v>2069.00</v>
      </c>
      <c r="D3529" s="4"/>
    </row>
    <row collapsed="" customFormat="false" customHeight="1" hidden="" ht="14" outlineLevel="0" r="3530">
      <c r="A3530" s="3" t="inlineStr">
        <is>
          <t>3499</t>
        </is>
      </c>
      <c r="B3530" s="4" t="s">
        <f>=HYPERLINK("http://anyluxury.ru/shop/odezhda/detskaya-odezhda/svitshot-uniseks-set-in-bezheviy-nude-wu01w307/" , "WU01W307 Свитшот унисекс Set In, бежевый (nude), размер XS")</f>
      </c>
      <c r="C3530" s="4" t="n">
        <v>2069.00</v>
      </c>
      <c r="D3530" s="4"/>
    </row>
    <row collapsed="" customFormat="false" customHeight="1" hidden="" ht="14" outlineLevel="0" r="3531">
      <c r="A3531" s="3" t="inlineStr">
        <is>
          <t>3500</t>
        </is>
      </c>
      <c r="B3531" s="4" t="s">
        <f>=HYPERLINK("http://anyluxury.ru/shop/odezhda/detskaya-odezhda/svitshot-uniseks-set-in-bezheviy-nude-wu01w307/" , "WU01W307 Свитшот унисекс Set In, бежевый (nude), размер M")</f>
      </c>
      <c r="C3531" s="4" t="n">
        <v>2069.00</v>
      </c>
      <c r="D3531" s="4"/>
    </row>
    <row collapsed="" customFormat="false" customHeight="1" hidden="" ht="14" outlineLevel="0" r="3532">
      <c r="A3532" s="3" t="inlineStr">
        <is>
          <t>3501</t>
        </is>
      </c>
      <c r="B3532" s="4" t="s">
        <f>=HYPERLINK("http://anyluxury.ru/shop/odezhda/detskaya-odezhda/svitshot-uniseks-set-in-bezheviy-nude-wu01w307/" , "WU01W307 Свитшот унисекс Set In, бежевый (nude), размер L")</f>
      </c>
      <c r="C3532" s="4" t="n">
        <v>2069.00</v>
      </c>
      <c r="D3532" s="4"/>
    </row>
    <row collapsed="" customFormat="false" customHeight="1" hidden="" ht="14" outlineLevel="0" r="3533">
      <c r="A3533" s="3" t="inlineStr">
        <is>
          <t>3502</t>
        </is>
      </c>
      <c r="B3533" s="4" t="s">
        <f>=HYPERLINK("http://anyluxury.ru/shop/odezhda/detskaya-odezhda/svitshot-uniseks-set-in-bezheviy-nude-wu01w307/" , "WU01W307 Свитшот унисекс Set In, бежевый (nude), размер XL")</f>
      </c>
      <c r="C3533" s="4" t="n">
        <v>2069.00</v>
      </c>
      <c r="D3533" s="4"/>
    </row>
    <row collapsed="" customFormat="false" customHeight="1" hidden="" ht="14" outlineLevel="0" r="3534">
      <c r="A3534" s="3" t="inlineStr">
        <is>
          <t>3503</t>
        </is>
      </c>
      <c r="B3534" s="4" t="s">
        <f>=HYPERLINK("http://anyluxury.ru/shop/odezhda/detskaya-odezhda/svitshot-uniseks-set-in-bezheviy-nude-wu01w307/" , "WU01W307 Свитшот унисекс Set In, бежевый (nude), размер XXL")</f>
      </c>
      <c r="C3534" s="4" t="n">
        <v>2069.00</v>
      </c>
      <c r="D3534" s="4"/>
    </row>
    <row collapsed="" customFormat="false" customHeight="1" hidden="" ht="14" outlineLevel="0" r="3535">
      <c r="A3535" s="3" t="inlineStr">
        <is>
          <t>3504</t>
        </is>
      </c>
      <c r="B3535" s="4" t="s">
        <f>=HYPERLINK("http://anyluxury.ru/shop/odezhda/detskaya-odezhda/svitshot-uniseks-set-in-bezheviy-nude-wu01w307/" , "WU01W307 Свитшот унисекс Set In, бежевый (nude), размер 3XL")</f>
      </c>
      <c r="C3535" s="4" t="n">
        <v>2069.00</v>
      </c>
      <c r="D3535" s="4"/>
    </row>
    <row collapsed="" customFormat="false" customHeight="1" hidden="" ht="14" outlineLevel="0" r="3536">
      <c r="A3536" s="3" t="inlineStr">
        <is>
          <t>3505</t>
        </is>
      </c>
      <c r="B3536" s="4" t="s">
        <f>=HYPERLINK("http://anyluxury.ru/shop/odezhda/detskaya-odezhda/svitshot-uniseks-set-in-sireneviy-wu01w331/" , "WU01W331 Свитшот унисекс Set In, сиреневый, размер XS")</f>
      </c>
      <c r="C3536" s="4" t="n">
        <v>2069.00</v>
      </c>
      <c r="D3536" s="4"/>
    </row>
    <row collapsed="" customFormat="false" customHeight="1" hidden="" ht="14" outlineLevel="0" r="3537">
      <c r="A3537" s="3" t="inlineStr">
        <is>
          <t>3506</t>
        </is>
      </c>
      <c r="B3537" s="4" t="s">
        <f>=HYPERLINK("http://anyluxury.ru/shop/odezhda/detskaya-odezhda/svitshot-uniseks-set-in-sireneviy-wu01w331/" , "WU01W331 Свитшот унисекс Set In, сиреневый, размер S")</f>
      </c>
      <c r="C3537" s="4" t="n">
        <v>2069.00</v>
      </c>
      <c r="D3537" s="4"/>
    </row>
    <row collapsed="" customFormat="false" customHeight="1" hidden="" ht="14" outlineLevel="0" r="3538">
      <c r="A3538" s="3" t="inlineStr">
        <is>
          <t>3507</t>
        </is>
      </c>
      <c r="B3538" s="4" t="s">
        <f>=HYPERLINK("http://anyluxury.ru/shop/odezhda/detskaya-odezhda/svitshot-uniseks-set-in-sireneviy-wu01w331/" , "WU01W331 Свитшот унисекс Set In, сиреневый, размер M")</f>
      </c>
      <c r="C3538" s="4" t="n">
        <v>2069.00</v>
      </c>
      <c r="D3538" s="4"/>
    </row>
    <row collapsed="" customFormat="false" customHeight="1" hidden="" ht="14" outlineLevel="0" r="3539">
      <c r="A3539" s="3" t="inlineStr">
        <is>
          <t>3508</t>
        </is>
      </c>
      <c r="B3539" s="4" t="s">
        <f>=HYPERLINK("http://anyluxury.ru/shop/odezhda/detskaya-odezhda/svitshot-uniseks-set-in-sireneviy-wu01w331/" , "WU01W331 Свитшот унисекс Set In, сиреневый, размер L")</f>
      </c>
      <c r="C3539" s="4" t="n">
        <v>2069.00</v>
      </c>
      <c r="D3539" s="4"/>
    </row>
    <row collapsed="" customFormat="false" customHeight="1" hidden="" ht="14" outlineLevel="0" r="3540">
      <c r="A3540" s="3" t="inlineStr">
        <is>
          <t>3509</t>
        </is>
      </c>
      <c r="B3540" s="4" t="s">
        <f>=HYPERLINK("http://anyluxury.ru/shop/odezhda/detskaya-odezhda/svitshot-uniseks-set-in-sireneviy-wu01w331/" , "WU01W331 Свитшот унисекс Set In, сиреневый, размер XL")</f>
      </c>
      <c r="C3540" s="4" t="n">
        <v>2069.00</v>
      </c>
      <c r="D3540" s="4"/>
    </row>
    <row collapsed="" customFormat="false" customHeight="1" hidden="" ht="14" outlineLevel="0" r="3541">
      <c r="A3541" s="3" t="inlineStr">
        <is>
          <t>3510</t>
        </is>
      </c>
      <c r="B3541" s="4" t="s">
        <f>=HYPERLINK("http://anyluxury.ru/shop/odezhda/detskaya-odezhda/svitshot-uniseks-set-in-sireneviy-wu01w331/" , "WU01W331 Свитшот унисекс Set In, сиреневый, размер XXL")</f>
      </c>
      <c r="C3541" s="4" t="n">
        <v>2069.00</v>
      </c>
      <c r="D3541" s="4"/>
    </row>
    <row collapsed="" customFormat="false" customHeight="1" hidden="" ht="14" outlineLevel="0" r="3542">
      <c r="A3542" s="3" t="inlineStr">
        <is>
          <t>3511</t>
        </is>
      </c>
      <c r="B3542" s="4" t="s">
        <f>=HYPERLINK("http://anyluxury.ru/shop/odezhda/detskaya-odezhda/svitshot-uniseks-set-in-sireneviy-wu01w331/" , "WU01W331 Свитшот унисекс Set In, сиреневый, размер 3XL")</f>
      </c>
      <c r="C3542" s="4" t="n">
        <v>2069.00</v>
      </c>
      <c r="D3542" s="4"/>
    </row>
    <row collapsed="" customFormat="false" customHeight="1" hidden="" ht="14" outlineLevel="0" r="3543">
      <c r="A3543" s="3" t="inlineStr">
        <is>
          <t>3512</t>
        </is>
      </c>
      <c r="B3543" s="4" t="s">
        <f>=HYPERLINK("http://anyluxury.ru/shop/odezhda/detskaya-odezhda/svitshot-uniseks-set-in-seriy-melanzh-wu01w610/" , "WU01W610 Свитшот унисекс Set In, серый меланж, размер XS")</f>
      </c>
      <c r="C3543" s="4" t="n">
        <v>2069.00</v>
      </c>
      <c r="D3543" s="4"/>
    </row>
    <row collapsed="" customFormat="false" customHeight="1" hidden="" ht="14" outlineLevel="0" r="3544">
      <c r="A3544" s="3" t="inlineStr">
        <is>
          <t>3513</t>
        </is>
      </c>
      <c r="B3544" s="4" t="s">
        <f>=HYPERLINK("http://anyluxury.ru/shop/odezhda/detskaya-odezhda/svitshot-uniseks-set-in-seriy-melanzh-wu01w610/" , "WU01W610 Свитшот унисекс Set In, серый меланж, размер 3XL")</f>
      </c>
      <c r="C3544" s="4" t="n">
        <v>2069.00</v>
      </c>
      <c r="D3544" s="4"/>
    </row>
    <row collapsed="" customFormat="false" customHeight="1" hidden="" ht="14" outlineLevel="0" r="3545">
      <c r="A3545" s="3" t="inlineStr">
        <is>
          <t>3514</t>
        </is>
      </c>
      <c r="B3545" s="4" t="s">
        <f>=HYPERLINK("http://anyluxury.ru/shop/odezhda/detskaya-odezhda/svitshot-uniseks-set-in-seriy-melanzh-wu01w610/" , "WU01W610 Свитшот унисекс Set In, серый меланж, размер 4XL")</f>
      </c>
      <c r="C3545" s="4" t="n">
        <v>2585.00</v>
      </c>
      <c r="D3545" s="4"/>
    </row>
    <row collapsed="" customFormat="false" customHeight="1" hidden="" ht="14" outlineLevel="0" r="3546">
      <c r="A3546" s="3" t="inlineStr">
        <is>
          <t>3515</t>
        </is>
      </c>
      <c r="B3546" s="4" t="s">
        <f>=HYPERLINK("http://anyluxury.ru/shop/odezhda/detskaya-odezhda/svitshot-uniseks-set-in-seriy-melanzh-wu01w610/" , "WU01W610 Свитшот унисекс Set In, серый меланж, размер 5XL")</f>
      </c>
      <c r="C3546" s="4" t="n">
        <v>2585.00</v>
      </c>
      <c r="D3546" s="4"/>
    </row>
    <row collapsed="" customFormat="false" customHeight="1" hidden="" ht="14" outlineLevel="0" r="3547">
      <c r="A3547" s="3" t="inlineStr">
        <is>
          <t>3516</t>
        </is>
      </c>
      <c r="B3547" s="4" t="s">
        <f>=HYPERLINK("http://anyluxury.ru/shop/odezhda/detskaya-odezhda/svitshot-uniseks-set-in-siniy-melanzh-wu01w611/" , "WU01W611 Свитшот унисекс Set In, синий меланж, размер XS")</f>
      </c>
      <c r="C3547" s="4" t="n">
        <v>2069.00</v>
      </c>
      <c r="D3547" s="4"/>
    </row>
    <row collapsed="" customFormat="false" customHeight="1" hidden="" ht="14" outlineLevel="0" r="3548">
      <c r="A3548" s="3" t="inlineStr">
        <is>
          <t>3517</t>
        </is>
      </c>
      <c r="B3548" s="4" t="s">
        <f>=HYPERLINK("http://anyluxury.ru/shop/odezhda/detskaya-odezhda/svitshot-uniseks-set-in-siniy-melanzh-wu01w611/" , "WU01W611 Свитшот унисекс Set In, синий меланж, размер S")</f>
      </c>
      <c r="C3548" s="4" t="n">
        <v>2069.00</v>
      </c>
      <c r="D3548" s="4"/>
    </row>
    <row collapsed="" customFormat="false" customHeight="1" hidden="" ht="14" outlineLevel="0" r="3549">
      <c r="A3549" s="3" t="inlineStr">
        <is>
          <t>3518</t>
        </is>
      </c>
      <c r="B3549" s="4" t="s">
        <f>=HYPERLINK("http://anyluxury.ru/shop/odezhda/detskaya-odezhda/svitshot-uniseks-set-in-siniy-melanzh-wu01w611/" , "WU01W611 Свитшот унисекс Set In, синий меланж, размер M")</f>
      </c>
      <c r="C3549" s="4" t="n">
        <v>2069.00</v>
      </c>
      <c r="D3549" s="4"/>
    </row>
    <row collapsed="" customFormat="false" customHeight="1" hidden="" ht="14" outlineLevel="0" r="3550">
      <c r="A3550" s="3" t="inlineStr">
        <is>
          <t>3519</t>
        </is>
      </c>
      <c r="B3550" s="4" t="s">
        <f>=HYPERLINK("http://anyluxury.ru/shop/odezhda/detskaya-odezhda/svitshot-uniseks-set-in-siniy-melanzh-wu01w611/" , "WU01W611 Свитшот унисекс Set In, синий меланж, размер XXL")</f>
      </c>
      <c r="C3550" s="4" t="n">
        <v>2069.00</v>
      </c>
      <c r="D3550" s="4"/>
    </row>
    <row collapsed="" customFormat="false" customHeight="1" hidden="" ht="14" outlineLevel="0" r="3551">
      <c r="A3551" s="3" t="inlineStr">
        <is>
          <t>3520</t>
        </is>
      </c>
      <c r="B3551" s="4" t="s">
        <f>=HYPERLINK("http://anyluxury.ru/shop/odezhda/detskaya-odezhda/svitshot-uniseks-set-in-siniy-melanzh-wu01w611/" , "WU01W611 Свитшот унисекс Set In, синий меланж, размер 3XL")</f>
      </c>
      <c r="C3551" s="4" t="n">
        <v>2069.00</v>
      </c>
      <c r="D3551" s="4"/>
    </row>
    <row collapsed="" customFormat="false" customHeight="1" hidden="" ht="14" outlineLevel="0" r="3552">
      <c r="A3552" s="3" t="inlineStr">
        <is>
          <t>3521</t>
        </is>
      </c>
      <c r="B3552" s="4" t="s">
        <f>=HYPERLINK("http://anyluxury.ru/shop/odezhda/detskaya-odezhda/svitshot-uniseks-set-in-yarkosiniy-melanzh-wu01w612/" , "WU01W612 Свитшот унисекс Set In, ярко-синий меланж, размер XS")</f>
      </c>
      <c r="C3552" s="4" t="n">
        <v>2069.00</v>
      </c>
      <c r="D3552" s="4"/>
    </row>
    <row collapsed="" customFormat="false" customHeight="1" hidden="" ht="14" outlineLevel="0" r="3553">
      <c r="A3553" s="3" t="inlineStr">
        <is>
          <t>3522</t>
        </is>
      </c>
      <c r="B3553" s="4" t="s">
        <f>=HYPERLINK("http://anyluxury.ru/shop/odezhda/detskaya-odezhda/svitshot-uniseks-set-in-yarkosiniy-melanzh-wu01w612/" , "WU01W612 Свитшот унисекс Set In, ярко-синий меланж, размер S")</f>
      </c>
      <c r="C3553" s="4" t="n">
        <v>2069.00</v>
      </c>
      <c r="D3553" s="4"/>
    </row>
    <row collapsed="" customFormat="false" customHeight="1" hidden="" ht="14" outlineLevel="0" r="3554">
      <c r="A3554" s="3" t="inlineStr">
        <is>
          <t>3523</t>
        </is>
      </c>
      <c r="B3554" s="4" t="s">
        <f>=HYPERLINK("http://anyluxury.ru/shop/odezhda/detskaya-odezhda/svitshot-uniseks-set-in-yarkosiniy-melanzh-wu01w612/" , "WU01W612 Свитшот унисекс Set In, ярко-синий меланж, размер 3XL")</f>
      </c>
      <c r="C3554" s="4" t="n">
        <v>2069.00</v>
      </c>
      <c r="D3554" s="4"/>
    </row>
    <row collapsed="" customFormat="false" customHeight="1" hidden="" ht="14" outlineLevel="0" r="3555">
      <c r="A3555" s="3" t="inlineStr">
        <is>
          <t>3524</t>
        </is>
      </c>
      <c r="B3555" s="4" t="s">
        <f>=HYPERLINK("http://anyluxury.ru/shop/odezhda/detskaya-odezhda/svitshot-uniseks-set-in-fioletoviy-melanzh-wu01w616/" , "WU01W616 Свитшот унисекс Set In, фиолетовый меланж, размер XS")</f>
      </c>
      <c r="C3555" s="4" t="n">
        <v>2069.00</v>
      </c>
      <c r="D3555" s="4"/>
    </row>
    <row collapsed="" customFormat="false" customHeight="1" hidden="" ht="14" outlineLevel="0" r="3556">
      <c r="A3556" s="3" t="inlineStr">
        <is>
          <t>3525</t>
        </is>
      </c>
      <c r="B3556" s="4" t="s">
        <f>=HYPERLINK("http://anyluxury.ru/shop/odezhda/detskaya-odezhda/svitshot-uniseks-set-in-fioletoviy-melanzh-wu01w616/" , "WU01W616 Свитшот унисекс Set In, фиолетовый меланж, размер XL")</f>
      </c>
      <c r="C3556" s="4" t="n">
        <v>2069.00</v>
      </c>
      <c r="D3556" s="4"/>
    </row>
    <row collapsed="" customFormat="false" customHeight="1" hidden="" ht="14" outlineLevel="0" r="3557">
      <c r="A3557" s="3" t="inlineStr">
        <is>
          <t>3526</t>
        </is>
      </c>
      <c r="B3557" s="4" t="s">
        <f>=HYPERLINK("http://anyluxury.ru/shop/odezhda/detskaya-odezhda/svitshot-uniseks-set-in-fioletoviy-melanzh-wu01w616/" , "WU01W616 Свитшот унисекс Set In, фиолетовый меланж, размер XXL")</f>
      </c>
      <c r="C3557" s="4" t="n">
        <v>2069.00</v>
      </c>
      <c r="D3557" s="4"/>
    </row>
    <row collapsed="" customFormat="false" customHeight="1" hidden="" ht="14" outlineLevel="0" r="3558">
      <c r="A3558" s="3" t="inlineStr">
        <is>
          <t>3527</t>
        </is>
      </c>
      <c r="B3558" s="4" t="s">
        <f>=HYPERLINK("http://anyluxury.ru/shop/odezhda/detskaya-odezhda/svitshot-uniseks-set-in-fioletoviy-melanzh-wu01w616/" , "WU01W616 Свитшот унисекс Set In, фиолетовый меланж, размер 3XL")</f>
      </c>
      <c r="C3558" s="4" t="n">
        <v>2069.00</v>
      </c>
      <c r="D3558" s="4"/>
    </row>
    <row collapsed="" customFormat="false" customHeight="1" hidden="" ht="14" outlineLevel="0" r="3559">
      <c r="A3559" s="3" t="inlineStr">
        <is>
          <t>3528</t>
        </is>
      </c>
      <c r="B3559" s="4" t="s">
        <f>=HYPERLINK("http://anyluxury.ru/shop/odezhda/detskaya-odezhda/svitshot-uniseks-set-in-krasniy-melanzh-wu01w617/" , "WU01W617 Свитшот унисекс Set In, красный меланж, размер XS")</f>
      </c>
      <c r="C3559" s="4" t="n">
        <v>2069.00</v>
      </c>
      <c r="D3559" s="4"/>
    </row>
    <row collapsed="" customFormat="false" customHeight="1" hidden="" ht="14" outlineLevel="0" r="3560">
      <c r="A3560" s="3" t="inlineStr">
        <is>
          <t>3529</t>
        </is>
      </c>
      <c r="B3560" s="4" t="s">
        <f>=HYPERLINK("http://anyluxury.ru/shop/odezhda/detskaya-odezhda/svitshot-uniseks-set-in-krasniy-melanzh-wu01w617/" , "WU01W617 Свитшот унисекс Set In, красный меланж, размер S")</f>
      </c>
      <c r="C3560" s="4" t="n">
        <v>2069.00</v>
      </c>
      <c r="D3560" s="4"/>
    </row>
    <row collapsed="" customFormat="false" customHeight="1" hidden="" ht="14" outlineLevel="0" r="3561">
      <c r="A3561" s="3" t="inlineStr">
        <is>
          <t>3530</t>
        </is>
      </c>
      <c r="B3561" s="4" t="s">
        <f>=HYPERLINK("http://anyluxury.ru/shop/odezhda/detskaya-odezhda/svitshot-uniseks-set-in-krasniy-melanzh-wu01w617/" , "WU01W617 Свитшот унисекс Set In, красный меланж, размер M")</f>
      </c>
      <c r="C3561" s="4" t="n">
        <v>2069.00</v>
      </c>
      <c r="D3561" s="4"/>
    </row>
    <row collapsed="" customFormat="false" customHeight="1" hidden="" ht="14" outlineLevel="0" r="3562">
      <c r="A3562" s="3" t="inlineStr">
        <is>
          <t>3531</t>
        </is>
      </c>
      <c r="B3562" s="4" t="s">
        <f>=HYPERLINK("http://anyluxury.ru/shop/odezhda/detskaya-odezhda/svitshot-uniseks-set-in-krasniy-melanzh-wu01w617/" , "WU01W617 Свитшот унисекс Set In, красный меланж, размер L")</f>
      </c>
      <c r="C3562" s="4" t="n">
        <v>2069.00</v>
      </c>
      <c r="D3562" s="4"/>
    </row>
    <row collapsed="" customFormat="false" customHeight="1" hidden="" ht="14" outlineLevel="0" r="3563">
      <c r="A3563" s="3" t="inlineStr">
        <is>
          <t>3532</t>
        </is>
      </c>
      <c r="B3563" s="4" t="s">
        <f>=HYPERLINK("http://anyluxury.ru/shop/odezhda/detskaya-odezhda/svitshot-uniseks-set-in-krasniy-melanzh-wu01w617/" , "WU01W617 Свитшот унисекс Set In, красный меланж, размер XL")</f>
      </c>
      <c r="C3563" s="4" t="n">
        <v>2069.00</v>
      </c>
      <c r="D3563" s="4"/>
    </row>
    <row collapsed="" customFormat="false" customHeight="1" hidden="" ht="14" outlineLevel="0" r="3564">
      <c r="A3564" s="3" t="inlineStr">
        <is>
          <t>3533</t>
        </is>
      </c>
      <c r="B3564" s="4" t="s">
        <f>=HYPERLINK("http://anyluxury.ru/shop/odezhda/detskaya-odezhda/svitshot-uniseks-set-in-krasniy-melanzh-wu01w617/" , "WU01W617 Свитшот унисекс Set In, красный меланж, размер XXL")</f>
      </c>
      <c r="C3564" s="4" t="n">
        <v>2069.00</v>
      </c>
      <c r="D3564" s="4"/>
    </row>
    <row collapsed="" customFormat="false" customHeight="1" hidden="" ht="14" outlineLevel="0" r="3565">
      <c r="A3565" s="3" t="inlineStr">
        <is>
          <t>3534</t>
        </is>
      </c>
      <c r="B3565" s="4" t="s">
        <f>=HYPERLINK("http://anyluxury.ru/shop/odezhda/detskaya-odezhda/svitshot-uniseks-set-in-krasniy-melanzh-wu01w617/" , "WU01W617 Свитшот унисекс Set In, красный меланж, размер 3XL")</f>
      </c>
      <c r="C3565" s="4" t="n">
        <v>2069.00</v>
      </c>
      <c r="D3565" s="4"/>
    </row>
    <row collapsed="" customFormat="false" customHeight="1" hidden="" ht="14" outlineLevel="0" r="3566">
      <c r="A3566" s="3" t="inlineStr">
        <is>
          <t>3535</t>
        </is>
      </c>
      <c r="B3566" s="4" t="s">
        <f>=HYPERLINK("http://anyluxury.ru/shop/odezhda/detskaya-odezhda/svitshot-uniseks-set-in-temnozeleniy-melanzh-wu01w618/" , "WU01W618 Свитшот унисекс Set In, темно-зеленый меланж, размер XS")</f>
      </c>
      <c r="C3566" s="4" t="n">
        <v>2069.00</v>
      </c>
      <c r="D3566" s="4"/>
    </row>
    <row collapsed="" customFormat="false" customHeight="1" hidden="" ht="14" outlineLevel="0" r="3567">
      <c r="A3567" s="3" t="inlineStr">
        <is>
          <t>3536</t>
        </is>
      </c>
      <c r="B3567" s="4" t="s">
        <f>=HYPERLINK("http://anyluxury.ru/shop/odezhda/detskaya-odezhda/svitshot-uniseks-set-in-temnozeleniy-melanzh-wu01w618/" , "WU01W618 Свитшот унисекс Set In, темно-зеленый меланж, размер XL")</f>
      </c>
      <c r="C3567" s="4" t="n">
        <v>2069.00</v>
      </c>
      <c r="D3567" s="4"/>
    </row>
    <row collapsed="" customFormat="false" customHeight="1" hidden="" ht="14" outlineLevel="0" r="3568">
      <c r="A3568" s="3" t="inlineStr">
        <is>
          <t>3537</t>
        </is>
      </c>
      <c r="B3568" s="4" t="s">
        <f>=HYPERLINK("http://anyluxury.ru/shop/odezhda/detskaya-odezhda/svitshot-uniseks-set-in-temnozeleniy-melanzh-wu01w618/" , "WU01W618 Свитшот унисекс Set In, темно-зеленый меланж, размер XXL")</f>
      </c>
      <c r="C3568" s="4" t="n">
        <v>2069.00</v>
      </c>
      <c r="D3568" s="4"/>
    </row>
    <row collapsed="" customFormat="false" customHeight="1" hidden="" ht="14" outlineLevel="0" r="3569">
      <c r="A3569" s="3" t="inlineStr">
        <is>
          <t>3538</t>
        </is>
      </c>
      <c r="B3569" s="4" t="s">
        <f>=HYPERLINK("http://anyluxury.ru/shop/odezhda/detskaya-odezhda/svitshot-uniseks-set-in-temnozeleniy-melanzh-wu01w618/" , "WU01W618 Свитшот унисекс Set In, темно-зеленый меланж, размер 3XL")</f>
      </c>
      <c r="C3569" s="4" t="n">
        <v>2069.00</v>
      </c>
      <c r="D3569" s="4"/>
    </row>
    <row collapsed="" customFormat="false" customHeight="1" hidden="" ht="14" outlineLevel="0" r="3570">
      <c r="A3570" s="3" t="inlineStr">
        <is>
          <t>3539</t>
        </is>
      </c>
      <c r="B3570" s="4" t="s">
        <f>=HYPERLINK("http://anyluxury.ru/shop/odezhda/detskaya-odezhda/svitshot-uniseks-set-in-seriy-melanzh-antracit-wu01w625/" , "WU01W625 Свитшот унисекс Set In, серый меланж (антрацит), размер XS")</f>
      </c>
      <c r="C3570" s="4" t="n">
        <v>2069.00</v>
      </c>
      <c r="D3570" s="4"/>
    </row>
    <row collapsed="" customFormat="false" customHeight="1" hidden="" ht="14" outlineLevel="0" r="3571">
      <c r="A3571" s="3" t="inlineStr">
        <is>
          <t>3540</t>
        </is>
      </c>
      <c r="B3571" s="4" t="s">
        <f>=HYPERLINK("http://anyluxury.ru/shop/odezhda/detskaya-odezhda/svitshot-uniseks-set-in-seriy-melanzh-antracit-wu01w625/" , "WU01W625 Свитшот унисекс Set In, серый меланж (антрацит), размер S")</f>
      </c>
      <c r="C3571" s="4" t="n">
        <v>2069.00</v>
      </c>
      <c r="D3571" s="4"/>
    </row>
    <row collapsed="" customFormat="false" customHeight="1" hidden="" ht="14" outlineLevel="0" r="3572">
      <c r="A3572" s="3" t="inlineStr">
        <is>
          <t>3541</t>
        </is>
      </c>
      <c r="B3572" s="4" t="s">
        <f>=HYPERLINK("http://anyluxury.ru/shop/odezhda/detskaya-odezhda/svitshot-uniseks-set-in-seriy-melanzh-antracit-wu01w625/" , "WU01W625 Свитшот унисекс Set In, серый меланж (антрацит), размер M")</f>
      </c>
      <c r="C3572" s="4" t="n">
        <v>2069.00</v>
      </c>
      <c r="D3572" s="4"/>
    </row>
    <row collapsed="" customFormat="false" customHeight="1" hidden="" ht="14" outlineLevel="0" r="3573">
      <c r="A3573" s="3" t="inlineStr">
        <is>
          <t>3542</t>
        </is>
      </c>
      <c r="B3573" s="4" t="s">
        <f>=HYPERLINK("http://anyluxury.ru/shop/odezhda/detskaya-odezhda/svitshot-uniseks-set-in-seriy-melanzh-antracit-wu01w625/" , "WU01W625 Свитшот унисекс Set In, серый меланж (антрацит), размер 3XL")</f>
      </c>
      <c r="C3573" s="4" t="n">
        <v>2069.00</v>
      </c>
      <c r="D3573" s="4"/>
    </row>
    <row collapsed="" customFormat="false" customHeight="1" hidden="" ht="14" outlineLevel="0" r="3574">
      <c r="A3574" s="3" t="inlineStr">
        <is>
          <t>3543</t>
        </is>
      </c>
      <c r="B3574" s="4" t="s">
        <f>=HYPERLINK("http://anyluxury.ru/shop/odezhda/detskaya-odezhda/svitshot-uniseks-set-in-dimchatoseriy-wu01w672/" , "WU01W672 Свитшот унисекс Set In, дымчато-серый, размер XS")</f>
      </c>
      <c r="C3574" s="4" t="n">
        <v>2069.00</v>
      </c>
      <c r="D3574" s="4"/>
    </row>
    <row collapsed="" customFormat="false" customHeight="1" hidden="" ht="14" outlineLevel="0" r="3575">
      <c r="A3575" s="3" t="inlineStr">
        <is>
          <t>3544</t>
        </is>
      </c>
      <c r="B3575" s="4" t="s">
        <f>=HYPERLINK("http://anyluxury.ru/shop/odezhda/detskaya-odezhda/svitshot-uniseks-set-in-dimchatoseriy-wu01w672/" , "WU01W672 Свитшот унисекс Set In, дымчато-серый, размер S")</f>
      </c>
      <c r="C3575" s="4" t="n">
        <v>2069.00</v>
      </c>
      <c r="D3575" s="4"/>
    </row>
    <row collapsed="" customFormat="false" customHeight="1" hidden="" ht="14" outlineLevel="0" r="3576">
      <c r="A3576" s="3" t="inlineStr">
        <is>
          <t>3545</t>
        </is>
      </c>
      <c r="B3576" s="4" t="s">
        <f>=HYPERLINK("http://anyluxury.ru/shop/odezhda/detskaya-odezhda/svitshot-uniseks-set-in-dimchatoseriy-wu01w672/" , "WU01W672 Свитшот унисекс Set In, дымчато-серый, размер M")</f>
      </c>
      <c r="C3576" s="4" t="n">
        <v>2069.00</v>
      </c>
      <c r="D3576" s="4"/>
    </row>
    <row collapsed="" customFormat="false" customHeight="1" hidden="" ht="14" outlineLevel="0" r="3577">
      <c r="A3577" s="3" t="inlineStr">
        <is>
          <t>3546</t>
        </is>
      </c>
      <c r="B3577" s="4" t="s">
        <f>=HYPERLINK("http://anyluxury.ru/shop/odezhda/detskaya-odezhda/svitshot-uniseks-set-in-dimchatoseriy-wu01w672/" , "WU01W672 Свитшот унисекс Set In, дымчато-серый, размер XXL")</f>
      </c>
      <c r="C3577" s="4" t="n">
        <v>2069.00</v>
      </c>
      <c r="D3577" s="4"/>
    </row>
    <row collapsed="" customFormat="false" customHeight="1" hidden="" ht="14" outlineLevel="0" r="3578">
      <c r="A3578" s="3" t="inlineStr">
        <is>
          <t>3547</t>
        </is>
      </c>
      <c r="B3578" s="4" t="s">
        <f>=HYPERLINK("http://anyluxury.ru/shop/odezhda/detskaya-odezhda/svitshot-uniseks-set-in-dimchatoseriy-wu01w672/" , "WU01W672 Свитшот унисекс Set In, дымчато-серый, размер 3XL")</f>
      </c>
      <c r="C3578" s="4" t="n">
        <v>2069.00</v>
      </c>
      <c r="D3578" s="4"/>
    </row>
    <row collapsed="" customFormat="false" customHeight="1" hidden="" ht="14" outlineLevel="0" r="3579">
      <c r="A3579" s="3" t="inlineStr">
        <is>
          <t>3548</t>
        </is>
      </c>
      <c r="B3579" s="4" t="s">
        <f>=HYPERLINK("http://anyluxury.ru/shop/odezhda/detskaya-odezhda/svitshot-zhenskiy-set-in-beliy-ww02w001/" , "WW02W001 Свитшот женский Set In, белый, размер XS")</f>
      </c>
      <c r="C3579" s="4" t="n">
        <v>2027.00</v>
      </c>
      <c r="D3579" s="4"/>
    </row>
    <row collapsed="" customFormat="false" customHeight="1" hidden="" ht="14" outlineLevel="0" r="3580">
      <c r="A3580" s="3" t="inlineStr">
        <is>
          <t>3549</t>
        </is>
      </c>
      <c r="B3580" s="4" t="s">
        <f>=HYPERLINK("http://anyluxury.ru/shop/odezhda/detskaya-odezhda/svitshot-zhenskiy-set-in-beliy-ww02w001/" , "WW02W001 Свитшот женский Set In, белый, размер L")</f>
      </c>
      <c r="C3580" s="4" t="n">
        <v>2027.00</v>
      </c>
      <c r="D3580" s="4"/>
    </row>
    <row collapsed="" customFormat="false" customHeight="1" hidden="" ht="14" outlineLevel="0" r="3581">
      <c r="A3581" s="3" t="inlineStr">
        <is>
          <t>3550</t>
        </is>
      </c>
      <c r="B3581" s="4" t="s">
        <f>=HYPERLINK("http://anyluxury.ru/shop/odezhda/detskaya-odezhda/svitshot-zhenskiy-set-in-beliy-ww02w001/" , "WW02W001 Свитшот женский Set In, белый, размер XL")</f>
      </c>
      <c r="C3581" s="4" t="n">
        <v>2027.00</v>
      </c>
      <c r="D3581" s="4"/>
    </row>
    <row collapsed="" customFormat="false" customHeight="1" hidden="" ht="14" outlineLevel="0" r="3582">
      <c r="A3582" s="3" t="inlineStr">
        <is>
          <t>3551</t>
        </is>
      </c>
      <c r="B3582" s="4" t="s">
        <f>=HYPERLINK("http://anyluxury.ru/shop/odezhda/detskaya-odezhda/svitshot-zhenskiy-set-in-beliy-ww02w001/" , "WW02W001 Свитшот женский Set In, белый, размер XXL")</f>
      </c>
      <c r="C3582" s="4" t="n">
        <v>2027.00</v>
      </c>
      <c r="D3582" s="4"/>
    </row>
    <row collapsed="" customFormat="false" customHeight="1" hidden="" ht="14" outlineLevel="0" r="3583">
      <c r="A3583" s="3" t="inlineStr">
        <is>
          <t>3552</t>
        </is>
      </c>
      <c r="B3583" s="4" t="s">
        <f>=HYPERLINK("http://anyluxury.ru/shop/odezhda/detskaya-odezhda/svitshot-zhenskiy-set-in-beliy-ww02w001/" , "WW02W001 Свитшот женский Set In, белый, размер 3XL")</f>
      </c>
      <c r="C3583" s="4" t="n">
        <v>2532.00</v>
      </c>
      <c r="D3583" s="4"/>
    </row>
    <row collapsed="" customFormat="false" customHeight="1" hidden="" ht="14" outlineLevel="0" r="3584">
      <c r="A3584" s="3" t="inlineStr">
        <is>
          <t>3553</t>
        </is>
      </c>
      <c r="B3584" s="4" t="s">
        <f>=HYPERLINK("http://anyluxury.ru/shop/odezhda/detskaya-odezhda/svitshot-zhenskiy-set-in-cherniy-ww02w005/" , "WW02W005 Свитшот женский Set In, черный, размер XS")</f>
      </c>
      <c r="C3584" s="4" t="n">
        <v>2027.00</v>
      </c>
      <c r="D3584" s="4"/>
    </row>
    <row collapsed="" customFormat="false" customHeight="1" hidden="" ht="14" outlineLevel="0" r="3585">
      <c r="A3585" s="3" t="inlineStr">
        <is>
          <t>3554</t>
        </is>
      </c>
      <c r="B3585" s="4" t="s">
        <f>=HYPERLINK("http://anyluxury.ru/shop/odezhda/detskaya-odezhda/svitshot-zhenskiy-set-in-cherniy-ww02w005/" , "WW02W005 Свитшот женский Set In, черный, размер XL")</f>
      </c>
      <c r="C3585" s="4" t="n">
        <v>2027.00</v>
      </c>
      <c r="D3585" s="4"/>
    </row>
    <row collapsed="" customFormat="false" customHeight="1" hidden="" ht="14" outlineLevel="0" r="3586">
      <c r="A3586" s="3" t="inlineStr">
        <is>
          <t>3555</t>
        </is>
      </c>
      <c r="B3586" s="4" t="s">
        <f>=HYPERLINK("http://anyluxury.ru/shop/odezhda/detskaya-odezhda/svitshot-zhenskiy-set-in-cherniy-ww02w005/" , "WW02W005 Свитшот женский Set In, черный, размер XXL")</f>
      </c>
      <c r="C3586" s="4" t="n">
        <v>2027.00</v>
      </c>
      <c r="D3586" s="4"/>
    </row>
    <row collapsed="" customFormat="false" customHeight="1" hidden="" ht="14" outlineLevel="0" r="3587">
      <c r="A3587" s="3" t="inlineStr">
        <is>
          <t>3556</t>
        </is>
      </c>
      <c r="B3587" s="4" t="s">
        <f>=HYPERLINK("http://anyluxury.ru/shop/odezhda/detskaya-odezhda/svitshot-zhenskiy-set-in-cherniy-ww02w005/" , "WW02W005 Свитшот женский Set In, черный, размер 3XL")</f>
      </c>
      <c r="C3587" s="4" t="n">
        <v>2532.00</v>
      </c>
      <c r="D3587" s="4"/>
    </row>
    <row collapsed="" customFormat="false" customHeight="1" hidden="" ht="14" outlineLevel="0" r="3588">
      <c r="A3588" s="3" t="inlineStr">
        <is>
          <t>3557</t>
        </is>
      </c>
      <c r="B3588" s="4" t="s">
        <f>=HYPERLINK("http://anyluxury.ru/shop/odezhda/detskaya-odezhda/svitshot-zhenskiy-set-in-temnosiniy-ww02w006/" , "WW02W006 Свитшот женский Set In, темно-синий, размер XS")</f>
      </c>
      <c r="C3588" s="4" t="n">
        <v>2027.00</v>
      </c>
      <c r="D3588" s="4"/>
    </row>
    <row collapsed="" customFormat="false" customHeight="1" hidden="" ht="14" outlineLevel="0" r="3589">
      <c r="A3589" s="3" t="inlineStr">
        <is>
          <t>3558</t>
        </is>
      </c>
      <c r="B3589" s="4" t="s">
        <f>=HYPERLINK("http://anyluxury.ru/shop/odezhda/detskaya-odezhda/svitshot-zhenskiy-set-in-temnosiniy-ww02w006/" , "WW02W006 Свитшот женский Set In, темно-синий, размер S")</f>
      </c>
      <c r="C3589" s="4" t="n">
        <v>2027.00</v>
      </c>
      <c r="D3589" s="4"/>
    </row>
    <row collapsed="" customFormat="false" customHeight="1" hidden="" ht="14" outlineLevel="0" r="3590">
      <c r="A3590" s="3" t="inlineStr">
        <is>
          <t>3559</t>
        </is>
      </c>
      <c r="B3590" s="4" t="s">
        <f>=HYPERLINK("http://anyluxury.ru/shop/odezhda/detskaya-odezhda/svitshot-zhenskiy-set-in-temnosiniy-ww02w006/" , "WW02W006 Свитшот женский Set In, темно-синий, размер M")</f>
      </c>
      <c r="C3590" s="4" t="n">
        <v>2027.00</v>
      </c>
      <c r="D3590" s="4"/>
    </row>
    <row collapsed="" customFormat="false" customHeight="1" hidden="" ht="14" outlineLevel="0" r="3591">
      <c r="A3591" s="3" t="inlineStr">
        <is>
          <t>3560</t>
        </is>
      </c>
      <c r="B3591" s="4" t="s">
        <f>=HYPERLINK("http://anyluxury.ru/shop/odezhda/detskaya-odezhda/svitshot-zhenskiy-set-in-temnosiniy-ww02w006/" , "WW02W006 Свитшот женский Set In, темно-синий, размер L")</f>
      </c>
      <c r="C3591" s="4" t="n">
        <v>2027.00</v>
      </c>
      <c r="D3591" s="4"/>
    </row>
    <row collapsed="" customFormat="false" customHeight="1" hidden="" ht="14" outlineLevel="0" r="3592">
      <c r="A3592" s="3" t="inlineStr">
        <is>
          <t>3561</t>
        </is>
      </c>
      <c r="B3592" s="4" t="s">
        <f>=HYPERLINK("http://anyluxury.ru/shop/odezhda/detskaya-odezhda/svitshot-zhenskiy-set-in-temnosiniy-ww02w006/" , "WW02W006 Свитшот женский Set In, темно-синий, размер XL")</f>
      </c>
      <c r="C3592" s="4" t="n">
        <v>2027.00</v>
      </c>
      <c r="D3592" s="4"/>
    </row>
    <row collapsed="" customFormat="false" customHeight="1" hidden="" ht="14" outlineLevel="0" r="3593">
      <c r="A3593" s="3" t="inlineStr">
        <is>
          <t>3562</t>
        </is>
      </c>
      <c r="B3593" s="4" t="s">
        <f>=HYPERLINK("http://anyluxury.ru/shop/odezhda/detskaya-odezhda/svitshot-zhenskiy-set-in-temnosiniy-ww02w006/" , "WW02W006 Свитшот женский Set In, темно-синий, размер XXL")</f>
      </c>
      <c r="C3593" s="4" t="n">
        <v>2027.00</v>
      </c>
      <c r="D3593" s="4"/>
    </row>
    <row collapsed="" customFormat="false" customHeight="1" hidden="" ht="14" outlineLevel="0" r="3594">
      <c r="A3594" s="3" t="inlineStr">
        <is>
          <t>3563</t>
        </is>
      </c>
      <c r="B3594" s="4" t="s">
        <f>=HYPERLINK("http://anyluxury.ru/shop/odezhda/detskaya-odezhda/svitshot-zhenskiy-set-in-temnosiniy-ww02w006/" , "WW02W006 Свитшот женский Set In, темно-синий, размер 3XL")</f>
      </c>
      <c r="C3594" s="4" t="n">
        <v>2532.00</v>
      </c>
      <c r="D3594" s="4"/>
    </row>
    <row collapsed="" customFormat="false" customHeight="1" hidden="" ht="14" outlineLevel="0" r="3595">
      <c r="A3595" s="3" t="inlineStr">
        <is>
          <t>3564</t>
        </is>
      </c>
      <c r="B3595" s="4" t="s">
        <f>=HYPERLINK("http://anyluxury.ru/shop/odezhda/detskaya-odezhda/svitshot-zhenskiy-set-in-bezheviy-ww02w123/" , "WW02W123 Свитшот женский Set In, бежевый, размер XS")</f>
      </c>
      <c r="C3595" s="4" t="n">
        <v>2027.00</v>
      </c>
      <c r="D3595" s="4"/>
    </row>
    <row collapsed="" customFormat="false" customHeight="1" hidden="" ht="14" outlineLevel="0" r="3596">
      <c r="A3596" s="3" t="inlineStr">
        <is>
          <t>3565</t>
        </is>
      </c>
      <c r="B3596" s="4" t="s">
        <f>=HYPERLINK("http://anyluxury.ru/shop/odezhda/detskaya-odezhda/svitshot-zhenskiy-set-in-bezheviy-ww02w123/" , "WW02W123 Свитшот женский Set In, бежевый, размер XL")</f>
      </c>
      <c r="C3596" s="4" t="n">
        <v>2027.00</v>
      </c>
      <c r="D3596" s="4"/>
    </row>
    <row collapsed="" customFormat="false" customHeight="1" hidden="" ht="14" outlineLevel="0" r="3597">
      <c r="A3597" s="3" t="inlineStr">
        <is>
          <t>3566</t>
        </is>
      </c>
      <c r="B3597" s="4" t="s">
        <f>=HYPERLINK("http://anyluxury.ru/shop/odezhda/detskaya-odezhda/svitshot-zhenskiy-set-in-bezheviy-ww02w123/" , "WW02W123 Свитшот женский Set In, бежевый, размер XXL")</f>
      </c>
      <c r="C3597" s="4" t="n">
        <v>2027.00</v>
      </c>
      <c r="D3597" s="4"/>
    </row>
    <row collapsed="" customFormat="false" customHeight="1" hidden="" ht="14" outlineLevel="0" r="3598">
      <c r="A3598" s="3" t="inlineStr">
        <is>
          <t>3567</t>
        </is>
      </c>
      <c r="B3598" s="4" t="s">
        <f>=HYPERLINK("http://anyluxury.ru/shop/odezhda/detskaya-odezhda/svitshot-zhenskiy-set-in-svetlozheltiy-ww02w199/" , "WW02W199 Свитшот женский Set In, светло-желтый, размер XS")</f>
      </c>
      <c r="C3598" s="4" t="n">
        <v>2027.00</v>
      </c>
      <c r="D3598" s="4"/>
    </row>
    <row collapsed="" customFormat="false" customHeight="1" hidden="" ht="14" outlineLevel="0" r="3599">
      <c r="A3599" s="3" t="inlineStr">
        <is>
          <t>3568</t>
        </is>
      </c>
      <c r="B3599" s="4" t="s">
        <f>=HYPERLINK("http://anyluxury.ru/shop/odezhda/detskaya-odezhda/svitshot-zhenskiy-set-in-svetlozheltiy-ww02w199/" , "WW02W199 Свитшот женский Set In, светло-желтый, размер S")</f>
      </c>
      <c r="C3599" s="4" t="n">
        <v>2027.00</v>
      </c>
      <c r="D3599" s="4"/>
    </row>
    <row collapsed="" customFormat="false" customHeight="1" hidden="" ht="14" outlineLevel="0" r="3600">
      <c r="A3600" s="3" t="inlineStr">
        <is>
          <t>3569</t>
        </is>
      </c>
      <c r="B3600" s="4" t="s">
        <f>=HYPERLINK("http://anyluxury.ru/shop/odezhda/detskaya-odezhda/svitshot-zhenskiy-set-in-svetlozheltiy-ww02w199/" , "WW02W199 Свитшот женский Set In, светло-желтый, размер M")</f>
      </c>
      <c r="C3600" s="4" t="n">
        <v>2027.00</v>
      </c>
      <c r="D3600" s="4"/>
    </row>
    <row collapsed="" customFormat="false" customHeight="1" hidden="" ht="14" outlineLevel="0" r="3601">
      <c r="A3601" s="3" t="inlineStr">
        <is>
          <t>3570</t>
        </is>
      </c>
      <c r="B3601" s="4" t="s">
        <f>=HYPERLINK("http://anyluxury.ru/shop/odezhda/detskaya-odezhda/svitshot-zhenskiy-set-in-svetlozheltiy-ww02w199/" , "WW02W199 Свитшот женский Set In, светло-желтый, размер L")</f>
      </c>
      <c r="C3601" s="4" t="n">
        <v>2027.00</v>
      </c>
      <c r="D3601" s="4"/>
    </row>
    <row collapsed="" customFormat="false" customHeight="1" hidden="" ht="14" outlineLevel="0" r="3602">
      <c r="A3602" s="3" t="inlineStr">
        <is>
          <t>3571</t>
        </is>
      </c>
      <c r="B3602" s="4" t="s">
        <f>=HYPERLINK("http://anyluxury.ru/shop/odezhda/detskaya-odezhda/svitshot-zhenskiy-set-in-svetlozheltiy-ww02w199/" , "WW02W199 Свитшот женский Set In, светло-желтый, размер XL")</f>
      </c>
      <c r="C3602" s="4" t="n">
        <v>2027.00</v>
      </c>
      <c r="D3602" s="4"/>
    </row>
    <row collapsed="" customFormat="false" customHeight="1" hidden="" ht="14" outlineLevel="0" r="3603">
      <c r="A3603" s="3" t="inlineStr">
        <is>
          <t>3572</t>
        </is>
      </c>
      <c r="B3603" s="4" t="s">
        <f>=HYPERLINK("http://anyluxury.ru/shop/odezhda/detskaya-odezhda/svitshot-zhenskiy-set-in-svetlozheltiy-ww02w199/" , "WW02W199 Свитшот женский Set In, светло-желтый, размер XXL")</f>
      </c>
      <c r="C3603" s="4" t="n">
        <v>2027.00</v>
      </c>
      <c r="D3603" s="4"/>
    </row>
    <row collapsed="" customFormat="false" customHeight="1" hidden="" ht="14" outlineLevel="0" r="3604">
      <c r="A3604" s="3" t="inlineStr">
        <is>
          <t>3573</t>
        </is>
      </c>
      <c r="B3604" s="4" t="s">
        <f>=HYPERLINK("http://anyluxury.ru/shop/odezhda/detskaya-odezhda/svitshot-zhenskiy-set-in-zheltiy-ww02w201/" , "WW02W201 Свитшот женский Set In, желтый, размер XS")</f>
      </c>
      <c r="C3604" s="4" t="n">
        <v>2027.00</v>
      </c>
      <c r="D3604" s="4"/>
    </row>
    <row collapsed="" customFormat="false" customHeight="1" hidden="" ht="14" outlineLevel="0" r="3605">
      <c r="A3605" s="3" t="inlineStr">
        <is>
          <t>3574</t>
        </is>
      </c>
      <c r="B3605" s="4" t="s">
        <f>=HYPERLINK("http://anyluxury.ru/shop/odezhda/detskaya-odezhda/svitshot-zhenskiy-set-in-zheltiy-ww02w201/" , "WW02W201 Свитшот женский Set In, желтый, размер M")</f>
      </c>
      <c r="C3605" s="4" t="n">
        <v>2027.00</v>
      </c>
      <c r="D3605" s="4"/>
    </row>
    <row collapsed="" customFormat="false" customHeight="1" hidden="" ht="14" outlineLevel="0" r="3606">
      <c r="A3606" s="3" t="inlineStr">
        <is>
          <t>3575</t>
        </is>
      </c>
      <c r="B3606" s="4" t="s">
        <f>=HYPERLINK("http://anyluxury.ru/shop/odezhda/detskaya-odezhda/svitshot-zhenskiy-set-in-zheltiy-ww02w201/" , "WW02W201 Свитшот женский Set In, желтый, размер XXL")</f>
      </c>
      <c r="C3606" s="4" t="n">
        <v>2027.00</v>
      </c>
      <c r="D3606" s="4"/>
    </row>
    <row collapsed="" customFormat="false" customHeight="1" hidden="" ht="14" outlineLevel="0" r="3607">
      <c r="A3607" s="3" t="inlineStr">
        <is>
          <t>3576</t>
        </is>
      </c>
      <c r="B3607" s="4" t="s">
        <f>=HYPERLINK("http://anyluxury.ru/shop/odezhda/detskaya-odezhda/svitshot-zhenskiy-set-in-bezheviy-nude-ww02w307/" , "WW02W307 Свитшот женский Set In, бежевый (nude), размер XS")</f>
      </c>
      <c r="C3607" s="4" t="n">
        <v>2027.00</v>
      </c>
      <c r="D3607" s="4"/>
    </row>
    <row collapsed="" customFormat="false" customHeight="1" hidden="" ht="14" outlineLevel="0" r="3608">
      <c r="A3608" s="3" t="inlineStr">
        <is>
          <t>3577</t>
        </is>
      </c>
      <c r="B3608" s="4" t="s">
        <f>=HYPERLINK("http://anyluxury.ru/shop/odezhda/detskaya-odezhda/svitshot-zhenskiy-set-in-bezheviy-nude-ww02w307/" , "WW02W307 Свитшот женский Set In, бежевый (nude), размер S")</f>
      </c>
      <c r="C3608" s="4" t="n">
        <v>2027.00</v>
      </c>
      <c r="D3608" s="4"/>
    </row>
    <row collapsed="" customFormat="false" customHeight="1" hidden="" ht="14" outlineLevel="0" r="3609">
      <c r="A3609" s="3" t="inlineStr">
        <is>
          <t>3578</t>
        </is>
      </c>
      <c r="B3609" s="4" t="s">
        <f>=HYPERLINK("http://anyluxury.ru/shop/odezhda/detskaya-odezhda/svitshot-zhenskiy-set-in-bezheviy-nude-ww02w307/" , "WW02W307 Свитшот женский Set In, бежевый (nude), размер L")</f>
      </c>
      <c r="C3609" s="4" t="n">
        <v>2027.00</v>
      </c>
      <c r="D3609" s="4"/>
    </row>
    <row collapsed="" customFormat="false" customHeight="1" hidden="" ht="14" outlineLevel="0" r="3610">
      <c r="A3610" s="3" t="inlineStr">
        <is>
          <t>3579</t>
        </is>
      </c>
      <c r="B3610" s="4" t="s">
        <f>=HYPERLINK("http://anyluxury.ru/shop/odezhda/detskaya-odezhda/svitshot-zhenskiy-set-in-bezheviy-nude-ww02w307/" , "WW02W307 Свитшот женский Set In, бежевый (nude), размер XL")</f>
      </c>
      <c r="C3610" s="4" t="n">
        <v>2027.00</v>
      </c>
      <c r="D3610" s="4"/>
    </row>
    <row collapsed="" customFormat="false" customHeight="1" hidden="" ht="14" outlineLevel="0" r="3611">
      <c r="A3611" s="3" t="inlineStr">
        <is>
          <t>3580</t>
        </is>
      </c>
      <c r="B3611" s="4" t="s">
        <f>=HYPERLINK("http://anyluxury.ru/shop/odezhda/detskaya-odezhda/svitshot-zhenskiy-set-in-bezheviy-nude-ww02w307/" , "WW02W307 Свитшот женский Set In, бежевый (nude), размер XXL")</f>
      </c>
      <c r="C3611" s="4" t="n">
        <v>2027.00</v>
      </c>
      <c r="D3611" s="4"/>
    </row>
    <row collapsed="" customFormat="false" customHeight="1" hidden="" ht="14" outlineLevel="0" r="3612">
      <c r="A3612" s="3" t="inlineStr">
        <is>
          <t>3581</t>
        </is>
      </c>
      <c r="B3612" s="4" t="s">
        <f>=HYPERLINK("http://anyluxury.ru/shop/odezhda/detskaya-odezhda/svitshot-zhenskiy-set-in-sireneviy-ww02w331/" , "WW02W331 Свитшот женский Set In, сиреневый, размер XS")</f>
      </c>
      <c r="C3612" s="4" t="n">
        <v>2027.00</v>
      </c>
      <c r="D3612" s="4"/>
    </row>
    <row collapsed="" customFormat="false" customHeight="1" hidden="" ht="14" outlineLevel="0" r="3613">
      <c r="A3613" s="3" t="inlineStr">
        <is>
          <t>3582</t>
        </is>
      </c>
      <c r="B3613" s="4" t="s">
        <f>=HYPERLINK("http://anyluxury.ru/shop/odezhda/detskaya-odezhda/svitshot-zhenskiy-set-in-sireneviy-ww02w331/" , "WW02W331 Свитшот женский Set In, сиреневый, размер M")</f>
      </c>
      <c r="C3613" s="4" t="n">
        <v>2027.00</v>
      </c>
      <c r="D3613" s="4"/>
    </row>
    <row collapsed="" customFormat="false" customHeight="1" hidden="" ht="14" outlineLevel="0" r="3614">
      <c r="A3614" s="3" t="inlineStr">
        <is>
          <t>3583</t>
        </is>
      </c>
      <c r="B3614" s="4" t="s">
        <f>=HYPERLINK("http://anyluxury.ru/shop/odezhda/detskaya-odezhda/svitshot-zhenskiy-set-in-sireneviy-ww02w331/" , "WW02W331 Свитшот женский Set In, сиреневый, размер L")</f>
      </c>
      <c r="C3614" s="4" t="n">
        <v>2027.00</v>
      </c>
      <c r="D3614" s="4"/>
    </row>
    <row collapsed="" customFormat="false" customHeight="1" hidden="" ht="14" outlineLevel="0" r="3615">
      <c r="A3615" s="3" t="inlineStr">
        <is>
          <t>3584</t>
        </is>
      </c>
      <c r="B3615" s="4" t="s">
        <f>=HYPERLINK("http://anyluxury.ru/shop/odezhda/detskaya-odezhda/svitshot-zhenskiy-set-in-sireneviy-ww02w331/" , "WW02W331 Свитшот женский Set In, сиреневый, размер XL")</f>
      </c>
      <c r="C3615" s="4" t="n">
        <v>2027.00</v>
      </c>
      <c r="D3615" s="4"/>
    </row>
    <row collapsed="" customFormat="false" customHeight="1" hidden="" ht="14" outlineLevel="0" r="3616">
      <c r="A3616" s="3" t="inlineStr">
        <is>
          <t>3585</t>
        </is>
      </c>
      <c r="B3616" s="4" t="s">
        <f>=HYPERLINK("http://anyluxury.ru/shop/odezhda/detskaya-odezhda/svitshot-zhenskiy-set-in-liloviy-ww02w339/" , "WW02W339 Свитшот женский Set In, лиловый, размер XS")</f>
      </c>
      <c r="C3616" s="4" t="n">
        <v>2027.00</v>
      </c>
      <c r="D3616" s="4"/>
    </row>
    <row collapsed="" customFormat="false" customHeight="1" hidden="" ht="14" outlineLevel="0" r="3617">
      <c r="A3617" s="3" t="inlineStr">
        <is>
          <t>3586</t>
        </is>
      </c>
      <c r="B3617" s="4" t="s">
        <f>=HYPERLINK("http://anyluxury.ru/shop/odezhda/detskaya-odezhda/svitshot-zhenskiy-set-in-liloviy-ww02w339/" , "WW02W339 Свитшот женский Set In, лиловый, размер S")</f>
      </c>
      <c r="C3617" s="4" t="n">
        <v>2027.00</v>
      </c>
      <c r="D3617" s="4"/>
    </row>
    <row collapsed="" customFormat="false" customHeight="1" hidden="" ht="14" outlineLevel="0" r="3618">
      <c r="A3618" s="3" t="inlineStr">
        <is>
          <t>3587</t>
        </is>
      </c>
      <c r="B3618" s="4" t="s">
        <f>=HYPERLINK("http://anyluxury.ru/shop/odezhda/detskaya-odezhda/svitshot-zhenskiy-set-in-liloviy-ww02w339/" , "WW02W339 Свитшот женский Set In, лиловый, размер XXL")</f>
      </c>
      <c r="C3618" s="4" t="n">
        <v>2027.00</v>
      </c>
      <c r="D3618" s="4"/>
    </row>
    <row collapsed="" customFormat="false" customHeight="1" hidden="" ht="14" outlineLevel="0" r="3619">
      <c r="A3619" s="3" t="inlineStr">
        <is>
          <t>3588</t>
        </is>
      </c>
      <c r="B3619" s="4" t="s">
        <f>=HYPERLINK("http://anyluxury.ru/shop/odezhda/detskaya-odezhda/svitshot-zhenskiy-set-in-seriy-melanzh-ww02w610/" , "WW02W610 Свитшот женский Set In, серый меланж, размер XS")</f>
      </c>
      <c r="C3619" s="4" t="n">
        <v>2027.00</v>
      </c>
      <c r="D3619" s="4"/>
    </row>
    <row collapsed="" customFormat="false" customHeight="1" hidden="" ht="14" outlineLevel="0" r="3620">
      <c r="A3620" s="3" t="inlineStr">
        <is>
          <t>3589</t>
        </is>
      </c>
      <c r="B3620" s="4" t="s">
        <f>=HYPERLINK("http://anyluxury.ru/shop/odezhda/detskaya-odezhda/svitshot-zhenskiy-set-in-seriy-melanzh-ww02w610/" , "WW02W610 Свитшот женский Set In, серый меланж, размер L")</f>
      </c>
      <c r="C3620" s="4" t="n">
        <v>2027.00</v>
      </c>
      <c r="D3620" s="4"/>
    </row>
    <row collapsed="" customFormat="false" customHeight="1" hidden="" ht="14" outlineLevel="0" r="3621">
      <c r="A3621" s="3" t="inlineStr">
        <is>
          <t>3590</t>
        </is>
      </c>
      <c r="B3621" s="4" t="s">
        <f>=HYPERLINK("http://anyluxury.ru/shop/odezhda/detskaya-odezhda/svitshot-zhenskiy-set-in-seriy-melanzh-ww02w610/" , "WW02W610 Свитшот женский Set In, серый меланж, размер XL")</f>
      </c>
      <c r="C3621" s="4" t="n">
        <v>2027.00</v>
      </c>
      <c r="D3621" s="4"/>
    </row>
    <row collapsed="" customFormat="false" customHeight="1" hidden="" ht="14" outlineLevel="0" r="3622">
      <c r="A3622" s="3" t="inlineStr">
        <is>
          <t>3591</t>
        </is>
      </c>
      <c r="B3622" s="4" t="s">
        <f>=HYPERLINK("http://anyluxury.ru/shop/odezhda/detskaya-odezhda/svitshot-zhenskiy-set-in-seriy-melanzh-ww02w610/" , "WW02W610 Свитшот женский Set In, серый меланж, размер XXL")</f>
      </c>
      <c r="C3622" s="4" t="n">
        <v>2027.00</v>
      </c>
      <c r="D3622" s="4"/>
    </row>
    <row collapsed="" customFormat="false" customHeight="1" hidden="" ht="14" outlineLevel="0" r="3623">
      <c r="A3623" s="3" t="inlineStr">
        <is>
          <t>3592</t>
        </is>
      </c>
      <c r="B3623" s="4" t="s">
        <f>=HYPERLINK("http://anyluxury.ru/shop/odezhda/detskaya-odezhda/svitshot-zhenskiy-set-in-seriy-melanzh-ww02w610/" , "WW02W610 Свитшот женский Set In, серый меланж, размер 3XL")</f>
      </c>
      <c r="C3623" s="4" t="n">
        <v>2532.00</v>
      </c>
      <c r="D3623" s="4"/>
    </row>
    <row collapsed="" customFormat="false" customHeight="1" hidden="" ht="14" outlineLevel="0" r="3624">
      <c r="A3624" s="3" t="inlineStr">
        <is>
          <t>3593</t>
        </is>
      </c>
      <c r="B3624" s="4" t="s">
        <f>=HYPERLINK("http://anyluxury.ru/shop/odezhda/detskaya-odezhda/svitshot-zhenskiy-set-in-siniy-melanzh-ww02w611/" , "WW02W611 Свитшот женский Set In, синий меланж, размер XS")</f>
      </c>
      <c r="C3624" s="4" t="n">
        <v>2027.00</v>
      </c>
      <c r="D3624" s="4"/>
    </row>
    <row collapsed="" customFormat="false" customHeight="1" hidden="" ht="14" outlineLevel="0" r="3625">
      <c r="A3625" s="3" t="inlineStr">
        <is>
          <t>3594</t>
        </is>
      </c>
      <c r="B3625" s="4" t="s">
        <f>=HYPERLINK("http://anyluxury.ru/shop/odezhda/detskaya-odezhda/svitshot-zhenskiy-set-in-siniy-melanzh-ww02w611/" , "WW02W611 Свитшот женский Set In, синий меланж, размер S")</f>
      </c>
      <c r="C3625" s="4" t="n">
        <v>2027.00</v>
      </c>
      <c r="D3625" s="4"/>
    </row>
    <row collapsed="" customFormat="false" customHeight="1" hidden="" ht="14" outlineLevel="0" r="3626">
      <c r="A3626" s="3" t="inlineStr">
        <is>
          <t>3595</t>
        </is>
      </c>
      <c r="B3626" s="4" t="s">
        <f>=HYPERLINK("http://anyluxury.ru/shop/odezhda/detskaya-odezhda/svitshot-zhenskiy-set-in-siniy-melanzh-ww02w611/" , "WW02W611 Свитшот женский Set In, синий меланж, размер M")</f>
      </c>
      <c r="C3626" s="4" t="n">
        <v>2027.00</v>
      </c>
      <c r="D3626" s="4"/>
    </row>
    <row collapsed="" customFormat="false" customHeight="1" hidden="" ht="14" outlineLevel="0" r="3627">
      <c r="A3627" s="3" t="inlineStr">
        <is>
          <t>3596</t>
        </is>
      </c>
      <c r="B3627" s="4" t="s">
        <f>=HYPERLINK("http://anyluxury.ru/shop/odezhda/detskaya-odezhda/svitshot-zhenskiy-set-in-siniy-melanzh-ww02w611/" , "WW02W611 Свитшот женский Set In, синий меланж, размер L")</f>
      </c>
      <c r="C3627" s="4" t="n">
        <v>2027.00</v>
      </c>
      <c r="D3627" s="4"/>
    </row>
    <row collapsed="" customFormat="false" customHeight="1" hidden="" ht="14" outlineLevel="0" r="3628">
      <c r="A3628" s="3" t="inlineStr">
        <is>
          <t>3597</t>
        </is>
      </c>
      <c r="B3628" s="4" t="s">
        <f>=HYPERLINK("http://anyluxury.ru/shop/odezhda/detskaya-odezhda/svitshot-zhenskiy-set-in-siniy-melanzh-ww02w611/" , "WW02W611 Свитшот женский Set In, синий меланж, размер XL")</f>
      </c>
      <c r="C3628" s="4" t="n">
        <v>2027.00</v>
      </c>
      <c r="D3628" s="4"/>
    </row>
    <row collapsed="" customFormat="false" customHeight="1" hidden="" ht="14" outlineLevel="0" r="3629">
      <c r="A3629" s="3" t="inlineStr">
        <is>
          <t>3598</t>
        </is>
      </c>
      <c r="B3629" s="4" t="s">
        <f>=HYPERLINK("http://anyluxury.ru/shop/odezhda/detskaya-odezhda/svitshot-zhenskiy-set-in-siniy-melanzh-ww02w611/" , "WW02W611 Свитшот женский Set In, синий меланж, размер XXL")</f>
      </c>
      <c r="C3629" s="4" t="n">
        <v>2027.00</v>
      </c>
      <c r="D3629" s="4"/>
    </row>
    <row collapsed="" customFormat="false" customHeight="1" hidden="" ht="14" outlineLevel="0" r="3630">
      <c r="A3630" s="3" t="inlineStr">
        <is>
          <t>3599</t>
        </is>
      </c>
      <c r="B3630" s="4" t="s">
        <f>=HYPERLINK("http://anyluxury.ru/shop/odezhda/detskaya-odezhda/svitshot-zhenskiy-set-in-yarkosiniy-melanzh-ww02w612/" , "WW02W612 Свитшот женский Set In, ярко-синий меланж, размер XS")</f>
      </c>
      <c r="C3630" s="4" t="n">
        <v>2027.00</v>
      </c>
      <c r="D3630" s="4"/>
    </row>
    <row collapsed="" customFormat="false" customHeight="1" hidden="" ht="14" outlineLevel="0" r="3631">
      <c r="A3631" s="3" t="inlineStr">
        <is>
          <t>3600</t>
        </is>
      </c>
      <c r="B3631" s="4" t="s">
        <f>=HYPERLINK("http://anyluxury.ru/shop/odezhda/detskaya-odezhda/svitshot-zhenskiy-set-in-yarkosiniy-melanzh-ww02w612/" , "WW02W612 Свитшот женский Set In, ярко-синий меланж, размер S")</f>
      </c>
      <c r="C3631" s="4" t="n">
        <v>2027.00</v>
      </c>
      <c r="D3631" s="4"/>
    </row>
    <row collapsed="" customFormat="false" customHeight="1" hidden="" ht="14" outlineLevel="0" r="3632">
      <c r="A3632" s="3" t="inlineStr">
        <is>
          <t>3601</t>
        </is>
      </c>
      <c r="B3632" s="4" t="s">
        <f>=HYPERLINK("http://anyluxury.ru/shop/odezhda/detskaya-odezhda/svitshot-zhenskiy-set-in-yarkosiniy-melanzh-ww02w612/" , "WW02W612 Свитшот женский Set In, ярко-синий меланж, размер M")</f>
      </c>
      <c r="C3632" s="4" t="n">
        <v>2027.00</v>
      </c>
      <c r="D3632" s="4"/>
    </row>
    <row collapsed="" customFormat="false" customHeight="1" hidden="" ht="14" outlineLevel="0" r="3633">
      <c r="A3633" s="3" t="inlineStr">
        <is>
          <t>3602</t>
        </is>
      </c>
      <c r="B3633" s="4" t="s">
        <f>=HYPERLINK("http://anyluxury.ru/shop/odezhda/detskaya-odezhda/svitshot-zhenskiy-set-in-yarkosiniy-melanzh-ww02w612/" , "WW02W612 Свитшот женский Set In, ярко-синий меланж, размер L")</f>
      </c>
      <c r="C3633" s="4" t="n">
        <v>2027.00</v>
      </c>
      <c r="D3633" s="4"/>
    </row>
    <row collapsed="" customFormat="false" customHeight="1" hidden="" ht="14" outlineLevel="0" r="3634">
      <c r="A3634" s="3" t="inlineStr">
        <is>
          <t>3603</t>
        </is>
      </c>
      <c r="B3634" s="4" t="s">
        <f>=HYPERLINK("http://anyluxury.ru/shop/odezhda/detskaya-odezhda/svitshot-zhenskiy-set-in-yarkosiniy-melanzh-ww02w612/" , "WW02W612 Свитшот женский Set In, ярко-синий меланж, размер XL")</f>
      </c>
      <c r="C3634" s="4" t="n">
        <v>2027.00</v>
      </c>
      <c r="D3634" s="4"/>
    </row>
    <row collapsed="" customFormat="false" customHeight="1" hidden="" ht="14" outlineLevel="0" r="3635">
      <c r="A3635" s="3" t="inlineStr">
        <is>
          <t>3604</t>
        </is>
      </c>
      <c r="B3635" s="4" t="s">
        <f>=HYPERLINK("http://anyluxury.ru/shop/odezhda/detskaya-odezhda/svitshot-zhenskiy-set-in-yarkosiniy-melanzh-ww02w612/" , "WW02W612 Свитшот женский Set In, ярко-синий меланж, размер XXL")</f>
      </c>
      <c r="C3635" s="4" t="n">
        <v>2027.00</v>
      </c>
      <c r="D3635" s="4"/>
    </row>
    <row collapsed="" customFormat="false" customHeight="1" hidden="" ht="14" outlineLevel="0" r="3636">
      <c r="A3636" s="3" t="inlineStr">
        <is>
          <t>3605</t>
        </is>
      </c>
      <c r="B3636" s="4" t="s">
        <f>=HYPERLINK("http://anyluxury.ru/shop/odezhda/detskaya-odezhda/svitshot-zhenskiy-set-in-fioletoviy-melanzh-ww02w616/" , "WW02W616 Свитшот женский Set In, фиолетовый меланж, размер XS")</f>
      </c>
      <c r="C3636" s="4" t="n">
        <v>2027.00</v>
      </c>
      <c r="D3636" s="4"/>
    </row>
    <row collapsed="" customFormat="false" customHeight="1" hidden="" ht="14" outlineLevel="0" r="3637">
      <c r="A3637" s="3" t="inlineStr">
        <is>
          <t>3606</t>
        </is>
      </c>
      <c r="B3637" s="4" t="s">
        <f>=HYPERLINK("http://anyluxury.ru/shop/odezhda/detskaya-odezhda/svitshot-zhenskiy-set-in-fioletoviy-melanzh-ww02w616/" , "WW02W616 Свитшот женский Set In, фиолетовый меланж, размер S")</f>
      </c>
      <c r="C3637" s="4" t="n">
        <v>2027.00</v>
      </c>
      <c r="D3637" s="4"/>
    </row>
    <row collapsed="" customFormat="false" customHeight="1" hidden="" ht="14" outlineLevel="0" r="3638">
      <c r="A3638" s="3" t="inlineStr">
        <is>
          <t>3607</t>
        </is>
      </c>
      <c r="B3638" s="4" t="s">
        <f>=HYPERLINK("http://anyluxury.ru/shop/odezhda/detskaya-odezhda/svitshot-zhenskiy-set-in-fioletoviy-melanzh-ww02w616/" , "WW02W616 Свитшот женский Set In, фиолетовый меланж, размер M")</f>
      </c>
      <c r="C3638" s="4" t="n">
        <v>2027.00</v>
      </c>
      <c r="D3638" s="4"/>
    </row>
    <row collapsed="" customFormat="false" customHeight="1" hidden="" ht="14" outlineLevel="0" r="3639">
      <c r="A3639" s="3" t="inlineStr">
        <is>
          <t>3608</t>
        </is>
      </c>
      <c r="B3639" s="4" t="s">
        <f>=HYPERLINK("http://anyluxury.ru/shop/odezhda/detskaya-odezhda/svitshot-zhenskiy-set-in-fioletoviy-melanzh-ww02w616/" , "WW02W616 Свитшот женский Set In, фиолетовый меланж, размер L")</f>
      </c>
      <c r="C3639" s="4" t="n">
        <v>2027.00</v>
      </c>
      <c r="D3639" s="4"/>
    </row>
    <row collapsed="" customFormat="false" customHeight="1" hidden="" ht="14" outlineLevel="0" r="3640">
      <c r="A3640" s="3" t="inlineStr">
        <is>
          <t>3609</t>
        </is>
      </c>
      <c r="B3640" s="4" t="s">
        <f>=HYPERLINK("http://anyluxury.ru/shop/odezhda/detskaya-odezhda/svitshot-zhenskiy-set-in-fioletoviy-melanzh-ww02w616/" , "WW02W616 Свитшот женский Set In, фиолетовый меланж, размер XL")</f>
      </c>
      <c r="C3640" s="4" t="n">
        <v>2027.00</v>
      </c>
      <c r="D3640" s="4"/>
    </row>
    <row collapsed="" customFormat="false" customHeight="1" hidden="" ht="14" outlineLevel="0" r="3641">
      <c r="A3641" s="3" t="inlineStr">
        <is>
          <t>3610</t>
        </is>
      </c>
      <c r="B3641" s="4" t="s">
        <f>=HYPERLINK("http://anyluxury.ru/shop/odezhda/detskaya-odezhda/svitshot-zhenskiy-set-in-fioletoviy-melanzh-ww02w616/" , "WW02W616 Свитшот женский Set In, фиолетовый меланж, размер XXL")</f>
      </c>
      <c r="C3641" s="4" t="n">
        <v>2027.00</v>
      </c>
      <c r="D3641" s="4"/>
    </row>
    <row collapsed="" customFormat="false" customHeight="1" hidden="" ht="14" outlineLevel="0" r="3642">
      <c r="A3642" s="3" t="inlineStr">
        <is>
          <t>3611</t>
        </is>
      </c>
      <c r="B3642" s="4" t="s">
        <f>=HYPERLINK("http://anyluxury.ru/shop/odezhda/detskaya-odezhda/svitshot-zhenskiy-set-in-krasniy-melanzh-ww02w617/" , "WW02W617 Свитшот женский Set In, красный меланж, размер XS")</f>
      </c>
      <c r="C3642" s="4" t="n">
        <v>2027.00</v>
      </c>
      <c r="D3642" s="4"/>
    </row>
    <row collapsed="" customFormat="false" customHeight="1" hidden="" ht="14" outlineLevel="0" r="3643">
      <c r="A3643" s="3" t="inlineStr">
        <is>
          <t>3612</t>
        </is>
      </c>
      <c r="B3643" s="4" t="s">
        <f>=HYPERLINK("http://anyluxury.ru/shop/odezhda/detskaya-odezhda/svitshot-zhenskiy-set-in-krasniy-melanzh-ww02w617/" , "WW02W617 Свитшот женский Set In, красный меланж, размер S")</f>
      </c>
      <c r="C3643" s="4" t="n">
        <v>2027.00</v>
      </c>
      <c r="D3643" s="4"/>
    </row>
    <row collapsed="" customFormat="false" customHeight="1" hidden="" ht="14" outlineLevel="0" r="3644">
      <c r="A3644" s="3" t="inlineStr">
        <is>
          <t>3613</t>
        </is>
      </c>
      <c r="B3644" s="4" t="s">
        <f>=HYPERLINK("http://anyluxury.ru/shop/odezhda/detskaya-odezhda/svitshot-zhenskiy-set-in-krasniy-melanzh-ww02w617/" , "WW02W617 Свитшот женский Set In, красный меланж, размер M")</f>
      </c>
      <c r="C3644" s="4" t="n">
        <v>2027.00</v>
      </c>
      <c r="D3644" s="4"/>
    </row>
    <row collapsed="" customFormat="false" customHeight="1" hidden="" ht="14" outlineLevel="0" r="3645">
      <c r="A3645" s="3" t="inlineStr">
        <is>
          <t>3614</t>
        </is>
      </c>
      <c r="B3645" s="4" t="s">
        <f>=HYPERLINK("http://anyluxury.ru/shop/odezhda/detskaya-odezhda/svitshot-zhenskiy-set-in-krasniy-melanzh-ww02w617/" , "WW02W617 Свитшот женский Set In, красный меланж, размер L")</f>
      </c>
      <c r="C3645" s="4" t="n">
        <v>2027.00</v>
      </c>
      <c r="D3645" s="4"/>
    </row>
    <row collapsed="" customFormat="false" customHeight="1" hidden="" ht="14" outlineLevel="0" r="3646">
      <c r="A3646" s="3" t="inlineStr">
        <is>
          <t>3615</t>
        </is>
      </c>
      <c r="B3646" s="4" t="s">
        <f>=HYPERLINK("http://anyluxury.ru/shop/odezhda/detskaya-odezhda/svitshot-zhenskiy-set-in-krasniy-melanzh-ww02w617/" , "WW02W617 Свитшот женский Set In, красный меланж, размер XL")</f>
      </c>
      <c r="C3646" s="4" t="n">
        <v>2027.00</v>
      </c>
      <c r="D3646" s="4"/>
    </row>
    <row collapsed="" customFormat="false" customHeight="1" hidden="" ht="14" outlineLevel="0" r="3647">
      <c r="A3647" s="3" t="inlineStr">
        <is>
          <t>3616</t>
        </is>
      </c>
      <c r="B3647" s="4" t="s">
        <f>=HYPERLINK("http://anyluxury.ru/shop/odezhda/detskaya-odezhda/svitshot-zhenskiy-set-in-krasniy-melanzh-ww02w617/" , "WW02W617 Свитшот женский Set In, красный меланж, размер XXL")</f>
      </c>
      <c r="C3647" s="4" t="n">
        <v>2027.00</v>
      </c>
      <c r="D3647" s="4"/>
    </row>
    <row collapsed="" customFormat="false" customHeight="1" hidden="" ht="14" outlineLevel="0" r="3648">
      <c r="A3648" s="3" t="inlineStr">
        <is>
          <t>3617</t>
        </is>
      </c>
      <c r="B3648" s="4" t="s">
        <f>=HYPERLINK("http://anyluxury.ru/shop/odezhda/detskaya-odezhda/svitshot-zhenskiy-set-in-temnozeleniy-melanzh-ww02w618/" , "WW02W618 Свитшот женский Set In, темно-зеленый меланж, размер XS")</f>
      </c>
      <c r="C3648" s="4" t="n">
        <v>2027.00</v>
      </c>
      <c r="D3648" s="4"/>
    </row>
    <row collapsed="" customFormat="false" customHeight="1" hidden="" ht="14" outlineLevel="0" r="3649">
      <c r="A3649" s="3" t="inlineStr">
        <is>
          <t>3618</t>
        </is>
      </c>
      <c r="B3649" s="4" t="s">
        <f>=HYPERLINK("http://anyluxury.ru/shop/odezhda/detskaya-odezhda/svitshot-zhenskiy-set-in-temnozeleniy-melanzh-ww02w618/" , "WW02W618 Свитшот женский Set In, темно-зеленый меланж, размер S")</f>
      </c>
      <c r="C3649" s="4" t="n">
        <v>2027.00</v>
      </c>
      <c r="D3649" s="4"/>
    </row>
    <row collapsed="" customFormat="false" customHeight="1" hidden="" ht="14" outlineLevel="0" r="3650">
      <c r="A3650" s="3" t="inlineStr">
        <is>
          <t>3619</t>
        </is>
      </c>
      <c r="B3650" s="4" t="s">
        <f>=HYPERLINK("http://anyluxury.ru/shop/odezhda/detskaya-odezhda/svitshot-zhenskiy-set-in-temnozeleniy-melanzh-ww02w618/" , "WW02W618 Свитшот женский Set In, темно-зеленый меланж, размер M")</f>
      </c>
      <c r="C3650" s="4" t="n">
        <v>2027.00</v>
      </c>
      <c r="D3650" s="4"/>
    </row>
    <row collapsed="" customFormat="false" customHeight="1" hidden="" ht="14" outlineLevel="0" r="3651">
      <c r="A3651" s="3" t="inlineStr">
        <is>
          <t>3620</t>
        </is>
      </c>
      <c r="B3651" s="4" t="s">
        <f>=HYPERLINK("http://anyluxury.ru/shop/odezhda/detskaya-odezhda/svitshot-zhenskiy-set-in-temnozeleniy-melanzh-ww02w618/" , "WW02W618 Свитшот женский Set In, темно-зеленый меланж, размер L")</f>
      </c>
      <c r="C3651" s="4" t="n">
        <v>2027.00</v>
      </c>
      <c r="D3651" s="4"/>
    </row>
    <row collapsed="" customFormat="false" customHeight="1" hidden="" ht="14" outlineLevel="0" r="3652">
      <c r="A3652" s="3" t="inlineStr">
        <is>
          <t>3621</t>
        </is>
      </c>
      <c r="B3652" s="4" t="s">
        <f>=HYPERLINK("http://anyluxury.ru/shop/odezhda/detskaya-odezhda/svitshot-zhenskiy-set-in-temnozeleniy-melanzh-ww02w618/" , "WW02W618 Свитшот женский Set In, темно-зеленый меланж, размер XL")</f>
      </c>
      <c r="C3652" s="4" t="n">
        <v>2027.00</v>
      </c>
      <c r="D3652" s="4"/>
    </row>
    <row collapsed="" customFormat="false" customHeight="1" hidden="" ht="14" outlineLevel="0" r="3653">
      <c r="A3653" s="3" t="inlineStr">
        <is>
          <t>3622</t>
        </is>
      </c>
      <c r="B3653" s="4" t="s">
        <f>=HYPERLINK("http://anyluxury.ru/shop/odezhda/detskaya-odezhda/svitshot-zhenskiy-set-in-temnozeleniy-melanzh-ww02w618/" , "WW02W618 Свитшот женский Set In, темно-зеленый меланж, размер XXL")</f>
      </c>
      <c r="C3653" s="4" t="n">
        <v>2027.00</v>
      </c>
      <c r="D3653" s="4"/>
    </row>
    <row collapsed="" customFormat="false" customHeight="1" hidden="" ht="14" outlineLevel="0" r="3654">
      <c r="A3654" s="3" t="inlineStr">
        <is>
          <t>3623</t>
        </is>
      </c>
      <c r="B3654" s="4" t="s">
        <f>=HYPERLINK("http://anyluxury.ru/shop/odezhda/detskaya-odezhda/svitshot-zhenskiy-set-in-seriy-melanzh-antracit-ww02w625/" , "WW02W625 Свитшот женский Set In, серый меланж (антрацит), размер XS")</f>
      </c>
      <c r="C3654" s="4" t="n">
        <v>2027.00</v>
      </c>
      <c r="D3654" s="4"/>
    </row>
    <row collapsed="" customFormat="false" customHeight="1" hidden="" ht="14" outlineLevel="0" r="3655">
      <c r="A3655" s="3" t="inlineStr">
        <is>
          <t>3624</t>
        </is>
      </c>
      <c r="B3655" s="4" t="s">
        <f>=HYPERLINK("http://anyluxury.ru/shop/odezhda/detskaya-odezhda/svitshot-zhenskiy-set-in-seriy-melanzh-antracit-ww02w625/" , "WW02W625 Свитшот женский Set In, серый меланж (антрацит), размер S")</f>
      </c>
      <c r="C3655" s="4" t="n">
        <v>2027.00</v>
      </c>
      <c r="D3655" s="4"/>
    </row>
    <row collapsed="" customFormat="false" customHeight="1" hidden="" ht="14" outlineLevel="0" r="3656">
      <c r="A3656" s="3" t="inlineStr">
        <is>
          <t>3625</t>
        </is>
      </c>
      <c r="B3656" s="4" t="s">
        <f>=HYPERLINK("http://anyluxury.ru/shop/odezhda/detskaya-odezhda/svitshot-zhenskiy-set-in-seriy-melanzh-antracit-ww02w625/" , "WW02W625 Свитшот женский Set In, серый меланж (антрацит), размер M")</f>
      </c>
      <c r="C3656" s="4" t="n">
        <v>2027.00</v>
      </c>
      <c r="D3656" s="4"/>
    </row>
    <row collapsed="" customFormat="false" customHeight="1" hidden="" ht="14" outlineLevel="0" r="3657">
      <c r="A3657" s="3" t="inlineStr">
        <is>
          <t>3626</t>
        </is>
      </c>
      <c r="B3657" s="4" t="s">
        <f>=HYPERLINK("http://anyluxury.ru/shop/odezhda/detskaya-odezhda/svitshot-zhenskiy-set-in-seriy-melanzh-antracit-ww02w625/" , "WW02W625 Свитшот женский Set In, серый меланж (антрацит), размер L")</f>
      </c>
      <c r="C3657" s="4" t="n">
        <v>2027.00</v>
      </c>
      <c r="D3657" s="4"/>
    </row>
    <row collapsed="" customFormat="false" customHeight="1" hidden="" ht="14" outlineLevel="0" r="3658">
      <c r="A3658" s="3" t="inlineStr">
        <is>
          <t>3627</t>
        </is>
      </c>
      <c r="B3658" s="4" t="s">
        <f>=HYPERLINK("http://anyluxury.ru/shop/odezhda/detskaya-odezhda/svitshot-zhenskiy-set-in-seriy-melanzh-antracit-ww02w625/" , "WW02W625 Свитшот женский Set In, серый меланж (антрацит), размер XL")</f>
      </c>
      <c r="C3658" s="4" t="n">
        <v>2027.00</v>
      </c>
      <c r="D3658" s="4"/>
    </row>
    <row collapsed="" customFormat="false" customHeight="1" hidden="" ht="14" outlineLevel="0" r="3659">
      <c r="A3659" s="3" t="inlineStr">
        <is>
          <t>3628</t>
        </is>
      </c>
      <c r="B3659" s="4" t="s">
        <f>=HYPERLINK("http://anyluxury.ru/shop/odezhda/detskaya-odezhda/svitshot-zhenskiy-set-in-seriy-melanzh-antracit-ww02w625/" , "WW02W625 Свитшот женский Set In, серый меланж (антрацит), размер XXL")</f>
      </c>
      <c r="C3659" s="4" t="n">
        <v>2027.00</v>
      </c>
      <c r="D3659" s="4"/>
    </row>
    <row collapsed="" customFormat="false" customHeight="1" hidden="" ht="14" outlineLevel="0" r="3660">
      <c r="A3660" s="3" t="inlineStr">
        <is>
          <t>3629</t>
        </is>
      </c>
      <c r="B3660" s="4" t="s">
        <f>=HYPERLINK("http://anyluxury.ru/shop/odezhda/detskaya-odezhda/tolstovka-s-kapyushonom-uniseks-hoodie-belaya-wu03w001/" , "WU03W001 Толстовка с капюшоном унисекс Hoodie, белая, размер XS")</f>
      </c>
      <c r="C3660" s="4" t="n">
        <v>2774.00</v>
      </c>
      <c r="D3660" s="4"/>
    </row>
    <row collapsed="" customFormat="false" customHeight="1" hidden="" ht="14" outlineLevel="0" r="3661">
      <c r="A3661" s="3" t="inlineStr">
        <is>
          <t>3630</t>
        </is>
      </c>
      <c r="B3661" s="4" t="s">
        <f>=HYPERLINK("http://anyluxury.ru/shop/odezhda/detskaya-odezhda/tolstovka-s-kapyushonom-uniseks-hoodie-belaya-wu03w001/" , "WU03W001 Толстовка с капюшоном унисекс Hoodie, белая, размер S")</f>
      </c>
      <c r="C3661" s="4" t="n">
        <v>2774.00</v>
      </c>
      <c r="D3661" s="4"/>
    </row>
    <row collapsed="" customFormat="false" customHeight="1" hidden="" ht="14" outlineLevel="0" r="3662">
      <c r="A3662" s="3" t="inlineStr">
        <is>
          <t>3631</t>
        </is>
      </c>
      <c r="B3662" s="4" t="s">
        <f>=HYPERLINK("http://anyluxury.ru/shop/odezhda/detskaya-odezhda/tolstovka-s-kapyushonom-uniseks-hoodie-belaya-wu03w001/" , "WU03W001 Толстовка с капюшоном унисекс Hoodie, белая, размер M")</f>
      </c>
      <c r="C3662" s="4" t="n">
        <v>2774.00</v>
      </c>
      <c r="D3662" s="4"/>
    </row>
    <row collapsed="" customFormat="false" customHeight="1" hidden="" ht="14" outlineLevel="0" r="3663">
      <c r="A3663" s="3" t="inlineStr">
        <is>
          <t>3632</t>
        </is>
      </c>
      <c r="B3663" s="4" t="s">
        <f>=HYPERLINK("http://anyluxury.ru/shop/odezhda/detskaya-odezhda/tolstovka-s-kapyushonom-uniseks-hoodie-belaya-wu03w001/" , "WU03W001 Толстовка с капюшоном унисекс Hoodie, белая, размер XXL")</f>
      </c>
      <c r="C3663" s="4" t="n">
        <v>2774.00</v>
      </c>
      <c r="D3663" s="4"/>
    </row>
    <row collapsed="" customFormat="false" customHeight="1" hidden="" ht="14" outlineLevel="0" r="3664">
      <c r="A3664" s="3" t="inlineStr">
        <is>
          <t>3633</t>
        </is>
      </c>
      <c r="B3664" s="4" t="s">
        <f>=HYPERLINK("http://anyluxury.ru/shop/odezhda/detskaya-odezhda/tolstovka-s-kapyushonom-uniseks-hoodie-belaya-wu03w001/" , "WU03W001 Толстовка с капюшоном унисекс Hoodie, белая, размер 3XL")</f>
      </c>
      <c r="C3664" s="4" t="n">
        <v>2774.00</v>
      </c>
      <c r="D3664" s="4"/>
    </row>
    <row collapsed="" customFormat="false" customHeight="1" hidden="" ht="14" outlineLevel="0" r="3665">
      <c r="A3665" s="3" t="inlineStr">
        <is>
          <t>3634</t>
        </is>
      </c>
      <c r="B3665" s="4" t="s">
        <f>=HYPERLINK("http://anyluxury.ru/shop/odezhda/detskaya-odezhda/tolstovka-s-kapyushonom-uniseks-hoodie-belaya-wu03w001/" , "WU03W001 Толстовка с капюшоном унисекс Hoodie, белая, размер 4XL")</f>
      </c>
      <c r="C3665" s="4" t="n">
        <v>3462.00</v>
      </c>
      <c r="D3665" s="4"/>
    </row>
    <row collapsed="" customFormat="false" customHeight="1" hidden="" ht="14" outlineLevel="0" r="3666">
      <c r="A3666" s="3" t="inlineStr">
        <is>
          <t>3635</t>
        </is>
      </c>
      <c r="B3666" s="4" t="s">
        <f>=HYPERLINK("http://anyluxury.ru/shop/odezhda/detskaya-odezhda/tolstovka-s-kapyushonom-uniseks-hoodie-belaya-wu03w001/" , "WU03W001 Толстовка с капюшоном унисекс Hoodie, белая, размер 5XL")</f>
      </c>
      <c r="C3666" s="4" t="n">
        <v>3462.00</v>
      </c>
      <c r="D3666" s="4"/>
    </row>
    <row collapsed="" customFormat="false" customHeight="1" hidden="" ht="14" outlineLevel="0" r="3667">
      <c r="A3667" s="3" t="inlineStr">
        <is>
          <t>3636</t>
        </is>
      </c>
      <c r="B3667" s="4" t="s">
        <f>=HYPERLINK("http://anyluxury.ru/shop/odezhda/detskaya-odezhda/tolstovka-s-kapyushonom-uniseks-hoodie-krasnaya-wu03w004/" , "WU03W004 Толстовка с капюшоном унисекс Hoodie, красная, размер XS")</f>
      </c>
      <c r="C3667" s="4" t="n">
        <v>2774.00</v>
      </c>
      <c r="D3667" s="4"/>
    </row>
    <row collapsed="" customFormat="false" customHeight="1" hidden="" ht="14" outlineLevel="0" r="3668">
      <c r="A3668" s="3" t="inlineStr">
        <is>
          <t>3637</t>
        </is>
      </c>
      <c r="B3668" s="4" t="s">
        <f>=HYPERLINK("http://anyluxury.ru/shop/odezhda/detskaya-odezhda/tolstovka-s-kapyushonom-uniseks-hoodie-krasnaya-wu03w004/" , "WU03W004 Толстовка с капюшоном унисекс Hoodie, красная, размер S")</f>
      </c>
      <c r="C3668" s="4" t="n">
        <v>2774.00</v>
      </c>
      <c r="D3668" s="4"/>
    </row>
    <row collapsed="" customFormat="false" customHeight="1" hidden="" ht="14" outlineLevel="0" r="3669">
      <c r="A3669" s="3" t="inlineStr">
        <is>
          <t>3638</t>
        </is>
      </c>
      <c r="B3669" s="4" t="s">
        <f>=HYPERLINK("http://anyluxury.ru/shop/odezhda/detskaya-odezhda/tolstovka-s-kapyushonom-uniseks-hoodie-krasnaya-wu03w004/" , "WU03W004 Толстовка с капюшоном унисекс Hoodie, красная, размер XXL")</f>
      </c>
      <c r="C3669" s="4" t="n">
        <v>2774.00</v>
      </c>
      <c r="D3669" s="4"/>
    </row>
    <row collapsed="" customFormat="false" customHeight="1" hidden="" ht="14" outlineLevel="0" r="3670">
      <c r="A3670" s="3" t="inlineStr">
        <is>
          <t>3639</t>
        </is>
      </c>
      <c r="B3670" s="4" t="s">
        <f>=HYPERLINK("http://anyluxury.ru/shop/odezhda/detskaya-odezhda/tolstovka-s-kapyushonom-uniseks-hoodie-krasnaya-wu03w004/" , "WU03W004 Толстовка с капюшоном унисекс Hoodie, красная, размер 3XL")</f>
      </c>
      <c r="C3670" s="4" t="n">
        <v>2774.00</v>
      </c>
      <c r="D3670" s="4"/>
    </row>
    <row collapsed="" customFormat="false" customHeight="1" hidden="" ht="14" outlineLevel="0" r="3671">
      <c r="A3671" s="3" t="inlineStr">
        <is>
          <t>3640</t>
        </is>
      </c>
      <c r="B3671" s="4" t="s">
        <f>=HYPERLINK("http://anyluxury.ru/shop/odezhda/detskaya-odezhda/tolstovka-s-kapyushonom-uniseks-hoodie-krasnaya-wu03w004/" , "WU03W004 Толстовка с капюшоном унисекс Hoodie, красная, размер 4XL")</f>
      </c>
      <c r="C3671" s="4" t="n">
        <v>3462.00</v>
      </c>
      <c r="D3671" s="4"/>
    </row>
    <row collapsed="" customFormat="false" customHeight="1" hidden="" ht="14" outlineLevel="0" r="3672">
      <c r="A3672" s="3" t="inlineStr">
        <is>
          <t>3641</t>
        </is>
      </c>
      <c r="B3672" s="4" t="s">
        <f>=HYPERLINK("http://anyluxury.ru/shop/odezhda/detskaya-odezhda/tolstovka-s-kapyushonom-uniseks-hoodie-temnosinyaya-wu03w006/" , "WU03W006 Толстовка с капюшоном унисекс Hoodie, темно-синяя, размер XS")</f>
      </c>
      <c r="C3672" s="4" t="n">
        <v>2774.00</v>
      </c>
      <c r="D3672" s="4"/>
    </row>
    <row collapsed="" customFormat="false" customHeight="1" hidden="" ht="14" outlineLevel="0" r="3673">
      <c r="A3673" s="3" t="inlineStr">
        <is>
          <t>3642</t>
        </is>
      </c>
      <c r="B3673" s="4" t="s">
        <f>=HYPERLINK("http://anyluxury.ru/shop/odezhda/detskaya-odezhda/tolstovka-s-kapyushonom-uniseks-hoodie-temnosinyaya-wu03w006/" , "WU03W006 Толстовка с капюшоном унисекс Hoodie, темно-синяя, размер S")</f>
      </c>
      <c r="C3673" s="4" t="n">
        <v>2774.00</v>
      </c>
      <c r="D3673" s="4"/>
    </row>
    <row collapsed="" customFormat="false" customHeight="1" hidden="" ht="14" outlineLevel="0" r="3674">
      <c r="A3674" s="3" t="inlineStr">
        <is>
          <t>3643</t>
        </is>
      </c>
      <c r="B3674" s="4" t="s">
        <f>=HYPERLINK("http://anyluxury.ru/shop/odezhda/detskaya-odezhda/tolstovka-s-kapyushonom-uniseks-hoodie-temnosinyaya-wu03w006/" , "WU03W006 Толстовка с капюшоном унисекс Hoodie, темно-синяя, размер M")</f>
      </c>
      <c r="C3674" s="4" t="n">
        <v>2774.00</v>
      </c>
      <c r="D3674" s="4"/>
    </row>
    <row collapsed="" customFormat="false" customHeight="1" hidden="" ht="14" outlineLevel="0" r="3675">
      <c r="A3675" s="3" t="inlineStr">
        <is>
          <t>3644</t>
        </is>
      </c>
      <c r="B3675" s="4" t="s">
        <f>=HYPERLINK("http://anyluxury.ru/shop/odezhda/detskaya-odezhda/tolstovka-s-kapyushonom-uniseks-hoodie-temnosinyaya-wu03w006/" , "WU03W006 Толстовка с капюшоном унисекс Hoodie, темно-синяя, размер 3XL")</f>
      </c>
      <c r="C3675" s="4" t="n">
        <v>2774.00</v>
      </c>
      <c r="D3675" s="4"/>
    </row>
    <row collapsed="" customFormat="false" customHeight="1" hidden="" ht="14" outlineLevel="0" r="3676">
      <c r="A3676" s="3" t="inlineStr">
        <is>
          <t>3645</t>
        </is>
      </c>
      <c r="B3676" s="4" t="s">
        <f>=HYPERLINK("http://anyluxury.ru/shop/odezhda/detskaya-odezhda/tolstovka-s-kapyushonom-uniseks-hoodie-bezhevaya-wu03w123/" , "WU03W123 Толстовка с капюшоном унисекс Hoodie, бежевая, размер XS")</f>
      </c>
      <c r="C3676" s="4" t="n">
        <v>2774.00</v>
      </c>
      <c r="D3676" s="4"/>
    </row>
    <row collapsed="" customFormat="false" customHeight="1" hidden="" ht="14" outlineLevel="0" r="3677">
      <c r="A3677" s="3" t="inlineStr">
        <is>
          <t>3646</t>
        </is>
      </c>
      <c r="B3677" s="4" t="s">
        <f>=HYPERLINK("http://anyluxury.ru/shop/odezhda/detskaya-odezhda/tolstovka-s-kapyushonom-uniseks-hoodie-svetlozheltaya-wu03w199/" , "WU03W199 Толстовка с капюшоном унисекс Hoodie, светло-желтая, размер XS")</f>
      </c>
      <c r="C3677" s="4" t="n">
        <v>2774.00</v>
      </c>
      <c r="D3677" s="4"/>
    </row>
    <row collapsed="" customFormat="false" customHeight="1" hidden="" ht="14" outlineLevel="0" r="3678">
      <c r="A3678" s="3" t="inlineStr">
        <is>
          <t>3647</t>
        </is>
      </c>
      <c r="B3678" s="4" t="s">
        <f>=HYPERLINK("http://anyluxury.ru/shop/odezhda/detskaya-odezhda/tolstovka-s-kapyushonom-uniseks-hoodie-svetlozheltaya-wu03w199/" , "WU03W199 Толстовка с капюшоном унисекс Hoodie, светло-желтая, размер S")</f>
      </c>
      <c r="C3678" s="4" t="n">
        <v>2774.00</v>
      </c>
      <c r="D3678" s="4"/>
    </row>
    <row collapsed="" customFormat="false" customHeight="1" hidden="" ht="14" outlineLevel="0" r="3679">
      <c r="A3679" s="3" t="inlineStr">
        <is>
          <t>3648</t>
        </is>
      </c>
      <c r="B3679" s="4" t="s">
        <f>=HYPERLINK("http://anyluxury.ru/shop/odezhda/detskaya-odezhda/tolstovka-s-kapyushonom-uniseks-hoodie-svetlozheltaya-wu03w199/" , "WU03W199 Толстовка с капюшоном унисекс Hoodie, светло-желтая, размер XXL")</f>
      </c>
      <c r="C3679" s="4" t="n">
        <v>2774.00</v>
      </c>
      <c r="D3679" s="4"/>
    </row>
    <row collapsed="" customFormat="false" customHeight="1" hidden="" ht="14" outlineLevel="0" r="3680">
      <c r="A3680" s="3" t="inlineStr">
        <is>
          <t>3649</t>
        </is>
      </c>
      <c r="B3680" s="4" t="s">
        <f>=HYPERLINK("http://anyluxury.ru/shop/odezhda/detskaya-odezhda/tolstovka-s-kapyushonom-uniseks-hoodie-svetlozheltaya-wu03w199/" , "WU03W199 Толстовка с капюшоном унисекс Hoodie, светло-желтая, размер 3XL")</f>
      </c>
      <c r="C3680" s="4" t="n">
        <v>2774.00</v>
      </c>
      <c r="D3680" s="4"/>
    </row>
    <row collapsed="" customFormat="false" customHeight="1" hidden="" ht="14" outlineLevel="0" r="3681">
      <c r="A3681" s="3" t="inlineStr">
        <is>
          <t>3650</t>
        </is>
      </c>
      <c r="B3681" s="4" t="s">
        <f>=HYPERLINK("http://anyluxury.ru/shop/odezhda/detskaya-odezhda/tolstovka-s-kapyushonom-uniseks-hoodie-svetlorozovaya-wu03w305/" , "WU03W305 Толстовка с капюшоном унисекс Hoodie, светло-розовая, размер XS")</f>
      </c>
      <c r="C3681" s="4" t="n">
        <v>2774.00</v>
      </c>
      <c r="D3681" s="4"/>
    </row>
    <row collapsed="" customFormat="false" customHeight="1" hidden="" ht="14" outlineLevel="0" r="3682">
      <c r="A3682" s="3" t="inlineStr">
        <is>
          <t>3651</t>
        </is>
      </c>
      <c r="B3682" s="4" t="s">
        <f>=HYPERLINK("http://anyluxury.ru/shop/odezhda/detskaya-odezhda/tolstovka-s-kapyushonom-uniseks-hoodie-svetlorozovaya-wu03w305/" , "WU03W305 Толстовка с капюшоном унисекс Hoodie, светло-розовая, размер S")</f>
      </c>
      <c r="C3682" s="4" t="n">
        <v>2774.00</v>
      </c>
      <c r="D3682" s="4"/>
    </row>
    <row collapsed="" customFormat="false" customHeight="1" hidden="" ht="14" outlineLevel="0" r="3683">
      <c r="A3683" s="3" t="inlineStr">
        <is>
          <t>3652</t>
        </is>
      </c>
      <c r="B3683" s="4" t="s">
        <f>=HYPERLINK("http://anyluxury.ru/shop/odezhda/detskaya-odezhda/tolstovka-s-kapyushonom-uniseks-hoodie-svetlorozovaya-wu03w305/" , "WU03W305 Толстовка с капюшоном унисекс Hoodie, светло-розовая, размер M")</f>
      </c>
      <c r="C3683" s="4" t="n">
        <v>2774.00</v>
      </c>
      <c r="D3683" s="4"/>
    </row>
    <row collapsed="" customFormat="false" customHeight="1" hidden="" ht="14" outlineLevel="0" r="3684">
      <c r="A3684" s="3" t="inlineStr">
        <is>
          <t>3653</t>
        </is>
      </c>
      <c r="B3684" s="4" t="s">
        <f>=HYPERLINK("http://anyluxury.ru/shop/odezhda/detskaya-odezhda/tolstovka-s-kapyushonom-uniseks-hoodie-svetlorozovaya-wu03w305/" , "WU03W305 Толстовка с капюшоном унисекс Hoodie, светло-розовая, размер 3XL")</f>
      </c>
      <c r="C3684" s="4" t="n">
        <v>2774.00</v>
      </c>
      <c r="D3684" s="4"/>
    </row>
    <row collapsed="" customFormat="false" customHeight="1" hidden="" ht="14" outlineLevel="0" r="3685">
      <c r="A3685" s="3" t="inlineStr">
        <is>
          <t>3654</t>
        </is>
      </c>
      <c r="B3685" s="4" t="s">
        <f>=HYPERLINK("http://anyluxury.ru/shop/odezhda/detskaya-odezhda/tolstovka-s-kapyushonom-uniseks-hoodie-bezhevaya-nude-wu03w307/" , "WU03W307 Толстовка с капюшоном унисекс Hoodie, бежевая (nude), размер XS")</f>
      </c>
      <c r="C3685" s="4" t="n">
        <v>2774.00</v>
      </c>
      <c r="D3685" s="4"/>
    </row>
    <row collapsed="" customFormat="false" customHeight="1" hidden="" ht="14" outlineLevel="0" r="3686">
      <c r="A3686" s="3" t="inlineStr">
        <is>
          <t>3655</t>
        </is>
      </c>
      <c r="B3686" s="4" t="s">
        <f>=HYPERLINK("http://anyluxury.ru/shop/odezhda/detskaya-odezhda/tolstovka-s-kapyushonom-uniseks-hoodie-bezhevaya-nude-wu03w307/" , "WU03W307 Толстовка с капюшоном унисекс Hoodie, бежевая (nude), размер M")</f>
      </c>
      <c r="C3686" s="4" t="n">
        <v>2774.00</v>
      </c>
      <c r="D3686" s="4"/>
    </row>
    <row collapsed="" customFormat="false" customHeight="1" hidden="" ht="14" outlineLevel="0" r="3687">
      <c r="A3687" s="3" t="inlineStr">
        <is>
          <t>3656</t>
        </is>
      </c>
      <c r="B3687" s="4" t="s">
        <f>=HYPERLINK("http://anyluxury.ru/shop/odezhda/detskaya-odezhda/tolstovka-s-kapyushonom-uniseks-hoodie-bezhevaya-nude-wu03w307/" , "WU03W307 Толстовка с капюшоном унисекс Hoodie, бежевая (nude), размер XL")</f>
      </c>
      <c r="C3687" s="4" t="n">
        <v>2774.00</v>
      </c>
      <c r="D3687" s="4"/>
    </row>
    <row collapsed="" customFormat="false" customHeight="1" hidden="" ht="14" outlineLevel="0" r="3688">
      <c r="A3688" s="3" t="inlineStr">
        <is>
          <t>3657</t>
        </is>
      </c>
      <c r="B3688" s="4" t="s">
        <f>=HYPERLINK("http://anyluxury.ru/shop/odezhda/detskaya-odezhda/tolstovka-s-kapyushonom-uniseks-hoodie-bezhevaya-nude-wu03w307/" , "WU03W307 Толстовка с капюшоном унисекс Hoodie, бежевая (nude), размер XXL")</f>
      </c>
      <c r="C3688" s="4" t="n">
        <v>2774.00</v>
      </c>
      <c r="D3688" s="4"/>
    </row>
    <row collapsed="" customFormat="false" customHeight="1" hidden="" ht="14" outlineLevel="0" r="3689">
      <c r="A3689" s="3" t="inlineStr">
        <is>
          <t>3658</t>
        </is>
      </c>
      <c r="B3689" s="4" t="s">
        <f>=HYPERLINK("http://anyluxury.ru/shop/odezhda/detskaya-odezhda/tolstovka-s-kapyushonom-uniseks-hoodie-sirenevaya-wu03w331/" , "WU03W331 Толстовка с капюшоном унисекс Hoodie, сиреневая, размер XXL")</f>
      </c>
      <c r="C3689" s="4" t="n">
        <v>2774.00</v>
      </c>
      <c r="D3689" s="4"/>
    </row>
    <row collapsed="" customFormat="false" customHeight="1" hidden="" ht="14" outlineLevel="0" r="3690">
      <c r="A3690" s="3" t="inlineStr">
        <is>
          <t>3659</t>
        </is>
      </c>
      <c r="B3690" s="4" t="s">
        <f>=HYPERLINK("http://anyluxury.ru/shop/odezhda/detskaya-odezhda/tolstovka-s-kapyushonom-uniseks-hoodie-yarkosinyaya-wu03w453/" , "WU03W453 Толстовка с капюшоном унисекс Hoodie, ярко-синяя, размер XS")</f>
      </c>
      <c r="C3690" s="4" t="n">
        <v>2774.00</v>
      </c>
      <c r="D3690" s="4"/>
    </row>
    <row collapsed="" customFormat="false" customHeight="1" hidden="" ht="14" outlineLevel="0" r="3691">
      <c r="A3691" s="3" t="inlineStr">
        <is>
          <t>3660</t>
        </is>
      </c>
      <c r="B3691" s="4" t="s">
        <f>=HYPERLINK("http://anyluxury.ru/shop/odezhda/detskaya-odezhda/tolstovka-s-kapyushonom-uniseks-hoodie-yarkosinyaya-wu03w453/" , "WU03W453 Толстовка с капюшоном унисекс Hoodie, ярко-синяя, размер S")</f>
      </c>
      <c r="C3691" s="4" t="n">
        <v>2774.00</v>
      </c>
      <c r="D3691" s="4"/>
    </row>
    <row collapsed="" customFormat="false" customHeight="1" hidden="" ht="14" outlineLevel="0" r="3692">
      <c r="A3692" s="3" t="inlineStr">
        <is>
          <t>3661</t>
        </is>
      </c>
      <c r="B3692" s="4" t="s">
        <f>=HYPERLINK("http://anyluxury.ru/shop/odezhda/detskaya-odezhda/tolstovka-s-kapyushonom-uniseks-hoodie-yarkosinyaya-wu03w453/" , "WU03W453 Толстовка с капюшоном унисекс Hoodie, ярко-синяя, размер M")</f>
      </c>
      <c r="C3692" s="4" t="n">
        <v>2774.00</v>
      </c>
      <c r="D3692" s="4"/>
    </row>
    <row collapsed="" customFormat="false" customHeight="1" hidden="" ht="14" outlineLevel="0" r="3693">
      <c r="A3693" s="3" t="inlineStr">
        <is>
          <t>3662</t>
        </is>
      </c>
      <c r="B3693" s="4" t="s">
        <f>=HYPERLINK("http://anyluxury.ru/shop/odezhda/detskaya-odezhda/tolstovka-s-kapyushonom-uniseks-hoodie-yarkosinyaya-wu03w453/" , "WU03W453 Толстовка с капюшоном унисекс Hoodie, ярко-синяя, размер XL")</f>
      </c>
      <c r="C3693" s="4" t="n">
        <v>2774.00</v>
      </c>
      <c r="D3693" s="4"/>
    </row>
    <row collapsed="" customFormat="false" customHeight="1" hidden="" ht="14" outlineLevel="0" r="3694">
      <c r="A3694" s="3" t="inlineStr">
        <is>
          <t>3663</t>
        </is>
      </c>
      <c r="B3694" s="4" t="s">
        <f>=HYPERLINK("http://anyluxury.ru/shop/odezhda/detskaya-odezhda/tolstovka-s-kapyushonom-uniseks-hoodie-yarkosinyaya-wu03w453/" , "WU03W453 Толстовка с капюшоном унисекс Hoodie, ярко-синяя, размер 4XL")</f>
      </c>
      <c r="C3694" s="4" t="n">
        <v>3462.00</v>
      </c>
      <c r="D3694" s="4"/>
    </row>
    <row collapsed="" customFormat="false" customHeight="1" hidden="" ht="14" outlineLevel="0" r="3695">
      <c r="A3695" s="3" t="inlineStr">
        <is>
          <t>3664</t>
        </is>
      </c>
      <c r="B3695" s="4" t="s">
        <f>=HYPERLINK("http://anyluxury.ru/shop/odezhda/detskaya-odezhda/tolstovka-s-kapyushonom-uniseks-hoodie-yarkosinyaya-wu03w453/" , "WU03W453 Толстовка с капюшоном унисекс Hoodie, ярко-синяя, размер 5XL")</f>
      </c>
      <c r="C3695" s="4" t="n">
        <v>3462.00</v>
      </c>
      <c r="D3695" s="4"/>
    </row>
    <row collapsed="" customFormat="false" customHeight="1" hidden="" ht="14" outlineLevel="0" r="3696">
      <c r="A3696" s="3" t="inlineStr">
        <is>
          <t>3665</t>
        </is>
      </c>
      <c r="B3696" s="4" t="s">
        <f>=HYPERLINK("http://anyluxury.ru/shop/odezhda/detskaya-odezhda/tolstovka-s-kapyushonom-uniseks-hoodie-serozelenaya-wu03w502/" , "WU03W502 Толстовка с капюшоном унисекс Hoodie, серо-зеленая, размер XS")</f>
      </c>
      <c r="C3696" s="4" t="n">
        <v>2774.00</v>
      </c>
      <c r="D3696" s="4"/>
    </row>
    <row collapsed="" customFormat="false" customHeight="1" hidden="" ht="14" outlineLevel="0" r="3697">
      <c r="A3697" s="3" t="inlineStr">
        <is>
          <t>3666</t>
        </is>
      </c>
      <c r="B3697" s="4" t="s">
        <f>=HYPERLINK("http://anyluxury.ru/shop/odezhda/detskaya-odezhda/tolstovka-s-kapyushonom-uniseks-hoodie-serozelenaya-wu03w502/" , "WU03W502 Толстовка с капюшоном унисекс Hoodie, серо-зеленая, размер S")</f>
      </c>
      <c r="C3697" s="4" t="n">
        <v>2774.00</v>
      </c>
      <c r="D3697" s="4"/>
    </row>
    <row collapsed="" customFormat="false" customHeight="1" hidden="" ht="14" outlineLevel="0" r="3698">
      <c r="A3698" s="3" t="inlineStr">
        <is>
          <t>3667</t>
        </is>
      </c>
      <c r="B3698" s="4" t="s">
        <f>=HYPERLINK("http://anyluxury.ru/shop/odezhda/detskaya-odezhda/tolstovka-s-kapyushonom-uniseks-hoodie-serozelenaya-wu03w502/" , "WU03W502 Толстовка с капюшоном унисекс Hoodie, серо-зеленая, размер XL")</f>
      </c>
      <c r="C3698" s="4" t="n">
        <v>2774.00</v>
      </c>
      <c r="D3698" s="4"/>
    </row>
    <row collapsed="" customFormat="false" customHeight="1" hidden="" ht="14" outlineLevel="0" r="3699">
      <c r="A3699" s="3" t="inlineStr">
        <is>
          <t>3668</t>
        </is>
      </c>
      <c r="B3699" s="4" t="s">
        <f>=HYPERLINK("http://anyluxury.ru/shop/odezhda/detskaya-odezhda/tolstovka-s-kapyushonom-uniseks-hoodie-serozelenaya-wu03w502/" , "WU03W502 Толстовка с капюшоном унисекс Hoodie, серо-зеленая, размер XXL")</f>
      </c>
      <c r="C3699" s="4" t="n">
        <v>2774.00</v>
      </c>
      <c r="D3699" s="4"/>
    </row>
    <row collapsed="" customFormat="false" customHeight="1" hidden="" ht="14" outlineLevel="0" r="3700">
      <c r="A3700" s="3" t="inlineStr">
        <is>
          <t>3669</t>
        </is>
      </c>
      <c r="B3700" s="4" t="s">
        <f>=HYPERLINK("http://anyluxury.ru/shop/odezhda/detskaya-odezhda/tolstovka-s-kapyushonom-uniseks-hoodie-serozelenaya-wu03w502/" , "WU03W502 Толстовка с капюшоном унисекс Hoodie, серо-зеленая, размер 3XL")</f>
      </c>
      <c r="C3700" s="4" t="n">
        <v>2774.00</v>
      </c>
      <c r="D3700" s="4"/>
    </row>
    <row collapsed="" customFormat="false" customHeight="1" hidden="" ht="14" outlineLevel="0" r="3701">
      <c r="A3701" s="3" t="inlineStr">
        <is>
          <t>3670</t>
        </is>
      </c>
      <c r="B3701" s="4" t="s">
        <f>=HYPERLINK("http://anyluxury.ru/shop/odezhda/detskaya-odezhda/tolstovka-s-kapyushonom-uniseks-hoodie-zelenaya-wu03w520/" , "WU03W520 Толстовка с капюшоном унисекс Hoodie, зеленая, размер XS")</f>
      </c>
      <c r="C3701" s="4" t="n">
        <v>2774.00</v>
      </c>
      <c r="D3701" s="4"/>
    </row>
    <row collapsed="" customFormat="false" customHeight="1" hidden="" ht="14" outlineLevel="0" r="3702">
      <c r="A3702" s="3" t="inlineStr">
        <is>
          <t>3671</t>
        </is>
      </c>
      <c r="B3702" s="4" t="s">
        <f>=HYPERLINK("http://anyluxury.ru/shop/odezhda/detskaya-odezhda/tolstovka-s-kapyushonom-uniseks-hoodie-zelenaya-wu03w520/" , "WU03W520 Толстовка с капюшоном унисекс Hoodie, зеленая, размер S")</f>
      </c>
      <c r="C3702" s="4" t="n">
        <v>2774.00</v>
      </c>
      <c r="D3702" s="4"/>
    </row>
    <row collapsed="" customFormat="false" customHeight="1" hidden="" ht="14" outlineLevel="0" r="3703">
      <c r="A3703" s="3" t="inlineStr">
        <is>
          <t>3672</t>
        </is>
      </c>
      <c r="B3703" s="4" t="s">
        <f>=HYPERLINK("http://anyluxury.ru/shop/odezhda/detskaya-odezhda/tolstovka-s-kapyushonom-uniseks-hoodie-zelenaya-wu03w520/" , "WU03W520 Толстовка с капюшоном унисекс Hoodie, зеленая, размер M")</f>
      </c>
      <c r="C3703" s="4" t="n">
        <v>2774.00</v>
      </c>
      <c r="D3703" s="4"/>
    </row>
    <row collapsed="" customFormat="false" customHeight="1" hidden="" ht="14" outlineLevel="0" r="3704">
      <c r="A3704" s="3" t="inlineStr">
        <is>
          <t>3673</t>
        </is>
      </c>
      <c r="B3704" s="4" t="s">
        <f>=HYPERLINK("http://anyluxury.ru/shop/odezhda/detskaya-odezhda/tolstovka-s-kapyushonom-uniseks-hoodie-zelenaya-wu03w520/" , "WU03W520 Толстовка с капюшоном унисекс Hoodie, зеленая, размер XL")</f>
      </c>
      <c r="C3704" s="4" t="n">
        <v>2774.00</v>
      </c>
      <c r="D3704" s="4"/>
    </row>
    <row collapsed="" customFormat="false" customHeight="1" hidden="" ht="14" outlineLevel="0" r="3705">
      <c r="A3705" s="3" t="inlineStr">
        <is>
          <t>3674</t>
        </is>
      </c>
      <c r="B3705" s="4" t="s">
        <f>=HYPERLINK("http://anyluxury.ru/shop/odezhda/detskaya-odezhda/tolstovka-s-kapyushonom-uniseks-hoodie-zelenaya-wu03w520/" , "WU03W520 Толстовка с капюшоном унисекс Hoodie, зеленая, размер XXL")</f>
      </c>
      <c r="C3705" s="4" t="n">
        <v>2774.00</v>
      </c>
      <c r="D3705" s="4"/>
    </row>
    <row collapsed="" customFormat="false" customHeight="1" hidden="" ht="14" outlineLevel="0" r="3706">
      <c r="A3706" s="3" t="inlineStr">
        <is>
          <t>3675</t>
        </is>
      </c>
      <c r="B3706" s="4" t="s">
        <f>=HYPERLINK("http://anyluxury.ru/shop/odezhda/detskaya-odezhda/tolstovka-s-kapyushonom-uniseks-hoodie-seriy-melanzh-wu03w610/" , "WU03W610 Толстовка с капюшоном унисекс Hoodie, серый меланж, размер XS")</f>
      </c>
      <c r="C3706" s="4" t="n">
        <v>2774.00</v>
      </c>
      <c r="D3706" s="4"/>
    </row>
    <row collapsed="" customFormat="false" customHeight="1" hidden="" ht="14" outlineLevel="0" r="3707">
      <c r="A3707" s="3" t="inlineStr">
        <is>
          <t>3676</t>
        </is>
      </c>
      <c r="B3707" s="4" t="s">
        <f>=HYPERLINK("http://anyluxury.ru/shop/odezhda/detskaya-odezhda/tolstovka-s-kapyushonom-uniseks-hoodie-seriy-melanzh-wu03w610/" , "WU03W610 Толстовка с капюшоном унисекс Hoodie, серый меланж, размер S")</f>
      </c>
      <c r="C3707" s="4" t="n">
        <v>2774.00</v>
      </c>
      <c r="D3707" s="4"/>
    </row>
    <row collapsed="" customFormat="false" customHeight="1" hidden="" ht="14" outlineLevel="0" r="3708">
      <c r="A3708" s="3" t="inlineStr">
        <is>
          <t>3677</t>
        </is>
      </c>
      <c r="B3708" s="4" t="s">
        <f>=HYPERLINK("http://anyluxury.ru/shop/odezhda/detskaya-odezhda/tolstovka-s-kapyushonom-uniseks-hoodie-seriy-melanzh-wu03w610/" , "WU03W610 Толстовка с капюшоном унисекс Hoodie, серый меланж, размер XL")</f>
      </c>
      <c r="C3708" s="4" t="n">
        <v>2774.00</v>
      </c>
      <c r="D3708" s="4"/>
    </row>
    <row collapsed="" customFormat="false" customHeight="1" hidden="" ht="14" outlineLevel="0" r="3709">
      <c r="A3709" s="3" t="inlineStr">
        <is>
          <t>3678</t>
        </is>
      </c>
      <c r="B3709" s="4" t="s">
        <f>=HYPERLINK("http://anyluxury.ru/shop/odezhda/detskaya-odezhda/tolstovka-s-kapyushonom-uniseks-hoodie-seriy-melanzh-wu03w610/" , "WU03W610 Толстовка с капюшоном унисекс Hoodie, серый меланж, размер XXL")</f>
      </c>
      <c r="C3709" s="4" t="n">
        <v>2774.00</v>
      </c>
      <c r="D3709" s="4"/>
    </row>
    <row collapsed="" customFormat="false" customHeight="1" hidden="" ht="14" outlineLevel="0" r="3710">
      <c r="A3710" s="3" t="inlineStr">
        <is>
          <t>3679</t>
        </is>
      </c>
      <c r="B3710" s="4" t="s">
        <f>=HYPERLINK("http://anyluxury.ru/shop/odezhda/detskaya-odezhda/tolstovka-s-kapyushonom-uniseks-hoodie-seriy-melanzh-wu03w610/" , "WU03W610 Толстовка с капюшоном унисекс Hoodie, серый меланж, размер 4XL")</f>
      </c>
      <c r="C3710" s="4" t="n">
        <v>3462.00</v>
      </c>
      <c r="D3710" s="4"/>
    </row>
    <row collapsed="" customFormat="false" customHeight="1" hidden="" ht="14" outlineLevel="0" r="3711">
      <c r="A3711" s="3" t="inlineStr">
        <is>
          <t>3680</t>
        </is>
      </c>
      <c r="B3711" s="4" t="s">
        <f>=HYPERLINK("http://anyluxury.ru/shop/odezhda/detskaya-odezhda/tolstovka-s-kapyushonom-uniseks-hoodie-seriy-melanzh-wu03w610/" , "WU03W610 Толстовка с капюшоном унисекс Hoodie, серый меланж, размер 5XL")</f>
      </c>
      <c r="C3711" s="4" t="n">
        <v>3462.00</v>
      </c>
      <c r="D3711" s="4"/>
    </row>
    <row collapsed="" customFormat="false" customHeight="1" hidden="" ht="14" outlineLevel="0" r="3712">
      <c r="A3712" s="3" t="inlineStr">
        <is>
          <t>3681</t>
        </is>
      </c>
      <c r="B3712" s="4" t="s">
        <f>=HYPERLINK("http://anyluxury.ru/shop/odezhda/detskaya-odezhda/tolstovka-s-kapyushonom-uniseks-hoodie-siniy-melanzh-wu03w611/" , "WU03W611 Толстовка с капюшоном унисекс Hoodie, синий меланж, размер XS")</f>
      </c>
      <c r="C3712" s="4" t="n">
        <v>2774.00</v>
      </c>
      <c r="D3712" s="4"/>
    </row>
    <row collapsed="" customFormat="false" customHeight="1" hidden="" ht="14" outlineLevel="0" r="3713">
      <c r="A3713" s="3" t="inlineStr">
        <is>
          <t>3682</t>
        </is>
      </c>
      <c r="B3713" s="4" t="s">
        <f>=HYPERLINK("http://anyluxury.ru/shop/odezhda/detskaya-odezhda/tolstovka-s-kapyushonom-uniseks-hoodie-siniy-melanzh-wu03w611/" , "WU03W611 Толстовка с капюшоном унисекс Hoodie, синий меланж, размер S")</f>
      </c>
      <c r="C3713" s="4" t="n">
        <v>2774.00</v>
      </c>
      <c r="D3713" s="4"/>
    </row>
    <row collapsed="" customFormat="false" customHeight="1" hidden="" ht="14" outlineLevel="0" r="3714">
      <c r="A3714" s="3" t="inlineStr">
        <is>
          <t>3683</t>
        </is>
      </c>
      <c r="B3714" s="4" t="s">
        <f>=HYPERLINK("http://anyluxury.ru/shop/odezhda/detskaya-odezhda/tolstovka-s-kapyushonom-uniseks-hoodie-siniy-melanzh-wu03w611/" , "WU03W611 Толстовка с капюшоном унисекс Hoodie, синий меланж, размер L")</f>
      </c>
      <c r="C3714" s="4" t="n">
        <v>2774.00</v>
      </c>
      <c r="D3714" s="4"/>
    </row>
    <row collapsed="" customFormat="false" customHeight="1" hidden="" ht="14" outlineLevel="0" r="3715">
      <c r="A3715" s="3" t="inlineStr">
        <is>
          <t>3684</t>
        </is>
      </c>
      <c r="B3715" s="4" t="s">
        <f>=HYPERLINK("http://anyluxury.ru/shop/odezhda/detskaya-odezhda/tolstovka-s-kapyushonom-uniseks-hoodie-siniy-melanzh-wu03w611/" , "WU03W611 Толстовка с капюшоном унисекс Hoodie, синий меланж, размер XXL")</f>
      </c>
      <c r="C3715" s="4" t="n">
        <v>2774.00</v>
      </c>
      <c r="D3715" s="4"/>
    </row>
    <row collapsed="" customFormat="false" customHeight="1" hidden="" ht="14" outlineLevel="0" r="3716">
      <c r="A3716" s="3" t="inlineStr">
        <is>
          <t>3685</t>
        </is>
      </c>
      <c r="B3716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XS")</f>
      </c>
      <c r="C3716" s="4" t="n">
        <v>2774.00</v>
      </c>
      <c r="D3716" s="4"/>
    </row>
    <row collapsed="" customFormat="false" customHeight="1" hidden="" ht="14" outlineLevel="0" r="3717">
      <c r="A3717" s="3" t="inlineStr">
        <is>
          <t>3686</t>
        </is>
      </c>
      <c r="B3717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XXL")</f>
      </c>
      <c r="C3717" s="4" t="n">
        <v>2774.00</v>
      </c>
      <c r="D3717" s="4"/>
    </row>
    <row collapsed="" customFormat="false" customHeight="1" hidden="" ht="14" outlineLevel="0" r="3718">
      <c r="A3718" s="3" t="inlineStr">
        <is>
          <t>3687</t>
        </is>
      </c>
      <c r="B3718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3XL")</f>
      </c>
      <c r="C3718" s="4" t="n">
        <v>2774.00</v>
      </c>
      <c r="D3718" s="4"/>
    </row>
    <row collapsed="" customFormat="false" customHeight="1" hidden="" ht="14" outlineLevel="0" r="3719">
      <c r="A3719" s="3" t="inlineStr">
        <is>
          <t>3688</t>
        </is>
      </c>
      <c r="B3719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XS")</f>
      </c>
      <c r="C3719" s="4" t="n">
        <v>2774.00</v>
      </c>
      <c r="D3719" s="4"/>
    </row>
    <row collapsed="" customFormat="false" customHeight="1" hidden="" ht="14" outlineLevel="0" r="3720">
      <c r="A3720" s="3" t="inlineStr">
        <is>
          <t>3689</t>
        </is>
      </c>
      <c r="B3720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S")</f>
      </c>
      <c r="C3720" s="4" t="n">
        <v>2774.00</v>
      </c>
      <c r="D3720" s="4"/>
    </row>
    <row collapsed="" customFormat="false" customHeight="1" hidden="" ht="14" outlineLevel="0" r="3721">
      <c r="A3721" s="3" t="inlineStr">
        <is>
          <t>3690</t>
        </is>
      </c>
      <c r="B3721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XL")</f>
      </c>
      <c r="C3721" s="4" t="n">
        <v>2774.00</v>
      </c>
      <c r="D3721" s="4"/>
    </row>
    <row collapsed="" customFormat="false" customHeight="1" hidden="" ht="14" outlineLevel="0" r="3722">
      <c r="A3722" s="3" t="inlineStr">
        <is>
          <t>3691</t>
        </is>
      </c>
      <c r="B3722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XXL")</f>
      </c>
      <c r="C3722" s="4" t="n">
        <v>2774.00</v>
      </c>
      <c r="D3722" s="4"/>
    </row>
    <row collapsed="" customFormat="false" customHeight="1" hidden="" ht="14" outlineLevel="0" r="3723">
      <c r="A3723" s="3" t="inlineStr">
        <is>
          <t>3692</t>
        </is>
      </c>
      <c r="B3723" s="4" t="s">
        <f>=HYPERLINK("http://anyluxury.ru/shop/odezhda/detskaya-odezhda/tolstovka-s-kapyushonom-uniseks-hoodie-krasniy-melanzh-wu03w617/" , "WU03W617 Толстовка с капюшоном унисекс Hoodie, красный меланж, размер XS")</f>
      </c>
      <c r="C3723" s="4" t="n">
        <v>2774.00</v>
      </c>
      <c r="D3723" s="4"/>
    </row>
    <row collapsed="" customFormat="false" customHeight="1" hidden="" ht="14" outlineLevel="0" r="3724">
      <c r="A3724" s="3" t="inlineStr">
        <is>
          <t>3693</t>
        </is>
      </c>
      <c r="B3724" s="4" t="s">
        <f>=HYPERLINK("http://anyluxury.ru/shop/odezhda/detskaya-odezhda/tolstovka-s-kapyushonom-uniseks-hoodie-krasniy-melanzh-wu03w617/" , "WU03W617 Толстовка с капюшоном унисекс Hoodie, красный меланж, размер S")</f>
      </c>
      <c r="C3724" s="4" t="n">
        <v>2774.00</v>
      </c>
      <c r="D3724" s="4"/>
    </row>
    <row collapsed="" customFormat="false" customHeight="1" hidden="" ht="14" outlineLevel="0" r="3725">
      <c r="A3725" s="3" t="inlineStr">
        <is>
          <t>3694</t>
        </is>
      </c>
      <c r="B3725" s="4" t="s">
        <f>=HYPERLINK("http://anyluxury.ru/shop/odezhda/detskaya-odezhda/tolstovka-s-kapyushonom-uniseks-hoodie-krasniy-melanzh-wu03w617/" , "WU03W617 Толстовка с капюшоном унисекс Hoodie, красный меланж, размер M")</f>
      </c>
      <c r="C3725" s="4" t="n">
        <v>2774.00</v>
      </c>
      <c r="D3725" s="4"/>
    </row>
    <row collapsed="" customFormat="false" customHeight="1" hidden="" ht="14" outlineLevel="0" r="3726">
      <c r="A3726" s="3" t="inlineStr">
        <is>
          <t>3695</t>
        </is>
      </c>
      <c r="B3726" s="4" t="s">
        <f>=HYPERLINK("http://anyluxury.ru/shop/odezhda/detskaya-odezhda/tolstovka-s-kapyushonom-uniseks-hoodie-krasniy-melanzh-wu03w617/" , "WU03W617 Толстовка с капюшоном унисекс Hoodie, красный меланж, размер L")</f>
      </c>
      <c r="C3726" s="4" t="n">
        <v>2774.00</v>
      </c>
      <c r="D3726" s="4"/>
    </row>
    <row collapsed="" customFormat="false" customHeight="1" hidden="" ht="14" outlineLevel="0" r="3727">
      <c r="A3727" s="3" t="inlineStr">
        <is>
          <t>3696</t>
        </is>
      </c>
      <c r="B3727" s="4" t="s">
        <f>=HYPERLINK("http://anyluxury.ru/shop/odezhda/detskaya-odezhda/tolstovka-s-kapyushonom-uniseks-hoodie-krasniy-melanzh-wu03w617/" , "WU03W617 Толстовка с капюшоном унисекс Hoodie, красный меланж, размер XL")</f>
      </c>
      <c r="C3727" s="4" t="n">
        <v>2774.00</v>
      </c>
      <c r="D3727" s="4"/>
    </row>
    <row collapsed="" customFormat="false" customHeight="1" hidden="" ht="14" outlineLevel="0" r="3728">
      <c r="A3728" s="3" t="inlineStr">
        <is>
          <t>3697</t>
        </is>
      </c>
      <c r="B3728" s="4" t="s">
        <f>=HYPERLINK("http://anyluxury.ru/shop/odezhda/detskaya-odezhda/tolstovka-s-kapyushonom-uniseks-hoodie-krasniy-melanzh-wu03w617/" , "WU03W617 Толстовка с капюшоном унисекс Hoodie, красный меланж, размер XXL")</f>
      </c>
      <c r="C3728" s="4" t="n">
        <v>2774.00</v>
      </c>
      <c r="D3728" s="4"/>
    </row>
    <row collapsed="" customFormat="false" customHeight="1" hidden="" ht="14" outlineLevel="0" r="3729">
      <c r="A3729" s="3" t="inlineStr">
        <is>
          <t>3698</t>
        </is>
      </c>
      <c r="B3729" s="4" t="s">
        <f>=HYPERLINK("http://anyluxury.ru/shop/odezhda/detskaya-odezhda/tolstovka-s-kapyushonom-uniseks-hoodie-krasniy-melanzh-wu03w617/" , "WU03W617 Толстовка с капюшоном унисекс Hoodie, красный меланж, размер 3XL")</f>
      </c>
      <c r="C3729" s="4" t="n">
        <v>2774.00</v>
      </c>
      <c r="D3729" s="4"/>
    </row>
    <row collapsed="" customFormat="false" customHeight="1" hidden="" ht="14" outlineLevel="0" r="3730">
      <c r="A3730" s="3" t="inlineStr">
        <is>
          <t>3699</t>
        </is>
      </c>
      <c r="B3730" s="4" t="s">
        <f>=HYPERLINK("http://anyluxury.ru/shop/odezhda/detskaya-odezhda/tolstovka-s-kapyushonom-uniseks-hoodie-temnozeleniy-melanzh-wu03w618/" , "WU03W618 Толстовка с капюшоном унисекс Hoodie, темно-зеленый меланж, размер XS")</f>
      </c>
      <c r="C3730" s="4" t="n">
        <v>2774.00</v>
      </c>
      <c r="D3730" s="4"/>
    </row>
    <row collapsed="" customFormat="false" customHeight="1" hidden="" ht="14" outlineLevel="0" r="3731">
      <c r="A3731" s="3" t="inlineStr">
        <is>
          <t>3700</t>
        </is>
      </c>
      <c r="B3731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XS")</f>
      </c>
      <c r="C3731" s="4" t="n">
        <v>2774.00</v>
      </c>
      <c r="D3731" s="4"/>
    </row>
    <row collapsed="" customFormat="false" customHeight="1" hidden="" ht="14" outlineLevel="0" r="3732">
      <c r="A3732" s="3" t="inlineStr">
        <is>
          <t>3701</t>
        </is>
      </c>
      <c r="B3732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S")</f>
      </c>
      <c r="C3732" s="4" t="n">
        <v>2774.00</v>
      </c>
      <c r="D3732" s="4"/>
    </row>
    <row collapsed="" customFormat="false" customHeight="1" hidden="" ht="14" outlineLevel="0" r="3733">
      <c r="A3733" s="3" t="inlineStr">
        <is>
          <t>3702</t>
        </is>
      </c>
      <c r="B3733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L")</f>
      </c>
      <c r="C3733" s="4" t="n">
        <v>2774.00</v>
      </c>
      <c r="D3733" s="4"/>
    </row>
    <row collapsed="" customFormat="false" customHeight="1" hidden="" ht="14" outlineLevel="0" r="3734">
      <c r="A3734" s="3" t="inlineStr">
        <is>
          <t>3703</t>
        </is>
      </c>
      <c r="B3734" s="4" t="s">
        <f>=HYPERLINK("http://anyluxury.ru/shop/odezhda/detskaya-odezhda/tolstovka-s-kapyushonom-uniseks-hoodie-seraya-stalnaya-wu03w665/" , "WU03W665 Толстовка с капюшоном унисекс Hoodie, серая (стальная), размер XS")</f>
      </c>
      <c r="C3734" s="4" t="n">
        <v>2774.00</v>
      </c>
      <c r="D3734" s="4"/>
    </row>
    <row collapsed="" customFormat="false" customHeight="1" hidden="" ht="14" outlineLevel="0" r="3735">
      <c r="A3735" s="3" t="inlineStr">
        <is>
          <t>3704</t>
        </is>
      </c>
      <c r="B3735" s="4" t="s">
        <f>=HYPERLINK("http://anyluxury.ru/shop/odezhda/detskaya-odezhda/tolstovka-s-kapyushonom-uniseks-hoodie-seraya-stalnaya-wu03w665/" , "WU03W665 Толстовка с капюшоном унисекс Hoodie, серая (стальная), размер 3XL")</f>
      </c>
      <c r="C3735" s="4" t="n">
        <v>2774.00</v>
      </c>
      <c r="D3735" s="4"/>
    </row>
    <row collapsed="" customFormat="false" customHeight="1" hidden="" ht="14" outlineLevel="0" r="3736">
      <c r="A3736" s="3" t="inlineStr">
        <is>
          <t>3705</t>
        </is>
      </c>
      <c r="B3736" s="4" t="s">
        <f>=HYPERLINK("http://anyluxury.ru/shop/odezhda/detskaya-odezhda/tolstovka-s-kapyushonom-uniseks-hoodie-temnoseraya-wu03w669/" , "WU03W669 Толстовка с капюшоном унисекс Hoodie, темно-серая, размер XS")</f>
      </c>
      <c r="C3736" s="4" t="n">
        <v>2774.00</v>
      </c>
      <c r="D3736" s="4"/>
    </row>
    <row collapsed="" customFormat="false" customHeight="1" hidden="" ht="14" outlineLevel="0" r="3737">
      <c r="A3737" s="3" t="inlineStr">
        <is>
          <t>3706</t>
        </is>
      </c>
      <c r="B3737" s="4" t="s">
        <f>=HYPERLINK("http://anyluxury.ru/shop/odezhda/detskaya-odezhda/tolstovka-s-kapyushonom-uniseks-hoodie-temnoseraya-wu03w669/" , "WU03W669 Толстовка с капюшоном унисекс Hoodie, темно-серая, размер S")</f>
      </c>
      <c r="C3737" s="4" t="n">
        <v>2774.00</v>
      </c>
      <c r="D3737" s="4"/>
    </row>
    <row collapsed="" customFormat="false" customHeight="1" hidden="" ht="14" outlineLevel="0" r="3738">
      <c r="A3738" s="3" t="inlineStr">
        <is>
          <t>3707</t>
        </is>
      </c>
      <c r="B3738" s="4" t="s">
        <f>=HYPERLINK("http://anyluxury.ru/shop/odezhda/detskaya-odezhda/tolstovka-s-kapyushonom-uniseks-hoodie-temnoseraya-wu03w669/" , "WU03W669 Толстовка с капюшоном унисекс Hoodie, темно-серая, размер 3XL")</f>
      </c>
      <c r="C3738" s="4" t="n">
        <v>2774.00</v>
      </c>
      <c r="D3738" s="4"/>
    </row>
    <row collapsed="" customFormat="false" customHeight="1" hidden="" ht="14" outlineLevel="0" r="3739">
      <c r="A3739" s="3" t="inlineStr">
        <is>
          <t>3708</t>
        </is>
      </c>
      <c r="B3739" s="4" t="s">
        <f>=HYPERLINK("http://anyluxury.ru/shop/odezhda/detskaya-odezhda/tolstovka-s-kapyushonom-uniseks-hoodie-temnoseraya-wu03w669/" , "WU03W669 Толстовка с капюшоном унисекс Hoodie, темно-серая, размер 4XL")</f>
      </c>
      <c r="C3739" s="4" t="n">
        <v>3462.00</v>
      </c>
      <c r="D3739" s="4"/>
    </row>
    <row collapsed="" customFormat="false" customHeight="1" hidden="" ht="14" outlineLevel="0" r="3740">
      <c r="A3740" s="3" t="inlineStr">
        <is>
          <t>3709</t>
        </is>
      </c>
      <c r="B3740" s="4" t="s">
        <f>=HYPERLINK("http://anyluxury.ru/shop/odezhda/detskaya-odezhda/tolstovka-s-kapyushonom-uniseks-hoodie-temnoseraya-wu03w669/" , "WU03W669 Толстовка с капюшоном унисекс Hoodie, темно-серая, размер 5XL")</f>
      </c>
      <c r="C3740" s="4" t="n">
        <v>3462.00</v>
      </c>
      <c r="D3740" s="4"/>
    </row>
    <row collapsed="" customFormat="false" customHeight="1" hidden="" ht="14" outlineLevel="0" r="3741">
      <c r="A3741" s="3" t="inlineStr">
        <is>
          <t>3710</t>
        </is>
      </c>
      <c r="B3741" s="4" t="s">
        <f>=HYPERLINK("http://anyluxury.ru/shop/odezhda/detskaya-odezhda/tolstovka-s-kapyushonom-uniseks-hoodie-dimchatoseraya-wu03w672/" , "WU03W672 Толстовка с капюшоном унисекс Hoodie, дымчато-серая, размер XS")</f>
      </c>
      <c r="C3741" s="4" t="n">
        <v>2774.00</v>
      </c>
      <c r="D3741" s="4"/>
    </row>
    <row collapsed="" customFormat="false" customHeight="1" hidden="" ht="14" outlineLevel="0" r="3742">
      <c r="A3742" s="3" t="inlineStr">
        <is>
          <t>3711</t>
        </is>
      </c>
      <c r="B3742" s="4" t="s">
        <f>=HYPERLINK("http://anyluxury.ru/shop/odezhda/detskaya-odezhda/tolstovka-s-kapyushonom-uniseks-hoodie-dimchatoseraya-wu03w672/" , "WU03W672 Толстовка с капюшоном унисекс Hoodie, дымчато-серая, размер S")</f>
      </c>
      <c r="C3742" s="4" t="n">
        <v>2774.00</v>
      </c>
      <c r="D3742" s="4"/>
    </row>
    <row collapsed="" customFormat="false" customHeight="1" hidden="" ht="14" outlineLevel="0" r="3743">
      <c r="A3743" s="3" t="inlineStr">
        <is>
          <t>3712</t>
        </is>
      </c>
      <c r="B3743" s="4" t="s">
        <f>=HYPERLINK("http://anyluxury.ru/shop/odezhda/detskaya-odezhda/tolstovka-s-kapyushonom-uniseks-hoodie-dimchatoseraya-wu03w672/" , "WU03W672 Толстовка с капюшоном унисекс Hoodie, дымчато-серая, размер XXL")</f>
      </c>
      <c r="C3743" s="4" t="n">
        <v>2774.00</v>
      </c>
      <c r="D3743" s="4"/>
    </row>
    <row collapsed="" customFormat="false" customHeight="1" hidden="" ht="14" outlineLevel="0" r="3744">
      <c r="A3744" s="3" t="inlineStr">
        <is>
          <t>3713</t>
        </is>
      </c>
      <c r="B3744" s="4" t="s">
        <f>=HYPERLINK("http://anyluxury.ru/shop/odezhda/detskaya-odezhda/tolstovka-s-kapyushonom-uniseks-hoodie-dimchatoseraya-wu03w672/" , "WU03W672 Толстовка с капюшоном унисекс Hoodie, дымчато-серая, размер 3XL")</f>
      </c>
      <c r="C3744" s="4" t="n">
        <v>2774.00</v>
      </c>
      <c r="D3744" s="4"/>
    </row>
    <row collapsed="" customFormat="false" customHeight="1" hidden="" ht="14" outlineLevel="0" r="3745">
      <c r="A3745" s="3" t="inlineStr">
        <is>
          <t>3714</t>
        </is>
      </c>
      <c r="B3745" s="4" t="s">
        <f>=HYPERLINK("http://anyluxury.ru/shop/odezhda/detskaya-odezhda/tolstovka-s-kapyushonom-uniseks-hoodie-bordovaya-wu03w881/" , "WU03W881 Толстовка с капюшоном унисекс Hoodie, бордовая, размер XS")</f>
      </c>
      <c r="C3745" s="4" t="n">
        <v>2774.00</v>
      </c>
      <c r="D3745" s="4"/>
    </row>
    <row collapsed="" customFormat="false" customHeight="1" hidden="" ht="14" outlineLevel="0" r="3746">
      <c r="A3746" s="3" t="inlineStr">
        <is>
          <t>3715</t>
        </is>
      </c>
      <c r="B3746" s="4" t="s">
        <f>=HYPERLINK("http://anyluxury.ru/shop/odezhda/detskaya-odezhda/tolstovka-s-kapyushonom-uniseks-hoodie-bordovaya-wu03w881/" , "WU03W881 Толстовка с капюшоном унисекс Hoodie, бордовая, размер S")</f>
      </c>
      <c r="C3746" s="4" t="n">
        <v>2774.00</v>
      </c>
      <c r="D3746" s="4"/>
    </row>
    <row collapsed="" customFormat="false" customHeight="1" hidden="" ht="14" outlineLevel="0" r="3747">
      <c r="A3747" s="3" t="inlineStr">
        <is>
          <t>3716</t>
        </is>
      </c>
      <c r="B3747" s="4" t="s">
        <f>=HYPERLINK("http://anyluxury.ru/shop/odezhda/detskaya-odezhda/tolstovka-s-kapyushonom-uniseks-hoodie-bordovaya-wu03w881/" , "WU03W881 Толстовка с капюшоном унисекс Hoodie, бордовая, размер XXL")</f>
      </c>
      <c r="C3747" s="4" t="n">
        <v>2774.00</v>
      </c>
      <c r="D3747" s="4"/>
    </row>
    <row collapsed="" customFormat="false" customHeight="1" hidden="" ht="14" outlineLevel="0" r="3748">
      <c r="A3748" s="3" t="inlineStr">
        <is>
          <t>3717</t>
        </is>
      </c>
      <c r="B3748" s="4" t="s">
        <f>=HYPERLINK("http://anyluxury.ru/shop/odezhda/detskaya-odezhda/tolstovka-s-kapyushonom-uniseks-hoodie-bordovaya-wu03w881/" , "WU03W881 Толстовка с капюшоном унисекс Hoodie, бордовая, размер 3XL")</f>
      </c>
      <c r="C3748" s="4" t="n">
        <v>2774.00</v>
      </c>
      <c r="D3748" s="4"/>
    </row>
    <row collapsed="" customFormat="false" customHeight="1" hidden="" ht="14" outlineLevel="0" r="3749">
      <c r="A3749" s="3" t="inlineStr">
        <is>
          <t>3718</t>
        </is>
      </c>
      <c r="B3749" s="4" t="s">
        <f>=HYPERLINK("http://anyluxury.ru/shop/odezhda/detskaya-odezhda/tolstovka-s-kapyushonom-zhenskaya-hoodie-belaya-ww04w001/" , "WW04W001 Толстовка с капюшоном женская Hoodie, белая, размер XS")</f>
      </c>
      <c r="C3749" s="4" t="n">
        <v>2718.00</v>
      </c>
      <c r="D3749" s="4"/>
    </row>
    <row collapsed="" customFormat="false" customHeight="1" hidden="" ht="14" outlineLevel="0" r="3750">
      <c r="A3750" s="3" t="inlineStr">
        <is>
          <t>3719</t>
        </is>
      </c>
      <c r="B3750" s="4" t="s">
        <f>=HYPERLINK("http://anyluxury.ru/shop/odezhda/detskaya-odezhda/tolstovka-s-kapyushonom-zhenskaya-hoodie-belaya-ww04w001/" , "WW04W001 Толстовка с капюшоном женская Hoodie, белая, размер L")</f>
      </c>
      <c r="C3750" s="4" t="n">
        <v>2718.00</v>
      </c>
      <c r="D3750" s="4"/>
    </row>
    <row collapsed="" customFormat="false" customHeight="1" hidden="" ht="14" outlineLevel="0" r="3751">
      <c r="A3751" s="3" t="inlineStr">
        <is>
          <t>3720</t>
        </is>
      </c>
      <c r="B3751" s="4" t="s">
        <f>=HYPERLINK("http://anyluxury.ru/shop/odezhda/detskaya-odezhda/tolstovka-s-kapyushonom-zhenskaya-hoodie-belaya-ww04w001/" , "WW04W001 Толстовка с капюшоном женская Hoodie, белая, размер XL")</f>
      </c>
      <c r="C3751" s="4" t="n">
        <v>2718.00</v>
      </c>
      <c r="D3751" s="4"/>
    </row>
    <row collapsed="" customFormat="false" customHeight="1" hidden="" ht="14" outlineLevel="0" r="3752">
      <c r="A3752" s="3" t="inlineStr">
        <is>
          <t>3721</t>
        </is>
      </c>
      <c r="B3752" s="4" t="s">
        <f>=HYPERLINK("http://anyluxury.ru/shop/odezhda/detskaya-odezhda/tolstovka-s-kapyushonom-zhenskaya-hoodie-belaya-ww04w001/" , "WW04W001 Толстовка с капюшоном женская Hoodie, белая, размер XXL")</f>
      </c>
      <c r="C3752" s="4" t="n">
        <v>2718.00</v>
      </c>
      <c r="D3752" s="4"/>
    </row>
    <row collapsed="" customFormat="false" customHeight="1" hidden="" ht="14" outlineLevel="0" r="3753">
      <c r="A3753" s="3" t="inlineStr">
        <is>
          <t>3722</t>
        </is>
      </c>
      <c r="B3753" s="4" t="s">
        <f>=HYPERLINK("http://anyluxury.ru/shop/odezhda/detskaya-odezhda/tolstovka-s-kapyushonom-zhenskaya-hoodie-belaya-ww04w001/" , "WW04W001 Толстовка с капюшоном женская Hoodie, белая, размер 3XL")</f>
      </c>
      <c r="C3753" s="4" t="n">
        <v>3400.00</v>
      </c>
      <c r="D3753" s="4"/>
    </row>
    <row collapsed="" customFormat="false" customHeight="1" hidden="" ht="14" outlineLevel="0" r="3754">
      <c r="A3754" s="3" t="inlineStr">
        <is>
          <t>3723</t>
        </is>
      </c>
      <c r="B3754" s="4" t="s">
        <f>=HYPERLINK("http://anyluxury.ru/shop/odezhda/detskaya-odezhda/tolstovka-s-kapyushonom-zhenskaya-hoodie-krasnaya-ww04w004/" , "WW04W004 Толстовка с капюшоном женская Hoodie, красная, размер XS")</f>
      </c>
      <c r="C3754" s="4" t="n">
        <v>2718.00</v>
      </c>
      <c r="D3754" s="4"/>
    </row>
    <row collapsed="" customFormat="false" customHeight="1" hidden="" ht="14" outlineLevel="0" r="3755">
      <c r="A3755" s="3" t="inlineStr">
        <is>
          <t>3724</t>
        </is>
      </c>
      <c r="B3755" s="4" t="s">
        <f>=HYPERLINK("http://anyluxury.ru/shop/odezhda/detskaya-odezhda/tolstovka-s-kapyushonom-zhenskaya-hoodie-krasnaya-ww04w004/" , "WW04W004 Толстовка с капюшоном женская Hoodie, красная, размер XL")</f>
      </c>
      <c r="C3755" s="4" t="n">
        <v>2718.00</v>
      </c>
      <c r="D3755" s="4"/>
    </row>
    <row collapsed="" customFormat="false" customHeight="1" hidden="" ht="14" outlineLevel="0" r="3756">
      <c r="A3756" s="3" t="inlineStr">
        <is>
          <t>3725</t>
        </is>
      </c>
      <c r="B3756" s="4" t="s">
        <f>=HYPERLINK("http://anyluxury.ru/shop/odezhda/detskaya-odezhda/tolstovka-s-kapyushonom-zhenskaya-hoodie-krasnaya-ww04w004/" , "WW04W004 Толстовка с капюшоном женская Hoodie, красная, размер XXL")</f>
      </c>
      <c r="C3756" s="4" t="n">
        <v>2718.00</v>
      </c>
      <c r="D3756" s="4"/>
    </row>
    <row collapsed="" customFormat="false" customHeight="1" hidden="" ht="14" outlineLevel="0" r="3757">
      <c r="A3757" s="3" t="inlineStr">
        <is>
          <t>3726</t>
        </is>
      </c>
      <c r="B3757" s="4" t="s">
        <f>=HYPERLINK("http://anyluxury.ru/shop/odezhda/detskaya-odezhda/tolstovka-s-kapyushonom-zhenskaya-hoodie-krasnaya-ww04w004/" , "WW04W004 Толстовка с капюшоном женская Hoodie, красная, размер 3XL")</f>
      </c>
      <c r="C3757" s="4" t="n">
        <v>3400.00</v>
      </c>
      <c r="D3757" s="4"/>
    </row>
    <row collapsed="" customFormat="false" customHeight="1" hidden="" ht="14" outlineLevel="0" r="3758">
      <c r="A3758" s="3" t="inlineStr">
        <is>
          <t>3727</t>
        </is>
      </c>
      <c r="B3758" s="4" t="s">
        <f>=HYPERLINK("http://anyluxury.ru/shop/odezhda/detskaya-odezhda/tolstovka-s-kapyushonom-zhenskaya-hoodie-chernaya-ww04w005/" , "WW04W005 Толстовка с капюшоном женская Hoodie, черная, размер XS")</f>
      </c>
      <c r="C3758" s="4" t="n">
        <v>2718.00</v>
      </c>
      <c r="D3758" s="4"/>
    </row>
    <row collapsed="" customFormat="false" customHeight="1" hidden="" ht="14" outlineLevel="0" r="3759">
      <c r="A3759" s="3" t="inlineStr">
        <is>
          <t>3728</t>
        </is>
      </c>
      <c r="B3759" s="4" t="s">
        <f>=HYPERLINK("http://anyluxury.ru/shop/odezhda/detskaya-odezhda/tolstovka-s-kapyushonom-zhenskaya-hoodie-chernaya-ww04w005/" , "WW04W005 Толстовка с капюшоном женская Hoodie, черная, размер S")</f>
      </c>
      <c r="C3759" s="4" t="n">
        <v>2718.00</v>
      </c>
      <c r="D3759" s="4"/>
    </row>
    <row collapsed="" customFormat="false" customHeight="1" hidden="" ht="14" outlineLevel="0" r="3760">
      <c r="A3760" s="3" t="inlineStr">
        <is>
          <t>3729</t>
        </is>
      </c>
      <c r="B3760" s="4" t="s">
        <f>=HYPERLINK("http://anyluxury.ru/shop/odezhda/detskaya-odezhda/tolstovka-s-kapyushonom-zhenskaya-hoodie-chernaya-ww04w005/" , "WW04W005 Толстовка с капюшоном женская Hoodie, черная, размер L")</f>
      </c>
      <c r="C3760" s="4" t="n">
        <v>2718.00</v>
      </c>
      <c r="D3760" s="4"/>
    </row>
    <row collapsed="" customFormat="false" customHeight="1" hidden="" ht="14" outlineLevel="0" r="3761">
      <c r="A3761" s="3" t="inlineStr">
        <is>
          <t>3730</t>
        </is>
      </c>
      <c r="B3761" s="4" t="s">
        <f>=HYPERLINK("http://anyluxury.ru/shop/odezhda/detskaya-odezhda/tolstovka-s-kapyushonom-zhenskaya-hoodie-chernaya-ww04w005/" , "WW04W005 Толстовка с капюшоном женская Hoodie, черная, размер XL")</f>
      </c>
      <c r="C3761" s="4" t="n">
        <v>2718.00</v>
      </c>
      <c r="D3761" s="4"/>
    </row>
    <row collapsed="" customFormat="false" customHeight="1" hidden="" ht="14" outlineLevel="0" r="3762">
      <c r="A3762" s="3" t="inlineStr">
        <is>
          <t>3731</t>
        </is>
      </c>
      <c r="B3762" s="4" t="s">
        <f>=HYPERLINK("http://anyluxury.ru/shop/odezhda/detskaya-odezhda/tolstovka-s-kapyushonom-zhenskaya-hoodie-chernaya-ww04w005/" , "WW04W005 Толстовка с капюшоном женская Hoodie, черная, размер XXL")</f>
      </c>
      <c r="C3762" s="4" t="n">
        <v>2718.00</v>
      </c>
      <c r="D3762" s="4"/>
    </row>
    <row collapsed="" customFormat="false" customHeight="1" hidden="" ht="14" outlineLevel="0" r="3763">
      <c r="A3763" s="3" t="inlineStr">
        <is>
          <t>3732</t>
        </is>
      </c>
      <c r="B3763" s="4" t="s">
        <f>=HYPERLINK("http://anyluxury.ru/shop/odezhda/detskaya-odezhda/tolstovka-s-kapyushonom-zhenskaya-hoodie-chernaya-ww04w005/" , "WW04W005 Толстовка с капюшоном женская Hoodie, черная, размер 3XL")</f>
      </c>
      <c r="C3763" s="4" t="n">
        <v>3400.00</v>
      </c>
      <c r="D3763" s="4"/>
    </row>
    <row collapsed="" customFormat="false" customHeight="1" hidden="" ht="14" outlineLevel="0" r="3764">
      <c r="A3764" s="3" t="inlineStr">
        <is>
          <t>3733</t>
        </is>
      </c>
      <c r="B3764" s="4" t="s">
        <f>=HYPERLINK("http://anyluxury.ru/shop/odezhda/detskaya-odezhda/tolstovka-s-kapyushonom-zhenskaya-hoodie-temnosinyaya-ww04w006/" , "WW04W006 Толстовка с капюшоном женская Hoodie, темно-синяя, размер XS")</f>
      </c>
      <c r="C3764" s="4" t="n">
        <v>2718.00</v>
      </c>
      <c r="D3764" s="4"/>
    </row>
    <row collapsed="" customFormat="false" customHeight="1" hidden="" ht="14" outlineLevel="0" r="3765">
      <c r="A3765" s="3" t="inlineStr">
        <is>
          <t>3734</t>
        </is>
      </c>
      <c r="B3765" s="4" t="s">
        <f>=HYPERLINK("http://anyluxury.ru/shop/odezhda/detskaya-odezhda/tolstovka-s-kapyushonom-zhenskaya-hoodie-temnosinyaya-ww04w006/" , "WW04W006 Толстовка с капюшоном женская Hoodie, темно-синяя, размер S")</f>
      </c>
      <c r="C3765" s="4" t="n">
        <v>2718.00</v>
      </c>
      <c r="D3765" s="4"/>
    </row>
    <row collapsed="" customFormat="false" customHeight="1" hidden="" ht="14" outlineLevel="0" r="3766">
      <c r="A3766" s="3" t="inlineStr">
        <is>
          <t>3735</t>
        </is>
      </c>
      <c r="B3766" s="4" t="s">
        <f>=HYPERLINK("http://anyluxury.ru/shop/odezhda/detskaya-odezhda/tolstovka-s-kapyushonom-zhenskaya-hoodie-temnosinyaya-ww04w006/" , "WW04W006 Толстовка с капюшоном женская Hoodie, темно-синяя, размер M")</f>
      </c>
      <c r="C3766" s="4" t="n">
        <v>2718.00</v>
      </c>
      <c r="D3766" s="4"/>
    </row>
    <row collapsed="" customFormat="false" customHeight="1" hidden="" ht="14" outlineLevel="0" r="3767">
      <c r="A3767" s="3" t="inlineStr">
        <is>
          <t>3736</t>
        </is>
      </c>
      <c r="B3767" s="4" t="s">
        <f>=HYPERLINK("http://anyluxury.ru/shop/odezhda/detskaya-odezhda/tolstovka-s-kapyushonom-zhenskaya-hoodie-temnosinyaya-ww04w006/" , "WW04W006 Толстовка с капюшоном женская Hoodie, темно-синяя, размер L")</f>
      </c>
      <c r="C3767" s="4" t="n">
        <v>2718.00</v>
      </c>
      <c r="D3767" s="4"/>
    </row>
    <row collapsed="" customFormat="false" customHeight="1" hidden="" ht="14" outlineLevel="0" r="3768">
      <c r="A3768" s="3" t="inlineStr">
        <is>
          <t>3737</t>
        </is>
      </c>
      <c r="B3768" s="4" t="s">
        <f>=HYPERLINK("http://anyluxury.ru/shop/odezhda/detskaya-odezhda/tolstovka-s-kapyushonom-zhenskaya-hoodie-temnosinyaya-ww04w006/" , "WW04W006 Толстовка с капюшоном женская Hoodie, темно-синяя, размер XL")</f>
      </c>
      <c r="C3768" s="4" t="n">
        <v>2718.00</v>
      </c>
      <c r="D3768" s="4"/>
    </row>
    <row collapsed="" customFormat="false" customHeight="1" hidden="" ht="14" outlineLevel="0" r="3769">
      <c r="A3769" s="3" t="inlineStr">
        <is>
          <t>3738</t>
        </is>
      </c>
      <c r="B3769" s="4" t="s">
        <f>=HYPERLINK("http://anyluxury.ru/shop/odezhda/detskaya-odezhda/tolstovka-s-kapyushonom-zhenskaya-hoodie-temnosinyaya-ww04w006/" , "WW04W006 Толстовка с капюшоном женская Hoodie, темно-синяя, размер XXL")</f>
      </c>
      <c r="C3769" s="4" t="n">
        <v>2718.00</v>
      </c>
      <c r="D3769" s="4"/>
    </row>
    <row collapsed="" customFormat="false" customHeight="1" hidden="" ht="14" outlineLevel="0" r="3770">
      <c r="A3770" s="3" t="inlineStr">
        <is>
          <t>3739</t>
        </is>
      </c>
      <c r="B3770" s="4" t="s">
        <f>=HYPERLINK("http://anyluxury.ru/shop/odezhda/detskaya-odezhda/tolstovka-s-kapyushonom-zhenskaya-hoodie-temnosinyaya-ww04w006/" , "WW04W006 Толстовка с капюшоном женская Hoodie, темно-синяя, размер 3XL")</f>
      </c>
      <c r="C3770" s="4" t="n">
        <v>3400.00</v>
      </c>
      <c r="D3770" s="4"/>
    </row>
    <row collapsed="" customFormat="false" customHeight="1" hidden="" ht="14" outlineLevel="0" r="3771">
      <c r="A3771" s="3" t="inlineStr">
        <is>
          <t>3740</t>
        </is>
      </c>
      <c r="B3771" s="4" t="s">
        <f>=HYPERLINK("http://anyluxury.ru/shop/odezhda/detskaya-odezhda/tolstovka-s-kapyushonom-zhenskaya-hoodie-bezhevaya-ww04w123/" , "WW04W123 Толстовка с капюшоном женская Hoodie, бежевая, размер XS")</f>
      </c>
      <c r="C3771" s="4" t="n">
        <v>2718.00</v>
      </c>
      <c r="D3771" s="4"/>
    </row>
    <row collapsed="" customFormat="false" customHeight="1" hidden="" ht="14" outlineLevel="0" r="3772">
      <c r="A3772" s="3" t="inlineStr">
        <is>
          <t>3741</t>
        </is>
      </c>
      <c r="B3772" s="4" t="s">
        <f>=HYPERLINK("http://anyluxury.ru/shop/odezhda/detskaya-odezhda/tolstovka-s-kapyushonom-zhenskaya-hoodie-bezhevaya-ww04w123/" , "WW04W123 Толстовка с капюшоном женская Hoodie, бежевая, размер S")</f>
      </c>
      <c r="C3772" s="4" t="n">
        <v>2718.00</v>
      </c>
      <c r="D3772" s="4"/>
    </row>
    <row collapsed="" customFormat="false" customHeight="1" hidden="" ht="14" outlineLevel="0" r="3773">
      <c r="A3773" s="3" t="inlineStr">
        <is>
          <t>3742</t>
        </is>
      </c>
      <c r="B3773" s="4" t="s">
        <f>=HYPERLINK("http://anyluxury.ru/shop/odezhda/detskaya-odezhda/tolstovka-s-kapyushonom-zhenskaya-hoodie-bezhevaya-ww04w123/" , "WW04W123 Толстовка с капюшоном женская Hoodie, бежевая, размер M")</f>
      </c>
      <c r="C3773" s="4" t="n">
        <v>2718.00</v>
      </c>
      <c r="D3773" s="4"/>
    </row>
    <row collapsed="" customFormat="false" customHeight="1" hidden="" ht="14" outlineLevel="0" r="3774">
      <c r="A3774" s="3" t="inlineStr">
        <is>
          <t>3743</t>
        </is>
      </c>
      <c r="B3774" s="4" t="s">
        <f>=HYPERLINK("http://anyluxury.ru/shop/odezhda/detskaya-odezhda/tolstovka-s-kapyushonom-zhenskaya-hoodie-bezhevaya-ww04w123/" , "WW04W123 Толстовка с капюшоном женская Hoodie, бежевая, размер L")</f>
      </c>
      <c r="C3774" s="4" t="n">
        <v>2718.00</v>
      </c>
      <c r="D3774" s="4"/>
    </row>
    <row collapsed="" customFormat="false" customHeight="1" hidden="" ht="14" outlineLevel="0" r="3775">
      <c r="A3775" s="3" t="inlineStr">
        <is>
          <t>3744</t>
        </is>
      </c>
      <c r="B3775" s="4" t="s">
        <f>=HYPERLINK("http://anyluxury.ru/shop/odezhda/detskaya-odezhda/tolstovka-s-kapyushonom-zhenskaya-hoodie-bezhevaya-ww04w123/" , "WW04W123 Толстовка с капюшоном женская Hoodie, бежевая, размер XL")</f>
      </c>
      <c r="C3775" s="4" t="n">
        <v>2718.00</v>
      </c>
      <c r="D3775" s="4"/>
    </row>
    <row collapsed="" customFormat="false" customHeight="1" hidden="" ht="14" outlineLevel="0" r="3776">
      <c r="A3776" s="3" t="inlineStr">
        <is>
          <t>3745</t>
        </is>
      </c>
      <c r="B3776" s="4" t="s">
        <f>=HYPERLINK("http://anyluxury.ru/shop/odezhda/detskaya-odezhda/tolstovka-s-kapyushonom-zhenskaya-hoodie-bezhevaya-ww04w123/" , "WW04W123 Толстовка с капюшоном женская Hoodie, бежевая, размер XXL")</f>
      </c>
      <c r="C3776" s="4" t="n">
        <v>2718.00</v>
      </c>
      <c r="D3776" s="4"/>
    </row>
    <row collapsed="" customFormat="false" customHeight="1" hidden="" ht="14" outlineLevel="0" r="3777">
      <c r="A3777" s="3" t="inlineStr">
        <is>
          <t>3746</t>
        </is>
      </c>
      <c r="B3777" s="4" t="s">
        <f>=HYPERLINK("http://anyluxury.ru/shop/odezhda/detskaya-odezhda/tolstovka-s-kapyushonom-zhenskaya-hoodie-svetlozheltaya-ww04w199/" , "WW04W199 Толстовка с капюшоном женская Hoodie, светло-желтая, размер XS")</f>
      </c>
      <c r="C3777" s="4" t="n">
        <v>2718.00</v>
      </c>
      <c r="D3777" s="4"/>
    </row>
    <row collapsed="" customFormat="false" customHeight="1" hidden="" ht="14" outlineLevel="0" r="3778">
      <c r="A3778" s="3" t="inlineStr">
        <is>
          <t>3747</t>
        </is>
      </c>
      <c r="B3778" s="4" t="s">
        <f>=HYPERLINK("http://anyluxury.ru/shop/odezhda/detskaya-odezhda/tolstovka-s-kapyushonom-zhenskaya-hoodie-svetlozheltaya-ww04w199/" , "WW04W199 Толстовка с капюшоном женская Hoodie, светло-желтая, размер S")</f>
      </c>
      <c r="C3778" s="4" t="n">
        <v>2718.00</v>
      </c>
      <c r="D3778" s="4"/>
    </row>
    <row collapsed="" customFormat="false" customHeight="1" hidden="" ht="14" outlineLevel="0" r="3779">
      <c r="A3779" s="3" t="inlineStr">
        <is>
          <t>3748</t>
        </is>
      </c>
      <c r="B3779" s="4" t="s">
        <f>=HYPERLINK("http://anyluxury.ru/shop/odezhda/detskaya-odezhda/tolstovka-s-kapyushonom-zhenskaya-hoodie-svetlozheltaya-ww04w199/" , "WW04W199 Толстовка с капюшоном женская Hoodie, светло-желтая, размер M")</f>
      </c>
      <c r="C3779" s="4" t="n">
        <v>2718.00</v>
      </c>
      <c r="D3779" s="4"/>
    </row>
    <row collapsed="" customFormat="false" customHeight="1" hidden="" ht="14" outlineLevel="0" r="3780">
      <c r="A3780" s="3" t="inlineStr">
        <is>
          <t>3749</t>
        </is>
      </c>
      <c r="B3780" s="4" t="s">
        <f>=HYPERLINK("http://anyluxury.ru/shop/odezhda/detskaya-odezhda/tolstovka-s-kapyushonom-zhenskaya-hoodie-svetlozheltaya-ww04w199/" , "WW04W199 Толстовка с капюшоном женская Hoodie, светло-желтая, размер L")</f>
      </c>
      <c r="C3780" s="4" t="n">
        <v>2718.00</v>
      </c>
      <c r="D3780" s="4"/>
    </row>
    <row collapsed="" customFormat="false" customHeight="1" hidden="" ht="14" outlineLevel="0" r="3781">
      <c r="A3781" s="3" t="inlineStr">
        <is>
          <t>3750</t>
        </is>
      </c>
      <c r="B3781" s="4" t="s">
        <f>=HYPERLINK("http://anyluxury.ru/shop/odezhda/detskaya-odezhda/tolstovka-s-kapyushonom-zhenskaya-hoodie-svetlozheltaya-ww04w199/" , "WW04W199 Толстовка с капюшоном женская Hoodie, светло-желтая, размер XL")</f>
      </c>
      <c r="C3781" s="4" t="n">
        <v>2718.00</v>
      </c>
      <c r="D3781" s="4"/>
    </row>
    <row collapsed="" customFormat="false" customHeight="1" hidden="" ht="14" outlineLevel="0" r="3782">
      <c r="A3782" s="3" t="inlineStr">
        <is>
          <t>3751</t>
        </is>
      </c>
      <c r="B3782" s="4" t="s">
        <f>=HYPERLINK("http://anyluxury.ru/shop/odezhda/detskaya-odezhda/tolstovka-s-kapyushonom-zhenskaya-hoodie-svetlozheltaya-ww04w199/" , "WW04W199 Толстовка с капюшоном женская Hoodie, светло-желтая, размер XXL")</f>
      </c>
      <c r="C3782" s="4" t="n">
        <v>2718.00</v>
      </c>
      <c r="D3782" s="4"/>
    </row>
    <row collapsed="" customFormat="false" customHeight="1" hidden="" ht="14" outlineLevel="0" r="3783">
      <c r="A3783" s="3" t="inlineStr">
        <is>
          <t>3752</t>
        </is>
      </c>
      <c r="B3783" s="4" t="s">
        <f>=HYPERLINK("http://anyluxury.ru/shop/odezhda/detskaya-odezhda/tolstovka-s-kapyushonom-zhenskaya-hoodie-zheltaya-ww04w201/" , "WW04W201 Толстовка с капюшоном женская Hoodie, желтая, размер XS")</f>
      </c>
      <c r="C3783" s="4" t="n">
        <v>2718.00</v>
      </c>
      <c r="D3783" s="4"/>
    </row>
    <row collapsed="" customFormat="false" customHeight="1" hidden="" ht="14" outlineLevel="0" r="3784">
      <c r="A3784" s="3" t="inlineStr">
        <is>
          <t>3753</t>
        </is>
      </c>
      <c r="B3784" s="4" t="s">
        <f>=HYPERLINK("http://anyluxury.ru/shop/odezhda/detskaya-odezhda/tolstovka-s-kapyushonom-zhenskaya-hoodie-zheltaya-ww04w201/" , "WW04W201 Толстовка с капюшоном женская Hoodie, желтая, размер S")</f>
      </c>
      <c r="C3784" s="4" t="n">
        <v>2718.00</v>
      </c>
      <c r="D3784" s="4"/>
    </row>
    <row collapsed="" customFormat="false" customHeight="1" hidden="" ht="14" outlineLevel="0" r="3785">
      <c r="A3785" s="3" t="inlineStr">
        <is>
          <t>3754</t>
        </is>
      </c>
      <c r="B3785" s="4" t="s">
        <f>=HYPERLINK("http://anyluxury.ru/shop/odezhda/detskaya-odezhda/tolstovka-s-kapyushonom-zhenskaya-hoodie-zheltaya-ww04w201/" , "WW04W201 Толстовка с капюшоном женская Hoodie, желтая, размер M")</f>
      </c>
      <c r="C3785" s="4" t="n">
        <v>2718.00</v>
      </c>
      <c r="D3785" s="4"/>
    </row>
    <row collapsed="" customFormat="false" customHeight="1" hidden="" ht="14" outlineLevel="0" r="3786">
      <c r="A3786" s="3" t="inlineStr">
        <is>
          <t>3755</t>
        </is>
      </c>
      <c r="B3786" s="4" t="s">
        <f>=HYPERLINK("http://anyluxury.ru/shop/odezhda/detskaya-odezhda/tolstovka-s-kapyushonom-zhenskaya-hoodie-zheltaya-ww04w201/" , "WW04W201 Толстовка с капюшоном женская Hoodie, желтая, размер L")</f>
      </c>
      <c r="C3786" s="4" t="n">
        <v>2718.00</v>
      </c>
      <c r="D3786" s="4"/>
    </row>
    <row collapsed="" customFormat="false" customHeight="1" hidden="" ht="14" outlineLevel="0" r="3787">
      <c r="A3787" s="3" t="inlineStr">
        <is>
          <t>3756</t>
        </is>
      </c>
      <c r="B3787" s="4" t="s">
        <f>=HYPERLINK("http://anyluxury.ru/shop/odezhda/detskaya-odezhda/tolstovka-s-kapyushonom-zhenskaya-hoodie-zheltaya-ww04w201/" , "WW04W201 Толстовка с капюшоном женская Hoodie, желтая, размер XL")</f>
      </c>
      <c r="C3787" s="4" t="n">
        <v>2718.00</v>
      </c>
      <c r="D3787" s="4"/>
    </row>
    <row collapsed="" customFormat="false" customHeight="1" hidden="" ht="14" outlineLevel="0" r="3788">
      <c r="A3788" s="3" t="inlineStr">
        <is>
          <t>3757</t>
        </is>
      </c>
      <c r="B3788" s="4" t="s">
        <f>=HYPERLINK("http://anyluxury.ru/shop/odezhda/detskaya-odezhda/tolstovka-s-kapyushonom-zhenskaya-hoodie-zheltaya-ww04w201/" , "WW04W201 Толстовка с капюшоном женская Hoodie, желтая, размер XXL")</f>
      </c>
      <c r="C3788" s="4" t="n">
        <v>2718.00</v>
      </c>
      <c r="D3788" s="4"/>
    </row>
    <row collapsed="" customFormat="false" customHeight="1" hidden="" ht="14" outlineLevel="0" r="3789">
      <c r="A3789" s="3" t="inlineStr">
        <is>
          <t>3758</t>
        </is>
      </c>
      <c r="B3789" s="4" t="s">
        <f>=HYPERLINK("http://anyluxury.ru/shop/odezhda/detskaya-odezhda/tolstovka-s-kapyushonom-zhenskaya-hoodie-bezhevaya-nude-ww04w307/" , "WW04W307 Толстовка с капюшоном женская Hoodie, бежевая (nude), размер XS")</f>
      </c>
      <c r="C3789" s="4" t="n">
        <v>2718.00</v>
      </c>
      <c r="D3789" s="4"/>
    </row>
    <row collapsed="" customFormat="false" customHeight="1" hidden="" ht="14" outlineLevel="0" r="3790">
      <c r="A3790" s="3" t="inlineStr">
        <is>
          <t>3759</t>
        </is>
      </c>
      <c r="B3790" s="4" t="s">
        <f>=HYPERLINK("http://anyluxury.ru/shop/odezhda/detskaya-odezhda/tolstovka-s-kapyushonom-zhenskaya-hoodie-bezhevaya-nude-ww04w307/" , "WW04W307 Толстовка с капюшоном женская Hoodie, бежевая (nude), размер S")</f>
      </c>
      <c r="C3790" s="4" t="n">
        <v>2718.00</v>
      </c>
      <c r="D3790" s="4"/>
    </row>
    <row collapsed="" customFormat="false" customHeight="1" hidden="" ht="14" outlineLevel="0" r="3791">
      <c r="A3791" s="3" t="inlineStr">
        <is>
          <t>3760</t>
        </is>
      </c>
      <c r="B3791" s="4" t="s">
        <f>=HYPERLINK("http://anyluxury.ru/shop/odezhda/detskaya-odezhda/tolstovka-s-kapyushonom-zhenskaya-hoodie-bezhevaya-nude-ww04w307/" , "WW04W307 Толстовка с капюшоном женская Hoodie, бежевая (nude), размер M")</f>
      </c>
      <c r="C3791" s="4" t="n">
        <v>2718.00</v>
      </c>
      <c r="D3791" s="4"/>
    </row>
    <row collapsed="" customFormat="false" customHeight="1" hidden="" ht="14" outlineLevel="0" r="3792">
      <c r="A3792" s="3" t="inlineStr">
        <is>
          <t>3761</t>
        </is>
      </c>
      <c r="B3792" s="4" t="s">
        <f>=HYPERLINK("http://anyluxury.ru/shop/odezhda/detskaya-odezhda/tolstovka-s-kapyushonom-zhenskaya-hoodie-bezhevaya-nude-ww04w307/" , "WW04W307 Толстовка с капюшоном женская Hoodie, бежевая (nude), размер L")</f>
      </c>
      <c r="C3792" s="4" t="n">
        <v>2718.00</v>
      </c>
      <c r="D3792" s="4"/>
    </row>
    <row collapsed="" customFormat="false" customHeight="1" hidden="" ht="14" outlineLevel="0" r="3793">
      <c r="A3793" s="3" t="inlineStr">
        <is>
          <t>3762</t>
        </is>
      </c>
      <c r="B3793" s="4" t="s">
        <f>=HYPERLINK("http://anyluxury.ru/shop/odezhda/detskaya-odezhda/tolstovka-s-kapyushonom-zhenskaya-hoodie-bezhevaya-nude-ww04w307/" , "WW04W307 Толстовка с капюшоном женская Hoodie, бежевая (nude), размер XL")</f>
      </c>
      <c r="C3793" s="4" t="n">
        <v>2718.00</v>
      </c>
      <c r="D3793" s="4"/>
    </row>
    <row collapsed="" customFormat="false" customHeight="1" hidden="" ht="14" outlineLevel="0" r="3794">
      <c r="A3794" s="3" t="inlineStr">
        <is>
          <t>3763</t>
        </is>
      </c>
      <c r="B3794" s="4" t="s">
        <f>=HYPERLINK("http://anyluxury.ru/shop/odezhda/detskaya-odezhda/tolstovka-s-kapyushonom-zhenskaya-hoodie-bezhevaya-nude-ww04w307/" , "WW04W307 Толстовка с капюшоном женская Hoodie, бежевая (nude), размер XXL")</f>
      </c>
      <c r="C3794" s="4" t="n">
        <v>2718.00</v>
      </c>
      <c r="D3794" s="4"/>
    </row>
    <row collapsed="" customFormat="false" customHeight="1" hidden="" ht="14" outlineLevel="0" r="3795">
      <c r="A3795" s="3" t="inlineStr">
        <is>
          <t>3764</t>
        </is>
      </c>
      <c r="B3795" s="4" t="s">
        <f>=HYPERLINK("http://anyluxury.ru/shop/odezhda/detskaya-odezhda/tolstovka-s-kapyushonom-zhenskaya-hoodie-sirenevaya-ww04w331/" , "WW04W331 Толстовка с капюшоном женская Hoodie, сиреневая, размер XS")</f>
      </c>
      <c r="C3795" s="4" t="n">
        <v>2718.00</v>
      </c>
      <c r="D3795" s="4"/>
    </row>
    <row collapsed="" customFormat="false" customHeight="1" hidden="" ht="14" outlineLevel="0" r="3796">
      <c r="A3796" s="3" t="inlineStr">
        <is>
          <t>3765</t>
        </is>
      </c>
      <c r="B3796" s="4" t="s">
        <f>=HYPERLINK("http://anyluxury.ru/shop/odezhda/detskaya-odezhda/tolstovka-s-kapyushonom-zhenskaya-hoodie-sirenevaya-ww04w331/" , "WW04W331 Толстовка с капюшоном женская Hoodie, сиреневая, размер S")</f>
      </c>
      <c r="C3796" s="4" t="n">
        <v>2718.00</v>
      </c>
      <c r="D3796" s="4"/>
    </row>
    <row collapsed="" customFormat="false" customHeight="1" hidden="" ht="14" outlineLevel="0" r="3797">
      <c r="A3797" s="3" t="inlineStr">
        <is>
          <t>3766</t>
        </is>
      </c>
      <c r="B3797" s="4" t="s">
        <f>=HYPERLINK("http://anyluxury.ru/shop/odezhda/detskaya-odezhda/tolstovka-s-kapyushonom-zhenskaya-hoodie-sirenevaya-ww04w331/" , "WW04W331 Толстовка с капюшоном женская Hoodie, сиреневая, размер M")</f>
      </c>
      <c r="C3797" s="4" t="n">
        <v>2718.00</v>
      </c>
      <c r="D3797" s="4"/>
    </row>
    <row collapsed="" customFormat="false" customHeight="1" hidden="" ht="14" outlineLevel="0" r="3798">
      <c r="A3798" s="3" t="inlineStr">
        <is>
          <t>3767</t>
        </is>
      </c>
      <c r="B3798" s="4" t="s">
        <f>=HYPERLINK("http://anyluxury.ru/shop/odezhda/detskaya-odezhda/tolstovka-s-kapyushonom-zhenskaya-hoodie-sirenevaya-ww04w331/" , "WW04W331 Толстовка с капюшоном женская Hoodie, сиреневая, размер L")</f>
      </c>
      <c r="C3798" s="4" t="n">
        <v>2718.00</v>
      </c>
      <c r="D3798" s="4"/>
    </row>
    <row collapsed="" customFormat="false" customHeight="1" hidden="" ht="14" outlineLevel="0" r="3799">
      <c r="A3799" s="3" t="inlineStr">
        <is>
          <t>3768</t>
        </is>
      </c>
      <c r="B3799" s="4" t="s">
        <f>=HYPERLINK("http://anyluxury.ru/shop/odezhda/detskaya-odezhda/tolstovka-s-kapyushonom-zhenskaya-hoodie-sirenevaya-ww04w331/" , "WW04W331 Толстовка с капюшоном женская Hoodie, сиреневая, размер XL")</f>
      </c>
      <c r="C3799" s="4" t="n">
        <v>2718.00</v>
      </c>
      <c r="D3799" s="4"/>
    </row>
    <row collapsed="" customFormat="false" customHeight="1" hidden="" ht="14" outlineLevel="0" r="3800">
      <c r="A3800" s="3" t="inlineStr">
        <is>
          <t>3769</t>
        </is>
      </c>
      <c r="B3800" s="4" t="s">
        <f>=HYPERLINK("http://anyluxury.ru/shop/odezhda/detskaya-odezhda/tolstovka-s-kapyushonom-zhenskaya-hoodie-sirenevaya-ww04w331/" , "WW04W331 Толстовка с капюшоном женская Hoodie, сиреневая, размер XXL")</f>
      </c>
      <c r="C3800" s="4" t="n">
        <v>2718.00</v>
      </c>
      <c r="D3800" s="4"/>
    </row>
    <row collapsed="" customFormat="false" customHeight="1" hidden="" ht="14" outlineLevel="0" r="3801">
      <c r="A3801" s="3" t="inlineStr">
        <is>
          <t>3770</t>
        </is>
      </c>
      <c r="B3801" s="4" t="s">
        <f>=HYPERLINK("http://anyluxury.ru/shop/odezhda/detskaya-odezhda/tolstovka-s-kapyushonom-zhenskaya-hoodie-lilovaya-ww04w339/" , "WW04W339 Толстовка с капюшоном женская Hoodie, лиловая, размер XS")</f>
      </c>
      <c r="C3801" s="4" t="n">
        <v>2718.00</v>
      </c>
      <c r="D3801" s="4"/>
    </row>
    <row collapsed="" customFormat="false" customHeight="1" hidden="" ht="14" outlineLevel="0" r="3802">
      <c r="A3802" s="3" t="inlineStr">
        <is>
          <t>3771</t>
        </is>
      </c>
      <c r="B3802" s="4" t="s">
        <f>=HYPERLINK("http://anyluxury.ru/shop/odezhda/detskaya-odezhda/tolstovka-s-kapyushonom-zhenskaya-hoodie-lilovaya-ww04w339/" , "WW04W339 Толстовка с капюшоном женская Hoodie, лиловая, размер S")</f>
      </c>
      <c r="C3802" s="4" t="n">
        <v>2718.00</v>
      </c>
      <c r="D3802" s="4"/>
    </row>
    <row collapsed="" customFormat="false" customHeight="1" hidden="" ht="14" outlineLevel="0" r="3803">
      <c r="A3803" s="3" t="inlineStr">
        <is>
          <t>3772</t>
        </is>
      </c>
      <c r="B3803" s="4" t="s">
        <f>=HYPERLINK("http://anyluxury.ru/shop/odezhda/detskaya-odezhda/tolstovka-s-kapyushonom-zhenskaya-hoodie-lilovaya-ww04w339/" , "WW04W339 Толстовка с капюшоном женская Hoodie, лиловая, размер M")</f>
      </c>
      <c r="C3803" s="4" t="n">
        <v>2718.00</v>
      </c>
      <c r="D3803" s="4"/>
    </row>
    <row collapsed="" customFormat="false" customHeight="1" hidden="" ht="14" outlineLevel="0" r="3804">
      <c r="A3804" s="3" t="inlineStr">
        <is>
          <t>3773</t>
        </is>
      </c>
      <c r="B3804" s="4" t="s">
        <f>=HYPERLINK("http://anyluxury.ru/shop/odezhda/detskaya-odezhda/tolstovka-s-kapyushonom-zhenskaya-hoodie-lilovaya-ww04w339/" , "WW04W339 Толстовка с капюшоном женская Hoodie, лиловая, размер L")</f>
      </c>
      <c r="C3804" s="4" t="n">
        <v>2718.00</v>
      </c>
      <c r="D3804" s="4"/>
    </row>
    <row collapsed="" customFormat="false" customHeight="1" hidden="" ht="14" outlineLevel="0" r="3805">
      <c r="A3805" s="3" t="inlineStr">
        <is>
          <t>3774</t>
        </is>
      </c>
      <c r="B3805" s="4" t="s">
        <f>=HYPERLINK("http://anyluxury.ru/shop/odezhda/detskaya-odezhda/tolstovka-s-kapyushonom-zhenskaya-hoodie-lilovaya-ww04w339/" , "WW04W339 Толстовка с капюшоном женская Hoodie, лиловая, размер XL")</f>
      </c>
      <c r="C3805" s="4" t="n">
        <v>2718.00</v>
      </c>
      <c r="D3805" s="4"/>
    </row>
    <row collapsed="" customFormat="false" customHeight="1" hidden="" ht="14" outlineLevel="0" r="3806">
      <c r="A3806" s="3" t="inlineStr">
        <is>
          <t>3775</t>
        </is>
      </c>
      <c r="B3806" s="4" t="s">
        <f>=HYPERLINK("http://anyluxury.ru/shop/odezhda/detskaya-odezhda/tolstovka-s-kapyushonom-zhenskaya-hoodie-lilovaya-ww04w339/" , "WW04W339 Толстовка с капюшоном женская Hoodie, лиловая, размер XXL")</f>
      </c>
      <c r="C3806" s="4" t="n">
        <v>2718.00</v>
      </c>
      <c r="D3806" s="4"/>
    </row>
    <row collapsed="" customFormat="false" customHeight="1" hidden="" ht="14" outlineLevel="0" r="3807">
      <c r="A3807" s="3" t="inlineStr">
        <is>
          <t>3776</t>
        </is>
      </c>
      <c r="B3807" s="4" t="s">
        <f>=HYPERLINK("http://anyluxury.ru/shop/odezhda/detskaya-odezhda/tolstovka-s-kapyushonom-zhenskaya-hoodie-serozelenaya-ww04w502/" , "WW04W502 Толстовка с капюшоном женская Hoodie, серо-зеленая, размер XS")</f>
      </c>
      <c r="C3807" s="4" t="n">
        <v>2718.00</v>
      </c>
      <c r="D3807" s="4"/>
    </row>
    <row collapsed="" customFormat="false" customHeight="1" hidden="" ht="14" outlineLevel="0" r="3808">
      <c r="A3808" s="3" t="inlineStr">
        <is>
          <t>3777</t>
        </is>
      </c>
      <c r="B3808" s="4" t="s">
        <f>=HYPERLINK("http://anyluxury.ru/shop/odezhda/detskaya-odezhda/tolstovka-s-kapyushonom-zhenskaya-hoodie-serozelenaya-ww04w502/" , "WW04W502 Толстовка с капюшоном женская Hoodie, серо-зеленая, размер S")</f>
      </c>
      <c r="C3808" s="4" t="n">
        <v>2718.00</v>
      </c>
      <c r="D3808" s="4"/>
    </row>
    <row collapsed="" customFormat="false" customHeight="1" hidden="" ht="14" outlineLevel="0" r="3809">
      <c r="A3809" s="3" t="inlineStr">
        <is>
          <t>3778</t>
        </is>
      </c>
      <c r="B3809" s="4" t="s">
        <f>=HYPERLINK("http://anyluxury.ru/shop/odezhda/detskaya-odezhda/tolstovka-s-kapyushonom-zhenskaya-hoodie-serozelenaya-ww04w502/" , "WW04W502 Толстовка с капюшоном женская Hoodie, серо-зеленая, размер L")</f>
      </c>
      <c r="C3809" s="4" t="n">
        <v>2718.00</v>
      </c>
      <c r="D3809" s="4"/>
    </row>
    <row collapsed="" customFormat="false" customHeight="1" hidden="" ht="14" outlineLevel="0" r="3810">
      <c r="A3810" s="3" t="inlineStr">
        <is>
          <t>3779</t>
        </is>
      </c>
      <c r="B3810" s="4" t="s">
        <f>=HYPERLINK("http://anyluxury.ru/shop/odezhda/detskaya-odezhda/tolstovka-s-kapyushonom-zhenskaya-hoodie-serozelenaya-ww04w502/" , "WW04W502 Толстовка с капюшоном женская Hoodie, серо-зеленая, размер XL")</f>
      </c>
      <c r="C3810" s="4" t="n">
        <v>2718.00</v>
      </c>
      <c r="D3810" s="4"/>
    </row>
    <row collapsed="" customFormat="false" customHeight="1" hidden="" ht="14" outlineLevel="0" r="3811">
      <c r="A3811" s="3" t="inlineStr">
        <is>
          <t>3780</t>
        </is>
      </c>
      <c r="B3811" s="4" t="s">
        <f>=HYPERLINK("http://anyluxury.ru/shop/odezhda/detskaya-odezhda/tolstovka-s-kapyushonom-zhenskaya-hoodie-serozelenaya-ww04w502/" , "WW04W502 Толстовка с капюшоном женская Hoodie, серо-зеленая, размер XXL")</f>
      </c>
      <c r="C3811" s="4" t="n">
        <v>2718.00</v>
      </c>
      <c r="D3811" s="4"/>
    </row>
    <row collapsed="" customFormat="false" customHeight="1" hidden="" ht="14" outlineLevel="0" r="3812">
      <c r="A3812" s="3" t="inlineStr">
        <is>
          <t>3781</t>
        </is>
      </c>
      <c r="B3812" s="4" t="s">
        <f>=HYPERLINK("http://anyluxury.ru/shop/odezhda/detskaya-odezhda/tolstovka-s-kapyushonom-zhenskaya-hoodie-seriy-melanzh-ww04w610/" , "WW04W610 Толстовка с капюшоном женская Hoodie, серый меланж, размер XS")</f>
      </c>
      <c r="C3812" s="4" t="n">
        <v>2718.00</v>
      </c>
      <c r="D3812" s="4"/>
    </row>
    <row collapsed="" customFormat="false" customHeight="1" hidden="" ht="14" outlineLevel="0" r="3813">
      <c r="A3813" s="3" t="inlineStr">
        <is>
          <t>3782</t>
        </is>
      </c>
      <c r="B3813" s="4" t="s">
        <f>=HYPERLINK("http://anyluxury.ru/shop/odezhda/detskaya-odezhda/tolstovka-s-kapyushonom-zhenskaya-hoodie-seriy-melanzh-ww04w610/" , "WW04W610 Толстовка с капюшоном женская Hoodie, серый меланж, размер S")</f>
      </c>
      <c r="C3813" s="4" t="n">
        <v>2718.00</v>
      </c>
      <c r="D3813" s="4"/>
    </row>
    <row collapsed="" customFormat="false" customHeight="1" hidden="" ht="14" outlineLevel="0" r="3814">
      <c r="A3814" s="3" t="inlineStr">
        <is>
          <t>3783</t>
        </is>
      </c>
      <c r="B3814" s="4" t="s">
        <f>=HYPERLINK("http://anyluxury.ru/shop/odezhda/detskaya-odezhda/tolstovka-s-kapyushonom-zhenskaya-hoodie-seriy-melanzh-ww04w610/" , "WW04W610 Толстовка с капюшоном женская Hoodie, серый меланж, размер M")</f>
      </c>
      <c r="C3814" s="4" t="n">
        <v>2718.00</v>
      </c>
      <c r="D3814" s="4"/>
    </row>
    <row collapsed="" customFormat="false" customHeight="1" hidden="" ht="14" outlineLevel="0" r="3815">
      <c r="A3815" s="3" t="inlineStr">
        <is>
          <t>3784</t>
        </is>
      </c>
      <c r="B3815" s="4" t="s">
        <f>=HYPERLINK("http://anyluxury.ru/shop/odezhda/detskaya-odezhda/tolstovka-s-kapyushonom-zhenskaya-hoodie-seriy-melanzh-ww04w610/" , "WW04W610 Толстовка с капюшоном женская Hoodie, серый меланж, размер L")</f>
      </c>
      <c r="C3815" s="4" t="n">
        <v>2718.00</v>
      </c>
      <c r="D3815" s="4"/>
    </row>
    <row collapsed="" customFormat="false" customHeight="1" hidden="" ht="14" outlineLevel="0" r="3816">
      <c r="A3816" s="3" t="inlineStr">
        <is>
          <t>3785</t>
        </is>
      </c>
      <c r="B3816" s="4" t="s">
        <f>=HYPERLINK("http://anyluxury.ru/shop/odezhda/detskaya-odezhda/tolstovka-s-kapyushonom-zhenskaya-hoodie-seriy-melanzh-ww04w610/" , "WW04W610 Толстовка с капюшоном женская Hoodie, серый меланж, размер XL")</f>
      </c>
      <c r="C3816" s="4" t="n">
        <v>2718.00</v>
      </c>
      <c r="D3816" s="4"/>
    </row>
    <row collapsed="" customFormat="false" customHeight="1" hidden="" ht="14" outlineLevel="0" r="3817">
      <c r="A3817" s="3" t="inlineStr">
        <is>
          <t>3786</t>
        </is>
      </c>
      <c r="B3817" s="4" t="s">
        <f>=HYPERLINK("http://anyluxury.ru/shop/odezhda/detskaya-odezhda/tolstovka-s-kapyushonom-zhenskaya-hoodie-seriy-melanzh-ww04w610/" , "WW04W610 Толстовка с капюшоном женская Hoodie, серый меланж, размер XXL")</f>
      </c>
      <c r="C3817" s="4" t="n">
        <v>2718.00</v>
      </c>
      <c r="D3817" s="4"/>
    </row>
    <row collapsed="" customFormat="false" customHeight="1" hidden="" ht="14" outlineLevel="0" r="3818">
      <c r="A3818" s="3" t="inlineStr">
        <is>
          <t>3787</t>
        </is>
      </c>
      <c r="B3818" s="4" t="s">
        <f>=HYPERLINK("http://anyluxury.ru/shop/odezhda/detskaya-odezhda/tolstovka-s-kapyushonom-zhenskaya-hoodie-seriy-melanzh-ww04w610/" , "WW04W610 Толстовка с капюшоном женская Hoodie, серый меланж, размер 3XL")</f>
      </c>
      <c r="C3818" s="4" t="n">
        <v>3400.00</v>
      </c>
      <c r="D3818" s="4"/>
    </row>
    <row collapsed="" customFormat="false" customHeight="1" hidden="" ht="14" outlineLevel="0" r="3819">
      <c r="A3819" s="3" t="inlineStr">
        <is>
          <t>3788</t>
        </is>
      </c>
      <c r="B3819" s="4" t="s">
        <f>=HYPERLINK("http://anyluxury.ru/shop/odezhda/detskaya-odezhda/tolstovka-s-kapyushonom-zhenskaya-hoodie-siniy-melanzh-ww04w611/" , "WW04W611 Толстовка с капюшоном женская Hoodie, синий меланж, размер XS")</f>
      </c>
      <c r="C3819" s="4" t="n">
        <v>2718.00</v>
      </c>
      <c r="D3819" s="4"/>
    </row>
    <row collapsed="" customFormat="false" customHeight="1" hidden="" ht="14" outlineLevel="0" r="3820">
      <c r="A3820" s="3" t="inlineStr">
        <is>
          <t>3789</t>
        </is>
      </c>
      <c r="B3820" s="4" t="s">
        <f>=HYPERLINK("http://anyluxury.ru/shop/odezhda/detskaya-odezhda/tolstovka-s-kapyushonom-zhenskaya-hoodie-siniy-melanzh-ww04w611/" , "WW04W611 Толстовка с капюшоном женская Hoodie, синий меланж, размер S")</f>
      </c>
      <c r="C3820" s="4" t="n">
        <v>2718.00</v>
      </c>
      <c r="D3820" s="4"/>
    </row>
    <row collapsed="" customFormat="false" customHeight="1" hidden="" ht="14" outlineLevel="0" r="3821">
      <c r="A3821" s="3" t="inlineStr">
        <is>
          <t>3790</t>
        </is>
      </c>
      <c r="B3821" s="4" t="s">
        <f>=HYPERLINK("http://anyluxury.ru/shop/odezhda/detskaya-odezhda/tolstovka-s-kapyushonom-zhenskaya-hoodie-siniy-melanzh-ww04w611/" , "WW04W611 Толстовка с капюшоном женская Hoodie, синий меланж, размер M")</f>
      </c>
      <c r="C3821" s="4" t="n">
        <v>2718.00</v>
      </c>
      <c r="D3821" s="4"/>
    </row>
    <row collapsed="" customFormat="false" customHeight="1" hidden="" ht="14" outlineLevel="0" r="3822">
      <c r="A3822" s="3" t="inlineStr">
        <is>
          <t>3791</t>
        </is>
      </c>
      <c r="B3822" s="4" t="s">
        <f>=HYPERLINK("http://anyluxury.ru/shop/odezhda/detskaya-odezhda/tolstovka-s-kapyushonom-zhenskaya-hoodie-siniy-melanzh-ww04w611/" , "WW04W611 Толстовка с капюшоном женская Hoodie, синий меланж, размер L")</f>
      </c>
      <c r="C3822" s="4" t="n">
        <v>2718.00</v>
      </c>
      <c r="D3822" s="4"/>
    </row>
    <row collapsed="" customFormat="false" customHeight="1" hidden="" ht="14" outlineLevel="0" r="3823">
      <c r="A3823" s="3" t="inlineStr">
        <is>
          <t>3792</t>
        </is>
      </c>
      <c r="B3823" s="4" t="s">
        <f>=HYPERLINK("http://anyluxury.ru/shop/odezhda/detskaya-odezhda/tolstovka-s-kapyushonom-zhenskaya-hoodie-siniy-melanzh-ww04w611/" , "WW04W611 Толстовка с капюшоном женская Hoodie, синий меланж, размер XL")</f>
      </c>
      <c r="C3823" s="4" t="n">
        <v>2718.00</v>
      </c>
      <c r="D3823" s="4"/>
    </row>
    <row collapsed="" customFormat="false" customHeight="1" hidden="" ht="14" outlineLevel="0" r="3824">
      <c r="A3824" s="3" t="inlineStr">
        <is>
          <t>3793</t>
        </is>
      </c>
      <c r="B3824" s="4" t="s">
        <f>=HYPERLINK("http://anyluxury.ru/shop/odezhda/detskaya-odezhda/tolstovka-s-kapyushonom-zhenskaya-hoodie-siniy-melanzh-ww04w611/" , "WW04W611 Толстовка с капюшоном женская Hoodie, синий меланж, размер XXL")</f>
      </c>
      <c r="C3824" s="4" t="n">
        <v>2718.00</v>
      </c>
      <c r="D3824" s="4"/>
    </row>
    <row collapsed="" customFormat="false" customHeight="1" hidden="" ht="14" outlineLevel="0" r="3825">
      <c r="A3825" s="3" t="inlineStr">
        <is>
          <t>3794</t>
        </is>
      </c>
      <c r="B3825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XS")</f>
      </c>
      <c r="C3825" s="4" t="n">
        <v>2718.00</v>
      </c>
      <c r="D3825" s="4"/>
    </row>
    <row collapsed="" customFormat="false" customHeight="1" hidden="" ht="14" outlineLevel="0" r="3826">
      <c r="A3826" s="3" t="inlineStr">
        <is>
          <t>3795</t>
        </is>
      </c>
      <c r="B3826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S")</f>
      </c>
      <c r="C3826" s="4" t="n">
        <v>2718.00</v>
      </c>
      <c r="D3826" s="4"/>
    </row>
    <row collapsed="" customFormat="false" customHeight="1" hidden="" ht="14" outlineLevel="0" r="3827">
      <c r="A3827" s="3" t="inlineStr">
        <is>
          <t>3796</t>
        </is>
      </c>
      <c r="B3827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M")</f>
      </c>
      <c r="C3827" s="4" t="n">
        <v>2718.00</v>
      </c>
      <c r="D3827" s="4"/>
    </row>
    <row collapsed="" customFormat="false" customHeight="1" hidden="" ht="14" outlineLevel="0" r="3828">
      <c r="A3828" s="3" t="inlineStr">
        <is>
          <t>3797</t>
        </is>
      </c>
      <c r="B3828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L")</f>
      </c>
      <c r="C3828" s="4" t="n">
        <v>2718.00</v>
      </c>
      <c r="D3828" s="4"/>
    </row>
    <row collapsed="" customFormat="false" customHeight="1" hidden="" ht="14" outlineLevel="0" r="3829">
      <c r="A3829" s="3" t="inlineStr">
        <is>
          <t>3798</t>
        </is>
      </c>
      <c r="B3829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XL")</f>
      </c>
      <c r="C3829" s="4" t="n">
        <v>2718.00</v>
      </c>
      <c r="D3829" s="4"/>
    </row>
    <row collapsed="" customFormat="false" customHeight="1" hidden="" ht="14" outlineLevel="0" r="3830">
      <c r="A3830" s="3" t="inlineStr">
        <is>
          <t>3799</t>
        </is>
      </c>
      <c r="B3830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XXL")</f>
      </c>
      <c r="C3830" s="4" t="n">
        <v>2718.00</v>
      </c>
      <c r="D3830" s="4"/>
    </row>
    <row collapsed="" customFormat="false" customHeight="1" hidden="" ht="14" outlineLevel="0" r="3831">
      <c r="A3831" s="3" t="inlineStr">
        <is>
          <t>3800</t>
        </is>
      </c>
      <c r="B3831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XS")</f>
      </c>
      <c r="C3831" s="4" t="n">
        <v>2718.00</v>
      </c>
      <c r="D3831" s="4"/>
    </row>
    <row collapsed="" customFormat="false" customHeight="1" hidden="" ht="14" outlineLevel="0" r="3832">
      <c r="A3832" s="3" t="inlineStr">
        <is>
          <t>3801</t>
        </is>
      </c>
      <c r="B3832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S")</f>
      </c>
      <c r="C3832" s="4" t="n">
        <v>2718.00</v>
      </c>
      <c r="D3832" s="4"/>
    </row>
    <row collapsed="" customFormat="false" customHeight="1" hidden="" ht="14" outlineLevel="0" r="3833">
      <c r="A3833" s="3" t="inlineStr">
        <is>
          <t>3802</t>
        </is>
      </c>
      <c r="B3833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M")</f>
      </c>
      <c r="C3833" s="4" t="n">
        <v>2718.00</v>
      </c>
      <c r="D3833" s="4"/>
    </row>
    <row collapsed="" customFormat="false" customHeight="1" hidden="" ht="14" outlineLevel="0" r="3834">
      <c r="A3834" s="3" t="inlineStr">
        <is>
          <t>3803</t>
        </is>
      </c>
      <c r="B3834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L")</f>
      </c>
      <c r="C3834" s="4" t="n">
        <v>2718.00</v>
      </c>
      <c r="D3834" s="4"/>
    </row>
    <row collapsed="" customFormat="false" customHeight="1" hidden="" ht="14" outlineLevel="0" r="3835">
      <c r="A3835" s="3" t="inlineStr">
        <is>
          <t>3804</t>
        </is>
      </c>
      <c r="B3835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XL")</f>
      </c>
      <c r="C3835" s="4" t="n">
        <v>2718.00</v>
      </c>
      <c r="D3835" s="4"/>
    </row>
    <row collapsed="" customFormat="false" customHeight="1" hidden="" ht="14" outlineLevel="0" r="3836">
      <c r="A3836" s="3" t="inlineStr">
        <is>
          <t>3805</t>
        </is>
      </c>
      <c r="B3836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XXL")</f>
      </c>
      <c r="C3836" s="4" t="n">
        <v>2718.00</v>
      </c>
      <c r="D3836" s="4"/>
    </row>
    <row collapsed="" customFormat="false" customHeight="1" hidden="" ht="14" outlineLevel="0" r="3837">
      <c r="A3837" s="3" t="inlineStr">
        <is>
          <t>3806</t>
        </is>
      </c>
      <c r="B3837" s="4" t="s">
        <f>=HYPERLINK("http://anyluxury.ru/shop/odezhda/detskaya-odezhda/tolstovka-s-kapyushonom-zhenskaya-hoodie-krasniy-melanzh-ww04w617/" , "WW04W617 Толстовка с капюшоном женская Hoodie, красный меланж, размер XS")</f>
      </c>
      <c r="C3837" s="4" t="n">
        <v>2718.00</v>
      </c>
      <c r="D3837" s="4"/>
    </row>
    <row collapsed="" customFormat="false" customHeight="1" hidden="" ht="14" outlineLevel="0" r="3838">
      <c r="A3838" s="3" t="inlineStr">
        <is>
          <t>3807</t>
        </is>
      </c>
      <c r="B3838" s="4" t="s">
        <f>=HYPERLINK("http://anyluxury.ru/shop/odezhda/detskaya-odezhda/tolstovka-s-kapyushonom-zhenskaya-hoodie-krasniy-melanzh-ww04w617/" , "WW04W617 Толстовка с капюшоном женская Hoodie, красный меланж, размер S")</f>
      </c>
      <c r="C3838" s="4" t="n">
        <v>2718.00</v>
      </c>
      <c r="D3838" s="4"/>
    </row>
    <row collapsed="" customFormat="false" customHeight="1" hidden="" ht="14" outlineLevel="0" r="3839">
      <c r="A3839" s="3" t="inlineStr">
        <is>
          <t>3808</t>
        </is>
      </c>
      <c r="B3839" s="4" t="s">
        <f>=HYPERLINK("http://anyluxury.ru/shop/odezhda/detskaya-odezhda/tolstovka-s-kapyushonom-zhenskaya-hoodie-krasniy-melanzh-ww04w617/" , "WW04W617 Толстовка с капюшоном женская Hoodie, красный меланж, размер M")</f>
      </c>
      <c r="C3839" s="4" t="n">
        <v>2718.00</v>
      </c>
      <c r="D3839" s="4"/>
    </row>
    <row collapsed="" customFormat="false" customHeight="1" hidden="" ht="14" outlineLevel="0" r="3840">
      <c r="A3840" s="3" t="inlineStr">
        <is>
          <t>3809</t>
        </is>
      </c>
      <c r="B3840" s="4" t="s">
        <f>=HYPERLINK("http://anyluxury.ru/shop/odezhda/detskaya-odezhda/tolstovka-s-kapyushonom-zhenskaya-hoodie-krasniy-melanzh-ww04w617/" , "WW04W617 Толстовка с капюшоном женская Hoodie, красный меланж, размер L")</f>
      </c>
      <c r="C3840" s="4" t="n">
        <v>2718.00</v>
      </c>
      <c r="D3840" s="4"/>
    </row>
    <row collapsed="" customFormat="false" customHeight="1" hidden="" ht="14" outlineLevel="0" r="3841">
      <c r="A3841" s="3" t="inlineStr">
        <is>
          <t>3810</t>
        </is>
      </c>
      <c r="B3841" s="4" t="s">
        <f>=HYPERLINK("http://anyluxury.ru/shop/odezhda/detskaya-odezhda/tolstovka-s-kapyushonom-zhenskaya-hoodie-krasniy-melanzh-ww04w617/" , "WW04W617 Толстовка с капюшоном женская Hoodie, красный меланж, размер XL")</f>
      </c>
      <c r="C3841" s="4" t="n">
        <v>2718.00</v>
      </c>
      <c r="D3841" s="4"/>
    </row>
    <row collapsed="" customFormat="false" customHeight="1" hidden="" ht="14" outlineLevel="0" r="3842">
      <c r="A3842" s="3" t="inlineStr">
        <is>
          <t>3811</t>
        </is>
      </c>
      <c r="B3842" s="4" t="s">
        <f>=HYPERLINK("http://anyluxury.ru/shop/odezhda/detskaya-odezhda/tolstovka-s-kapyushonom-zhenskaya-hoodie-krasniy-melanzh-ww04w617/" , "WW04W617 Толстовка с капюшоном женская Hoodie, красный меланж, размер XXL")</f>
      </c>
      <c r="C3842" s="4" t="n">
        <v>2718.00</v>
      </c>
      <c r="D3842" s="4"/>
    </row>
    <row collapsed="" customFormat="false" customHeight="1" hidden="" ht="14" outlineLevel="0" r="3843">
      <c r="A3843" s="3" t="inlineStr">
        <is>
          <t>3812</t>
        </is>
      </c>
      <c r="B3843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XS")</f>
      </c>
      <c r="C3843" s="4" t="n">
        <v>2718.00</v>
      </c>
      <c r="D3843" s="4"/>
    </row>
    <row collapsed="" customFormat="false" customHeight="1" hidden="" ht="14" outlineLevel="0" r="3844">
      <c r="A3844" s="3" t="inlineStr">
        <is>
          <t>3813</t>
        </is>
      </c>
      <c r="B3844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S")</f>
      </c>
      <c r="C3844" s="4" t="n">
        <v>2718.00</v>
      </c>
      <c r="D3844" s="4"/>
    </row>
    <row collapsed="" customFormat="false" customHeight="1" hidden="" ht="14" outlineLevel="0" r="3845">
      <c r="A3845" s="3" t="inlineStr">
        <is>
          <t>3814</t>
        </is>
      </c>
      <c r="B3845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M")</f>
      </c>
      <c r="C3845" s="4" t="n">
        <v>2718.00</v>
      </c>
      <c r="D3845" s="4"/>
    </row>
    <row collapsed="" customFormat="false" customHeight="1" hidden="" ht="14" outlineLevel="0" r="3846">
      <c r="A3846" s="3" t="inlineStr">
        <is>
          <t>3815</t>
        </is>
      </c>
      <c r="B3846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L")</f>
      </c>
      <c r="C3846" s="4" t="n">
        <v>2718.00</v>
      </c>
      <c r="D3846" s="4"/>
    </row>
    <row collapsed="" customFormat="false" customHeight="1" hidden="" ht="14" outlineLevel="0" r="3847">
      <c r="A3847" s="3" t="inlineStr">
        <is>
          <t>3816</t>
        </is>
      </c>
      <c r="B3847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XL")</f>
      </c>
      <c r="C3847" s="4" t="n">
        <v>2718.00</v>
      </c>
      <c r="D3847" s="4"/>
    </row>
    <row collapsed="" customFormat="false" customHeight="1" hidden="" ht="14" outlineLevel="0" r="3848">
      <c r="A3848" s="3" t="inlineStr">
        <is>
          <t>3817</t>
        </is>
      </c>
      <c r="B3848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XXL")</f>
      </c>
      <c r="C3848" s="4" t="n">
        <v>2718.00</v>
      </c>
      <c r="D3848" s="4"/>
    </row>
    <row collapsed="" customFormat="false" customHeight="1" hidden="" ht="14" outlineLevel="0" r="3849">
      <c r="A3849" s="3" t="inlineStr">
        <is>
          <t>3818</t>
        </is>
      </c>
      <c r="B3849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XS")</f>
      </c>
      <c r="C3849" s="4" t="n">
        <v>2718.00</v>
      </c>
      <c r="D3849" s="4"/>
    </row>
    <row collapsed="" customFormat="false" customHeight="1" hidden="" ht="14" outlineLevel="0" r="3850">
      <c r="A3850" s="3" t="inlineStr">
        <is>
          <t>3819</t>
        </is>
      </c>
      <c r="B3850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M")</f>
      </c>
      <c r="C3850" s="4" t="n">
        <v>2718.00</v>
      </c>
      <c r="D3850" s="4"/>
    </row>
    <row collapsed="" customFormat="false" customHeight="1" hidden="" ht="14" outlineLevel="0" r="3851">
      <c r="A3851" s="3" t="inlineStr">
        <is>
          <t>3820</t>
        </is>
      </c>
      <c r="B3851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L")</f>
      </c>
      <c r="C3851" s="4" t="n">
        <v>2718.00</v>
      </c>
      <c r="D3851" s="4"/>
    </row>
    <row collapsed="" customFormat="false" customHeight="1" hidden="" ht="14" outlineLevel="0" r="3852">
      <c r="A3852" s="3" t="inlineStr">
        <is>
          <t>3821</t>
        </is>
      </c>
      <c r="B3852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XL")</f>
      </c>
      <c r="C3852" s="4" t="n">
        <v>2718.00</v>
      </c>
      <c r="D3852" s="4"/>
    </row>
    <row collapsed="" customFormat="false" customHeight="1" hidden="" ht="14" outlineLevel="0" r="3853">
      <c r="A3853" s="3" t="inlineStr">
        <is>
          <t>3822</t>
        </is>
      </c>
      <c r="B3853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XXL")</f>
      </c>
      <c r="C3853" s="4" t="n">
        <v>2718.00</v>
      </c>
      <c r="D3853" s="4"/>
    </row>
    <row collapsed="" customFormat="false" customHeight="1" hidden="" ht="14" outlineLevel="0" r="3854">
      <c r="A3854" s="3" t="inlineStr">
        <is>
          <t>3823</t>
        </is>
      </c>
      <c r="B3854" s="4" t="s">
        <f>=HYPERLINK("http://anyluxury.ru/shop/odezhda/detskaya-odezhda/tolstovka-s-kapyushonom-zhenskaya-hoodie-bordovaya-ww04w881/" , "WW04W881 Толстовка с капюшоном женская Hoodie, бордовая, размер XS")</f>
      </c>
      <c r="C3854" s="4" t="n">
        <v>2718.00</v>
      </c>
      <c r="D3854" s="4"/>
    </row>
    <row collapsed="" customFormat="false" customHeight="1" hidden="" ht="14" outlineLevel="0" r="3855">
      <c r="A3855" s="3" t="inlineStr">
        <is>
          <t>3824</t>
        </is>
      </c>
      <c r="B3855" s="4" t="s">
        <f>=HYPERLINK("http://anyluxury.ru/shop/odezhda/detskaya-odezhda/tolstovka-s-kapyushonom-zhenskaya-hoodie-bordovaya-ww04w881/" , "WW04W881 Толстовка с капюшоном женская Hoodie, бордовая, размер S")</f>
      </c>
      <c r="C3855" s="4" t="n">
        <v>2718.00</v>
      </c>
      <c r="D3855" s="4"/>
    </row>
    <row collapsed="" customFormat="false" customHeight="1" hidden="" ht="14" outlineLevel="0" r="3856">
      <c r="A3856" s="3" t="inlineStr">
        <is>
          <t>3825</t>
        </is>
      </c>
      <c r="B3856" s="4" t="s">
        <f>=HYPERLINK("http://anyluxury.ru/shop/odezhda/detskaya-odezhda/tolstovka-s-kapyushonom-zhenskaya-hoodie-bordovaya-ww04w881/" , "WW04W881 Толстовка с капюшоном женская Hoodie, бордовая, размер M")</f>
      </c>
      <c r="C3856" s="4" t="n">
        <v>2718.00</v>
      </c>
      <c r="D3856" s="4"/>
    </row>
    <row collapsed="" customFormat="false" customHeight="1" hidden="" ht="14" outlineLevel="0" r="3857">
      <c r="A3857" s="3" t="inlineStr">
        <is>
          <t>3826</t>
        </is>
      </c>
      <c r="B3857" s="4" t="s">
        <f>=HYPERLINK("http://anyluxury.ru/shop/odezhda/detskaya-odezhda/tolstovka-s-kapyushonom-zhenskaya-hoodie-bordovaya-ww04w881/" , "WW04W881 Толстовка с капюшоном женская Hoodie, бордовая, размер L")</f>
      </c>
      <c r="C3857" s="4" t="n">
        <v>2718.00</v>
      </c>
      <c r="D3857" s="4"/>
    </row>
    <row collapsed="" customFormat="false" customHeight="1" hidden="" ht="14" outlineLevel="0" r="3858">
      <c r="A3858" s="3" t="inlineStr">
        <is>
          <t>3827</t>
        </is>
      </c>
      <c r="B3858" s="4" t="s">
        <f>=HYPERLINK("http://anyluxury.ru/shop/odezhda/detskaya-odezhda/tolstovka-s-kapyushonom-zhenskaya-hoodie-bordovaya-ww04w881/" , "WW04W881 Толстовка с капюшоном женская Hoodie, бордовая, размер XL")</f>
      </c>
      <c r="C3858" s="4" t="n">
        <v>2718.00</v>
      </c>
      <c r="D3858" s="4"/>
    </row>
    <row collapsed="" customFormat="false" customHeight="1" hidden="" ht="14" outlineLevel="0" r="3859">
      <c r="A3859" s="3" t="inlineStr">
        <is>
          <t>3828</t>
        </is>
      </c>
      <c r="B3859" s="4" t="s">
        <f>=HYPERLINK("http://anyluxury.ru/shop/odezhda/detskaya-odezhda/tolstovka-s-kapyushonom-zhenskaya-hoodie-bordovaya-ww04w881/" , "WW04W881 Толстовка с капюшоном женская Hoodie, бордовая, размер XXL")</f>
      </c>
      <c r="C3859" s="4" t="n">
        <v>2718.00</v>
      </c>
      <c r="D3859" s="4"/>
    </row>
    <row collapsed="" customFormat="false" customHeight="1" hidden="" ht="14" outlineLevel="0" r="3860">
      <c r="A3860" s="3" t="inlineStr">
        <is>
          <t>3829</t>
        </is>
      </c>
      <c r="B3860" s="4" t="s">
        <f>=HYPERLINK("http://anyluxury.ru/shop/odezhda/detskaya-odezhda/svitshot-uniseks-bnc-organic-beliy-wu31b001/" , "WU31B001 Свитшот унисекс BNC Organic, белый, размер XS")</f>
      </c>
      <c r="C3860" s="4" t="n">
        <v>2773.00</v>
      </c>
      <c r="D3860" s="4"/>
    </row>
    <row collapsed="" customFormat="false" customHeight="1" hidden="" ht="14" outlineLevel="0" r="3861">
      <c r="A3861" s="3" t="inlineStr">
        <is>
          <t>3830</t>
        </is>
      </c>
      <c r="B3861" s="4" t="s">
        <f>=HYPERLINK("http://anyluxury.ru/shop/odezhda/detskaya-odezhda/svitshot-uniseks-bnc-organic-beliy-wu31b001/" , "WU31B001 Свитшот унисекс BNC Organic, белый, размер S")</f>
      </c>
      <c r="C3861" s="4" t="n">
        <v>2773.00</v>
      </c>
      <c r="D3861" s="4"/>
    </row>
    <row collapsed="" customFormat="false" customHeight="1" hidden="" ht="14" outlineLevel="0" r="3862">
      <c r="A3862" s="3" t="inlineStr">
        <is>
          <t>3831</t>
        </is>
      </c>
      <c r="B3862" s="4" t="s">
        <f>=HYPERLINK("http://anyluxury.ru/shop/odezhda/detskaya-odezhda/svitshot-uniseks-bnc-organic-beliy-wu31b001/" , "WU31B001 Свитшот унисекс BNC Organic, белый, размер L")</f>
      </c>
      <c r="C3862" s="4" t="n">
        <v>2773.00</v>
      </c>
      <c r="D3862" s="4"/>
    </row>
    <row collapsed="" customFormat="false" customHeight="1" hidden="" ht="14" outlineLevel="0" r="3863">
      <c r="A3863" s="3" t="inlineStr">
        <is>
          <t>3832</t>
        </is>
      </c>
      <c r="B3863" s="4" t="s">
        <f>=HYPERLINK("http://anyluxury.ru/shop/odezhda/detskaya-odezhda/svitshot-uniseks-bnc-organic-beliy-wu31b001/" , "WU31B001 Свитшот унисекс BNC Organic, белый, размер XL")</f>
      </c>
      <c r="C3863" s="4" t="n">
        <v>2773.00</v>
      </c>
      <c r="D3863" s="4"/>
    </row>
    <row collapsed="" customFormat="false" customHeight="1" hidden="" ht="14" outlineLevel="0" r="3864">
      <c r="A3864" s="3" t="inlineStr">
        <is>
          <t>3833</t>
        </is>
      </c>
      <c r="B3864" s="4" t="s">
        <f>=HYPERLINK("http://anyluxury.ru/shop/odezhda/detskaya-odezhda/svitshot-uniseks-bnc-organic-beliy-wu31b001/" , "WU31B001 Свитшот унисекс BNC Organic, белый, размер XXL")</f>
      </c>
      <c r="C3864" s="4" t="n">
        <v>2773.00</v>
      </c>
      <c r="D3864" s="4"/>
    </row>
    <row collapsed="" customFormat="false" customHeight="1" hidden="" ht="14" outlineLevel="0" r="3865">
      <c r="A3865" s="3" t="inlineStr">
        <is>
          <t>3834</t>
        </is>
      </c>
      <c r="B3865" s="4" t="s">
        <f>=HYPERLINK("http://anyluxury.ru/shop/odezhda/detskaya-odezhda/svitshot-uniseks-bnc-organic-beliy-wu31b001/" , "WU31B001 Свитшот унисекс BNC Organic, белый, размер 3XL")</f>
      </c>
      <c r="C3865" s="4" t="n">
        <v>2773.00</v>
      </c>
      <c r="D3865" s="4"/>
    </row>
    <row collapsed="" customFormat="false" customHeight="1" hidden="" ht="14" outlineLevel="0" r="3866">
      <c r="A3866" s="3" t="inlineStr">
        <is>
          <t>3835</t>
        </is>
      </c>
      <c r="B3866" s="4" t="s">
        <f>=HYPERLINK("http://anyluxury.ru/shop/odezhda/detskaya-odezhda/svitshot-uniseks-bnc-organic-krasniy-wu31b004/" , "WU31B004 Свитшот унисекс BNC Organic, красный, размер S")</f>
      </c>
      <c r="C3866" s="4" t="n">
        <v>2773.00</v>
      </c>
      <c r="D3866" s="4"/>
    </row>
    <row collapsed="" customFormat="false" customHeight="1" hidden="" ht="14" outlineLevel="0" r="3867">
      <c r="A3867" s="3" t="inlineStr">
        <is>
          <t>3836</t>
        </is>
      </c>
      <c r="B3867" s="4" t="s">
        <f>=HYPERLINK("http://anyluxury.ru/shop/odezhda/detskaya-odezhda/svitshot-uniseks-bnc-organic-krasniy-wu31b004/" , "WU31B004 Свитшот унисекс BNC Organic, красный, размер XL")</f>
      </c>
      <c r="C3867" s="4" t="n">
        <v>2773.00</v>
      </c>
      <c r="D3867" s="4"/>
    </row>
    <row collapsed="" customFormat="false" customHeight="1" hidden="" ht="14" outlineLevel="0" r="3868">
      <c r="A3868" s="3" t="inlineStr">
        <is>
          <t>3837</t>
        </is>
      </c>
      <c r="B3868" s="4" t="s">
        <f>=HYPERLINK("http://anyluxury.ru/shop/odezhda/detskaya-odezhda/svitshot-uniseks-bnc-organic-krasniy-wu31b004/" , "WU31B004 Свитшот унисекс BNC Organic, красный, размер XXL")</f>
      </c>
      <c r="C3868" s="4" t="n">
        <v>2773.00</v>
      </c>
      <c r="D3868" s="4"/>
    </row>
    <row collapsed="" customFormat="false" customHeight="1" hidden="" ht="14" outlineLevel="0" r="3869">
      <c r="A3869" s="3" t="inlineStr">
        <is>
          <t>3838</t>
        </is>
      </c>
      <c r="B3869" s="4" t="s">
        <f>=HYPERLINK("http://anyluxury.ru/shop/odezhda/detskaya-odezhda/svitshot-uniseks-bnc-organic-cherniy-wu31b005/" , "WU31B005 Свитшот унисекс BNC Organic, черный, размер XS")</f>
      </c>
      <c r="C3869" s="4" t="n">
        <v>2773.00</v>
      </c>
      <c r="D3869" s="4"/>
    </row>
    <row collapsed="" customFormat="false" customHeight="1" hidden="" ht="14" outlineLevel="0" r="3870">
      <c r="A3870" s="3" t="inlineStr">
        <is>
          <t>3839</t>
        </is>
      </c>
      <c r="B3870" s="4" t="s">
        <f>=HYPERLINK("http://anyluxury.ru/shop/odezhda/detskaya-odezhda/svitshot-uniseks-bnc-organic-cherniy-wu31b005/" , "WU31B005 Свитшот унисекс BNC Organic, черный, размер S")</f>
      </c>
      <c r="C3870" s="4" t="n">
        <v>2773.00</v>
      </c>
      <c r="D3870" s="4"/>
    </row>
    <row collapsed="" customFormat="false" customHeight="1" hidden="" ht="14" outlineLevel="0" r="3871">
      <c r="A3871" s="3" t="inlineStr">
        <is>
          <t>3840</t>
        </is>
      </c>
      <c r="B3871" s="4" t="s">
        <f>=HYPERLINK("http://anyluxury.ru/shop/odezhda/detskaya-odezhda/svitshot-uniseks-bnc-organic-cherniy-wu31b005/" , "WU31B005 Свитшот унисекс BNC Organic, черный, размер L")</f>
      </c>
      <c r="C3871" s="4" t="n">
        <v>2773.00</v>
      </c>
      <c r="D3871" s="4"/>
    </row>
    <row collapsed="" customFormat="false" customHeight="1" hidden="" ht="14" outlineLevel="0" r="3872">
      <c r="A3872" s="3" t="inlineStr">
        <is>
          <t>3841</t>
        </is>
      </c>
      <c r="B3872" s="4" t="s">
        <f>=HYPERLINK("http://anyluxury.ru/shop/odezhda/detskaya-odezhda/svitshot-uniseks-bnc-organic-cherniy-wu31b005/" , "WU31B005 Свитшот унисекс BNC Organic, черный, размер XXL")</f>
      </c>
      <c r="C3872" s="4" t="n">
        <v>2773.00</v>
      </c>
      <c r="D3872" s="4"/>
    </row>
    <row collapsed="" customFormat="false" customHeight="1" hidden="" ht="14" outlineLevel="0" r="3873">
      <c r="A3873" s="3" t="inlineStr">
        <is>
          <t>3842</t>
        </is>
      </c>
      <c r="B3873" s="4" t="s">
        <f>=HYPERLINK("http://anyluxury.ru/shop/odezhda/detskaya-odezhda/svitshot-uniseks-bnc-organic-temnosiniy-wu31b006/" , "WU31B006 Свитшот унисекс BNC Organic, темно-синий, размер XS")</f>
      </c>
      <c r="C3873" s="4" t="n">
        <v>2773.00</v>
      </c>
      <c r="D3873" s="4"/>
    </row>
    <row collapsed="" customFormat="false" customHeight="1" hidden="" ht="14" outlineLevel="0" r="3874">
      <c r="A3874" s="3" t="inlineStr">
        <is>
          <t>3843</t>
        </is>
      </c>
      <c r="B3874" s="4" t="s">
        <f>=HYPERLINK("http://anyluxury.ru/shop/odezhda/detskaya-odezhda/svitshot-uniseks-bnc-organic-temnosiniy-wu31b006/" , "WU31B006 Свитшот унисекс BNC Organic, темно-синий, размер S")</f>
      </c>
      <c r="C3874" s="4" t="n">
        <v>2773.00</v>
      </c>
      <c r="D3874" s="4"/>
    </row>
    <row collapsed="" customFormat="false" customHeight="1" hidden="" ht="14" outlineLevel="0" r="3875">
      <c r="A3875" s="3" t="inlineStr">
        <is>
          <t>3844</t>
        </is>
      </c>
      <c r="B3875" s="4" t="s">
        <f>=HYPERLINK("http://anyluxury.ru/shop/odezhda/detskaya-odezhda/svitshot-uniseks-bnc-organic-temnosiniy-wu31b006/" , "WU31B006 Свитшот унисекс BNC Organic, темно-синий, размер XXL")</f>
      </c>
      <c r="C3875" s="4" t="n">
        <v>2773.00</v>
      </c>
      <c r="D3875" s="4"/>
    </row>
    <row collapsed="" customFormat="false" customHeight="1" hidden="" ht="14" outlineLevel="0" r="3876">
      <c r="A3876" s="3" t="inlineStr">
        <is>
          <t>3845</t>
        </is>
      </c>
      <c r="B3876" s="4" t="s">
        <f>=HYPERLINK("http://anyluxury.ru/shop/odezhda/detskaya-odezhda/svitshot-uniseks-bnc-organic-molochnobeliy-wu31b101/" , "WU31B101 Свитшот унисекс BNC Organic, молочно-белый, размер S")</f>
      </c>
      <c r="C3876" s="4" t="n">
        <v>2773.00</v>
      </c>
      <c r="D3876" s="4"/>
    </row>
    <row collapsed="" customFormat="false" customHeight="1" hidden="" ht="14" outlineLevel="0" r="3877">
      <c r="A3877" s="3" t="inlineStr">
        <is>
          <t>3846</t>
        </is>
      </c>
      <c r="B3877" s="4" t="s">
        <f>=HYPERLINK("http://anyluxury.ru/shop/odezhda/detskaya-odezhda/svitshot-uniseks-bnc-organic-molochnobeliy-wu31b101/" , "WU31B101 Свитшот унисекс BNC Organic, молочно-белый, размер M")</f>
      </c>
      <c r="C3877" s="4" t="n">
        <v>2773.00</v>
      </c>
      <c r="D3877" s="4"/>
    </row>
    <row collapsed="" customFormat="false" customHeight="1" hidden="" ht="14" outlineLevel="0" r="3878">
      <c r="A3878" s="3" t="inlineStr">
        <is>
          <t>3847</t>
        </is>
      </c>
      <c r="B3878" s="4" t="s">
        <f>=HYPERLINK("http://anyluxury.ru/shop/odezhda/detskaya-odezhda/svitshot-uniseks-bnc-organic-molochnobeliy-wu31b101/" , "WU31B101 Свитшот унисекс BNC Organic, молочно-белый, размер L")</f>
      </c>
      <c r="C3878" s="4" t="n">
        <v>2773.00</v>
      </c>
      <c r="D3878" s="4"/>
    </row>
    <row collapsed="" customFormat="false" customHeight="1" hidden="" ht="14" outlineLevel="0" r="3879">
      <c r="A3879" s="3" t="inlineStr">
        <is>
          <t>3848</t>
        </is>
      </c>
      <c r="B3879" s="4" t="s">
        <f>=HYPERLINK("http://anyluxury.ru/shop/odezhda/detskaya-odezhda/svitshot-uniseks-bnc-organic-molochnobeliy-wu31b101/" , "WU31B101 Свитшот унисекс BNC Organic, молочно-белый, размер XL")</f>
      </c>
      <c r="C3879" s="4" t="n">
        <v>2773.00</v>
      </c>
      <c r="D3879" s="4"/>
    </row>
    <row collapsed="" customFormat="false" customHeight="1" hidden="" ht="14" outlineLevel="0" r="3880">
      <c r="A3880" s="3" t="inlineStr">
        <is>
          <t>3849</t>
        </is>
      </c>
      <c r="B3880" s="4" t="s">
        <f>=HYPERLINK("http://anyluxury.ru/shop/odezhda/detskaya-odezhda/svitshot-uniseks-bnc-organic-molochnobeliy-wu31b101/" , "WU31B101 Свитшот унисекс BNC Organic, молочно-белый, размер XXL")</f>
      </c>
      <c r="C3880" s="4" t="n">
        <v>2773.00</v>
      </c>
      <c r="D3880" s="4"/>
    </row>
    <row collapsed="" customFormat="false" customHeight="1" hidden="" ht="14" outlineLevel="0" r="3881">
      <c r="A3881" s="3" t="inlineStr">
        <is>
          <t>3850</t>
        </is>
      </c>
      <c r="B3881" s="4" t="s">
        <f>=HYPERLINK("http://anyluxury.ru/shop/odezhda/detskaya-odezhda/svitshot-uniseks-bnc-organic-molochnobeliy-wu31b101/" , "WU31B101 Свитшот унисекс BNC Organic, молочно-белый, размер 3XL")</f>
      </c>
      <c r="C3881" s="4" t="n">
        <v>2773.00</v>
      </c>
      <c r="D3881" s="4"/>
    </row>
    <row collapsed="" customFormat="false" customHeight="1" hidden="" ht="14" outlineLevel="0" r="3882">
      <c r="A3882" s="3" t="inlineStr">
        <is>
          <t>3851</t>
        </is>
      </c>
      <c r="B3882" s="4" t="s">
        <f>=HYPERLINK("http://anyluxury.ru/shop/odezhda/detskaya-odezhda/svitshot-uniseks-bnc-organic-zheltiy-wu31b205/" , "WU31B205 Свитшот унисекс BNC Organic, желтый, размер S")</f>
      </c>
      <c r="C3882" s="4" t="n">
        <v>2773.00</v>
      </c>
      <c r="D3882" s="4"/>
    </row>
    <row collapsed="" customFormat="false" customHeight="1" hidden="" ht="14" outlineLevel="0" r="3883">
      <c r="A3883" s="3" t="inlineStr">
        <is>
          <t>3852</t>
        </is>
      </c>
      <c r="B3883" s="4" t="s">
        <f>=HYPERLINK("http://anyluxury.ru/shop/odezhda/detskaya-odezhda/svitshot-uniseks-bnc-organic-zheltiy-wu31b205/" , "WU31B205 Свитшот унисекс BNC Organic, желтый, размер L")</f>
      </c>
      <c r="C3883" s="4" t="n">
        <v>2773.00</v>
      </c>
      <c r="D3883" s="4"/>
    </row>
    <row collapsed="" customFormat="false" customHeight="1" hidden="" ht="14" outlineLevel="0" r="3884">
      <c r="A3884" s="3" t="inlineStr">
        <is>
          <t>3853</t>
        </is>
      </c>
      <c r="B3884" s="4" t="s">
        <f>=HYPERLINK("http://anyluxury.ru/shop/odezhda/detskaya-odezhda/svitshot-uniseks-bnc-organic-zheltiy-wu31b205/" , "WU31B205 Свитшот унисекс BNC Organic, желтый, размер XL")</f>
      </c>
      <c r="C3884" s="4" t="n">
        <v>2773.00</v>
      </c>
      <c r="D3884" s="4"/>
    </row>
    <row collapsed="" customFormat="false" customHeight="1" hidden="" ht="14" outlineLevel="0" r="3885">
      <c r="A3885" s="3" t="inlineStr">
        <is>
          <t>3854</t>
        </is>
      </c>
      <c r="B3885" s="4" t="s">
        <f>=HYPERLINK("http://anyluxury.ru/shop/odezhda/detskaya-odezhda/svitshot-uniseks-bnc-organic-zheltiy-wu31b205/" , "WU31B205 Свитшот унисекс BNC Organic, желтый, размер XXL")</f>
      </c>
      <c r="C3885" s="4" t="n">
        <v>2773.00</v>
      </c>
      <c r="D3885" s="4"/>
    </row>
    <row collapsed="" customFormat="false" customHeight="1" hidden="" ht="14" outlineLevel="0" r="3886">
      <c r="A3886" s="3" t="inlineStr">
        <is>
          <t>3855</t>
        </is>
      </c>
      <c r="B3886" s="4" t="s">
        <f>=HYPERLINK("http://anyluxury.ru/shop/odezhda/detskaya-odezhda/svitshot-uniseks-bnc-organic-rozoviy-wu31b306/" , "WU31B306 Свитшот унисекс BNC Organic, розовый, размер XS")</f>
      </c>
      <c r="C3886" s="4" t="n">
        <v>2773.00</v>
      </c>
      <c r="D3886" s="4"/>
    </row>
    <row collapsed="" customFormat="false" customHeight="1" hidden="" ht="14" outlineLevel="0" r="3887">
      <c r="A3887" s="3" t="inlineStr">
        <is>
          <t>3856</t>
        </is>
      </c>
      <c r="B3887" s="4" t="s">
        <f>=HYPERLINK("http://anyluxury.ru/shop/odezhda/detskaya-odezhda/svitshot-uniseks-bnc-organic-rozoviy-wu31b306/" , "WU31B306 Свитшот унисекс BNC Organic, розовый, размер XXL")</f>
      </c>
      <c r="C3887" s="4" t="n">
        <v>2773.00</v>
      </c>
      <c r="D3887" s="4"/>
    </row>
    <row collapsed="" customFormat="false" customHeight="1" hidden="" ht="14" outlineLevel="0" r="3888">
      <c r="A3888" s="3" t="inlineStr">
        <is>
          <t>3857</t>
        </is>
      </c>
      <c r="B3888" s="4" t="s">
        <f>=HYPERLINK("http://anyluxury.ru/shop/odezhda/detskaya-odezhda/svitshot-uniseks-bnc-organic-rozoviy-wu31b306/" , "WU31B306 Свитшот унисекс BNC Organic, розовый, размер 3XL")</f>
      </c>
      <c r="C3888" s="4" t="n">
        <v>2773.00</v>
      </c>
      <c r="D3888" s="4"/>
    </row>
    <row collapsed="" customFormat="false" customHeight="1" hidden="" ht="14" outlineLevel="0" r="3889">
      <c r="A3889" s="3" t="inlineStr">
        <is>
          <t>3858</t>
        </is>
      </c>
      <c r="B3889" s="4" t="s">
        <f>=HYPERLINK("http://anyluxury.ru/shop/odezhda/detskaya-odezhda/svitshot-uniseks-bnc-organic-yarkosiniy-wu31b453/" , "WU31B453 Свитшот унисекс BNC Organic, ярко-синий, размер XS")</f>
      </c>
      <c r="C3889" s="4" t="n">
        <v>2773.00</v>
      </c>
      <c r="D3889" s="4"/>
    </row>
    <row collapsed="" customFormat="false" customHeight="1" hidden="" ht="14" outlineLevel="0" r="3890">
      <c r="A3890" s="3" t="inlineStr">
        <is>
          <t>3859</t>
        </is>
      </c>
      <c r="B3890" s="4" t="s">
        <f>=HYPERLINK("http://anyluxury.ru/shop/odezhda/detskaya-odezhda/svitshot-uniseks-bnc-organic-yarkosiniy-wu31b453/" , "WU31B453 Свитшот унисекс BNC Organic, ярко-синий, размер S")</f>
      </c>
      <c r="C3890" s="4" t="n">
        <v>2773.00</v>
      </c>
      <c r="D3890" s="4"/>
    </row>
    <row collapsed="" customFormat="false" customHeight="1" hidden="" ht="14" outlineLevel="0" r="3891">
      <c r="A3891" s="3" t="inlineStr">
        <is>
          <t>3860</t>
        </is>
      </c>
      <c r="B3891" s="4" t="s">
        <f>=HYPERLINK("http://anyluxury.ru/shop/odezhda/detskaya-odezhda/svitshot-uniseks-bnc-organic-yarkosiniy-wu31b453/" , "WU31B453 Свитшот унисекс BNC Organic, ярко-синий, размер XL")</f>
      </c>
      <c r="C3891" s="4" t="n">
        <v>2773.00</v>
      </c>
      <c r="D3891" s="4"/>
    </row>
    <row collapsed="" customFormat="false" customHeight="1" hidden="" ht="14" outlineLevel="0" r="3892">
      <c r="A3892" s="3" t="inlineStr">
        <is>
          <t>3861</t>
        </is>
      </c>
      <c r="B3892" s="4" t="s">
        <f>=HYPERLINK("http://anyluxury.ru/shop/odezhda/detskaya-odezhda/svitshot-uniseks-bnc-organic-yarkosiniy-wu31b453/" , "WU31B453 Свитшот унисекс BNC Organic, ярко-синий, размер XXL")</f>
      </c>
      <c r="C3892" s="4" t="n">
        <v>2773.00</v>
      </c>
      <c r="D3892" s="4"/>
    </row>
    <row collapsed="" customFormat="false" customHeight="1" hidden="" ht="14" outlineLevel="0" r="3893">
      <c r="A3893" s="3" t="inlineStr">
        <is>
          <t>3862</t>
        </is>
      </c>
      <c r="B3893" s="4" t="s">
        <f>=HYPERLINK("http://anyluxury.ru/shop/odezhda/detskaya-odezhda/svitshot-uniseks-bnc-organic-zeleniy-wu31b515/" , "WU31B515 Свитшот унисекс BNC Organic, зеленый, размер S")</f>
      </c>
      <c r="C3893" s="4" t="n">
        <v>2773.00</v>
      </c>
      <c r="D3893" s="4"/>
    </row>
    <row collapsed="" customFormat="false" customHeight="1" hidden="" ht="14" outlineLevel="0" r="3894">
      <c r="A3894" s="3" t="inlineStr">
        <is>
          <t>3863</t>
        </is>
      </c>
      <c r="B3894" s="4" t="s">
        <f>=HYPERLINK("http://anyluxury.ru/shop/odezhda/detskaya-odezhda/svitshot-uniseks-bnc-organic-zeleniy-wu31b515/" , "WU31B515 Свитшот унисекс BNC Organic, зеленый, размер XL")</f>
      </c>
      <c r="C3894" s="4" t="n">
        <v>2773.00</v>
      </c>
      <c r="D3894" s="4"/>
    </row>
    <row collapsed="" customFormat="false" customHeight="1" hidden="" ht="14" outlineLevel="0" r="3895">
      <c r="A3895" s="3" t="inlineStr">
        <is>
          <t>3864</t>
        </is>
      </c>
      <c r="B3895" s="4" t="s">
        <f>=HYPERLINK("http://anyluxury.ru/shop/odezhda/detskaya-odezhda/svitshot-uniseks-bnc-organic-zeleniy-wu31b515/" , "WU31B515 Свитшот унисекс BNC Organic, зеленый, размер XXL")</f>
      </c>
      <c r="C3895" s="4" t="n">
        <v>2773.00</v>
      </c>
      <c r="D3895" s="4"/>
    </row>
    <row collapsed="" customFormat="false" customHeight="1" hidden="" ht="14" outlineLevel="0" r="3896">
      <c r="A3896" s="3" t="inlineStr">
        <is>
          <t>3865</t>
        </is>
      </c>
      <c r="B3896" s="4" t="s">
        <f>=HYPERLINK("http://anyluxury.ru/shop/odezhda/detskaya-odezhda/svitshot-uniseks-bnc-organic-seriy-melanzh-wu31b610/" , "WU31B610 Свитшот унисекс BNC Organic, серый меланж, размер XS")</f>
      </c>
      <c r="C3896" s="4" t="n">
        <v>2773.00</v>
      </c>
      <c r="D3896" s="4"/>
    </row>
    <row collapsed="" customFormat="false" customHeight="1" hidden="" ht="14" outlineLevel="0" r="3897">
      <c r="A3897" s="3" t="inlineStr">
        <is>
          <t>3866</t>
        </is>
      </c>
      <c r="B3897" s="4" t="s">
        <f>=HYPERLINK("http://anyluxury.ru/shop/odezhda/detskaya-odezhda/svitshot-uniseks-bnc-organic-seriy-melanzh-wu31b610/" , "WU31B610 Свитшот унисекс BNC Organic, серый меланж, размер S")</f>
      </c>
      <c r="C3897" s="4" t="n">
        <v>2773.00</v>
      </c>
      <c r="D3897" s="4"/>
    </row>
    <row collapsed="" customFormat="false" customHeight="1" hidden="" ht="14" outlineLevel="0" r="3898">
      <c r="A3898" s="3" t="inlineStr">
        <is>
          <t>3867</t>
        </is>
      </c>
      <c r="B3898" s="4" t="s">
        <f>=HYPERLINK("http://anyluxury.ru/shop/odezhda/detskaya-odezhda/svitshot-uniseks-bnc-organic-seriy-melanzh-wu31b610/" , "WU31B610 Свитшот унисекс BNC Organic, серый меланж, размер M")</f>
      </c>
      <c r="C3898" s="4" t="n">
        <v>2773.00</v>
      </c>
      <c r="D3898" s="4"/>
    </row>
    <row collapsed="" customFormat="false" customHeight="1" hidden="" ht="14" outlineLevel="0" r="3899">
      <c r="A3899" s="3" t="inlineStr">
        <is>
          <t>3868</t>
        </is>
      </c>
      <c r="B3899" s="4" t="s">
        <f>=HYPERLINK("http://anyluxury.ru/shop/odezhda/detskaya-odezhda/svitshot-uniseks-bnc-organic-seriy-melanzh-wu31b610/" , "WU31B610 Свитшот унисекс BNC Organic, серый меланж, размер L")</f>
      </c>
      <c r="C3899" s="4" t="n">
        <v>2773.00</v>
      </c>
      <c r="D3899" s="4"/>
    </row>
    <row collapsed="" customFormat="false" customHeight="1" hidden="" ht="14" outlineLevel="0" r="3900">
      <c r="A3900" s="3" t="inlineStr">
        <is>
          <t>3869</t>
        </is>
      </c>
      <c r="B3900" s="4" t="s">
        <f>=HYPERLINK("http://anyluxury.ru/shop/odezhda/detskaya-odezhda/svitshot-uniseks-bnc-organic-seriy-melanzh-wu31b610/" , "WU31B610 Свитшот унисекс BNC Organic, серый меланж, размер XL")</f>
      </c>
      <c r="C3900" s="4" t="n">
        <v>2773.00</v>
      </c>
      <c r="D3900" s="4"/>
    </row>
    <row collapsed="" customFormat="false" customHeight="1" hidden="" ht="14" outlineLevel="0" r="3901">
      <c r="A3901" s="3" t="inlineStr">
        <is>
          <t>3870</t>
        </is>
      </c>
      <c r="B3901" s="4" t="s">
        <f>=HYPERLINK("http://anyluxury.ru/shop/odezhda/detskaya-odezhda/svitshot-uniseks-bnc-organic-seriy-melanzh-wu31b610/" , "WU31B610 Свитшот унисекс BNC Organic, серый меланж, размер XXL")</f>
      </c>
      <c r="C3901" s="4" t="n">
        <v>2773.00</v>
      </c>
      <c r="D3901" s="4"/>
    </row>
    <row collapsed="" customFormat="false" customHeight="1" hidden="" ht="14" outlineLevel="0" r="3902">
      <c r="A3902" s="3" t="inlineStr">
        <is>
          <t>3871</t>
        </is>
      </c>
      <c r="B3902" s="4" t="s">
        <f>=HYPERLINK("http://anyluxury.ru/shop/odezhda/detskaya-odezhda/svitshot-zhenskiy-bnc-organic-krasniy-ww32b004/" , "WW32B004 Свитшот женский BNC Organic, красный, размер XS")</f>
      </c>
      <c r="C3902" s="4" t="n">
        <v>2723.00</v>
      </c>
      <c r="D3902" s="4"/>
    </row>
    <row collapsed="" customFormat="false" customHeight="1" hidden="" ht="14" outlineLevel="0" r="3903">
      <c r="A3903" s="3" t="inlineStr">
        <is>
          <t>3872</t>
        </is>
      </c>
      <c r="B3903" s="4" t="s">
        <f>=HYPERLINK("http://anyluxury.ru/shop/odezhda/detskaya-odezhda/svitshot-zhenskiy-bnc-organic-krasniy-ww32b004/" , "WW32B004 Свитшот женский BNC Organic, красный, размер L")</f>
      </c>
      <c r="C3903" s="4" t="n">
        <v>2723.00</v>
      </c>
      <c r="D3903" s="4"/>
    </row>
    <row collapsed="" customFormat="false" customHeight="1" hidden="" ht="14" outlineLevel="0" r="3904">
      <c r="A3904" s="3" t="inlineStr">
        <is>
          <t>3873</t>
        </is>
      </c>
      <c r="B3904" s="4" t="s">
        <f>=HYPERLINK("http://anyluxury.ru/shop/odezhda/detskaya-odezhda/svitshot-zhenskiy-bnc-organic-krasniy-ww32b004/" , "WW32B004 Свитшот женский BNC Organic, красный, размер XL")</f>
      </c>
      <c r="C3904" s="4" t="n">
        <v>2723.00</v>
      </c>
      <c r="D3904" s="4"/>
    </row>
    <row collapsed="" customFormat="false" customHeight="1" hidden="" ht="14" outlineLevel="0" r="3905">
      <c r="A3905" s="3" t="inlineStr">
        <is>
          <t>3874</t>
        </is>
      </c>
      <c r="B3905" s="4" t="s">
        <f>=HYPERLINK("http://anyluxury.ru/shop/odezhda/detskaya-odezhda/svitshot-zhenskiy-bnc-organic-krasniy-ww32b004/" , "WW32B004 Свитшот женский BNC Organic, красный, размер XXL")</f>
      </c>
      <c r="C3905" s="4" t="n">
        <v>2723.00</v>
      </c>
      <c r="D3905" s="4"/>
    </row>
    <row collapsed="" customFormat="false" customHeight="1" hidden="" ht="14" outlineLevel="0" r="3906">
      <c r="A3906" s="3" t="inlineStr">
        <is>
          <t>3875</t>
        </is>
      </c>
      <c r="B3906" s="4" t="s">
        <f>=HYPERLINK("http://anyluxury.ru/shop/odezhda/detskaya-odezhda/svitshot-zhenskiy-bnc-organic-cherniy-ww32b005/" , "WW32B005 Свитшот женский BNC Organic, черный, размер XS")</f>
      </c>
      <c r="C3906" s="4" t="n">
        <v>2723.00</v>
      </c>
      <c r="D3906" s="4"/>
    </row>
    <row collapsed="" customFormat="false" customHeight="1" hidden="" ht="14" outlineLevel="0" r="3907">
      <c r="A3907" s="3" t="inlineStr">
        <is>
          <t>3876</t>
        </is>
      </c>
      <c r="B3907" s="4" t="s">
        <f>=HYPERLINK("http://anyluxury.ru/shop/odezhda/detskaya-odezhda/svitshot-zhenskiy-bnc-organic-cherniy-ww32b005/" , "WW32B005 Свитшот женский BNC Organic, черный, размер S")</f>
      </c>
      <c r="C3907" s="4" t="n">
        <v>2723.00</v>
      </c>
      <c r="D3907" s="4"/>
    </row>
    <row collapsed="" customFormat="false" customHeight="1" hidden="" ht="14" outlineLevel="0" r="3908">
      <c r="A3908" s="3" t="inlineStr">
        <is>
          <t>3877</t>
        </is>
      </c>
      <c r="B3908" s="4" t="s">
        <f>=HYPERLINK("http://anyluxury.ru/shop/odezhda/detskaya-odezhda/svitshot-zhenskiy-bnc-organic-cherniy-ww32b005/" , "WW32B005 Свитшот женский BNC Organic, черный, размер L")</f>
      </c>
      <c r="C3908" s="4" t="n">
        <v>2723.00</v>
      </c>
      <c r="D3908" s="4"/>
    </row>
    <row collapsed="" customFormat="false" customHeight="1" hidden="" ht="14" outlineLevel="0" r="3909">
      <c r="A3909" s="3" t="inlineStr">
        <is>
          <t>3878</t>
        </is>
      </c>
      <c r="B3909" s="4" t="s">
        <f>=HYPERLINK("http://anyluxury.ru/shop/odezhda/detskaya-odezhda/svitshot-zhenskiy-bnc-organic-cherniy-ww32b005/" , "WW32B005 Свитшот женский BNC Organic, черный, размер XL")</f>
      </c>
      <c r="C3909" s="4" t="n">
        <v>2723.00</v>
      </c>
      <c r="D3909" s="4"/>
    </row>
    <row collapsed="" customFormat="false" customHeight="1" hidden="" ht="14" outlineLevel="0" r="3910">
      <c r="A3910" s="3" t="inlineStr">
        <is>
          <t>3879</t>
        </is>
      </c>
      <c r="B3910" s="4" t="s">
        <f>=HYPERLINK("http://anyluxury.ru/shop/odezhda/detskaya-odezhda/svitshot-zhenskiy-bnc-organic-cherniy-ww32b005/" , "WW32B005 Свитшот женский BNC Organic, черный, размер XXL")</f>
      </c>
      <c r="C3910" s="4" t="n">
        <v>2723.00</v>
      </c>
      <c r="D3910" s="4"/>
    </row>
    <row collapsed="" customFormat="false" customHeight="1" hidden="" ht="14" outlineLevel="0" r="3911">
      <c r="A3911" s="3" t="inlineStr">
        <is>
          <t>3880</t>
        </is>
      </c>
      <c r="B3911" s="4" t="s">
        <f>=HYPERLINK("http://anyluxury.ru/shop/odezhda/detskaya-odezhda/svitshot-zhenskiy-bnc-organic-temnosiniy-ww32b006/" , "WW32B006 Свитшот женский BNC Organic, темно-синий, размер XS")</f>
      </c>
      <c r="C3911" s="4" t="n">
        <v>2723.00</v>
      </c>
      <c r="D3911" s="4"/>
    </row>
    <row collapsed="" customFormat="false" customHeight="1" hidden="" ht="14" outlineLevel="0" r="3912">
      <c r="A3912" s="3" t="inlineStr">
        <is>
          <t>3881</t>
        </is>
      </c>
      <c r="B3912" s="4" t="s">
        <f>=HYPERLINK("http://anyluxury.ru/shop/odezhda/detskaya-odezhda/svitshot-zhenskiy-bnc-organic-temnosiniy-ww32b006/" , "WW32B006 Свитшот женский BNC Organic, темно-синий, размер S")</f>
      </c>
      <c r="C3912" s="4" t="n">
        <v>2723.00</v>
      </c>
      <c r="D3912" s="4"/>
    </row>
    <row collapsed="" customFormat="false" customHeight="1" hidden="" ht="14" outlineLevel="0" r="3913">
      <c r="A3913" s="3" t="inlineStr">
        <is>
          <t>3882</t>
        </is>
      </c>
      <c r="B3913" s="4" t="s">
        <f>=HYPERLINK("http://anyluxury.ru/shop/odezhda/detskaya-odezhda/svitshot-zhenskiy-bnc-organic-temnosiniy-ww32b006/" , "WW32B006 Свитшот женский BNC Organic, темно-синий, размер M")</f>
      </c>
      <c r="C3913" s="4" t="n">
        <v>2723.00</v>
      </c>
      <c r="D3913" s="4"/>
    </row>
    <row collapsed="" customFormat="false" customHeight="1" hidden="" ht="14" outlineLevel="0" r="3914">
      <c r="A3914" s="3" t="inlineStr">
        <is>
          <t>3883</t>
        </is>
      </c>
      <c r="B3914" s="4" t="s">
        <f>=HYPERLINK("http://anyluxury.ru/shop/odezhda/detskaya-odezhda/svitshot-zhenskiy-bnc-organic-temnosiniy-ww32b006/" , "WW32B006 Свитшот женский BNC Organic, темно-синий, размер L")</f>
      </c>
      <c r="C3914" s="4" t="n">
        <v>2723.00</v>
      </c>
      <c r="D3914" s="4"/>
    </row>
    <row collapsed="" customFormat="false" customHeight="1" hidden="" ht="14" outlineLevel="0" r="3915">
      <c r="A3915" s="3" t="inlineStr">
        <is>
          <t>3884</t>
        </is>
      </c>
      <c r="B3915" s="4" t="s">
        <f>=HYPERLINK("http://anyluxury.ru/shop/odezhda/detskaya-odezhda/svitshot-zhenskiy-bnc-organic-temnosiniy-ww32b006/" , "WW32B006 Свитшот женский BNC Organic, темно-синий, размер XL")</f>
      </c>
      <c r="C3915" s="4" t="n">
        <v>2723.00</v>
      </c>
      <c r="D3915" s="4"/>
    </row>
    <row collapsed="" customFormat="false" customHeight="1" hidden="" ht="14" outlineLevel="0" r="3916">
      <c r="A3916" s="3" t="inlineStr">
        <is>
          <t>3885</t>
        </is>
      </c>
      <c r="B3916" s="4" t="s">
        <f>=HYPERLINK("http://anyluxury.ru/shop/odezhda/detskaya-odezhda/svitshot-zhenskiy-bnc-organic-temnosiniy-ww32b006/" , "WW32B006 Свитшот женский BNC Organic, темно-синий, размер XXL")</f>
      </c>
      <c r="C3916" s="4" t="n">
        <v>2723.00</v>
      </c>
      <c r="D3916" s="4"/>
    </row>
    <row collapsed="" customFormat="false" customHeight="1" hidden="" ht="14" outlineLevel="0" r="3917">
      <c r="A3917" s="3" t="inlineStr">
        <is>
          <t>3886</t>
        </is>
      </c>
      <c r="B3917" s="4" t="s">
        <f>=HYPERLINK("http://anyluxury.ru/shop/odezhda/detskaya-odezhda/svitshot-zhenskiy-bnc-organic-molochnobeliy-ww32b101/" , "WW32B101 Свитшот женский BNC Organic, молочно-белый, размер XS")</f>
      </c>
      <c r="C3917" s="4" t="n">
        <v>2723.00</v>
      </c>
      <c r="D3917" s="4"/>
    </row>
    <row collapsed="" customFormat="false" customHeight="1" hidden="" ht="14" outlineLevel="0" r="3918">
      <c r="A3918" s="3" t="inlineStr">
        <is>
          <t>3887</t>
        </is>
      </c>
      <c r="B3918" s="4" t="s">
        <f>=HYPERLINK("http://anyluxury.ru/shop/odezhda/detskaya-odezhda/svitshot-zhenskiy-bnc-organic-molochnobeliy-ww32b101/" , "WW32B101 Свитшот женский BNC Organic, молочно-белый, размер S")</f>
      </c>
      <c r="C3918" s="4" t="n">
        <v>2723.00</v>
      </c>
      <c r="D3918" s="4"/>
    </row>
    <row collapsed="" customFormat="false" customHeight="1" hidden="" ht="14" outlineLevel="0" r="3919">
      <c r="A3919" s="3" t="inlineStr">
        <is>
          <t>3888</t>
        </is>
      </c>
      <c r="B3919" s="4" t="s">
        <f>=HYPERLINK("http://anyluxury.ru/shop/odezhda/detskaya-odezhda/svitshot-zhenskiy-bnc-organic-molochnobeliy-ww32b101/" , "WW32B101 Свитшот женский BNC Organic, молочно-белый, размер L")</f>
      </c>
      <c r="C3919" s="4" t="n">
        <v>2723.00</v>
      </c>
      <c r="D3919" s="4"/>
    </row>
    <row collapsed="" customFormat="false" customHeight="1" hidden="" ht="14" outlineLevel="0" r="3920">
      <c r="A3920" s="3" t="inlineStr">
        <is>
          <t>3889</t>
        </is>
      </c>
      <c r="B3920" s="4" t="s">
        <f>=HYPERLINK("http://anyluxury.ru/shop/odezhda/detskaya-odezhda/svitshot-zhenskiy-bnc-organic-molochnobeliy-ww32b101/" , "WW32B101 Свитшот женский BNC Organic, молочно-белый, размер XL")</f>
      </c>
      <c r="C3920" s="4" t="n">
        <v>2723.00</v>
      </c>
      <c r="D3920" s="4"/>
    </row>
    <row collapsed="" customFormat="false" customHeight="1" hidden="" ht="14" outlineLevel="0" r="3921">
      <c r="A3921" s="3" t="inlineStr">
        <is>
          <t>3890</t>
        </is>
      </c>
      <c r="B3921" s="4" t="s">
        <f>=HYPERLINK("http://anyluxury.ru/shop/odezhda/detskaya-odezhda/svitshot-zhenskiy-bnc-organic-molochnobeliy-ww32b101/" , "WW32B101 Свитшот женский BNC Organic, молочно-белый, размер XXL")</f>
      </c>
      <c r="C3921" s="4" t="n">
        <v>2723.00</v>
      </c>
      <c r="D3921" s="4"/>
    </row>
    <row collapsed="" customFormat="false" customHeight="1" hidden="" ht="14" outlineLevel="0" r="3922">
      <c r="A3922" s="3" t="inlineStr">
        <is>
          <t>3891</t>
        </is>
      </c>
      <c r="B3922" s="4" t="s">
        <f>=HYPERLINK("http://anyluxury.ru/shop/odezhda/detskaya-odezhda/svitshot-zhenskiy-bnc-organic-korichneviy-mokko-ww32b137/" , "WW32B137 Свитшот женский BNC Organic, коричневый (мокко), размер XS")</f>
      </c>
      <c r="C3922" s="4" t="n">
        <v>2723.00</v>
      </c>
      <c r="D3922" s="4"/>
    </row>
    <row collapsed="" customFormat="false" customHeight="1" hidden="" ht="14" outlineLevel="0" r="3923">
      <c r="A3923" s="3" t="inlineStr">
        <is>
          <t>3892</t>
        </is>
      </c>
      <c r="B3923" s="4" t="s">
        <f>=HYPERLINK("http://anyluxury.ru/shop/odezhda/detskaya-odezhda/svitshot-zhenskiy-bnc-organic-korichneviy-mokko-ww32b137/" , "WW32B137 Свитшот женский BNC Organic, коричневый (мокко), размер S")</f>
      </c>
      <c r="C3923" s="4" t="n">
        <v>2723.00</v>
      </c>
      <c r="D3923" s="4"/>
    </row>
    <row collapsed="" customFormat="false" customHeight="1" hidden="" ht="14" outlineLevel="0" r="3924">
      <c r="A3924" s="3" t="inlineStr">
        <is>
          <t>3893</t>
        </is>
      </c>
      <c r="B3924" s="4" t="s">
        <f>=HYPERLINK("http://anyluxury.ru/shop/odezhda/detskaya-odezhda/svitshot-zhenskiy-bnc-organic-korichneviy-mokko-ww32b137/" , "WW32B137 Свитшот женский BNC Organic, коричневый (мокко), размер M")</f>
      </c>
      <c r="C3924" s="4" t="n">
        <v>2723.00</v>
      </c>
      <c r="D3924" s="4"/>
    </row>
    <row collapsed="" customFormat="false" customHeight="1" hidden="" ht="14" outlineLevel="0" r="3925">
      <c r="A3925" s="3" t="inlineStr">
        <is>
          <t>3894</t>
        </is>
      </c>
      <c r="B3925" s="4" t="s">
        <f>=HYPERLINK("http://anyluxury.ru/shop/odezhda/detskaya-odezhda/svitshot-zhenskiy-bnc-organic-korichneviy-mokko-ww32b137/" , "WW32B137 Свитшот женский BNC Organic, коричневый (мокко), размер L")</f>
      </c>
      <c r="C3925" s="4" t="n">
        <v>2723.00</v>
      </c>
      <c r="D3925" s="4"/>
    </row>
    <row collapsed="" customFormat="false" customHeight="1" hidden="" ht="14" outlineLevel="0" r="3926">
      <c r="A3926" s="3" t="inlineStr">
        <is>
          <t>3895</t>
        </is>
      </c>
      <c r="B3926" s="4" t="s">
        <f>=HYPERLINK("http://anyluxury.ru/shop/odezhda/detskaya-odezhda/svitshot-zhenskiy-bnc-organic-korichneviy-mokko-ww32b137/" , "WW32B137 Свитшот женский BNC Organic, коричневый (мокко), размер XL")</f>
      </c>
      <c r="C3926" s="4" t="n">
        <v>2723.00</v>
      </c>
      <c r="D3926" s="4"/>
    </row>
    <row collapsed="" customFormat="false" customHeight="1" hidden="" ht="14" outlineLevel="0" r="3927">
      <c r="A3927" s="3" t="inlineStr">
        <is>
          <t>3896</t>
        </is>
      </c>
      <c r="B3927" s="4" t="s">
        <f>=HYPERLINK("http://anyluxury.ru/shop/odezhda/detskaya-odezhda/svitshot-zhenskiy-bnc-organic-korichneviy-mokko-ww32b137/" , "WW32B137 Свитшот женский BNC Organic, коричневый (мокко), размер XXL")</f>
      </c>
      <c r="C3927" s="4" t="n">
        <v>2723.00</v>
      </c>
      <c r="D3927" s="4"/>
    </row>
    <row collapsed="" customFormat="false" customHeight="1" hidden="" ht="14" outlineLevel="0" r="3928">
      <c r="A3928" s="3" t="inlineStr">
        <is>
          <t>3897</t>
        </is>
      </c>
      <c r="B3928" s="4" t="s">
        <f>=HYPERLINK("http://anyluxury.ru/shop/odezhda/detskaya-odezhda/svitshot-zhenskiy-bnc-organic-zheltiy-ww32b205/" , "WW32B205 Свитшот женский BNC Organic, желтый, размер XS")</f>
      </c>
      <c r="C3928" s="4" t="n">
        <v>2723.00</v>
      </c>
      <c r="D3928" s="4"/>
    </row>
    <row collapsed="" customFormat="false" customHeight="1" hidden="" ht="14" outlineLevel="0" r="3929">
      <c r="A3929" s="3" t="inlineStr">
        <is>
          <t>3898</t>
        </is>
      </c>
      <c r="B3929" s="4" t="s">
        <f>=HYPERLINK("http://anyluxury.ru/shop/odezhda/detskaya-odezhda/svitshot-zhenskiy-bnc-organic-zheltiy-ww32b205/" , "WW32B205 Свитшот женский BNC Organic, желтый, размер S")</f>
      </c>
      <c r="C3929" s="4" t="n">
        <v>2723.00</v>
      </c>
      <c r="D3929" s="4"/>
    </row>
    <row collapsed="" customFormat="false" customHeight="1" hidden="" ht="14" outlineLevel="0" r="3930">
      <c r="A3930" s="3" t="inlineStr">
        <is>
          <t>3899</t>
        </is>
      </c>
      <c r="B3930" s="4" t="s">
        <f>=HYPERLINK("http://anyluxury.ru/shop/odezhda/detskaya-odezhda/svitshot-zhenskiy-bnc-organic-zheltiy-ww32b205/" , "WW32B205 Свитшот женский BNC Organic, желтый, размер L")</f>
      </c>
      <c r="C3930" s="4" t="n">
        <v>2723.00</v>
      </c>
      <c r="D3930" s="4"/>
    </row>
    <row collapsed="" customFormat="false" customHeight="1" hidden="" ht="14" outlineLevel="0" r="3931">
      <c r="A3931" s="3" t="inlineStr">
        <is>
          <t>3900</t>
        </is>
      </c>
      <c r="B3931" s="4" t="s">
        <f>=HYPERLINK("http://anyluxury.ru/shop/odezhda/detskaya-odezhda/svitshot-zhenskiy-bnc-organic-zheltiy-ww32b205/" , "WW32B205 Свитшот женский BNC Organic, желтый, размер XL")</f>
      </c>
      <c r="C3931" s="4" t="n">
        <v>2723.00</v>
      </c>
      <c r="D3931" s="4"/>
    </row>
    <row collapsed="" customFormat="false" customHeight="1" hidden="" ht="14" outlineLevel="0" r="3932">
      <c r="A3932" s="3" t="inlineStr">
        <is>
          <t>3901</t>
        </is>
      </c>
      <c r="B3932" s="4" t="s">
        <f>=HYPERLINK("http://anyluxury.ru/shop/odezhda/detskaya-odezhda/svitshot-zhenskiy-bnc-organic-zheltiy-ww32b205/" , "WW32B205 Свитшот женский BNC Organic, желтый, размер XXL")</f>
      </c>
      <c r="C3932" s="4" t="n">
        <v>2723.00</v>
      </c>
      <c r="D3932" s="4"/>
    </row>
    <row collapsed="" customFormat="false" customHeight="1" hidden="" ht="14" outlineLevel="0" r="3933">
      <c r="A3933" s="3" t="inlineStr">
        <is>
          <t>3902</t>
        </is>
      </c>
      <c r="B3933" s="4" t="s">
        <f>=HYPERLINK("http://anyluxury.ru/shop/odezhda/detskaya-odezhda/svitshot-zhenskiy-bnc-organic-rozoviy-ww32b306/" , "WW32B306 Свитшот женский BNC Organic, розовый, размер XS")</f>
      </c>
      <c r="C3933" s="4" t="n">
        <v>2723.00</v>
      </c>
      <c r="D3933" s="4"/>
    </row>
    <row collapsed="" customFormat="false" customHeight="1" hidden="" ht="14" outlineLevel="0" r="3934">
      <c r="A3934" s="3" t="inlineStr">
        <is>
          <t>3903</t>
        </is>
      </c>
      <c r="B3934" s="4" t="s">
        <f>=HYPERLINK("http://anyluxury.ru/shop/odezhda/detskaya-odezhda/svitshot-zhenskiy-bnc-organic-rozoviy-ww32b306/" , "WW32B306 Свитшот женский BNC Organic, розовый, размер S")</f>
      </c>
      <c r="C3934" s="4" t="n">
        <v>2723.00</v>
      </c>
      <c r="D3934" s="4"/>
    </row>
    <row collapsed="" customFormat="false" customHeight="1" hidden="" ht="14" outlineLevel="0" r="3935">
      <c r="A3935" s="3" t="inlineStr">
        <is>
          <t>3904</t>
        </is>
      </c>
      <c r="B3935" s="4" t="s">
        <f>=HYPERLINK("http://anyluxury.ru/shop/odezhda/detskaya-odezhda/svitshot-zhenskiy-bnc-organic-rozoviy-ww32b306/" , "WW32B306 Свитшот женский BNC Organic, розовый, размер M")</f>
      </c>
      <c r="C3935" s="4" t="n">
        <v>2723.00</v>
      </c>
      <c r="D3935" s="4"/>
    </row>
    <row collapsed="" customFormat="false" customHeight="1" hidden="" ht="14" outlineLevel="0" r="3936">
      <c r="A3936" s="3" t="inlineStr">
        <is>
          <t>3905</t>
        </is>
      </c>
      <c r="B3936" s="4" t="s">
        <f>=HYPERLINK("http://anyluxury.ru/shop/odezhda/detskaya-odezhda/svitshot-zhenskiy-bnc-organic-rozoviy-ww32b306/" , "WW32B306 Свитшот женский BNC Organic, розовый, размер L")</f>
      </c>
      <c r="C3936" s="4" t="n">
        <v>2723.00</v>
      </c>
      <c r="D3936" s="4"/>
    </row>
    <row collapsed="" customFormat="false" customHeight="1" hidden="" ht="14" outlineLevel="0" r="3937">
      <c r="A3937" s="3" t="inlineStr">
        <is>
          <t>3906</t>
        </is>
      </c>
      <c r="B3937" s="4" t="s">
        <f>=HYPERLINK("http://anyluxury.ru/shop/odezhda/detskaya-odezhda/svitshot-zhenskiy-bnc-organic-rozoviy-ww32b306/" , "WW32B306 Свитшот женский BNC Organic, розовый, размер XL")</f>
      </c>
      <c r="C3937" s="4" t="n">
        <v>2723.00</v>
      </c>
      <c r="D3937" s="4"/>
    </row>
    <row collapsed="" customFormat="false" customHeight="1" hidden="" ht="14" outlineLevel="0" r="3938">
      <c r="A3938" s="3" t="inlineStr">
        <is>
          <t>3907</t>
        </is>
      </c>
      <c r="B3938" s="4" t="s">
        <f>=HYPERLINK("http://anyluxury.ru/shop/odezhda/detskaya-odezhda/svitshot-zhenskiy-bnc-organic-rozoviy-ww32b306/" , "WW32B306 Свитшот женский BNC Organic, розовый, размер XXL")</f>
      </c>
      <c r="C3938" s="4" t="n">
        <v>2723.00</v>
      </c>
      <c r="D3938" s="4"/>
    </row>
    <row collapsed="" customFormat="false" customHeight="1" hidden="" ht="14" outlineLevel="0" r="3939">
      <c r="A3939" s="3" t="inlineStr">
        <is>
          <t>3908</t>
        </is>
      </c>
      <c r="B3939" s="4" t="s">
        <f>=HYPERLINK("http://anyluxury.ru/shop/odezhda/detskaya-odezhda/svitshot-zhenskiy-bnc-organic-fioletoviy-ww32b351/" , "WW32B351 Свитшот женский BNC Organic, фиолетовый, размер XS")</f>
      </c>
      <c r="C3939" s="4" t="n">
        <v>2723.00</v>
      </c>
      <c r="D3939" s="4"/>
    </row>
    <row collapsed="" customFormat="false" customHeight="1" hidden="" ht="14" outlineLevel="0" r="3940">
      <c r="A3940" s="3" t="inlineStr">
        <is>
          <t>3909</t>
        </is>
      </c>
      <c r="B3940" s="4" t="s">
        <f>=HYPERLINK("http://anyluxury.ru/shop/odezhda/detskaya-odezhda/svitshot-zhenskiy-bnc-organic-fioletoviy-ww32b351/" , "WW32B351 Свитшот женский BNC Organic, фиолетовый, размер S")</f>
      </c>
      <c r="C3940" s="4" t="n">
        <v>2723.00</v>
      </c>
      <c r="D3940" s="4"/>
    </row>
    <row collapsed="" customFormat="false" customHeight="1" hidden="" ht="14" outlineLevel="0" r="3941">
      <c r="A3941" s="3" t="inlineStr">
        <is>
          <t>3910</t>
        </is>
      </c>
      <c r="B3941" s="4" t="s">
        <f>=HYPERLINK("http://anyluxury.ru/shop/odezhda/detskaya-odezhda/svitshot-zhenskiy-bnc-organic-fioletoviy-ww32b351/" , "WW32B351 Свитшот женский BNC Organic, фиолетовый, размер L")</f>
      </c>
      <c r="C3941" s="4" t="n">
        <v>2723.00</v>
      </c>
      <c r="D3941" s="4"/>
    </row>
    <row collapsed="" customFormat="false" customHeight="1" hidden="" ht="14" outlineLevel="0" r="3942">
      <c r="A3942" s="3" t="inlineStr">
        <is>
          <t>3911</t>
        </is>
      </c>
      <c r="B3942" s="4" t="s">
        <f>=HYPERLINK("http://anyluxury.ru/shop/odezhda/detskaya-odezhda/svitshot-zhenskiy-bnc-organic-fioletoviy-ww32b351/" , "WW32B351 Свитшот женский BNC Organic, фиолетовый, размер XL")</f>
      </c>
      <c r="C3942" s="4" t="n">
        <v>2723.00</v>
      </c>
      <c r="D3942" s="4"/>
    </row>
    <row collapsed="" customFormat="false" customHeight="1" hidden="" ht="14" outlineLevel="0" r="3943">
      <c r="A3943" s="3" t="inlineStr">
        <is>
          <t>3912</t>
        </is>
      </c>
      <c r="B3943" s="4" t="s">
        <f>=HYPERLINK("http://anyluxury.ru/shop/odezhda/detskaya-odezhda/svitshot-zhenskiy-bnc-organic-fioletoviy-ww32b351/" , "WW32B351 Свитшот женский BNC Organic, фиолетовый, размер XXL")</f>
      </c>
      <c r="C3943" s="4" t="n">
        <v>2723.00</v>
      </c>
      <c r="D3943" s="4"/>
    </row>
    <row collapsed="" customFormat="false" customHeight="1" hidden="" ht="14" outlineLevel="0" r="3944">
      <c r="A3944" s="3" t="inlineStr">
        <is>
          <t>3913</t>
        </is>
      </c>
      <c r="B3944" s="4" t="s">
        <f>=HYPERLINK("http://anyluxury.ru/shop/odezhda/detskaya-odezhda/svitshot-zhenskiy-bnc-organic-bordoviy-ww32b370/" , "WW32B370 Свитшот женский BNC Organic, бордовый, размер XS")</f>
      </c>
      <c r="C3944" s="4" t="n">
        <v>2723.00</v>
      </c>
      <c r="D3944" s="4"/>
    </row>
    <row collapsed="" customFormat="false" customHeight="1" hidden="" ht="14" outlineLevel="0" r="3945">
      <c r="A3945" s="3" t="inlineStr">
        <is>
          <t>3914</t>
        </is>
      </c>
      <c r="B3945" s="4" t="s">
        <f>=HYPERLINK("http://anyluxury.ru/shop/odezhda/detskaya-odezhda/svitshot-zhenskiy-bnc-organic-bordoviy-ww32b370/" , "WW32B370 Свитшот женский BNC Organic, бордовый, размер S")</f>
      </c>
      <c r="C3945" s="4" t="n">
        <v>2723.00</v>
      </c>
      <c r="D3945" s="4"/>
    </row>
    <row collapsed="" customFormat="false" customHeight="1" hidden="" ht="14" outlineLevel="0" r="3946">
      <c r="A3946" s="3" t="inlineStr">
        <is>
          <t>3915</t>
        </is>
      </c>
      <c r="B3946" s="4" t="s">
        <f>=HYPERLINK("http://anyluxury.ru/shop/odezhda/detskaya-odezhda/svitshot-zhenskiy-bnc-organic-bordoviy-ww32b370/" , "WW32B370 Свитшот женский BNC Organic, бордовый, размер M")</f>
      </c>
      <c r="C3946" s="4" t="n">
        <v>2723.00</v>
      </c>
      <c r="D3946" s="4"/>
    </row>
    <row collapsed="" customFormat="false" customHeight="1" hidden="" ht="14" outlineLevel="0" r="3947">
      <c r="A3947" s="3" t="inlineStr">
        <is>
          <t>3916</t>
        </is>
      </c>
      <c r="B3947" s="4" t="s">
        <f>=HYPERLINK("http://anyluxury.ru/shop/odezhda/detskaya-odezhda/svitshot-zhenskiy-bnc-organic-bordoviy-ww32b370/" , "WW32B370 Свитшот женский BNC Organic, бордовый, размер L")</f>
      </c>
      <c r="C3947" s="4" t="n">
        <v>2723.00</v>
      </c>
      <c r="D3947" s="4"/>
    </row>
    <row collapsed="" customFormat="false" customHeight="1" hidden="" ht="14" outlineLevel="0" r="3948">
      <c r="A3948" s="3" t="inlineStr">
        <is>
          <t>3917</t>
        </is>
      </c>
      <c r="B3948" s="4" t="s">
        <f>=HYPERLINK("http://anyluxury.ru/shop/odezhda/detskaya-odezhda/svitshot-zhenskiy-bnc-organic-bordoviy-ww32b370/" , "WW32B370 Свитшот женский BNC Organic, бордовый, размер XL")</f>
      </c>
      <c r="C3948" s="4" t="n">
        <v>2723.00</v>
      </c>
      <c r="D3948" s="4"/>
    </row>
    <row collapsed="" customFormat="false" customHeight="1" hidden="" ht="14" outlineLevel="0" r="3949">
      <c r="A3949" s="3" t="inlineStr">
        <is>
          <t>3918</t>
        </is>
      </c>
      <c r="B3949" s="4" t="s">
        <f>=HYPERLINK("http://anyluxury.ru/shop/odezhda/detskaya-odezhda/svitshot-zhenskiy-bnc-organic-bordoviy-ww32b370/" , "WW32B370 Свитшот женский BNC Organic, бордовый, размер XXL")</f>
      </c>
      <c r="C3949" s="4" t="n">
        <v>2723.00</v>
      </c>
      <c r="D3949" s="4"/>
    </row>
    <row collapsed="" customFormat="false" customHeight="1" hidden="" ht="14" outlineLevel="0" r="3950">
      <c r="A3950" s="3" t="inlineStr">
        <is>
          <t>3919</t>
        </is>
      </c>
      <c r="B3950" s="4" t="s">
        <f>=HYPERLINK("http://anyluxury.ru/shop/odezhda/detskaya-odezhda/svitshot-zhenskiy-bnc-organic-yarkosiniy-ww32b453/" , "WW32B453 Свитшот женский BNC Organic, ярко-синий, размер XS")</f>
      </c>
      <c r="C3950" s="4" t="n">
        <v>2723.00</v>
      </c>
      <c r="D3950" s="4"/>
    </row>
    <row collapsed="" customFormat="false" customHeight="1" hidden="" ht="14" outlineLevel="0" r="3951">
      <c r="A3951" s="3" t="inlineStr">
        <is>
          <t>3920</t>
        </is>
      </c>
      <c r="B3951" s="4" t="s">
        <f>=HYPERLINK("http://anyluxury.ru/shop/odezhda/detskaya-odezhda/svitshot-zhenskiy-bnc-organic-yarkosiniy-ww32b453/" , "WW32B453 Свитшот женский BNC Organic, ярко-синий, размер S")</f>
      </c>
      <c r="C3951" s="4" t="n">
        <v>2723.00</v>
      </c>
      <c r="D3951" s="4"/>
    </row>
    <row collapsed="" customFormat="false" customHeight="1" hidden="" ht="14" outlineLevel="0" r="3952">
      <c r="A3952" s="3" t="inlineStr">
        <is>
          <t>3921</t>
        </is>
      </c>
      <c r="B3952" s="4" t="s">
        <f>=HYPERLINK("http://anyluxury.ru/shop/odezhda/detskaya-odezhda/svitshot-zhenskiy-bnc-organic-yarkosiniy-ww32b453/" , "WW32B453 Свитшот женский BNC Organic, ярко-синий, размер M")</f>
      </c>
      <c r="C3952" s="4" t="n">
        <v>2723.00</v>
      </c>
      <c r="D3952" s="4"/>
    </row>
    <row collapsed="" customFormat="false" customHeight="1" hidden="" ht="14" outlineLevel="0" r="3953">
      <c r="A3953" s="3" t="inlineStr">
        <is>
          <t>3922</t>
        </is>
      </c>
      <c r="B3953" s="4" t="s">
        <f>=HYPERLINK("http://anyluxury.ru/shop/odezhda/detskaya-odezhda/svitshot-zhenskiy-bnc-organic-yarkosiniy-ww32b453/" , "WW32B453 Свитшот женский BNC Organic, ярко-синий, размер L")</f>
      </c>
      <c r="C3953" s="4" t="n">
        <v>2723.00</v>
      </c>
      <c r="D3953" s="4"/>
    </row>
    <row collapsed="" customFormat="false" customHeight="1" hidden="" ht="14" outlineLevel="0" r="3954">
      <c r="A3954" s="3" t="inlineStr">
        <is>
          <t>3923</t>
        </is>
      </c>
      <c r="B3954" s="4" t="s">
        <f>=HYPERLINK("http://anyluxury.ru/shop/odezhda/detskaya-odezhda/svitshot-zhenskiy-bnc-organic-yarkosiniy-ww32b453/" , "WW32B453 Свитшот женский BNC Organic, ярко-синий, размер XL")</f>
      </c>
      <c r="C3954" s="4" t="n">
        <v>2723.00</v>
      </c>
      <c r="D3954" s="4"/>
    </row>
    <row collapsed="" customFormat="false" customHeight="1" hidden="" ht="14" outlineLevel="0" r="3955">
      <c r="A3955" s="3" t="inlineStr">
        <is>
          <t>3924</t>
        </is>
      </c>
      <c r="B3955" s="4" t="s">
        <f>=HYPERLINK("http://anyluxury.ru/shop/odezhda/detskaya-odezhda/svitshot-zhenskiy-bnc-organic-yarkosiniy-ww32b453/" , "WW32B453 Свитшот женский BNC Organic, ярко-синий, размер XXL")</f>
      </c>
      <c r="C3955" s="4" t="n">
        <v>2723.00</v>
      </c>
      <c r="D3955" s="4"/>
    </row>
    <row collapsed="" customFormat="false" customHeight="1" hidden="" ht="14" outlineLevel="0" r="3956">
      <c r="A3956" s="3" t="inlineStr">
        <is>
          <t>3925</t>
        </is>
      </c>
      <c r="B3956" s="4" t="s">
        <f>=HYPERLINK("http://anyluxury.ru/shop/odezhda/detskaya-odezhda/svitshot-zhenskiy-bnc-organic-serogoluboy-ww32b457/" , "WW32B457 Свитшот женский BNC Organic, серо-голубой, размер XS")</f>
      </c>
      <c r="C3956" s="4" t="n">
        <v>2723.00</v>
      </c>
      <c r="D3956" s="4"/>
    </row>
    <row collapsed="" customFormat="false" customHeight="1" hidden="" ht="14" outlineLevel="0" r="3957">
      <c r="A3957" s="3" t="inlineStr">
        <is>
          <t>3926</t>
        </is>
      </c>
      <c r="B3957" s="4" t="s">
        <f>=HYPERLINK("http://anyluxury.ru/shop/odezhda/detskaya-odezhda/svitshot-zhenskiy-bnc-organic-serogoluboy-ww32b457/" , "WW32B457 Свитшот женский BNC Organic, серо-голубой, размер S")</f>
      </c>
      <c r="C3957" s="4" t="n">
        <v>2723.00</v>
      </c>
      <c r="D3957" s="4"/>
    </row>
    <row collapsed="" customFormat="false" customHeight="1" hidden="" ht="14" outlineLevel="0" r="3958">
      <c r="A3958" s="3" t="inlineStr">
        <is>
          <t>3927</t>
        </is>
      </c>
      <c r="B3958" s="4" t="s">
        <f>=HYPERLINK("http://anyluxury.ru/shop/odezhda/detskaya-odezhda/svitshot-zhenskiy-bnc-organic-serogoluboy-ww32b457/" , "WW32B457 Свитшот женский BNC Organic, серо-голубой, размер M")</f>
      </c>
      <c r="C3958" s="4" t="n">
        <v>2723.00</v>
      </c>
      <c r="D3958" s="4"/>
    </row>
    <row collapsed="" customFormat="false" customHeight="1" hidden="" ht="14" outlineLevel="0" r="3959">
      <c r="A3959" s="3" t="inlineStr">
        <is>
          <t>3928</t>
        </is>
      </c>
      <c r="B3959" s="4" t="s">
        <f>=HYPERLINK("http://anyluxury.ru/shop/odezhda/detskaya-odezhda/svitshot-zhenskiy-bnc-organic-serogoluboy-ww32b457/" , "WW32B457 Свитшот женский BNC Organic, серо-голубой, размер L")</f>
      </c>
      <c r="C3959" s="4" t="n">
        <v>2723.00</v>
      </c>
      <c r="D3959" s="4"/>
    </row>
    <row collapsed="" customFormat="false" customHeight="1" hidden="" ht="14" outlineLevel="0" r="3960">
      <c r="A3960" s="3" t="inlineStr">
        <is>
          <t>3929</t>
        </is>
      </c>
      <c r="B3960" s="4" t="s">
        <f>=HYPERLINK("http://anyluxury.ru/shop/odezhda/detskaya-odezhda/svitshot-zhenskiy-bnc-organic-serogoluboy-ww32b457/" , "WW32B457 Свитшот женский BNC Organic, серо-голубой, размер XL")</f>
      </c>
      <c r="C3960" s="4" t="n">
        <v>2723.00</v>
      </c>
      <c r="D3960" s="4"/>
    </row>
    <row collapsed="" customFormat="false" customHeight="1" hidden="" ht="14" outlineLevel="0" r="3961">
      <c r="A3961" s="3" t="inlineStr">
        <is>
          <t>3930</t>
        </is>
      </c>
      <c r="B3961" s="4" t="s">
        <f>=HYPERLINK("http://anyluxury.ru/shop/odezhda/detskaya-odezhda/svitshot-zhenskiy-bnc-organic-serogoluboy-ww32b457/" , "WW32B457 Свитшот женский BNC Organic, серо-голубой, размер XXL")</f>
      </c>
      <c r="C3961" s="4" t="n">
        <v>2723.00</v>
      </c>
      <c r="D3961" s="4"/>
    </row>
    <row collapsed="" customFormat="false" customHeight="1" hidden="" ht="14" outlineLevel="0" r="3962">
      <c r="A3962" s="3" t="inlineStr">
        <is>
          <t>3931</t>
        </is>
      </c>
      <c r="B3962" s="4" t="s">
        <f>=HYPERLINK("http://anyluxury.ru/shop/odezhda/detskaya-odezhda/svitshot-zhenskiy-bnc-organic-serozeleniy-ww32b502/" , "WW32B502 Свитшот женский BNC Organic, серо-зеленый, размер XS")</f>
      </c>
      <c r="C3962" s="4" t="n">
        <v>2723.00</v>
      </c>
      <c r="D3962" s="4"/>
    </row>
    <row collapsed="" customFormat="false" customHeight="1" hidden="" ht="14" outlineLevel="0" r="3963">
      <c r="A3963" s="3" t="inlineStr">
        <is>
          <t>3932</t>
        </is>
      </c>
      <c r="B3963" s="4" t="s">
        <f>=HYPERLINK("http://anyluxury.ru/shop/odezhda/detskaya-odezhda/svitshot-zhenskiy-bnc-organic-serozeleniy-ww32b502/" , "WW32B502 Свитшот женский BNC Organic, серо-зеленый, размер S")</f>
      </c>
      <c r="C3963" s="4" t="n">
        <v>2723.00</v>
      </c>
      <c r="D3963" s="4"/>
    </row>
    <row collapsed="" customFormat="false" customHeight="1" hidden="" ht="14" outlineLevel="0" r="3964">
      <c r="A3964" s="3" t="inlineStr">
        <is>
          <t>3933</t>
        </is>
      </c>
      <c r="B3964" s="4" t="s">
        <f>=HYPERLINK("http://anyluxury.ru/shop/odezhda/detskaya-odezhda/svitshot-zhenskiy-bnc-organic-serozeleniy-ww32b502/" , "WW32B502 Свитшот женский BNC Organic, серо-зеленый, размер XL")</f>
      </c>
      <c r="C3964" s="4" t="n">
        <v>2723.00</v>
      </c>
      <c r="D3964" s="4"/>
    </row>
    <row collapsed="" customFormat="false" customHeight="1" hidden="" ht="14" outlineLevel="0" r="3965">
      <c r="A3965" s="3" t="inlineStr">
        <is>
          <t>3934</t>
        </is>
      </c>
      <c r="B3965" s="4" t="s">
        <f>=HYPERLINK("http://anyluxury.ru/shop/odezhda/detskaya-odezhda/svitshot-zhenskiy-bnc-organic-serozeleniy-ww32b502/" , "WW32B502 Свитшот женский BNC Organic, серо-зеленый, размер XXL")</f>
      </c>
      <c r="C3965" s="4" t="n">
        <v>2723.00</v>
      </c>
      <c r="D3965" s="4"/>
    </row>
    <row collapsed="" customFormat="false" customHeight="1" hidden="" ht="14" outlineLevel="0" r="3966">
      <c r="A3966" s="3" t="inlineStr">
        <is>
          <t>3935</t>
        </is>
      </c>
      <c r="B3966" s="4" t="s">
        <f>=HYPERLINK("http://anyluxury.ru/shop/odezhda/detskaya-odezhda/svitshot-zhenskiy-bnc-organic-zeleniy-ww32b515/" , "WW32B515 Свитшот женский BNC Organic, зеленый, размер XS")</f>
      </c>
      <c r="C3966" s="4" t="n">
        <v>2723.00</v>
      </c>
      <c r="D3966" s="4"/>
    </row>
    <row collapsed="" customFormat="false" customHeight="1" hidden="" ht="14" outlineLevel="0" r="3967">
      <c r="A3967" s="3" t="inlineStr">
        <is>
          <t>3936</t>
        </is>
      </c>
      <c r="B3967" s="4" t="s">
        <f>=HYPERLINK("http://anyluxury.ru/shop/odezhda/detskaya-odezhda/svitshot-zhenskiy-bnc-organic-zeleniy-ww32b515/" , "WW32B515 Свитшот женский BNC Organic, зеленый, размер S")</f>
      </c>
      <c r="C3967" s="4" t="n">
        <v>2723.00</v>
      </c>
      <c r="D3967" s="4"/>
    </row>
    <row collapsed="" customFormat="false" customHeight="1" hidden="" ht="14" outlineLevel="0" r="3968">
      <c r="A3968" s="3" t="inlineStr">
        <is>
          <t>3937</t>
        </is>
      </c>
      <c r="B3968" s="4" t="s">
        <f>=HYPERLINK("http://anyluxury.ru/shop/odezhda/detskaya-odezhda/svitshot-zhenskiy-bnc-organic-zeleniy-ww32b515/" , "WW32B515 Свитшот женский BNC Organic, зеленый, размер M")</f>
      </c>
      <c r="C3968" s="4" t="n">
        <v>2723.00</v>
      </c>
      <c r="D3968" s="4"/>
    </row>
    <row collapsed="" customFormat="false" customHeight="1" hidden="" ht="14" outlineLevel="0" r="3969">
      <c r="A3969" s="3" t="inlineStr">
        <is>
          <t>3938</t>
        </is>
      </c>
      <c r="B3969" s="4" t="s">
        <f>=HYPERLINK("http://anyluxury.ru/shop/odezhda/detskaya-odezhda/svitshot-zhenskiy-bnc-organic-zeleniy-ww32b515/" , "WW32B515 Свитшот женский BNC Organic, зеленый, размер XXL")</f>
      </c>
      <c r="C3969" s="4" t="n">
        <v>2723.00</v>
      </c>
      <c r="D3969" s="4"/>
    </row>
    <row collapsed="" customFormat="false" customHeight="1" hidden="" ht="14" outlineLevel="0" r="3970">
      <c r="A3970" s="3" t="inlineStr">
        <is>
          <t>3939</t>
        </is>
      </c>
      <c r="B3970" s="4" t="s">
        <f>=HYPERLINK("http://anyluxury.ru/shop/odezhda/detskaya-odezhda/svitshot-zhenskiy-bnc-organic-seriy-melanzh-ww32b610/" , "WW32B610 Свитшот женский BNC Organic, серый меланж, размер XS")</f>
      </c>
      <c r="C3970" s="4" t="n">
        <v>2723.00</v>
      </c>
      <c r="D3970" s="4"/>
    </row>
    <row collapsed="" customFormat="false" customHeight="1" hidden="" ht="14" outlineLevel="0" r="3971">
      <c r="A3971" s="3" t="inlineStr">
        <is>
          <t>3940</t>
        </is>
      </c>
      <c r="B3971" s="4" t="s">
        <f>=HYPERLINK("http://anyluxury.ru/shop/odezhda/detskaya-odezhda/svitshot-zhenskiy-bnc-organic-seriy-melanzh-ww32b610/" , "WW32B610 Свитшот женский BNC Organic, серый меланж, размер S")</f>
      </c>
      <c r="C3971" s="4" t="n">
        <v>2723.00</v>
      </c>
      <c r="D3971" s="4"/>
    </row>
    <row collapsed="" customFormat="false" customHeight="1" hidden="" ht="14" outlineLevel="0" r="3972">
      <c r="A3972" s="3" t="inlineStr">
        <is>
          <t>3941</t>
        </is>
      </c>
      <c r="B3972" s="4" t="s">
        <f>=HYPERLINK("http://anyluxury.ru/shop/odezhda/detskaya-odezhda/svitshot-zhenskiy-bnc-organic-seriy-melanzh-ww32b610/" , "WW32B610 Свитшот женский BNC Organic, серый меланж, размер M")</f>
      </c>
      <c r="C3972" s="4" t="n">
        <v>2723.00</v>
      </c>
      <c r="D3972" s="4"/>
    </row>
    <row collapsed="" customFormat="false" customHeight="1" hidden="" ht="14" outlineLevel="0" r="3973">
      <c r="A3973" s="3" t="inlineStr">
        <is>
          <t>3942</t>
        </is>
      </c>
      <c r="B3973" s="4" t="s">
        <f>=HYPERLINK("http://anyluxury.ru/shop/odezhda/detskaya-odezhda/svitshot-zhenskiy-bnc-organic-seriy-melanzh-ww32b610/" , "WW32B610 Свитшот женский BNC Organic, серый меланж, размер L")</f>
      </c>
      <c r="C3973" s="4" t="n">
        <v>2723.00</v>
      </c>
      <c r="D3973" s="4"/>
    </row>
    <row collapsed="" customFormat="false" customHeight="1" hidden="" ht="14" outlineLevel="0" r="3974">
      <c r="A3974" s="3" t="inlineStr">
        <is>
          <t>3943</t>
        </is>
      </c>
      <c r="B3974" s="4" t="s">
        <f>=HYPERLINK("http://anyluxury.ru/shop/odezhda/detskaya-odezhda/svitshot-zhenskiy-bnc-organic-seriy-melanzh-ww32b610/" , "WW32B610 Свитшот женский BNC Organic, серый меланж, размер XL")</f>
      </c>
      <c r="C3974" s="4" t="n">
        <v>2723.00</v>
      </c>
      <c r="D3974" s="4"/>
    </row>
    <row collapsed="" customFormat="false" customHeight="1" hidden="" ht="14" outlineLevel="0" r="3975">
      <c r="A3975" s="3" t="inlineStr">
        <is>
          <t>3944</t>
        </is>
      </c>
      <c r="B3975" s="4" t="s">
        <f>=HYPERLINK("http://anyluxury.ru/shop/odezhda/detskaya-odezhda/svitshot-zhenskiy-bnc-organic-seriy-melanzh-ww32b610/" , "WW32B610 Свитшот женский BNC Organic, серый меланж, размер XXL")</f>
      </c>
      <c r="C3975" s="4" t="n">
        <v>2723.00</v>
      </c>
      <c r="D3975" s="4"/>
    </row>
    <row collapsed="" customFormat="false" customHeight="1" hidden="" ht="14" outlineLevel="0" r="3976">
      <c r="A3976" s="3" t="inlineStr">
        <is>
          <t>3945</t>
        </is>
      </c>
      <c r="B3976" s="4" t="s">
        <f>=HYPERLINK("http://anyluxury.ru/shop/odezhda/detskaya-odezhda/tolstovka-s-kapyushonom-uniseks-bnc-organic-belaya-wu33b001/" , "WU33B001 Толстовка с капюшоном унисекс BNC Organic, белая, размер M")</f>
      </c>
      <c r="C3976" s="4" t="n">
        <v>3475.00</v>
      </c>
      <c r="D3976" s="4"/>
    </row>
    <row collapsed="" customFormat="false" customHeight="1" hidden="" ht="14" outlineLevel="0" r="3977">
      <c r="A3977" s="3" t="inlineStr">
        <is>
          <t>3946</t>
        </is>
      </c>
      <c r="B3977" s="4" t="s">
        <f>=HYPERLINK("http://anyluxury.ru/shop/odezhda/detskaya-odezhda/tolstovka-s-kapyushonom-uniseks-bnc-organic-belaya-wu33b001/" , "WU33B001 Толстовка с капюшоном унисекс BNC Organic, белая, размер L")</f>
      </c>
      <c r="C3977" s="4" t="n">
        <v>3475.00</v>
      </c>
      <c r="D3977" s="4"/>
    </row>
    <row collapsed="" customFormat="false" customHeight="1" hidden="" ht="14" outlineLevel="0" r="3978">
      <c r="A3978" s="3" t="inlineStr">
        <is>
          <t>3947</t>
        </is>
      </c>
      <c r="B3978" s="4" t="s">
        <f>=HYPERLINK("http://anyluxury.ru/shop/odezhda/detskaya-odezhda/tolstovka-s-kapyushonom-uniseks-bnc-organic-belaya-wu33b001/" , "WU33B001 Толстовка с капюшоном унисекс BNC Organic, белая, размер XL")</f>
      </c>
      <c r="C3978" s="4" t="n">
        <v>3475.00</v>
      </c>
      <c r="D3978" s="4"/>
    </row>
    <row collapsed="" customFormat="false" customHeight="1" hidden="" ht="14" outlineLevel="0" r="3979">
      <c r="A3979" s="3" t="inlineStr">
        <is>
          <t>3948</t>
        </is>
      </c>
      <c r="B3979" s="4" t="s">
        <f>=HYPERLINK("http://anyluxury.ru/shop/odezhda/detskaya-odezhda/tolstovka-s-kapyushonom-uniseks-bnc-organic-belaya-wu33b001/" , "WU33B001 Толстовка с капюшоном унисекс BNC Organic, белая, размер XXL")</f>
      </c>
      <c r="C3979" s="4" t="n">
        <v>3475.00</v>
      </c>
      <c r="D3979" s="4"/>
    </row>
    <row collapsed="" customFormat="false" customHeight="1" hidden="" ht="14" outlineLevel="0" r="3980">
      <c r="A3980" s="3" t="inlineStr">
        <is>
          <t>3949</t>
        </is>
      </c>
      <c r="B3980" s="4" t="s">
        <f>=HYPERLINK("http://anyluxury.ru/shop/odezhda/detskaya-odezhda/tolstovka-s-kapyushonom-uniseks-bnc-organic-belaya-wu33b001/" , "WU33B001 Толстовка с капюшоном унисекс BNC Organic, белая, размер 3XL")</f>
      </c>
      <c r="C3980" s="4" t="n">
        <v>3475.00</v>
      </c>
      <c r="D3980" s="4"/>
    </row>
    <row collapsed="" customFormat="false" customHeight="1" hidden="" ht="14" outlineLevel="0" r="3981">
      <c r="A3981" s="3" t="inlineStr">
        <is>
          <t>3950</t>
        </is>
      </c>
      <c r="B3981" s="4" t="s">
        <f>=HYPERLINK("http://anyluxury.ru/shop/odezhda/detskaya-odezhda/tolstovka-s-kapyushonom-uniseks-bnc-organic-chernaya-wu33b005/" , "WU33B005 Толстовка с капюшоном унисекс BNC Organic, черная, размер XS")</f>
      </c>
      <c r="C3981" s="4" t="n">
        <v>3475.00</v>
      </c>
      <c r="D3981" s="4"/>
    </row>
    <row collapsed="" customFormat="false" customHeight="1" hidden="" ht="14" outlineLevel="0" r="3982">
      <c r="A3982" s="3" t="inlineStr">
        <is>
          <t>3951</t>
        </is>
      </c>
      <c r="B3982" s="4" t="s">
        <f>=HYPERLINK("http://anyluxury.ru/shop/odezhda/detskaya-odezhda/tolstovka-s-kapyushonom-uniseks-bnc-organic-chernaya-wu33b005/" , "WU33B005 Толстовка с капюшоном унисекс BNC Organic, черная, размер S")</f>
      </c>
      <c r="C3982" s="4" t="n">
        <v>3475.00</v>
      </c>
      <c r="D3982" s="4"/>
    </row>
    <row collapsed="" customFormat="false" customHeight="1" hidden="" ht="14" outlineLevel="0" r="3983">
      <c r="A3983" s="3" t="inlineStr">
        <is>
          <t>3952</t>
        </is>
      </c>
      <c r="B3983" s="4" t="s">
        <f>=HYPERLINK("http://anyluxury.ru/shop/odezhda/detskaya-odezhda/tolstovka-s-kapyushonom-uniseks-bnc-organic-chernaya-wu33b005/" , "WU33B005 Толстовка с капюшоном унисекс BNC Organic, черная, размер M")</f>
      </c>
      <c r="C3983" s="4" t="n">
        <v>3475.00</v>
      </c>
      <c r="D3983" s="4"/>
    </row>
    <row collapsed="" customFormat="false" customHeight="1" hidden="" ht="14" outlineLevel="0" r="3984">
      <c r="A3984" s="3" t="inlineStr">
        <is>
          <t>3953</t>
        </is>
      </c>
      <c r="B3984" s="4" t="s">
        <f>=HYPERLINK("http://anyluxury.ru/shop/odezhda/detskaya-odezhda/tolstovka-s-kapyushonom-uniseks-bnc-organic-chernaya-wu33b005/" , "WU33B005 Толстовка с капюшоном унисекс BNC Organic, черная, размер XXL")</f>
      </c>
      <c r="C3984" s="4" t="n">
        <v>3475.00</v>
      </c>
      <c r="D3984" s="4"/>
    </row>
    <row collapsed="" customFormat="false" customHeight="1" hidden="" ht="14" outlineLevel="0" r="3985">
      <c r="A3985" s="3" t="inlineStr">
        <is>
          <t>3954</t>
        </is>
      </c>
      <c r="B3985" s="4" t="s">
        <f>=HYPERLINK("http://anyluxury.ru/shop/odezhda/detskaya-odezhda/tolstovka-s-kapyushonom-uniseks-bnc-organic-temnosinyaya-wu33b006/" , "WU33B006 Толстовка с капюшоном унисекс BNC Organic, темно-синяя, размер XS")</f>
      </c>
      <c r="C3985" s="4" t="n">
        <v>3475.00</v>
      </c>
      <c r="D3985" s="4"/>
    </row>
    <row collapsed="" customFormat="false" customHeight="1" hidden="" ht="14" outlineLevel="0" r="3986">
      <c r="A3986" s="3" t="inlineStr">
        <is>
          <t>3955</t>
        </is>
      </c>
      <c r="B3986" s="4" t="s">
        <f>=HYPERLINK("http://anyluxury.ru/shop/odezhda/detskaya-odezhda/tolstovka-s-kapyushonom-uniseks-bnc-organic-temnosinyaya-wu33b006/" , "WU33B006 Толстовка с капюшоном унисекс BNC Organic, темно-синяя, размер S")</f>
      </c>
      <c r="C3986" s="4" t="n">
        <v>3475.00</v>
      </c>
      <c r="D3986" s="4"/>
    </row>
    <row collapsed="" customFormat="false" customHeight="1" hidden="" ht="14" outlineLevel="0" r="3987">
      <c r="A3987" s="3" t="inlineStr">
        <is>
          <t>3956</t>
        </is>
      </c>
      <c r="B3987" s="4" t="s">
        <f>=HYPERLINK("http://anyluxury.ru/shop/odezhda/detskaya-odezhda/tolstovka-s-kapyushonom-uniseks-bnc-organic-temnosinyaya-wu33b006/" , "WU33B006 Толстовка с капюшоном унисекс BNC Organic, темно-синяя, размер XXL")</f>
      </c>
      <c r="C3987" s="4" t="n">
        <v>3475.00</v>
      </c>
      <c r="D3987" s="4"/>
    </row>
    <row collapsed="" customFormat="false" customHeight="1" hidden="" ht="14" outlineLevel="0" r="3988">
      <c r="A3988" s="3" t="inlineStr">
        <is>
          <t>3957</t>
        </is>
      </c>
      <c r="B3988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XS")</f>
      </c>
      <c r="C3988" s="4" t="n">
        <v>3475.00</v>
      </c>
      <c r="D3988" s="4"/>
    </row>
    <row collapsed="" customFormat="false" customHeight="1" hidden="" ht="14" outlineLevel="0" r="3989">
      <c r="A3989" s="3" t="inlineStr">
        <is>
          <t>3958</t>
        </is>
      </c>
      <c r="B3989" s="4" t="s">
        <f>=HYPERLINK("http://anyluxury.ru/shop/odezhda/detskaya-odezhda/tolstovka-s-kapyushonom-uniseks-bnc-organic-molochnobelaya-wu33b101/" , "WU33B101 Толстовка с капюшоном унисекс BNC Organic, молочно-белая, размер S")</f>
      </c>
      <c r="C3989" s="4" t="n">
        <v>3475.00</v>
      </c>
      <c r="D3989" s="4"/>
    </row>
    <row collapsed="" customFormat="false" customHeight="1" hidden="" ht="14" outlineLevel="0" r="3990">
      <c r="A3990" s="3" t="inlineStr">
        <is>
          <t>3959</t>
        </is>
      </c>
      <c r="B3990" s="4" t="s">
        <f>=HYPERLINK("http://anyluxury.ru/shop/odezhda/detskaya-odezhda/tolstovka-s-kapyushonom-uniseks-bnc-organic-molochnobelaya-wu33b101/" , "WU33B101 Толстовка с капюшоном унисекс BNC Organic, молочно-белая, размер M")</f>
      </c>
      <c r="C3990" s="4" t="n">
        <v>3475.00</v>
      </c>
      <c r="D3990" s="4"/>
    </row>
    <row collapsed="" customFormat="false" customHeight="1" hidden="" ht="14" outlineLevel="0" r="3991">
      <c r="A3991" s="3" t="inlineStr">
        <is>
          <t>3960</t>
        </is>
      </c>
      <c r="B3991" s="4" t="s">
        <f>=HYPERLINK("http://anyluxury.ru/shop/odezhda/detskaya-odezhda/tolstovka-s-kapyushonom-uniseks-bnc-organic-molochnobelaya-wu33b101/" , "WU33B101 Толстовка с капюшоном унисекс BNC Organic, молочно-белая, размер L")</f>
      </c>
      <c r="C3991" s="4" t="n">
        <v>3475.00</v>
      </c>
      <c r="D3991" s="4"/>
    </row>
    <row collapsed="" customFormat="false" customHeight="1" hidden="" ht="14" outlineLevel="0" r="3992">
      <c r="A3992" s="3" t="inlineStr">
        <is>
          <t>3961</t>
        </is>
      </c>
      <c r="B3992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XL")</f>
      </c>
      <c r="C3992" s="4" t="n">
        <v>3475.00</v>
      </c>
      <c r="D3992" s="4"/>
    </row>
    <row collapsed="" customFormat="false" customHeight="1" hidden="" ht="14" outlineLevel="0" r="3993">
      <c r="A3993" s="3" t="inlineStr">
        <is>
          <t>3962</t>
        </is>
      </c>
      <c r="B3993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XXL")</f>
      </c>
      <c r="C3993" s="4" t="n">
        <v>3475.00</v>
      </c>
      <c r="D3993" s="4"/>
    </row>
    <row collapsed="" customFormat="false" customHeight="1" hidden="" ht="14" outlineLevel="0" r="3994">
      <c r="A3994" s="3" t="inlineStr">
        <is>
          <t>3963</t>
        </is>
      </c>
      <c r="B3994" s="4" t="s">
        <f>=HYPERLINK("http://anyluxury.ru/shop/odezhda/detskaya-odezhda/tolstovka-s-kapyushonom-uniseks-bnc-organic-molochnobelaya-wu33b101/" , "WU33B101 Толстовка с капюшоном унисекс BNC Organic, молочно-белая, размер 3XL")</f>
      </c>
      <c r="C3994" s="4" t="n">
        <v>3475.00</v>
      </c>
      <c r="D3994" s="4"/>
    </row>
    <row collapsed="" customFormat="false" customHeight="1" hidden="" ht="14" outlineLevel="0" r="3995">
      <c r="A3995" s="3" t="inlineStr">
        <is>
          <t>3964</t>
        </is>
      </c>
      <c r="B3995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XS")</f>
      </c>
      <c r="C3995" s="4" t="n">
        <v>3475.00</v>
      </c>
      <c r="D3995" s="4"/>
    </row>
    <row collapsed="" customFormat="false" customHeight="1" hidden="" ht="14" outlineLevel="0" r="3996">
      <c r="A3996" s="3" t="inlineStr">
        <is>
          <t>3965</t>
        </is>
      </c>
      <c r="B3996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S")</f>
      </c>
      <c r="C3996" s="4" t="n">
        <v>3475.00</v>
      </c>
      <c r="D3996" s="4"/>
    </row>
    <row collapsed="" customFormat="false" customHeight="1" hidden="" ht="14" outlineLevel="0" r="3997">
      <c r="A3997" s="3" t="inlineStr">
        <is>
          <t>3966</t>
        </is>
      </c>
      <c r="B3997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M")</f>
      </c>
      <c r="C3997" s="4" t="n">
        <v>3475.00</v>
      </c>
      <c r="D3997" s="4"/>
    </row>
    <row collapsed="" customFormat="false" customHeight="1" hidden="" ht="14" outlineLevel="0" r="3998">
      <c r="A3998" s="3" t="inlineStr">
        <is>
          <t>3967</t>
        </is>
      </c>
      <c r="B3998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XXL")</f>
      </c>
      <c r="C3998" s="4" t="n">
        <v>3475.00</v>
      </c>
      <c r="D3998" s="4"/>
    </row>
    <row collapsed="" customFormat="false" customHeight="1" hidden="" ht="14" outlineLevel="0" r="3999">
      <c r="A3999" s="3" t="inlineStr">
        <is>
          <t>3968</t>
        </is>
      </c>
      <c r="B3999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3XL")</f>
      </c>
      <c r="C3999" s="4" t="n">
        <v>3475.00</v>
      </c>
      <c r="D3999" s="4"/>
    </row>
    <row collapsed="" customFormat="false" customHeight="1" hidden="" ht="14" outlineLevel="0" r="4000">
      <c r="A4000" s="3" t="inlineStr">
        <is>
          <t>3969</t>
        </is>
      </c>
      <c r="B4000" s="4" t="s">
        <f>=HYPERLINK("http://anyluxury.ru/shop/odezhda/detskaya-odezhda/tolstovka-s-kapyushonom-uniseks-bnc-organic-zheltaya-wu33b205/" , "WU33B205 Толстовка с капюшоном унисекс BNC Organic, желтая, размер XS")</f>
      </c>
      <c r="C4000" s="4" t="n">
        <v>3475.00</v>
      </c>
      <c r="D4000" s="4"/>
    </row>
    <row collapsed="" customFormat="false" customHeight="1" hidden="" ht="14" outlineLevel="0" r="4001">
      <c r="A4001" s="3" t="inlineStr">
        <is>
          <t>3970</t>
        </is>
      </c>
      <c r="B4001" s="4" t="s">
        <f>=HYPERLINK("http://anyluxury.ru/shop/odezhda/detskaya-odezhda/tolstovka-s-kapyushonom-uniseks-bnc-organic-zheltaya-wu33b205/" , "WU33B205 Толстовка с капюшоном унисекс BNC Organic, желтая, размер XXL")</f>
      </c>
      <c r="C4001" s="4" t="n">
        <v>3475.00</v>
      </c>
      <c r="D4001" s="4"/>
    </row>
    <row collapsed="" customFormat="false" customHeight="1" hidden="" ht="14" outlineLevel="0" r="4002">
      <c r="A4002" s="3" t="inlineStr">
        <is>
          <t>3971</t>
        </is>
      </c>
      <c r="B4002" s="4" t="s">
        <f>=HYPERLINK("http://anyluxury.ru/shop/odezhda/detskaya-odezhda/tolstovka-s-kapyushonom-uniseks-bnc-organic-zheltaya-wu33b205/" , "WU33B205 Толстовка с капюшоном унисекс BNC Organic, желтая, размер 3XL")</f>
      </c>
      <c r="C4002" s="4" t="n">
        <v>3475.00</v>
      </c>
      <c r="D4002" s="4"/>
    </row>
    <row collapsed="" customFormat="false" customHeight="1" hidden="" ht="14" outlineLevel="0" r="4003">
      <c r="A4003" s="3" t="inlineStr">
        <is>
          <t>3972</t>
        </is>
      </c>
      <c r="B4003" s="4" t="s">
        <f>=HYPERLINK("http://anyluxury.ru/shop/odezhda/detskaya-odezhda/tolstovka-s-kapyushonom-uniseks-bnc-organic-rozovaya-wu33b306/" , "WU33B306 Толстовка с капюшоном унисекс BNC Organic, розовая, размер XS")</f>
      </c>
      <c r="C4003" s="4" t="n">
        <v>3475.00</v>
      </c>
      <c r="D4003" s="4"/>
    </row>
    <row collapsed="" customFormat="false" customHeight="1" hidden="" ht="14" outlineLevel="0" r="4004">
      <c r="A4004" s="3" t="inlineStr">
        <is>
          <t>3973</t>
        </is>
      </c>
      <c r="B4004" s="4" t="s">
        <f>=HYPERLINK("http://anyluxury.ru/shop/odezhda/detskaya-odezhda/tolstovka-s-kapyushonom-uniseks-bnc-organic-rozovaya-wu33b306/" , "WU33B306 Толстовка с капюшоном унисекс BNC Organic, розовая, размер S")</f>
      </c>
      <c r="C4004" s="4" t="n">
        <v>3475.00</v>
      </c>
      <c r="D4004" s="4"/>
    </row>
    <row collapsed="" customFormat="false" customHeight="1" hidden="" ht="14" outlineLevel="0" r="4005">
      <c r="A4005" s="3" t="inlineStr">
        <is>
          <t>3974</t>
        </is>
      </c>
      <c r="B4005" s="4" t="s">
        <f>=HYPERLINK("http://anyluxury.ru/shop/odezhda/detskaya-odezhda/tolstovka-s-kapyushonom-uniseks-bnc-organic-rozovaya-wu33b306/" , "WU33B306 Толстовка с капюшоном унисекс BNC Organic, розовая, размер M")</f>
      </c>
      <c r="C4005" s="4" t="n">
        <v>3475.00</v>
      </c>
      <c r="D4005" s="4"/>
    </row>
    <row collapsed="" customFormat="false" customHeight="1" hidden="" ht="14" outlineLevel="0" r="4006">
      <c r="A4006" s="3" t="inlineStr">
        <is>
          <t>3975</t>
        </is>
      </c>
      <c r="B4006" s="4" t="s">
        <f>=HYPERLINK("http://anyluxury.ru/shop/odezhda/detskaya-odezhda/tolstovka-s-kapyushonom-uniseks-bnc-organic-rozovaya-wu33b306/" , "WU33B306 Толстовка с капюшоном унисекс BNC Organic, розовая, размер L")</f>
      </c>
      <c r="C4006" s="4" t="n">
        <v>3475.00</v>
      </c>
      <c r="D4006" s="4"/>
    </row>
    <row collapsed="" customFormat="false" customHeight="1" hidden="" ht="14" outlineLevel="0" r="4007">
      <c r="A4007" s="3" t="inlineStr">
        <is>
          <t>3976</t>
        </is>
      </c>
      <c r="B4007" s="4" t="s">
        <f>=HYPERLINK("http://anyluxury.ru/shop/odezhda/detskaya-odezhda/tolstovka-s-kapyushonom-uniseks-bnc-organic-rozovaya-wu33b306/" , "WU33B306 Толстовка с капюшоном унисекс BNC Organic, розовая, размер XL")</f>
      </c>
      <c r="C4007" s="4" t="n">
        <v>3475.00</v>
      </c>
      <c r="D4007" s="4"/>
    </row>
    <row collapsed="" customFormat="false" customHeight="1" hidden="" ht="14" outlineLevel="0" r="4008">
      <c r="A4008" s="3" t="inlineStr">
        <is>
          <t>3977</t>
        </is>
      </c>
      <c r="B4008" s="4" t="s">
        <f>=HYPERLINK("http://anyluxury.ru/shop/odezhda/detskaya-odezhda/tolstovka-s-kapyushonom-uniseks-bnc-organic-rozovaya-wu33b306/" , "WU33B306 Толстовка с капюшоном унисекс BNC Organic, розовая, размер XXL")</f>
      </c>
      <c r="C4008" s="4" t="n">
        <v>3475.00</v>
      </c>
      <c r="D4008" s="4"/>
    </row>
    <row collapsed="" customFormat="false" customHeight="1" hidden="" ht="14" outlineLevel="0" r="4009">
      <c r="A4009" s="3" t="inlineStr">
        <is>
          <t>3978</t>
        </is>
      </c>
      <c r="B4009" s="4" t="s">
        <f>=HYPERLINK("http://anyluxury.ru/shop/odezhda/detskaya-odezhda/tolstovka-s-kapyushonom-uniseks-bnc-organic-rozovaya-wu33b306/" , "WU33B306 Толстовка с капюшоном унисекс BNC Organic, розовая, размер 3XL")</f>
      </c>
      <c r="C4009" s="4" t="n">
        <v>3475.00</v>
      </c>
      <c r="D4009" s="4"/>
    </row>
    <row collapsed="" customFormat="false" customHeight="1" hidden="" ht="14" outlineLevel="0" r="4010">
      <c r="A4010" s="3" t="inlineStr">
        <is>
          <t>3979</t>
        </is>
      </c>
      <c r="B4010" s="4" t="s">
        <f>=HYPERLINK("http://anyluxury.ru/shop/odezhda/detskaya-odezhda/tolstovka-s-kapyushonom-uniseks-bnc-organic-bordovaya-wu33b370/" , "WU33B370 Толстовка с капюшоном унисекс BNC Organic, бордовая, размер XXL")</f>
      </c>
      <c r="C4010" s="4" t="n">
        <v>3475.00</v>
      </c>
      <c r="D4010" s="4"/>
    </row>
    <row collapsed="" customFormat="false" customHeight="1" hidden="" ht="14" outlineLevel="0" r="4011">
      <c r="A4011" s="3" t="inlineStr">
        <is>
          <t>3980</t>
        </is>
      </c>
      <c r="B4011" s="4" t="s">
        <f>=HYPERLINK("http://anyluxury.ru/shop/odezhda/detskaya-odezhda/tolstovka-s-kapyushonom-uniseks-bnc-organic-bordovaya-wu33b370/" , "WU33B370 Толстовка с капюшоном унисекс BNC Organic, бордовая, размер 3XL")</f>
      </c>
      <c r="C4011" s="4" t="n">
        <v>3475.00</v>
      </c>
      <c r="D4011" s="4"/>
    </row>
    <row collapsed="" customFormat="false" customHeight="1" hidden="" ht="14" outlineLevel="0" r="4012">
      <c r="A4012" s="3" t="inlineStr">
        <is>
          <t>3981</t>
        </is>
      </c>
      <c r="B4012" s="4" t="s">
        <f>=HYPERLINK("http://anyluxury.ru/shop/odezhda/detskaya-odezhda/tolstovka-s-kapyushonom-uniseks-bnc-organic-yarkosinyaya-wu33b453/" , "WU33B453 Толстовка с капюшоном унисекс BNC Organic, ярко-синяя, размер XS")</f>
      </c>
      <c r="C4012" s="4" t="n">
        <v>3475.00</v>
      </c>
      <c r="D4012" s="4"/>
    </row>
    <row collapsed="" customFormat="false" customHeight="1" hidden="" ht="14" outlineLevel="0" r="4013">
      <c r="A4013" s="3" t="inlineStr">
        <is>
          <t>3982</t>
        </is>
      </c>
      <c r="B4013" s="4" t="s">
        <f>=HYPERLINK("http://anyluxury.ru/shop/odezhda/detskaya-odezhda/tolstovka-s-kapyushonom-uniseks-bnc-organic-yarkosinyaya-wu33b453/" , "WU33B453 Толстовка с капюшоном унисекс BNC Organic, ярко-синяя, размер S")</f>
      </c>
      <c r="C4013" s="4" t="n">
        <v>3475.00</v>
      </c>
      <c r="D4013" s="4"/>
    </row>
    <row collapsed="" customFormat="false" customHeight="1" hidden="" ht="14" outlineLevel="0" r="4014">
      <c r="A4014" s="3" t="inlineStr">
        <is>
          <t>3983</t>
        </is>
      </c>
      <c r="B4014" s="4" t="s">
        <f>=HYPERLINK("http://anyluxury.ru/shop/odezhda/detskaya-odezhda/tolstovka-s-kapyushonom-uniseks-bnc-organic-yarkosinyaya-wu33b453/" , "WU33B453 Толстовка с капюшоном унисекс BNC Organic, ярко-синяя, размер M")</f>
      </c>
      <c r="C4014" s="4" t="n">
        <v>3475.00</v>
      </c>
      <c r="D4014" s="4"/>
    </row>
    <row collapsed="" customFormat="false" customHeight="1" hidden="" ht="14" outlineLevel="0" r="4015">
      <c r="A4015" s="3" t="inlineStr">
        <is>
          <t>3984</t>
        </is>
      </c>
      <c r="B4015" s="4" t="s">
        <f>=HYPERLINK("http://anyluxury.ru/shop/odezhda/detskaya-odezhda/tolstovka-s-kapyushonom-uniseks-bnc-organic-yarkosinyaya-wu33b453/" , "WU33B453 Толстовка с капюшоном унисекс BNC Organic, ярко-синяя, размер L")</f>
      </c>
      <c r="C4015" s="4" t="n">
        <v>3475.00</v>
      </c>
      <c r="D4015" s="4"/>
    </row>
    <row collapsed="" customFormat="false" customHeight="1" hidden="" ht="14" outlineLevel="0" r="4016">
      <c r="A4016" s="3" t="inlineStr">
        <is>
          <t>3985</t>
        </is>
      </c>
      <c r="B4016" s="4" t="s">
        <f>=HYPERLINK("http://anyluxury.ru/shop/odezhda/detskaya-odezhda/tolstovka-s-kapyushonom-uniseks-bnc-organic-yarkosinyaya-wu33b453/" , "WU33B453 Толстовка с капюшоном унисекс BNC Organic, ярко-синяя, размер XL")</f>
      </c>
      <c r="C4016" s="4" t="n">
        <v>3475.00</v>
      </c>
      <c r="D4016" s="4"/>
    </row>
    <row collapsed="" customFormat="false" customHeight="1" hidden="" ht="14" outlineLevel="0" r="4017">
      <c r="A4017" s="3" t="inlineStr">
        <is>
          <t>3986</t>
        </is>
      </c>
      <c r="B4017" s="4" t="s">
        <f>=HYPERLINK("http://anyluxury.ru/shop/odezhda/detskaya-odezhda/tolstovka-s-kapyushonom-uniseks-bnc-organic-yarkosinyaya-wu33b453/" , "WU33B453 Толстовка с капюшоном унисекс BNC Organic, ярко-синяя, размер XXL")</f>
      </c>
      <c r="C4017" s="4" t="n">
        <v>3475.00</v>
      </c>
      <c r="D4017" s="4"/>
    </row>
    <row collapsed="" customFormat="false" customHeight="1" hidden="" ht="14" outlineLevel="0" r="4018">
      <c r="A4018" s="3" t="inlineStr">
        <is>
          <t>3987</t>
        </is>
      </c>
      <c r="B4018" s="4" t="s">
        <f>=HYPERLINK("http://anyluxury.ru/shop/odezhda/detskaya-odezhda/tolstovka-s-kapyushonom-uniseks-bnc-organic-serogolubaya-wu33b457/" , "WU33B457 Толстовка с капюшоном унисекс BNC Organic, серо-голубая, размер XS")</f>
      </c>
      <c r="C4018" s="4" t="n">
        <v>3475.00</v>
      </c>
      <c r="D4018" s="4"/>
    </row>
    <row collapsed="" customFormat="false" customHeight="1" hidden="" ht="14" outlineLevel="0" r="4019">
      <c r="A4019" s="3" t="inlineStr">
        <is>
          <t>3988</t>
        </is>
      </c>
      <c r="B4019" s="4" t="s">
        <f>=HYPERLINK("http://anyluxury.ru/shop/odezhda/detskaya-odezhda/tolstovka-s-kapyushonom-uniseks-bnc-organic-serogolubaya-wu33b457/" , "WU33B457 Толстовка с капюшоном унисекс BNC Organic, серо-голубая, размер S")</f>
      </c>
      <c r="C4019" s="4" t="n">
        <v>3475.00</v>
      </c>
      <c r="D4019" s="4"/>
    </row>
    <row collapsed="" customFormat="false" customHeight="1" hidden="" ht="14" outlineLevel="0" r="4020">
      <c r="A4020" s="3" t="inlineStr">
        <is>
          <t>3989</t>
        </is>
      </c>
      <c r="B4020" s="4" t="s">
        <f>=HYPERLINK("http://anyluxury.ru/shop/odezhda/detskaya-odezhda/tolstovka-s-kapyushonom-uniseks-bnc-organic-serogolubaya-wu33b457/" , "WU33B457 Толстовка с капюшоном унисекс BNC Organic, серо-голубая, размер M")</f>
      </c>
      <c r="C4020" s="4" t="n">
        <v>3475.00</v>
      </c>
      <c r="D4020" s="4"/>
    </row>
    <row collapsed="" customFormat="false" customHeight="1" hidden="" ht="14" outlineLevel="0" r="4021">
      <c r="A4021" s="3" t="inlineStr">
        <is>
          <t>3990</t>
        </is>
      </c>
      <c r="B4021" s="4" t="s">
        <f>=HYPERLINK("http://anyluxury.ru/shop/odezhda/detskaya-odezhda/tolstovka-s-kapyushonom-uniseks-bnc-organic-serogolubaya-wu33b457/" , "WU33B457 Толстовка с капюшоном унисекс BNC Organic, серо-голубая, размер L")</f>
      </c>
      <c r="C4021" s="4" t="n">
        <v>3475.00</v>
      </c>
      <c r="D4021" s="4"/>
    </row>
    <row collapsed="" customFormat="false" customHeight="1" hidden="" ht="14" outlineLevel="0" r="4022">
      <c r="A4022" s="3" t="inlineStr">
        <is>
          <t>3991</t>
        </is>
      </c>
      <c r="B4022" s="4" t="s">
        <f>=HYPERLINK("http://anyluxury.ru/shop/odezhda/detskaya-odezhda/tolstovka-s-kapyushonom-uniseks-bnc-organic-serogolubaya-wu33b457/" , "WU33B457 Толстовка с капюшоном унисекс BNC Organic, серо-голубая, размер XL")</f>
      </c>
      <c r="C4022" s="4" t="n">
        <v>3475.00</v>
      </c>
      <c r="D4022" s="4"/>
    </row>
    <row collapsed="" customFormat="false" customHeight="1" hidden="" ht="14" outlineLevel="0" r="4023">
      <c r="A4023" s="3" t="inlineStr">
        <is>
          <t>3992</t>
        </is>
      </c>
      <c r="B4023" s="4" t="s">
        <f>=HYPERLINK("http://anyluxury.ru/shop/odezhda/detskaya-odezhda/tolstovka-s-kapyushonom-uniseks-bnc-organic-serogolubaya-wu33b457/" , "WU33B457 Толстовка с капюшоном унисекс BNC Organic, серо-голубая, размер XXL")</f>
      </c>
      <c r="C4023" s="4" t="n">
        <v>3475.00</v>
      </c>
      <c r="D4023" s="4"/>
    </row>
    <row collapsed="" customFormat="false" customHeight="1" hidden="" ht="14" outlineLevel="0" r="4024">
      <c r="A4024" s="3" t="inlineStr">
        <is>
          <t>3993</t>
        </is>
      </c>
      <c r="B4024" s="4" t="s">
        <f>=HYPERLINK("http://anyluxury.ru/shop/odezhda/detskaya-odezhda/tolstovka-s-kapyushonom-uniseks-bnc-organic-serogolubaya-wu33b457/" , "WU33B457 Толстовка с капюшоном унисекс BNC Organic, серо-голубая, размер 3XL")</f>
      </c>
      <c r="C4024" s="4" t="n">
        <v>3475.00</v>
      </c>
      <c r="D4024" s="4"/>
    </row>
    <row collapsed="" customFormat="false" customHeight="1" hidden="" ht="14" outlineLevel="0" r="4025">
      <c r="A4025" s="3" t="inlineStr">
        <is>
          <t>3994</t>
        </is>
      </c>
      <c r="B4025" s="4" t="s">
        <f>=HYPERLINK("http://anyluxury.ru/shop/odezhda/detskaya-odezhda/tolstovka-s-kapyushonom-uniseks-bnc-organic-serozelenaya-wu33b502/" , "WU33B502 Толстовка с капюшоном унисекс BNC Organic, серо-зеленая, размер XS")</f>
      </c>
      <c r="C4025" s="4" t="n">
        <v>3475.00</v>
      </c>
      <c r="D4025" s="4"/>
    </row>
    <row collapsed="" customFormat="false" customHeight="1" hidden="" ht="14" outlineLevel="0" r="4026">
      <c r="A4026" s="3" t="inlineStr">
        <is>
          <t>3995</t>
        </is>
      </c>
      <c r="B4026" s="4" t="s">
        <f>=HYPERLINK("http://anyluxury.ru/shop/odezhda/detskaya-odezhda/tolstovka-s-kapyushonom-uniseks-bnc-organic-zelenaya-wu33b515/" , "WU33B515 Толстовка с капюшоном унисекс BNC Organic, зеленая, размер XS")</f>
      </c>
      <c r="C4026" s="4" t="n">
        <v>3475.00</v>
      </c>
      <c r="D4026" s="4"/>
    </row>
    <row collapsed="" customFormat="false" customHeight="1" hidden="" ht="14" outlineLevel="0" r="4027">
      <c r="A4027" s="3" t="inlineStr">
        <is>
          <t>3996</t>
        </is>
      </c>
      <c r="B4027" s="4" t="s">
        <f>=HYPERLINK("http://anyluxury.ru/shop/odezhda/detskaya-odezhda/tolstovka-s-kapyushonom-uniseks-bnc-organic-zelenaya-wu33b515/" , "WU33B515 Толстовка с капюшоном унисекс BNC Organic, зеленая, размер S")</f>
      </c>
      <c r="C4027" s="4" t="n">
        <v>3475.00</v>
      </c>
      <c r="D4027" s="4"/>
    </row>
    <row collapsed="" customFormat="false" customHeight="1" hidden="" ht="14" outlineLevel="0" r="4028">
      <c r="A4028" s="3" t="inlineStr">
        <is>
          <t>3997</t>
        </is>
      </c>
      <c r="B4028" s="4" t="s">
        <f>=HYPERLINK("http://anyluxury.ru/shop/odezhda/detskaya-odezhda/tolstovka-s-kapyushonom-uniseks-bnc-organic-zelenaya-wu33b515/" , "WU33B515 Толстовка с капюшоном унисекс BNC Organic, зеленая, размер M")</f>
      </c>
      <c r="C4028" s="4" t="n">
        <v>3475.00</v>
      </c>
      <c r="D4028" s="4"/>
    </row>
    <row collapsed="" customFormat="false" customHeight="1" hidden="" ht="14" outlineLevel="0" r="4029">
      <c r="A4029" s="3" t="inlineStr">
        <is>
          <t>3998</t>
        </is>
      </c>
      <c r="B4029" s="4" t="s">
        <f>=HYPERLINK("http://anyluxury.ru/shop/odezhda/detskaya-odezhda/tolstovka-s-kapyushonom-uniseks-bnc-organic-zelenaya-wu33b515/" , "WU33B515 Толстовка с капюшоном унисекс BNC Organic, зеленая, размер L")</f>
      </c>
      <c r="C4029" s="4" t="n">
        <v>3475.00</v>
      </c>
      <c r="D4029" s="4"/>
    </row>
    <row collapsed="" customFormat="false" customHeight="1" hidden="" ht="14" outlineLevel="0" r="4030">
      <c r="A4030" s="3" t="inlineStr">
        <is>
          <t>3999</t>
        </is>
      </c>
      <c r="B4030" s="4" t="s">
        <f>=HYPERLINK("http://anyluxury.ru/shop/odezhda/detskaya-odezhda/tolstovka-s-kapyushonom-uniseks-bnc-organic-zelenaya-wu33b515/" , "WU33B515 Толстовка с капюшоном унисекс BNC Organic, зеленая, размер XL")</f>
      </c>
      <c r="C4030" s="4" t="n">
        <v>3475.00</v>
      </c>
      <c r="D4030" s="4"/>
    </row>
    <row collapsed="" customFormat="false" customHeight="1" hidden="" ht="14" outlineLevel="0" r="4031">
      <c r="A4031" s="3" t="inlineStr">
        <is>
          <t>4000</t>
        </is>
      </c>
      <c r="B4031" s="4" t="s">
        <f>=HYPERLINK("http://anyluxury.ru/shop/odezhda/detskaya-odezhda/tolstovka-s-kapyushonom-uniseks-bnc-organic-zelenaya-wu33b515/" , "WU33B515 Толстовка с капюшоном унисекс BNC Organic, зеленая, размер XXL")</f>
      </c>
      <c r="C4031" s="4" t="n">
        <v>3475.00</v>
      </c>
      <c r="D4031" s="4"/>
    </row>
    <row collapsed="" customFormat="false" customHeight="1" hidden="" ht="14" outlineLevel="0" r="4032">
      <c r="A4032" s="3" t="inlineStr">
        <is>
          <t>4001</t>
        </is>
      </c>
      <c r="B4032" s="4" t="s">
        <f>=HYPERLINK("http://anyluxury.ru/shop/odezhda/detskaya-odezhda/tolstovka-s-kapyushonom-uniseks-bnc-organic-zelenaya-wu33b515/" , "WU33B515 Толстовка с капюшоном унисекс BNC Organic, зеленая, размер 3XL")</f>
      </c>
      <c r="C4032" s="4" t="n">
        <v>3475.00</v>
      </c>
      <c r="D4032" s="4"/>
    </row>
    <row collapsed="" customFormat="false" customHeight="1" hidden="" ht="14" outlineLevel="0" r="4033">
      <c r="A4033" s="3" t="inlineStr">
        <is>
          <t>4002</t>
        </is>
      </c>
      <c r="B4033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XS")</f>
      </c>
      <c r="C4033" s="4" t="n">
        <v>3475.00</v>
      </c>
      <c r="D4033" s="4"/>
    </row>
    <row collapsed="" customFormat="false" customHeight="1" hidden="" ht="14" outlineLevel="0" r="4034">
      <c r="A4034" s="3" t="inlineStr">
        <is>
          <t>4003</t>
        </is>
      </c>
      <c r="B4034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XL")</f>
      </c>
      <c r="C4034" s="4" t="n">
        <v>3475.00</v>
      </c>
      <c r="D4034" s="4"/>
    </row>
    <row collapsed="" customFormat="false" customHeight="1" hidden="" ht="14" outlineLevel="0" r="4035">
      <c r="A4035" s="3" t="inlineStr">
        <is>
          <t>4004</t>
        </is>
      </c>
      <c r="B4035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XXL")</f>
      </c>
      <c r="C4035" s="4" t="n">
        <v>3475.00</v>
      </c>
      <c r="D4035" s="4"/>
    </row>
    <row collapsed="" customFormat="false" customHeight="1" hidden="" ht="14" outlineLevel="0" r="4036">
      <c r="A4036" s="3" t="inlineStr">
        <is>
          <t>4005</t>
        </is>
      </c>
      <c r="B4036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3XL")</f>
      </c>
      <c r="C4036" s="4" t="n">
        <v>3475.00</v>
      </c>
      <c r="D4036" s="4"/>
    </row>
    <row collapsed="" customFormat="false" customHeight="1" hidden="" ht="14" outlineLevel="0" r="4037">
      <c r="A4037" s="3" t="inlineStr">
        <is>
          <t>4006</t>
        </is>
      </c>
      <c r="B4037" s="4" t="s">
        <f>=HYPERLINK("http://anyluxury.ru/shop/odezhda/detskaya-odezhda/tolstovka-s-kapyushonom-uniseks-bnc-organic-seriy-melanzh-wu33b610/" , "WU33B610 Толстовка с капюшоном унисекс BNC Organic, серый меланж, размер XS")</f>
      </c>
      <c r="C4037" s="4" t="n">
        <v>3475.00</v>
      </c>
      <c r="D4037" s="4"/>
    </row>
    <row collapsed="" customFormat="false" customHeight="1" hidden="" ht="14" outlineLevel="0" r="4038">
      <c r="A4038" s="3" t="inlineStr">
        <is>
          <t>4007</t>
        </is>
      </c>
      <c r="B4038" s="4" t="s">
        <f>=HYPERLINK("http://anyluxury.ru/shop/odezhda/detskaya-odezhda/tolstovka-s-kapyushonom-uniseks-bnc-organic-seriy-melanzh-wu33b610/" , "WU33B610 Толстовка с капюшоном унисекс BNC Organic, серый меланж, размер S")</f>
      </c>
      <c r="C4038" s="4" t="n">
        <v>3475.00</v>
      </c>
      <c r="D4038" s="4"/>
    </row>
    <row collapsed="" customFormat="false" customHeight="1" hidden="" ht="14" outlineLevel="0" r="4039">
      <c r="A4039" s="3" t="inlineStr">
        <is>
          <t>4008</t>
        </is>
      </c>
      <c r="B4039" s="4" t="s">
        <f>=HYPERLINK("http://anyluxury.ru/shop/odezhda/detskaya-odezhda/tolstovka-s-kapyushonom-uniseks-bnc-organic-seriy-melanzh-wu33b610/" , "WU33B610 Толстовка с капюшоном унисекс BNC Organic, серый меланж, размер M")</f>
      </c>
      <c r="C4039" s="4" t="n">
        <v>3475.00</v>
      </c>
      <c r="D4039" s="4"/>
    </row>
    <row collapsed="" customFormat="false" customHeight="1" hidden="" ht="14" outlineLevel="0" r="4040">
      <c r="A4040" s="3" t="inlineStr">
        <is>
          <t>4009</t>
        </is>
      </c>
      <c r="B4040" s="4" t="s">
        <f>=HYPERLINK("http://anyluxury.ru/shop/odezhda/detskaya-odezhda/tolstovka-s-kapyushonom-uniseks-bnc-organic-seriy-melanzh-wu33b610/" , "WU33B610 Толстовка с капюшоном унисекс BNC Organic, серый меланж, размер L")</f>
      </c>
      <c r="C4040" s="4" t="n">
        <v>3475.00</v>
      </c>
      <c r="D4040" s="4"/>
    </row>
    <row collapsed="" customFormat="false" customHeight="1" hidden="" ht="14" outlineLevel="0" r="4041">
      <c r="A4041" s="3" t="inlineStr">
        <is>
          <t>4010</t>
        </is>
      </c>
      <c r="B4041" s="4" t="s">
        <f>=HYPERLINK("http://anyluxury.ru/shop/odezhda/detskaya-odezhda/tolstovka-s-kapyushonom-uniseks-bnc-organic-seriy-melanzh-wu33b610/" , "WU33B610 Толстовка с капюшоном унисекс BNC Organic, серый меланж, размер XL")</f>
      </c>
      <c r="C4041" s="4" t="n">
        <v>3475.00</v>
      </c>
      <c r="D4041" s="4"/>
    </row>
    <row collapsed="" customFormat="false" customHeight="1" hidden="" ht="14" outlineLevel="0" r="4042">
      <c r="A4042" s="3" t="inlineStr">
        <is>
          <t>4011</t>
        </is>
      </c>
      <c r="B4042" s="4" t="s">
        <f>=HYPERLINK("http://anyluxury.ru/shop/odezhda/detskaya-odezhda/tolstovka-s-kapyushonom-uniseks-bnc-organic-seriy-melanzh-wu33b610/" , "WU33B610 Толстовка с капюшоном унисекс BNC Organic, серый меланж, размер XXL")</f>
      </c>
      <c r="C4042" s="4" t="n">
        <v>3475.00</v>
      </c>
      <c r="D4042" s="4"/>
    </row>
    <row collapsed="" customFormat="false" customHeight="1" hidden="" ht="14" outlineLevel="0" r="4043">
      <c r="A4043" s="3" t="inlineStr">
        <is>
          <t>4012</t>
        </is>
      </c>
      <c r="B4043" s="4" t="s">
        <f>=HYPERLINK("http://anyluxury.ru/shop/odezhda/detskaya-odezhda/tolstovka-s-kapyushonom-uniseks-bnc-organic-temnoseraya-wu33b669/" , "WU33B669 Толстовка с капюшоном унисекс BNC Organic, темно-серая, размер XS")</f>
      </c>
      <c r="C4043" s="4" t="n">
        <v>3475.00</v>
      </c>
      <c r="D4043" s="4"/>
    </row>
    <row collapsed="" customFormat="false" customHeight="1" hidden="" ht="14" outlineLevel="0" r="4044">
      <c r="A4044" s="3" t="inlineStr">
        <is>
          <t>4013</t>
        </is>
      </c>
      <c r="B4044" s="4" t="s">
        <f>=HYPERLINK("http://anyluxury.ru/shop/odezhda/detskaya-odezhda/tolstovka-s-kapyushonom-uniseks-bnc-organic-temnoseraya-wu33b669/" , "WU33B669 Толстовка с капюшоном унисекс BNC Organic, темно-серая, размер S")</f>
      </c>
      <c r="C4044" s="4" t="n">
        <v>3475.00</v>
      </c>
      <c r="D4044" s="4"/>
    </row>
    <row collapsed="" customFormat="false" customHeight="1" hidden="" ht="14" outlineLevel="0" r="4045">
      <c r="A4045" s="3" t="inlineStr">
        <is>
          <t>4014</t>
        </is>
      </c>
      <c r="B4045" s="4" t="s">
        <f>=HYPERLINK("http://anyluxury.ru/shop/odezhda/detskaya-odezhda/tolstovka-s-kapyushonom-uniseks-bnc-organic-temnoseraya-wu33b669/" , "WU33B669 Толстовка с капюшоном унисекс BNC Organic, темно-серая, размер M")</f>
      </c>
      <c r="C4045" s="4" t="n">
        <v>3475.00</v>
      </c>
      <c r="D4045" s="4"/>
    </row>
    <row collapsed="" customFormat="false" customHeight="1" hidden="" ht="14" outlineLevel="0" r="4046">
      <c r="A4046" s="3" t="inlineStr">
        <is>
          <t>4015</t>
        </is>
      </c>
      <c r="B4046" s="4" t="s">
        <f>=HYPERLINK("http://anyluxury.ru/shop/odezhda/detskaya-odezhda/tolstovka-s-kapyushonom-uniseks-bnc-organic-temnoseraya-wu33b669/" , "WU33B669 Толстовка с капюшоном унисекс BNC Organic, темно-серая, размер XXL")</f>
      </c>
      <c r="C4046" s="4" t="n">
        <v>3475.00</v>
      </c>
      <c r="D4046" s="4"/>
    </row>
    <row collapsed="" customFormat="false" customHeight="1" hidden="" ht="14" outlineLevel="0" r="4047">
      <c r="A4047" s="3" t="inlineStr">
        <is>
          <t>4016</t>
        </is>
      </c>
      <c r="B4047" s="4" t="s">
        <f>=HYPERLINK("http://anyluxury.ru/shop/odezhda/detskaya-odezhda/tolstovka-s-kapyushonom-uniseks-bnc-organic-temnoseraya-wu33b669/" , "WU33B669 Толстовка с капюшоном унисекс BNC Organic, темно-серая, размер 3XL")</f>
      </c>
      <c r="C4047" s="4" t="n">
        <v>3475.00</v>
      </c>
      <c r="D4047" s="4"/>
    </row>
    <row collapsed="" customFormat="false" customHeight="1" hidden="" ht="14" outlineLevel="0" r="4048">
      <c r="A4048" s="3" t="inlineStr">
        <is>
          <t>4017</t>
        </is>
      </c>
      <c r="B4048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XS")</f>
      </c>
      <c r="C4048" s="4" t="n">
        <v>3408.00</v>
      </c>
      <c r="D4048" s="4"/>
    </row>
    <row collapsed="" customFormat="false" customHeight="1" hidden="" ht="14" outlineLevel="0" r="4049">
      <c r="A4049" s="3" t="inlineStr">
        <is>
          <t>4018</t>
        </is>
      </c>
      <c r="B4049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M")</f>
      </c>
      <c r="C4049" s="4" t="n">
        <v>3408.00</v>
      </c>
      <c r="D4049" s="4"/>
    </row>
    <row collapsed="" customFormat="false" customHeight="1" hidden="" ht="14" outlineLevel="0" r="4050">
      <c r="A4050" s="3" t="inlineStr">
        <is>
          <t>4019</t>
        </is>
      </c>
      <c r="B4050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XL")</f>
      </c>
      <c r="C4050" s="4" t="n">
        <v>3408.00</v>
      </c>
      <c r="D4050" s="4"/>
    </row>
    <row collapsed="" customFormat="false" customHeight="1" hidden="" ht="14" outlineLevel="0" r="4051">
      <c r="A4051" s="3" t="inlineStr">
        <is>
          <t>4020</t>
        </is>
      </c>
      <c r="B4051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XXL")</f>
      </c>
      <c r="C4051" s="4" t="n">
        <v>3408.00</v>
      </c>
      <c r="D4051" s="4"/>
    </row>
    <row collapsed="" customFormat="false" customHeight="1" hidden="" ht="14" outlineLevel="0" r="4052">
      <c r="A4052" s="3" t="inlineStr">
        <is>
          <t>4021</t>
        </is>
      </c>
      <c r="B4052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XS")</f>
      </c>
      <c r="C4052" s="4" t="n">
        <v>3408.00</v>
      </c>
      <c r="D4052" s="4"/>
    </row>
    <row collapsed="" customFormat="false" customHeight="1" hidden="" ht="14" outlineLevel="0" r="4053">
      <c r="A4053" s="3" t="inlineStr">
        <is>
          <t>4022</t>
        </is>
      </c>
      <c r="B4053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S")</f>
      </c>
      <c r="C4053" s="4" t="n">
        <v>3408.00</v>
      </c>
      <c r="D4053" s="4"/>
    </row>
    <row collapsed="" customFormat="false" customHeight="1" hidden="" ht="14" outlineLevel="0" r="4054">
      <c r="A4054" s="3" t="inlineStr">
        <is>
          <t>4023</t>
        </is>
      </c>
      <c r="B4054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M")</f>
      </c>
      <c r="C4054" s="4" t="n">
        <v>3408.00</v>
      </c>
      <c r="D4054" s="4"/>
    </row>
    <row collapsed="" customFormat="false" customHeight="1" hidden="" ht="14" outlineLevel="0" r="4055">
      <c r="A4055" s="3" t="inlineStr">
        <is>
          <t>4024</t>
        </is>
      </c>
      <c r="B4055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L")</f>
      </c>
      <c r="C4055" s="4" t="n">
        <v>3408.00</v>
      </c>
      <c r="D4055" s="4"/>
    </row>
    <row collapsed="" customFormat="false" customHeight="1" hidden="" ht="14" outlineLevel="0" r="4056">
      <c r="A4056" s="3" t="inlineStr">
        <is>
          <t>4025</t>
        </is>
      </c>
      <c r="B4056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XL")</f>
      </c>
      <c r="C4056" s="4" t="n">
        <v>3408.00</v>
      </c>
      <c r="D4056" s="4"/>
    </row>
    <row collapsed="" customFormat="false" customHeight="1" hidden="" ht="14" outlineLevel="0" r="4057">
      <c r="A4057" s="3" t="inlineStr">
        <is>
          <t>4026</t>
        </is>
      </c>
      <c r="B4057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XXL")</f>
      </c>
      <c r="C4057" s="4" t="n">
        <v>3408.00</v>
      </c>
      <c r="D4057" s="4"/>
    </row>
    <row collapsed="" customFormat="false" customHeight="1" hidden="" ht="14" outlineLevel="0" r="4058">
      <c r="A4058" s="3" t="inlineStr">
        <is>
          <t>4027</t>
        </is>
      </c>
      <c r="B4058" s="4" t="s">
        <f>=HYPERLINK("http://anyluxury.ru/shop/odezhda/detskaya-odezhda/tolstovka-s-kapyushonom-zhenskaya-bnc-organic-zheltaya-ww34b205/" , "WW34B205 Толстовка с капюшоном женская BNC Organic, желтая, размер XS")</f>
      </c>
      <c r="C4058" s="4" t="n">
        <v>3408.00</v>
      </c>
      <c r="D4058" s="4"/>
    </row>
    <row collapsed="" customFormat="false" customHeight="1" hidden="" ht="14" outlineLevel="0" r="4059">
      <c r="A4059" s="3" t="inlineStr">
        <is>
          <t>4028</t>
        </is>
      </c>
      <c r="B4059" s="4" t="s">
        <f>=HYPERLINK("http://anyluxury.ru/shop/odezhda/detskaya-odezhda/tolstovka-s-kapyushonom-zhenskaya-bnc-organic-zheltaya-ww34b205/" , "WW34B205 Толстовка с капюшоном женская BNC Organic, желтая, размер XL")</f>
      </c>
      <c r="C4059" s="4" t="n">
        <v>3408.00</v>
      </c>
      <c r="D4059" s="4"/>
    </row>
    <row collapsed="" customFormat="false" customHeight="1" hidden="" ht="14" outlineLevel="0" r="4060">
      <c r="A4060" s="3" t="inlineStr">
        <is>
          <t>4029</t>
        </is>
      </c>
      <c r="B4060" s="4" t="s">
        <f>=HYPERLINK("http://anyluxury.ru/shop/odezhda/detskaya-odezhda/tolstovka-s-kapyushonom-zhenskaya-bnc-organic-zheltaya-ww34b205/" , "WW34B205 Толстовка с капюшоном женская BNC Organic, желтая, размер XXL")</f>
      </c>
      <c r="C4060" s="4" t="n">
        <v>3408.00</v>
      </c>
      <c r="D4060" s="4"/>
    </row>
    <row collapsed="" customFormat="false" customHeight="1" hidden="" ht="14" outlineLevel="0" r="4061">
      <c r="A4061" s="3" t="inlineStr">
        <is>
          <t>4030</t>
        </is>
      </c>
      <c r="B4061" s="4" t="s">
        <f>=HYPERLINK("http://anyluxury.ru/shop/odezhda/detskaya-odezhda/tolstovka-s-kapyushonom-zhenskaya-bnc-organic-rozovaya-ww34b306/" , "WW34B306 Толстовка с капюшоном женская BNC Organic, розовая, размер XS")</f>
      </c>
      <c r="C4061" s="4" t="n">
        <v>3408.00</v>
      </c>
      <c r="D4061" s="4"/>
    </row>
    <row collapsed="" customFormat="false" customHeight="1" hidden="" ht="14" outlineLevel="0" r="4062">
      <c r="A4062" s="3" t="inlineStr">
        <is>
          <t>4031</t>
        </is>
      </c>
      <c r="B4062" s="4" t="s">
        <f>=HYPERLINK("http://anyluxury.ru/shop/odezhda/detskaya-odezhda/tolstovka-s-kapyushonom-zhenskaya-bnc-organic-rozovaya-ww34b306/" , "WW34B306 Толстовка с капюшоном женская BNC Organic, розовая, размер S")</f>
      </c>
      <c r="C4062" s="4" t="n">
        <v>3408.00</v>
      </c>
      <c r="D4062" s="4"/>
    </row>
    <row collapsed="" customFormat="false" customHeight="1" hidden="" ht="14" outlineLevel="0" r="4063">
      <c r="A4063" s="3" t="inlineStr">
        <is>
          <t>4032</t>
        </is>
      </c>
      <c r="B4063" s="4" t="s">
        <f>=HYPERLINK("http://anyluxury.ru/shop/odezhda/detskaya-odezhda/tolstovka-s-kapyushonom-zhenskaya-bnc-organic-rozovaya-ww34b306/" , "WW34B306 Толстовка с капюшоном женская BNC Organic, розовая, размер M")</f>
      </c>
      <c r="C4063" s="4" t="n">
        <v>3408.00</v>
      </c>
      <c r="D4063" s="4"/>
    </row>
    <row collapsed="" customFormat="false" customHeight="1" hidden="" ht="14" outlineLevel="0" r="4064">
      <c r="A4064" s="3" t="inlineStr">
        <is>
          <t>4033</t>
        </is>
      </c>
      <c r="B4064" s="4" t="s">
        <f>=HYPERLINK("http://anyluxury.ru/shop/odezhda/detskaya-odezhda/tolstovka-s-kapyushonom-zhenskaya-bnc-organic-rozovaya-ww34b306/" , "WW34B306 Толстовка с капюшоном женская BNC Organic, розовая, размер L")</f>
      </c>
      <c r="C4064" s="4" t="n">
        <v>3408.00</v>
      </c>
      <c r="D4064" s="4"/>
    </row>
    <row collapsed="" customFormat="false" customHeight="1" hidden="" ht="14" outlineLevel="0" r="4065">
      <c r="A4065" s="3" t="inlineStr">
        <is>
          <t>4034</t>
        </is>
      </c>
      <c r="B4065" s="4" t="s">
        <f>=HYPERLINK("http://anyluxury.ru/shop/odezhda/detskaya-odezhda/tolstovka-s-kapyushonom-zhenskaya-bnc-organic-rozovaya-ww34b306/" , "WW34B306 Толстовка с капюшоном женская BNC Organic, розовая, размер XL")</f>
      </c>
      <c r="C4065" s="4" t="n">
        <v>3408.00</v>
      </c>
      <c r="D4065" s="4"/>
    </row>
    <row collapsed="" customFormat="false" customHeight="1" hidden="" ht="14" outlineLevel="0" r="4066">
      <c r="A4066" s="3" t="inlineStr">
        <is>
          <t>4035</t>
        </is>
      </c>
      <c r="B4066" s="4" t="s">
        <f>=HYPERLINK("http://anyluxury.ru/shop/odezhda/detskaya-odezhda/tolstovka-s-kapyushonom-zhenskaya-bnc-organic-rozovaya-ww34b306/" , "WW34B306 Толстовка с капюшоном женская BNC Organic, розовая, размер XXL")</f>
      </c>
      <c r="C4066" s="4" t="n">
        <v>3408.00</v>
      </c>
      <c r="D4066" s="4"/>
    </row>
    <row collapsed="" customFormat="false" customHeight="1" hidden="" ht="14" outlineLevel="0" r="4067">
      <c r="A4067" s="3" t="inlineStr">
        <is>
          <t>4036</t>
        </is>
      </c>
      <c r="B4067" s="4" t="s">
        <f>=HYPERLINK("http://anyluxury.ru/shop/odezhda/detskaya-odezhda/tolstovka-s-kapyushonom-zhenskaya-bnc-organic-fioletovaya-ww34b351/" , "WW34B351 Толстовка с капюшоном женская BNC Organic, фиолетовая, размер XS")</f>
      </c>
      <c r="C4067" s="4" t="n">
        <v>3408.00</v>
      </c>
      <c r="D4067" s="4"/>
    </row>
    <row collapsed="" customFormat="false" customHeight="1" hidden="" ht="14" outlineLevel="0" r="4068">
      <c r="A4068" s="3" t="inlineStr">
        <is>
          <t>4037</t>
        </is>
      </c>
      <c r="B4068" s="4" t="s">
        <f>=HYPERLINK("http://anyluxury.ru/shop/odezhda/detskaya-odezhda/tolstovka-s-kapyushonom-zhenskaya-bnc-organic-fioletovaya-ww34b351/" , "WW34B351 Толстовка с капюшоном женская BNC Organic, фиолетовая, размер S")</f>
      </c>
      <c r="C4068" s="4" t="n">
        <v>3408.00</v>
      </c>
      <c r="D4068" s="4"/>
    </row>
    <row collapsed="" customFormat="false" customHeight="1" hidden="" ht="14" outlineLevel="0" r="4069">
      <c r="A4069" s="3" t="inlineStr">
        <is>
          <t>4038</t>
        </is>
      </c>
      <c r="B4069" s="4" t="s">
        <f>=HYPERLINK("http://anyluxury.ru/shop/odezhda/detskaya-odezhda/tolstovka-s-kapyushonom-zhenskaya-bnc-organic-fioletovaya-ww34b351/" , "WW34B351 Толстовка с капюшоном женская BNC Organic, фиолетовая, размер M")</f>
      </c>
      <c r="C4069" s="4" t="n">
        <v>3408.00</v>
      </c>
      <c r="D4069" s="4"/>
    </row>
    <row collapsed="" customFormat="false" customHeight="1" hidden="" ht="14" outlineLevel="0" r="4070">
      <c r="A4070" s="3" t="inlineStr">
        <is>
          <t>4039</t>
        </is>
      </c>
      <c r="B4070" s="4" t="s">
        <f>=HYPERLINK("http://anyluxury.ru/shop/odezhda/detskaya-odezhda/tolstovka-s-kapyushonom-zhenskaya-bnc-organic-fioletovaya-ww34b351/" , "WW34B351 Толстовка с капюшоном женская BNC Organic, фиолетовая, размер L")</f>
      </c>
      <c r="C4070" s="4" t="n">
        <v>3408.00</v>
      </c>
      <c r="D4070" s="4"/>
    </row>
    <row collapsed="" customFormat="false" customHeight="1" hidden="" ht="14" outlineLevel="0" r="4071">
      <c r="A4071" s="3" t="inlineStr">
        <is>
          <t>4040</t>
        </is>
      </c>
      <c r="B4071" s="4" t="s">
        <f>=HYPERLINK("http://anyluxury.ru/shop/odezhda/detskaya-odezhda/tolstovka-s-kapyushonom-zhenskaya-bnc-organic-fioletovaya-ww34b351/" , "WW34B351 Толстовка с капюшоном женская BNC Organic, фиолетовая, размер XXL")</f>
      </c>
      <c r="C4071" s="4" t="n">
        <v>3408.00</v>
      </c>
      <c r="D4071" s="4"/>
    </row>
    <row collapsed="" customFormat="false" customHeight="1" hidden="" ht="14" outlineLevel="0" r="4072">
      <c r="A4072" s="3" t="inlineStr">
        <is>
          <t>4041</t>
        </is>
      </c>
      <c r="B4072" s="4" t="s">
        <f>=HYPERLINK("http://anyluxury.ru/shop/odezhda/detskaya-odezhda/tolstovka-s-kapyushonom-zhenskaya-bnc-organic-yarkosinyaya-ww34b453/" , "WW34B453 Толстовка с капюшоном женская BNC Organic, ярко-синяя, размер XS")</f>
      </c>
      <c r="C4072" s="4" t="n">
        <v>3408.00</v>
      </c>
      <c r="D4072" s="4"/>
    </row>
    <row collapsed="" customFormat="false" customHeight="1" hidden="" ht="14" outlineLevel="0" r="4073">
      <c r="A4073" s="3" t="inlineStr">
        <is>
          <t>4042</t>
        </is>
      </c>
      <c r="B4073" s="4" t="s">
        <f>=HYPERLINK("http://anyluxury.ru/shop/odezhda/detskaya-odezhda/tolstovka-s-kapyushonom-zhenskaya-bnc-organic-yarkosinyaya-ww34b453/" , "WW34B453 Толстовка с капюшоном женская BNC Organic, ярко-синяя, размер S")</f>
      </c>
      <c r="C4073" s="4" t="n">
        <v>3408.00</v>
      </c>
      <c r="D4073" s="4"/>
    </row>
    <row collapsed="" customFormat="false" customHeight="1" hidden="" ht="14" outlineLevel="0" r="4074">
      <c r="A4074" s="3" t="inlineStr">
        <is>
          <t>4043</t>
        </is>
      </c>
      <c r="B4074" s="4" t="s">
        <f>=HYPERLINK("http://anyluxury.ru/shop/odezhda/detskaya-odezhda/tolstovka-s-kapyushonom-zhenskaya-bnc-organic-yarkosinyaya-ww34b453/" , "WW34B453 Толстовка с капюшоном женская BNC Organic, ярко-синяя, размер M")</f>
      </c>
      <c r="C4074" s="4" t="n">
        <v>3408.00</v>
      </c>
      <c r="D4074" s="4"/>
    </row>
    <row collapsed="" customFormat="false" customHeight="1" hidden="" ht="14" outlineLevel="0" r="4075">
      <c r="A4075" s="3" t="inlineStr">
        <is>
          <t>4044</t>
        </is>
      </c>
      <c r="B4075" s="4" t="s">
        <f>=HYPERLINK("http://anyluxury.ru/shop/odezhda/detskaya-odezhda/tolstovka-s-kapyushonom-zhenskaya-bnc-organic-yarkosinyaya-ww34b453/" , "WW34B453 Толстовка с капюшоном женская BNC Organic, ярко-синяя, размер L")</f>
      </c>
      <c r="C4075" s="4" t="n">
        <v>3408.00</v>
      </c>
      <c r="D4075" s="4"/>
    </row>
    <row collapsed="" customFormat="false" customHeight="1" hidden="" ht="14" outlineLevel="0" r="4076">
      <c r="A4076" s="3" t="inlineStr">
        <is>
          <t>4045</t>
        </is>
      </c>
      <c r="B4076" s="4" t="s">
        <f>=HYPERLINK("http://anyluxury.ru/shop/odezhda/detskaya-odezhda/tolstovka-s-kapyushonom-zhenskaya-bnc-organic-yarkosinyaya-ww34b453/" , "WW34B453 Толстовка с капюшоном женская BNC Organic, ярко-синяя, размер XL")</f>
      </c>
      <c r="C4076" s="4" t="n">
        <v>3408.00</v>
      </c>
      <c r="D4076" s="4"/>
    </row>
    <row collapsed="" customFormat="false" customHeight="1" hidden="" ht="14" outlineLevel="0" r="4077">
      <c r="A4077" s="3" t="inlineStr">
        <is>
          <t>4046</t>
        </is>
      </c>
      <c r="B4077" s="4" t="s">
        <f>=HYPERLINK("http://anyluxury.ru/shop/odezhda/detskaya-odezhda/tolstovka-s-kapyushonom-zhenskaya-bnc-organic-yarkosinyaya-ww34b453/" , "WW34B453 Толстовка с капюшоном женская BNC Organic, ярко-синяя, размер XXL")</f>
      </c>
      <c r="C4077" s="4" t="n">
        <v>3408.00</v>
      </c>
      <c r="D4077" s="4"/>
    </row>
    <row collapsed="" customFormat="false" customHeight="1" hidden="" ht="14" outlineLevel="0" r="4078">
      <c r="A4078" s="3" t="inlineStr">
        <is>
          <t>4047</t>
        </is>
      </c>
      <c r="B4078" s="4" t="s">
        <f>=HYPERLINK("http://anyluxury.ru/shop/odezhda/detskaya-odezhda/tolstovka-s-kapyushonom-zhenskaya-bnc-organic-serogolubaya-ww34b457/" , "WW34B457 Толстовка с капюшоном женская BNC Organic, серо-голубая, размер XS")</f>
      </c>
      <c r="C4078" s="4" t="n">
        <v>3408.00</v>
      </c>
      <c r="D4078" s="4"/>
    </row>
    <row collapsed="" customFormat="false" customHeight="1" hidden="" ht="14" outlineLevel="0" r="4079">
      <c r="A4079" s="3" t="inlineStr">
        <is>
          <t>4048</t>
        </is>
      </c>
      <c r="B4079" s="4" t="s">
        <f>=HYPERLINK("http://anyluxury.ru/shop/odezhda/detskaya-odezhda/tolstovka-s-kapyushonom-zhenskaya-bnc-organic-serogolubaya-ww34b457/" , "WW34B457 Толстовка с капюшоном женская BNC Organic, серо-голубая, размер S")</f>
      </c>
      <c r="C4079" s="4" t="n">
        <v>3408.00</v>
      </c>
      <c r="D4079" s="4"/>
    </row>
    <row collapsed="" customFormat="false" customHeight="1" hidden="" ht="14" outlineLevel="0" r="4080">
      <c r="A4080" s="3" t="inlineStr">
        <is>
          <t>4049</t>
        </is>
      </c>
      <c r="B4080" s="4" t="s">
        <f>=HYPERLINK("http://anyluxury.ru/shop/odezhda/detskaya-odezhda/tolstovka-s-kapyushonom-zhenskaya-bnc-organic-serogolubaya-ww34b457/" , "WW34B457 Толстовка с капюшоном женская BNC Organic, серо-голубая, размер M")</f>
      </c>
      <c r="C4080" s="4" t="n">
        <v>3408.00</v>
      </c>
      <c r="D4080" s="4"/>
    </row>
    <row collapsed="" customFormat="false" customHeight="1" hidden="" ht="14" outlineLevel="0" r="4081">
      <c r="A4081" s="3" t="inlineStr">
        <is>
          <t>4050</t>
        </is>
      </c>
      <c r="B4081" s="4" t="s">
        <f>=HYPERLINK("http://anyluxury.ru/shop/odezhda/detskaya-odezhda/tolstovka-s-kapyushonom-zhenskaya-bnc-organic-serogolubaya-ww34b457/" , "WW34B457 Толстовка с капюшоном женская BNC Organic, серо-голубая, размер XL")</f>
      </c>
      <c r="C4081" s="4" t="n">
        <v>3408.00</v>
      </c>
      <c r="D4081" s="4"/>
    </row>
    <row collapsed="" customFormat="false" customHeight="1" hidden="" ht="14" outlineLevel="0" r="4082">
      <c r="A4082" s="3" t="inlineStr">
        <is>
          <t>4051</t>
        </is>
      </c>
      <c r="B4082" s="4" t="s">
        <f>=HYPERLINK("http://anyluxury.ru/shop/odezhda/detskaya-odezhda/tolstovka-s-kapyushonom-zhenskaya-bnc-organic-serogolubaya-ww34b457/" , "WW34B457 Толстовка с капюшоном женская BNC Organic, серо-голубая, размер XXL")</f>
      </c>
      <c r="C4082" s="4" t="n">
        <v>3408.00</v>
      </c>
      <c r="D4082" s="4"/>
    </row>
    <row collapsed="" customFormat="false" customHeight="1" hidden="" ht="14" outlineLevel="0" r="4083">
      <c r="A4083" s="3" t="inlineStr">
        <is>
          <t>4052</t>
        </is>
      </c>
      <c r="B4083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XS")</f>
      </c>
      <c r="C4083" s="4" t="n">
        <v>3408.00</v>
      </c>
      <c r="D4083" s="4"/>
    </row>
    <row collapsed="" customFormat="false" customHeight="1" hidden="" ht="14" outlineLevel="0" r="4084">
      <c r="A4084" s="3" t="inlineStr">
        <is>
          <t>4053</t>
        </is>
      </c>
      <c r="B4084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S")</f>
      </c>
      <c r="C4084" s="4" t="n">
        <v>3408.00</v>
      </c>
      <c r="D4084" s="4"/>
    </row>
    <row collapsed="" customFormat="false" customHeight="1" hidden="" ht="14" outlineLevel="0" r="4085">
      <c r="A4085" s="3" t="inlineStr">
        <is>
          <t>4054</t>
        </is>
      </c>
      <c r="B4085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M")</f>
      </c>
      <c r="C4085" s="4" t="n">
        <v>3408.00</v>
      </c>
      <c r="D4085" s="4"/>
    </row>
    <row collapsed="" customFormat="false" customHeight="1" hidden="" ht="14" outlineLevel="0" r="4086">
      <c r="A4086" s="3" t="inlineStr">
        <is>
          <t>4055</t>
        </is>
      </c>
      <c r="B4086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L")</f>
      </c>
      <c r="C4086" s="4" t="n">
        <v>3408.00</v>
      </c>
      <c r="D4086" s="4"/>
    </row>
    <row collapsed="" customFormat="false" customHeight="1" hidden="" ht="14" outlineLevel="0" r="4087">
      <c r="A4087" s="3" t="inlineStr">
        <is>
          <t>4056</t>
        </is>
      </c>
      <c r="B4087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XL")</f>
      </c>
      <c r="C4087" s="4" t="n">
        <v>3408.00</v>
      </c>
      <c r="D4087" s="4"/>
    </row>
    <row collapsed="" customFormat="false" customHeight="1" hidden="" ht="14" outlineLevel="0" r="4088">
      <c r="A4088" s="3" t="inlineStr">
        <is>
          <t>4057</t>
        </is>
      </c>
      <c r="B4088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XXL")</f>
      </c>
      <c r="C4088" s="4" t="n">
        <v>3408.00</v>
      </c>
      <c r="D4088" s="4"/>
    </row>
    <row collapsed="" customFormat="false" customHeight="1" hidden="" ht="14" outlineLevel="0" r="4089">
      <c r="A4089" s="3" t="inlineStr">
        <is>
          <t>4058</t>
        </is>
      </c>
      <c r="B4089" s="4" t="s">
        <f>=HYPERLINK("http://anyluxury.ru/shop/odezhda/detskaya-odezhda/tolstovka-s-kapyushonom-zhenskaya-bnc-organic-seriy-melanzh-ww34b610/" , "WW34B610 Толстовка с капюшоном женская BNC Organic, серый меланж, размер XS")</f>
      </c>
      <c r="C4089" s="4" t="n">
        <v>3408.00</v>
      </c>
      <c r="D4089" s="4"/>
    </row>
    <row collapsed="" customFormat="false" customHeight="1" hidden="" ht="14" outlineLevel="0" r="4090">
      <c r="A4090" s="3" t="inlineStr">
        <is>
          <t>4059</t>
        </is>
      </c>
      <c r="B4090" s="4" t="s">
        <f>=HYPERLINK("http://anyluxury.ru/shop/odezhda/detskaya-odezhda/tolstovka-s-kapyushonom-zhenskaya-bnc-organic-seriy-melanzh-ww34b610/" , "WW34B610 Толстовка с капюшоном женская BNC Organic, серый меланж, размер S")</f>
      </c>
      <c r="C4090" s="4" t="n">
        <v>3408.00</v>
      </c>
      <c r="D4090" s="4"/>
    </row>
    <row collapsed="" customFormat="false" customHeight="1" hidden="" ht="14" outlineLevel="0" r="4091">
      <c r="A4091" s="3" t="inlineStr">
        <is>
          <t>4060</t>
        </is>
      </c>
      <c r="B4091" s="4" t="s">
        <f>=HYPERLINK("http://anyluxury.ru/shop/odezhda/detskaya-odezhda/tolstovka-s-kapyushonom-zhenskaya-bnc-organic-seriy-melanzh-ww34b610/" , "WW34B610 Толстовка с капюшоном женская BNC Organic, серый меланж, размер M")</f>
      </c>
      <c r="C4091" s="4" t="n">
        <v>3408.00</v>
      </c>
      <c r="D4091" s="4"/>
    </row>
    <row collapsed="" customFormat="false" customHeight="1" hidden="" ht="14" outlineLevel="0" r="4092">
      <c r="A4092" s="3" t="inlineStr">
        <is>
          <t>4061</t>
        </is>
      </c>
      <c r="B4092" s="4" t="s">
        <f>=HYPERLINK("http://anyluxury.ru/shop/odezhda/detskaya-odezhda/tolstovka-s-kapyushonom-zhenskaya-bnc-organic-seriy-melanzh-ww34b610/" , "WW34B610 Толстовка с капюшоном женская BNC Organic, серый меланж, размер L")</f>
      </c>
      <c r="C4092" s="4" t="n">
        <v>3408.00</v>
      </c>
      <c r="D4092" s="4"/>
    </row>
    <row collapsed="" customFormat="false" customHeight="1" hidden="" ht="14" outlineLevel="0" r="4093">
      <c r="A4093" s="3" t="inlineStr">
        <is>
          <t>4062</t>
        </is>
      </c>
      <c r="B4093" s="4" t="s">
        <f>=HYPERLINK("http://anyluxury.ru/shop/odezhda/detskaya-odezhda/tolstovka-s-kapyushonom-zhenskaya-bnc-organic-seriy-melanzh-ww34b610/" , "WW34B610 Толстовка с капюшоном женская BNC Organic, серый меланж, размер XL")</f>
      </c>
      <c r="C4093" s="4" t="n">
        <v>3408.00</v>
      </c>
      <c r="D4093" s="4"/>
    </row>
    <row collapsed="" customFormat="false" customHeight="1" hidden="" ht="14" outlineLevel="0" r="4094">
      <c r="A4094" s="3" t="inlineStr">
        <is>
          <t>4063</t>
        </is>
      </c>
      <c r="B4094" s="4" t="s">
        <f>=HYPERLINK("http://anyluxury.ru/shop/odezhda/detskaya-odezhda/tolstovka-s-kapyushonom-zhenskaya-bnc-organic-seriy-melanzh-ww34b610/" , "WW34B610 Толстовка с капюшоном женская BNC Organic, серый меланж, размер XXL")</f>
      </c>
      <c r="C4094" s="4" t="n">
        <v>3408.00</v>
      </c>
      <c r="D4094" s="4"/>
    </row>
    <row collapsed="" customFormat="false" customHeight="1" hidden="" ht="14" outlineLevel="0" r="4095">
      <c r="A4095" s="3" t="inlineStr">
        <is>
          <t>4064</t>
        </is>
      </c>
      <c r="B4095" s="4" t="s">
        <f>=HYPERLINK("http://anyluxury.ru/shop/odezhda/detskaya-odezhda/svitshot-uniseks-king-beliy-wu01k001/" , "WU01K001 Свитшот унисекс King, белый, размер XS")</f>
      </c>
      <c r="C4095" s="4" t="n">
        <v>2946.00</v>
      </c>
      <c r="D4095" s="4"/>
    </row>
    <row collapsed="" customFormat="false" customHeight="1" hidden="" ht="14" outlineLevel="0" r="4096">
      <c r="A4096" s="3" t="inlineStr">
        <is>
          <t>4065</t>
        </is>
      </c>
      <c r="B4096" s="4" t="s">
        <f>=HYPERLINK("http://anyluxury.ru/shop/odezhda/detskaya-odezhda/svitshot-uniseks-king-beliy-wu01k001/" , "WU01K001 Свитшот унисекс King, белый, размер XXL")</f>
      </c>
      <c r="C4096" s="4" t="n">
        <v>2946.00</v>
      </c>
      <c r="D4096" s="4"/>
    </row>
    <row collapsed="" customFormat="false" customHeight="1" hidden="" ht="14" outlineLevel="0" r="4097">
      <c r="A4097" s="3" t="inlineStr">
        <is>
          <t>4066</t>
        </is>
      </c>
      <c r="B4097" s="4" t="s">
        <f>=HYPERLINK("http://anyluxury.ru/shop/odezhda/detskaya-odezhda/svitshot-uniseks-king-beliy-wu01k001/" , "WU01K001 Свитшот унисекс King, белый, размер 3XL")</f>
      </c>
      <c r="C4097" s="4" t="n">
        <v>2946.00</v>
      </c>
      <c r="D4097" s="4"/>
    </row>
    <row collapsed="" customFormat="false" customHeight="1" hidden="" ht="14" outlineLevel="0" r="4098">
      <c r="A4098" s="3" t="inlineStr">
        <is>
          <t>4067</t>
        </is>
      </c>
      <c r="B4098" s="4" t="s">
        <f>=HYPERLINK("http://anyluxury.ru/shop/odezhda/detskaya-odezhda/svitshot-uniseks-king-beliy-wu01k001/" , "WU01K001 Свитшот унисекс King, белый, размер 4XL")</f>
      </c>
      <c r="C4098" s="4" t="n">
        <v>3678.00</v>
      </c>
      <c r="D4098" s="4"/>
    </row>
    <row collapsed="" customFormat="false" customHeight="1" hidden="" ht="14" outlineLevel="0" r="4099">
      <c r="A4099" s="3" t="inlineStr">
        <is>
          <t>4068</t>
        </is>
      </c>
      <c r="B4099" s="4" t="s">
        <f>=HYPERLINK("http://anyluxury.ru/shop/odezhda/detskaya-odezhda/svitshot-uniseks-king-krasniy-wu01k004/" , "WU01K004 Свитшот унисекс King, красный, размер XS")</f>
      </c>
      <c r="C4099" s="4" t="n">
        <v>2946.00</v>
      </c>
      <c r="D4099" s="4"/>
    </row>
    <row collapsed="" customFormat="false" customHeight="1" hidden="" ht="14" outlineLevel="0" r="4100">
      <c r="A4100" s="3" t="inlineStr">
        <is>
          <t>4069</t>
        </is>
      </c>
      <c r="B4100" s="4" t="s">
        <f>=HYPERLINK("http://anyluxury.ru/shop/odezhda/detskaya-odezhda/svitshot-uniseks-king-krasniy-wu01k004/" , "WU01K004 Свитшот унисекс King, красный, размер S")</f>
      </c>
      <c r="C4100" s="4" t="n">
        <v>2946.00</v>
      </c>
      <c r="D4100" s="4"/>
    </row>
    <row collapsed="" customFormat="false" customHeight="1" hidden="" ht="14" outlineLevel="0" r="4101">
      <c r="A4101" s="3" t="inlineStr">
        <is>
          <t>4070</t>
        </is>
      </c>
      <c r="B4101" s="4" t="s">
        <f>=HYPERLINK("http://anyluxury.ru/shop/odezhda/detskaya-odezhda/svitshot-uniseks-king-krasniy-wu01k004/" , "WU01K004 Свитшот унисекс King, красный, размер XL")</f>
      </c>
      <c r="C4101" s="4" t="n">
        <v>2946.00</v>
      </c>
      <c r="D4101" s="4"/>
    </row>
    <row collapsed="" customFormat="false" customHeight="1" hidden="" ht="14" outlineLevel="0" r="4102">
      <c r="A4102" s="3" t="inlineStr">
        <is>
          <t>4071</t>
        </is>
      </c>
      <c r="B4102" s="4" t="s">
        <f>=HYPERLINK("http://anyluxury.ru/shop/odezhda/detskaya-odezhda/svitshot-uniseks-king-krasniy-wu01k004/" , "WU01K004 Свитшот унисекс King, красный, размер XXL")</f>
      </c>
      <c r="C4102" s="4" t="n">
        <v>2946.00</v>
      </c>
      <c r="D4102" s="4"/>
    </row>
    <row collapsed="" customFormat="false" customHeight="1" hidden="" ht="14" outlineLevel="0" r="4103">
      <c r="A4103" s="3" t="inlineStr">
        <is>
          <t>4072</t>
        </is>
      </c>
      <c r="B4103" s="4" t="s">
        <f>=HYPERLINK("http://anyluxury.ru/shop/odezhda/detskaya-odezhda/svitshot-uniseks-king-cherniy-wu01k005/" , "WU01K005 Свитшот унисекс King, черный, размер XS")</f>
      </c>
      <c r="C4103" s="4" t="n">
        <v>2946.00</v>
      </c>
      <c r="D4103" s="4"/>
    </row>
    <row collapsed="" customFormat="false" customHeight="1" hidden="" ht="14" outlineLevel="0" r="4104">
      <c r="A4104" s="3" t="inlineStr">
        <is>
          <t>4073</t>
        </is>
      </c>
      <c r="B4104" s="4" t="s">
        <f>=HYPERLINK("http://anyluxury.ru/shop/odezhda/detskaya-odezhda/svitshot-uniseks-king-cherniy-wu01k005/" , "WU01K005 Свитшот унисекс King, черный, размер S")</f>
      </c>
      <c r="C4104" s="4" t="n">
        <v>2946.00</v>
      </c>
      <c r="D4104" s="4"/>
    </row>
    <row collapsed="" customFormat="false" customHeight="1" hidden="" ht="14" outlineLevel="0" r="4105">
      <c r="A4105" s="3" t="inlineStr">
        <is>
          <t>4074</t>
        </is>
      </c>
      <c r="B4105" s="4" t="s">
        <f>=HYPERLINK("http://anyluxury.ru/shop/odezhda/detskaya-odezhda/svitshot-uniseks-king-cherniy-wu01k005/" , "WU01K005 Свитшот унисекс King, черный, размер XXL")</f>
      </c>
      <c r="C4105" s="4" t="n">
        <v>2946.00</v>
      </c>
      <c r="D4105" s="4"/>
    </row>
    <row collapsed="" customFormat="false" customHeight="1" hidden="" ht="14" outlineLevel="0" r="4106">
      <c r="A4106" s="3" t="inlineStr">
        <is>
          <t>4075</t>
        </is>
      </c>
      <c r="B4106" s="4" t="s">
        <f>=HYPERLINK("http://anyluxury.ru/shop/odezhda/detskaya-odezhda/svitshot-uniseks-king-cherniy-wu01k005/" , "WU01K005 Свитшот унисекс King, черный, размер 3XL")</f>
      </c>
      <c r="C4106" s="4" t="n">
        <v>2946.00</v>
      </c>
      <c r="D4106" s="4"/>
    </row>
    <row collapsed="" customFormat="false" customHeight="1" hidden="" ht="14" outlineLevel="0" r="4107">
      <c r="A4107" s="3" t="inlineStr">
        <is>
          <t>4076</t>
        </is>
      </c>
      <c r="B4107" s="4" t="s">
        <f>=HYPERLINK("http://anyluxury.ru/shop/odezhda/detskaya-odezhda/svitshot-uniseks-king-temnosiniy-wu01k006/" , "WU01K006 Свитшот унисекс King, темно-синий, размер XS")</f>
      </c>
      <c r="C4107" s="4" t="n">
        <v>2946.00</v>
      </c>
      <c r="D4107" s="4"/>
    </row>
    <row collapsed="" customFormat="false" customHeight="1" hidden="" ht="14" outlineLevel="0" r="4108">
      <c r="A4108" s="3" t="inlineStr">
        <is>
          <t>4077</t>
        </is>
      </c>
      <c r="B4108" s="4" t="s">
        <f>=HYPERLINK("http://anyluxury.ru/shop/odezhda/detskaya-odezhda/svitshot-uniseks-king-temnosiniy-wu01k006/" , "WU01K006 Свитшот унисекс King, темно-синий, размер S")</f>
      </c>
      <c r="C4108" s="4" t="n">
        <v>2946.00</v>
      </c>
      <c r="D4108" s="4"/>
    </row>
    <row collapsed="" customFormat="false" customHeight="1" hidden="" ht="14" outlineLevel="0" r="4109">
      <c r="A4109" s="3" t="inlineStr">
        <is>
          <t>4078</t>
        </is>
      </c>
      <c r="B4109" s="4" t="s">
        <f>=HYPERLINK("http://anyluxury.ru/shop/odezhda/detskaya-odezhda/svitshot-uniseks-king-temnosiniy-wu01k006/" , "WU01K006 Свитшот унисекс King, темно-синий, размер L")</f>
      </c>
      <c r="C4109" s="4" t="n">
        <v>2946.00</v>
      </c>
      <c r="D4109" s="4"/>
    </row>
    <row collapsed="" customFormat="false" customHeight="1" hidden="" ht="14" outlineLevel="0" r="4110">
      <c r="A4110" s="3" t="inlineStr">
        <is>
          <t>4079</t>
        </is>
      </c>
      <c r="B4110" s="4" t="s">
        <f>=HYPERLINK("http://anyluxury.ru/shop/odezhda/detskaya-odezhda/svitshot-uniseks-king-temnosiniy-wu01k006/" , "WU01K006 Свитшот унисекс King, темно-синий, размер XL")</f>
      </c>
      <c r="C4110" s="4" t="n">
        <v>2946.00</v>
      </c>
      <c r="D4110" s="4"/>
    </row>
    <row collapsed="" customFormat="false" customHeight="1" hidden="" ht="14" outlineLevel="0" r="4111">
      <c r="A4111" s="3" t="inlineStr">
        <is>
          <t>4080</t>
        </is>
      </c>
      <c r="B4111" s="4" t="s">
        <f>=HYPERLINK("http://anyluxury.ru/shop/odezhda/detskaya-odezhda/svitshot-uniseks-king-temnosiniy-wu01k006/" , "WU01K006 Свитшот унисекс King, темно-синий, размер XXL")</f>
      </c>
      <c r="C4111" s="4" t="n">
        <v>2946.00</v>
      </c>
      <c r="D4111" s="4"/>
    </row>
    <row collapsed="" customFormat="false" customHeight="1" hidden="" ht="14" outlineLevel="0" r="4112">
      <c r="A4112" s="3" t="inlineStr">
        <is>
          <t>4081</t>
        </is>
      </c>
      <c r="B4112" s="4" t="s">
        <f>=HYPERLINK("http://anyluxury.ru/shop/odezhda/detskaya-odezhda/svitshot-uniseks-king-oranzheviy-wu01k233/" , "WU01K233 Свитшот унисекс King, оранжевый, размер XS")</f>
      </c>
      <c r="C4112" s="4" t="n">
        <v>2946.00</v>
      </c>
      <c r="D4112" s="4"/>
    </row>
    <row collapsed="" customFormat="false" customHeight="1" hidden="" ht="14" outlineLevel="0" r="4113">
      <c r="A4113" s="3" t="inlineStr">
        <is>
          <t>4082</t>
        </is>
      </c>
      <c r="B4113" s="4" t="s">
        <f>=HYPERLINK("http://anyluxury.ru/shop/odezhda/detskaya-odezhda/svitshot-uniseks-king-oranzheviy-wu01k233/" , "WU01K233 Свитшот унисекс King, оранжевый, размер S")</f>
      </c>
      <c r="C4113" s="4" t="n">
        <v>2946.00</v>
      </c>
      <c r="D4113" s="4"/>
    </row>
    <row collapsed="" customFormat="false" customHeight="1" hidden="" ht="14" outlineLevel="0" r="4114">
      <c r="A4114" s="3" t="inlineStr">
        <is>
          <t>4083</t>
        </is>
      </c>
      <c r="B4114" s="4" t="s">
        <f>=HYPERLINK("http://anyluxury.ru/shop/odezhda/detskaya-odezhda/svitshot-uniseks-king-oranzheviy-wu01k233/" , "WU01K233 Свитшот унисекс King, оранжевый, размер M")</f>
      </c>
      <c r="C4114" s="4" t="n">
        <v>2946.00</v>
      </c>
      <c r="D4114" s="4"/>
    </row>
    <row collapsed="" customFormat="false" customHeight="1" hidden="" ht="14" outlineLevel="0" r="4115">
      <c r="A4115" s="3" t="inlineStr">
        <is>
          <t>4084</t>
        </is>
      </c>
      <c r="B4115" s="4" t="s">
        <f>=HYPERLINK("http://anyluxury.ru/shop/odezhda/detskaya-odezhda/svitshot-uniseks-king-oranzheviy-wu01k233/" , "WU01K233 Свитшот унисекс King, оранжевый, размер L")</f>
      </c>
      <c r="C4115" s="4" t="n">
        <v>2946.00</v>
      </c>
      <c r="D4115" s="4"/>
    </row>
    <row collapsed="" customFormat="false" customHeight="1" hidden="" ht="14" outlineLevel="0" r="4116">
      <c r="A4116" s="3" t="inlineStr">
        <is>
          <t>4085</t>
        </is>
      </c>
      <c r="B4116" s="4" t="s">
        <f>=HYPERLINK("http://anyluxury.ru/shop/odezhda/detskaya-odezhda/svitshot-uniseks-king-oranzheviy-wu01k233/" , "WU01K233 Свитшот унисекс King, оранжевый, размер XL")</f>
      </c>
      <c r="C4116" s="4" t="n">
        <v>2946.00</v>
      </c>
      <c r="D4116" s="4"/>
    </row>
    <row collapsed="" customFormat="false" customHeight="1" hidden="" ht="14" outlineLevel="0" r="4117">
      <c r="A4117" s="3" t="inlineStr">
        <is>
          <t>4086</t>
        </is>
      </c>
      <c r="B4117" s="4" t="s">
        <f>=HYPERLINK("http://anyluxury.ru/shop/odezhda/detskaya-odezhda/svitshot-uniseks-king-oranzheviy-wu01k233/" , "WU01K233 Свитшот унисекс King, оранжевый, размер XXL")</f>
      </c>
      <c r="C4117" s="4" t="n">
        <v>2946.00</v>
      </c>
      <c r="D4117" s="4"/>
    </row>
    <row collapsed="" customFormat="false" customHeight="1" hidden="" ht="14" outlineLevel="0" r="4118">
      <c r="A4118" s="3" t="inlineStr">
        <is>
          <t>4087</t>
        </is>
      </c>
      <c r="B4118" s="4" t="s">
        <f>=HYPERLINK("http://anyluxury.ru/shop/odezhda/detskaya-odezhda/svitshot-uniseks-king-oranzheviy-wu01k233/" , "WU01K233 Свитшот унисекс King, оранжевый, размер 3XL")</f>
      </c>
      <c r="C4118" s="4" t="n">
        <v>2946.00</v>
      </c>
      <c r="D4118" s="4"/>
    </row>
    <row collapsed="" customFormat="false" customHeight="1" hidden="" ht="14" outlineLevel="0" r="4119">
      <c r="A4119" s="3" t="inlineStr">
        <is>
          <t>4088</t>
        </is>
      </c>
      <c r="B4119" s="4" t="s">
        <f>=HYPERLINK("http://anyluxury.ru/shop/odezhda/detskaya-odezhda/svitshot-uniseks-king-fioletoviy-wu01k351/" , "WU01K351 Свитшот унисекс King, фиолетовый, размер S")</f>
      </c>
      <c r="C4119" s="4" t="n">
        <v>2946.00</v>
      </c>
      <c r="D4119" s="4"/>
    </row>
    <row collapsed="" customFormat="false" customHeight="1" hidden="" ht="14" outlineLevel="0" r="4120">
      <c r="A4120" s="3" t="inlineStr">
        <is>
          <t>4089</t>
        </is>
      </c>
      <c r="B4120" s="4" t="s">
        <f>=HYPERLINK("http://anyluxury.ru/shop/odezhda/detskaya-odezhda/svitshot-uniseks-king-fioletoviy-wu01k351/" , "WU01K351 Свитшот унисекс King, фиолетовый, размер M")</f>
      </c>
      <c r="C4120" s="4" t="n">
        <v>2946.00</v>
      </c>
      <c r="D4120" s="4"/>
    </row>
    <row collapsed="" customFormat="false" customHeight="1" hidden="" ht="14" outlineLevel="0" r="4121">
      <c r="A4121" s="3" t="inlineStr">
        <is>
          <t>4090</t>
        </is>
      </c>
      <c r="B4121" s="4" t="s">
        <f>=HYPERLINK("http://anyluxury.ru/shop/odezhda/detskaya-odezhda/svitshot-uniseks-king-fioletoviy-wu01k351/" , "WU01K351 Свитшот унисекс King, фиолетовый, размер XL")</f>
      </c>
      <c r="C4121" s="4" t="n">
        <v>2946.00</v>
      </c>
      <c r="D4121" s="4"/>
    </row>
    <row collapsed="" customFormat="false" customHeight="1" hidden="" ht="14" outlineLevel="0" r="4122">
      <c r="A4122" s="3" t="inlineStr">
        <is>
          <t>4091</t>
        </is>
      </c>
      <c r="B4122" s="4" t="s">
        <f>=HYPERLINK("http://anyluxury.ru/shop/odezhda/detskaya-odezhda/svitshot-uniseks-king-svetlogoluboy-wu01k405/" , "WU01K405 Свитшот унисекс King, светло-голубой, размер XS")</f>
      </c>
      <c r="C4122" s="4" t="n">
        <v>2946.00</v>
      </c>
      <c r="D4122" s="4"/>
    </row>
    <row collapsed="" customFormat="false" customHeight="1" hidden="" ht="14" outlineLevel="0" r="4123">
      <c r="A4123" s="3" t="inlineStr">
        <is>
          <t>4092</t>
        </is>
      </c>
      <c r="B4123" s="4" t="s">
        <f>=HYPERLINK("http://anyluxury.ru/shop/odezhda/detskaya-odezhda/svitshot-uniseks-king-svetlogoluboy-wu01k405/" , "WU01K405 Свитшот унисекс King, светло-голубой, размер XL")</f>
      </c>
      <c r="C4123" s="4" t="n">
        <v>2946.00</v>
      </c>
      <c r="D4123" s="4"/>
    </row>
    <row collapsed="" customFormat="false" customHeight="1" hidden="" ht="14" outlineLevel="0" r="4124">
      <c r="A4124" s="3" t="inlineStr">
        <is>
          <t>4093</t>
        </is>
      </c>
      <c r="B4124" s="4" t="s">
        <f>=HYPERLINK("http://anyluxury.ru/shop/odezhda/detskaya-odezhda/svitshot-uniseks-king-yarkosiniy-wu01k453/" , "WU01K453 Свитшот унисекс King, ярко-синий, размер XS")</f>
      </c>
      <c r="C4124" s="4" t="n">
        <v>2946.00</v>
      </c>
      <c r="D4124" s="4"/>
    </row>
    <row collapsed="" customFormat="false" customHeight="1" hidden="" ht="14" outlineLevel="0" r="4125">
      <c r="A4125" s="3" t="inlineStr">
        <is>
          <t>4094</t>
        </is>
      </c>
      <c r="B4125" s="4" t="s">
        <f>=HYPERLINK("http://anyluxury.ru/shop/odezhda/detskaya-odezhda/svitshot-uniseks-king-yarkosiniy-wu01k453/" , "WU01K453 Свитшот унисекс King, ярко-синий, размер S")</f>
      </c>
      <c r="C4125" s="4" t="n">
        <v>2946.00</v>
      </c>
      <c r="D4125" s="4"/>
    </row>
    <row collapsed="" customFormat="false" customHeight="1" hidden="" ht="14" outlineLevel="0" r="4126">
      <c r="A4126" s="3" t="inlineStr">
        <is>
          <t>4095</t>
        </is>
      </c>
      <c r="B4126" s="4" t="s">
        <f>=HYPERLINK("http://anyluxury.ru/shop/odezhda/detskaya-odezhda/svitshot-uniseks-king-yarkosiniy-wu01k453/" , "WU01K453 Свитшот унисекс King, ярко-синий, размер XL")</f>
      </c>
      <c r="C4126" s="4" t="n">
        <v>2946.00</v>
      </c>
      <c r="D4126" s="4"/>
    </row>
    <row collapsed="" customFormat="false" customHeight="1" hidden="" ht="14" outlineLevel="0" r="4127">
      <c r="A4127" s="3" t="inlineStr">
        <is>
          <t>4096</t>
        </is>
      </c>
      <c r="B4127" s="4" t="s">
        <f>=HYPERLINK("http://anyluxury.ru/shop/odezhda/detskaya-odezhda/svitshot-uniseks-king-serozeleniy-wu01k501/" , "WU01K501 Свитшот унисекс King, серо-зеленый, размер XXL")</f>
      </c>
      <c r="C4127" s="4" t="n">
        <v>2946.00</v>
      </c>
      <c r="D4127" s="4"/>
    </row>
    <row collapsed="" customFormat="false" customHeight="1" hidden="" ht="14" outlineLevel="0" r="4128">
      <c r="A4128" s="3" t="inlineStr">
        <is>
          <t>4097</t>
        </is>
      </c>
      <c r="B4128" s="4" t="s">
        <f>=HYPERLINK("http://anyluxury.ru/shop/odezhda/detskaya-odezhda/svitshot-uniseks-king-temnozeleniy-wu01k540/" , "WU01K540 Свитшот унисекс King, темно-зеленый, размер XS")</f>
      </c>
      <c r="C4128" s="4" t="n">
        <v>2946.00</v>
      </c>
      <c r="D4128" s="4"/>
    </row>
    <row collapsed="" customFormat="false" customHeight="1" hidden="" ht="14" outlineLevel="0" r="4129">
      <c r="A4129" s="3" t="inlineStr">
        <is>
          <t>4098</t>
        </is>
      </c>
      <c r="B4129" s="4" t="s">
        <f>=HYPERLINK("http://anyluxury.ru/shop/odezhda/detskaya-odezhda/svitshot-uniseks-king-temnozeleniy-wu01k540/" , "WU01K540 Свитшот унисекс King, темно-зеленый, размер S")</f>
      </c>
      <c r="C4129" s="4" t="n">
        <v>2946.00</v>
      </c>
      <c r="D4129" s="4"/>
    </row>
    <row collapsed="" customFormat="false" customHeight="1" hidden="" ht="14" outlineLevel="0" r="4130">
      <c r="A4130" s="3" t="inlineStr">
        <is>
          <t>4099</t>
        </is>
      </c>
      <c r="B4130" s="4" t="s">
        <f>=HYPERLINK("http://anyluxury.ru/shop/odezhda/detskaya-odezhda/svitshot-uniseks-king-seriy-melanzh-wu01k610/" , "WU01K610 Свитшот унисекс King, серый меланж, размер S")</f>
      </c>
      <c r="C4130" s="4" t="n">
        <v>2946.00</v>
      </c>
      <c r="D4130" s="4"/>
    </row>
    <row collapsed="" customFormat="false" customHeight="1" hidden="" ht="14" outlineLevel="0" r="4131">
      <c r="A4131" s="3" t="inlineStr">
        <is>
          <t>4100</t>
        </is>
      </c>
      <c r="B4131" s="4" t="s">
        <f>=HYPERLINK("http://anyluxury.ru/shop/odezhda/detskaya-odezhda/svitshot-uniseks-king-seriy-melanzh-wu01k610/" , "WU01K610 Свитшот унисекс King, серый меланж, размер XL")</f>
      </c>
      <c r="C4131" s="4" t="n">
        <v>2946.00</v>
      </c>
      <c r="D4131" s="4"/>
    </row>
    <row collapsed="" customFormat="false" customHeight="1" hidden="" ht="14" outlineLevel="0" r="4132">
      <c r="A4132" s="3" t="inlineStr">
        <is>
          <t>4101</t>
        </is>
      </c>
      <c r="B4132" s="4" t="s">
        <f>=HYPERLINK("http://anyluxury.ru/shop/odezhda/detskaya-odezhda/svitshot-uniseks-king-seriy-melanzh-wu01k610/" , "WU01K610 Свитшот унисекс King, серый меланж, размер XXL")</f>
      </c>
      <c r="C4132" s="4" t="n">
        <v>2946.00</v>
      </c>
      <c r="D4132" s="4"/>
    </row>
    <row collapsed="" customFormat="false" customHeight="1" hidden="" ht="14" outlineLevel="0" r="4133">
      <c r="A4133" s="3" t="inlineStr">
        <is>
          <t>4102</t>
        </is>
      </c>
      <c r="B4133" s="4" t="s">
        <f>=HYPERLINK("http://anyluxury.ru/shop/odezhda/detskaya-odezhda/svitshot-uniseks-king-temnoseriy-wu01k669/" , "WU01K669 Свитшот унисекс King, темно-серый, размер XS")</f>
      </c>
      <c r="C4133" s="4" t="n">
        <v>2946.00</v>
      </c>
      <c r="D4133" s="4"/>
    </row>
    <row collapsed="" customFormat="false" customHeight="1" hidden="" ht="14" outlineLevel="0" r="4134">
      <c r="A4134" s="3" t="inlineStr">
        <is>
          <t>4103</t>
        </is>
      </c>
      <c r="B4134" s="4" t="s">
        <f>=HYPERLINK("http://anyluxury.ru/shop/odezhda/detskaya-odezhda/svitshot-uniseks-king-temnoseriy-wu01k669/" , "WU01K669 Свитшот унисекс King, темно-серый, размер S")</f>
      </c>
      <c r="C4134" s="4" t="n">
        <v>2946.00</v>
      </c>
      <c r="D4134" s="4"/>
    </row>
    <row collapsed="" customFormat="false" customHeight="1" hidden="" ht="14" outlineLevel="0" r="4135">
      <c r="A4135" s="3" t="inlineStr">
        <is>
          <t>4104</t>
        </is>
      </c>
      <c r="B4135" s="4" t="s">
        <f>=HYPERLINK("http://anyluxury.ru/shop/odezhda/detskaya-odezhda/svitshot-uniseks-king-dimchatoseriy-wu01k672/" , "WU01K672 Свитшот унисекс King, дымчато-серый, размер XS")</f>
      </c>
      <c r="C4135" s="4" t="n">
        <v>2946.00</v>
      </c>
      <c r="D4135" s="4"/>
    </row>
    <row collapsed="" customFormat="false" customHeight="1" hidden="" ht="14" outlineLevel="0" r="4136">
      <c r="A4136" s="3" t="inlineStr">
        <is>
          <t>4105</t>
        </is>
      </c>
      <c r="B4136" s="4" t="s">
        <f>=HYPERLINK("http://anyluxury.ru/shop/odezhda/detskaya-odezhda/svitshot-uniseks-king-dimchatoseriy-wu01k672/" , "WU01K672 Свитшот унисекс King, дымчато-серый, размер S")</f>
      </c>
      <c r="C4136" s="4" t="n">
        <v>2946.00</v>
      </c>
      <c r="D4136" s="4"/>
    </row>
    <row collapsed="" customFormat="false" customHeight="1" hidden="" ht="14" outlineLevel="0" r="4137">
      <c r="A4137" s="3" t="inlineStr">
        <is>
          <t>4106</t>
        </is>
      </c>
      <c r="B4137" s="4" t="s">
        <f>=HYPERLINK("http://anyluxury.ru/shop/odezhda/detskaya-odezhda/svitshot-uniseks-king-dimchatoseriy-wu01k672/" , "WU01K672 Свитшот унисекс King, дымчато-серый, размер M")</f>
      </c>
      <c r="C4137" s="4" t="n">
        <v>2946.00</v>
      </c>
      <c r="D4137" s="4"/>
    </row>
    <row collapsed="" customFormat="false" customHeight="1" hidden="" ht="14" outlineLevel="0" r="4138">
      <c r="A4138" s="3" t="inlineStr">
        <is>
          <t>4107</t>
        </is>
      </c>
      <c r="B4138" s="4" t="s">
        <f>=HYPERLINK("http://anyluxury.ru/shop/odezhda/detskaya-odezhda/svitshot-uniseks-king-dimchatoseriy-wu01k672/" , "WU01K672 Свитшот унисекс King, дымчато-серый, размер L")</f>
      </c>
      <c r="C4138" s="4" t="n">
        <v>2946.00</v>
      </c>
      <c r="D4138" s="4"/>
    </row>
    <row collapsed="" customFormat="false" customHeight="1" hidden="" ht="14" outlineLevel="0" r="4139">
      <c r="A4139" s="3" t="inlineStr">
        <is>
          <t>4108</t>
        </is>
      </c>
      <c r="B4139" s="4" t="s">
        <f>=HYPERLINK("http://anyluxury.ru/shop/odezhda/detskaya-odezhda/svitshot-uniseks-king-dimchatoseriy-wu01k672/" , "WU01K672 Свитшот унисекс King, дымчато-серый, размер XL")</f>
      </c>
      <c r="C4139" s="4" t="n">
        <v>2946.00</v>
      </c>
      <c r="D4139" s="4"/>
    </row>
    <row collapsed="" customFormat="false" customHeight="1" hidden="" ht="14" outlineLevel="0" r="4140">
      <c r="A4140" s="3" t="inlineStr">
        <is>
          <t>4109</t>
        </is>
      </c>
      <c r="B4140" s="4" t="s">
        <f>=HYPERLINK("http://anyluxury.ru/shop/odezhda/detskaya-odezhda/svitshot-uniseks-king-dimchatoseriy-wu01k672/" , "WU01K672 Свитшот унисекс King, дымчато-серый, размер XXL")</f>
      </c>
      <c r="C4140" s="4" t="n">
        <v>2946.00</v>
      </c>
      <c r="D4140" s="4"/>
    </row>
    <row collapsed="" customFormat="false" customHeight="1" hidden="" ht="14" outlineLevel="0" r="4141">
      <c r="A4141" s="3" t="inlineStr">
        <is>
          <t>4110</t>
        </is>
      </c>
      <c r="B4141" s="4" t="s">
        <f>=HYPERLINK("http://anyluxury.ru/shop/odezhda/detskaya-odezhda/svitshot-uniseks-king-dimchatoseriy-wu01k672/" , "WU01K672 Свитшот унисекс King, дымчато-серый, размер 3XL")</f>
      </c>
      <c r="C4141" s="4" t="n">
        <v>2946.00</v>
      </c>
      <c r="D4141" s="4"/>
    </row>
    <row collapsed="" customFormat="false" customHeight="1" hidden="" ht="14" outlineLevel="0" r="4142">
      <c r="A4142" s="3" t="inlineStr">
        <is>
          <t>4111</t>
        </is>
      </c>
      <c r="B4142" s="4" t="s">
        <f>=HYPERLINK("http://anyluxury.ru/shop/odezhda/detskaya-odezhda/svitshot-zhenskiy-queen-beliy-ww01q001/" , "WW01Q001 Свитшот женский Queen, белый, размер XS")</f>
      </c>
      <c r="C4142" s="4" t="n">
        <v>2887.00</v>
      </c>
      <c r="D4142" s="4"/>
    </row>
    <row collapsed="" customFormat="false" customHeight="1" hidden="" ht="14" outlineLevel="0" r="4143">
      <c r="A4143" s="3" t="inlineStr">
        <is>
          <t>4112</t>
        </is>
      </c>
      <c r="B4143" s="4" t="s">
        <f>=HYPERLINK("http://anyluxury.ru/shop/odezhda/detskaya-odezhda/svitshot-zhenskiy-queen-beliy-ww01q001/" , "WW01Q001 Свитшот женский Queen, белый, размер S")</f>
      </c>
      <c r="C4143" s="4" t="n">
        <v>2887.00</v>
      </c>
      <c r="D4143" s="4"/>
    </row>
    <row collapsed="" customFormat="false" customHeight="1" hidden="" ht="14" outlineLevel="0" r="4144">
      <c r="A4144" s="3" t="inlineStr">
        <is>
          <t>4113</t>
        </is>
      </c>
      <c r="B4144" s="4" t="s">
        <f>=HYPERLINK("http://anyluxury.ru/shop/odezhda/detskaya-odezhda/svitshot-zhenskiy-queen-beliy-ww01q001/" , "WW01Q001 Свитшот женский Queen, белый, размер XL")</f>
      </c>
      <c r="C4144" s="4" t="n">
        <v>2887.00</v>
      </c>
      <c r="D4144" s="4"/>
    </row>
    <row collapsed="" customFormat="false" customHeight="1" hidden="" ht="14" outlineLevel="0" r="4145">
      <c r="A4145" s="3" t="inlineStr">
        <is>
          <t>4114</t>
        </is>
      </c>
      <c r="B4145" s="4" t="s">
        <f>=HYPERLINK("http://anyluxury.ru/shop/odezhda/detskaya-odezhda/svitshot-zhenskiy-queen-beliy-ww01q001/" , "WW01Q001 Свитшот женский Queen, белый, размер XXL")</f>
      </c>
      <c r="C4145" s="4" t="n">
        <v>2887.00</v>
      </c>
      <c r="D4145" s="4"/>
    </row>
    <row collapsed="" customFormat="false" customHeight="1" hidden="" ht="14" outlineLevel="0" r="4146">
      <c r="A4146" s="3" t="inlineStr">
        <is>
          <t>4115</t>
        </is>
      </c>
      <c r="B4146" s="4" t="s">
        <f>=HYPERLINK("http://anyluxury.ru/shop/odezhda/detskaya-odezhda/svitshot-zhenskiy-queen-beliy-ww01q001/" , "WW01Q001 Свитшот женский Queen, белый, размер 3XL")</f>
      </c>
      <c r="C4146" s="4" t="n">
        <v>3604.00</v>
      </c>
      <c r="D4146" s="4"/>
    </row>
    <row collapsed="" customFormat="false" customHeight="1" hidden="" ht="14" outlineLevel="0" r="4147">
      <c r="A4147" s="3" t="inlineStr">
        <is>
          <t>4116</t>
        </is>
      </c>
      <c r="B4147" s="4" t="s">
        <f>=HYPERLINK("http://anyluxury.ru/shop/odezhda/detskaya-odezhda/svitshot-zhenskiy-queen-krasniy-ww01q004/" , "WW01Q004 Свитшот женский Queen, красный, размер XS")</f>
      </c>
      <c r="C4147" s="4" t="n">
        <v>2887.00</v>
      </c>
      <c r="D4147" s="4"/>
    </row>
    <row collapsed="" customFormat="false" customHeight="1" hidden="" ht="14" outlineLevel="0" r="4148">
      <c r="A4148" s="3" t="inlineStr">
        <is>
          <t>4117</t>
        </is>
      </c>
      <c r="B4148" s="4" t="s">
        <f>=HYPERLINK("http://anyluxury.ru/shop/odezhda/detskaya-odezhda/svitshot-zhenskiy-queen-krasniy-ww01q004/" , "WW01Q004 Свитшот женский Queen, красный, размер L")</f>
      </c>
      <c r="C4148" s="4" t="n">
        <v>2887.00</v>
      </c>
      <c r="D4148" s="4"/>
    </row>
    <row collapsed="" customFormat="false" customHeight="1" hidden="" ht="14" outlineLevel="0" r="4149">
      <c r="A4149" s="3" t="inlineStr">
        <is>
          <t>4118</t>
        </is>
      </c>
      <c r="B4149" s="4" t="s">
        <f>=HYPERLINK("http://anyluxury.ru/shop/odezhda/detskaya-odezhda/svitshot-zhenskiy-queen-krasniy-ww01q004/" , "WW01Q004 Свитшот женский Queen, красный, размер XXL")</f>
      </c>
      <c r="C4149" s="4" t="n">
        <v>2887.00</v>
      </c>
      <c r="D4149" s="4"/>
    </row>
    <row collapsed="" customFormat="false" customHeight="1" hidden="" ht="14" outlineLevel="0" r="4150">
      <c r="A4150" s="3" t="inlineStr">
        <is>
          <t>4119</t>
        </is>
      </c>
      <c r="B4150" s="4" t="s">
        <f>=HYPERLINK("http://anyluxury.ru/shop/odezhda/detskaya-odezhda/svitshot-zhenskiy-queen-krasniy-ww01q004/" , "WW01Q004 Свитшот женский Queen, красный, размер 3XL")</f>
      </c>
      <c r="C4150" s="4" t="n">
        <v>3604.00</v>
      </c>
      <c r="D4150" s="4"/>
    </row>
    <row collapsed="" customFormat="false" customHeight="1" hidden="" ht="14" outlineLevel="0" r="4151">
      <c r="A4151" s="3" t="inlineStr">
        <is>
          <t>4120</t>
        </is>
      </c>
      <c r="B4151" s="4" t="s">
        <f>=HYPERLINK("http://anyluxury.ru/shop/odezhda/detskaya-odezhda/svitshot-zhenskiy-queen-cherniy-ww01q005/" , "WW01Q005 Свитшот женский Queen, черный, размер S")</f>
      </c>
      <c r="C4151" s="4" t="n">
        <v>2887.00</v>
      </c>
      <c r="D4151" s="4"/>
    </row>
    <row collapsed="" customFormat="false" customHeight="1" hidden="" ht="14" outlineLevel="0" r="4152">
      <c r="A4152" s="3" t="inlineStr">
        <is>
          <t>4121</t>
        </is>
      </c>
      <c r="B4152" s="4" t="s">
        <f>=HYPERLINK("http://anyluxury.ru/shop/odezhda/detskaya-odezhda/svitshot-zhenskiy-queen-cherniy-ww01q005/" , "WW01Q005 Свитшот женский Queen, черный, размер M")</f>
      </c>
      <c r="C4152" s="4" t="n">
        <v>2887.00</v>
      </c>
      <c r="D4152" s="4"/>
    </row>
    <row collapsed="" customFormat="false" customHeight="1" hidden="" ht="14" outlineLevel="0" r="4153">
      <c r="A4153" s="3" t="inlineStr">
        <is>
          <t>4122</t>
        </is>
      </c>
      <c r="B4153" s="4" t="s">
        <f>=HYPERLINK("http://anyluxury.ru/shop/odezhda/detskaya-odezhda/svitshot-zhenskiy-queen-cherniy-ww01q005/" , "WW01Q005 Свитшот женский Queen, черный, размер XL")</f>
      </c>
      <c r="C4153" s="4" t="n">
        <v>2887.00</v>
      </c>
      <c r="D4153" s="4"/>
    </row>
    <row collapsed="" customFormat="false" customHeight="1" hidden="" ht="14" outlineLevel="0" r="4154">
      <c r="A4154" s="3" t="inlineStr">
        <is>
          <t>4123</t>
        </is>
      </c>
      <c r="B4154" s="4" t="s">
        <f>=HYPERLINK("http://anyluxury.ru/shop/odezhda/detskaya-odezhda/svitshot-zhenskiy-queen-cherniy-ww01q005/" , "WW01Q005 Свитшот женский Queen, черный, размер XXL")</f>
      </c>
      <c r="C4154" s="4" t="n">
        <v>2887.00</v>
      </c>
      <c r="D4154" s="4"/>
    </row>
    <row collapsed="" customFormat="false" customHeight="1" hidden="" ht="14" outlineLevel="0" r="4155">
      <c r="A4155" s="3" t="inlineStr">
        <is>
          <t>4124</t>
        </is>
      </c>
      <c r="B4155" s="4" t="s">
        <f>=HYPERLINK("http://anyluxury.ru/shop/odezhda/detskaya-odezhda/svitshot-zhenskiy-queen-cherniy-ww01q005/" , "WW01Q005 Свитшот женский Queen, черный, размер 3XL")</f>
      </c>
      <c r="C4155" s="4" t="n">
        <v>3604.00</v>
      </c>
      <c r="D4155" s="4"/>
    </row>
    <row collapsed="" customFormat="false" customHeight="1" hidden="" ht="14" outlineLevel="0" r="4156">
      <c r="A4156" s="3" t="inlineStr">
        <is>
          <t>4125</t>
        </is>
      </c>
      <c r="B4156" s="4" t="s">
        <f>=HYPERLINK("http://anyluxury.ru/shop/odezhda/detskaya-odezhda/svitshot-zhenskiy-queen-temnosiniy-ww01q006/" , "WW01Q006 Свитшот женский Queen, темно-синий, размер XS")</f>
      </c>
      <c r="C4156" s="4" t="n">
        <v>2887.00</v>
      </c>
      <c r="D4156" s="4"/>
    </row>
    <row collapsed="" customFormat="false" customHeight="1" hidden="" ht="14" outlineLevel="0" r="4157">
      <c r="A4157" s="3" t="inlineStr">
        <is>
          <t>4126</t>
        </is>
      </c>
      <c r="B4157" s="4" t="s">
        <f>=HYPERLINK("http://anyluxury.ru/shop/odezhda/detskaya-odezhda/svitshot-zhenskiy-queen-temnosiniy-ww01q006/" , "WW01Q006 Свитшот женский Queen, темно-синий, размер S")</f>
      </c>
      <c r="C4157" s="4" t="n">
        <v>2887.00</v>
      </c>
      <c r="D4157" s="4"/>
    </row>
    <row collapsed="" customFormat="false" customHeight="1" hidden="" ht="14" outlineLevel="0" r="4158">
      <c r="A4158" s="3" t="inlineStr">
        <is>
          <t>4127</t>
        </is>
      </c>
      <c r="B4158" s="4" t="s">
        <f>=HYPERLINK("http://anyluxury.ru/shop/odezhda/detskaya-odezhda/svitshot-zhenskiy-queen-temnosiniy-ww01q006/" , "WW01Q006 Свитшот женский Queen, темно-синий, размер M")</f>
      </c>
      <c r="C4158" s="4" t="n">
        <v>2887.00</v>
      </c>
      <c r="D4158" s="4"/>
    </row>
    <row collapsed="" customFormat="false" customHeight="1" hidden="" ht="14" outlineLevel="0" r="4159">
      <c r="A4159" s="3" t="inlineStr">
        <is>
          <t>4128</t>
        </is>
      </c>
      <c r="B4159" s="4" t="s">
        <f>=HYPERLINK("http://anyluxury.ru/shop/odezhda/detskaya-odezhda/svitshot-zhenskiy-queen-temnosiniy-ww01q006/" , "WW01Q006 Свитшот женский Queen, темно-синий, размер L")</f>
      </c>
      <c r="C4159" s="4" t="n">
        <v>2887.00</v>
      </c>
      <c r="D4159" s="4"/>
    </row>
    <row collapsed="" customFormat="false" customHeight="1" hidden="" ht="14" outlineLevel="0" r="4160">
      <c r="A4160" s="3" t="inlineStr">
        <is>
          <t>4129</t>
        </is>
      </c>
      <c r="B4160" s="4" t="s">
        <f>=HYPERLINK("http://anyluxury.ru/shop/odezhda/detskaya-odezhda/svitshot-zhenskiy-queen-temnosiniy-ww01q006/" , "WW01Q006 Свитшот женский Queen, темно-синий, размер XL")</f>
      </c>
      <c r="C4160" s="4" t="n">
        <v>2887.00</v>
      </c>
      <c r="D4160" s="4"/>
    </row>
    <row collapsed="" customFormat="false" customHeight="1" hidden="" ht="14" outlineLevel="0" r="4161">
      <c r="A4161" s="3" t="inlineStr">
        <is>
          <t>4130</t>
        </is>
      </c>
      <c r="B4161" s="4" t="s">
        <f>=HYPERLINK("http://anyluxury.ru/shop/odezhda/detskaya-odezhda/svitshot-zhenskiy-queen-temnosiniy-ww01q006/" , "WW01Q006 Свитшот женский Queen, темно-синий, размер XXL")</f>
      </c>
      <c r="C4161" s="4" t="n">
        <v>2887.00</v>
      </c>
      <c r="D4161" s="4"/>
    </row>
    <row collapsed="" customFormat="false" customHeight="1" hidden="" ht="14" outlineLevel="0" r="4162">
      <c r="A4162" s="3" t="inlineStr">
        <is>
          <t>4131</t>
        </is>
      </c>
      <c r="B4162" s="4" t="s">
        <f>=HYPERLINK("http://anyluxury.ru/shop/odezhda/detskaya-odezhda/svitshot-zhenskiy-queen-temnosiniy-ww01q006/" , "WW01Q006 Свитшот женский Queen, темно-синий, размер 3XL")</f>
      </c>
      <c r="C4162" s="4" t="n">
        <v>3604.00</v>
      </c>
      <c r="D4162" s="4"/>
    </row>
    <row collapsed="" customFormat="false" customHeight="1" hidden="" ht="14" outlineLevel="0" r="4163">
      <c r="A4163" s="3" t="inlineStr">
        <is>
          <t>4132</t>
        </is>
      </c>
      <c r="B4163" s="4" t="s">
        <f>=HYPERLINK("http://anyluxury.ru/shop/odezhda/detskaya-odezhda/svitshot-zhenskiy-queen-fioletoviy-ww01q351/" , "WW01Q351 Свитшот женский Queen, фиолетовый, размер XS")</f>
      </c>
      <c r="C4163" s="4" t="n">
        <v>2887.00</v>
      </c>
      <c r="D4163" s="4"/>
    </row>
    <row collapsed="" customFormat="false" customHeight="1" hidden="" ht="14" outlineLevel="0" r="4164">
      <c r="A4164" s="3" t="inlineStr">
        <is>
          <t>4133</t>
        </is>
      </c>
      <c r="B4164" s="4" t="s">
        <f>=HYPERLINK("http://anyluxury.ru/shop/odezhda/detskaya-odezhda/svitshot-zhenskiy-queen-fioletoviy-ww01q351/" , "WW01Q351 Свитшот женский Queen, фиолетовый, размер S")</f>
      </c>
      <c r="C4164" s="4" t="n">
        <v>2887.00</v>
      </c>
      <c r="D4164" s="4"/>
    </row>
    <row collapsed="" customFormat="false" customHeight="1" hidden="" ht="14" outlineLevel="0" r="4165">
      <c r="A4165" s="3" t="inlineStr">
        <is>
          <t>4134</t>
        </is>
      </c>
      <c r="B4165" s="4" t="s">
        <f>=HYPERLINK("http://anyluxury.ru/shop/odezhda/detskaya-odezhda/svitshot-zhenskiy-queen-fioletoviy-ww01q351/" , "WW01Q351 Свитшот женский Queen, фиолетовый, размер M")</f>
      </c>
      <c r="C4165" s="4" t="n">
        <v>2887.00</v>
      </c>
      <c r="D4165" s="4"/>
    </row>
    <row collapsed="" customFormat="false" customHeight="1" hidden="" ht="14" outlineLevel="0" r="4166">
      <c r="A4166" s="3" t="inlineStr">
        <is>
          <t>4135</t>
        </is>
      </c>
      <c r="B4166" s="4" t="s">
        <f>=HYPERLINK("http://anyluxury.ru/shop/odezhda/detskaya-odezhda/svitshot-zhenskiy-queen-svetlogoluboy-ww01q405/" , "WW01Q405 Свитшот женский Queen, светло-голубой, размер XS")</f>
      </c>
      <c r="C4166" s="4" t="n">
        <v>2887.00</v>
      </c>
      <c r="D4166" s="4"/>
    </row>
    <row collapsed="" customFormat="false" customHeight="1" hidden="" ht="14" outlineLevel="0" r="4167">
      <c r="A4167" s="3" t="inlineStr">
        <is>
          <t>4136</t>
        </is>
      </c>
      <c r="B4167" s="4" t="s">
        <f>=HYPERLINK("http://anyluxury.ru/shop/odezhda/detskaya-odezhda/svitshot-zhenskiy-queen-svetlogoluboy-ww01q405/" , "WW01Q405 Свитшот женский Queen, светло-голубой, размер S")</f>
      </c>
      <c r="C4167" s="4" t="n">
        <v>2887.00</v>
      </c>
      <c r="D4167" s="4"/>
    </row>
    <row collapsed="" customFormat="false" customHeight="1" hidden="" ht="14" outlineLevel="0" r="4168">
      <c r="A4168" s="3" t="inlineStr">
        <is>
          <t>4137</t>
        </is>
      </c>
      <c r="B4168" s="4" t="s">
        <f>=HYPERLINK("http://anyluxury.ru/shop/odezhda/detskaya-odezhda/svitshot-zhenskiy-queen-svetlogoluboy-ww01q405/" , "WW01Q405 Свитшот женский Queen, светло-голубой, размер M")</f>
      </c>
      <c r="C4168" s="4" t="n">
        <v>2887.00</v>
      </c>
      <c r="D4168" s="4"/>
    </row>
    <row collapsed="" customFormat="false" customHeight="1" hidden="" ht="14" outlineLevel="0" r="4169">
      <c r="A4169" s="3" t="inlineStr">
        <is>
          <t>4138</t>
        </is>
      </c>
      <c r="B4169" s="4" t="s">
        <f>=HYPERLINK("http://anyluxury.ru/shop/odezhda/detskaya-odezhda/svitshot-zhenskiy-queen-svetlogoluboy-ww01q405/" , "WW01Q405 Свитшот женский Queen, светло-голубой, размер L")</f>
      </c>
      <c r="C4169" s="4" t="n">
        <v>2887.00</v>
      </c>
      <c r="D4169" s="4"/>
    </row>
    <row collapsed="" customFormat="false" customHeight="1" hidden="" ht="14" outlineLevel="0" r="4170">
      <c r="A4170" s="3" t="inlineStr">
        <is>
          <t>4139</t>
        </is>
      </c>
      <c r="B4170" s="4" t="s">
        <f>=HYPERLINK("http://anyluxury.ru/shop/odezhda/detskaya-odezhda/svitshot-zhenskiy-queen-svetlogoluboy-ww01q405/" , "WW01Q405 Свитшот женский Queen, светло-голубой, размер XL")</f>
      </c>
      <c r="C4170" s="4" t="n">
        <v>2887.00</v>
      </c>
      <c r="D4170" s="4"/>
    </row>
    <row collapsed="" customFormat="false" customHeight="1" hidden="" ht="14" outlineLevel="0" r="4171">
      <c r="A4171" s="3" t="inlineStr">
        <is>
          <t>4140</t>
        </is>
      </c>
      <c r="B4171" s="4" t="s">
        <f>=HYPERLINK("http://anyluxury.ru/shop/odezhda/detskaya-odezhda/svitshot-zhenskiy-queen-svetlogoluboy-ww01q405/" , "WW01Q405 Свитшот женский Queen, светло-голубой, размер XXL")</f>
      </c>
      <c r="C4171" s="4" t="n">
        <v>2887.00</v>
      </c>
      <c r="D4171" s="4"/>
    </row>
    <row collapsed="" customFormat="false" customHeight="1" hidden="" ht="14" outlineLevel="0" r="4172">
      <c r="A4172" s="3" t="inlineStr">
        <is>
          <t>4141</t>
        </is>
      </c>
      <c r="B4172" s="4" t="s">
        <f>=HYPERLINK("http://anyluxury.ru/shop/odezhda/detskaya-odezhda/svitshot-zhenskiy-queen-yarkosiniy-ww01q453/" , "WW01Q453 Свитшот женский Queen, ярко-синий, размер XS")</f>
      </c>
      <c r="C4172" s="4" t="n">
        <v>2887.00</v>
      </c>
      <c r="D4172" s="4"/>
    </row>
    <row collapsed="" customFormat="false" customHeight="1" hidden="" ht="14" outlineLevel="0" r="4173">
      <c r="A4173" s="3" t="inlineStr">
        <is>
          <t>4142</t>
        </is>
      </c>
      <c r="B4173" s="4" t="s">
        <f>=HYPERLINK("http://anyluxury.ru/shop/odezhda/detskaya-odezhda/svitshot-zhenskiy-queen-yarkosiniy-ww01q453/" , "WW01Q453 Свитшот женский Queen, ярко-синий, размер S")</f>
      </c>
      <c r="C4173" s="4" t="n">
        <v>2887.00</v>
      </c>
      <c r="D4173" s="4"/>
    </row>
    <row collapsed="" customFormat="false" customHeight="1" hidden="" ht="14" outlineLevel="0" r="4174">
      <c r="A4174" s="3" t="inlineStr">
        <is>
          <t>4143</t>
        </is>
      </c>
      <c r="B4174" s="4" t="s">
        <f>=HYPERLINK("http://anyluxury.ru/shop/odezhda/detskaya-odezhda/svitshot-zhenskiy-queen-yarkosiniy-ww01q453/" , "WW01Q453 Свитшот женский Queen, ярко-синий, размер M")</f>
      </c>
      <c r="C4174" s="4" t="n">
        <v>2887.00</v>
      </c>
      <c r="D4174" s="4"/>
    </row>
    <row collapsed="" customFormat="false" customHeight="1" hidden="" ht="14" outlineLevel="0" r="4175">
      <c r="A4175" s="3" t="inlineStr">
        <is>
          <t>4144</t>
        </is>
      </c>
      <c r="B4175" s="4" t="s">
        <f>=HYPERLINK("http://anyluxury.ru/shop/odezhda/detskaya-odezhda/svitshot-zhenskiy-queen-yarkosiniy-ww01q453/" , "WW01Q453 Свитшот женский Queen, ярко-синий, размер L")</f>
      </c>
      <c r="C4175" s="4" t="n">
        <v>2887.00</v>
      </c>
      <c r="D4175" s="4"/>
    </row>
    <row collapsed="" customFormat="false" customHeight="1" hidden="" ht="14" outlineLevel="0" r="4176">
      <c r="A4176" s="3" t="inlineStr">
        <is>
          <t>4145</t>
        </is>
      </c>
      <c r="B4176" s="4" t="s">
        <f>=HYPERLINK("http://anyluxury.ru/shop/odezhda/detskaya-odezhda/svitshot-zhenskiy-queen-yarkosiniy-ww01q453/" , "WW01Q453 Свитшот женский Queen, ярко-синий, размер XL")</f>
      </c>
      <c r="C4176" s="4" t="n">
        <v>2887.00</v>
      </c>
      <c r="D4176" s="4"/>
    </row>
    <row collapsed="" customFormat="false" customHeight="1" hidden="" ht="14" outlineLevel="0" r="4177">
      <c r="A4177" s="3" t="inlineStr">
        <is>
          <t>4146</t>
        </is>
      </c>
      <c r="B4177" s="4" t="s">
        <f>=HYPERLINK("http://anyluxury.ru/shop/odezhda/detskaya-odezhda/svitshot-zhenskiy-queen-yarkosiniy-ww01q453/" , "WW01Q453 Свитшот женский Queen, ярко-синий, размер XXL")</f>
      </c>
      <c r="C4177" s="4" t="n">
        <v>2887.00</v>
      </c>
      <c r="D4177" s="4"/>
    </row>
    <row collapsed="" customFormat="false" customHeight="1" hidden="" ht="14" outlineLevel="0" r="4178">
      <c r="A4178" s="3" t="inlineStr">
        <is>
          <t>4147</t>
        </is>
      </c>
      <c r="B4178" s="4" t="s">
        <f>=HYPERLINK("http://anyluxury.ru/shop/odezhda/detskaya-odezhda/svitshot-zhenskiy-queen-yarkosiniy-ww01q453/" , "WW01Q453 Свитшот женский Queen, ярко-синий, размер 3XL")</f>
      </c>
      <c r="C4178" s="4" t="n">
        <v>3604.00</v>
      </c>
      <c r="D4178" s="4"/>
    </row>
    <row collapsed="" customFormat="false" customHeight="1" hidden="" ht="14" outlineLevel="0" r="4179">
      <c r="A4179" s="3" t="inlineStr">
        <is>
          <t>4148</t>
        </is>
      </c>
      <c r="B4179" s="4" t="s">
        <f>=HYPERLINK("http://anyluxury.ru/shop/odezhda/detskaya-odezhda/svitshot-zhenskiy-queen-serozeleniy-ww01q501/" , "WW01Q501 Свитшот женский Queen, серо-зеленый, размер XS")</f>
      </c>
      <c r="C4179" s="4" t="n">
        <v>2887.00</v>
      </c>
      <c r="D4179" s="4"/>
    </row>
    <row collapsed="" customFormat="false" customHeight="1" hidden="" ht="14" outlineLevel="0" r="4180">
      <c r="A4180" s="3" t="inlineStr">
        <is>
          <t>4149</t>
        </is>
      </c>
      <c r="B4180" s="4" t="s">
        <f>=HYPERLINK("http://anyluxury.ru/shop/odezhda/detskaya-odezhda/svitshot-zhenskiy-queen-serozeleniy-ww01q501/" , "WW01Q501 Свитшот женский Queen, серо-зеленый, размер M")</f>
      </c>
      <c r="C4180" s="4" t="n">
        <v>2887.00</v>
      </c>
      <c r="D4180" s="4"/>
    </row>
    <row collapsed="" customFormat="false" customHeight="1" hidden="" ht="14" outlineLevel="0" r="4181">
      <c r="A4181" s="3" t="inlineStr">
        <is>
          <t>4150</t>
        </is>
      </c>
      <c r="B4181" s="4" t="s">
        <f>=HYPERLINK("http://anyluxury.ru/shop/odezhda/detskaya-odezhda/svitshot-zhenskiy-queen-serozeleniy-ww01q501/" , "WW01Q501 Свитшот женский Queen, серо-зеленый, размер L")</f>
      </c>
      <c r="C4181" s="4" t="n">
        <v>2887.00</v>
      </c>
      <c r="D4181" s="4"/>
    </row>
    <row collapsed="" customFormat="false" customHeight="1" hidden="" ht="14" outlineLevel="0" r="4182">
      <c r="A4182" s="3" t="inlineStr">
        <is>
          <t>4151</t>
        </is>
      </c>
      <c r="B4182" s="4" t="s">
        <f>=HYPERLINK("http://anyluxury.ru/shop/odezhda/detskaya-odezhda/svitshot-zhenskiy-queen-serozeleniy-ww01q501/" , "WW01Q501 Свитшот женский Queen, серо-зеленый, размер XL")</f>
      </c>
      <c r="C4182" s="4" t="n">
        <v>2887.00</v>
      </c>
      <c r="D4182" s="4"/>
    </row>
    <row collapsed="" customFormat="false" customHeight="1" hidden="" ht="14" outlineLevel="0" r="4183">
      <c r="A4183" s="3" t="inlineStr">
        <is>
          <t>4152</t>
        </is>
      </c>
      <c r="B4183" s="4" t="s">
        <f>=HYPERLINK("http://anyluxury.ru/shop/odezhda/detskaya-odezhda/svitshot-zhenskiy-queen-serozeleniy-ww01q501/" , "WW01Q501 Свитшот женский Queen, серо-зеленый, размер XXL")</f>
      </c>
      <c r="C4183" s="4" t="n">
        <v>2887.00</v>
      </c>
      <c r="D4183" s="4"/>
    </row>
    <row collapsed="" customFormat="false" customHeight="1" hidden="" ht="14" outlineLevel="0" r="4184">
      <c r="A4184" s="3" t="inlineStr">
        <is>
          <t>4153</t>
        </is>
      </c>
      <c r="B4184" s="4" t="s">
        <f>=HYPERLINK("http://anyluxury.ru/shop/odezhda/detskaya-odezhda/svitshot-zhenskiy-queen-temnozeleniy-ww01q540/" , "WW01Q540 Свитшот женский Queen, темно-зеленый, размер XS")</f>
      </c>
      <c r="C4184" s="4" t="n">
        <v>2887.00</v>
      </c>
      <c r="D4184" s="4"/>
    </row>
    <row collapsed="" customFormat="false" customHeight="1" hidden="" ht="14" outlineLevel="0" r="4185">
      <c r="A4185" s="3" t="inlineStr">
        <is>
          <t>4154</t>
        </is>
      </c>
      <c r="B4185" s="4" t="s">
        <f>=HYPERLINK("http://anyluxury.ru/shop/odezhda/detskaya-odezhda/svitshot-zhenskiy-queen-temnozeleniy-ww01q540/" , "WW01Q540 Свитшот женский Queen, темно-зеленый, размер S")</f>
      </c>
      <c r="C4185" s="4" t="n">
        <v>2887.00</v>
      </c>
      <c r="D4185" s="4"/>
    </row>
    <row collapsed="" customFormat="false" customHeight="1" hidden="" ht="14" outlineLevel="0" r="4186">
      <c r="A4186" s="3" t="inlineStr">
        <is>
          <t>4155</t>
        </is>
      </c>
      <c r="B4186" s="4" t="s">
        <f>=HYPERLINK("http://anyluxury.ru/shop/odezhda/detskaya-odezhda/svitshot-zhenskiy-queen-temnozeleniy-ww01q540/" , "WW01Q540 Свитшот женский Queen, темно-зеленый, размер XXL")</f>
      </c>
      <c r="C4186" s="4" t="n">
        <v>2887.00</v>
      </c>
      <c r="D4186" s="4"/>
    </row>
    <row collapsed="" customFormat="false" customHeight="1" hidden="" ht="14" outlineLevel="0" r="4187">
      <c r="A4187" s="3" t="inlineStr">
        <is>
          <t>4156</t>
        </is>
      </c>
      <c r="B4187" s="4" t="s">
        <f>=HYPERLINK("http://anyluxury.ru/shop/odezhda/detskaya-odezhda/svitshot-zhenskiy-queen-seriy-melanzh-ww01q610/" , "WW01Q610 Свитшот женский Queen, серый меланж, размер XS")</f>
      </c>
      <c r="C4187" s="4" t="n">
        <v>2887.00</v>
      </c>
      <c r="D4187" s="4"/>
    </row>
    <row collapsed="" customFormat="false" customHeight="1" hidden="" ht="14" outlineLevel="0" r="4188">
      <c r="A4188" s="3" t="inlineStr">
        <is>
          <t>4157</t>
        </is>
      </c>
      <c r="B4188" s="4" t="s">
        <f>=HYPERLINK("http://anyluxury.ru/shop/odezhda/detskaya-odezhda/svitshot-zhenskiy-queen-seriy-melanzh-ww01q610/" , "WW01Q610 Свитшот женский Queen, серый меланж, размер S")</f>
      </c>
      <c r="C4188" s="4" t="n">
        <v>2887.00</v>
      </c>
      <c r="D4188" s="4"/>
    </row>
    <row collapsed="" customFormat="false" customHeight="1" hidden="" ht="14" outlineLevel="0" r="4189">
      <c r="A4189" s="3" t="inlineStr">
        <is>
          <t>4158</t>
        </is>
      </c>
      <c r="B4189" s="4" t="s">
        <f>=HYPERLINK("http://anyluxury.ru/shop/odezhda/detskaya-odezhda/svitshot-zhenskiy-queen-seriy-melanzh-ww01q610/" , "WW01Q610 Свитшот женский Queen, серый меланж, размер M")</f>
      </c>
      <c r="C4189" s="4" t="n">
        <v>2887.00</v>
      </c>
      <c r="D4189" s="4"/>
    </row>
    <row collapsed="" customFormat="false" customHeight="1" hidden="" ht="14" outlineLevel="0" r="4190">
      <c r="A4190" s="3" t="inlineStr">
        <is>
          <t>4159</t>
        </is>
      </c>
      <c r="B4190" s="4" t="s">
        <f>=HYPERLINK("http://anyluxury.ru/shop/odezhda/detskaya-odezhda/svitshot-zhenskiy-queen-seriy-melanzh-ww01q610/" , "WW01Q610 Свитшот женский Queen, серый меланж, размер L")</f>
      </c>
      <c r="C4190" s="4" t="n">
        <v>2887.00</v>
      </c>
      <c r="D4190" s="4"/>
    </row>
    <row collapsed="" customFormat="false" customHeight="1" hidden="" ht="14" outlineLevel="0" r="4191">
      <c r="A4191" s="3" t="inlineStr">
        <is>
          <t>4160</t>
        </is>
      </c>
      <c r="B4191" s="4" t="s">
        <f>=HYPERLINK("http://anyluxury.ru/shop/odezhda/detskaya-odezhda/svitshot-zhenskiy-queen-seriy-melanzh-ww01q610/" , "WW01Q610 Свитшот женский Queen, серый меланж, размер XL")</f>
      </c>
      <c r="C4191" s="4" t="n">
        <v>2887.00</v>
      </c>
      <c r="D4191" s="4"/>
    </row>
    <row collapsed="" customFormat="false" customHeight="1" hidden="" ht="14" outlineLevel="0" r="4192">
      <c r="A4192" s="3" t="inlineStr">
        <is>
          <t>4161</t>
        </is>
      </c>
      <c r="B4192" s="4" t="s">
        <f>=HYPERLINK("http://anyluxury.ru/shop/odezhda/detskaya-odezhda/svitshot-zhenskiy-queen-seriy-melanzh-ww01q610/" , "WW01Q610 Свитшот женский Queen, серый меланж, размер XXL")</f>
      </c>
      <c r="C4192" s="4" t="n">
        <v>2887.00</v>
      </c>
      <c r="D4192" s="4"/>
    </row>
    <row collapsed="" customFormat="false" customHeight="1" hidden="" ht="14" outlineLevel="0" r="4193">
      <c r="A4193" s="3" t="inlineStr">
        <is>
          <t>4162</t>
        </is>
      </c>
      <c r="B4193" s="4" t="s">
        <f>=HYPERLINK("http://anyluxury.ru/shop/odezhda/detskaya-odezhda/svitshot-zhenskiy-queen-seriy-melanzh-ww01q610/" , "WW01Q610 Свитшот женский Queen, серый меланж, размер 3XL")</f>
      </c>
      <c r="C4193" s="4" t="n">
        <v>3604.00</v>
      </c>
      <c r="D4193" s="4"/>
    </row>
    <row collapsed="" customFormat="false" customHeight="1" hidden="" ht="14" outlineLevel="0" r="4194">
      <c r="A4194" s="3" t="inlineStr">
        <is>
          <t>4163</t>
        </is>
      </c>
      <c r="B4194" s="4" t="s">
        <f>=HYPERLINK("http://anyluxury.ru/shop/odezhda/detskaya-odezhda/svitshot-zhenskiy-queen-temnoseriy-ww01q669/" , "WW01Q669 Свитшот женский Queen, темно-серый, размер XS")</f>
      </c>
      <c r="C4194" s="4" t="n">
        <v>2887.00</v>
      </c>
      <c r="D4194" s="4"/>
    </row>
    <row collapsed="" customFormat="false" customHeight="1" hidden="" ht="14" outlineLevel="0" r="4195">
      <c r="A4195" s="3" t="inlineStr">
        <is>
          <t>4164</t>
        </is>
      </c>
      <c r="B4195" s="4" t="s">
        <f>=HYPERLINK("http://anyluxury.ru/shop/odezhda/detskaya-odezhda/svitshot-zhenskiy-queen-temnoseriy-ww01q669/" , "WW01Q669 Свитшот женский Queen, темно-серый, размер S")</f>
      </c>
      <c r="C4195" s="4" t="n">
        <v>2887.00</v>
      </c>
      <c r="D4195" s="4"/>
    </row>
    <row collapsed="" customFormat="false" customHeight="1" hidden="" ht="14" outlineLevel="0" r="4196">
      <c r="A4196" s="3" t="inlineStr">
        <is>
          <t>4165</t>
        </is>
      </c>
      <c r="B4196" s="4" t="s">
        <f>=HYPERLINK("http://anyluxury.ru/shop/odezhda/detskaya-odezhda/svitshot-zhenskiy-queen-temnoseriy-ww01q669/" , "WW01Q669 Свитшот женский Queen, темно-серый, размер M")</f>
      </c>
      <c r="C4196" s="4" t="n">
        <v>2887.00</v>
      </c>
      <c r="D4196" s="4"/>
    </row>
    <row collapsed="" customFormat="false" customHeight="1" hidden="" ht="14" outlineLevel="0" r="4197">
      <c r="A4197" s="3" t="inlineStr">
        <is>
          <t>4166</t>
        </is>
      </c>
      <c r="B4197" s="4" t="s">
        <f>=HYPERLINK("http://anyluxury.ru/shop/odezhda/detskaya-odezhda/svitshot-zhenskiy-queen-temnoseriy-ww01q669/" , "WW01Q669 Свитшот женский Queen, темно-серый, размер L")</f>
      </c>
      <c r="C4197" s="4" t="n">
        <v>2887.00</v>
      </c>
      <c r="D4197" s="4"/>
    </row>
    <row collapsed="" customFormat="false" customHeight="1" hidden="" ht="14" outlineLevel="0" r="4198">
      <c r="A4198" s="3" t="inlineStr">
        <is>
          <t>4167</t>
        </is>
      </c>
      <c r="B4198" s="4" t="s">
        <f>=HYPERLINK("http://anyluxury.ru/shop/odezhda/detskaya-odezhda/svitshot-zhenskiy-queen-temnoseriy-ww01q669/" , "WW01Q669 Свитшот женский Queen, темно-серый, размер XL")</f>
      </c>
      <c r="C4198" s="4" t="n">
        <v>2887.00</v>
      </c>
      <c r="D4198" s="4"/>
    </row>
    <row collapsed="" customFormat="false" customHeight="1" hidden="" ht="14" outlineLevel="0" r="4199">
      <c r="A4199" s="3" t="inlineStr">
        <is>
          <t>4168</t>
        </is>
      </c>
      <c r="B4199" s="4" t="s">
        <f>=HYPERLINK("http://anyluxury.ru/shop/odezhda/detskaya-odezhda/svitshot-zhenskiy-queen-temnoseriy-ww01q669/" , "WW01Q669 Свитшот женский Queen, темно-серый, размер XXL")</f>
      </c>
      <c r="C4199" s="4" t="n">
        <v>2887.00</v>
      </c>
      <c r="D4199" s="4"/>
    </row>
    <row collapsed="" customFormat="false" customHeight="1" hidden="" ht="14" outlineLevel="0" r="4200">
      <c r="A4200" s="3" t="inlineStr">
        <is>
          <t>4169</t>
        </is>
      </c>
      <c r="B4200" s="4" t="s">
        <f>=HYPERLINK("http://anyluxury.ru/shop/odezhda/detskaya-odezhda/svitshot-zhenskiy-queen-temnoseriy-ww01q669/" , "WW01Q669 Свитшот женский Queen, темно-серый, размер 3XL")</f>
      </c>
      <c r="C4200" s="4" t="n">
        <v>3604.00</v>
      </c>
      <c r="D4200" s="4"/>
    </row>
    <row collapsed="" customFormat="false" customHeight="1" hidden="" ht="14" outlineLevel="0" r="4201">
      <c r="A4201" s="3" t="inlineStr">
        <is>
          <t>4170</t>
        </is>
      </c>
      <c r="B4201" s="4" t="s">
        <f>=HYPERLINK("http://anyluxury.ru/shop/odezhda/detskaya-odezhda/tolstovka-s-kapyushonom-uniseks-king-belaya-wu02k001/" , "WU02K001 Толстовка с капюшоном унисекс King, белая, размер XS")</f>
      </c>
      <c r="C4201" s="4" t="n">
        <v>3900.00</v>
      </c>
      <c r="D4201" s="4"/>
    </row>
    <row collapsed="" customFormat="false" customHeight="1" hidden="" ht="14" outlineLevel="0" r="4202">
      <c r="A4202" s="3" t="inlineStr">
        <is>
          <t>4171</t>
        </is>
      </c>
      <c r="B4202" s="4" t="s">
        <f>=HYPERLINK("http://anyluxury.ru/shop/odezhda/detskaya-odezhda/tolstovka-s-kapyushonom-uniseks-king-belaya-wu02k001/" , "WU02K001 Толстовка с капюшоном унисекс King, белая, размер S")</f>
      </c>
      <c r="C4202" s="4" t="n">
        <v>3900.00</v>
      </c>
      <c r="D4202" s="4"/>
    </row>
    <row collapsed="" customFormat="false" customHeight="1" hidden="" ht="14" outlineLevel="0" r="4203">
      <c r="A4203" s="3" t="inlineStr">
        <is>
          <t>4172</t>
        </is>
      </c>
      <c r="B4203" s="4" t="s">
        <f>=HYPERLINK("http://anyluxury.ru/shop/odezhda/detskaya-odezhda/tolstovka-s-kapyushonom-uniseks-king-belaya-wu02k001/" , "WU02K001 Толстовка с капюшоном унисекс King, белая, размер M")</f>
      </c>
      <c r="C4203" s="4" t="n">
        <v>3900.00</v>
      </c>
      <c r="D4203" s="4"/>
    </row>
    <row collapsed="" customFormat="false" customHeight="1" hidden="" ht="14" outlineLevel="0" r="4204">
      <c r="A4204" s="3" t="inlineStr">
        <is>
          <t>4173</t>
        </is>
      </c>
      <c r="B4204" s="4" t="s">
        <f>=HYPERLINK("http://anyluxury.ru/shop/odezhda/detskaya-odezhda/tolstovka-s-kapyushonom-uniseks-king-belaya-wu02k001/" , "WU02K001 Толстовка с капюшоном унисекс King, белая, размер L")</f>
      </c>
      <c r="C4204" s="4" t="n">
        <v>3900.00</v>
      </c>
      <c r="D4204" s="4"/>
    </row>
    <row collapsed="" customFormat="false" customHeight="1" hidden="" ht="14" outlineLevel="0" r="4205">
      <c r="A4205" s="3" t="inlineStr">
        <is>
          <t>4174</t>
        </is>
      </c>
      <c r="B4205" s="4" t="s">
        <f>=HYPERLINK("http://anyluxury.ru/shop/odezhda/detskaya-odezhda/tolstovka-s-kapyushonom-uniseks-king-belaya-wu02k001/" , "WU02K001 Толстовка с капюшоном унисекс King, белая, размер 3XL")</f>
      </c>
      <c r="C4205" s="4" t="n">
        <v>3900.00</v>
      </c>
      <c r="D4205" s="4"/>
    </row>
    <row collapsed="" customFormat="false" customHeight="1" hidden="" ht="14" outlineLevel="0" r="4206">
      <c r="A4206" s="3" t="inlineStr">
        <is>
          <t>4175</t>
        </is>
      </c>
      <c r="B4206" s="4" t="s">
        <f>=HYPERLINK("http://anyluxury.ru/shop/odezhda/detskaya-odezhda/tolstovka-s-kapyushonom-uniseks-king-belaya-wu02k001/" , "WU02K001 Толстовка с капюшоном унисекс King, белая, размер 4XL")</f>
      </c>
      <c r="C4206" s="4" t="n">
        <v>4682.00</v>
      </c>
      <c r="D4206" s="4"/>
    </row>
    <row collapsed="" customFormat="false" customHeight="1" hidden="" ht="14" outlineLevel="0" r="4207">
      <c r="A4207" s="3" t="inlineStr">
        <is>
          <t>4176</t>
        </is>
      </c>
      <c r="B4207" s="4" t="s">
        <f>=HYPERLINK("http://anyluxury.ru/shop/odezhda/detskaya-odezhda/tolstovka-s-kapyushonom-uniseks-king-krasnaya-wu02k004/" , "WU02K004 Толстовка с капюшоном унисекс King, красная, размер S")</f>
      </c>
      <c r="C4207" s="4" t="n">
        <v>3900.00</v>
      </c>
      <c r="D4207" s="4"/>
    </row>
    <row collapsed="" customFormat="false" customHeight="1" hidden="" ht="14" outlineLevel="0" r="4208">
      <c r="A4208" s="3" t="inlineStr">
        <is>
          <t>4177</t>
        </is>
      </c>
      <c r="B4208" s="4" t="s">
        <f>=HYPERLINK("http://anyluxury.ru/shop/odezhda/detskaya-odezhda/tolstovka-s-kapyushonom-uniseks-king-krasnaya-wu02k004/" , "WU02K004 Толстовка с капюшоном унисекс King, красная, размер M")</f>
      </c>
      <c r="C4208" s="4" t="n">
        <v>3900.00</v>
      </c>
      <c r="D4208" s="4"/>
    </row>
    <row collapsed="" customFormat="false" customHeight="1" hidden="" ht="14" outlineLevel="0" r="4209">
      <c r="A4209" s="3" t="inlineStr">
        <is>
          <t>4178</t>
        </is>
      </c>
      <c r="B4209" s="4" t="s">
        <f>=HYPERLINK("http://anyluxury.ru/shop/odezhda/detskaya-odezhda/tolstovka-s-kapyushonom-uniseks-king-krasnaya-wu02k004/" , "WU02K004 Толстовка с капюшоном унисекс King, красная, размер L")</f>
      </c>
      <c r="C4209" s="4" t="n">
        <v>3900.00</v>
      </c>
      <c r="D4209" s="4"/>
    </row>
    <row collapsed="" customFormat="false" customHeight="1" hidden="" ht="14" outlineLevel="0" r="4210">
      <c r="A4210" s="3" t="inlineStr">
        <is>
          <t>4179</t>
        </is>
      </c>
      <c r="B4210" s="4" t="s">
        <f>=HYPERLINK("http://anyluxury.ru/shop/odezhda/detskaya-odezhda/tolstovka-s-kapyushonom-uniseks-king-krasnaya-wu02k004/" , "WU02K004 Толстовка с капюшоном унисекс King, красная, размер XL")</f>
      </c>
      <c r="C4210" s="4" t="n">
        <v>3900.00</v>
      </c>
      <c r="D4210" s="4"/>
    </row>
    <row collapsed="" customFormat="false" customHeight="1" hidden="" ht="14" outlineLevel="0" r="4211">
      <c r="A4211" s="3" t="inlineStr">
        <is>
          <t>4180</t>
        </is>
      </c>
      <c r="B4211" s="4" t="s">
        <f>=HYPERLINK("http://anyluxury.ru/shop/odezhda/detskaya-odezhda/tolstovka-s-kapyushonom-uniseks-king-krasnaya-wu02k004/" , "WU02K004 Толстовка с капюшоном унисекс King, красная, размер XXL")</f>
      </c>
      <c r="C4211" s="4" t="n">
        <v>3900.00</v>
      </c>
      <c r="D4211" s="4"/>
    </row>
    <row collapsed="" customFormat="false" customHeight="1" hidden="" ht="14" outlineLevel="0" r="4212">
      <c r="A4212" s="3" t="inlineStr">
        <is>
          <t>4181</t>
        </is>
      </c>
      <c r="B4212" s="4" t="s">
        <f>=HYPERLINK("http://anyluxury.ru/shop/odezhda/detskaya-odezhda/tolstovka-s-kapyushonom-uniseks-king-krasnaya-wu02k004/" , "WU02K004 Толстовка с капюшоном унисекс King, красная, размер 3XL")</f>
      </c>
      <c r="C4212" s="4" t="n">
        <v>3900.00</v>
      </c>
      <c r="D4212" s="4"/>
    </row>
    <row collapsed="" customFormat="false" customHeight="1" hidden="" ht="14" outlineLevel="0" r="4213">
      <c r="A4213" s="3" t="inlineStr">
        <is>
          <t>4182</t>
        </is>
      </c>
      <c r="B4213" s="4" t="s">
        <f>=HYPERLINK("http://anyluxury.ru/shop/odezhda/detskaya-odezhda/tolstovka-s-kapyushonom-uniseks-king-krasnaya-wu02k004/" , "WU02K004 Толстовка с капюшоном унисекс King, красная, размер 4XL")</f>
      </c>
      <c r="C4213" s="4" t="n">
        <v>4682.00</v>
      </c>
      <c r="D4213" s="4"/>
    </row>
    <row collapsed="" customFormat="false" customHeight="1" hidden="" ht="14" outlineLevel="0" r="4214">
      <c r="A4214" s="3" t="inlineStr">
        <is>
          <t>4183</t>
        </is>
      </c>
      <c r="B4214" s="4" t="s">
        <f>=HYPERLINK("http://anyluxury.ru/shop/odezhda/detskaya-odezhda/tolstovka-s-kapyushonom-uniseks-king-chernaya-wu02k005/" , "WU02K005 Толстовка с капюшоном унисекс King, черная, размер XS")</f>
      </c>
      <c r="C4214" s="4" t="n">
        <v>3900.00</v>
      </c>
      <c r="D4214" s="4"/>
    </row>
    <row collapsed="" customFormat="false" customHeight="1" hidden="" ht="14" outlineLevel="0" r="4215">
      <c r="A4215" s="3" t="inlineStr">
        <is>
          <t>4184</t>
        </is>
      </c>
      <c r="B4215" s="4" t="s">
        <f>=HYPERLINK("http://anyluxury.ru/shop/odezhda/detskaya-odezhda/tolstovka-s-kapyushonom-uniseks-king-chernaya-wu02k005/" , "WU02K005 Толстовка с капюшоном унисекс King, черная, размер S")</f>
      </c>
      <c r="C4215" s="4" t="n">
        <v>3900.00</v>
      </c>
      <c r="D4215" s="4"/>
    </row>
    <row collapsed="" customFormat="false" customHeight="1" hidden="" ht="14" outlineLevel="0" r="4216">
      <c r="A4216" s="3" t="inlineStr">
        <is>
          <t>4185</t>
        </is>
      </c>
      <c r="B4216" s="4" t="s">
        <f>=HYPERLINK("http://anyluxury.ru/shop/odezhda/detskaya-odezhda/tolstovka-s-kapyushonom-uniseks-king-chernaya-wu02k005/" , "WU02K005 Толстовка с капюшоном унисекс King, черная, размер 3XL")</f>
      </c>
      <c r="C4216" s="4" t="n">
        <v>3900.00</v>
      </c>
      <c r="D4216" s="4"/>
    </row>
    <row collapsed="" customFormat="false" customHeight="1" hidden="" ht="14" outlineLevel="0" r="4217">
      <c r="A4217" s="3" t="inlineStr">
        <is>
          <t>4186</t>
        </is>
      </c>
      <c r="B4217" s="4" t="s">
        <f>=HYPERLINK("http://anyluxury.ru/shop/odezhda/detskaya-odezhda/tolstovka-s-kapyushonom-uniseks-king-chernaya-wu02k005/" , "WU02K005 Толстовка с капюшоном унисекс King, черная, размер 4XL")</f>
      </c>
      <c r="C4217" s="4" t="n">
        <v>4682.00</v>
      </c>
      <c r="D4217" s="4"/>
    </row>
    <row collapsed="" customFormat="false" customHeight="1" hidden="" ht="14" outlineLevel="0" r="4218">
      <c r="A4218" s="3" t="inlineStr">
        <is>
          <t>4187</t>
        </is>
      </c>
      <c r="B4218" s="4" t="s">
        <f>=HYPERLINK("http://anyluxury.ru/shop/odezhda/detskaya-odezhda/tolstovka-s-kapyushonom-uniseks-king-temnosinyaya-wu02k006/" , "WU02K006 Толстовка с капюшоном унисекс King, темно-синяя, размер XS")</f>
      </c>
      <c r="C4218" s="4" t="n">
        <v>3900.00</v>
      </c>
      <c r="D4218" s="4"/>
    </row>
    <row collapsed="" customFormat="false" customHeight="1" hidden="" ht="14" outlineLevel="0" r="4219">
      <c r="A4219" s="3" t="inlineStr">
        <is>
          <t>4188</t>
        </is>
      </c>
      <c r="B4219" s="4" t="s">
        <f>=HYPERLINK("http://anyluxury.ru/shop/odezhda/detskaya-odezhda/tolstovka-s-kapyushonom-uniseks-king-temnosinyaya-wu02k006/" , "WU02K006 Толстовка с капюшоном унисекс King, темно-синяя, размер S")</f>
      </c>
      <c r="C4219" s="4" t="n">
        <v>3900.00</v>
      </c>
      <c r="D4219" s="4"/>
    </row>
    <row collapsed="" customFormat="false" customHeight="1" hidden="" ht="14" outlineLevel="0" r="4220">
      <c r="A4220" s="3" t="inlineStr">
        <is>
          <t>4189</t>
        </is>
      </c>
      <c r="B4220" s="4" t="s">
        <f>=HYPERLINK("http://anyluxury.ru/shop/odezhda/detskaya-odezhda/tolstovka-s-kapyushonom-uniseks-king-temnosinyaya-wu02k006/" , "WU02K006 Толстовка с капюшоном унисекс King, темно-синяя, размер M")</f>
      </c>
      <c r="C4220" s="4" t="n">
        <v>3900.00</v>
      </c>
      <c r="D4220" s="4"/>
    </row>
    <row collapsed="" customFormat="false" customHeight="1" hidden="" ht="14" outlineLevel="0" r="4221">
      <c r="A4221" s="3" t="inlineStr">
        <is>
          <t>4190</t>
        </is>
      </c>
      <c r="B4221" s="4" t="s">
        <f>=HYPERLINK("http://anyluxury.ru/shop/odezhda/detskaya-odezhda/tolstovka-s-kapyushonom-uniseks-king-temnosinyaya-wu02k006/" , "WU02K006 Толстовка с капюшоном унисекс King, темно-синяя, размер L")</f>
      </c>
      <c r="C4221" s="4" t="n">
        <v>3900.00</v>
      </c>
      <c r="D4221" s="4"/>
    </row>
    <row collapsed="" customFormat="false" customHeight="1" hidden="" ht="14" outlineLevel="0" r="4222">
      <c r="A4222" s="3" t="inlineStr">
        <is>
          <t>4191</t>
        </is>
      </c>
      <c r="B4222" s="4" t="s">
        <f>=HYPERLINK("http://anyluxury.ru/shop/odezhda/detskaya-odezhda/tolstovka-s-kapyushonom-uniseks-king-temnosinyaya-wu02k006/" , "WU02K006 Толстовка с капюшоном унисекс King, темно-синяя, размер XL")</f>
      </c>
      <c r="C4222" s="4" t="n">
        <v>3900.00</v>
      </c>
      <c r="D4222" s="4"/>
    </row>
    <row collapsed="" customFormat="false" customHeight="1" hidden="" ht="14" outlineLevel="0" r="4223">
      <c r="A4223" s="3" t="inlineStr">
        <is>
          <t>4192</t>
        </is>
      </c>
      <c r="B4223" s="4" t="s">
        <f>=HYPERLINK("http://anyluxury.ru/shop/odezhda/detskaya-odezhda/tolstovka-s-kapyushonom-uniseks-king-temnosinyaya-wu02k006/" , "WU02K006 Толстовка с капюшоном унисекс King, темно-синяя, размер XXL")</f>
      </c>
      <c r="C4223" s="4" t="n">
        <v>3900.00</v>
      </c>
      <c r="D4223" s="4"/>
    </row>
    <row collapsed="" customFormat="false" customHeight="1" hidden="" ht="14" outlineLevel="0" r="4224">
      <c r="A4224" s="3" t="inlineStr">
        <is>
          <t>4193</t>
        </is>
      </c>
      <c r="B4224" s="4" t="s">
        <f>=HYPERLINK("http://anyluxury.ru/shop/odezhda/detskaya-odezhda/tolstovka-s-kapyushonom-uniseks-king-temnosinyaya-wu02k006/" , "WU02K006 Толстовка с капюшоном унисекс King, темно-синяя, размер 3XL")</f>
      </c>
      <c r="C4224" s="4" t="n">
        <v>3900.00</v>
      </c>
      <c r="D4224" s="4"/>
    </row>
    <row collapsed="" customFormat="false" customHeight="1" hidden="" ht="14" outlineLevel="0" r="4225">
      <c r="A4225" s="3" t="inlineStr">
        <is>
          <t>4194</t>
        </is>
      </c>
      <c r="B4225" s="4" t="s">
        <f>=HYPERLINK("http://anyluxury.ru/shop/odezhda/detskaya-odezhda/tolstovka-s-kapyushonom-uniseks-king-temnosinyaya-wu02k006/" , "WU02K006 Толстовка с капюшоном унисекс King, темно-синяя, размер 4XL")</f>
      </c>
      <c r="C4225" s="4" t="n">
        <v>4682.00</v>
      </c>
      <c r="D4225" s="4"/>
    </row>
    <row collapsed="" customFormat="false" customHeight="1" hidden="" ht="14" outlineLevel="0" r="4226">
      <c r="A4226" s="3" t="inlineStr">
        <is>
          <t>4195</t>
        </is>
      </c>
      <c r="B4226" s="4" t="s">
        <f>=HYPERLINK("http://anyluxury.ru/shop/odezhda/detskaya-odezhda/tolstovka-s-kapyushonom-uniseks-king-zheltaya-wu02k205/" , "WU02K205 Толстовка с капюшоном унисекс King, желтая, размер S")</f>
      </c>
      <c r="C4226" s="4" t="n">
        <v>3900.00</v>
      </c>
      <c r="D4226" s="4"/>
    </row>
    <row collapsed="" customFormat="false" customHeight="1" hidden="" ht="14" outlineLevel="0" r="4227">
      <c r="A4227" s="3" t="inlineStr">
        <is>
          <t>4196</t>
        </is>
      </c>
      <c r="B4227" s="4" t="s">
        <f>=HYPERLINK("http://anyluxury.ru/shop/odezhda/detskaya-odezhda/tolstovka-s-kapyushonom-uniseks-king-zheltaya-wu02k205/" , "WU02K205 Толстовка с капюшоном унисекс King, желтая, размер L")</f>
      </c>
      <c r="C4227" s="4" t="n">
        <v>3900.00</v>
      </c>
      <c r="D4227" s="4"/>
    </row>
    <row collapsed="" customFormat="false" customHeight="1" hidden="" ht="14" outlineLevel="0" r="4228">
      <c r="A4228" s="3" t="inlineStr">
        <is>
          <t>4197</t>
        </is>
      </c>
      <c r="B4228" s="4" t="s">
        <f>=HYPERLINK("http://anyluxury.ru/shop/odezhda/detskaya-odezhda/tolstovka-s-kapyushonom-uniseks-king-zheltaya-wu02k205/" , "WU02K205 Толстовка с капюшоном унисекс King, желтая, размер XL")</f>
      </c>
      <c r="C4228" s="4" t="n">
        <v>3900.00</v>
      </c>
      <c r="D4228" s="4"/>
    </row>
    <row collapsed="" customFormat="false" customHeight="1" hidden="" ht="14" outlineLevel="0" r="4229">
      <c r="A4229" s="3" t="inlineStr">
        <is>
          <t>4198</t>
        </is>
      </c>
      <c r="B4229" s="4" t="s">
        <f>=HYPERLINK("http://anyluxury.ru/shop/odezhda/detskaya-odezhda/tolstovka-s-kapyushonom-uniseks-king-zheltaya-wu02k205/" , "WU02K205 Толстовка с капюшоном унисекс King, желтая, размер XXL")</f>
      </c>
      <c r="C4229" s="4" t="n">
        <v>3900.00</v>
      </c>
      <c r="D4229" s="4"/>
    </row>
    <row collapsed="" customFormat="false" customHeight="1" hidden="" ht="14" outlineLevel="0" r="4230">
      <c r="A4230" s="3" t="inlineStr">
        <is>
          <t>4199</t>
        </is>
      </c>
      <c r="B4230" s="4" t="s">
        <f>=HYPERLINK("http://anyluxury.ru/shop/odezhda/detskaya-odezhda/tolstovka-s-kapyushonom-uniseks-king-zheltaya-wu02k205/" , "WU02K205 Толстовка с капюшоном унисекс King, желтая, размер 3XL")</f>
      </c>
      <c r="C4230" s="4" t="n">
        <v>3900.00</v>
      </c>
      <c r="D4230" s="4"/>
    </row>
    <row collapsed="" customFormat="false" customHeight="1" hidden="" ht="14" outlineLevel="0" r="4231">
      <c r="A4231" s="3" t="inlineStr">
        <is>
          <t>4200</t>
        </is>
      </c>
      <c r="B4231" s="4" t="s">
        <f>=HYPERLINK("http://anyluxury.ru/shop/odezhda/detskaya-odezhda/tolstovka-s-kapyushonom-uniseks-king-rozovaya-wu02k306/" , "WU02K306 Толстовка с капюшоном унисекс King, розовая, размер XS")</f>
      </c>
      <c r="C4231" s="4" t="n">
        <v>3900.00</v>
      </c>
      <c r="D4231" s="4"/>
    </row>
    <row collapsed="" customFormat="false" customHeight="1" hidden="" ht="14" outlineLevel="0" r="4232">
      <c r="A4232" s="3" t="inlineStr">
        <is>
          <t>4201</t>
        </is>
      </c>
      <c r="B4232" s="4" t="s">
        <f>=HYPERLINK("http://anyluxury.ru/shop/odezhda/detskaya-odezhda/tolstovka-s-kapyushonom-uniseks-king-rozovaya-wu02k306/" , "WU02K306 Толстовка с капюшоном унисекс King, розовая, размер M")</f>
      </c>
      <c r="C4232" s="4" t="n">
        <v>3900.00</v>
      </c>
      <c r="D4232" s="4"/>
    </row>
    <row collapsed="" customFormat="false" customHeight="1" hidden="" ht="14" outlineLevel="0" r="4233">
      <c r="A4233" s="3" t="inlineStr">
        <is>
          <t>4202</t>
        </is>
      </c>
      <c r="B4233" s="4" t="s">
        <f>=HYPERLINK("http://anyluxury.ru/shop/odezhda/detskaya-odezhda/tolstovka-s-kapyushonom-uniseks-king-rozovaya-wu02k306/" , "WU02K306 Толстовка с капюшоном унисекс King, розовая, размер L")</f>
      </c>
      <c r="C4233" s="4" t="n">
        <v>3900.00</v>
      </c>
      <c r="D4233" s="4"/>
    </row>
    <row collapsed="" customFormat="false" customHeight="1" hidden="" ht="14" outlineLevel="0" r="4234">
      <c r="A4234" s="3" t="inlineStr">
        <is>
          <t>4203</t>
        </is>
      </c>
      <c r="B4234" s="4" t="s">
        <f>=HYPERLINK("http://anyluxury.ru/shop/odezhda/detskaya-odezhda/tolstovka-s-kapyushonom-uniseks-king-rozovaya-wu02k306/" , "WU02K306 Толстовка с капюшоном унисекс King, розовая, размер XL")</f>
      </c>
      <c r="C4234" s="4" t="n">
        <v>3900.00</v>
      </c>
      <c r="D4234" s="4"/>
    </row>
    <row collapsed="" customFormat="false" customHeight="1" hidden="" ht="14" outlineLevel="0" r="4235">
      <c r="A4235" s="3" t="inlineStr">
        <is>
          <t>4204</t>
        </is>
      </c>
      <c r="B4235" s="4" t="s">
        <f>=HYPERLINK("http://anyluxury.ru/shop/odezhda/detskaya-odezhda/tolstovka-s-kapyushonom-uniseks-king-rozovaya-wu02k306/" , "WU02K306 Толстовка с капюшоном унисекс King, розовая, размер XXXL")</f>
      </c>
      <c r="C4235" s="4" t="n">
        <v>3900.00</v>
      </c>
      <c r="D4235" s="4"/>
    </row>
    <row collapsed="" customFormat="false" customHeight="1" hidden="" ht="14" outlineLevel="0" r="4236">
      <c r="A4236" s="3" t="inlineStr">
        <is>
          <t>4205</t>
        </is>
      </c>
      <c r="B4236" s="4" t="s">
        <f>=HYPERLINK("http://anyluxury.ru/shop/odezhda/detskaya-odezhda/tolstovka-s-kapyushonom-uniseks-king-bordovaya-wu02k369/" , "WU02K369 Толстовка с капюшоном унисекс King, бордовая, размер XS")</f>
      </c>
      <c r="C4236" s="4" t="n">
        <v>3900.00</v>
      </c>
      <c r="D4236" s="4"/>
    </row>
    <row collapsed="" customFormat="false" customHeight="1" hidden="" ht="14" outlineLevel="0" r="4237">
      <c r="A4237" s="3" t="inlineStr">
        <is>
          <t>4206</t>
        </is>
      </c>
      <c r="B4237" s="4" t="s">
        <f>=HYPERLINK("http://anyluxury.ru/shop/odezhda/detskaya-odezhda/tolstovka-s-kapyushonom-uniseks-king-bordovaya-wu02k369/" , "WU02K369 Толстовка с капюшоном унисекс King, бордовая, размер XXL")</f>
      </c>
      <c r="C4237" s="4" t="n">
        <v>3900.00</v>
      </c>
      <c r="D4237" s="4"/>
    </row>
    <row collapsed="" customFormat="false" customHeight="1" hidden="" ht="14" outlineLevel="0" r="4238">
      <c r="A4238" s="3" t="inlineStr">
        <is>
          <t>4207</t>
        </is>
      </c>
      <c r="B4238" s="4" t="s">
        <f>=HYPERLINK("http://anyluxury.ru/shop/odezhda/detskaya-odezhda/tolstovka-s-kapyushonom-uniseks-king-bordovaya-wu02k369/" , "WU02K369 Толстовка с капюшоном унисекс King, бордовая, размер 3XL")</f>
      </c>
      <c r="C4238" s="4" t="n">
        <v>3900.00</v>
      </c>
      <c r="D4238" s="4"/>
    </row>
    <row collapsed="" customFormat="false" customHeight="1" hidden="" ht="14" outlineLevel="0" r="4239">
      <c r="A4239" s="3" t="inlineStr">
        <is>
          <t>4208</t>
        </is>
      </c>
      <c r="B4239" s="4" t="s">
        <f>=HYPERLINK("http://anyluxury.ru/shop/odezhda/detskaya-odezhda/tolstovka-s-kapyushonom-uniseks-king-yarkosinyaya-wu02k453/" , "WU02K453 Толстовка с капюшоном унисекс King, ярко-синяя, размер XS")</f>
      </c>
      <c r="C4239" s="4" t="n">
        <v>3900.00</v>
      </c>
      <c r="D4239" s="4"/>
    </row>
    <row collapsed="" customFormat="false" customHeight="1" hidden="" ht="14" outlineLevel="0" r="4240">
      <c r="A4240" s="3" t="inlineStr">
        <is>
          <t>4209</t>
        </is>
      </c>
      <c r="B4240" s="4" t="s">
        <f>=HYPERLINK("http://anyluxury.ru/shop/odezhda/detskaya-odezhda/tolstovka-s-kapyushonom-uniseks-king-yarkosinyaya-wu02k453/" , "WU02K453 Толстовка с капюшоном унисекс King, ярко-синяя, размер S")</f>
      </c>
      <c r="C4240" s="4" t="n">
        <v>3900.00</v>
      </c>
      <c r="D4240" s="4"/>
    </row>
    <row collapsed="" customFormat="false" customHeight="1" hidden="" ht="14" outlineLevel="0" r="4241">
      <c r="A4241" s="3" t="inlineStr">
        <is>
          <t>4210</t>
        </is>
      </c>
      <c r="B4241" s="4" t="s">
        <f>=HYPERLINK("http://anyluxury.ru/shop/odezhda/detskaya-odezhda/tolstovka-s-kapyushonom-uniseks-king-yarkosinyaya-wu02k453/" , "WU02K453 Толстовка с капюшоном унисекс King, ярко-синяя, размер M")</f>
      </c>
      <c r="C4241" s="4" t="n">
        <v>3900.00</v>
      </c>
      <c r="D4241" s="4"/>
    </row>
    <row collapsed="" customFormat="false" customHeight="1" hidden="" ht="14" outlineLevel="0" r="4242">
      <c r="A4242" s="3" t="inlineStr">
        <is>
          <t>4211</t>
        </is>
      </c>
      <c r="B4242" s="4" t="s">
        <f>=HYPERLINK("http://anyluxury.ru/shop/odezhda/detskaya-odezhda/tolstovka-s-kapyushonom-uniseks-king-yarkosinyaya-wu02k453/" , "WU02K453 Толстовка с капюшоном унисекс King, ярко-синяя, размер L")</f>
      </c>
      <c r="C4242" s="4" t="n">
        <v>3900.00</v>
      </c>
      <c r="D4242" s="4"/>
    </row>
    <row collapsed="" customFormat="false" customHeight="1" hidden="" ht="14" outlineLevel="0" r="4243">
      <c r="A4243" s="3" t="inlineStr">
        <is>
          <t>4212</t>
        </is>
      </c>
      <c r="B4243" s="4" t="s">
        <f>=HYPERLINK("http://anyluxury.ru/shop/odezhda/detskaya-odezhda/tolstovka-s-kapyushonom-uniseks-king-yarkosinyaya-wu02k453/" , "WU02K453 Толстовка с капюшоном унисекс King, ярко-синяя, размер XL")</f>
      </c>
      <c r="C4243" s="4" t="n">
        <v>3900.00</v>
      </c>
      <c r="D4243" s="4"/>
    </row>
    <row collapsed="" customFormat="false" customHeight="1" hidden="" ht="14" outlineLevel="0" r="4244">
      <c r="A4244" s="3" t="inlineStr">
        <is>
          <t>4213</t>
        </is>
      </c>
      <c r="B4244" s="4" t="s">
        <f>=HYPERLINK("http://anyluxury.ru/shop/odezhda/detskaya-odezhda/tolstovka-s-kapyushonom-uniseks-king-yarkosinyaya-wu02k453/" , "WU02K453 Толстовка с капюшоном унисекс King, ярко-синяя, размер XXL")</f>
      </c>
      <c r="C4244" s="4" t="n">
        <v>3900.00</v>
      </c>
      <c r="D4244" s="4"/>
    </row>
    <row collapsed="" customFormat="false" customHeight="1" hidden="" ht="14" outlineLevel="0" r="4245">
      <c r="A4245" s="3" t="inlineStr">
        <is>
          <t>4214</t>
        </is>
      </c>
      <c r="B4245" s="4" t="s">
        <f>=HYPERLINK("http://anyluxury.ru/shop/odezhda/detskaya-odezhda/tolstovka-s-kapyushonom-uniseks-king-yarkosinyaya-wu02k453/" , "WU02K453 Толстовка с капюшоном унисекс King, ярко-синяя, размер 3XL")</f>
      </c>
      <c r="C4245" s="4" t="n">
        <v>3900.00</v>
      </c>
      <c r="D4245" s="4"/>
    </row>
    <row collapsed="" customFormat="false" customHeight="1" hidden="" ht="14" outlineLevel="0" r="4246">
      <c r="A4246" s="3" t="inlineStr">
        <is>
          <t>4215</t>
        </is>
      </c>
      <c r="B4246" s="4" t="s">
        <f>=HYPERLINK("http://anyluxury.ru/shop/odezhda/detskaya-odezhda/tolstovka-s-kapyushonom-uniseks-king-yarkosinyaya-wu02k453/" , "WU02K453 Толстовка с капюшоном унисекс King, ярко-синяя, размер 4XL")</f>
      </c>
      <c r="C4246" s="4" t="n">
        <v>4682.00</v>
      </c>
      <c r="D4246" s="4"/>
    </row>
    <row collapsed="" customFormat="false" customHeight="1" hidden="" ht="14" outlineLevel="0" r="4247">
      <c r="A4247" s="3" t="inlineStr">
        <is>
          <t>4216</t>
        </is>
      </c>
      <c r="B4247" s="4" t="s">
        <f>=HYPERLINK("http://anyluxury.ru/shop/odezhda/detskaya-odezhda/tolstovka-s-kapyushonom-uniseks-king-serosinyaya-wu02k461/" , "WU02K461 Толстовка с капюшоном унисекс King, серо-синяя, размер XS")</f>
      </c>
      <c r="C4247" s="4" t="n">
        <v>3900.00</v>
      </c>
      <c r="D4247" s="4"/>
    </row>
    <row collapsed="" customFormat="false" customHeight="1" hidden="" ht="14" outlineLevel="0" r="4248">
      <c r="A4248" s="3" t="inlineStr">
        <is>
          <t>4217</t>
        </is>
      </c>
      <c r="B4248" s="4" t="s">
        <f>=HYPERLINK("http://anyluxury.ru/shop/odezhda/detskaya-odezhda/tolstovka-s-kapyushonom-uniseks-king-serosinyaya-wu02k461/" , "WU02K461 Толстовка с капюшоном унисекс King, серо-синяя, размер S")</f>
      </c>
      <c r="C4248" s="4" t="n">
        <v>3900.00</v>
      </c>
      <c r="D4248" s="4"/>
    </row>
    <row collapsed="" customFormat="false" customHeight="1" hidden="" ht="14" outlineLevel="0" r="4249">
      <c r="A4249" s="3" t="inlineStr">
        <is>
          <t>4218</t>
        </is>
      </c>
      <c r="B4249" s="4" t="s">
        <f>=HYPERLINK("http://anyluxury.ru/shop/odezhda/detskaya-odezhda/tolstovka-s-kapyushonom-uniseks-king-serosinyaya-wu02k461/" , "WU02K461 Толстовка с капюшоном унисекс King, серо-синяя, размер M")</f>
      </c>
      <c r="C4249" s="4" t="n">
        <v>3900.00</v>
      </c>
      <c r="D4249" s="4"/>
    </row>
    <row collapsed="" customFormat="false" customHeight="1" hidden="" ht="14" outlineLevel="0" r="4250">
      <c r="A4250" s="3" t="inlineStr">
        <is>
          <t>4219</t>
        </is>
      </c>
      <c r="B4250" s="4" t="s">
        <f>=HYPERLINK("http://anyluxury.ru/shop/odezhda/detskaya-odezhda/tolstovka-s-kapyushonom-uniseks-king-serosinyaya-wu02k461/" , "WU02K461 Толстовка с капюшоном унисекс King, серо-синяя, размер L")</f>
      </c>
      <c r="C4250" s="4" t="n">
        <v>3900.00</v>
      </c>
      <c r="D4250" s="4"/>
    </row>
    <row collapsed="" customFormat="false" customHeight="1" hidden="" ht="14" outlineLevel="0" r="4251">
      <c r="A4251" s="3" t="inlineStr">
        <is>
          <t>4220</t>
        </is>
      </c>
      <c r="B4251" s="4" t="s">
        <f>=HYPERLINK("http://anyluxury.ru/shop/odezhda/detskaya-odezhda/tolstovka-s-kapyushonom-uniseks-king-serosinyaya-wu02k461/" , "WU02K461 Толстовка с капюшоном унисекс King, серо-синяя, размер XL")</f>
      </c>
      <c r="C4251" s="4" t="n">
        <v>3900.00</v>
      </c>
      <c r="D4251" s="4"/>
    </row>
    <row collapsed="" customFormat="false" customHeight="1" hidden="" ht="14" outlineLevel="0" r="4252">
      <c r="A4252" s="3" t="inlineStr">
        <is>
          <t>4221</t>
        </is>
      </c>
      <c r="B4252" s="4" t="s">
        <f>=HYPERLINK("http://anyluxury.ru/shop/odezhda/detskaya-odezhda/tolstovka-s-kapyushonom-uniseks-king-serosinyaya-wu02k461/" , "WU02K461 Толстовка с капюшоном унисекс King, серо-синяя, размер XXL")</f>
      </c>
      <c r="C4252" s="4" t="n">
        <v>3900.00</v>
      </c>
      <c r="D4252" s="4"/>
    </row>
    <row collapsed="" customFormat="false" customHeight="1" hidden="" ht="14" outlineLevel="0" r="4253">
      <c r="A4253" s="3" t="inlineStr">
        <is>
          <t>4222</t>
        </is>
      </c>
      <c r="B4253" s="4" t="s">
        <f>=HYPERLINK("http://anyluxury.ru/shop/odezhda/detskaya-odezhda/tolstovka-s-kapyushonom-uniseks-king-serosinyaya-wu02k461/" , "WU02K461 Толстовка с капюшоном унисекс King, серо-синяя, размер 3XL")</f>
      </c>
      <c r="C4253" s="4" t="n">
        <v>3900.00</v>
      </c>
      <c r="D4253" s="4"/>
    </row>
    <row collapsed="" customFormat="false" customHeight="1" hidden="" ht="14" outlineLevel="0" r="4254">
      <c r="A4254" s="3" t="inlineStr">
        <is>
          <t>4223</t>
        </is>
      </c>
      <c r="B4254" s="4" t="s">
        <f>=HYPERLINK("http://anyluxury.ru/shop/odezhda/detskaya-odezhda/tolstovka-s-kapyushonom-uniseks-king-seriy-melanzh-wu02k610/" , "WU02K610 Толстовка с капюшоном унисекс King, серый меланж, размер XS")</f>
      </c>
      <c r="C4254" s="4" t="n">
        <v>3900.00</v>
      </c>
      <c r="D4254" s="4"/>
    </row>
    <row collapsed="" customFormat="false" customHeight="1" hidden="" ht="14" outlineLevel="0" r="4255">
      <c r="A4255" s="3" t="inlineStr">
        <is>
          <t>4224</t>
        </is>
      </c>
      <c r="B4255" s="4" t="s">
        <f>=HYPERLINK("http://anyluxury.ru/shop/odezhda/detskaya-odezhda/tolstovka-s-kapyushonom-uniseks-king-seriy-melanzh-wu02k610/" , "WU02K610 Толстовка с капюшоном унисекс King, серый меланж, размер S")</f>
      </c>
      <c r="C4255" s="4" t="n">
        <v>3900.00</v>
      </c>
      <c r="D4255" s="4"/>
    </row>
    <row collapsed="" customFormat="false" customHeight="1" hidden="" ht="14" outlineLevel="0" r="4256">
      <c r="A4256" s="3" t="inlineStr">
        <is>
          <t>4225</t>
        </is>
      </c>
      <c r="B4256" s="4" t="s">
        <f>=HYPERLINK("http://anyluxury.ru/shop/odezhda/detskaya-odezhda/tolstovka-s-kapyushonom-uniseks-king-seriy-melanzh-wu02k610/" , "WU02K610 Толстовка с капюшоном унисекс King, серый меланж, размер M")</f>
      </c>
      <c r="C4256" s="4" t="n">
        <v>3900.00</v>
      </c>
      <c r="D4256" s="4"/>
    </row>
    <row collapsed="" customFormat="false" customHeight="1" hidden="" ht="14" outlineLevel="0" r="4257">
      <c r="A4257" s="3" t="inlineStr">
        <is>
          <t>4226</t>
        </is>
      </c>
      <c r="B4257" s="4" t="s">
        <f>=HYPERLINK("http://anyluxury.ru/shop/odezhda/detskaya-odezhda/tolstovka-s-kapyushonom-uniseks-king-seriy-melanzh-wu02k610/" , "WU02K610 Толстовка с капюшоном унисекс King, серый меланж, размер L")</f>
      </c>
      <c r="C4257" s="4" t="n">
        <v>3900.00</v>
      </c>
      <c r="D4257" s="4"/>
    </row>
    <row collapsed="" customFormat="false" customHeight="1" hidden="" ht="14" outlineLevel="0" r="4258">
      <c r="A4258" s="3" t="inlineStr">
        <is>
          <t>4227</t>
        </is>
      </c>
      <c r="B4258" s="4" t="s">
        <f>=HYPERLINK("http://anyluxury.ru/shop/odezhda/detskaya-odezhda/tolstovka-s-kapyushonom-uniseks-king-seriy-melanzh-wu02k610/" , "WU02K610 Толстовка с капюшоном унисекс King, серый меланж, размер XL")</f>
      </c>
      <c r="C4258" s="4" t="n">
        <v>3900.00</v>
      </c>
      <c r="D4258" s="4"/>
    </row>
    <row collapsed="" customFormat="false" customHeight="1" hidden="" ht="14" outlineLevel="0" r="4259">
      <c r="A4259" s="3" t="inlineStr">
        <is>
          <t>4228</t>
        </is>
      </c>
      <c r="B4259" s="4" t="s">
        <f>=HYPERLINK("http://anyluxury.ru/shop/odezhda/detskaya-odezhda/tolstovka-s-kapyushonom-uniseks-king-seriy-melanzh-wu02k610/" , "WU02K610 Толстовка с капюшоном унисекс King, серый меланж, размер XXL")</f>
      </c>
      <c r="C4259" s="4" t="n">
        <v>3900.00</v>
      </c>
      <c r="D4259" s="4"/>
    </row>
    <row collapsed="" customFormat="false" customHeight="1" hidden="" ht="14" outlineLevel="0" r="4260">
      <c r="A4260" s="3" t="inlineStr">
        <is>
          <t>4229</t>
        </is>
      </c>
      <c r="B4260" s="4" t="s">
        <f>=HYPERLINK("http://anyluxury.ru/shop/odezhda/detskaya-odezhda/tolstovka-s-kapyushonom-uniseks-king-seriy-melanzh-wu02k610/" , "WU02K610 Толстовка с капюшоном унисекс King, серый меланж, размер 3XL")</f>
      </c>
      <c r="C4260" s="4" t="n">
        <v>3900.00</v>
      </c>
      <c r="D4260" s="4"/>
    </row>
    <row collapsed="" customFormat="false" customHeight="1" hidden="" ht="14" outlineLevel="0" r="4261">
      <c r="A4261" s="3" t="inlineStr">
        <is>
          <t>4230</t>
        </is>
      </c>
      <c r="B4261" s="4" t="s">
        <f>=HYPERLINK("http://anyluxury.ru/shop/odezhda/detskaya-odezhda/tolstovka-s-kapyushonom-uniseks-king-seriy-melanzh-wu02k610/" , "WU02K610 Толстовка с капюшоном унисекс King, серый меланж, размер 4XL")</f>
      </c>
      <c r="C4261" s="4" t="n">
        <v>4682.00</v>
      </c>
      <c r="D4261" s="4"/>
    </row>
    <row collapsed="" customFormat="false" customHeight="1" hidden="" ht="14" outlineLevel="0" r="4262">
      <c r="A4262" s="3" t="inlineStr">
        <is>
          <t>4231</t>
        </is>
      </c>
      <c r="B4262" s="4" t="s">
        <f>=HYPERLINK("http://anyluxury.ru/shop/odezhda/detskaya-odezhda/tolstovka-s-kapyushonom-uniseks-king-temnoseriy-melanzh-wu02k623/" , "WU02K623 Толстовка с капюшоном унисекс King, темно-серый меланж, размер 3XL")</f>
      </c>
      <c r="C4262" s="4" t="n">
        <v>3900.00</v>
      </c>
      <c r="D4262" s="4"/>
    </row>
    <row collapsed="" customFormat="false" customHeight="1" hidden="" ht="14" outlineLevel="0" r="4263">
      <c r="A4263" s="3" t="inlineStr">
        <is>
          <t>4232</t>
        </is>
      </c>
      <c r="B4263" s="4" t="s">
        <f>=HYPERLINK("http://anyluxury.ru/shop/odezhda/detskaya-odezhda/tolstovka-s-kapyushonom-uniseks-king-dimchatoseraya-wu02k672/" , "WU02K672 Толстовка с капюшоном унисекс King, дымчато-серая, размер XS")</f>
      </c>
      <c r="C4263" s="4" t="n">
        <v>3900.00</v>
      </c>
      <c r="D4263" s="4"/>
    </row>
    <row collapsed="" customFormat="false" customHeight="1" hidden="" ht="14" outlineLevel="0" r="4264">
      <c r="A4264" s="3" t="inlineStr">
        <is>
          <t>4233</t>
        </is>
      </c>
      <c r="B4264" s="4" t="s">
        <f>=HYPERLINK("http://anyluxury.ru/shop/odezhda/detskaya-odezhda/tolstovka-s-kapyushonom-uniseks-king-dimchatoseraya-wu02k672/" , "WU02K672 Толстовка с капюшоном унисекс King, дымчато-серая, размер S")</f>
      </c>
      <c r="C4264" s="4" t="n">
        <v>3900.00</v>
      </c>
      <c r="D4264" s="4"/>
    </row>
    <row collapsed="" customFormat="false" customHeight="1" hidden="" ht="14" outlineLevel="0" r="4265">
      <c r="A4265" s="3" t="inlineStr">
        <is>
          <t>4234</t>
        </is>
      </c>
      <c r="B4265" s="4" t="s">
        <f>=HYPERLINK("http://anyluxury.ru/shop/odezhda/detskaya-odezhda/tolstovka-s-kapyushonom-uniseks-king-dimchatoseraya-wu02k672/" , "WU02K672 Толстовка с капюшоном унисекс King, дымчато-серая, размер XL")</f>
      </c>
      <c r="C4265" s="4" t="n">
        <v>3900.00</v>
      </c>
      <c r="D4265" s="4"/>
    </row>
    <row collapsed="" customFormat="false" customHeight="1" hidden="" ht="14" outlineLevel="0" r="4266">
      <c r="A4266" s="3" t="inlineStr">
        <is>
          <t>4235</t>
        </is>
      </c>
      <c r="B4266" s="4" t="s">
        <f>=HYPERLINK("http://anyluxury.ru/shop/odezhda/detskaya-odezhda/tolstovka-s-kapyushonom-uniseks-king-dimchatoseraya-wu02k672/" , "WU02K672 Толстовка с капюшоном унисекс King, дымчато-серая, размер XXL")</f>
      </c>
      <c r="C4266" s="4" t="n">
        <v>3900.00</v>
      </c>
      <c r="D4266" s="4"/>
    </row>
    <row collapsed="" customFormat="false" customHeight="1" hidden="" ht="14" outlineLevel="0" r="4267">
      <c r="A4267" s="3" t="inlineStr">
        <is>
          <t>4236</t>
        </is>
      </c>
      <c r="B4267" s="4" t="s">
        <f>=HYPERLINK("http://anyluxury.ru/shop/odezhda/detskaya-odezhda/tolstovka-s-kapyushonom-uniseks-king-dimchatoseraya-wu02k672/" , "WU02K672 Толстовка с капюшоном унисекс King, дымчато-серая, размер 3XL")</f>
      </c>
      <c r="C4267" s="4" t="n">
        <v>3900.00</v>
      </c>
      <c r="D4267" s="4"/>
    </row>
    <row collapsed="" customFormat="false" customHeight="1" hidden="" ht="14" outlineLevel="0" r="4268">
      <c r="A4268" s="3" t="inlineStr">
        <is>
          <t>4237</t>
        </is>
      </c>
      <c r="B4268" s="4" t="s">
        <f>=HYPERLINK("http://anyluxury.ru/shop/odezhda/detskaya-odezhda/tolstovka-s-kapyushonom-zhenskaya-queen-belaya-ww02q001/" , "WW02Q001 Толстовка с капюшоном женская Queen, белая, размер S")</f>
      </c>
      <c r="C4268" s="4" t="n">
        <v>3792.00</v>
      </c>
      <c r="D4268" s="4"/>
    </row>
    <row collapsed="" customFormat="false" customHeight="1" hidden="" ht="14" outlineLevel="0" r="4269">
      <c r="A4269" s="3" t="inlineStr">
        <is>
          <t>4238</t>
        </is>
      </c>
      <c r="B4269" s="4" t="s">
        <f>=HYPERLINK("http://anyluxury.ru/shop/odezhda/detskaya-odezhda/tolstovka-s-kapyushonom-zhenskaya-queen-belaya-ww02q001/" , "WW02Q001 Толстовка с капюшоном женская Queen, белая, размер M")</f>
      </c>
      <c r="C4269" s="4" t="n">
        <v>3792.00</v>
      </c>
      <c r="D4269" s="4"/>
    </row>
    <row collapsed="" customFormat="false" customHeight="1" hidden="" ht="14" outlineLevel="0" r="4270">
      <c r="A4270" s="3" t="inlineStr">
        <is>
          <t>4239</t>
        </is>
      </c>
      <c r="B4270" s="4" t="s">
        <f>=HYPERLINK("http://anyluxury.ru/shop/odezhda/detskaya-odezhda/tolstovka-s-kapyushonom-zhenskaya-queen-belaya-ww02q001/" , "WW02Q001 Толстовка с капюшоном женская Queen, белая, размер L")</f>
      </c>
      <c r="C4270" s="4" t="n">
        <v>3792.00</v>
      </c>
      <c r="D4270" s="4"/>
    </row>
    <row collapsed="" customFormat="false" customHeight="1" hidden="" ht="14" outlineLevel="0" r="4271">
      <c r="A4271" s="3" t="inlineStr">
        <is>
          <t>4240</t>
        </is>
      </c>
      <c r="B4271" s="4" t="s">
        <f>=HYPERLINK("http://anyluxury.ru/shop/odezhda/detskaya-odezhda/tolstovka-s-kapyushonom-zhenskaya-queen-belaya-ww02q001/" , "WW02Q001 Толстовка с капюшоном женская Queen, белая, размер XL")</f>
      </c>
      <c r="C4271" s="4" t="n">
        <v>3792.00</v>
      </c>
      <c r="D4271" s="4"/>
    </row>
    <row collapsed="" customFormat="false" customHeight="1" hidden="" ht="14" outlineLevel="0" r="4272">
      <c r="A4272" s="3" t="inlineStr">
        <is>
          <t>4241</t>
        </is>
      </c>
      <c r="B4272" s="4" t="s">
        <f>=HYPERLINK("http://anyluxury.ru/shop/odezhda/detskaya-odezhda/tolstovka-s-kapyushonom-zhenskaya-queen-belaya-ww02q001/" , "WW02Q001 Толстовка с капюшоном женская Queen, белая, размер XXL")</f>
      </c>
      <c r="C4272" s="4" t="n">
        <v>3792.00</v>
      </c>
      <c r="D4272" s="4"/>
    </row>
    <row collapsed="" customFormat="false" customHeight="1" hidden="" ht="14" outlineLevel="0" r="4273">
      <c r="A4273" s="3" t="inlineStr">
        <is>
          <t>4242</t>
        </is>
      </c>
      <c r="B4273" s="4" t="s">
        <f>=HYPERLINK("http://anyluxury.ru/shop/odezhda/detskaya-odezhda/tolstovka-s-kapyushonom-zhenskaya-queen-belaya-ww02q001/" , "WW02Q001 Толстовка с капюшоном женская Queen, белая, размер 3XL")</f>
      </c>
      <c r="C4273" s="4" t="n">
        <v>4741.00</v>
      </c>
      <c r="D4273" s="4"/>
    </row>
    <row collapsed="" customFormat="false" customHeight="1" hidden="" ht="14" outlineLevel="0" r="4274">
      <c r="A4274" s="3" t="inlineStr">
        <is>
          <t>4243</t>
        </is>
      </c>
      <c r="B4274" s="4" t="s">
        <f>=HYPERLINK("http://anyluxury.ru/shop/odezhda/detskaya-odezhda/tolstovka-s-kapyushonom-zhenskaya-queen-chernaya-ww02q005/" , "WW02Q005 Толстовка с капюшоном женская Queen, черная, размер S")</f>
      </c>
      <c r="C4274" s="4" t="n">
        <v>3792.00</v>
      </c>
      <c r="D4274" s="4"/>
    </row>
    <row collapsed="" customFormat="false" customHeight="1" hidden="" ht="14" outlineLevel="0" r="4275">
      <c r="A4275" s="3" t="inlineStr">
        <is>
          <t>4244</t>
        </is>
      </c>
      <c r="B4275" s="4" t="s">
        <f>=HYPERLINK("http://anyluxury.ru/shop/odezhda/detskaya-odezhda/tolstovka-s-kapyushonom-zhenskaya-queen-chernaya-ww02q005/" , "WW02Q005 Толстовка с капюшоном женская Queen, черная, размер L")</f>
      </c>
      <c r="C4275" s="4" t="n">
        <v>3792.00</v>
      </c>
      <c r="D4275" s="4"/>
    </row>
    <row collapsed="" customFormat="false" customHeight="1" hidden="" ht="14" outlineLevel="0" r="4276">
      <c r="A4276" s="3" t="inlineStr">
        <is>
          <t>4245</t>
        </is>
      </c>
      <c r="B4276" s="4" t="s">
        <f>=HYPERLINK("http://anyluxury.ru/shop/odezhda/detskaya-odezhda/tolstovka-s-kapyushonom-zhenskaya-queen-chernaya-ww02q005/" , "WW02Q005 Толстовка с капюшоном женская Queen, черная, размер XL")</f>
      </c>
      <c r="C4276" s="4" t="n">
        <v>3792.00</v>
      </c>
      <c r="D4276" s="4"/>
    </row>
    <row collapsed="" customFormat="false" customHeight="1" hidden="" ht="14" outlineLevel="0" r="4277">
      <c r="A4277" s="3" t="inlineStr">
        <is>
          <t>4246</t>
        </is>
      </c>
      <c r="B4277" s="4" t="s">
        <f>=HYPERLINK("http://anyluxury.ru/shop/odezhda/detskaya-odezhda/tolstovka-s-kapyushonom-zhenskaya-queen-chernaya-ww02q005/" , "WW02Q005 Толстовка с капюшоном женская Queen, черная, размер XXL")</f>
      </c>
      <c r="C4277" s="4" t="n">
        <v>3792.00</v>
      </c>
      <c r="D4277" s="4"/>
    </row>
    <row collapsed="" customFormat="false" customHeight="1" hidden="" ht="14" outlineLevel="0" r="4278">
      <c r="A4278" s="3" t="inlineStr">
        <is>
          <t>4247</t>
        </is>
      </c>
      <c r="B4278" s="4" t="s">
        <f>=HYPERLINK("http://anyluxury.ru/shop/odezhda/detskaya-odezhda/tolstovka-s-kapyushonom-zhenskaya-queen-chernaya-ww02q005/" , "WW02Q005 Толстовка с капюшоном женская Queen, черная, размер 3XL")</f>
      </c>
      <c r="C4278" s="4" t="n">
        <v>4741.00</v>
      </c>
      <c r="D4278" s="4"/>
    </row>
    <row collapsed="" customFormat="false" customHeight="1" hidden="" ht="14" outlineLevel="0" r="4279">
      <c r="A4279" s="3" t="inlineStr">
        <is>
          <t>4248</t>
        </is>
      </c>
      <c r="B4279" s="4" t="s">
        <f>=HYPERLINK("http://anyluxury.ru/shop/odezhda/detskaya-odezhda/tolstovka-s-kapyushonom-zhenskaya-queen-temnosinyaya-ww02q006/" , "WW02Q006 Толстовка с капюшоном женская Queen, темно-синяя, размер XS")</f>
      </c>
      <c r="C4279" s="4" t="n">
        <v>3792.00</v>
      </c>
      <c r="D4279" s="4"/>
    </row>
    <row collapsed="" customFormat="false" customHeight="1" hidden="" ht="14" outlineLevel="0" r="4280">
      <c r="A4280" s="3" t="inlineStr">
        <is>
          <t>4249</t>
        </is>
      </c>
      <c r="B4280" s="4" t="s">
        <f>=HYPERLINK("http://anyluxury.ru/shop/odezhda/detskaya-odezhda/tolstovka-s-kapyushonom-zhenskaya-queen-temnosinyaya-ww02q006/" , "WW02Q006 Толстовка с капюшоном женская Queen, темно-синяя, размер S")</f>
      </c>
      <c r="C4280" s="4" t="n">
        <v>3792.00</v>
      </c>
      <c r="D4280" s="4"/>
    </row>
    <row collapsed="" customFormat="false" customHeight="1" hidden="" ht="14" outlineLevel="0" r="4281">
      <c r="A4281" s="3" t="inlineStr">
        <is>
          <t>4250</t>
        </is>
      </c>
      <c r="B4281" s="4" t="s">
        <f>=HYPERLINK("http://anyluxury.ru/shop/odezhda/detskaya-odezhda/tolstovka-s-kapyushonom-zhenskaya-queen-temnosinyaya-ww02q006/" , "WW02Q006 Толстовка с капюшоном женская Queen, темно-синяя, размер M")</f>
      </c>
      <c r="C4281" s="4" t="n">
        <v>3792.00</v>
      </c>
      <c r="D4281" s="4"/>
    </row>
    <row collapsed="" customFormat="false" customHeight="1" hidden="" ht="14" outlineLevel="0" r="4282">
      <c r="A4282" s="3" t="inlineStr">
        <is>
          <t>4251</t>
        </is>
      </c>
      <c r="B4282" s="4" t="s">
        <f>=HYPERLINK("http://anyluxury.ru/shop/odezhda/detskaya-odezhda/tolstovka-s-kapyushonom-zhenskaya-queen-temnosinyaya-ww02q006/" , "WW02Q006 Толстовка с капюшоном женская Queen, темно-синяя, размер L")</f>
      </c>
      <c r="C4282" s="4" t="n">
        <v>3792.00</v>
      </c>
      <c r="D4282" s="4"/>
    </row>
    <row collapsed="" customFormat="false" customHeight="1" hidden="" ht="14" outlineLevel="0" r="4283">
      <c r="A4283" s="3" t="inlineStr">
        <is>
          <t>4252</t>
        </is>
      </c>
      <c r="B4283" s="4" t="s">
        <f>=HYPERLINK("http://anyluxury.ru/shop/odezhda/detskaya-odezhda/tolstovka-s-kapyushonom-zhenskaya-queen-temnosinyaya-ww02q006/" , "WW02Q006 Толстовка с капюшоном женская Queen, темно-синяя, размер XL")</f>
      </c>
      <c r="C4283" s="4" t="n">
        <v>3792.00</v>
      </c>
      <c r="D4283" s="4"/>
    </row>
    <row collapsed="" customFormat="false" customHeight="1" hidden="" ht="14" outlineLevel="0" r="4284">
      <c r="A4284" s="3" t="inlineStr">
        <is>
          <t>4253</t>
        </is>
      </c>
      <c r="B4284" s="4" t="s">
        <f>=HYPERLINK("http://anyluxury.ru/shop/odezhda/detskaya-odezhda/tolstovka-s-kapyushonom-zhenskaya-queen-temnosinyaya-ww02q006/" , "WW02Q006 Толстовка с капюшоном женская Queen, темно-синяя, размер XXL")</f>
      </c>
      <c r="C4284" s="4" t="n">
        <v>3792.00</v>
      </c>
      <c r="D4284" s="4"/>
    </row>
    <row collapsed="" customFormat="false" customHeight="1" hidden="" ht="14" outlineLevel="0" r="4285">
      <c r="A4285" s="3" t="inlineStr">
        <is>
          <t>4254</t>
        </is>
      </c>
      <c r="B4285" s="4" t="s">
        <f>=HYPERLINK("http://anyluxury.ru/shop/odezhda/detskaya-odezhda/tolstovka-s-kapyushonom-zhenskaya-queen-temnosinyaya-ww02q006/" , "WW02Q006 Толстовка с капюшоном женская Queen, темно-синяя, размер 3XL")</f>
      </c>
      <c r="C4285" s="4" t="n">
        <v>4741.00</v>
      </c>
      <c r="D4285" s="4"/>
    </row>
    <row collapsed="" customFormat="false" customHeight="1" hidden="" ht="14" outlineLevel="0" r="4286">
      <c r="A4286" s="3" t="inlineStr">
        <is>
          <t>4255</t>
        </is>
      </c>
      <c r="B4286" s="4" t="s">
        <f>=HYPERLINK("http://anyluxury.ru/shop/odezhda/detskaya-odezhda/tolstovka-s-kapyushonom-zhenskaya-queen-rozovaya-ww02q306/" , "WW02Q306 Толстовка с капюшоном женская Queen, розовая, размер XS")</f>
      </c>
      <c r="C4286" s="4" t="n">
        <v>3792.00</v>
      </c>
      <c r="D4286" s="4"/>
    </row>
    <row collapsed="" customFormat="false" customHeight="1" hidden="" ht="14" outlineLevel="0" r="4287">
      <c r="A4287" s="3" t="inlineStr">
        <is>
          <t>4256</t>
        </is>
      </c>
      <c r="B4287" s="4" t="s">
        <f>=HYPERLINK("http://anyluxury.ru/shop/odezhda/detskaya-odezhda/tolstovka-s-kapyushonom-zhenskaya-queen-rozovaya-ww02q306/" , "WW02Q306 Толстовка с капюшоном женская Queen, розовая, размер S")</f>
      </c>
      <c r="C4287" s="4" t="n">
        <v>3792.00</v>
      </c>
      <c r="D4287" s="4"/>
    </row>
    <row collapsed="" customFormat="false" customHeight="1" hidden="" ht="14" outlineLevel="0" r="4288">
      <c r="A4288" s="3" t="inlineStr">
        <is>
          <t>4257</t>
        </is>
      </c>
      <c r="B4288" s="4" t="s">
        <f>=HYPERLINK("http://anyluxury.ru/shop/odezhda/detskaya-odezhda/tolstovka-s-kapyushonom-zhenskaya-queen-rozovaya-ww02q306/" , "WW02Q306 Толстовка с капюшоном женская Queen, розовая, размер M")</f>
      </c>
      <c r="C4288" s="4" t="n">
        <v>3792.00</v>
      </c>
      <c r="D4288" s="4"/>
    </row>
    <row collapsed="" customFormat="false" customHeight="1" hidden="" ht="14" outlineLevel="0" r="4289">
      <c r="A4289" s="3" t="inlineStr">
        <is>
          <t>4258</t>
        </is>
      </c>
      <c r="B4289" s="4" t="s">
        <f>=HYPERLINK("http://anyluxury.ru/shop/odezhda/detskaya-odezhda/tolstovka-s-kapyushonom-zhenskaya-queen-rozovaya-ww02q306/" , "WW02Q306 Толстовка с капюшоном женская Queen, розовая, размер L")</f>
      </c>
      <c r="C4289" s="4" t="n">
        <v>3792.00</v>
      </c>
      <c r="D4289" s="4"/>
    </row>
    <row collapsed="" customFormat="false" customHeight="1" hidden="" ht="14" outlineLevel="0" r="4290">
      <c r="A4290" s="3" t="inlineStr">
        <is>
          <t>4259</t>
        </is>
      </c>
      <c r="B4290" s="4" t="s">
        <f>=HYPERLINK("http://anyluxury.ru/shop/odezhda/detskaya-odezhda/tolstovka-s-kapyushonom-zhenskaya-queen-rozovaya-ww02q306/" , "WW02Q306 Толстовка с капюшоном женская Queen, розовая, размер XL")</f>
      </c>
      <c r="C4290" s="4" t="n">
        <v>3792.00</v>
      </c>
      <c r="D4290" s="4"/>
    </row>
    <row collapsed="" customFormat="false" customHeight="1" hidden="" ht="14" outlineLevel="0" r="4291">
      <c r="A4291" s="3" t="inlineStr">
        <is>
          <t>4260</t>
        </is>
      </c>
      <c r="B4291" s="4" t="s">
        <f>=HYPERLINK("http://anyluxury.ru/shop/odezhda/detskaya-odezhda/tolstovka-s-kapyushonom-zhenskaya-queen-rozovaya-ww02q306/" , "WW02Q306 Толстовка с капюшоном женская Queen, розовая, размер XXL")</f>
      </c>
      <c r="C4291" s="4" t="n">
        <v>3792.00</v>
      </c>
      <c r="D4291" s="4"/>
    </row>
    <row collapsed="" customFormat="false" customHeight="1" hidden="" ht="14" outlineLevel="0" r="4292">
      <c r="A4292" s="3" t="inlineStr">
        <is>
          <t>4261</t>
        </is>
      </c>
      <c r="B4292" s="4" t="s">
        <f>=HYPERLINK("http://anyluxury.ru/shop/odezhda/detskaya-odezhda/tolstovka-s-kapyushonom-zhenskaya-queen-bordovaya-ww02q369/" , "WW02Q369 Толстовка с капюшоном женская Queen, бордовая, размер XS")</f>
      </c>
      <c r="C4292" s="4" t="n">
        <v>3792.00</v>
      </c>
      <c r="D4292" s="4"/>
    </row>
    <row collapsed="" customFormat="false" customHeight="1" hidden="" ht="14" outlineLevel="0" r="4293">
      <c r="A4293" s="3" t="inlineStr">
        <is>
          <t>4262</t>
        </is>
      </c>
      <c r="B4293" s="4" t="s">
        <f>=HYPERLINK("http://anyluxury.ru/shop/odezhda/detskaya-odezhda/tolstovka-s-kapyushonom-zhenskaya-queen-bordovaya-ww02q369/" , "WW02Q369 Толстовка с капюшоном женская Queen, бордовая, размер M")</f>
      </c>
      <c r="C4293" s="4" t="n">
        <v>3792.00</v>
      </c>
      <c r="D4293" s="4"/>
    </row>
    <row collapsed="" customFormat="false" customHeight="1" hidden="" ht="14" outlineLevel="0" r="4294">
      <c r="A4294" s="3" t="inlineStr">
        <is>
          <t>4263</t>
        </is>
      </c>
      <c r="B4294" s="4" t="s">
        <f>=HYPERLINK("http://anyluxury.ru/shop/odezhda/detskaya-odezhda/tolstovka-s-kapyushonom-zhenskaya-queen-bordovaya-ww02q369/" , "WW02Q369 Толстовка с капюшоном женская Queen, бордовая, размер L")</f>
      </c>
      <c r="C4294" s="4" t="n">
        <v>3792.00</v>
      </c>
      <c r="D4294" s="4"/>
    </row>
    <row collapsed="" customFormat="false" customHeight="1" hidden="" ht="14" outlineLevel="0" r="4295">
      <c r="A4295" s="3" t="inlineStr">
        <is>
          <t>4264</t>
        </is>
      </c>
      <c r="B4295" s="4" t="s">
        <f>=HYPERLINK("http://anyluxury.ru/shop/odezhda/detskaya-odezhda/tolstovka-s-kapyushonom-zhenskaya-queen-bordovaya-ww02q369/" , "WW02Q369 Толстовка с капюшоном женская Queen, бордовая, размер XL")</f>
      </c>
      <c r="C4295" s="4" t="n">
        <v>3792.00</v>
      </c>
      <c r="D4295" s="4"/>
    </row>
    <row collapsed="" customFormat="false" customHeight="1" hidden="" ht="14" outlineLevel="0" r="4296">
      <c r="A4296" s="3" t="inlineStr">
        <is>
          <t>4265</t>
        </is>
      </c>
      <c r="B4296" s="4" t="s">
        <f>=HYPERLINK("http://anyluxury.ru/shop/odezhda/detskaya-odezhda/tolstovka-s-kapyushonom-zhenskaya-queen-bordovaya-ww02q369/" , "WW02Q369 Толстовка с капюшоном женская Queen, бордовая, размер XXL")</f>
      </c>
      <c r="C4296" s="4" t="n">
        <v>3792.00</v>
      </c>
      <c r="D4296" s="4"/>
    </row>
    <row collapsed="" customFormat="false" customHeight="1" hidden="" ht="14" outlineLevel="0" r="4297">
      <c r="A4297" s="3" t="inlineStr">
        <is>
          <t>4266</t>
        </is>
      </c>
      <c r="B4297" s="4" t="s">
        <f>=HYPERLINK("http://anyluxury.ru/shop/odezhda/detskaya-odezhda/tolstovka-s-kapyushonom-zhenskaya-queen-yarkosinyaya-ww02q453/" , "WW02Q453 Толстовка с капюшоном женская Queen, ярко-синяя, размер XS")</f>
      </c>
      <c r="C4297" s="4" t="n">
        <v>3792.00</v>
      </c>
      <c r="D4297" s="4"/>
    </row>
    <row collapsed="" customFormat="false" customHeight="1" hidden="" ht="14" outlineLevel="0" r="4298">
      <c r="A4298" s="3" t="inlineStr">
        <is>
          <t>4267</t>
        </is>
      </c>
      <c r="B4298" s="4" t="s">
        <f>=HYPERLINK("http://anyluxury.ru/shop/odezhda/detskaya-odezhda/tolstovka-s-kapyushonom-zhenskaya-queen-yarkosinyaya-ww02q453/" , "WW02Q453 Толстовка с капюшоном женская Queen, ярко-синяя, размер S")</f>
      </c>
      <c r="C4298" s="4" t="n">
        <v>3792.00</v>
      </c>
      <c r="D4298" s="4"/>
    </row>
    <row collapsed="" customFormat="false" customHeight="1" hidden="" ht="14" outlineLevel="0" r="4299">
      <c r="A4299" s="3" t="inlineStr">
        <is>
          <t>4268</t>
        </is>
      </c>
      <c r="B4299" s="4" t="s">
        <f>=HYPERLINK("http://anyluxury.ru/shop/odezhda/detskaya-odezhda/tolstovka-s-kapyushonom-zhenskaya-queen-yarkosinyaya-ww02q453/" , "WW02Q453 Толстовка с капюшоном женская Queen, ярко-синяя, размер M")</f>
      </c>
      <c r="C4299" s="4" t="n">
        <v>3792.00</v>
      </c>
      <c r="D4299" s="4"/>
    </row>
    <row collapsed="" customFormat="false" customHeight="1" hidden="" ht="14" outlineLevel="0" r="4300">
      <c r="A4300" s="3" t="inlineStr">
        <is>
          <t>4269</t>
        </is>
      </c>
      <c r="B4300" s="4" t="s">
        <f>=HYPERLINK("http://anyluxury.ru/shop/odezhda/detskaya-odezhda/tolstovka-s-kapyushonom-zhenskaya-queen-yarkosinyaya-ww02q453/" , "WW02Q453 Толстовка с капюшоном женская Queen, ярко-синяя, размер L")</f>
      </c>
      <c r="C4300" s="4" t="n">
        <v>3792.00</v>
      </c>
      <c r="D4300" s="4"/>
    </row>
    <row collapsed="" customFormat="false" customHeight="1" hidden="" ht="14" outlineLevel="0" r="4301">
      <c r="A4301" s="3" t="inlineStr">
        <is>
          <t>4270</t>
        </is>
      </c>
      <c r="B4301" s="4" t="s">
        <f>=HYPERLINK("http://anyluxury.ru/shop/odezhda/detskaya-odezhda/tolstovka-s-kapyushonom-zhenskaya-queen-yarkosinyaya-ww02q453/" , "WW02Q453 Толстовка с капюшоном женская Queen, ярко-синяя, размер XL")</f>
      </c>
      <c r="C4301" s="4" t="n">
        <v>3792.00</v>
      </c>
      <c r="D4301" s="4"/>
    </row>
    <row collapsed="" customFormat="false" customHeight="1" hidden="" ht="14" outlineLevel="0" r="4302">
      <c r="A4302" s="3" t="inlineStr">
        <is>
          <t>4271</t>
        </is>
      </c>
      <c r="B4302" s="4" t="s">
        <f>=HYPERLINK("http://anyluxury.ru/shop/odezhda/detskaya-odezhda/tolstovka-s-kapyushonom-zhenskaya-queen-yarkosinyaya-ww02q453/" , "WW02Q453 Толстовка с капюшоном женская Queen, ярко-синяя, размер XXL")</f>
      </c>
      <c r="C4302" s="4" t="n">
        <v>3792.00</v>
      </c>
      <c r="D4302" s="4"/>
    </row>
    <row collapsed="" customFormat="false" customHeight="1" hidden="" ht="14" outlineLevel="0" r="4303">
      <c r="A4303" s="3" t="inlineStr">
        <is>
          <t>4272</t>
        </is>
      </c>
      <c r="B4303" s="4" t="s">
        <f>=HYPERLINK("http://anyluxury.ru/shop/odezhda/detskaya-odezhda/tolstovka-s-kapyushonom-zhenskaya-queen-yarkosinyaya-ww02q453/" , "WW02Q453 Толстовка с капюшоном женская Queen, ярко-синяя, размер 3XL")</f>
      </c>
      <c r="C4303" s="4" t="n">
        <v>4741.00</v>
      </c>
      <c r="D4303" s="4"/>
    </row>
    <row collapsed="" customFormat="false" customHeight="1" hidden="" ht="14" outlineLevel="0" r="4304">
      <c r="A4304" s="3" t="inlineStr">
        <is>
          <t>4273</t>
        </is>
      </c>
      <c r="B4304" s="4" t="s">
        <f>=HYPERLINK("http://anyluxury.ru/shop/odezhda/detskaya-odezhda/tolstovka-s-kapyushonom-zhenskaya-queen-serosinyaya-ww02q461/" , "WW02Q461 Толстовка с капюшоном женская Queen, серо-синяя, размер XS")</f>
      </c>
      <c r="C4304" s="4" t="n">
        <v>3792.00</v>
      </c>
      <c r="D4304" s="4"/>
    </row>
    <row collapsed="" customFormat="false" customHeight="1" hidden="" ht="14" outlineLevel="0" r="4305">
      <c r="A4305" s="3" t="inlineStr">
        <is>
          <t>4274</t>
        </is>
      </c>
      <c r="B4305" s="4" t="s">
        <f>=HYPERLINK("http://anyluxury.ru/shop/odezhda/detskaya-odezhda/tolstovka-s-kapyushonom-zhenskaya-queen-serosinyaya-ww02q461/" , "WW02Q461 Толстовка с капюшоном женская Queen, серо-синяя, размер S")</f>
      </c>
      <c r="C4305" s="4" t="n">
        <v>3792.00</v>
      </c>
      <c r="D4305" s="4"/>
    </row>
    <row collapsed="" customFormat="false" customHeight="1" hidden="" ht="14" outlineLevel="0" r="4306">
      <c r="A4306" s="3" t="inlineStr">
        <is>
          <t>4275</t>
        </is>
      </c>
      <c r="B4306" s="4" t="s">
        <f>=HYPERLINK("http://anyluxury.ru/shop/odezhda/detskaya-odezhda/tolstovka-s-kapyushonom-zhenskaya-queen-serosinyaya-ww02q461/" , "WW02Q461 Толстовка с капюшоном женская Queen, серо-синяя, размер M")</f>
      </c>
      <c r="C4306" s="4" t="n">
        <v>3792.00</v>
      </c>
      <c r="D4306" s="4"/>
    </row>
    <row collapsed="" customFormat="false" customHeight="1" hidden="" ht="14" outlineLevel="0" r="4307">
      <c r="A4307" s="3" t="inlineStr">
        <is>
          <t>4276</t>
        </is>
      </c>
      <c r="B4307" s="4" t="s">
        <f>=HYPERLINK("http://anyluxury.ru/shop/odezhda/detskaya-odezhda/tolstovka-s-kapyushonom-zhenskaya-queen-serosinyaya-ww02q461/" , "WW02Q461 Толстовка с капюшоном женская Queen, серо-синяя, размер L")</f>
      </c>
      <c r="C4307" s="4" t="n">
        <v>3792.00</v>
      </c>
      <c r="D4307" s="4"/>
    </row>
    <row collapsed="" customFormat="false" customHeight="1" hidden="" ht="14" outlineLevel="0" r="4308">
      <c r="A4308" s="3" t="inlineStr">
        <is>
          <t>4277</t>
        </is>
      </c>
      <c r="B4308" s="4" t="s">
        <f>=HYPERLINK("http://anyluxury.ru/shop/odezhda/detskaya-odezhda/tolstovka-s-kapyushonom-zhenskaya-queen-serosinyaya-ww02q461/" , "WW02Q461 Толстовка с капюшоном женская Queen, серо-синяя, размер XXL")</f>
      </c>
      <c r="C4308" s="4" t="n">
        <v>3792.00</v>
      </c>
      <c r="D4308" s="4"/>
    </row>
    <row collapsed="" customFormat="false" customHeight="1" hidden="" ht="14" outlineLevel="0" r="4309">
      <c r="A4309" s="3" t="inlineStr">
        <is>
          <t>4278</t>
        </is>
      </c>
      <c r="B4309" s="4" t="s">
        <f>=HYPERLINK("http://anyluxury.ru/shop/odezhda/detskaya-odezhda/tolstovka-s-kapyushonom-zhenskaya-queen-haki-ww02q555/" , "WW02Q555 Толстовка с капюшоном женская Queen, хаки, размер XS")</f>
      </c>
      <c r="C4309" s="4" t="n">
        <v>3792.00</v>
      </c>
      <c r="D4309" s="4"/>
    </row>
    <row collapsed="" customFormat="false" customHeight="1" hidden="" ht="14" outlineLevel="0" r="4310">
      <c r="A4310" s="3" t="inlineStr">
        <is>
          <t>4279</t>
        </is>
      </c>
      <c r="B4310" s="4" t="s">
        <f>=HYPERLINK("http://anyluxury.ru/shop/odezhda/detskaya-odezhda/tolstovka-s-kapyushonom-zhenskaya-queen-haki-ww02q555/" , "WW02Q555 Толстовка с капюшоном женская Queen, хаки, размер S")</f>
      </c>
      <c r="C4310" s="4" t="n">
        <v>3792.00</v>
      </c>
      <c r="D4310" s="4"/>
    </row>
    <row collapsed="" customFormat="false" customHeight="1" hidden="" ht="14" outlineLevel="0" r="4311">
      <c r="A4311" s="3" t="inlineStr">
        <is>
          <t>4280</t>
        </is>
      </c>
      <c r="B4311" s="4" t="s">
        <f>=HYPERLINK("http://anyluxury.ru/shop/odezhda/detskaya-odezhda/tolstovka-s-kapyushonom-zhenskaya-queen-haki-ww02q555/" , "WW02Q555 Толстовка с капюшоном женская Queen, хаки, размер M")</f>
      </c>
      <c r="C4311" s="4" t="n">
        <v>3792.00</v>
      </c>
      <c r="D4311" s="4"/>
    </row>
    <row collapsed="" customFormat="false" customHeight="1" hidden="" ht="14" outlineLevel="0" r="4312">
      <c r="A4312" s="3" t="inlineStr">
        <is>
          <t>4281</t>
        </is>
      </c>
      <c r="B4312" s="4" t="s">
        <f>=HYPERLINK("http://anyluxury.ru/shop/odezhda/detskaya-odezhda/tolstovka-s-kapyushonom-zhenskaya-queen-haki-ww02q555/" , "WW02Q555 Толстовка с капюшоном женская Queen, хаки, размер L")</f>
      </c>
      <c r="C4312" s="4" t="n">
        <v>3792.00</v>
      </c>
      <c r="D4312" s="4"/>
    </row>
    <row collapsed="" customFormat="false" customHeight="1" hidden="" ht="14" outlineLevel="0" r="4313">
      <c r="A4313" s="3" t="inlineStr">
        <is>
          <t>4282</t>
        </is>
      </c>
      <c r="B4313" s="4" t="s">
        <f>=HYPERLINK("http://anyluxury.ru/shop/odezhda/detskaya-odezhda/tolstovka-s-kapyushonom-zhenskaya-queen-haki-ww02q555/" , "WW02Q555 Толстовка с капюшоном женская Queen, хаки, размер XL")</f>
      </c>
      <c r="C4313" s="4" t="n">
        <v>3792.00</v>
      </c>
      <c r="D4313" s="4"/>
    </row>
    <row collapsed="" customFormat="false" customHeight="1" hidden="" ht="14" outlineLevel="0" r="4314">
      <c r="A4314" s="3" t="inlineStr">
        <is>
          <t>4283</t>
        </is>
      </c>
      <c r="B4314" s="4" t="s">
        <f>=HYPERLINK("http://anyluxury.ru/shop/odezhda/detskaya-odezhda/tolstovka-s-kapyushonom-zhenskaya-queen-haki-ww02q555/" , "WW02Q555 Толстовка с капюшоном женская Queen, хаки, размер XXL")</f>
      </c>
      <c r="C4314" s="4" t="n">
        <v>3792.00</v>
      </c>
      <c r="D4314" s="4"/>
    </row>
    <row collapsed="" customFormat="false" customHeight="1" hidden="" ht="14" outlineLevel="0" r="4315">
      <c r="A4315" s="3" t="inlineStr">
        <is>
          <t>4284</t>
        </is>
      </c>
      <c r="B4315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XS")</f>
      </c>
      <c r="C4315" s="4" t="n">
        <v>3792.00</v>
      </c>
      <c r="D4315" s="4"/>
    </row>
    <row collapsed="" customFormat="false" customHeight="1" hidden="" ht="14" outlineLevel="0" r="4316">
      <c r="A4316" s="3" t="inlineStr">
        <is>
          <t>4285</t>
        </is>
      </c>
      <c r="B4316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S")</f>
      </c>
      <c r="C4316" s="4" t="n">
        <v>3792.00</v>
      </c>
      <c r="D4316" s="4"/>
    </row>
    <row collapsed="" customFormat="false" customHeight="1" hidden="" ht="14" outlineLevel="0" r="4317">
      <c r="A4317" s="3" t="inlineStr">
        <is>
          <t>4286</t>
        </is>
      </c>
      <c r="B4317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M")</f>
      </c>
      <c r="C4317" s="4" t="n">
        <v>3792.00</v>
      </c>
      <c r="D4317" s="4"/>
    </row>
    <row collapsed="" customFormat="false" customHeight="1" hidden="" ht="14" outlineLevel="0" r="4318">
      <c r="A4318" s="3" t="inlineStr">
        <is>
          <t>4287</t>
        </is>
      </c>
      <c r="B4318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L")</f>
      </c>
      <c r="C4318" s="4" t="n">
        <v>3792.00</v>
      </c>
      <c r="D4318" s="4"/>
    </row>
    <row collapsed="" customFormat="false" customHeight="1" hidden="" ht="14" outlineLevel="0" r="4319">
      <c r="A4319" s="3" t="inlineStr">
        <is>
          <t>4288</t>
        </is>
      </c>
      <c r="B4319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XL")</f>
      </c>
      <c r="C4319" s="4" t="n">
        <v>3792.00</v>
      </c>
      <c r="D4319" s="4"/>
    </row>
    <row collapsed="" customFormat="false" customHeight="1" hidden="" ht="14" outlineLevel="0" r="4320">
      <c r="A4320" s="3" t="inlineStr">
        <is>
          <t>4289</t>
        </is>
      </c>
      <c r="B4320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XXL")</f>
      </c>
      <c r="C4320" s="4" t="n">
        <v>3792.00</v>
      </c>
      <c r="D4320" s="4"/>
    </row>
    <row collapsed="" customFormat="false" customHeight="1" hidden="" ht="14" outlineLevel="0" r="4321">
      <c r="A4321" s="3" t="inlineStr">
        <is>
          <t>4290</t>
        </is>
      </c>
      <c r="B4321" s="4" t="s">
        <f>=HYPERLINK("http://anyluxury.ru/shop/odezhda/detskaya-odezhda/tolstovka-s-kapyushonom-zhenskaya-queen-dimchatoseraya-ww02q672/" , "WW02Q672 Толстовка с капюшоном женская Queen, дымчато-серая, размер XS")</f>
      </c>
      <c r="C4321" s="4" t="n">
        <v>3792.00</v>
      </c>
      <c r="D4321" s="4"/>
    </row>
    <row collapsed="" customFormat="false" customHeight="1" hidden="" ht="14" outlineLevel="0" r="4322">
      <c r="A4322" s="3" t="inlineStr">
        <is>
          <t>4291</t>
        </is>
      </c>
      <c r="B4322" s="4" t="s">
        <f>=HYPERLINK("http://anyluxury.ru/shop/odezhda/detskaya-odezhda/tolstovka-s-kapyushonom-zhenskaya-queen-dimchatoseraya-ww02q672/" , "WW02Q672 Толстовка с капюшоном женская Queen, дымчато-серая, размер S")</f>
      </c>
      <c r="C4322" s="4" t="n">
        <v>3792.00</v>
      </c>
      <c r="D4322" s="4"/>
    </row>
    <row collapsed="" customFormat="false" customHeight="1" hidden="" ht="14" outlineLevel="0" r="4323">
      <c r="A4323" s="3" t="inlineStr">
        <is>
          <t>4292</t>
        </is>
      </c>
      <c r="B4323" s="4" t="s">
        <f>=HYPERLINK("http://anyluxury.ru/shop/odezhda/detskaya-odezhda/tolstovka-s-kapyushonom-zhenskaya-queen-dimchatoseraya-ww02q672/" , "WW02Q672 Толстовка с капюшоном женская Queen, дымчато-серая, размер M")</f>
      </c>
      <c r="C4323" s="4" t="n">
        <v>3792.00</v>
      </c>
      <c r="D4323" s="4"/>
    </row>
    <row collapsed="" customFormat="false" customHeight="1" hidden="" ht="14" outlineLevel="0" r="4324">
      <c r="A4324" s="3" t="inlineStr">
        <is>
          <t>4293</t>
        </is>
      </c>
      <c r="B4324" s="4" t="s">
        <f>=HYPERLINK("http://anyluxury.ru/shop/odezhda/detskaya-odezhda/tolstovka-s-kapyushonom-zhenskaya-queen-dimchatoseraya-ww02q672/" , "WW02Q672 Толстовка с капюшоном женская Queen, дымчато-серая, размер XL")</f>
      </c>
      <c r="C4324" s="4" t="n">
        <v>3792.00</v>
      </c>
      <c r="D4324" s="4"/>
    </row>
    <row collapsed="" customFormat="false" customHeight="1" hidden="" ht="14" outlineLevel="0" r="4325">
      <c r="A4325" s="3" t="inlineStr">
        <is>
          <t>4294</t>
        </is>
      </c>
      <c r="B4325" s="4" t="s">
        <f>=HYPERLINK("http://anyluxury.ru/shop/odezhda/detskaya-odezhda/tolstovka-s-kapyushonom-zhenskaya-queen-dimchatoseraya-ww02q672/" , "WW02Q672 Толстовка с капюшоном женская Queen, дымчато-серая, размер XXL")</f>
      </c>
      <c r="C4325" s="4" t="n">
        <v>3792.00</v>
      </c>
      <c r="D4325" s="4"/>
    </row>
    <row collapsed="" customFormat="false" customHeight="1" hidden="" ht="14" outlineLevel="0" r="4326">
      <c r="A4326" s="3" t="inlineStr">
        <is>
          <t>4295</t>
        </is>
      </c>
      <c r="B4326" s="4" t="s">
        <f>=HYPERLINK("http://anyluxury.ru/shop/odezhda/detskaya-odezhda/futbolka-detskaya-martin-kids-belaya-03102102/" , "03102102 Футболка детская Martin Kids, белая, на рост 106-116 см (6 лет)")</f>
      </c>
      <c r="C4326" s="4" t="n">
        <v>457.00</v>
      </c>
      <c r="D4326" s="4"/>
    </row>
    <row collapsed="" customFormat="false" customHeight="1" hidden="" ht="14" outlineLevel="0" r="4327">
      <c r="A4327" s="3" t="inlineStr">
        <is>
          <t>4296</t>
        </is>
      </c>
      <c r="B4327" s="4" t="s">
        <f>=HYPERLINK("http://anyluxury.ru/shop/odezhda/detskaya-odezhda/futbolka-detskaya-martin-kids-svetlorozovaya-03102143/" , "03102143 Футболка детская Martin Kids, розовая, на рост 106-116 см (6 лет)")</f>
      </c>
      <c r="C4327" s="4" t="n">
        <v>490.00</v>
      </c>
      <c r="D4327" s="4"/>
    </row>
    <row collapsed="" customFormat="false" customHeight="1" hidden="" ht="14" outlineLevel="0" r="4328">
      <c r="A4328" s="3" t="inlineStr">
        <is>
          <t>4297</t>
        </is>
      </c>
      <c r="B4328" s="4" t="s">
        <f>=HYPERLINK("http://anyluxury.ru/shop/odezhda/detskaya-odezhda/futbolka-detskaya-martin-kids-bordovaya-03102167/" , "03102167 Футболка детская Martin Kids, бордовая, на рост 96-104 см (4 года)")</f>
      </c>
      <c r="C4328" s="4" t="n">
        <v>573.00</v>
      </c>
      <c r="D4328" s="4"/>
    </row>
    <row collapsed="" customFormat="false" customHeight="1" hidden="" ht="14" outlineLevel="0" r="4329">
      <c r="A4329" s="3" t="inlineStr">
        <is>
          <t>4298</t>
        </is>
      </c>
      <c r="B4329" s="4" t="s">
        <f>=HYPERLINK("http://anyluxury.ru/shop/odezhda/detskaya-odezhda/futbolka-detskaya-martin-kids-bordovaya-03102167/" , "03102167 Футболка детская Martin Kids, бордовая, на рост 106-116 см (6 лет)")</f>
      </c>
      <c r="C4329" s="4" t="n">
        <v>573.00</v>
      </c>
      <c r="D4329" s="4"/>
    </row>
    <row collapsed="" customFormat="false" customHeight="1" hidden="" ht="14" outlineLevel="0" r="4330">
      <c r="A4330" s="3" t="inlineStr">
        <is>
          <t>4299</t>
        </is>
      </c>
      <c r="B4330" s="4" t="s">
        <f>=HYPERLINK("http://anyluxury.ru/shop/odezhda/detskaya-odezhda/futbolka-detskaya-martin-kids-bordovaya-03102167/" , "03102167 Футболка детская Martin Kids, бордовая, на рост 118-128 см (8 лет)")</f>
      </c>
      <c r="C4330" s="4" t="n">
        <v>573.00</v>
      </c>
      <c r="D4330" s="4"/>
    </row>
    <row collapsed="" customFormat="false" customHeight="1" hidden="" ht="14" outlineLevel="0" r="4331">
      <c r="A4331" s="3" t="inlineStr">
        <is>
          <t>4300</t>
        </is>
      </c>
      <c r="B4331" s="4" t="s">
        <f>=HYPERLINK("http://anyluxury.ru/shop/odezhda/detskaya-odezhda/futbolka-detskaya-martin-kids-bordovaya-03102167/" , "03102167 Футболка детская Martin Kids, бордовая, на рост 130-140 см (10 лет)")</f>
      </c>
      <c r="C4331" s="4" t="n">
        <v>573.00</v>
      </c>
      <c r="D4331" s="4"/>
    </row>
    <row collapsed="" customFormat="false" customHeight="1" hidden="" ht="14" outlineLevel="0" r="4332">
      <c r="A4332" s="3" t="inlineStr">
        <is>
          <t>4301</t>
        </is>
      </c>
      <c r="B4332" s="4" t="s">
        <f>=HYPERLINK("http://anyluxury.ru/shop/odezhda/detskaya-odezhda/futbolka-detskaya-martin-kids-bordovaya-03102167/" , "03102167 Футболка детская Martin Kids, бордовая, на рост 142-152 см (12 лет)")</f>
      </c>
      <c r="C4332" s="4" t="n">
        <v>573.00</v>
      </c>
      <c r="D4332" s="4"/>
    </row>
    <row collapsed="" customFormat="false" customHeight="1" hidden="" ht="14" outlineLevel="0" r="4333">
      <c r="A4333" s="3" t="inlineStr">
        <is>
          <t>4302</t>
        </is>
      </c>
      <c r="B4333" s="4" t="s">
        <f>=HYPERLINK("http://anyluxury.ru/shop/odezhda/detskaya-odezhda/futbolka-detskaya-martin-kids-yarkosinyaya-royal-03102241/" , "03102241 Футболка детская Martin Kids, ярко-синяя (royal), на рост 96-104 см (4 года)")</f>
      </c>
      <c r="C4333" s="4" t="n">
        <v>573.00</v>
      </c>
      <c r="D4333" s="4"/>
    </row>
    <row collapsed="" customFormat="false" customHeight="1" hidden="" ht="14" outlineLevel="0" r="4334">
      <c r="A4334" s="3" t="inlineStr">
        <is>
          <t>4303</t>
        </is>
      </c>
      <c r="B4334" s="4" t="s">
        <f>=HYPERLINK("http://anyluxury.ru/shop/odezhda/detskaya-odezhda/futbolka-detskaya-martin-kids-yarkosinyaya-royal-03102241/" , "03102241 Футболка детская Martin Kids, ярко-синяя (royal), на рост 106-116 см (6 лет)")</f>
      </c>
      <c r="C4334" s="4" t="n">
        <v>573.00</v>
      </c>
      <c r="D4334" s="4"/>
    </row>
    <row collapsed="" customFormat="false" customHeight="1" hidden="" ht="14" outlineLevel="0" r="4335">
      <c r="A4335" s="3" t="inlineStr">
        <is>
          <t>4304</t>
        </is>
      </c>
      <c r="B4335" s="4" t="s">
        <f>=HYPERLINK("http://anyluxury.ru/shop/odezhda/detskaya-odezhda/futbolka-detskaya-martin-kids-yarkosinyaya-royal-03102241/" , "03102241 Футболка детская Martin Kids, ярко-синяя (royal), на рост 118-128 см (8 лет)")</f>
      </c>
      <c r="C4335" s="4" t="n">
        <v>573.00</v>
      </c>
      <c r="D4335" s="4"/>
    </row>
    <row collapsed="" customFormat="false" customHeight="1" hidden="" ht="14" outlineLevel="0" r="4336">
      <c r="A4336" s="3" t="inlineStr">
        <is>
          <t>4305</t>
        </is>
      </c>
      <c r="B4336" s="4" t="s">
        <f>=HYPERLINK("http://anyluxury.ru/shop/odezhda/detskaya-odezhda/futbolka-detskaya-martin-kids-yarkosinyaya-royal-03102241/" , "03102241 Футболка детская Martin Kids, ярко-синяя (royal), на рост 130-140 см (10 лет)")</f>
      </c>
      <c r="C4336" s="4" t="n">
        <v>573.00</v>
      </c>
      <c r="D4336" s="4"/>
    </row>
    <row collapsed="" customFormat="false" customHeight="1" hidden="" ht="14" outlineLevel="0" r="4337">
      <c r="A4337" s="3" t="inlineStr">
        <is>
          <t>4306</t>
        </is>
      </c>
      <c r="B4337" s="4" t="s">
        <f>=HYPERLINK("http://anyluxury.ru/shop/odezhda/detskaya-odezhda/futbolka-detskaya-martin-kids-yarkosinyaya-royal-03102241/" , "03102241 Футболка детская Martin Kids, ярко-синяя (royal), на рост 142-152 см (12 лет)")</f>
      </c>
      <c r="C4337" s="4" t="n">
        <v>573.00</v>
      </c>
      <c r="D4337" s="4"/>
    </row>
    <row collapsed="" customFormat="false" customHeight="1" hidden="" ht="14" outlineLevel="0" r="4338">
      <c r="A4338" s="3" t="inlineStr">
        <is>
          <t>4307</t>
        </is>
      </c>
      <c r="B4338" s="4" t="s">
        <f>=HYPERLINK("http://anyluxury.ru/shop/odezhda/detskaya-odezhda/futbolka-detskaya-martin-kids-golubaya-03102251/" , "03102251 Футболка детская Martin Kids, голубая, на рост 96-104 см (4 года)")</f>
      </c>
      <c r="C4338" s="4" t="n">
        <v>490.00</v>
      </c>
      <c r="D4338" s="4"/>
    </row>
    <row collapsed="" customFormat="false" customHeight="1" hidden="" ht="14" outlineLevel="0" r="4339">
      <c r="A4339" s="3" t="inlineStr">
        <is>
          <t>4308</t>
        </is>
      </c>
      <c r="B4339" s="4" t="s">
        <f>=HYPERLINK("http://anyluxury.ru/shop/odezhda/detskaya-odezhda/futbolka-detskaya-martin-kids-golubaya-03102251/" , "03102251 Футболка детская Martin Kids, голубая, на рост 106-116 см (6 лет)")</f>
      </c>
      <c r="C4339" s="4" t="n">
        <v>490.00</v>
      </c>
      <c r="D4339" s="4"/>
    </row>
    <row collapsed="" customFormat="false" customHeight="1" hidden="" ht="14" outlineLevel="0" r="4340">
      <c r="A4340" s="3" t="inlineStr">
        <is>
          <t>4309</t>
        </is>
      </c>
      <c r="B4340" s="4" t="s">
        <f>=HYPERLINK("http://anyluxury.ru/shop/odezhda/detskaya-odezhda/futbolka-detskaya-martin-kids-golubaya-03102251/" , "03102251 Футболка детская Martin Kids, голубая, на рост 118-128 см (8 лет)")</f>
      </c>
      <c r="C4340" s="4" t="n">
        <v>490.00</v>
      </c>
      <c r="D4340" s="4"/>
    </row>
    <row collapsed="" customFormat="false" customHeight="1" hidden="" ht="14" outlineLevel="0" r="4341">
      <c r="A4341" s="3" t="inlineStr">
        <is>
          <t>4310</t>
        </is>
      </c>
      <c r="B4341" s="4" t="s">
        <f>=HYPERLINK("http://anyluxury.ru/shop/odezhda/detskaya-odezhda/futbolka-detskaya-martin-kids-chernaya-03102309/" , "03102309 Футболка детская Martin Kids, черная, на рост 96-104 см (4 года)")</f>
      </c>
      <c r="C4341" s="4" t="n">
        <v>573.00</v>
      </c>
      <c r="D4341" s="4"/>
    </row>
    <row collapsed="" customFormat="false" customHeight="1" hidden="" ht="14" outlineLevel="0" r="4342">
      <c r="A4342" s="3" t="inlineStr">
        <is>
          <t>4311</t>
        </is>
      </c>
      <c r="B4342" s="4" t="s">
        <f>=HYPERLINK("http://anyluxury.ru/shop/odezhda/detskaya-odezhda/futbolka-detskaya-martin-kids-chernaya-03102309/" , "03102309 Футболка детская Martin Kids, черная, на рост 106-116 см (6 лет)")</f>
      </c>
      <c r="C4342" s="4" t="n">
        <v>573.00</v>
      </c>
      <c r="D4342" s="4"/>
    </row>
    <row collapsed="" customFormat="false" customHeight="1" hidden="" ht="14" outlineLevel="0" r="4343">
      <c r="A4343" s="3" t="inlineStr">
        <is>
          <t>4312</t>
        </is>
      </c>
      <c r="B4343" s="4" t="s">
        <f>=HYPERLINK("http://anyluxury.ru/shop/odezhda/detskaya-odezhda/futbolka-detskaya-martin-kids-chernaya-03102309/" , "03102309 Футболка детская Martin Kids, черная, на рост 118-128 см (8 лет)")</f>
      </c>
      <c r="C4343" s="4" t="n">
        <v>573.00</v>
      </c>
      <c r="D4343" s="4"/>
    </row>
    <row collapsed="" customFormat="false" customHeight="1" hidden="" ht="14" outlineLevel="0" r="4344">
      <c r="A4344" s="3" t="inlineStr">
        <is>
          <t>4313</t>
        </is>
      </c>
      <c r="B4344" s="4" t="s">
        <f>=HYPERLINK("http://anyluxury.ru/shop/odezhda/detskaya-odezhda/futbolka-detskaya-martin-kids-chernaya-03102309/" , "03102309 Футболка детская Martin Kids, черная, на рост 130-140 см (10 лет)")</f>
      </c>
      <c r="C4344" s="4" t="n">
        <v>573.00</v>
      </c>
      <c r="D4344" s="4"/>
    </row>
    <row collapsed="" customFormat="false" customHeight="1" hidden="" ht="14" outlineLevel="0" r="4345">
      <c r="A4345" s="3" t="inlineStr">
        <is>
          <t>4314</t>
        </is>
      </c>
      <c r="B4345" s="4" t="s">
        <f>=HYPERLINK("http://anyluxury.ru/shop/odezhda/detskaya-odezhda/futbolka-detskaya-martin-kids-chernaya-03102309/" , "03102309 Футболка детская Martin Kids, черная, на рост 142-152 см (12 лет)")</f>
      </c>
      <c r="C4345" s="4" t="n">
        <v>573.00</v>
      </c>
      <c r="D4345" s="4"/>
    </row>
    <row collapsed="" customFormat="false" customHeight="1" hidden="" ht="14" outlineLevel="0" r="4346">
      <c r="A4346" s="3" t="inlineStr">
        <is>
          <t>4315</t>
        </is>
      </c>
      <c r="B4346" s="4" t="s">
        <f>=HYPERLINK("http://anyluxury.ru/shop/odezhda/detskaya-odezhda/futbolka-detskaya-martin-kids-kobalt-temnosinyaya-03102319/" , "03102319 Футболка детская Martin Kids, кобальт (темно-синяя), на рост 96-104 см (4 года)")</f>
      </c>
      <c r="C4346" s="4" t="n">
        <v>573.00</v>
      </c>
      <c r="D4346" s="4"/>
    </row>
    <row collapsed="" customFormat="false" customHeight="1" hidden="" ht="14" outlineLevel="0" r="4347">
      <c r="A4347" s="3" t="inlineStr">
        <is>
          <t>4316</t>
        </is>
      </c>
      <c r="B4347" s="4" t="s">
        <f>=HYPERLINK("http://anyluxury.ru/shop/odezhda/detskaya-odezhda/futbolka-detskaya-martin-kids-kobalt-temnosinyaya-03102319/" , "03102319 Футболка детская Martin Kids, кобальт (темно-синяя), на рост 106-116 см (6 лет)")</f>
      </c>
      <c r="C4347" s="4" t="n">
        <v>573.00</v>
      </c>
      <c r="D4347" s="4"/>
    </row>
    <row collapsed="" customFormat="false" customHeight="1" hidden="" ht="14" outlineLevel="0" r="4348">
      <c r="A4348" s="3" t="inlineStr">
        <is>
          <t>4317</t>
        </is>
      </c>
      <c r="B4348" s="4" t="s">
        <f>=HYPERLINK("http://anyluxury.ru/shop/odezhda/detskaya-odezhda/futbolka-detskaya-martin-kids-kobalt-temnosinyaya-03102319/" , "03102319 Футболка детская Martin Kids, кобальт (темно-синяя), на рост 118-128 см (8 лет)")</f>
      </c>
      <c r="C4348" s="4" t="n">
        <v>573.00</v>
      </c>
      <c r="D4348" s="4"/>
    </row>
    <row collapsed="" customFormat="false" customHeight="1" hidden="" ht="14" outlineLevel="0" r="4349">
      <c r="A4349" s="3" t="inlineStr">
        <is>
          <t>4318</t>
        </is>
      </c>
      <c r="B4349" s="4" t="s">
        <f>=HYPERLINK("http://anyluxury.ru/shop/odezhda/detskaya-odezhda/futbolka-detskaya-martin-kids-kobalt-temnosinyaya-03102319/" , "03102319 Футболка детская Martin Kids, кобальт (темно-синяя), на рост 130-140 см (10 лет)")</f>
      </c>
      <c r="C4349" s="4" t="n">
        <v>573.00</v>
      </c>
      <c r="D4349" s="4"/>
    </row>
    <row collapsed="" customFormat="false" customHeight="1" hidden="" ht="14" outlineLevel="0" r="4350">
      <c r="A4350" s="3" t="inlineStr">
        <is>
          <t>4319</t>
        </is>
      </c>
      <c r="B4350" s="4" t="s">
        <f>=HYPERLINK("http://anyluxury.ru/shop/odezhda/detskaya-odezhda/futbolka-detskaya-martin-kids-kobalt-temnosinyaya-03102319/" , "03102319 Футболка детская Martin Kids, кобальт (темно-синяя), на рост 142-152 см (12 лет)")</f>
      </c>
      <c r="C4350" s="4" t="n">
        <v>573.00</v>
      </c>
      <c r="D4350" s="4"/>
    </row>
    <row collapsed="" customFormat="false" customHeight="1" hidden="" ht="14" outlineLevel="0" r="4351">
      <c r="A4351" s="3" t="inlineStr">
        <is>
          <t>4320</t>
        </is>
      </c>
      <c r="B4351" s="4" t="s">
        <f>=HYPERLINK("http://anyluxury.ru/shop/odezhda/detskaya-odezhda/futbolka-detskaya-martin-kids-nezhnozelenaya-03102323/" , "03102323 Футболка детская Martin Kids, нежно-зеленая, на рост 96-104 см (4 года)")</f>
      </c>
      <c r="C4351" s="4" t="n">
        <v>490.00</v>
      </c>
      <c r="D4351" s="4"/>
    </row>
    <row collapsed="" customFormat="false" customHeight="1" hidden="" ht="14" outlineLevel="0" r="4352">
      <c r="A4352" s="3" t="inlineStr">
        <is>
          <t>4321</t>
        </is>
      </c>
      <c r="B4352" s="4" t="s">
        <f>=HYPERLINK("http://anyluxury.ru/shop/odezhda/detskaya-odezhda/futbolka-detskaya-martin-kids-nezhnozelenaya-03102323/" , "03102323 Футболка детская Martin Kids, зеленая, на рост 142-152 см (12 лет)")</f>
      </c>
      <c r="C4352" s="4" t="n">
        <v>490.00</v>
      </c>
      <c r="D4352" s="4"/>
    </row>
    <row collapsed="" customFormat="false" customHeight="1" hidden="" ht="14" outlineLevel="0" r="4353">
      <c r="A4353" s="3" t="inlineStr">
        <is>
          <t>4322</t>
        </is>
      </c>
      <c r="B4353" s="4" t="s">
        <f>=HYPERLINK("http://anyluxury.ru/shop/odezhda/detskaya-odezhda/futbolka-detskaya-martin-kids-seriy-melanzh-03102350/" , "03102350 Футболка детская Martin Kids, серый меланж, на рост 96-104 см (4 года)")</f>
      </c>
      <c r="C4353" s="4" t="n">
        <v>573.00</v>
      </c>
      <c r="D4353" s="4"/>
    </row>
    <row collapsed="" customFormat="false" customHeight="1" hidden="" ht="14" outlineLevel="0" r="4354">
      <c r="A4354" s="3" t="inlineStr">
        <is>
          <t>4323</t>
        </is>
      </c>
      <c r="B4354" s="4" t="s">
        <f>=HYPERLINK("http://anyluxury.ru/shop/odezhda/detskaya-odezhda/futbolka-detskaya-martin-kids-seriy-melanzh-03102350/" , "03102350 Футболка детская Martin Kids, серый меланж, на рост 106-116 см (6 лет)")</f>
      </c>
      <c r="C4354" s="4" t="n">
        <v>573.00</v>
      </c>
      <c r="D4354" s="4"/>
    </row>
    <row collapsed="" customFormat="false" customHeight="1" hidden="" ht="14" outlineLevel="0" r="4355">
      <c r="A4355" s="3" t="inlineStr">
        <is>
          <t>4324</t>
        </is>
      </c>
      <c r="B4355" s="4" t="s">
        <f>=HYPERLINK("http://anyluxury.ru/shop/odezhda/detskaya-odezhda/futbolka-detskaya-martin-kids-seriy-melanzh-03102350/" , "03102350 Футболка детская Martin Kids, серый меланж, на рост 118-128 см (8 лет)")</f>
      </c>
      <c r="C4355" s="4" t="n">
        <v>573.00</v>
      </c>
      <c r="D4355" s="4"/>
    </row>
    <row collapsed="" customFormat="false" customHeight="1" hidden="" ht="14" outlineLevel="0" r="4356">
      <c r="A4356" s="3" t="inlineStr">
        <is>
          <t>4325</t>
        </is>
      </c>
      <c r="B4356" s="4" t="s">
        <f>=HYPERLINK("http://anyluxury.ru/shop/odezhda/detskaya-odezhda/futbolka-detskaya-martin-kids-seriy-melanzh-03102350/" , "03102350 Футболка детская Martin Kids, серый меланж, на рост 130-140 см (10 лет)")</f>
      </c>
      <c r="C4356" s="4" t="n">
        <v>573.00</v>
      </c>
      <c r="D4356" s="4"/>
    </row>
    <row collapsed="" customFormat="false" customHeight="1" hidden="" ht="14" outlineLevel="0" r="4357">
      <c r="A4357" s="3" t="inlineStr">
        <is>
          <t>4326</t>
        </is>
      </c>
      <c r="B4357" s="4" t="s">
        <f>=HYPERLINK("http://anyluxury.ru/shop/odezhda/detskaya-odezhda/futbolka-detskaya-martin-kids-seriy-melanzh-03102350/" , "03102350 Футболка детская Martin Kids, серый меланж, на рост 142-152 см (12 лет)")</f>
      </c>
      <c r="C4357" s="4" t="n">
        <v>573.00</v>
      </c>
      <c r="D4357" s="4"/>
    </row>
    <row collapsed="" customFormat="false" customHeight="1" hidden="" ht="14" outlineLevel="0" r="4358">
      <c r="A4358" s="3" t="inlineStr">
        <is>
          <t>4327</t>
        </is>
      </c>
      <c r="B4358" s="4" t="s">
        <f>=HYPERLINK("http://anyluxury.ru/shop/odezhda/detskaya-odezhda/futbolka-detskaya-martin-kids-temnoseraya-grafit-03102381/" , "03102381 Футболка детская Martin Kids, темно-серая (графит), на рост 96-104 см (4 года)")</f>
      </c>
      <c r="C4358" s="4" t="n">
        <v>573.00</v>
      </c>
      <c r="D4358" s="4"/>
    </row>
    <row collapsed="" customFormat="false" customHeight="1" hidden="" ht="14" outlineLevel="0" r="4359">
      <c r="A4359" s="3" t="inlineStr">
        <is>
          <t>4328</t>
        </is>
      </c>
      <c r="B4359" s="4" t="s">
        <f>=HYPERLINK("http://anyluxury.ru/shop/odezhda/detskaya-odezhda/futbolka-detskaya-martin-kids-temnoseraya-grafit-03102381/" , "03102381 Футболка детская Martin Kids, темно-серая (графит), на рост 106-116 см (6 лет)")</f>
      </c>
      <c r="C4359" s="4" t="n">
        <v>573.00</v>
      </c>
      <c r="D4359" s="4"/>
    </row>
    <row collapsed="" customFormat="false" customHeight="1" hidden="" ht="14" outlineLevel="0" r="4360">
      <c r="A4360" s="3" t="inlineStr">
        <is>
          <t>4329</t>
        </is>
      </c>
      <c r="B4360" s="4" t="s">
        <f>=HYPERLINK("http://anyluxury.ru/shop/odezhda/detskaya-odezhda/futbolka-detskaya-martin-kids-temnoseraya-grafit-03102381/" , "03102381 Футболка детская Martin Kids, темно-серая (графит), на рост 118-128 см (8 лет)")</f>
      </c>
      <c r="C4360" s="4" t="n">
        <v>573.00</v>
      </c>
      <c r="D4360" s="4"/>
    </row>
    <row collapsed="" customFormat="false" customHeight="1" hidden="" ht="14" outlineLevel="0" r="4361">
      <c r="A4361" s="3" t="inlineStr">
        <is>
          <t>4330</t>
        </is>
      </c>
      <c r="B4361" s="4" t="s">
        <f>=HYPERLINK("http://anyluxury.ru/shop/odezhda/detskaya-odezhda/futbolka-detskaya-martin-kids-temnoseraya-grafit-03102381/" , "03102381 Футболка детская Martin Kids, темно-серая (графит), на рост 130-140 см (10 лет)")</f>
      </c>
      <c r="C4361" s="4" t="n">
        <v>573.00</v>
      </c>
      <c r="D4361" s="4"/>
    </row>
    <row collapsed="" customFormat="false" customHeight="1" hidden="" ht="14" outlineLevel="0" r="4362">
      <c r="A4362" s="3" t="inlineStr">
        <is>
          <t>4331</t>
        </is>
      </c>
      <c r="B4362" s="4" t="s">
        <f>=HYPERLINK("http://anyluxury.ru/shop/odezhda/detskaya-odezhda/futbolka-detskaya-martin-kids-temnoseraya-grafit-03102381/" , "03102381 Футболка детская Martin Kids, темно-серая (графит), на рост 142-152 см (12 лет)")</f>
      </c>
      <c r="C4362" s="4" t="n">
        <v>573.00</v>
      </c>
      <c r="D4362" s="4"/>
    </row>
    <row collapsed="" customFormat="false" customHeight="1" hidden="" ht="14" outlineLevel="0" r="4363">
      <c r="A4363" s="3" t="inlineStr">
        <is>
          <t>4332</t>
        </is>
      </c>
      <c r="B4363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96-104 см (4 года)")</f>
      </c>
      <c r="C4363" s="4" t="n">
        <v>1634.00</v>
      </c>
      <c r="D4363" s="4"/>
    </row>
    <row collapsed="" customFormat="false" customHeight="1" hidden="" ht="14" outlineLevel="0" r="4364">
      <c r="A4364" s="3" t="inlineStr">
        <is>
          <t>4333</t>
        </is>
      </c>
      <c r="B4364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106-116 см (6 лет)")</f>
      </c>
      <c r="C4364" s="4" t="n">
        <v>1634.00</v>
      </c>
      <c r="D4364" s="4"/>
    </row>
    <row collapsed="" customFormat="false" customHeight="1" hidden="" ht="14" outlineLevel="0" r="4365">
      <c r="A4365" s="3" t="inlineStr">
        <is>
          <t>4334</t>
        </is>
      </c>
      <c r="B4365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118-128 см (8 лет)")</f>
      </c>
      <c r="C4365" s="4" t="n">
        <v>1634.00</v>
      </c>
      <c r="D4365" s="4"/>
    </row>
    <row collapsed="" customFormat="false" customHeight="1" hidden="" ht="14" outlineLevel="0" r="4366">
      <c r="A4366" s="3" t="inlineStr">
        <is>
          <t>4335</t>
        </is>
      </c>
      <c r="B4366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130-140 см (10 лет)")</f>
      </c>
      <c r="C4366" s="4" t="n">
        <v>1634.00</v>
      </c>
      <c r="D4366" s="4"/>
    </row>
    <row collapsed="" customFormat="false" customHeight="1" hidden="" ht="14" outlineLevel="0" r="4367">
      <c r="A4367" s="3" t="inlineStr">
        <is>
          <t>4336</t>
        </is>
      </c>
      <c r="B4367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142-152 см (12 лет)")</f>
      </c>
      <c r="C4367" s="4" t="n">
        <v>1634.00</v>
      </c>
      <c r="D4367" s="4"/>
    </row>
    <row collapsed="" customFormat="false" customHeight="1" hidden="" ht="14" outlineLevel="0" r="4368">
      <c r="A4368" s="3" t="inlineStr">
        <is>
          <t>4337</t>
        </is>
      </c>
      <c r="B4368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96-104 см (4 года)")</f>
      </c>
      <c r="C4368" s="4" t="n">
        <v>1634.00</v>
      </c>
      <c r="D4368" s="4"/>
    </row>
    <row collapsed="" customFormat="false" customHeight="1" hidden="" ht="14" outlineLevel="0" r="4369">
      <c r="A4369" s="3" t="inlineStr">
        <is>
          <t>4338</t>
        </is>
      </c>
      <c r="B4369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106-116 см (6 лет)")</f>
      </c>
      <c r="C4369" s="4" t="n">
        <v>1634.00</v>
      </c>
      <c r="D4369" s="4"/>
    </row>
    <row collapsed="" customFormat="false" customHeight="1" hidden="" ht="14" outlineLevel="0" r="4370">
      <c r="A4370" s="3" t="inlineStr">
        <is>
          <t>4339</t>
        </is>
      </c>
      <c r="B4370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118-128 см (8 лет)")</f>
      </c>
      <c r="C4370" s="4" t="n">
        <v>1634.00</v>
      </c>
      <c r="D4370" s="4"/>
    </row>
    <row collapsed="" customFormat="false" customHeight="1" hidden="" ht="14" outlineLevel="0" r="4371">
      <c r="A4371" s="3" t="inlineStr">
        <is>
          <t>4340</t>
        </is>
      </c>
      <c r="B4371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130-140 см (10 лет)")</f>
      </c>
      <c r="C4371" s="4" t="n">
        <v>1634.00</v>
      </c>
      <c r="D4371" s="4"/>
    </row>
    <row collapsed="" customFormat="false" customHeight="1" hidden="" ht="14" outlineLevel="0" r="4372">
      <c r="A4372" s="3" t="inlineStr">
        <is>
          <t>4341</t>
        </is>
      </c>
      <c r="B4372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142-152 см (12 лет)")</f>
      </c>
      <c r="C4372" s="4" t="n">
        <v>1634.00</v>
      </c>
      <c r="D4372" s="4"/>
    </row>
    <row collapsed="" customFormat="false" customHeight="1" hidden="" ht="14" outlineLevel="0" r="4373">
      <c r="A4373" s="3" t="inlineStr">
        <is>
          <t>4342</t>
        </is>
      </c>
      <c r="B4373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S")</f>
      </c>
      <c r="C4373" s="4" t="n">
        <v>2102.00</v>
      </c>
      <c r="D4373" s="4"/>
    </row>
    <row collapsed="" customFormat="false" customHeight="1" hidden="" ht="14" outlineLevel="0" r="4374">
      <c r="A4374" s="3" t="inlineStr">
        <is>
          <t>4343</t>
        </is>
      </c>
      <c r="B4374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M")</f>
      </c>
      <c r="C4374" s="4" t="n">
        <v>2102.00</v>
      </c>
      <c r="D4374" s="4"/>
    </row>
    <row collapsed="" customFormat="false" customHeight="1" hidden="" ht="14" outlineLevel="0" r="4375">
      <c r="A4375" s="3" t="inlineStr">
        <is>
          <t>4344</t>
        </is>
      </c>
      <c r="B4375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L")</f>
      </c>
      <c r="C4375" s="4" t="n">
        <v>2102.00</v>
      </c>
      <c r="D4375" s="4"/>
    </row>
    <row collapsed="" customFormat="false" customHeight="1" hidden="" ht="14" outlineLevel="0" r="4376">
      <c r="A4376" s="3" t="inlineStr">
        <is>
          <t>4345</t>
        </is>
      </c>
      <c r="B4376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XL")</f>
      </c>
      <c r="C4376" s="4" t="n">
        <v>2102.00</v>
      </c>
      <c r="D4376" s="4"/>
    </row>
    <row collapsed="" customFormat="false" customHeight="1" hidden="" ht="14" outlineLevel="0" r="4377">
      <c r="A4377" s="3" t="inlineStr">
        <is>
          <t>4346</t>
        </is>
      </c>
      <c r="B4377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XXL")</f>
      </c>
      <c r="C4377" s="4" t="n">
        <v>2102.00</v>
      </c>
      <c r="D4377" s="4"/>
    </row>
    <row collapsed="" customFormat="false" customHeight="1" hidden="" ht="14" outlineLevel="0" r="4378">
      <c r="A4378" s="3" t="inlineStr">
        <is>
          <t>4347</t>
        </is>
      </c>
      <c r="B4378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3XL")</f>
      </c>
      <c r="C4378" s="4" t="n">
        <v>2488.00</v>
      </c>
      <c r="D4378" s="4"/>
    </row>
    <row collapsed="" customFormat="false" customHeight="1" hidden="" ht="14" outlineLevel="0" r="4379">
      <c r="A4379" s="3" t="inlineStr">
        <is>
          <t>4348</t>
        </is>
      </c>
      <c r="B4379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S")</f>
      </c>
      <c r="C4379" s="4" t="n">
        <v>2102.00</v>
      </c>
      <c r="D4379" s="4"/>
    </row>
    <row collapsed="" customFormat="false" customHeight="1" hidden="" ht="14" outlineLevel="0" r="4380">
      <c r="A4380" s="3" t="inlineStr">
        <is>
          <t>4349</t>
        </is>
      </c>
      <c r="B4380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M")</f>
      </c>
      <c r="C4380" s="4" t="n">
        <v>2102.00</v>
      </c>
      <c r="D4380" s="4"/>
    </row>
    <row collapsed="" customFormat="false" customHeight="1" hidden="" ht="14" outlineLevel="0" r="4381">
      <c r="A4381" s="3" t="inlineStr">
        <is>
          <t>4350</t>
        </is>
      </c>
      <c r="B4381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L")</f>
      </c>
      <c r="C4381" s="4" t="n">
        <v>2102.00</v>
      </c>
      <c r="D4381" s="4"/>
    </row>
    <row collapsed="" customFormat="false" customHeight="1" hidden="" ht="14" outlineLevel="0" r="4382">
      <c r="A4382" s="3" t="inlineStr">
        <is>
          <t>4351</t>
        </is>
      </c>
      <c r="B4382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XL")</f>
      </c>
      <c r="C4382" s="4" t="n">
        <v>2102.00</v>
      </c>
      <c r="D4382" s="4"/>
    </row>
    <row collapsed="" customFormat="false" customHeight="1" hidden="" ht="14" outlineLevel="0" r="4383">
      <c r="A4383" s="3" t="inlineStr">
        <is>
          <t>4352</t>
        </is>
      </c>
      <c r="B4383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XXL")</f>
      </c>
      <c r="C4383" s="4" t="n">
        <v>2102.00</v>
      </c>
      <c r="D4383" s="4"/>
    </row>
    <row collapsed="" customFormat="false" customHeight="1" hidden="" ht="14" outlineLevel="0" r="4384">
      <c r="A4384" s="3" t="inlineStr">
        <is>
          <t>4353</t>
        </is>
      </c>
      <c r="B4384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3XL")</f>
      </c>
      <c r="C4384" s="4" t="n">
        <v>2488.00</v>
      </c>
      <c r="D4384" s="4"/>
    </row>
    <row collapsed="" customFormat="false" customHeight="1" hidden="" ht="14" outlineLevel="0" r="4385">
      <c r="A4385" s="3" t="inlineStr">
        <is>
          <t>4354</t>
        </is>
      </c>
      <c r="B4385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S")</f>
      </c>
      <c r="C4385" s="4" t="n">
        <v>2078.00</v>
      </c>
      <c r="D4385" s="4"/>
    </row>
    <row collapsed="" customFormat="false" customHeight="1" hidden="" ht="14" outlineLevel="0" r="4386">
      <c r="A4386" s="3" t="inlineStr">
        <is>
          <t>4355</t>
        </is>
      </c>
      <c r="B4386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M")</f>
      </c>
      <c r="C4386" s="4" t="n">
        <v>2078.00</v>
      </c>
      <c r="D4386" s="4"/>
    </row>
    <row collapsed="" customFormat="false" customHeight="1" hidden="" ht="14" outlineLevel="0" r="4387">
      <c r="A4387" s="3" t="inlineStr">
        <is>
          <t>4356</t>
        </is>
      </c>
      <c r="B4387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L")</f>
      </c>
      <c r="C4387" s="4" t="n">
        <v>2078.00</v>
      </c>
      <c r="D4387" s="4"/>
    </row>
    <row collapsed="" customFormat="false" customHeight="1" hidden="" ht="14" outlineLevel="0" r="4388">
      <c r="A4388" s="3" t="inlineStr">
        <is>
          <t>4357</t>
        </is>
      </c>
      <c r="B4388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XL")</f>
      </c>
      <c r="C4388" s="4" t="n">
        <v>2078.00</v>
      </c>
      <c r="D4388" s="4"/>
    </row>
    <row collapsed="" customFormat="false" customHeight="1" hidden="" ht="14" outlineLevel="0" r="4389">
      <c r="A4389" s="3" t="inlineStr">
        <is>
          <t>4358</t>
        </is>
      </c>
      <c r="B4389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XXL")</f>
      </c>
      <c r="C4389" s="4" t="n">
        <v>2078.00</v>
      </c>
      <c r="D4389" s="4"/>
    </row>
    <row collapsed="" customFormat="false" customHeight="1" hidden="" ht="14" outlineLevel="0" r="4390">
      <c r="A4390" s="3" t="inlineStr">
        <is>
          <t>4359</t>
        </is>
      </c>
      <c r="B4390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S")</f>
      </c>
      <c r="C4390" s="4" t="n">
        <v>2078.00</v>
      </c>
      <c r="D4390" s="4"/>
    </row>
    <row collapsed="" customFormat="false" customHeight="1" hidden="" ht="14" outlineLevel="0" r="4391">
      <c r="A4391" s="3" t="inlineStr">
        <is>
          <t>4360</t>
        </is>
      </c>
      <c r="B4391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M")</f>
      </c>
      <c r="C4391" s="4" t="n">
        <v>2078.00</v>
      </c>
      <c r="D4391" s="4"/>
    </row>
    <row collapsed="" customFormat="false" customHeight="1" hidden="" ht="14" outlineLevel="0" r="4392">
      <c r="A4392" s="3" t="inlineStr">
        <is>
          <t>4361</t>
        </is>
      </c>
      <c r="B4392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L")</f>
      </c>
      <c r="C4392" s="4" t="n">
        <v>2078.00</v>
      </c>
      <c r="D4392" s="4"/>
    </row>
    <row collapsed="" customFormat="false" customHeight="1" hidden="" ht="14" outlineLevel="0" r="4393">
      <c r="A4393" s="3" t="inlineStr">
        <is>
          <t>4362</t>
        </is>
      </c>
      <c r="B4393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XL")</f>
      </c>
      <c r="C4393" s="4" t="n">
        <v>2078.00</v>
      </c>
      <c r="D4393" s="4"/>
    </row>
    <row collapsed="" customFormat="false" customHeight="1" hidden="" ht="14" outlineLevel="0" r="4394">
      <c r="A4394" s="3" t="inlineStr">
        <is>
          <t>4363</t>
        </is>
      </c>
      <c r="B4394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XXL")</f>
      </c>
      <c r="C4394" s="4" t="n">
        <v>2078.00</v>
      </c>
      <c r="D4394" s="4"/>
    </row>
    <row collapsed="" customFormat="false" customHeight="1" hidden="" ht="14" outlineLevel="0" r="4395">
      <c r="A4395" s="3" t="inlineStr">
        <is>
          <t>4364</t>
        </is>
      </c>
      <c r="B4395" s="4" t="s">
        <f>=HYPERLINK("http://anyluxury.ru/shop/odezhda/detskaya-odezhda/tolstovka-uniseks-spencer-krasnaya-02991145/" , "02991145 Толстовка унисекс Spencer, красная, размер XS")</f>
      </c>
      <c r="C4395" s="4" t="n">
        <v>3196.00</v>
      </c>
      <c r="D4395" s="4"/>
    </row>
    <row collapsed="" customFormat="false" customHeight="1" hidden="" ht="14" outlineLevel="0" r="4396">
      <c r="A4396" s="3" t="inlineStr">
        <is>
          <t>4365</t>
        </is>
      </c>
      <c r="B4396" s="4" t="s">
        <f>=HYPERLINK("http://anyluxury.ru/shop/odezhda/detskaya-odezhda/tolstovka-uniseks-spencer-krasnaya-02991145/" , "02991145 Толстовка унисекс Spencer, красная, размер S")</f>
      </c>
      <c r="C4396" s="4" t="n">
        <v>3196.00</v>
      </c>
      <c r="D4396" s="4"/>
    </row>
    <row collapsed="" customFormat="false" customHeight="1" hidden="" ht="14" outlineLevel="0" r="4397">
      <c r="A4397" s="3" t="inlineStr">
        <is>
          <t>4366</t>
        </is>
      </c>
      <c r="B4397" s="4" t="s">
        <f>=HYPERLINK("http://anyluxury.ru/shop/odezhda/detskaya-odezhda/tolstovka-uniseks-spencer-krasnaya-02991145/" , "02991145 Толстовка унисекс Spencer, красная, размер M")</f>
      </c>
      <c r="C4397" s="4" t="n">
        <v>3196.00</v>
      </c>
      <c r="D4397" s="4"/>
    </row>
    <row collapsed="" customFormat="false" customHeight="1" hidden="" ht="14" outlineLevel="0" r="4398">
      <c r="A4398" s="3" t="inlineStr">
        <is>
          <t>4367</t>
        </is>
      </c>
      <c r="B4398" s="4" t="s">
        <f>=HYPERLINK("http://anyluxury.ru/shop/odezhda/detskaya-odezhda/tolstovka-uniseks-spencer-krasnaya-02991145/" , "02991145 Толстовка унисекс Spencer, красная, размер L")</f>
      </c>
      <c r="C4398" s="4" t="n">
        <v>3196.00</v>
      </c>
      <c r="D4398" s="4"/>
    </row>
    <row collapsed="" customFormat="false" customHeight="1" hidden="" ht="14" outlineLevel="0" r="4399">
      <c r="A4399" s="3" t="inlineStr">
        <is>
          <t>4368</t>
        </is>
      </c>
      <c r="B4399" s="4" t="s">
        <f>=HYPERLINK("http://anyluxury.ru/shop/odezhda/detskaya-odezhda/tolstovka-uniseks-spencer-krasnaya-02991145/" , "02991145 Толстовка унисекс Spencer, красная, размер XL")</f>
      </c>
      <c r="C4399" s="4" t="n">
        <v>3196.00</v>
      </c>
      <c r="D4399" s="4"/>
    </row>
    <row collapsed="" customFormat="false" customHeight="1" hidden="" ht="14" outlineLevel="0" r="4400">
      <c r="A4400" s="3" t="inlineStr">
        <is>
          <t>4369</t>
        </is>
      </c>
      <c r="B4400" s="4" t="s">
        <f>=HYPERLINK("http://anyluxury.ru/shop/odezhda/detskaya-odezhda/tolstovka-uniseks-spencer-krasnaya-02991145/" , "02991145 Толстовка унисекс Spencer, красная, размер XXL")</f>
      </c>
      <c r="C4400" s="4" t="n">
        <v>3196.00</v>
      </c>
      <c r="D4400" s="4"/>
    </row>
    <row collapsed="" customFormat="false" customHeight="1" hidden="" ht="14" outlineLevel="0" r="4401">
      <c r="A4401" s="3" t="inlineStr">
        <is>
          <t>4370</t>
        </is>
      </c>
      <c r="B4401" s="4" t="s">
        <f>=HYPERLINK("http://anyluxury.ru/shop/odezhda/detskaya-odezhda/tolstovka-uniseks-spencer-krasnaya-02991145/" , "02991145 Толстовка унисекс Spencer, красная, размер 3XL")</f>
      </c>
      <c r="C4401" s="4" t="n">
        <v>3573.00</v>
      </c>
      <c r="D4401" s="4"/>
    </row>
    <row collapsed="" customFormat="false" customHeight="1" hidden="" ht="14" outlineLevel="0" r="4402">
      <c r="A4402" s="3" t="inlineStr">
        <is>
          <t>4371</t>
        </is>
      </c>
      <c r="B4402" s="4" t="s">
        <f>=HYPERLINK("http://anyluxury.ru/shop/odezhda/detskaya-odezhda/tolstovka-uniseks-spencer-bordoviy-melanzh-02991148/" , "02991148 Толстовка унисекс Spencer, бордовый меланж, размер XS")</f>
      </c>
      <c r="C4402" s="4" t="n">
        <v>3196.00</v>
      </c>
      <c r="D4402" s="4"/>
    </row>
    <row collapsed="" customFormat="false" customHeight="1" hidden="" ht="14" outlineLevel="0" r="4403">
      <c r="A4403" s="3" t="inlineStr">
        <is>
          <t>4372</t>
        </is>
      </c>
      <c r="B4403" s="4" t="s">
        <f>=HYPERLINK("http://anyluxury.ru/shop/odezhda/detskaya-odezhda/tolstovka-uniseks-spencer-bordoviy-melanzh-02991148/" , "02991148 Толстовка унисекс Spencer, бордовый меланж, размер S")</f>
      </c>
      <c r="C4403" s="4" t="n">
        <v>3196.00</v>
      </c>
      <c r="D4403" s="4"/>
    </row>
    <row collapsed="" customFormat="false" customHeight="1" hidden="" ht="14" outlineLevel="0" r="4404">
      <c r="A4404" s="3" t="inlineStr">
        <is>
          <t>4373</t>
        </is>
      </c>
      <c r="B4404" s="4" t="s">
        <f>=HYPERLINK("http://anyluxury.ru/shop/odezhda/detskaya-odezhda/tolstovka-uniseks-spencer-bordoviy-melanzh-02991148/" , "02991148 Толстовка унисекс Spencer, бордовый меланж, размер M")</f>
      </c>
      <c r="C4404" s="4" t="n">
        <v>3196.00</v>
      </c>
      <c r="D4404" s="4"/>
    </row>
    <row collapsed="" customFormat="false" customHeight="1" hidden="" ht="14" outlineLevel="0" r="4405">
      <c r="A4405" s="3" t="inlineStr">
        <is>
          <t>4374</t>
        </is>
      </c>
      <c r="B4405" s="4" t="s">
        <f>=HYPERLINK("http://anyluxury.ru/shop/odezhda/detskaya-odezhda/tolstovka-uniseks-spencer-bordoviy-melanzh-02991148/" , "02991148 Толстовка унисекс Spencer, бордовый меланж, размер L")</f>
      </c>
      <c r="C4405" s="4" t="n">
        <v>3196.00</v>
      </c>
      <c r="D4405" s="4"/>
    </row>
    <row collapsed="" customFormat="false" customHeight="1" hidden="" ht="14" outlineLevel="0" r="4406">
      <c r="A4406" s="3" t="inlineStr">
        <is>
          <t>4375</t>
        </is>
      </c>
      <c r="B4406" s="4" t="s">
        <f>=HYPERLINK("http://anyluxury.ru/shop/odezhda/detskaya-odezhda/tolstovka-uniseks-spencer-bordoviy-melanzh-02991148/" , "02991148 Толстовка унисекс Spencer, бордовый меланж, размер XL")</f>
      </c>
      <c r="C4406" s="4" t="n">
        <v>3196.00</v>
      </c>
      <c r="D4406" s="4"/>
    </row>
    <row collapsed="" customFormat="false" customHeight="1" hidden="" ht="14" outlineLevel="0" r="4407">
      <c r="A4407" s="3" t="inlineStr">
        <is>
          <t>4376</t>
        </is>
      </c>
      <c r="B4407" s="4" t="s">
        <f>=HYPERLINK("http://anyluxury.ru/shop/odezhda/detskaya-odezhda/tolstovka-uniseks-spencer-bordoviy-melanzh-02991148/" , "02991148 Толстовка унисекс Spencer, бордовый меланж, размер XXL")</f>
      </c>
      <c r="C4407" s="4" t="n">
        <v>3196.00</v>
      </c>
      <c r="D4407" s="4"/>
    </row>
    <row collapsed="" customFormat="false" customHeight="1" hidden="" ht="14" outlineLevel="0" r="4408">
      <c r="A4408" s="3" t="inlineStr">
        <is>
          <t>4377</t>
        </is>
      </c>
      <c r="B4408" s="4" t="s">
        <f>=HYPERLINK("http://anyluxury.ru/shop/odezhda/detskaya-odezhda/tolstovka-uniseks-spencer-bordoviy-melanzh-02991148/" , "02991148 Толстовка унисекс Spencer, бордовый меланж, размер 3XL")</f>
      </c>
      <c r="C4408" s="4" t="n">
        <v>3573.00</v>
      </c>
      <c r="D4408" s="4"/>
    </row>
    <row collapsed="" customFormat="false" customHeight="1" hidden="" ht="14" outlineLevel="0" r="4409">
      <c r="A4409" s="3" t="inlineStr">
        <is>
          <t>4378</t>
        </is>
      </c>
      <c r="B4409" s="4" t="s">
        <f>=HYPERLINK("http://anyluxury.ru/shop/odezhda/detskaya-odezhda/tolstovka-uniseks-spencer-yarkosinyaya-02991241/" , "02991241 Толстовка унисекс Spencer, ярко-синяя, размер XS")</f>
      </c>
      <c r="C4409" s="4" t="n">
        <v>3196.00</v>
      </c>
      <c r="D4409" s="4"/>
    </row>
    <row collapsed="" customFormat="false" customHeight="1" hidden="" ht="14" outlineLevel="0" r="4410">
      <c r="A4410" s="3" t="inlineStr">
        <is>
          <t>4379</t>
        </is>
      </c>
      <c r="B4410" s="4" t="s">
        <f>=HYPERLINK("http://anyluxury.ru/shop/odezhda/detskaya-odezhda/tolstovka-uniseks-spencer-yarkosinyaya-02991241/" , "02991241 Толстовка унисекс Spencer, ярко-синяя, размер S")</f>
      </c>
      <c r="C4410" s="4" t="n">
        <v>3196.00</v>
      </c>
      <c r="D4410" s="4"/>
    </row>
    <row collapsed="" customFormat="false" customHeight="1" hidden="" ht="14" outlineLevel="0" r="4411">
      <c r="A4411" s="3" t="inlineStr">
        <is>
          <t>4380</t>
        </is>
      </c>
      <c r="B4411" s="4" t="s">
        <f>=HYPERLINK("http://anyluxury.ru/shop/odezhda/detskaya-odezhda/tolstovka-uniseks-spencer-yarkosinyaya-02991241/" , "02991241 Толстовка унисекс Spencer, ярко-синяя, размер M")</f>
      </c>
      <c r="C4411" s="4" t="n">
        <v>3196.00</v>
      </c>
      <c r="D4411" s="4"/>
    </row>
    <row collapsed="" customFormat="false" customHeight="1" hidden="" ht="14" outlineLevel="0" r="4412">
      <c r="A4412" s="3" t="inlineStr">
        <is>
          <t>4381</t>
        </is>
      </c>
      <c r="B4412" s="4" t="s">
        <f>=HYPERLINK("http://anyluxury.ru/shop/odezhda/detskaya-odezhda/tolstovka-uniseks-spencer-yarkosinyaya-02991241/" , "02991241 Толстовка унисекс Spencer, ярко-синяя, размер L")</f>
      </c>
      <c r="C4412" s="4" t="n">
        <v>3196.00</v>
      </c>
      <c r="D4412" s="4"/>
    </row>
    <row collapsed="" customFormat="false" customHeight="1" hidden="" ht="14" outlineLevel="0" r="4413">
      <c r="A4413" s="3" t="inlineStr">
        <is>
          <t>4382</t>
        </is>
      </c>
      <c r="B4413" s="4" t="s">
        <f>=HYPERLINK("http://anyluxury.ru/shop/odezhda/detskaya-odezhda/tolstovka-uniseks-spencer-yarkosinyaya-02991241/" , "02991241 Толстовка унисекс Spencer, ярко-синяя, размер XL")</f>
      </c>
      <c r="C4413" s="4" t="n">
        <v>3196.00</v>
      </c>
      <c r="D4413" s="4"/>
    </row>
    <row collapsed="" customFormat="false" customHeight="1" hidden="" ht="14" outlineLevel="0" r="4414">
      <c r="A4414" s="3" t="inlineStr">
        <is>
          <t>4383</t>
        </is>
      </c>
      <c r="B4414" s="4" t="s">
        <f>=HYPERLINK("http://anyluxury.ru/shop/odezhda/detskaya-odezhda/tolstovka-uniseks-spencer-yarkosinyaya-02991241/" , "02991241 Толстовка унисекс Spencer, ярко-синяя, размер XXL")</f>
      </c>
      <c r="C4414" s="4" t="n">
        <v>3196.00</v>
      </c>
      <c r="D4414" s="4"/>
    </row>
    <row collapsed="" customFormat="false" customHeight="1" hidden="" ht="14" outlineLevel="0" r="4415">
      <c r="A4415" s="3" t="inlineStr">
        <is>
          <t>4384</t>
        </is>
      </c>
      <c r="B4415" s="4" t="s">
        <f>=HYPERLINK("http://anyluxury.ru/shop/odezhda/detskaya-odezhda/tolstovka-uniseks-spencer-yarkosinyaya-02991241/" , "02991241 Толстовка унисекс Spencer, ярко-синяя, размер 3XL")</f>
      </c>
      <c r="C4415" s="4" t="n">
        <v>3573.00</v>
      </c>
      <c r="D4415" s="4"/>
    </row>
    <row collapsed="" customFormat="false" customHeight="1" hidden="" ht="14" outlineLevel="0" r="4416">
      <c r="A4416" s="3" t="inlineStr">
        <is>
          <t>4385</t>
        </is>
      </c>
      <c r="B4416" s="4" t="s">
        <f>=HYPERLINK("http://anyluxury.ru/shop/odezhda/detskaya-odezhda/tolstovka-uniseks-spencer-svetloseriy-melanzh-02991300/" , "02991300 Толстовка унисекс Spencer, светло-серый меланж, размер XS")</f>
      </c>
      <c r="C4416" s="4" t="n">
        <v>3196.00</v>
      </c>
      <c r="D4416" s="4"/>
    </row>
    <row collapsed="" customFormat="false" customHeight="1" hidden="" ht="14" outlineLevel="0" r="4417">
      <c r="A4417" s="3" t="inlineStr">
        <is>
          <t>4386</t>
        </is>
      </c>
      <c r="B4417" s="4" t="s">
        <f>=HYPERLINK("http://anyluxury.ru/shop/odezhda/detskaya-odezhda/tolstovka-uniseks-spencer-svetloseriy-melanzh-02991300/" , "02991300 Толстовка унисекс Spencer, светло-серый меланж, размер S")</f>
      </c>
      <c r="C4417" s="4" t="n">
        <v>3196.00</v>
      </c>
      <c r="D4417" s="4"/>
    </row>
    <row collapsed="" customFormat="false" customHeight="1" hidden="" ht="14" outlineLevel="0" r="4418">
      <c r="A4418" s="3" t="inlineStr">
        <is>
          <t>4387</t>
        </is>
      </c>
      <c r="B4418" s="4" t="s">
        <f>=HYPERLINK("http://anyluxury.ru/shop/odezhda/detskaya-odezhda/tolstovka-uniseks-spencer-svetloseriy-melanzh-02991300/" , "02991300 Толстовка унисекс Spencer, светло-серый меланж, размер M")</f>
      </c>
      <c r="C4418" s="4" t="n">
        <v>3196.00</v>
      </c>
      <c r="D4418" s="4"/>
    </row>
    <row collapsed="" customFormat="false" customHeight="1" hidden="" ht="14" outlineLevel="0" r="4419">
      <c r="A4419" s="3" t="inlineStr">
        <is>
          <t>4388</t>
        </is>
      </c>
      <c r="B4419" s="4" t="s">
        <f>=HYPERLINK("http://anyluxury.ru/shop/odezhda/detskaya-odezhda/tolstovka-uniseks-spencer-svetloseriy-melanzh-02991300/" , "02991300 Толстовка унисекс Spencer, светло-серый меланж, размер L")</f>
      </c>
      <c r="C4419" s="4" t="n">
        <v>3196.00</v>
      </c>
      <c r="D4419" s="4"/>
    </row>
    <row collapsed="" customFormat="false" customHeight="1" hidden="" ht="14" outlineLevel="0" r="4420">
      <c r="A4420" s="3" t="inlineStr">
        <is>
          <t>4389</t>
        </is>
      </c>
      <c r="B4420" s="4" t="s">
        <f>=HYPERLINK("http://anyluxury.ru/shop/odezhda/detskaya-odezhda/tolstovka-uniseks-spencer-svetloseriy-melanzh-02991300/" , "02991300 Толстовка унисекс Spencer, светло-серый меланж, размер XL")</f>
      </c>
      <c r="C4420" s="4" t="n">
        <v>3196.00</v>
      </c>
      <c r="D4420" s="4"/>
    </row>
    <row collapsed="" customFormat="false" customHeight="1" hidden="" ht="14" outlineLevel="0" r="4421">
      <c r="A4421" s="3" t="inlineStr">
        <is>
          <t>4390</t>
        </is>
      </c>
      <c r="B4421" s="4" t="s">
        <f>=HYPERLINK("http://anyluxury.ru/shop/odezhda/detskaya-odezhda/tolstovka-uniseks-spencer-svetloseriy-melanzh-02991300/" , "02991300 Толстовка унисекс Spencer, светло-серый меланж, размер XXL")</f>
      </c>
      <c r="C4421" s="4" t="n">
        <v>3196.00</v>
      </c>
      <c r="D4421" s="4"/>
    </row>
    <row collapsed="" customFormat="false" customHeight="1" hidden="" ht="14" outlineLevel="0" r="4422">
      <c r="A4422" s="3" t="inlineStr">
        <is>
          <t>4391</t>
        </is>
      </c>
      <c r="B4422" s="4" t="s">
        <f>=HYPERLINK("http://anyluxury.ru/shop/odezhda/detskaya-odezhda/tolstovka-uniseks-spencer-svetloseriy-melanzh-02991300/" , "02991300 Толстовка унисекс Spencer, светло-серый меланж, размер 3XL")</f>
      </c>
      <c r="C4422" s="4" t="n">
        <v>3573.00</v>
      </c>
      <c r="D4422" s="4"/>
    </row>
    <row collapsed="" customFormat="false" customHeight="1" hidden="" ht="14" outlineLevel="0" r="4423">
      <c r="A4423" s="3" t="inlineStr">
        <is>
          <t>4392</t>
        </is>
      </c>
      <c r="B4423" s="4" t="s">
        <f>=HYPERLINK("http://anyluxury.ru/shop/odezhda/detskaya-odezhda/tolstovka-uniseks-spencer-cherniy-melanzh-02991348/" , "02991348 Толстовка унисекс Spencer, черный меланж, размер XS")</f>
      </c>
      <c r="C4423" s="4" t="n">
        <v>3196.00</v>
      </c>
      <c r="D4423" s="4"/>
    </row>
    <row collapsed="" customFormat="false" customHeight="1" hidden="" ht="14" outlineLevel="0" r="4424">
      <c r="A4424" s="3" t="inlineStr">
        <is>
          <t>4393</t>
        </is>
      </c>
      <c r="B4424" s="4" t="s">
        <f>=HYPERLINK("http://anyluxury.ru/shop/odezhda/detskaya-odezhda/tolstovka-uniseks-spencer-cherniy-melanzh-02991348/" , "02991348 Толстовка унисекс Spencer, черный меланж, размер S")</f>
      </c>
      <c r="C4424" s="4" t="n">
        <v>3196.00</v>
      </c>
      <c r="D4424" s="4"/>
    </row>
    <row collapsed="" customFormat="false" customHeight="1" hidden="" ht="14" outlineLevel="0" r="4425">
      <c r="A4425" s="3" t="inlineStr">
        <is>
          <t>4394</t>
        </is>
      </c>
      <c r="B4425" s="4" t="s">
        <f>=HYPERLINK("http://anyluxury.ru/shop/odezhda/detskaya-odezhda/tolstovka-uniseks-spencer-cherniy-melanzh-02991348/" , "02991348 Толстовка унисекс Spencer, черный меланж, размер M")</f>
      </c>
      <c r="C4425" s="4" t="n">
        <v>3196.00</v>
      </c>
      <c r="D4425" s="4"/>
    </row>
    <row collapsed="" customFormat="false" customHeight="1" hidden="" ht="14" outlineLevel="0" r="4426">
      <c r="A4426" s="3" t="inlineStr">
        <is>
          <t>4395</t>
        </is>
      </c>
      <c r="B4426" s="4" t="s">
        <f>=HYPERLINK("http://anyluxury.ru/shop/odezhda/detskaya-odezhda/tolstovka-uniseks-spencer-cherniy-melanzh-02991348/" , "02991348 Толстовка унисекс Spencer, черный меланж, размер L")</f>
      </c>
      <c r="C4426" s="4" t="n">
        <v>3196.00</v>
      </c>
      <c r="D4426" s="4"/>
    </row>
    <row collapsed="" customFormat="false" customHeight="1" hidden="" ht="14" outlineLevel="0" r="4427">
      <c r="A4427" s="3" t="inlineStr">
        <is>
          <t>4396</t>
        </is>
      </c>
      <c r="B4427" s="4" t="s">
        <f>=HYPERLINK("http://anyluxury.ru/shop/odezhda/detskaya-odezhda/tolstovka-uniseks-spencer-cherniy-melanzh-02991348/" , "02991348 Толстовка унисекс Spencer, черный меланж, размер XL")</f>
      </c>
      <c r="C4427" s="4" t="n">
        <v>3196.00</v>
      </c>
      <c r="D4427" s="4"/>
    </row>
    <row collapsed="" customFormat="false" customHeight="1" hidden="" ht="14" outlineLevel="0" r="4428">
      <c r="A4428" s="3" t="inlineStr">
        <is>
          <t>4397</t>
        </is>
      </c>
      <c r="B4428" s="4" t="s">
        <f>=HYPERLINK("http://anyluxury.ru/shop/odezhda/detskaya-odezhda/tolstovka-uniseks-spencer-cherniy-melanzh-02991348/" , "02991348 Толстовка унисекс Spencer, черный меланж, размер XXL")</f>
      </c>
      <c r="C4428" s="4" t="n">
        <v>3196.00</v>
      </c>
      <c r="D4428" s="4"/>
    </row>
    <row collapsed="" customFormat="false" customHeight="1" hidden="" ht="14" outlineLevel="0" r="4429">
      <c r="A4429" s="3" t="inlineStr">
        <is>
          <t>4398</t>
        </is>
      </c>
      <c r="B4429" s="4" t="s">
        <f>=HYPERLINK("http://anyluxury.ru/shop/odezhda/detskaya-odezhda/tolstovka-uniseks-spencer-cherniy-melanzh-02991348/" , "02991348 Толстовка унисекс Spencer, черный меланж, размер 3XL")</f>
      </c>
      <c r="C4429" s="4" t="n">
        <v>3573.00</v>
      </c>
      <c r="D4429" s="4"/>
    </row>
    <row collapsed="" customFormat="false" customHeight="1" hidden="" ht="14" outlineLevel="0" r="4430">
      <c r="A4430" s="3" t="inlineStr">
        <is>
          <t>4399</t>
        </is>
      </c>
      <c r="B4430" s="4" t="s">
        <f>=HYPERLINK("http://anyluxury.ru/shop/odezhda/detskaya-odezhda/tolstovka-zhenskaya-spencer-women-belaya-03103102/" , "03103102 Толстовка женская Spencer Women, белая, размер XS")</f>
      </c>
      <c r="C4430" s="4" t="n">
        <v>3140.00</v>
      </c>
      <c r="D4430" s="4"/>
    </row>
    <row collapsed="" customFormat="false" customHeight="1" hidden="" ht="14" outlineLevel="0" r="4431">
      <c r="A4431" s="3" t="inlineStr">
        <is>
          <t>4400</t>
        </is>
      </c>
      <c r="B4431" s="4" t="s">
        <f>=HYPERLINK("http://anyluxury.ru/shop/odezhda/detskaya-odezhda/tolstovka-zhenskaya-spencer-women-belaya-03103102/" , "03103102 Толстовка женская Spencer Women, белая, размер S")</f>
      </c>
      <c r="C4431" s="4" t="n">
        <v>3140.00</v>
      </c>
      <c r="D4431" s="4"/>
    </row>
    <row collapsed="" customFormat="false" customHeight="1" hidden="" ht="14" outlineLevel="0" r="4432">
      <c r="A4432" s="3" t="inlineStr">
        <is>
          <t>4401</t>
        </is>
      </c>
      <c r="B4432" s="4" t="s">
        <f>=HYPERLINK("http://anyluxury.ru/shop/odezhda/detskaya-odezhda/tolstovka-zhenskaya-spencer-women-belaya-03103102/" , "03103102 Толстовка женская Spencer Women, белая, размер M")</f>
      </c>
      <c r="C4432" s="4" t="n">
        <v>3140.00</v>
      </c>
      <c r="D4432" s="4"/>
    </row>
    <row collapsed="" customFormat="false" customHeight="1" hidden="" ht="14" outlineLevel="0" r="4433">
      <c r="A4433" s="3" t="inlineStr">
        <is>
          <t>4402</t>
        </is>
      </c>
      <c r="B4433" s="4" t="s">
        <f>=HYPERLINK("http://anyluxury.ru/shop/odezhda/detskaya-odezhda/tolstovka-zhenskaya-spencer-women-belaya-03103102/" , "03103102 Толстовка женская Spencer Women, белая, размер L")</f>
      </c>
      <c r="C4433" s="4" t="n">
        <v>3140.00</v>
      </c>
      <c r="D4433" s="4"/>
    </row>
    <row collapsed="" customFormat="false" customHeight="1" hidden="" ht="14" outlineLevel="0" r="4434">
      <c r="A4434" s="3" t="inlineStr">
        <is>
          <t>4403</t>
        </is>
      </c>
      <c r="B4434" s="4" t="s">
        <f>=HYPERLINK("http://anyluxury.ru/shop/odezhda/detskaya-odezhda/tolstovka-zhenskaya-spencer-women-belaya-03103102/" , "03103102 Толстовка женская Spencer Women, белая, размер XL")</f>
      </c>
      <c r="C4434" s="4" t="n">
        <v>3140.00</v>
      </c>
      <c r="D4434" s="4"/>
    </row>
    <row collapsed="" customFormat="false" customHeight="1" hidden="" ht="14" outlineLevel="0" r="4435">
      <c r="A4435" s="3" t="inlineStr">
        <is>
          <t>4404</t>
        </is>
      </c>
      <c r="B4435" s="4" t="s">
        <f>=HYPERLINK("http://anyluxury.ru/shop/odezhda/detskaya-odezhda/tolstovka-zhenskaya-spencer-women-belaya-03103102/" , "03103102 Толстовка женская Spencer Women, белая, размер XXL")</f>
      </c>
      <c r="C4435" s="4" t="n">
        <v>3140.00</v>
      </c>
      <c r="D4435" s="4"/>
    </row>
    <row collapsed="" customFormat="false" customHeight="1" hidden="" ht="14" outlineLevel="0" r="4436">
      <c r="A4436" s="3" t="inlineStr">
        <is>
          <t>4405</t>
        </is>
      </c>
      <c r="B4436" s="4" t="s">
        <f>=HYPERLINK("http://anyluxury.ru/shop/odezhda/detskaya-odezhda/tolstovka-zhenskaya-spencer-women-rozovaya-03103143/" , "03103143 Толстовка женская Spencer Women, розовая, размер XS")</f>
      </c>
      <c r="C4436" s="4" t="n">
        <v>3140.00</v>
      </c>
      <c r="D4436" s="4"/>
    </row>
    <row collapsed="" customFormat="false" customHeight="1" hidden="" ht="14" outlineLevel="0" r="4437">
      <c r="A4437" s="3" t="inlineStr">
        <is>
          <t>4406</t>
        </is>
      </c>
      <c r="B4437" s="4" t="s">
        <f>=HYPERLINK("http://anyluxury.ru/shop/odezhda/detskaya-odezhda/tolstovka-zhenskaya-spencer-women-rozovaya-03103143/" , "03103143 Толстовка женская Spencer Women, розовая, размер S")</f>
      </c>
      <c r="C4437" s="4" t="n">
        <v>3140.00</v>
      </c>
      <c r="D4437" s="4"/>
    </row>
    <row collapsed="" customFormat="false" customHeight="1" hidden="" ht="14" outlineLevel="0" r="4438">
      <c r="A4438" s="3" t="inlineStr">
        <is>
          <t>4407</t>
        </is>
      </c>
      <c r="B4438" s="4" t="s">
        <f>=HYPERLINK("http://anyluxury.ru/shop/odezhda/detskaya-odezhda/tolstovka-zhenskaya-spencer-women-rozovaya-03103143/" , "03103143 Толстовка женская Spencer Women, розовая, размер M")</f>
      </c>
      <c r="C4438" s="4" t="n">
        <v>3140.00</v>
      </c>
      <c r="D4438" s="4"/>
    </row>
    <row collapsed="" customFormat="false" customHeight="1" hidden="" ht="14" outlineLevel="0" r="4439">
      <c r="A4439" s="3" t="inlineStr">
        <is>
          <t>4408</t>
        </is>
      </c>
      <c r="B4439" s="4" t="s">
        <f>=HYPERLINK("http://anyluxury.ru/shop/odezhda/detskaya-odezhda/tolstovka-zhenskaya-spencer-women-rozovaya-03103143/" , "03103143 Толстовка женская Spencer Women, розовая, размер L")</f>
      </c>
      <c r="C4439" s="4" t="n">
        <v>3140.00</v>
      </c>
      <c r="D4439" s="4"/>
    </row>
    <row collapsed="" customFormat="false" customHeight="1" hidden="" ht="14" outlineLevel="0" r="4440">
      <c r="A4440" s="3" t="inlineStr">
        <is>
          <t>4409</t>
        </is>
      </c>
      <c r="B4440" s="4" t="s">
        <f>=HYPERLINK("http://anyluxury.ru/shop/odezhda/detskaya-odezhda/tolstovka-zhenskaya-spencer-women-rozovaya-03103143/" , "03103143 Толстовка женская Spencer Women, розовая, размер XL")</f>
      </c>
      <c r="C4440" s="4" t="n">
        <v>3140.00</v>
      </c>
      <c r="D4440" s="4"/>
    </row>
    <row collapsed="" customFormat="false" customHeight="1" hidden="" ht="14" outlineLevel="0" r="4441">
      <c r="A4441" s="3" t="inlineStr">
        <is>
          <t>4410</t>
        </is>
      </c>
      <c r="B4441" s="4" t="s">
        <f>=HYPERLINK("http://anyluxury.ru/shop/odezhda/detskaya-odezhda/tolstovka-zhenskaya-spencer-women-rozovaya-03103143/" , "03103143 Толстовка женская Spencer Women, розовая, размер XXL")</f>
      </c>
      <c r="C4441" s="4" t="n">
        <v>3140.00</v>
      </c>
      <c r="D4441" s="4"/>
    </row>
    <row collapsed="" customFormat="false" customHeight="1" hidden="" ht="14" outlineLevel="0" r="4442">
      <c r="A4442" s="3" t="inlineStr">
        <is>
          <t>4411</t>
        </is>
      </c>
      <c r="B4442" s="4" t="s">
        <f>=HYPERLINK("http://anyluxury.ru/shop/odezhda/detskaya-odezhda/tolstovka-zhenskaya-spencer-women-krasnaya-03103145/" , "03103145 Толстовка женская Spencer Women, красная, размер XS")</f>
      </c>
      <c r="C4442" s="4" t="n">
        <v>3140.00</v>
      </c>
      <c r="D4442" s="4"/>
    </row>
    <row collapsed="" customFormat="false" customHeight="1" hidden="" ht="14" outlineLevel="0" r="4443">
      <c r="A4443" s="3" t="inlineStr">
        <is>
          <t>4412</t>
        </is>
      </c>
      <c r="B4443" s="4" t="s">
        <f>=HYPERLINK("http://anyluxury.ru/shop/odezhda/detskaya-odezhda/tolstovka-zhenskaya-spencer-women-krasnaya-03103145/" , "03103145 Толстовка женская Spencer Women, красная, размер S")</f>
      </c>
      <c r="C4443" s="4" t="n">
        <v>3140.00</v>
      </c>
      <c r="D4443" s="4"/>
    </row>
    <row collapsed="" customFormat="false" customHeight="1" hidden="" ht="14" outlineLevel="0" r="4444">
      <c r="A4444" s="3" t="inlineStr">
        <is>
          <t>4413</t>
        </is>
      </c>
      <c r="B4444" s="4" t="s">
        <f>=HYPERLINK("http://anyluxury.ru/shop/odezhda/detskaya-odezhda/tolstovka-zhenskaya-spencer-women-krasnaya-03103145/" , "03103145 Толстовка женская Spencer Women, красная, размер M")</f>
      </c>
      <c r="C4444" s="4" t="n">
        <v>3140.00</v>
      </c>
      <c r="D4444" s="4"/>
    </row>
    <row collapsed="" customFormat="false" customHeight="1" hidden="" ht="14" outlineLevel="0" r="4445">
      <c r="A4445" s="3" t="inlineStr">
        <is>
          <t>4414</t>
        </is>
      </c>
      <c r="B4445" s="4" t="s">
        <f>=HYPERLINK("http://anyluxury.ru/shop/odezhda/detskaya-odezhda/tolstovka-zhenskaya-spencer-women-krasnaya-03103145/" , "03103145 Толстовка женская Spencer Women, красная, размер L")</f>
      </c>
      <c r="C4445" s="4" t="n">
        <v>3140.00</v>
      </c>
      <c r="D4445" s="4"/>
    </row>
    <row collapsed="" customFormat="false" customHeight="1" hidden="" ht="14" outlineLevel="0" r="4446">
      <c r="A4446" s="3" t="inlineStr">
        <is>
          <t>4415</t>
        </is>
      </c>
      <c r="B4446" s="4" t="s">
        <f>=HYPERLINK("http://anyluxury.ru/shop/odezhda/detskaya-odezhda/tolstovka-zhenskaya-spencer-women-krasnaya-03103145/" , "03103145 Толстовка женская Spencer Women, красная, размер XL")</f>
      </c>
      <c r="C4446" s="4" t="n">
        <v>3140.00</v>
      </c>
      <c r="D4446" s="4"/>
    </row>
    <row collapsed="" customFormat="false" customHeight="1" hidden="" ht="14" outlineLevel="0" r="4447">
      <c r="A4447" s="3" t="inlineStr">
        <is>
          <t>4416</t>
        </is>
      </c>
      <c r="B4447" s="4" t="s">
        <f>=HYPERLINK("http://anyluxury.ru/shop/odezhda/detskaya-odezhda/tolstovka-zhenskaya-spencer-women-krasnaya-03103145/" , "03103145 Толстовка женская Spencer Women, красная, размер XXL")</f>
      </c>
      <c r="C4447" s="4" t="n">
        <v>3140.00</v>
      </c>
      <c r="D4447" s="4"/>
    </row>
    <row collapsed="" customFormat="false" customHeight="1" hidden="" ht="14" outlineLevel="0" r="4448">
      <c r="A4448" s="3" t="inlineStr">
        <is>
          <t>4417</t>
        </is>
      </c>
      <c r="B4448" s="4" t="s">
        <f>=HYPERLINK("http://anyluxury.ru/shop/odezhda/detskaya-odezhda/tolstovka-zhenskaya-spencer-women-bordoviy-melanzh-03103148/" , "03103148 Толстовка женская Spencer Women, бордовый меланж, размер XS")</f>
      </c>
      <c r="C4448" s="4" t="n">
        <v>3140.00</v>
      </c>
      <c r="D4448" s="4"/>
    </row>
    <row collapsed="" customFormat="false" customHeight="1" hidden="" ht="14" outlineLevel="0" r="4449">
      <c r="A4449" s="3" t="inlineStr">
        <is>
          <t>4418</t>
        </is>
      </c>
      <c r="B4449" s="4" t="s">
        <f>=HYPERLINK("http://anyluxury.ru/shop/odezhda/detskaya-odezhda/tolstovka-zhenskaya-spencer-women-bordoviy-melanzh-03103148/" , "03103148 Толстовка женская Spencer Women, бордовый меланж, размер S")</f>
      </c>
      <c r="C4449" s="4" t="n">
        <v>3140.00</v>
      </c>
      <c r="D4449" s="4"/>
    </row>
    <row collapsed="" customFormat="false" customHeight="1" hidden="" ht="14" outlineLevel="0" r="4450">
      <c r="A4450" s="3" t="inlineStr">
        <is>
          <t>4419</t>
        </is>
      </c>
      <c r="B4450" s="4" t="s">
        <f>=HYPERLINK("http://anyluxury.ru/shop/odezhda/detskaya-odezhda/tolstovka-zhenskaya-spencer-women-bordoviy-melanzh-03103148/" , "03103148 Толстовка женская Spencer Women, бордовый меланж, размер M")</f>
      </c>
      <c r="C4450" s="4" t="n">
        <v>3140.00</v>
      </c>
      <c r="D4450" s="4"/>
    </row>
    <row collapsed="" customFormat="false" customHeight="1" hidden="" ht="14" outlineLevel="0" r="4451">
      <c r="A4451" s="3" t="inlineStr">
        <is>
          <t>4420</t>
        </is>
      </c>
      <c r="B4451" s="4" t="s">
        <f>=HYPERLINK("http://anyluxury.ru/shop/odezhda/detskaya-odezhda/tolstovka-zhenskaya-spencer-women-bordoviy-melanzh-03103148/" , "03103148 Толстовка женская Spencer Women, бордовый меланж, размер L")</f>
      </c>
      <c r="C4451" s="4" t="n">
        <v>3140.00</v>
      </c>
      <c r="D4451" s="4"/>
    </row>
    <row collapsed="" customFormat="false" customHeight="1" hidden="" ht="14" outlineLevel="0" r="4452">
      <c r="A4452" s="3" t="inlineStr">
        <is>
          <t>4421</t>
        </is>
      </c>
      <c r="B4452" s="4" t="s">
        <f>=HYPERLINK("http://anyluxury.ru/shop/odezhda/detskaya-odezhda/tolstovka-zhenskaya-spencer-women-bordoviy-melanzh-03103148/" , "03103148 Толстовка женская Spencer Women, бордовый меланж, размер XL")</f>
      </c>
      <c r="C4452" s="4" t="n">
        <v>3140.00</v>
      </c>
      <c r="D4452" s="4"/>
    </row>
    <row collapsed="" customFormat="false" customHeight="1" hidden="" ht="14" outlineLevel="0" r="4453">
      <c r="A4453" s="3" t="inlineStr">
        <is>
          <t>4422</t>
        </is>
      </c>
      <c r="B4453" s="4" t="s">
        <f>=HYPERLINK("http://anyluxury.ru/shop/odezhda/detskaya-odezhda/tolstovka-zhenskaya-spencer-women-bordoviy-melanzh-03103148/" , "03103148 Толстовка женская Spencer Women, бордовый меланж, размер XXL")</f>
      </c>
      <c r="C4453" s="4" t="n">
        <v>3140.00</v>
      </c>
      <c r="D4453" s="4"/>
    </row>
    <row collapsed="" customFormat="false" customHeight="1" hidden="" ht="14" outlineLevel="0" r="4454">
      <c r="A4454" s="3" t="inlineStr">
        <is>
          <t>4423</t>
        </is>
      </c>
      <c r="B4454" s="4" t="s">
        <f>=HYPERLINK("http://anyluxury.ru/shop/odezhda/detskaya-odezhda/tolstovka-zhenskaya-spencer-women-siniy-melanzh-03103222/" , "03103222 Толстовка женская Spencer Women, синий меланж, размер XS")</f>
      </c>
      <c r="C4454" s="4" t="n">
        <v>3140.00</v>
      </c>
      <c r="D4454" s="4"/>
    </row>
    <row collapsed="" customFormat="false" customHeight="1" hidden="" ht="14" outlineLevel="0" r="4455">
      <c r="A4455" s="3" t="inlineStr">
        <is>
          <t>4424</t>
        </is>
      </c>
      <c r="B4455" s="4" t="s">
        <f>=HYPERLINK("http://anyluxury.ru/shop/odezhda/detskaya-odezhda/tolstovka-zhenskaya-spencer-women-siniy-melanzh-03103222/" , "03103222 Толстовка женская Spencer Women, синий меланж, размер S")</f>
      </c>
      <c r="C4455" s="4" t="n">
        <v>3140.00</v>
      </c>
      <c r="D4455" s="4"/>
    </row>
    <row collapsed="" customFormat="false" customHeight="1" hidden="" ht="14" outlineLevel="0" r="4456">
      <c r="A4456" s="3" t="inlineStr">
        <is>
          <t>4425</t>
        </is>
      </c>
      <c r="B4456" s="4" t="s">
        <f>=HYPERLINK("http://anyluxury.ru/shop/odezhda/detskaya-odezhda/tolstovka-zhenskaya-spencer-women-siniy-melanzh-03103222/" , "03103222 Толстовка женская Spencer Women, синий меланж, размер M")</f>
      </c>
      <c r="C4456" s="4" t="n">
        <v>3140.00</v>
      </c>
      <c r="D4456" s="4"/>
    </row>
    <row collapsed="" customFormat="false" customHeight="1" hidden="" ht="14" outlineLevel="0" r="4457">
      <c r="A4457" s="3" t="inlineStr">
        <is>
          <t>4426</t>
        </is>
      </c>
      <c r="B4457" s="4" t="s">
        <f>=HYPERLINK("http://anyluxury.ru/shop/odezhda/detskaya-odezhda/tolstovka-zhenskaya-spencer-women-siniy-melanzh-03103222/" , "03103222 Толстовка женская Spencer Women, синий меланж, размер L")</f>
      </c>
      <c r="C4457" s="4" t="n">
        <v>3140.00</v>
      </c>
      <c r="D4457" s="4"/>
    </row>
    <row collapsed="" customFormat="false" customHeight="1" hidden="" ht="14" outlineLevel="0" r="4458">
      <c r="A4458" s="3" t="inlineStr">
        <is>
          <t>4427</t>
        </is>
      </c>
      <c r="B4458" s="4" t="s">
        <f>=HYPERLINK("http://anyluxury.ru/shop/odezhda/detskaya-odezhda/tolstovka-zhenskaya-spencer-women-siniy-melanzh-03103222/" , "03103222 Толстовка женская Spencer Women, синий меланж, размер XL")</f>
      </c>
      <c r="C4458" s="4" t="n">
        <v>3140.00</v>
      </c>
      <c r="D4458" s="4"/>
    </row>
    <row collapsed="" customFormat="false" customHeight="1" hidden="" ht="14" outlineLevel="0" r="4459">
      <c r="A4459" s="3" t="inlineStr">
        <is>
          <t>4428</t>
        </is>
      </c>
      <c r="B4459" s="4" t="s">
        <f>=HYPERLINK("http://anyluxury.ru/shop/odezhda/detskaya-odezhda/tolstovka-zhenskaya-spencer-women-siniy-melanzh-03103222/" , "03103222 Толстовка женская Spencer Women, синий меланж, размер XXL")</f>
      </c>
      <c r="C4459" s="4" t="n">
        <v>3140.00</v>
      </c>
      <c r="D4459" s="4"/>
    </row>
    <row collapsed="" customFormat="false" customHeight="1" hidden="" ht="14" outlineLevel="0" r="4460">
      <c r="A4460" s="3" t="inlineStr">
        <is>
          <t>4429</t>
        </is>
      </c>
      <c r="B4460" s="4" t="s">
        <f>=HYPERLINK("http://anyluxury.ru/shop/odezhda/detskaya-odezhda/tolstovka-zhenskaya-spencer-women-yarkosinyaya-03103241/" , "03103241 Толстовка женская Spencer Women, ярко-синяя, размер XS")</f>
      </c>
      <c r="C4460" s="4" t="n">
        <v>3140.00</v>
      </c>
      <c r="D4460" s="4"/>
    </row>
    <row collapsed="" customFormat="false" customHeight="1" hidden="" ht="14" outlineLevel="0" r="4461">
      <c r="A4461" s="3" t="inlineStr">
        <is>
          <t>4430</t>
        </is>
      </c>
      <c r="B4461" s="4" t="s">
        <f>=HYPERLINK("http://anyluxury.ru/shop/odezhda/detskaya-odezhda/tolstovka-zhenskaya-spencer-women-yarkosinyaya-03103241/" , "03103241 Толстовка женская Spencer Women, ярко-синяя, размер S")</f>
      </c>
      <c r="C4461" s="4" t="n">
        <v>3140.00</v>
      </c>
      <c r="D4461" s="4"/>
    </row>
    <row collapsed="" customFormat="false" customHeight="1" hidden="" ht="14" outlineLevel="0" r="4462">
      <c r="A4462" s="3" t="inlineStr">
        <is>
          <t>4431</t>
        </is>
      </c>
      <c r="B4462" s="4" t="s">
        <f>=HYPERLINK("http://anyluxury.ru/shop/odezhda/detskaya-odezhda/tolstovka-zhenskaya-spencer-women-yarkosinyaya-03103241/" , "03103241 Толстовка женская Spencer Women, ярко-синяя, размер M")</f>
      </c>
      <c r="C4462" s="4" t="n">
        <v>3140.00</v>
      </c>
      <c r="D4462" s="4"/>
    </row>
    <row collapsed="" customFormat="false" customHeight="1" hidden="" ht="14" outlineLevel="0" r="4463">
      <c r="A4463" s="3" t="inlineStr">
        <is>
          <t>4432</t>
        </is>
      </c>
      <c r="B4463" s="4" t="s">
        <f>=HYPERLINK("http://anyluxury.ru/shop/odezhda/detskaya-odezhda/tolstovka-zhenskaya-spencer-women-yarkosinyaya-03103241/" , "03103241 Толстовка женская Spencer Women, ярко-синяя, размер L")</f>
      </c>
      <c r="C4463" s="4" t="n">
        <v>3140.00</v>
      </c>
      <c r="D4463" s="4"/>
    </row>
    <row collapsed="" customFormat="false" customHeight="1" hidden="" ht="14" outlineLevel="0" r="4464">
      <c r="A4464" s="3" t="inlineStr">
        <is>
          <t>4433</t>
        </is>
      </c>
      <c r="B4464" s="4" t="s">
        <f>=HYPERLINK("http://anyluxury.ru/shop/odezhda/detskaya-odezhda/tolstovka-zhenskaya-spencer-women-yarkosinyaya-03103241/" , "03103241 Толстовка женская Spencer Women, ярко-синяя, размер XL")</f>
      </c>
      <c r="C4464" s="4" t="n">
        <v>3140.00</v>
      </c>
      <c r="D4464" s="4"/>
    </row>
    <row collapsed="" customFormat="false" customHeight="1" hidden="" ht="14" outlineLevel="0" r="4465">
      <c r="A4465" s="3" t="inlineStr">
        <is>
          <t>4434</t>
        </is>
      </c>
      <c r="B4465" s="4" t="s">
        <f>=HYPERLINK("http://anyluxury.ru/shop/odezhda/detskaya-odezhda/tolstovka-zhenskaya-spencer-women-yarkosinyaya-03103241/" , "03103241 Толстовка женская Spencer Women, ярко-синяя, размер XXL")</f>
      </c>
      <c r="C4465" s="4" t="n">
        <v>3140.00</v>
      </c>
      <c r="D4465" s="4"/>
    </row>
    <row collapsed="" customFormat="false" customHeight="1" hidden="" ht="14" outlineLevel="0" r="4466">
      <c r="A4466" s="3" t="inlineStr">
        <is>
          <t>4435</t>
        </is>
      </c>
      <c r="B4466" s="4" t="s">
        <f>=HYPERLINK("http://anyluxury.ru/shop/odezhda/detskaya-odezhda/tolstovka-zhenskaya-spencer-women-golubaya-03103251/" , "03103251 Толстовка женская Spencer Women, голубая, размер XS")</f>
      </c>
      <c r="C4466" s="4" t="n">
        <v>3092.00</v>
      </c>
      <c r="D4466" s="4"/>
    </row>
    <row collapsed="" customFormat="false" customHeight="1" hidden="" ht="14" outlineLevel="0" r="4467">
      <c r="A4467" s="3" t="inlineStr">
        <is>
          <t>4436</t>
        </is>
      </c>
      <c r="B4467" s="4" t="s">
        <f>=HYPERLINK("http://anyluxury.ru/shop/odezhda/detskaya-odezhda/tolstovka-zhenskaya-spencer-women-golubaya-03103251/" , "03103251 Толстовка женская Spencer Women, голубая, размер S")</f>
      </c>
      <c r="C4467" s="4" t="n">
        <v>3092.00</v>
      </c>
      <c r="D4467" s="4"/>
    </row>
    <row collapsed="" customFormat="false" customHeight="1" hidden="" ht="14" outlineLevel="0" r="4468">
      <c r="A4468" s="3" t="inlineStr">
        <is>
          <t>4437</t>
        </is>
      </c>
      <c r="B4468" s="4" t="s">
        <f>=HYPERLINK("http://anyluxury.ru/shop/odezhda/detskaya-odezhda/tolstovka-zhenskaya-spencer-women-golubaya-03103251/" , "03103251 Толстовка женская Spencer Women, голубая, размер M")</f>
      </c>
      <c r="C4468" s="4" t="n">
        <v>3092.00</v>
      </c>
      <c r="D4468" s="4"/>
    </row>
    <row collapsed="" customFormat="false" customHeight="1" hidden="" ht="14" outlineLevel="0" r="4469">
      <c r="A4469" s="3" t="inlineStr">
        <is>
          <t>4438</t>
        </is>
      </c>
      <c r="B4469" s="4" t="s">
        <f>=HYPERLINK("http://anyluxury.ru/shop/odezhda/detskaya-odezhda/tolstovka-zhenskaya-spencer-women-golubaya-03103251/" , "03103251 Толстовка женская Spencer Women, голубая, размер L")</f>
      </c>
      <c r="C4469" s="4" t="n">
        <v>3092.00</v>
      </c>
      <c r="D4469" s="4"/>
    </row>
    <row collapsed="" customFormat="false" customHeight="1" hidden="" ht="14" outlineLevel="0" r="4470">
      <c r="A4470" s="3" t="inlineStr">
        <is>
          <t>4439</t>
        </is>
      </c>
      <c r="B4470" s="4" t="s">
        <f>=HYPERLINK("http://anyluxury.ru/shop/odezhda/detskaya-odezhda/tolstovka-zhenskaya-spencer-women-golubaya-03103251/" , "03103251 Толстовка женская Spencer Women, голубая, размер XL")</f>
      </c>
      <c r="C4470" s="4" t="n">
        <v>3092.00</v>
      </c>
      <c r="D4470" s="4"/>
    </row>
    <row collapsed="" customFormat="false" customHeight="1" hidden="" ht="14" outlineLevel="0" r="4471">
      <c r="A4471" s="3" t="inlineStr">
        <is>
          <t>4440</t>
        </is>
      </c>
      <c r="B4471" s="4" t="s">
        <f>=HYPERLINK("http://anyluxury.ru/shop/odezhda/detskaya-odezhda/tolstovka-zhenskaya-spencer-women-golubaya-03103251/" , "03103251 Толстовка женская Spencer Women, голубая, размер XXL")</f>
      </c>
      <c r="C4471" s="4" t="n">
        <v>3092.00</v>
      </c>
      <c r="D4471" s="4"/>
    </row>
    <row collapsed="" customFormat="false" customHeight="1" hidden="" ht="14" outlineLevel="0" r="4472">
      <c r="A4472" s="3" t="inlineStr">
        <is>
          <t>4441</t>
        </is>
      </c>
      <c r="B4472" s="4" t="s">
        <f>=HYPERLINK("http://anyluxury.ru/shop/odezhda/detskaya-odezhda/tolstovka-zhenskaya-spencer-women-svetloseriy-melanzh-03103300/" , "03103300 Толстовка женская Spencer Women, светло-серый меланж, размер XS")</f>
      </c>
      <c r="C4472" s="4" t="n">
        <v>3092.00</v>
      </c>
      <c r="D4472" s="4"/>
    </row>
    <row collapsed="" customFormat="false" customHeight="1" hidden="" ht="14" outlineLevel="0" r="4473">
      <c r="A4473" s="3" t="inlineStr">
        <is>
          <t>4442</t>
        </is>
      </c>
      <c r="B4473" s="4" t="s">
        <f>=HYPERLINK("http://anyluxury.ru/shop/odezhda/detskaya-odezhda/tolstovka-zhenskaya-spencer-women-svetloseriy-melanzh-03103300/" , "03103300 Толстовка женская Spencer Women, светло-серый меланж, размер S")</f>
      </c>
      <c r="C4473" s="4" t="n">
        <v>3092.00</v>
      </c>
      <c r="D4473" s="4"/>
    </row>
    <row collapsed="" customFormat="false" customHeight="1" hidden="" ht="14" outlineLevel="0" r="4474">
      <c r="A4474" s="3" t="inlineStr">
        <is>
          <t>4443</t>
        </is>
      </c>
      <c r="B4474" s="4" t="s">
        <f>=HYPERLINK("http://anyluxury.ru/shop/odezhda/detskaya-odezhda/tolstovka-zhenskaya-spencer-women-svetloseriy-melanzh-03103300/" , "03103300 Толстовка женская Spencer Women, светло-серый меланж, размер M")</f>
      </c>
      <c r="C4474" s="4" t="n">
        <v>3092.00</v>
      </c>
      <c r="D4474" s="4"/>
    </row>
    <row collapsed="" customFormat="false" customHeight="1" hidden="" ht="14" outlineLevel="0" r="4475">
      <c r="A4475" s="3" t="inlineStr">
        <is>
          <t>4444</t>
        </is>
      </c>
      <c r="B4475" s="4" t="s">
        <f>=HYPERLINK("http://anyluxury.ru/shop/odezhda/detskaya-odezhda/tolstovka-zhenskaya-spencer-women-svetloseriy-melanzh-03103300/" , "03103300 Толстовка женская Spencer Women, светло-серый меланж, размер L")</f>
      </c>
      <c r="C4475" s="4" t="n">
        <v>3092.00</v>
      </c>
      <c r="D4475" s="4"/>
    </row>
    <row collapsed="" customFormat="false" customHeight="1" hidden="" ht="14" outlineLevel="0" r="4476">
      <c r="A4476" s="3" t="inlineStr">
        <is>
          <t>4445</t>
        </is>
      </c>
      <c r="B4476" s="4" t="s">
        <f>=HYPERLINK("http://anyluxury.ru/shop/odezhda/detskaya-odezhda/tolstovka-zhenskaya-spencer-women-svetloseriy-melanzh-03103300/" , "03103300 Толстовка женская Spencer Women, светло-серый меланж, размер XL")</f>
      </c>
      <c r="C4476" s="4" t="n">
        <v>3092.00</v>
      </c>
      <c r="D4476" s="4"/>
    </row>
    <row collapsed="" customFormat="false" customHeight="1" hidden="" ht="14" outlineLevel="0" r="4477">
      <c r="A4477" s="3" t="inlineStr">
        <is>
          <t>4446</t>
        </is>
      </c>
      <c r="B4477" s="4" t="s">
        <f>=HYPERLINK("http://anyluxury.ru/shop/odezhda/detskaya-odezhda/tolstovka-zhenskaya-spencer-women-svetloseriy-melanzh-03103300/" , "03103300 Толстовка женская Spencer Women, светло-серый меланж, размер XXL")</f>
      </c>
      <c r="C4477" s="4" t="n">
        <v>3092.00</v>
      </c>
      <c r="D4477" s="4"/>
    </row>
    <row collapsed="" customFormat="false" customHeight="1" hidden="" ht="14" outlineLevel="0" r="4478">
      <c r="A4478" s="3" t="inlineStr">
        <is>
          <t>4447</t>
        </is>
      </c>
      <c r="B4478" s="4" t="s">
        <f>=HYPERLINK("http://anyluxury.ru/shop/odezhda/detskaya-odezhda/tolstovka-zhenskaya-spencer-women-chernaya-03103312/" , "03103312 Толстовка женская Spencer Women, черная, размер XS")</f>
      </c>
      <c r="C4478" s="4" t="n">
        <v>3140.00</v>
      </c>
      <c r="D4478" s="4"/>
    </row>
    <row collapsed="" customFormat="false" customHeight="1" hidden="" ht="14" outlineLevel="0" r="4479">
      <c r="A4479" s="3" t="inlineStr">
        <is>
          <t>4448</t>
        </is>
      </c>
      <c r="B4479" s="4" t="s">
        <f>=HYPERLINK("http://anyluxury.ru/shop/odezhda/detskaya-odezhda/tolstovka-zhenskaya-spencer-women-chernaya-03103312/" , "03103312 Толстовка женская Spencer Women, черная, размер S")</f>
      </c>
      <c r="C4479" s="4" t="n">
        <v>3140.00</v>
      </c>
      <c r="D4479" s="4"/>
    </row>
    <row collapsed="" customFormat="false" customHeight="1" hidden="" ht="14" outlineLevel="0" r="4480">
      <c r="A4480" s="3" t="inlineStr">
        <is>
          <t>4449</t>
        </is>
      </c>
      <c r="B4480" s="4" t="s">
        <f>=HYPERLINK("http://anyluxury.ru/shop/odezhda/detskaya-odezhda/tolstovka-zhenskaya-spencer-women-chernaya-03103312/" , "03103312 Толстовка женская Spencer Women, черная, размер M")</f>
      </c>
      <c r="C4480" s="4" t="n">
        <v>3140.00</v>
      </c>
      <c r="D4480" s="4"/>
    </row>
    <row collapsed="" customFormat="false" customHeight="1" hidden="" ht="14" outlineLevel="0" r="4481">
      <c r="A4481" s="3" t="inlineStr">
        <is>
          <t>4450</t>
        </is>
      </c>
      <c r="B4481" s="4" t="s">
        <f>=HYPERLINK("http://anyluxury.ru/shop/odezhda/detskaya-odezhda/tolstovka-zhenskaya-spencer-women-chernaya-03103312/" , "03103312 Толстовка женская Spencer Women, черная, размер L")</f>
      </c>
      <c r="C4481" s="4" t="n">
        <v>3140.00</v>
      </c>
      <c r="D4481" s="4"/>
    </row>
    <row collapsed="" customFormat="false" customHeight="1" hidden="" ht="14" outlineLevel="0" r="4482">
      <c r="A4482" s="3" t="inlineStr">
        <is>
          <t>4451</t>
        </is>
      </c>
      <c r="B4482" s="4" t="s">
        <f>=HYPERLINK("http://anyluxury.ru/shop/odezhda/detskaya-odezhda/tolstovka-zhenskaya-spencer-women-chernaya-03103312/" , "03103312 Толстовка женская Spencer Women, черная, размер XL")</f>
      </c>
      <c r="C4482" s="4" t="n">
        <v>3140.00</v>
      </c>
      <c r="D4482" s="4"/>
    </row>
    <row collapsed="" customFormat="false" customHeight="1" hidden="" ht="14" outlineLevel="0" r="4483">
      <c r="A4483" s="3" t="inlineStr">
        <is>
          <t>4452</t>
        </is>
      </c>
      <c r="B4483" s="4" t="s">
        <f>=HYPERLINK("http://anyluxury.ru/shop/odezhda/detskaya-odezhda/tolstovka-zhenskaya-spencer-women-chernaya-03103312/" , "03103312 Толстовка женская Spencer Women, черная, размер XXL")</f>
      </c>
      <c r="C4483" s="4" t="n">
        <v>3140.00</v>
      </c>
      <c r="D4483" s="4"/>
    </row>
    <row collapsed="" customFormat="false" customHeight="1" hidden="" ht="14" outlineLevel="0" r="4484">
      <c r="A4484" s="3" t="inlineStr">
        <is>
          <t>4453</t>
        </is>
      </c>
      <c r="B4484" s="4" t="s">
        <f>=HYPERLINK("http://anyluxury.ru/shop/odezhda/detskaya-odezhda/tolstovka-zhenskaya-spencer-women-kobalt-temnosinyaya-03103319/" , "03103319 Толстовка женская Spencer Women, кобальт (темно-синяя), размер XS")</f>
      </c>
      <c r="C4484" s="4" t="n">
        <v>3140.00</v>
      </c>
      <c r="D4484" s="4"/>
    </row>
    <row collapsed="" customFormat="false" customHeight="1" hidden="" ht="14" outlineLevel="0" r="4485">
      <c r="A4485" s="3" t="inlineStr">
        <is>
          <t>4454</t>
        </is>
      </c>
      <c r="B4485" s="4" t="s">
        <f>=HYPERLINK("http://anyluxury.ru/shop/odezhda/detskaya-odezhda/tolstovka-zhenskaya-spencer-women-kobalt-temnosinyaya-03103319/" , "03103319 Толстовка женская Spencer Women, кобальт (темно-синяя), размер S")</f>
      </c>
      <c r="C4485" s="4" t="n">
        <v>3140.00</v>
      </c>
      <c r="D4485" s="4"/>
    </row>
    <row collapsed="" customFormat="false" customHeight="1" hidden="" ht="14" outlineLevel="0" r="4486">
      <c r="A4486" s="3" t="inlineStr">
        <is>
          <t>4455</t>
        </is>
      </c>
      <c r="B4486" s="4" t="s">
        <f>=HYPERLINK("http://anyluxury.ru/shop/odezhda/detskaya-odezhda/tolstovka-zhenskaya-spencer-women-kobalt-temnosinyaya-03103319/" , "03103319 Толстовка женская Spencer Women, кобальт (темно-синяя), размер M")</f>
      </c>
      <c r="C4486" s="4" t="n">
        <v>3140.00</v>
      </c>
      <c r="D4486" s="4"/>
    </row>
    <row collapsed="" customFormat="false" customHeight="1" hidden="" ht="14" outlineLevel="0" r="4487">
      <c r="A4487" s="3" t="inlineStr">
        <is>
          <t>4456</t>
        </is>
      </c>
      <c r="B4487" s="4" t="s">
        <f>=HYPERLINK("http://anyluxury.ru/shop/odezhda/detskaya-odezhda/tolstovka-zhenskaya-spencer-women-kobalt-temnosinyaya-03103319/" , "03103319 Толстовка женская Spencer Women, кобальт (темно-синяя), размер L")</f>
      </c>
      <c r="C4487" s="4" t="n">
        <v>3140.00</v>
      </c>
      <c r="D4487" s="4"/>
    </row>
    <row collapsed="" customFormat="false" customHeight="1" hidden="" ht="14" outlineLevel="0" r="4488">
      <c r="A4488" s="3" t="inlineStr">
        <is>
          <t>4457</t>
        </is>
      </c>
      <c r="B4488" s="4" t="s">
        <f>=HYPERLINK("http://anyluxury.ru/shop/odezhda/detskaya-odezhda/tolstovka-zhenskaya-spencer-women-kobalt-temnosinyaya-03103319/" , "03103319 Толстовка женская Spencer Women, кобальт (темно-синяя), размер XL")</f>
      </c>
      <c r="C4488" s="4" t="n">
        <v>3140.00</v>
      </c>
      <c r="D4488" s="4"/>
    </row>
    <row collapsed="" customFormat="false" customHeight="1" hidden="" ht="14" outlineLevel="0" r="4489">
      <c r="A4489" s="3" t="inlineStr">
        <is>
          <t>4458</t>
        </is>
      </c>
      <c r="B4489" s="4" t="s">
        <f>=HYPERLINK("http://anyluxury.ru/shop/odezhda/detskaya-odezhda/tolstovka-zhenskaya-spencer-women-kobalt-temnosinyaya-03103319/" , "03103319 Толстовка женская Spencer Women, кобальт (темно-синяя), размер XXL")</f>
      </c>
      <c r="C4489" s="4" t="n">
        <v>3140.00</v>
      </c>
      <c r="D4489" s="4"/>
    </row>
    <row collapsed="" customFormat="false" customHeight="1" hidden="" ht="14" outlineLevel="0" r="4490">
      <c r="A4490" s="3" t="inlineStr">
        <is>
          <t>4459</t>
        </is>
      </c>
      <c r="B4490" s="4" t="s">
        <f>=HYPERLINK("http://anyluxury.ru/shop/odezhda/detskaya-odezhda/tolstovka-zhenskaya-spencer-women-cherniy-melanzh-03103348/" , "03103348 Толстовка женская Spencer Women, черный меланж, размер XS")</f>
      </c>
      <c r="C4490" s="4" t="n">
        <v>3140.00</v>
      </c>
      <c r="D4490" s="4"/>
    </row>
    <row collapsed="" customFormat="false" customHeight="1" hidden="" ht="14" outlineLevel="0" r="4491">
      <c r="A4491" s="3" t="inlineStr">
        <is>
          <t>4460</t>
        </is>
      </c>
      <c r="B4491" s="4" t="s">
        <f>=HYPERLINK("http://anyluxury.ru/shop/odezhda/detskaya-odezhda/tolstovka-zhenskaya-spencer-women-cherniy-melanzh-03103348/" , "03103348 Толстовка женская Spencer Women, черный меланж, размер S")</f>
      </c>
      <c r="C4491" s="4" t="n">
        <v>3140.00</v>
      </c>
      <c r="D4491" s="4"/>
    </row>
    <row collapsed="" customFormat="false" customHeight="1" hidden="" ht="14" outlineLevel="0" r="4492">
      <c r="A4492" s="3" t="inlineStr">
        <is>
          <t>4461</t>
        </is>
      </c>
      <c r="B4492" s="4" t="s">
        <f>=HYPERLINK("http://anyluxury.ru/shop/odezhda/detskaya-odezhda/tolstovka-zhenskaya-spencer-women-cherniy-melanzh-03103348/" , "03103348 Толстовка женская Spencer Women, черный меланж, размер M")</f>
      </c>
      <c r="C4492" s="4" t="n">
        <v>3140.00</v>
      </c>
      <c r="D4492" s="4"/>
    </row>
    <row collapsed="" customFormat="false" customHeight="1" hidden="" ht="14" outlineLevel="0" r="4493">
      <c r="A4493" s="3" t="inlineStr">
        <is>
          <t>4462</t>
        </is>
      </c>
      <c r="B4493" s="4" t="s">
        <f>=HYPERLINK("http://anyluxury.ru/shop/odezhda/detskaya-odezhda/tolstovka-zhenskaya-spencer-women-cherniy-melanzh-03103348/" , "03103348 Толстовка женская Spencer Women, черный меланж, размер L")</f>
      </c>
      <c r="C4493" s="4" t="n">
        <v>3140.00</v>
      </c>
      <c r="D4493" s="4"/>
    </row>
    <row collapsed="" customFormat="false" customHeight="1" hidden="" ht="14" outlineLevel="0" r="4494">
      <c r="A4494" s="3" t="inlineStr">
        <is>
          <t>4463</t>
        </is>
      </c>
      <c r="B4494" s="4" t="s">
        <f>=HYPERLINK("http://anyluxury.ru/shop/odezhda/detskaya-odezhda/tolstovka-zhenskaya-spencer-women-cherniy-melanzh-03103348/" , "03103348 Толстовка женская Spencer Women, черный меланж, размер XL")</f>
      </c>
      <c r="C4494" s="4" t="n">
        <v>3140.00</v>
      </c>
      <c r="D4494" s="4"/>
    </row>
    <row collapsed="" customFormat="false" customHeight="1" hidden="" ht="14" outlineLevel="0" r="4495">
      <c r="A4495" s="3" t="inlineStr">
        <is>
          <t>4464</t>
        </is>
      </c>
      <c r="B4495" s="4" t="s">
        <f>=HYPERLINK("http://anyluxury.ru/shop/odezhda/detskaya-odezhda/tolstovka-zhenskaya-spencer-women-cherniy-melanzh-03103348/" , "03103348 Толстовка женская Spencer Women, черный меланж, размер XXL")</f>
      </c>
      <c r="C4495" s="4" t="n">
        <v>3140.00</v>
      </c>
      <c r="D4495" s="4"/>
    </row>
    <row collapsed="" customFormat="false" customHeight="1" hidden="" ht="14" outlineLevel="0" r="4496">
      <c r="A4496" s="3" t="inlineStr">
        <is>
          <t>4465</t>
        </is>
      </c>
      <c r="B4496" s="4" t="s">
        <f>=HYPERLINK("http://anyluxury.ru/shop/odezhda/detskaya-odezhda/tolstovka-zhenskaya-spencer-women-seriy-melanzh-03103360/" , "03103360 Толстовка женская Spencer Women, серый меланж, размер XS")</f>
      </c>
      <c r="C4496" s="4" t="n">
        <v>3140.00</v>
      </c>
      <c r="D4496" s="4"/>
    </row>
    <row collapsed="" customFormat="false" customHeight="1" hidden="" ht="14" outlineLevel="0" r="4497">
      <c r="A4497" s="3" t="inlineStr">
        <is>
          <t>4466</t>
        </is>
      </c>
      <c r="B4497" s="4" t="s">
        <f>=HYPERLINK("http://anyluxury.ru/shop/odezhda/detskaya-odezhda/tolstovka-zhenskaya-spencer-women-seriy-melanzh-03103360/" , "03103360 Толстовка женская Spencer Women, серый меланж, размер S")</f>
      </c>
      <c r="C4497" s="4" t="n">
        <v>3140.00</v>
      </c>
      <c r="D4497" s="4"/>
    </row>
    <row collapsed="" customFormat="false" customHeight="1" hidden="" ht="14" outlineLevel="0" r="4498">
      <c r="A4498" s="3" t="inlineStr">
        <is>
          <t>4467</t>
        </is>
      </c>
      <c r="B4498" s="4" t="s">
        <f>=HYPERLINK("http://anyluxury.ru/shop/odezhda/detskaya-odezhda/tolstovka-zhenskaya-spencer-women-seriy-melanzh-03103360/" , "03103360 Толстовка женская Spencer Women, серый меланж, размер M")</f>
      </c>
      <c r="C4498" s="4" t="n">
        <v>3140.00</v>
      </c>
      <c r="D4498" s="4"/>
    </row>
    <row collapsed="" customFormat="false" customHeight="1" hidden="" ht="14" outlineLevel="0" r="4499">
      <c r="A4499" s="3" t="inlineStr">
        <is>
          <t>4468</t>
        </is>
      </c>
      <c r="B4499" s="4" t="s">
        <f>=HYPERLINK("http://anyluxury.ru/shop/odezhda/detskaya-odezhda/tolstovka-zhenskaya-spencer-women-seriy-melanzh-03103360/" , "03103360 Толстовка женская Spencer Women, серый меланж, размер L")</f>
      </c>
      <c r="C4499" s="4" t="n">
        <v>3140.00</v>
      </c>
      <c r="D4499" s="4"/>
    </row>
    <row collapsed="" customFormat="false" customHeight="1" hidden="" ht="14" outlineLevel="0" r="4500">
      <c r="A4500" s="3" t="inlineStr">
        <is>
          <t>4469</t>
        </is>
      </c>
      <c r="B4500" s="4" t="s">
        <f>=HYPERLINK("http://anyluxury.ru/shop/odezhda/detskaya-odezhda/tolstovka-zhenskaya-spencer-women-seriy-melanzh-03103360/" , "03103360 Толстовка женская Spencer Women, серый меланж, размер XL")</f>
      </c>
      <c r="C4500" s="4" t="n">
        <v>3140.00</v>
      </c>
      <c r="D4500" s="4"/>
    </row>
    <row collapsed="" customFormat="false" customHeight="1" hidden="" ht="14" outlineLevel="0" r="4501">
      <c r="A4501" s="3" t="inlineStr">
        <is>
          <t>4470</t>
        </is>
      </c>
      <c r="B4501" s="4" t="s">
        <f>=HYPERLINK("http://anyluxury.ru/shop/odezhda/detskaya-odezhda/tolstovka-zhenskaya-spencer-women-seriy-melanzh-03103360/" , "03103360 Толстовка женская Spencer Women, серый меланж, размер XXL")</f>
      </c>
      <c r="C4501" s="4" t="n">
        <v>3140.00</v>
      </c>
      <c r="D4501" s="4"/>
    </row>
    <row collapsed="" customFormat="false" customHeight="1" hidden="" ht="14" outlineLevel="0" r="4502">
      <c r="A4502" s="3" t="inlineStr">
        <is>
          <t>4471</t>
        </is>
      </c>
      <c r="B4502" s="4" t="s">
        <f>=HYPERLINK("http://anyluxury.ru/shop/odezhda/detskaya-odezhda/tolstovka-uniseks-sully-krasnaya-02990145/" , "02990145 Толстовка унисекс Sully, красная, размер XS")</f>
      </c>
      <c r="C4502" s="4" t="n">
        <v>2444.00</v>
      </c>
      <c r="D4502" s="4"/>
    </row>
    <row collapsed="" customFormat="false" customHeight="1" hidden="" ht="14" outlineLevel="0" r="4503">
      <c r="A4503" s="3" t="inlineStr">
        <is>
          <t>4472</t>
        </is>
      </c>
      <c r="B4503" s="4" t="s">
        <f>=HYPERLINK("http://anyluxury.ru/shop/odezhda/detskaya-odezhda/tolstovka-uniseks-sully-krasnaya-02990145/" , "02990145 Толстовка унисекс Sully, красная, размер S")</f>
      </c>
      <c r="C4503" s="4" t="n">
        <v>2444.00</v>
      </c>
      <c r="D4503" s="4"/>
    </row>
    <row collapsed="" customFormat="false" customHeight="1" hidden="" ht="14" outlineLevel="0" r="4504">
      <c r="A4504" s="3" t="inlineStr">
        <is>
          <t>4473</t>
        </is>
      </c>
      <c r="B4504" s="4" t="s">
        <f>=HYPERLINK("http://anyluxury.ru/shop/odezhda/detskaya-odezhda/tolstovka-uniseks-sully-krasnaya-02990145/" , "02990145 Толстовка унисекс Sully, красная, размер M")</f>
      </c>
      <c r="C4504" s="4" t="n">
        <v>2444.00</v>
      </c>
      <c r="D4504" s="4"/>
    </row>
    <row collapsed="" customFormat="false" customHeight="1" hidden="" ht="14" outlineLevel="0" r="4505">
      <c r="A4505" s="3" t="inlineStr">
        <is>
          <t>4474</t>
        </is>
      </c>
      <c r="B4505" s="4" t="s">
        <f>=HYPERLINK("http://anyluxury.ru/shop/odezhda/detskaya-odezhda/tolstovka-uniseks-sully-krasnaya-02990145/" , "02990145 Толстовка унисекс Sully, красная, размер L")</f>
      </c>
      <c r="C4505" s="4" t="n">
        <v>2444.00</v>
      </c>
      <c r="D4505" s="4"/>
    </row>
    <row collapsed="" customFormat="false" customHeight="1" hidden="" ht="14" outlineLevel="0" r="4506">
      <c r="A4506" s="3" t="inlineStr">
        <is>
          <t>4475</t>
        </is>
      </c>
      <c r="B4506" s="4" t="s">
        <f>=HYPERLINK("http://anyluxury.ru/shop/odezhda/detskaya-odezhda/tolstovka-uniseks-sully-krasnaya-02990145/" , "02990145 Толстовка унисекс Sully, красная, размер XL")</f>
      </c>
      <c r="C4506" s="4" t="n">
        <v>2444.00</v>
      </c>
      <c r="D4506" s="4"/>
    </row>
    <row collapsed="" customFormat="false" customHeight="1" hidden="" ht="14" outlineLevel="0" r="4507">
      <c r="A4507" s="3" t="inlineStr">
        <is>
          <t>4476</t>
        </is>
      </c>
      <c r="B4507" s="4" t="s">
        <f>=HYPERLINK("http://anyluxury.ru/shop/odezhda/detskaya-odezhda/tolstovka-uniseks-sully-krasnaya-02990145/" , "02990145 Толстовка унисекс Sully, красная, размер XXL")</f>
      </c>
      <c r="C4507" s="4" t="n">
        <v>2444.00</v>
      </c>
      <c r="D4507" s="4"/>
    </row>
    <row collapsed="" customFormat="false" customHeight="1" hidden="" ht="14" outlineLevel="0" r="4508">
      <c r="A4508" s="3" t="inlineStr">
        <is>
          <t>4477</t>
        </is>
      </c>
      <c r="B4508" s="4" t="s">
        <f>=HYPERLINK("http://anyluxury.ru/shop/odezhda/detskaya-odezhda/tolstovka-uniseks-sully-krasnaya-02990145/" , "02990145 Толстовка унисекс Sully, красная, размер 3XL")</f>
      </c>
      <c r="C4508" s="4" t="n">
        <v>2732.00</v>
      </c>
      <c r="D4508" s="4"/>
    </row>
    <row collapsed="" customFormat="false" customHeight="1" hidden="" ht="14" outlineLevel="0" r="4509">
      <c r="A4509" s="3" t="inlineStr">
        <is>
          <t>4478</t>
        </is>
      </c>
      <c r="B4509" s="4" t="s">
        <f>=HYPERLINK("http://anyluxury.ru/shop/odezhda/detskaya-odezhda/tolstovka-uniseks-sully-bordoviy-melanzh-02990148/" , "02990148 Толстовка унисекс Sully, бордовый меланж, размер XS")</f>
      </c>
      <c r="C4509" s="4" t="n">
        <v>2444.00</v>
      </c>
      <c r="D4509" s="4"/>
    </row>
    <row collapsed="" customFormat="false" customHeight="1" hidden="" ht="14" outlineLevel="0" r="4510">
      <c r="A4510" s="3" t="inlineStr">
        <is>
          <t>4479</t>
        </is>
      </c>
      <c r="B4510" s="4" t="s">
        <f>=HYPERLINK("http://anyluxury.ru/shop/odezhda/detskaya-odezhda/tolstovka-uniseks-sully-bordoviy-melanzh-02990148/" , "02990148 Толстовка унисекс Sully, бордовый меланж, размер S")</f>
      </c>
      <c r="C4510" s="4" t="n">
        <v>2444.00</v>
      </c>
      <c r="D4510" s="4"/>
    </row>
    <row collapsed="" customFormat="false" customHeight="1" hidden="" ht="14" outlineLevel="0" r="4511">
      <c r="A4511" s="3" t="inlineStr">
        <is>
          <t>4480</t>
        </is>
      </c>
      <c r="B4511" s="4" t="s">
        <f>=HYPERLINK("http://anyluxury.ru/shop/odezhda/detskaya-odezhda/tolstovka-uniseks-sully-bordoviy-melanzh-02990148/" , "02990148 Толстовка унисекс Sully, бордовый меланж, размер M")</f>
      </c>
      <c r="C4511" s="4" t="n">
        <v>2444.00</v>
      </c>
      <c r="D4511" s="4"/>
    </row>
    <row collapsed="" customFormat="false" customHeight="1" hidden="" ht="14" outlineLevel="0" r="4512">
      <c r="A4512" s="3" t="inlineStr">
        <is>
          <t>4481</t>
        </is>
      </c>
      <c r="B4512" s="4" t="s">
        <f>=HYPERLINK("http://anyluxury.ru/shop/odezhda/detskaya-odezhda/tolstovka-uniseks-sully-bordoviy-melanzh-02990148/" , "02990148 Толстовка унисекс Sully, бордовый меланж, размер L")</f>
      </c>
      <c r="C4512" s="4" t="n">
        <v>2444.00</v>
      </c>
      <c r="D4512" s="4"/>
    </row>
    <row collapsed="" customFormat="false" customHeight="1" hidden="" ht="14" outlineLevel="0" r="4513">
      <c r="A4513" s="3" t="inlineStr">
        <is>
          <t>4482</t>
        </is>
      </c>
      <c r="B4513" s="4" t="s">
        <f>=HYPERLINK("http://anyluxury.ru/shop/odezhda/detskaya-odezhda/tolstovka-uniseks-sully-bordoviy-melanzh-02990148/" , "02990148 Толстовка унисекс Sully, бордовый меланж, размер XL")</f>
      </c>
      <c r="C4513" s="4" t="n">
        <v>2444.00</v>
      </c>
      <c r="D4513" s="4"/>
    </row>
    <row collapsed="" customFormat="false" customHeight="1" hidden="" ht="14" outlineLevel="0" r="4514">
      <c r="A4514" s="3" t="inlineStr">
        <is>
          <t>4483</t>
        </is>
      </c>
      <c r="B4514" s="4" t="s">
        <f>=HYPERLINK("http://anyluxury.ru/shop/odezhda/detskaya-odezhda/tolstovka-uniseks-sully-bordoviy-melanzh-02990148/" , "02990148 Толстовка унисекс Sully, бордовый меланж, размер XXL")</f>
      </c>
      <c r="C4514" s="4" t="n">
        <v>2444.00</v>
      </c>
      <c r="D4514" s="4"/>
    </row>
    <row collapsed="" customFormat="false" customHeight="1" hidden="" ht="14" outlineLevel="0" r="4515">
      <c r="A4515" s="3" t="inlineStr">
        <is>
          <t>4484</t>
        </is>
      </c>
      <c r="B4515" s="4" t="s">
        <f>=HYPERLINK("http://anyluxury.ru/shop/odezhda/detskaya-odezhda/tolstovka-uniseks-sully-bordoviy-melanzh-02990148/" , "02990148 Толстовка унисекс Sully, бордовый меланж, размер 3XL")</f>
      </c>
      <c r="C4515" s="4" t="n">
        <v>2732.00</v>
      </c>
      <c r="D4515" s="4"/>
    </row>
    <row collapsed="" customFormat="false" customHeight="1" hidden="" ht="14" outlineLevel="0" r="4516">
      <c r="A4516" s="3" t="inlineStr">
        <is>
          <t>4485</t>
        </is>
      </c>
      <c r="B4516" s="4" t="s">
        <f>=HYPERLINK("http://anyluxury.ru/shop/odezhda/detskaya-odezhda/tolstovka-uniseks-sully-siniy-melanzh-02990222/" , "02990222 Толстовка унисекс Sully, синий меланж, размер XS")</f>
      </c>
      <c r="C4516" s="4" t="n">
        <v>2444.00</v>
      </c>
      <c r="D4516" s="4"/>
    </row>
    <row collapsed="" customFormat="false" customHeight="1" hidden="" ht="14" outlineLevel="0" r="4517">
      <c r="A4517" s="3" t="inlineStr">
        <is>
          <t>4486</t>
        </is>
      </c>
      <c r="B4517" s="4" t="s">
        <f>=HYPERLINK("http://anyluxury.ru/shop/odezhda/detskaya-odezhda/tolstovka-uniseks-sully-siniy-melanzh-02990222/" , "02990222 Толстовка унисекс Sully, синий меланж, размер S")</f>
      </c>
      <c r="C4517" s="4" t="n">
        <v>2444.00</v>
      </c>
      <c r="D4517" s="4"/>
    </row>
    <row collapsed="" customFormat="false" customHeight="1" hidden="" ht="14" outlineLevel="0" r="4518">
      <c r="A4518" s="3" t="inlineStr">
        <is>
          <t>4487</t>
        </is>
      </c>
      <c r="B4518" s="4" t="s">
        <f>=HYPERLINK("http://anyluxury.ru/shop/odezhda/detskaya-odezhda/tolstovka-uniseks-sully-siniy-melanzh-02990222/" , "02990222 Толстовка унисекс Sully, синий меланж, размер M")</f>
      </c>
      <c r="C4518" s="4" t="n">
        <v>2444.00</v>
      </c>
      <c r="D4518" s="4"/>
    </row>
    <row collapsed="" customFormat="false" customHeight="1" hidden="" ht="14" outlineLevel="0" r="4519">
      <c r="A4519" s="3" t="inlineStr">
        <is>
          <t>4488</t>
        </is>
      </c>
      <c r="B4519" s="4" t="s">
        <f>=HYPERLINK("http://anyluxury.ru/shop/odezhda/detskaya-odezhda/tolstovka-uniseks-sully-siniy-melanzh-02990222/" , "02990222 Толстовка унисекс Sully, синий меланж, размер L")</f>
      </c>
      <c r="C4519" s="4" t="n">
        <v>2444.00</v>
      </c>
      <c r="D4519" s="4"/>
    </row>
    <row collapsed="" customFormat="false" customHeight="1" hidden="" ht="14" outlineLevel="0" r="4520">
      <c r="A4520" s="3" t="inlineStr">
        <is>
          <t>4489</t>
        </is>
      </c>
      <c r="B4520" s="4" t="s">
        <f>=HYPERLINK("http://anyluxury.ru/shop/odezhda/detskaya-odezhda/tolstovka-uniseks-sully-siniy-melanzh-02990222/" , "02990222 Толстовка унисекс Sully, синий меланж, размер XL")</f>
      </c>
      <c r="C4520" s="4" t="n">
        <v>2444.00</v>
      </c>
      <c r="D4520" s="4"/>
    </row>
    <row collapsed="" customFormat="false" customHeight="1" hidden="" ht="14" outlineLevel="0" r="4521">
      <c r="A4521" s="3" t="inlineStr">
        <is>
          <t>4490</t>
        </is>
      </c>
      <c r="B4521" s="4" t="s">
        <f>=HYPERLINK("http://anyluxury.ru/shop/odezhda/detskaya-odezhda/tolstovka-uniseks-sully-siniy-melanzh-02990222/" , "02990222 Толстовка унисекс Sully, синий меланж, размер XXL")</f>
      </c>
      <c r="C4521" s="4" t="n">
        <v>2444.00</v>
      </c>
      <c r="D4521" s="4"/>
    </row>
    <row collapsed="" customFormat="false" customHeight="1" hidden="" ht="14" outlineLevel="0" r="4522">
      <c r="A4522" s="3" t="inlineStr">
        <is>
          <t>4491</t>
        </is>
      </c>
      <c r="B4522" s="4" t="s">
        <f>=HYPERLINK("http://anyluxury.ru/shop/odezhda/detskaya-odezhda/tolstovka-uniseks-sully-siniy-melanzh-02990222/" , "02990222 Толстовка унисекс Sully, синий меланж, размер 3XL")</f>
      </c>
      <c r="C4522" s="4" t="n">
        <v>2732.00</v>
      </c>
      <c r="D4522" s="4"/>
    </row>
    <row collapsed="" customFormat="false" customHeight="1" hidden="" ht="14" outlineLevel="0" r="4523">
      <c r="A4523" s="3" t="inlineStr">
        <is>
          <t>4492</t>
        </is>
      </c>
      <c r="B4523" s="4" t="s">
        <f>=HYPERLINK("http://anyluxury.ru/shop/odezhda/detskaya-odezhda/tolstovka-uniseks-sully-yarkosinyaya-02990241/" , "02990241 Толстовка унисекс Sully, ярко-синяя, размер XS")</f>
      </c>
      <c r="C4523" s="4" t="n">
        <v>2444.00</v>
      </c>
      <c r="D4523" s="4"/>
    </row>
    <row collapsed="" customFormat="false" customHeight="1" hidden="" ht="14" outlineLevel="0" r="4524">
      <c r="A4524" s="3" t="inlineStr">
        <is>
          <t>4493</t>
        </is>
      </c>
      <c r="B4524" s="4" t="s">
        <f>=HYPERLINK("http://anyluxury.ru/shop/odezhda/detskaya-odezhda/tolstovka-uniseks-sully-yarkosinyaya-02990241/" , "02990241 Толстовка унисекс Sully, ярко-синяя, размер S")</f>
      </c>
      <c r="C4524" s="4" t="n">
        <v>2444.00</v>
      </c>
      <c r="D4524" s="4"/>
    </row>
    <row collapsed="" customFormat="false" customHeight="1" hidden="" ht="14" outlineLevel="0" r="4525">
      <c r="A4525" s="3" t="inlineStr">
        <is>
          <t>4494</t>
        </is>
      </c>
      <c r="B4525" s="4" t="s">
        <f>=HYPERLINK("http://anyluxury.ru/shop/odezhda/detskaya-odezhda/tolstovka-uniseks-sully-yarkosinyaya-02990241/" , "02990241 Толстовка унисекс Sully, ярко-синяя, размер M")</f>
      </c>
      <c r="C4525" s="4" t="n">
        <v>2444.00</v>
      </c>
      <c r="D4525" s="4"/>
    </row>
    <row collapsed="" customFormat="false" customHeight="1" hidden="" ht="14" outlineLevel="0" r="4526">
      <c r="A4526" s="3" t="inlineStr">
        <is>
          <t>4495</t>
        </is>
      </c>
      <c r="B4526" s="4" t="s">
        <f>=HYPERLINK("http://anyluxury.ru/shop/odezhda/detskaya-odezhda/tolstovka-uniseks-sully-yarkosinyaya-02990241/" , "02990241 Толстовка унисекс Sully, ярко-синяя, размер L")</f>
      </c>
      <c r="C4526" s="4" t="n">
        <v>2444.00</v>
      </c>
      <c r="D4526" s="4"/>
    </row>
    <row collapsed="" customFormat="false" customHeight="1" hidden="" ht="14" outlineLevel="0" r="4527">
      <c r="A4527" s="3" t="inlineStr">
        <is>
          <t>4496</t>
        </is>
      </c>
      <c r="B4527" s="4" t="s">
        <f>=HYPERLINK("http://anyluxury.ru/shop/odezhda/detskaya-odezhda/tolstovka-uniseks-sully-yarkosinyaya-02990241/" , "02990241 Толстовка унисекс Sully, ярко-синяя, размер XL")</f>
      </c>
      <c r="C4527" s="4" t="n">
        <v>2444.00</v>
      </c>
      <c r="D4527" s="4"/>
    </row>
    <row collapsed="" customFormat="false" customHeight="1" hidden="" ht="14" outlineLevel="0" r="4528">
      <c r="A4528" s="3" t="inlineStr">
        <is>
          <t>4497</t>
        </is>
      </c>
      <c r="B4528" s="4" t="s">
        <f>=HYPERLINK("http://anyluxury.ru/shop/odezhda/detskaya-odezhda/tolstovka-uniseks-sully-yarkosinyaya-02990241/" , "02990241 Толстовка унисекс Sully, ярко-синяя, размер XXL")</f>
      </c>
      <c r="C4528" s="4" t="n">
        <v>2444.00</v>
      </c>
      <c r="D4528" s="4"/>
    </row>
    <row collapsed="" customFormat="false" customHeight="1" hidden="" ht="14" outlineLevel="0" r="4529">
      <c r="A4529" s="3" t="inlineStr">
        <is>
          <t>4498</t>
        </is>
      </c>
      <c r="B4529" s="4" t="s">
        <f>=HYPERLINK("http://anyluxury.ru/shop/odezhda/detskaya-odezhda/tolstovka-uniseks-sully-yarkosinyaya-02990241/" , "02990241 Толстовка унисекс Sully, ярко-синяя, размер 3XL")</f>
      </c>
      <c r="C4529" s="4" t="n">
        <v>2732.00</v>
      </c>
      <c r="D4529" s="4"/>
    </row>
    <row collapsed="" customFormat="false" customHeight="1" hidden="" ht="14" outlineLevel="0" r="4530">
      <c r="A4530" s="3" t="inlineStr">
        <is>
          <t>4499</t>
        </is>
      </c>
      <c r="B4530" s="4" t="s">
        <f>=HYPERLINK("http://anyluxury.ru/shop/odezhda/detskaya-odezhda/tolstovka-uniseks-sully-golubaya-02990251/" , "02990251 Толстовка унисекс Sully, голубая, размер XS")</f>
      </c>
      <c r="C4530" s="4" t="n">
        <v>2444.00</v>
      </c>
      <c r="D4530" s="4"/>
    </row>
    <row collapsed="" customFormat="false" customHeight="1" hidden="" ht="14" outlineLevel="0" r="4531">
      <c r="A4531" s="3" t="inlineStr">
        <is>
          <t>4500</t>
        </is>
      </c>
      <c r="B4531" s="4" t="s">
        <f>=HYPERLINK("http://anyluxury.ru/shop/odezhda/detskaya-odezhda/tolstovka-uniseks-sully-golubaya-02990251/" , "02990251 Толстовка унисекс Sully, голубая, размер S")</f>
      </c>
      <c r="C4531" s="4" t="n">
        <v>2444.00</v>
      </c>
      <c r="D4531" s="4"/>
    </row>
    <row collapsed="" customFormat="false" customHeight="1" hidden="" ht="14" outlineLevel="0" r="4532">
      <c r="A4532" s="3" t="inlineStr">
        <is>
          <t>4501</t>
        </is>
      </c>
      <c r="B4532" s="4" t="s">
        <f>=HYPERLINK("http://anyluxury.ru/shop/odezhda/detskaya-odezhda/tolstovka-uniseks-sully-golubaya-02990251/" , "02990251 Толстовка унисекс Sully, голубая, размер L")</f>
      </c>
      <c r="C4532" s="4" t="n">
        <v>2444.00</v>
      </c>
      <c r="D4532" s="4"/>
    </row>
    <row collapsed="" customFormat="false" customHeight="1" hidden="" ht="14" outlineLevel="0" r="4533">
      <c r="A4533" s="3" t="inlineStr">
        <is>
          <t>4502</t>
        </is>
      </c>
      <c r="B4533" s="4" t="s">
        <f>=HYPERLINK("http://anyluxury.ru/shop/odezhda/detskaya-odezhda/tolstovka-uniseks-sully-golubaya-02990251/" , "02990251 Толстовка унисекс Sully, голубая, размер XL")</f>
      </c>
      <c r="C4533" s="4" t="n">
        <v>2444.00</v>
      </c>
      <c r="D4533" s="4"/>
    </row>
    <row collapsed="" customFormat="false" customHeight="1" hidden="" ht="14" outlineLevel="0" r="4534">
      <c r="A4534" s="3" t="inlineStr">
        <is>
          <t>4503</t>
        </is>
      </c>
      <c r="B4534" s="4" t="s">
        <f>=HYPERLINK("http://anyluxury.ru/shop/odezhda/detskaya-odezhda/tolstovka-uniseks-sully-golubaya-02990251/" , "02990251 Толстовка унисекс Sully, голубая, размер XXL")</f>
      </c>
      <c r="C4534" s="4" t="n">
        <v>2444.00</v>
      </c>
      <c r="D4534" s="4"/>
    </row>
    <row collapsed="" customFormat="false" customHeight="1" hidden="" ht="14" outlineLevel="0" r="4535">
      <c r="A4535" s="3" t="inlineStr">
        <is>
          <t>4504</t>
        </is>
      </c>
      <c r="B4535" s="4" t="s">
        <f>=HYPERLINK("http://anyluxury.ru/shop/odezhda/detskaya-odezhda/tolstovka-uniseks-sully-golubaya-02990251/" , "02990251 Толстовка унисекс Sully, голубая, размер 3XL")</f>
      </c>
      <c r="C4535" s="4" t="n">
        <v>2732.00</v>
      </c>
      <c r="D4535" s="4"/>
    </row>
    <row collapsed="" customFormat="false" customHeight="1" hidden="" ht="14" outlineLevel="0" r="4536">
      <c r="A4536" s="3" t="inlineStr">
        <is>
          <t>4505</t>
        </is>
      </c>
      <c r="B4536" s="4" t="s">
        <f>=HYPERLINK("http://anyluxury.ru/shop/odezhda/detskaya-odezhda/tolstovka-uniseks-sully-svetloseriy-melanzh-02990300/" , "02990300 Толстовка унисекс Sully, светло-серый меланж, размер XS")</f>
      </c>
      <c r="C4536" s="4" t="n">
        <v>2444.00</v>
      </c>
      <c r="D4536" s="4"/>
    </row>
    <row collapsed="" customFormat="false" customHeight="1" hidden="" ht="14" outlineLevel="0" r="4537">
      <c r="A4537" s="3" t="inlineStr">
        <is>
          <t>4506</t>
        </is>
      </c>
      <c r="B4537" s="4" t="s">
        <f>=HYPERLINK("http://anyluxury.ru/shop/odezhda/detskaya-odezhda/tolstovka-uniseks-sully-svetloseriy-melanzh-02990300/" , "02990300 Толстовка унисекс Sully, светло-серый меланж, размер L")</f>
      </c>
      <c r="C4537" s="4" t="n">
        <v>2444.00</v>
      </c>
      <c r="D4537" s="4"/>
    </row>
    <row collapsed="" customFormat="false" customHeight="1" hidden="" ht="14" outlineLevel="0" r="4538">
      <c r="A4538" s="3" t="inlineStr">
        <is>
          <t>4507</t>
        </is>
      </c>
      <c r="B4538" s="4" t="s">
        <f>=HYPERLINK("http://anyluxury.ru/shop/odezhda/detskaya-odezhda/tolstovka-uniseks-sully-svetloseriy-melanzh-02990300/" , "02990300 Толстовка унисекс Sully, светло-серый меланж, размер XL")</f>
      </c>
      <c r="C4538" s="4" t="n">
        <v>2444.00</v>
      </c>
      <c r="D4538" s="4"/>
    </row>
    <row collapsed="" customFormat="false" customHeight="1" hidden="" ht="14" outlineLevel="0" r="4539">
      <c r="A4539" s="3" t="inlineStr">
        <is>
          <t>4508</t>
        </is>
      </c>
      <c r="B4539" s="4" t="s">
        <f>=HYPERLINK("http://anyluxury.ru/shop/odezhda/detskaya-odezhda/tolstovka-uniseks-sully-svetloseriy-melanzh-02990300/" , "02990300 Толстовка унисекс Sully, светло-серый меланж, размер XXL")</f>
      </c>
      <c r="C4539" s="4" t="n">
        <v>2444.00</v>
      </c>
      <c r="D4539" s="4"/>
    </row>
    <row collapsed="" customFormat="false" customHeight="1" hidden="" ht="14" outlineLevel="0" r="4540">
      <c r="A4540" s="3" t="inlineStr">
        <is>
          <t>4509</t>
        </is>
      </c>
      <c r="B4540" s="4" t="s">
        <f>=HYPERLINK("http://anyluxury.ru/shop/odezhda/detskaya-odezhda/tolstovka-uniseks-sully-svetloseriy-melanzh-02990300/" , "02990300 Толстовка унисекс Sully, светло-серый меланж, размер 3XL")</f>
      </c>
      <c r="C4540" s="4" t="n">
        <v>2675.00</v>
      </c>
      <c r="D4540" s="4"/>
    </row>
    <row collapsed="" customFormat="false" customHeight="1" hidden="" ht="14" outlineLevel="0" r="4541">
      <c r="A4541" s="3" t="inlineStr">
        <is>
          <t>4510</t>
        </is>
      </c>
      <c r="B4541" s="4" t="s">
        <f>=HYPERLINK("http://anyluxury.ru/shop/odezhda/detskaya-odezhda/tolstovka-uniseks-sully-kobalt-temnosinyaya-02990319/" , "02990319 Толстовка унисекс Sully, кобальт (темно-синяя), размер XS")</f>
      </c>
      <c r="C4541" s="4" t="n">
        <v>2444.00</v>
      </c>
      <c r="D4541" s="4"/>
    </row>
    <row collapsed="" customFormat="false" customHeight="1" hidden="" ht="14" outlineLevel="0" r="4542">
      <c r="A4542" s="3" t="inlineStr">
        <is>
          <t>4511</t>
        </is>
      </c>
      <c r="B4542" s="4" t="s">
        <f>=HYPERLINK("http://anyluxury.ru/shop/odezhda/detskaya-odezhda/tolstovka-uniseks-sully-kobalt-temnosinyaya-02990319/" , "02990319 Толстовка унисекс Sully, кобальт (темно-синяя), размер S")</f>
      </c>
      <c r="C4542" s="4" t="n">
        <v>2444.00</v>
      </c>
      <c r="D4542" s="4"/>
    </row>
    <row collapsed="" customFormat="false" customHeight="1" hidden="" ht="14" outlineLevel="0" r="4543">
      <c r="A4543" s="3" t="inlineStr">
        <is>
          <t>4512</t>
        </is>
      </c>
      <c r="B4543" s="4" t="s">
        <f>=HYPERLINK("http://anyluxury.ru/shop/odezhda/detskaya-odezhda/tolstovka-uniseks-sully-kobalt-temnosinyaya-02990319/" , "02990319 Толстовка унисекс Sully, кобальт (темно-синяя), размер M")</f>
      </c>
      <c r="C4543" s="4" t="n">
        <v>2444.00</v>
      </c>
      <c r="D4543" s="4"/>
    </row>
    <row collapsed="" customFormat="false" customHeight="1" hidden="" ht="14" outlineLevel="0" r="4544">
      <c r="A4544" s="3" t="inlineStr">
        <is>
          <t>4513</t>
        </is>
      </c>
      <c r="B4544" s="4" t="s">
        <f>=HYPERLINK("http://anyluxury.ru/shop/odezhda/detskaya-odezhda/tolstovka-uniseks-sully-kobalt-temnosinyaya-02990319/" , "02990319 Толстовка унисекс Sully, кобальт (темно-синяя), размер L")</f>
      </c>
      <c r="C4544" s="4" t="n">
        <v>2444.00</v>
      </c>
      <c r="D4544" s="4"/>
    </row>
    <row collapsed="" customFormat="false" customHeight="1" hidden="" ht="14" outlineLevel="0" r="4545">
      <c r="A4545" s="3" t="inlineStr">
        <is>
          <t>4514</t>
        </is>
      </c>
      <c r="B4545" s="4" t="s">
        <f>=HYPERLINK("http://anyluxury.ru/shop/odezhda/detskaya-odezhda/tolstovka-uniseks-sully-kobalt-temnosinyaya-02990319/" , "02990319 Толстовка унисекс Sully, кобальт (темно-синяя), размер XL")</f>
      </c>
      <c r="C4545" s="4" t="n">
        <v>2444.00</v>
      </c>
      <c r="D4545" s="4"/>
    </row>
    <row collapsed="" customFormat="false" customHeight="1" hidden="" ht="14" outlineLevel="0" r="4546">
      <c r="A4546" s="3" t="inlineStr">
        <is>
          <t>4515</t>
        </is>
      </c>
      <c r="B4546" s="4" t="s">
        <f>=HYPERLINK("http://anyluxury.ru/shop/odezhda/detskaya-odezhda/tolstovka-uniseks-sully-kobalt-temnosinyaya-02990319/" , "02990319 Толстовка унисекс Sully, кобальт (темно-синяя), размер XXL")</f>
      </c>
      <c r="C4546" s="4" t="n">
        <v>2444.00</v>
      </c>
      <c r="D4546" s="4"/>
    </row>
    <row collapsed="" customFormat="false" customHeight="1" hidden="" ht="14" outlineLevel="0" r="4547">
      <c r="A4547" s="3" t="inlineStr">
        <is>
          <t>4516</t>
        </is>
      </c>
      <c r="B4547" s="4" t="s">
        <f>=HYPERLINK("http://anyluxury.ru/shop/odezhda/detskaya-odezhda/tolstovka-uniseks-sully-kobalt-temnosinyaya-02990319/" , "02990319 Толстовка унисекс Sully, кобальт (темно-синяя), размер 3XL")</f>
      </c>
      <c r="C4547" s="4" t="n">
        <v>2732.00</v>
      </c>
      <c r="D4547" s="4"/>
    </row>
    <row collapsed="" customFormat="false" customHeight="1" hidden="" ht="14" outlineLevel="0" r="4548">
      <c r="A4548" s="3" t="inlineStr">
        <is>
          <t>4517</t>
        </is>
      </c>
      <c r="B4548" s="4" t="s">
        <f>=HYPERLINK("http://anyluxury.ru/shop/odezhda/detskaya-odezhda/tolstovka-uniseks-sully-cherniy-melanzh-02990348/" , "02990348 Толстовка унисекс Sully, черный меланж, размер XS")</f>
      </c>
      <c r="C4548" s="4" t="n">
        <v>2444.00</v>
      </c>
      <c r="D4548" s="4"/>
    </row>
    <row collapsed="" customFormat="false" customHeight="1" hidden="" ht="14" outlineLevel="0" r="4549">
      <c r="A4549" s="3" t="inlineStr">
        <is>
          <t>4518</t>
        </is>
      </c>
      <c r="B4549" s="4" t="s">
        <f>=HYPERLINK("http://anyluxury.ru/shop/odezhda/detskaya-odezhda/tolstovka-uniseks-sully-cherniy-melanzh-02990348/" , "02990348 Толстовка унисекс Sully, черный меланж, размер S")</f>
      </c>
      <c r="C4549" s="4" t="n">
        <v>2444.00</v>
      </c>
      <c r="D4549" s="4"/>
    </row>
    <row collapsed="" customFormat="false" customHeight="1" hidden="" ht="14" outlineLevel="0" r="4550">
      <c r="A4550" s="3" t="inlineStr">
        <is>
          <t>4519</t>
        </is>
      </c>
      <c r="B4550" s="4" t="s">
        <f>=HYPERLINK("http://anyluxury.ru/shop/odezhda/detskaya-odezhda/tolstovka-uniseks-sully-cherniy-melanzh-02990348/" , "02990348 Толстовка унисекс Sully, черный меланж, размер M")</f>
      </c>
      <c r="C4550" s="4" t="n">
        <v>2444.00</v>
      </c>
      <c r="D4550" s="4"/>
    </row>
    <row collapsed="" customFormat="false" customHeight="1" hidden="" ht="14" outlineLevel="0" r="4551">
      <c r="A4551" s="3" t="inlineStr">
        <is>
          <t>4520</t>
        </is>
      </c>
      <c r="B4551" s="4" t="s">
        <f>=HYPERLINK("http://anyluxury.ru/shop/odezhda/detskaya-odezhda/tolstovka-uniseks-sully-cherniy-melanzh-02990348/" , "02990348 Толстовка унисекс Sully, черный меланж, размер L")</f>
      </c>
      <c r="C4551" s="4" t="n">
        <v>2444.00</v>
      </c>
      <c r="D4551" s="4"/>
    </row>
    <row collapsed="" customFormat="false" customHeight="1" hidden="" ht="14" outlineLevel="0" r="4552">
      <c r="A4552" s="3" t="inlineStr">
        <is>
          <t>4521</t>
        </is>
      </c>
      <c r="B4552" s="4" t="s">
        <f>=HYPERLINK("http://anyluxury.ru/shop/odezhda/detskaya-odezhda/tolstovka-uniseks-sully-cherniy-melanzh-02990348/" , "02990348 Толстовка унисекс Sully, черный меланж, размер XL")</f>
      </c>
      <c r="C4552" s="4" t="n">
        <v>2444.00</v>
      </c>
      <c r="D4552" s="4"/>
    </row>
    <row collapsed="" customFormat="false" customHeight="1" hidden="" ht="14" outlineLevel="0" r="4553">
      <c r="A4553" s="3" t="inlineStr">
        <is>
          <t>4522</t>
        </is>
      </c>
      <c r="B4553" s="4" t="s">
        <f>=HYPERLINK("http://anyluxury.ru/shop/odezhda/detskaya-odezhda/tolstovka-uniseks-sully-cherniy-melanzh-02990348/" , "02990348 Толстовка унисекс Sully, черный меланж, размер XXL")</f>
      </c>
      <c r="C4553" s="4" t="n">
        <v>2444.00</v>
      </c>
      <c r="D4553" s="4"/>
    </row>
    <row collapsed="" customFormat="false" customHeight="1" hidden="" ht="14" outlineLevel="0" r="4554">
      <c r="A4554" s="3" t="inlineStr">
        <is>
          <t>4523</t>
        </is>
      </c>
      <c r="B4554" s="4" t="s">
        <f>=HYPERLINK("http://anyluxury.ru/shop/odezhda/detskaya-odezhda/tolstovka-uniseks-sully-cherniy-melanzh-02990348/" , "02990348 Толстовка унисекс Sully, черный меланж, размер 3XL")</f>
      </c>
      <c r="C4554" s="4" t="n">
        <v>2675.00</v>
      </c>
      <c r="D4554" s="4"/>
    </row>
    <row collapsed="" customFormat="false" customHeight="1" hidden="" ht="14" outlineLevel="0" r="4555">
      <c r="A4555" s="3" t="inlineStr">
        <is>
          <t>4524</t>
        </is>
      </c>
      <c r="B4555" s="4" t="s">
        <f>=HYPERLINK("http://anyluxury.ru/shop/odezhda/detskaya-odezhda/tolstovka-zhenskaya-sully-women-belaya-03104102/" , "03104102 Толстовка женская Sully Women, белая, размер XS")</f>
      </c>
      <c r="C4555" s="4" t="n">
        <v>2444.00</v>
      </c>
      <c r="D4555" s="4"/>
    </row>
    <row collapsed="" customFormat="false" customHeight="1" hidden="" ht="14" outlineLevel="0" r="4556">
      <c r="A4556" s="3" t="inlineStr">
        <is>
          <t>4525</t>
        </is>
      </c>
      <c r="B4556" s="4" t="s">
        <f>=HYPERLINK("http://anyluxury.ru/shop/odezhda/detskaya-odezhda/tolstovka-zhenskaya-sully-women-belaya-03104102/" , "03104102 Толстовка женская Sully Women, белая, размер S")</f>
      </c>
      <c r="C4556" s="4" t="n">
        <v>2444.00</v>
      </c>
      <c r="D4556" s="4"/>
    </row>
    <row collapsed="" customFormat="false" customHeight="1" hidden="" ht="14" outlineLevel="0" r="4557">
      <c r="A4557" s="3" t="inlineStr">
        <is>
          <t>4526</t>
        </is>
      </c>
      <c r="B4557" s="4" t="s">
        <f>=HYPERLINK("http://anyluxury.ru/shop/odezhda/detskaya-odezhda/tolstovka-zhenskaya-sully-women-belaya-03104102/" , "03104102 Толстовка женская Sully Women, белая, размер M")</f>
      </c>
      <c r="C4557" s="4" t="n">
        <v>2444.00</v>
      </c>
      <c r="D4557" s="4"/>
    </row>
    <row collapsed="" customFormat="false" customHeight="1" hidden="" ht="14" outlineLevel="0" r="4558">
      <c r="A4558" s="3" t="inlineStr">
        <is>
          <t>4527</t>
        </is>
      </c>
      <c r="B4558" s="4" t="s">
        <f>=HYPERLINK("http://anyluxury.ru/shop/odezhda/detskaya-odezhda/tolstovka-zhenskaya-sully-women-belaya-03104102/" , "03104102 Толстовка женская Sully Women, белая, размер L")</f>
      </c>
      <c r="C4558" s="4" t="n">
        <v>2444.00</v>
      </c>
      <c r="D4558" s="4"/>
    </row>
    <row collapsed="" customFormat="false" customHeight="1" hidden="" ht="14" outlineLevel="0" r="4559">
      <c r="A4559" s="3" t="inlineStr">
        <is>
          <t>4528</t>
        </is>
      </c>
      <c r="B4559" s="4" t="s">
        <f>=HYPERLINK("http://anyluxury.ru/shop/odezhda/detskaya-odezhda/tolstovka-zhenskaya-sully-women-belaya-03104102/" , "03104102 Толстовка женская Sully Women, белая, размер XL")</f>
      </c>
      <c r="C4559" s="4" t="n">
        <v>2444.00</v>
      </c>
      <c r="D4559" s="4"/>
    </row>
    <row collapsed="" customFormat="false" customHeight="1" hidden="" ht="14" outlineLevel="0" r="4560">
      <c r="A4560" s="3" t="inlineStr">
        <is>
          <t>4529</t>
        </is>
      </c>
      <c r="B4560" s="4" t="s">
        <f>=HYPERLINK("http://anyluxury.ru/shop/odezhda/detskaya-odezhda/tolstovka-zhenskaya-sully-women-belaya-03104102/" , "03104102 Толстовка женская Sully Women, белая, размер XXL")</f>
      </c>
      <c r="C4560" s="4" t="n">
        <v>2444.00</v>
      </c>
      <c r="D4560" s="4"/>
    </row>
    <row collapsed="" customFormat="false" customHeight="1" hidden="" ht="14" outlineLevel="0" r="4561">
      <c r="A4561" s="3" t="inlineStr">
        <is>
          <t>4530</t>
        </is>
      </c>
      <c r="B4561" s="4" t="s">
        <f>=HYPERLINK("http://anyluxury.ru/shop/odezhda/detskaya-odezhda/tolstovka-zhenskaya-sully-women-rozovaya-03104143/" , "03104143 Толстовка женская Sully Women, розовая, размер XS")</f>
      </c>
      <c r="C4561" s="4" t="n">
        <v>2444.00</v>
      </c>
      <c r="D4561" s="4"/>
    </row>
    <row collapsed="" customFormat="false" customHeight="1" hidden="" ht="14" outlineLevel="0" r="4562">
      <c r="A4562" s="3" t="inlineStr">
        <is>
          <t>4531</t>
        </is>
      </c>
      <c r="B4562" s="4" t="s">
        <f>=HYPERLINK("http://anyluxury.ru/shop/odezhda/detskaya-odezhda/tolstovka-zhenskaya-sully-women-rozovaya-03104143/" , "03104143 Толстовка женская Sully Women, розовая, размер S")</f>
      </c>
      <c r="C4562" s="4" t="n">
        <v>2444.00</v>
      </c>
      <c r="D4562" s="4"/>
    </row>
    <row collapsed="" customFormat="false" customHeight="1" hidden="" ht="14" outlineLevel="0" r="4563">
      <c r="A4563" s="3" t="inlineStr">
        <is>
          <t>4532</t>
        </is>
      </c>
      <c r="B4563" s="4" t="s">
        <f>=HYPERLINK("http://anyluxury.ru/shop/odezhda/detskaya-odezhda/tolstovka-zhenskaya-sully-women-rozovaya-03104143/" , "03104143 Толстовка женская Sully Women, розовая, размер M")</f>
      </c>
      <c r="C4563" s="4" t="n">
        <v>2444.00</v>
      </c>
      <c r="D4563" s="4"/>
    </row>
    <row collapsed="" customFormat="false" customHeight="1" hidden="" ht="14" outlineLevel="0" r="4564">
      <c r="A4564" s="3" t="inlineStr">
        <is>
          <t>4533</t>
        </is>
      </c>
      <c r="B4564" s="4" t="s">
        <f>=HYPERLINK("http://anyluxury.ru/shop/odezhda/detskaya-odezhda/tolstovka-zhenskaya-sully-women-rozovaya-03104143/" , "03104143 Толстовка женская Sully Women, розовая, размер L")</f>
      </c>
      <c r="C4564" s="4" t="n">
        <v>2444.00</v>
      </c>
      <c r="D4564" s="4"/>
    </row>
    <row collapsed="" customFormat="false" customHeight="1" hidden="" ht="14" outlineLevel="0" r="4565">
      <c r="A4565" s="3" t="inlineStr">
        <is>
          <t>4534</t>
        </is>
      </c>
      <c r="B4565" s="4" t="s">
        <f>=HYPERLINK("http://anyluxury.ru/shop/odezhda/detskaya-odezhda/tolstovka-zhenskaya-sully-women-rozovaya-03104143/" , "03104143 Толстовка женская Sully Women, розовая, размер XL")</f>
      </c>
      <c r="C4565" s="4" t="n">
        <v>2444.00</v>
      </c>
      <c r="D4565" s="4"/>
    </row>
    <row collapsed="" customFormat="false" customHeight="1" hidden="" ht="14" outlineLevel="0" r="4566">
      <c r="A4566" s="3" t="inlineStr">
        <is>
          <t>4535</t>
        </is>
      </c>
      <c r="B4566" s="4" t="s">
        <f>=HYPERLINK("http://anyluxury.ru/shop/odezhda/detskaya-odezhda/tolstovka-zhenskaya-sully-women-rozovaya-03104143/" , "03104143 Толстовка женская Sully Women, розовая, размер XXL")</f>
      </c>
      <c r="C4566" s="4" t="n">
        <v>2444.00</v>
      </c>
      <c r="D4566" s="4"/>
    </row>
    <row collapsed="" customFormat="false" customHeight="1" hidden="" ht="14" outlineLevel="0" r="4567">
      <c r="A4567" s="3" t="inlineStr">
        <is>
          <t>4536</t>
        </is>
      </c>
      <c r="B4567" s="4" t="s">
        <f>=HYPERLINK("http://anyluxury.ru/shop/odezhda/detskaya-odezhda/tolstovka-zhenskaya-sully-women-krasnaya-03104145/" , "03104145 Толстовка женская Sully Women, красная, размер XS")</f>
      </c>
      <c r="C4567" s="4" t="n">
        <v>2444.00</v>
      </c>
      <c r="D4567" s="4"/>
    </row>
    <row collapsed="" customFormat="false" customHeight="1" hidden="" ht="14" outlineLevel="0" r="4568">
      <c r="A4568" s="3" t="inlineStr">
        <is>
          <t>4537</t>
        </is>
      </c>
      <c r="B4568" s="4" t="s">
        <f>=HYPERLINK("http://anyluxury.ru/shop/odezhda/detskaya-odezhda/tolstovka-zhenskaya-sully-women-krasnaya-03104145/" , "03104145 Толстовка женская Sully Women, красная, размер S")</f>
      </c>
      <c r="C4568" s="4" t="n">
        <v>2444.00</v>
      </c>
      <c r="D4568" s="4"/>
    </row>
    <row collapsed="" customFormat="false" customHeight="1" hidden="" ht="14" outlineLevel="0" r="4569">
      <c r="A4569" s="3" t="inlineStr">
        <is>
          <t>4538</t>
        </is>
      </c>
      <c r="B4569" s="4" t="s">
        <f>=HYPERLINK("http://anyluxury.ru/shop/odezhda/detskaya-odezhda/tolstovka-zhenskaya-sully-women-krasnaya-03104145/" , "03104145 Толстовка женская Sully Women, красная, размер M")</f>
      </c>
      <c r="C4569" s="4" t="n">
        <v>2444.00</v>
      </c>
      <c r="D4569" s="4"/>
    </row>
    <row collapsed="" customFormat="false" customHeight="1" hidden="" ht="14" outlineLevel="0" r="4570">
      <c r="A4570" s="3" t="inlineStr">
        <is>
          <t>4539</t>
        </is>
      </c>
      <c r="B4570" s="4" t="s">
        <f>=HYPERLINK("http://anyluxury.ru/shop/odezhda/detskaya-odezhda/tolstovka-zhenskaya-sully-women-krasnaya-03104145/" , "03104145 Толстовка женская Sully Women, красная, размер L")</f>
      </c>
      <c r="C4570" s="4" t="n">
        <v>2444.00</v>
      </c>
      <c r="D4570" s="4"/>
    </row>
    <row collapsed="" customFormat="false" customHeight="1" hidden="" ht="14" outlineLevel="0" r="4571">
      <c r="A4571" s="3" t="inlineStr">
        <is>
          <t>4540</t>
        </is>
      </c>
      <c r="B4571" s="4" t="s">
        <f>=HYPERLINK("http://anyluxury.ru/shop/odezhda/detskaya-odezhda/tolstovka-zhenskaya-sully-women-krasnaya-03104145/" , "03104145 Толстовка женская Sully Women, красная, размер XL")</f>
      </c>
      <c r="C4571" s="4" t="n">
        <v>2444.00</v>
      </c>
      <c r="D4571" s="4"/>
    </row>
    <row collapsed="" customFormat="false" customHeight="1" hidden="" ht="14" outlineLevel="0" r="4572">
      <c r="A4572" s="3" t="inlineStr">
        <is>
          <t>4541</t>
        </is>
      </c>
      <c r="B4572" s="4" t="s">
        <f>=HYPERLINK("http://anyluxury.ru/shop/odezhda/detskaya-odezhda/tolstovka-zhenskaya-sully-women-krasnaya-03104145/" , "03104145 Толстовка женская Sully Women, красная, размер XXL")</f>
      </c>
      <c r="C4572" s="4" t="n">
        <v>2444.00</v>
      </c>
      <c r="D4572" s="4"/>
    </row>
    <row collapsed="" customFormat="false" customHeight="1" hidden="" ht="14" outlineLevel="0" r="4573">
      <c r="A4573" s="3" t="inlineStr">
        <is>
          <t>4542</t>
        </is>
      </c>
      <c r="B4573" s="4" t="s">
        <f>=HYPERLINK("http://anyluxury.ru/shop/odezhda/detskaya-odezhda/tolstovka-zhenskaya-sully-women-bordoviy-melanzh-03104148/" , "03104148 Толстовка женская Sully Women, бордовый меланж, размер XS")</f>
      </c>
      <c r="C4573" s="4" t="n">
        <v>2444.00</v>
      </c>
      <c r="D4573" s="4"/>
    </row>
    <row collapsed="" customFormat="false" customHeight="1" hidden="" ht="14" outlineLevel="0" r="4574">
      <c r="A4574" s="3" t="inlineStr">
        <is>
          <t>4543</t>
        </is>
      </c>
      <c r="B4574" s="4" t="s">
        <f>=HYPERLINK("http://anyluxury.ru/shop/odezhda/detskaya-odezhda/tolstovka-zhenskaya-sully-women-bordoviy-melanzh-03104148/" , "03104148 Толстовка женская Sully Women, бордовый меланж, размер S")</f>
      </c>
      <c r="C4574" s="4" t="n">
        <v>2444.00</v>
      </c>
      <c r="D4574" s="4"/>
    </row>
    <row collapsed="" customFormat="false" customHeight="1" hidden="" ht="14" outlineLevel="0" r="4575">
      <c r="A4575" s="3" t="inlineStr">
        <is>
          <t>4544</t>
        </is>
      </c>
      <c r="B4575" s="4" t="s">
        <f>=HYPERLINK("http://anyluxury.ru/shop/odezhda/detskaya-odezhda/tolstovka-zhenskaya-sully-women-bordoviy-melanzh-03104148/" , "03104148 Толстовка женская Sully Women, бордовый меланж, размер M")</f>
      </c>
      <c r="C4575" s="4" t="n">
        <v>2444.00</v>
      </c>
      <c r="D4575" s="4"/>
    </row>
    <row collapsed="" customFormat="false" customHeight="1" hidden="" ht="14" outlineLevel="0" r="4576">
      <c r="A4576" s="3" t="inlineStr">
        <is>
          <t>4545</t>
        </is>
      </c>
      <c r="B4576" s="4" t="s">
        <f>=HYPERLINK("http://anyluxury.ru/shop/odezhda/detskaya-odezhda/tolstovka-zhenskaya-sully-women-bordoviy-melanzh-03104148/" , "03104148 Толстовка женская Sully Women, бордовый меланж, размер L")</f>
      </c>
      <c r="C4576" s="4" t="n">
        <v>2444.00</v>
      </c>
      <c r="D4576" s="4"/>
    </row>
    <row collapsed="" customFormat="false" customHeight="1" hidden="" ht="14" outlineLevel="0" r="4577">
      <c r="A4577" s="3" t="inlineStr">
        <is>
          <t>4546</t>
        </is>
      </c>
      <c r="B4577" s="4" t="s">
        <f>=HYPERLINK("http://anyluxury.ru/shop/odezhda/detskaya-odezhda/tolstovka-zhenskaya-sully-women-bordoviy-melanzh-03104148/" , "03104148 Толстовка женская Sully Women, бордовый меланж, размер XL")</f>
      </c>
      <c r="C4577" s="4" t="n">
        <v>2444.00</v>
      </c>
      <c r="D4577" s="4"/>
    </row>
    <row collapsed="" customFormat="false" customHeight="1" hidden="" ht="14" outlineLevel="0" r="4578">
      <c r="A4578" s="3" t="inlineStr">
        <is>
          <t>4547</t>
        </is>
      </c>
      <c r="B4578" s="4" t="s">
        <f>=HYPERLINK("http://anyluxury.ru/shop/odezhda/detskaya-odezhda/tolstovka-zhenskaya-sully-women-bordoviy-melanzh-03104148/" , "03104148 Толстовка женская Sully Women, бордовый меланж, размер XXL")</f>
      </c>
      <c r="C4578" s="4" t="n">
        <v>2444.00</v>
      </c>
      <c r="D4578" s="4"/>
    </row>
    <row collapsed="" customFormat="false" customHeight="1" hidden="" ht="14" outlineLevel="0" r="4579">
      <c r="A4579" s="3" t="inlineStr">
        <is>
          <t>4548</t>
        </is>
      </c>
      <c r="B4579" s="4" t="s">
        <f>=HYPERLINK("http://anyluxury.ru/shop/odezhda/detskaya-odezhda/tolstovka-zhenskaya-sully-women-rozoviy-melanzh-03104151/" , "03104151 Толстовка женская Sully Women, розовый меланж, размер XS")</f>
      </c>
      <c r="C4579" s="4" t="n">
        <v>2444.00</v>
      </c>
      <c r="D4579" s="4"/>
    </row>
    <row collapsed="" customFormat="false" customHeight="1" hidden="" ht="14" outlineLevel="0" r="4580">
      <c r="A4580" s="3" t="inlineStr">
        <is>
          <t>4549</t>
        </is>
      </c>
      <c r="B4580" s="4" t="s">
        <f>=HYPERLINK("http://anyluxury.ru/shop/odezhda/detskaya-odezhda/tolstovka-zhenskaya-sully-women-rozoviy-melanzh-03104151/" , "03104151 Толстовка женская Sully Women, розовый меланж, размер S")</f>
      </c>
      <c r="C4580" s="4" t="n">
        <v>2444.00</v>
      </c>
      <c r="D4580" s="4"/>
    </row>
    <row collapsed="" customFormat="false" customHeight="1" hidden="" ht="14" outlineLevel="0" r="4581">
      <c r="A4581" s="3" t="inlineStr">
        <is>
          <t>4550</t>
        </is>
      </c>
      <c r="B4581" s="4" t="s">
        <f>=HYPERLINK("http://anyluxury.ru/shop/odezhda/detskaya-odezhda/tolstovka-zhenskaya-sully-women-rozoviy-melanzh-03104151/" , "03104151 Толстовка женская Sully Women, розовый меланж, размер M")</f>
      </c>
      <c r="C4581" s="4" t="n">
        <v>2444.00</v>
      </c>
      <c r="D4581" s="4"/>
    </row>
    <row collapsed="" customFormat="false" customHeight="1" hidden="" ht="14" outlineLevel="0" r="4582">
      <c r="A4582" s="3" t="inlineStr">
        <is>
          <t>4551</t>
        </is>
      </c>
      <c r="B4582" s="4" t="s">
        <f>=HYPERLINK("http://anyluxury.ru/shop/odezhda/detskaya-odezhda/tolstovka-zhenskaya-sully-women-rozoviy-melanzh-03104151/" , "03104151 Толстовка женская Sully Women, розовый меланж, размер L")</f>
      </c>
      <c r="C4582" s="4" t="n">
        <v>2444.00</v>
      </c>
      <c r="D4582" s="4"/>
    </row>
    <row collapsed="" customFormat="false" customHeight="1" hidden="" ht="14" outlineLevel="0" r="4583">
      <c r="A4583" s="3" t="inlineStr">
        <is>
          <t>4552</t>
        </is>
      </c>
      <c r="B4583" s="4" t="s">
        <f>=HYPERLINK("http://anyluxury.ru/shop/odezhda/detskaya-odezhda/tolstovka-zhenskaya-sully-women-rozoviy-melanzh-03104151/" , "03104151 Толстовка женская Sully Women, розовый меланж, размер XL")</f>
      </c>
      <c r="C4583" s="4" t="n">
        <v>2444.00</v>
      </c>
      <c r="D4583" s="4"/>
    </row>
    <row collapsed="" customFormat="false" customHeight="1" hidden="" ht="14" outlineLevel="0" r="4584">
      <c r="A4584" s="3" t="inlineStr">
        <is>
          <t>4553</t>
        </is>
      </c>
      <c r="B4584" s="4" t="s">
        <f>=HYPERLINK("http://anyluxury.ru/shop/odezhda/detskaya-odezhda/tolstovka-zhenskaya-sully-women-rozoviy-melanzh-03104151/" , "03104151 Толстовка женская Sully Women, розовый меланж, размер XXL")</f>
      </c>
      <c r="C4584" s="4" t="n">
        <v>2444.00</v>
      </c>
      <c r="D4584" s="4"/>
    </row>
    <row collapsed="" customFormat="false" customHeight="1" hidden="" ht="14" outlineLevel="0" r="4585">
      <c r="A4585" s="3" t="inlineStr">
        <is>
          <t>4554</t>
        </is>
      </c>
      <c r="B4585" s="4" t="s">
        <f>=HYPERLINK("http://anyluxury.ru/shop/odezhda/detskaya-odezhda/tolstovka-zhenskaya-sully-women-siniy-melanzh-03104222/" , "03104222 Толстовка женская Sully Women, синий меланж, размер XS")</f>
      </c>
      <c r="C4585" s="4" t="n">
        <v>2444.00</v>
      </c>
      <c r="D4585" s="4"/>
    </row>
    <row collapsed="" customFormat="false" customHeight="1" hidden="" ht="14" outlineLevel="0" r="4586">
      <c r="A4586" s="3" t="inlineStr">
        <is>
          <t>4555</t>
        </is>
      </c>
      <c r="B4586" s="4" t="s">
        <f>=HYPERLINK("http://anyluxury.ru/shop/odezhda/detskaya-odezhda/tolstovka-zhenskaya-sully-women-siniy-melanzh-03104222/" , "03104222 Толстовка женская Sully Women, синий меланж, размер S")</f>
      </c>
      <c r="C4586" s="4" t="n">
        <v>2444.00</v>
      </c>
      <c r="D4586" s="4"/>
    </row>
    <row collapsed="" customFormat="false" customHeight="1" hidden="" ht="14" outlineLevel="0" r="4587">
      <c r="A4587" s="3" t="inlineStr">
        <is>
          <t>4556</t>
        </is>
      </c>
      <c r="B4587" s="4" t="s">
        <f>=HYPERLINK("http://anyluxury.ru/shop/odezhda/detskaya-odezhda/tolstovka-zhenskaya-sully-women-siniy-melanzh-03104222/" , "03104222 Толстовка женская Sully Women, синий меланж, размер M")</f>
      </c>
      <c r="C4587" s="4" t="n">
        <v>2444.00</v>
      </c>
      <c r="D4587" s="4"/>
    </row>
    <row collapsed="" customFormat="false" customHeight="1" hidden="" ht="14" outlineLevel="0" r="4588">
      <c r="A4588" s="3" t="inlineStr">
        <is>
          <t>4557</t>
        </is>
      </c>
      <c r="B4588" s="4" t="s">
        <f>=HYPERLINK("http://anyluxury.ru/shop/odezhda/detskaya-odezhda/tolstovka-zhenskaya-sully-women-siniy-melanzh-03104222/" , "03104222 Толстовка женская Sully Women, синий меланж, размер L")</f>
      </c>
      <c r="C4588" s="4" t="n">
        <v>2444.00</v>
      </c>
      <c r="D4588" s="4"/>
    </row>
    <row collapsed="" customFormat="false" customHeight="1" hidden="" ht="14" outlineLevel="0" r="4589">
      <c r="A4589" s="3" t="inlineStr">
        <is>
          <t>4558</t>
        </is>
      </c>
      <c r="B4589" s="4" t="s">
        <f>=HYPERLINK("http://anyluxury.ru/shop/odezhda/detskaya-odezhda/tolstovka-zhenskaya-sully-women-siniy-melanzh-03104222/" , "03104222 Толстовка женская Sully Women, синий меланж, размер XL")</f>
      </c>
      <c r="C4589" s="4" t="n">
        <v>2444.00</v>
      </c>
      <c r="D4589" s="4"/>
    </row>
    <row collapsed="" customFormat="false" customHeight="1" hidden="" ht="14" outlineLevel="0" r="4590">
      <c r="A4590" s="3" t="inlineStr">
        <is>
          <t>4559</t>
        </is>
      </c>
      <c r="B4590" s="4" t="s">
        <f>=HYPERLINK("http://anyluxury.ru/shop/odezhda/detskaya-odezhda/tolstovka-zhenskaya-sully-women-siniy-melanzh-03104222/" , "03104222 Толстовка женская Sully Women, синий меланж, размер XXL")</f>
      </c>
      <c r="C4590" s="4" t="n">
        <v>2444.00</v>
      </c>
      <c r="D4590" s="4"/>
    </row>
    <row collapsed="" customFormat="false" customHeight="1" hidden="" ht="14" outlineLevel="0" r="4591">
      <c r="A4591" s="3" t="inlineStr">
        <is>
          <t>4560</t>
        </is>
      </c>
      <c r="B4591" s="4" t="s">
        <f>=HYPERLINK("http://anyluxury.ru/shop/odezhda/detskaya-odezhda/tolstovka-zhenskaya-sully-women-yarkosinyaya-03104241/" , "03104241 Толстовка женская Sully Women, ярко-синяя, размер XS")</f>
      </c>
      <c r="C4591" s="4" t="n">
        <v>2444.00</v>
      </c>
      <c r="D4591" s="4"/>
    </row>
    <row collapsed="" customFormat="false" customHeight="1" hidden="" ht="14" outlineLevel="0" r="4592">
      <c r="A4592" s="3" t="inlineStr">
        <is>
          <t>4561</t>
        </is>
      </c>
      <c r="B4592" s="4" t="s">
        <f>=HYPERLINK("http://anyluxury.ru/shop/odezhda/detskaya-odezhda/tolstovka-zhenskaya-sully-women-yarkosinyaya-03104241/" , "03104241 Толстовка женская Sully Women, ярко-синяя, размер S")</f>
      </c>
      <c r="C4592" s="4" t="n">
        <v>2444.00</v>
      </c>
      <c r="D4592" s="4"/>
    </row>
    <row collapsed="" customFormat="false" customHeight="1" hidden="" ht="14" outlineLevel="0" r="4593">
      <c r="A4593" s="3" t="inlineStr">
        <is>
          <t>4562</t>
        </is>
      </c>
      <c r="B4593" s="4" t="s">
        <f>=HYPERLINK("http://anyluxury.ru/shop/odezhda/detskaya-odezhda/tolstovka-zhenskaya-sully-women-yarkosinyaya-03104241/" , "03104241 Толстовка женская Sully Women, ярко-синяя, размер M")</f>
      </c>
      <c r="C4593" s="4" t="n">
        <v>2444.00</v>
      </c>
      <c r="D4593" s="4"/>
    </row>
    <row collapsed="" customFormat="false" customHeight="1" hidden="" ht="14" outlineLevel="0" r="4594">
      <c r="A4594" s="3" t="inlineStr">
        <is>
          <t>4563</t>
        </is>
      </c>
      <c r="B4594" s="4" t="s">
        <f>=HYPERLINK("http://anyluxury.ru/shop/odezhda/detskaya-odezhda/tolstovka-zhenskaya-sully-women-yarkosinyaya-03104241/" , "03104241 Толстовка женская Sully Women, ярко-синяя, размер L")</f>
      </c>
      <c r="C4594" s="4" t="n">
        <v>2444.00</v>
      </c>
      <c r="D4594" s="4"/>
    </row>
    <row collapsed="" customFormat="false" customHeight="1" hidden="" ht="14" outlineLevel="0" r="4595">
      <c r="A4595" s="3" t="inlineStr">
        <is>
          <t>4564</t>
        </is>
      </c>
      <c r="B4595" s="4" t="s">
        <f>=HYPERLINK("http://anyluxury.ru/shop/odezhda/detskaya-odezhda/tolstovka-zhenskaya-sully-women-yarkosinyaya-03104241/" , "03104241 Толстовка женская Sully Women, ярко-синяя, размер XL")</f>
      </c>
      <c r="C4595" s="4" t="n">
        <v>2444.00</v>
      </c>
      <c r="D4595" s="4"/>
    </row>
    <row collapsed="" customFormat="false" customHeight="1" hidden="" ht="14" outlineLevel="0" r="4596">
      <c r="A4596" s="3" t="inlineStr">
        <is>
          <t>4565</t>
        </is>
      </c>
      <c r="B4596" s="4" t="s">
        <f>=HYPERLINK("http://anyluxury.ru/shop/odezhda/detskaya-odezhda/tolstovka-zhenskaya-sully-women-yarkosinyaya-03104241/" , "03104241 Толстовка женская Sully Women, ярко-синяя, размер XXL")</f>
      </c>
      <c r="C4596" s="4" t="n">
        <v>2444.00</v>
      </c>
      <c r="D4596" s="4"/>
    </row>
    <row collapsed="" customFormat="false" customHeight="1" hidden="" ht="14" outlineLevel="0" r="4597">
      <c r="A4597" s="3" t="inlineStr">
        <is>
          <t>4566</t>
        </is>
      </c>
      <c r="B4597" s="4" t="s">
        <f>=HYPERLINK("http://anyluxury.ru/shop/odezhda/detskaya-odezhda/tolstovka-zhenskaya-sully-women-golubaya-03104251/" , "03104251 Толстовка женская Sully Women, голубая, размер XS")</f>
      </c>
      <c r="C4597" s="4" t="n">
        <v>2444.00</v>
      </c>
      <c r="D4597" s="4"/>
    </row>
    <row collapsed="" customFormat="false" customHeight="1" hidden="" ht="14" outlineLevel="0" r="4598">
      <c r="A4598" s="3" t="inlineStr">
        <is>
          <t>4567</t>
        </is>
      </c>
      <c r="B4598" s="4" t="s">
        <f>=HYPERLINK("http://anyluxury.ru/shop/odezhda/detskaya-odezhda/tolstovka-zhenskaya-sully-women-golubaya-03104251/" , "03104251 Толстовка женская Sully Women, голубая, размер S")</f>
      </c>
      <c r="C4598" s="4" t="n">
        <v>2444.00</v>
      </c>
      <c r="D4598" s="4"/>
    </row>
    <row collapsed="" customFormat="false" customHeight="1" hidden="" ht="14" outlineLevel="0" r="4599">
      <c r="A4599" s="3" t="inlineStr">
        <is>
          <t>4568</t>
        </is>
      </c>
      <c r="B4599" s="4" t="s">
        <f>=HYPERLINK("http://anyluxury.ru/shop/odezhda/detskaya-odezhda/tolstovka-zhenskaya-sully-women-golubaya-03104251/" , "03104251 Толстовка женская Sully Women, голубая, размер M")</f>
      </c>
      <c r="C4599" s="4" t="n">
        <v>2444.00</v>
      </c>
      <c r="D4599" s="4"/>
    </row>
    <row collapsed="" customFormat="false" customHeight="1" hidden="" ht="14" outlineLevel="0" r="4600">
      <c r="A4600" s="3" t="inlineStr">
        <is>
          <t>4569</t>
        </is>
      </c>
      <c r="B4600" s="4" t="s">
        <f>=HYPERLINK("http://anyluxury.ru/shop/odezhda/detskaya-odezhda/tolstovka-zhenskaya-sully-women-golubaya-03104251/" , "03104251 Толстовка женская Sully Women, голубая, размер L")</f>
      </c>
      <c r="C4600" s="4" t="n">
        <v>2444.00</v>
      </c>
      <c r="D4600" s="4"/>
    </row>
    <row collapsed="" customFormat="false" customHeight="1" hidden="" ht="14" outlineLevel="0" r="4601">
      <c r="A4601" s="3" t="inlineStr">
        <is>
          <t>4570</t>
        </is>
      </c>
      <c r="B4601" s="4" t="s">
        <f>=HYPERLINK("http://anyluxury.ru/shop/odezhda/detskaya-odezhda/tolstovka-zhenskaya-sully-women-golubaya-03104251/" , "03104251 Толстовка женская Sully Women, голубая, размер XL")</f>
      </c>
      <c r="C4601" s="4" t="n">
        <v>2444.00</v>
      </c>
      <c r="D4601" s="4"/>
    </row>
    <row collapsed="" customFormat="false" customHeight="1" hidden="" ht="14" outlineLevel="0" r="4602">
      <c r="A4602" s="3" t="inlineStr">
        <is>
          <t>4571</t>
        </is>
      </c>
      <c r="B4602" s="4" t="s">
        <f>=HYPERLINK("http://anyluxury.ru/shop/odezhda/detskaya-odezhda/tolstovka-zhenskaya-sully-women-golubaya-03104251/" , "03104251 Толстовка женская Sully Women, голубая, размер XXL")</f>
      </c>
      <c r="C4602" s="4" t="n">
        <v>2444.00</v>
      </c>
      <c r="D4602" s="4"/>
    </row>
    <row collapsed="" customFormat="false" customHeight="1" hidden="" ht="14" outlineLevel="0" r="4603">
      <c r="A4603" s="3" t="inlineStr">
        <is>
          <t>4572</t>
        </is>
      </c>
      <c r="B4603" s="4" t="s">
        <f>=HYPERLINK("http://anyluxury.ru/shop/odezhda/detskaya-odezhda/tolstovka-zhenskaya-sully-women-svetloseriy-melanzh-03104300/" , "03104300 Толстовка женская Sully Women, светло-серый меланж, размер XS")</f>
      </c>
      <c r="C4603" s="4" t="n">
        <v>2444.00</v>
      </c>
      <c r="D4603" s="4"/>
    </row>
    <row collapsed="" customFormat="false" customHeight="1" hidden="" ht="14" outlineLevel="0" r="4604">
      <c r="A4604" s="3" t="inlineStr">
        <is>
          <t>4573</t>
        </is>
      </c>
      <c r="B4604" s="4" t="s">
        <f>=HYPERLINK("http://anyluxury.ru/shop/odezhda/detskaya-odezhda/tolstovka-zhenskaya-sully-women-svetloseriy-melanzh-03104300/" , "03104300 Толстовка женская Sully Women, светло-серый меланж, размер S")</f>
      </c>
      <c r="C4604" s="4" t="n">
        <v>2444.00</v>
      </c>
      <c r="D4604" s="4"/>
    </row>
    <row collapsed="" customFormat="false" customHeight="1" hidden="" ht="14" outlineLevel="0" r="4605">
      <c r="A4605" s="3" t="inlineStr">
        <is>
          <t>4574</t>
        </is>
      </c>
      <c r="B4605" s="4" t="s">
        <f>=HYPERLINK("http://anyluxury.ru/shop/odezhda/detskaya-odezhda/tolstovka-zhenskaya-sully-women-svetloseriy-melanzh-03104300/" , "03104300 Толстовка женская Sully Women, светло-серый меланж, размер M")</f>
      </c>
      <c r="C4605" s="4" t="n">
        <v>2444.00</v>
      </c>
      <c r="D4605" s="4"/>
    </row>
    <row collapsed="" customFormat="false" customHeight="1" hidden="" ht="14" outlineLevel="0" r="4606">
      <c r="A4606" s="3" t="inlineStr">
        <is>
          <t>4575</t>
        </is>
      </c>
      <c r="B4606" s="4" t="s">
        <f>=HYPERLINK("http://anyluxury.ru/shop/odezhda/detskaya-odezhda/tolstovka-zhenskaya-sully-women-svetloseriy-melanzh-03104300/" , "03104300 Толстовка женская Sully Women, светло-серый меланж, размер L")</f>
      </c>
      <c r="C4606" s="4" t="n">
        <v>2444.00</v>
      </c>
      <c r="D4606" s="4"/>
    </row>
    <row collapsed="" customFormat="false" customHeight="1" hidden="" ht="14" outlineLevel="0" r="4607">
      <c r="A4607" s="3" t="inlineStr">
        <is>
          <t>4576</t>
        </is>
      </c>
      <c r="B4607" s="4" t="s">
        <f>=HYPERLINK("http://anyluxury.ru/shop/odezhda/detskaya-odezhda/tolstovka-zhenskaya-sully-women-svetloseriy-melanzh-03104300/" , "03104300 Толстовка женская Sully Women, светло-серый меланж, размер XL")</f>
      </c>
      <c r="C4607" s="4" t="n">
        <v>2444.00</v>
      </c>
      <c r="D4607" s="4"/>
    </row>
    <row collapsed="" customFormat="false" customHeight="1" hidden="" ht="14" outlineLevel="0" r="4608">
      <c r="A4608" s="3" t="inlineStr">
        <is>
          <t>4577</t>
        </is>
      </c>
      <c r="B4608" s="4" t="s">
        <f>=HYPERLINK("http://anyluxury.ru/shop/odezhda/detskaya-odezhda/tolstovka-zhenskaya-sully-women-svetloseriy-melanzh-03104300/" , "03104300 Толстовка женская Sully Women, светло-серый меланж, размер XXL")</f>
      </c>
      <c r="C4608" s="4" t="n">
        <v>2444.00</v>
      </c>
      <c r="D4608" s="4"/>
    </row>
    <row collapsed="" customFormat="false" customHeight="1" hidden="" ht="14" outlineLevel="0" r="4609">
      <c r="A4609" s="3" t="inlineStr">
        <is>
          <t>4578</t>
        </is>
      </c>
      <c r="B4609" s="4" t="s">
        <f>=HYPERLINK("http://anyluxury.ru/shop/odezhda/detskaya-odezhda/tolstovka-zhenskaya-sully-women-chernaya-03104312/" , "03104312 Толстовка женская Sully Women, черная, размер XS")</f>
      </c>
      <c r="C4609" s="4" t="n">
        <v>2444.00</v>
      </c>
      <c r="D4609" s="4"/>
    </row>
    <row collapsed="" customFormat="false" customHeight="1" hidden="" ht="14" outlineLevel="0" r="4610">
      <c r="A4610" s="3" t="inlineStr">
        <is>
          <t>4579</t>
        </is>
      </c>
      <c r="B4610" s="4" t="s">
        <f>=HYPERLINK("http://anyluxury.ru/shop/odezhda/detskaya-odezhda/tolstovka-zhenskaya-sully-women-chernaya-03104312/" , "03104312 Толстовка женская Sully Women, черная, размер S")</f>
      </c>
      <c r="C4610" s="4" t="n">
        <v>2444.00</v>
      </c>
      <c r="D4610" s="4"/>
    </row>
    <row collapsed="" customFormat="false" customHeight="1" hidden="" ht="14" outlineLevel="0" r="4611">
      <c r="A4611" s="3" t="inlineStr">
        <is>
          <t>4580</t>
        </is>
      </c>
      <c r="B4611" s="4" t="s">
        <f>=HYPERLINK("http://anyluxury.ru/shop/odezhda/detskaya-odezhda/tolstovka-zhenskaya-sully-women-chernaya-03104312/" , "03104312 Толстовка женская Sully Women, черная, размер M")</f>
      </c>
      <c r="C4611" s="4" t="n">
        <v>2444.00</v>
      </c>
      <c r="D4611" s="4"/>
    </row>
    <row collapsed="" customFormat="false" customHeight="1" hidden="" ht="14" outlineLevel="0" r="4612">
      <c r="A4612" s="3" t="inlineStr">
        <is>
          <t>4581</t>
        </is>
      </c>
      <c r="B4612" s="4" t="s">
        <f>=HYPERLINK("http://anyluxury.ru/shop/odezhda/detskaya-odezhda/tolstovka-zhenskaya-sully-women-chernaya-03104312/" , "03104312 Толстовка женская Sully Women, черная, размер L")</f>
      </c>
      <c r="C4612" s="4" t="n">
        <v>2444.00</v>
      </c>
      <c r="D4612" s="4"/>
    </row>
    <row collapsed="" customFormat="false" customHeight="1" hidden="" ht="14" outlineLevel="0" r="4613">
      <c r="A4613" s="3" t="inlineStr">
        <is>
          <t>4582</t>
        </is>
      </c>
      <c r="B4613" s="4" t="s">
        <f>=HYPERLINK("http://anyluxury.ru/shop/odezhda/detskaya-odezhda/tolstovka-zhenskaya-sully-women-chernaya-03104312/" , "03104312 Толстовка женская Sully Women, черная, размер XL")</f>
      </c>
      <c r="C4613" s="4" t="n">
        <v>2444.00</v>
      </c>
      <c r="D4613" s="4"/>
    </row>
    <row collapsed="" customFormat="false" customHeight="1" hidden="" ht="14" outlineLevel="0" r="4614">
      <c r="A4614" s="3" t="inlineStr">
        <is>
          <t>4583</t>
        </is>
      </c>
      <c r="B4614" s="4" t="s">
        <f>=HYPERLINK("http://anyluxury.ru/shop/odezhda/detskaya-odezhda/tolstovka-zhenskaya-sully-women-chernaya-03104312/" , "03104312 Толстовка женская Sully Women, черная, размер XXL")</f>
      </c>
      <c r="C4614" s="4" t="n">
        <v>2444.00</v>
      </c>
      <c r="D4614" s="4"/>
    </row>
    <row collapsed="" customFormat="false" customHeight="1" hidden="" ht="14" outlineLevel="0" r="4615">
      <c r="A4615" s="3" t="inlineStr">
        <is>
          <t>4584</t>
        </is>
      </c>
      <c r="B4615" s="4" t="s">
        <f>=HYPERLINK("http://anyluxury.ru/shop/odezhda/detskaya-odezhda/tolstovka-zhenskaya-sully-women-kobalt-temnosinyaya-03104319/" , "03104319 Толстовка женская Sully Women, кобальт (темно-синяя), размер XS")</f>
      </c>
      <c r="C4615" s="4" t="n">
        <v>2444.00</v>
      </c>
      <c r="D4615" s="4"/>
    </row>
    <row collapsed="" customFormat="false" customHeight="1" hidden="" ht="14" outlineLevel="0" r="4616">
      <c r="A4616" s="3" t="inlineStr">
        <is>
          <t>4585</t>
        </is>
      </c>
      <c r="B4616" s="4" t="s">
        <f>=HYPERLINK("http://anyluxury.ru/shop/odezhda/detskaya-odezhda/tolstovka-zhenskaya-sully-women-kobalt-temnosinyaya-03104319/" , "03104319 Толстовка женская Sully Women, кобальт (темно-синяя), размер S")</f>
      </c>
      <c r="C4616" s="4" t="n">
        <v>2444.00</v>
      </c>
      <c r="D4616" s="4"/>
    </row>
    <row collapsed="" customFormat="false" customHeight="1" hidden="" ht="14" outlineLevel="0" r="4617">
      <c r="A4617" s="3" t="inlineStr">
        <is>
          <t>4586</t>
        </is>
      </c>
      <c r="B4617" s="4" t="s">
        <f>=HYPERLINK("http://anyluxury.ru/shop/odezhda/detskaya-odezhda/tolstovka-zhenskaya-sully-women-kobalt-temnosinyaya-03104319/" , "03104319 Толстовка женская Sully Women, кобальт (темно-синяя), размер M")</f>
      </c>
      <c r="C4617" s="4" t="n">
        <v>2444.00</v>
      </c>
      <c r="D4617" s="4"/>
    </row>
    <row collapsed="" customFormat="false" customHeight="1" hidden="" ht="14" outlineLevel="0" r="4618">
      <c r="A4618" s="3" t="inlineStr">
        <is>
          <t>4587</t>
        </is>
      </c>
      <c r="B4618" s="4" t="s">
        <f>=HYPERLINK("http://anyluxury.ru/shop/odezhda/detskaya-odezhda/tolstovka-zhenskaya-sully-women-kobalt-temnosinyaya-03104319/" , "03104319 Толстовка женская Sully Women, кобальт (темно-синяя), размер L")</f>
      </c>
      <c r="C4618" s="4" t="n">
        <v>2444.00</v>
      </c>
      <c r="D4618" s="4"/>
    </row>
    <row collapsed="" customFormat="false" customHeight="1" hidden="" ht="14" outlineLevel="0" r="4619">
      <c r="A4619" s="3" t="inlineStr">
        <is>
          <t>4588</t>
        </is>
      </c>
      <c r="B4619" s="4" t="s">
        <f>=HYPERLINK("http://anyluxury.ru/shop/odezhda/detskaya-odezhda/tolstovka-zhenskaya-sully-women-kobalt-temnosinyaya-03104319/" , "03104319 Толстовка женская Sully Women,кобальт (темно-синяя), размер XL")</f>
      </c>
      <c r="C4619" s="4" t="n">
        <v>2444.00</v>
      </c>
      <c r="D4619" s="4"/>
    </row>
    <row collapsed="" customFormat="false" customHeight="1" hidden="" ht="14" outlineLevel="0" r="4620">
      <c r="A4620" s="3" t="inlineStr">
        <is>
          <t>4589</t>
        </is>
      </c>
      <c r="B4620" s="4" t="s">
        <f>=HYPERLINK("http://anyluxury.ru/shop/odezhda/detskaya-odezhda/tolstovka-zhenskaya-sully-women-kobalt-temnosinyaya-03104319/" , "03104319 Толстовка женская Sully Women, кобальт (темно-синяя), размер XXL")</f>
      </c>
      <c r="C4620" s="4" t="n">
        <v>2444.00</v>
      </c>
      <c r="D4620" s="4"/>
    </row>
    <row collapsed="" customFormat="false" customHeight="1" hidden="" ht="14" outlineLevel="0" r="4621">
      <c r="A4621" s="3" t="inlineStr">
        <is>
          <t>4590</t>
        </is>
      </c>
      <c r="B4621" s="4" t="s">
        <f>=HYPERLINK("http://anyluxury.ru/shop/odezhda/detskaya-odezhda/tolstovka-zhenskaya-sully-women-cherniy-melanzh-03104348/" , "03104348 Толстовка женская Sully Women, черный меланж, размер XS")</f>
      </c>
      <c r="C4621" s="4" t="n">
        <v>2444.00</v>
      </c>
      <c r="D4621" s="4"/>
    </row>
    <row collapsed="" customFormat="false" customHeight="1" hidden="" ht="14" outlineLevel="0" r="4622">
      <c r="A4622" s="3" t="inlineStr">
        <is>
          <t>4591</t>
        </is>
      </c>
      <c r="B4622" s="4" t="s">
        <f>=HYPERLINK("http://anyluxury.ru/shop/odezhda/detskaya-odezhda/tolstovka-zhenskaya-sully-women-cherniy-melanzh-03104348/" , "03104348 Толстовка женская Sully Women, черный меланж, размер S")</f>
      </c>
      <c r="C4622" s="4" t="n">
        <v>2444.00</v>
      </c>
      <c r="D4622" s="4"/>
    </row>
    <row collapsed="" customFormat="false" customHeight="1" hidden="" ht="14" outlineLevel="0" r="4623">
      <c r="A4623" s="3" t="inlineStr">
        <is>
          <t>4592</t>
        </is>
      </c>
      <c r="B4623" s="4" t="s">
        <f>=HYPERLINK("http://anyluxury.ru/shop/odezhda/detskaya-odezhda/tolstovka-zhenskaya-sully-women-cherniy-melanzh-03104348/" , "03104348 Толстовка женская Sully Women, черный меланж, размер M")</f>
      </c>
      <c r="C4623" s="4" t="n">
        <v>2444.00</v>
      </c>
      <c r="D4623" s="4"/>
    </row>
    <row collapsed="" customFormat="false" customHeight="1" hidden="" ht="14" outlineLevel="0" r="4624">
      <c r="A4624" s="3" t="inlineStr">
        <is>
          <t>4593</t>
        </is>
      </c>
      <c r="B4624" s="4" t="s">
        <f>=HYPERLINK("http://anyluxury.ru/shop/odezhda/detskaya-odezhda/tolstovka-zhenskaya-sully-women-cherniy-melanzh-03104348/" , "03104348 Толстовка женская Sully Women, черный меланж, размер L")</f>
      </c>
      <c r="C4624" s="4" t="n">
        <v>2444.00</v>
      </c>
      <c r="D4624" s="4"/>
    </row>
    <row collapsed="" customFormat="false" customHeight="1" hidden="" ht="14" outlineLevel="0" r="4625">
      <c r="A4625" s="3" t="inlineStr">
        <is>
          <t>4594</t>
        </is>
      </c>
      <c r="B4625" s="4" t="s">
        <f>=HYPERLINK("http://anyluxury.ru/shop/odezhda/detskaya-odezhda/tolstovka-zhenskaya-sully-women-cherniy-melanzh-03104348/" , "03104348 Толстовка женская Sully Women, черный меланж, размер XL")</f>
      </c>
      <c r="C4625" s="4" t="n">
        <v>2444.00</v>
      </c>
      <c r="D4625" s="4"/>
    </row>
    <row collapsed="" customFormat="false" customHeight="1" hidden="" ht="14" outlineLevel="0" r="4626">
      <c r="A4626" s="3" t="inlineStr">
        <is>
          <t>4595</t>
        </is>
      </c>
      <c r="B4626" s="4" t="s">
        <f>=HYPERLINK("http://anyluxury.ru/shop/odezhda/detskaya-odezhda/tolstovka-zhenskaya-sully-women-cherniy-melanzh-03104348/" , "03104348 Толстовка женская Sully Women, черный меланж, размер XXL")</f>
      </c>
      <c r="C4626" s="4" t="n">
        <v>2444.00</v>
      </c>
      <c r="D4626" s="4"/>
    </row>
    <row collapsed="" customFormat="false" customHeight="1" hidden="" ht="14" outlineLevel="0" r="4627">
      <c r="A4627" s="3" t="inlineStr">
        <is>
          <t>4596</t>
        </is>
      </c>
      <c r="B4627" s="4" t="s">
        <f>=HYPERLINK("http://anyluxury.ru/shop/odezhda/detskaya-odezhda/tolstovka-zhenskaya-sully-women-seriy-melanzh-03104360/" , "03104360 Толстовка женская Sully Women, серый меланж, размер XS")</f>
      </c>
      <c r="C4627" s="4" t="n">
        <v>2444.00</v>
      </c>
      <c r="D4627" s="4"/>
    </row>
    <row collapsed="" customFormat="false" customHeight="1" hidden="" ht="14" outlineLevel="0" r="4628">
      <c r="A4628" s="3" t="inlineStr">
        <is>
          <t>4597</t>
        </is>
      </c>
      <c r="B4628" s="4" t="s">
        <f>=HYPERLINK("http://anyluxury.ru/shop/odezhda/detskaya-odezhda/tolstovka-zhenskaya-sully-women-seriy-melanzh-03104360/" , "03104360 Толстовка женская Sully Women, серый меланж, размер S")</f>
      </c>
      <c r="C4628" s="4" t="n">
        <v>2444.00</v>
      </c>
      <c r="D4628" s="4"/>
    </row>
    <row collapsed="" customFormat="false" customHeight="1" hidden="" ht="14" outlineLevel="0" r="4629">
      <c r="A4629" s="3" t="inlineStr">
        <is>
          <t>4598</t>
        </is>
      </c>
      <c r="B4629" s="4" t="s">
        <f>=HYPERLINK("http://anyluxury.ru/shop/odezhda/detskaya-odezhda/tolstovka-zhenskaya-sully-women-seriy-melanzh-03104360/" , "03104360 Толстовка женская Sully Women, серый меланж, размер M")</f>
      </c>
      <c r="C4629" s="4" t="n">
        <v>2444.00</v>
      </c>
      <c r="D4629" s="4"/>
    </row>
    <row collapsed="" customFormat="false" customHeight="1" hidden="" ht="14" outlineLevel="0" r="4630">
      <c r="A4630" s="3" t="inlineStr">
        <is>
          <t>4599</t>
        </is>
      </c>
      <c r="B4630" s="4" t="s">
        <f>=HYPERLINK("http://anyluxury.ru/shop/odezhda/detskaya-odezhda/tolstovka-zhenskaya-sully-women-seriy-melanzh-03104360/" , "03104360 Толстовка женская Sully Women, серый меланж, размер L")</f>
      </c>
      <c r="C4630" s="4" t="n">
        <v>2444.00</v>
      </c>
      <c r="D4630" s="4"/>
    </row>
    <row collapsed="" customFormat="false" customHeight="1" hidden="" ht="14" outlineLevel="0" r="4631">
      <c r="A4631" s="3" t="inlineStr">
        <is>
          <t>4600</t>
        </is>
      </c>
      <c r="B4631" s="4" t="s">
        <f>=HYPERLINK("http://anyluxury.ru/shop/odezhda/detskaya-odezhda/tolstovka-zhenskaya-sully-women-seriy-melanzh-03104360/" , "03104360 Толстовка женская Sully Women, серый меланж, размер XL")</f>
      </c>
      <c r="C4631" s="4" t="n">
        <v>2444.00</v>
      </c>
      <c r="D4631" s="4"/>
    </row>
    <row collapsed="" customFormat="false" customHeight="1" hidden="" ht="14" outlineLevel="0" r="4632">
      <c r="A4632" s="3" t="inlineStr">
        <is>
          <t>4601</t>
        </is>
      </c>
      <c r="B4632" s="4" t="s">
        <f>=HYPERLINK("http://anyluxury.ru/shop/odezhda/detskaya-odezhda/tolstovka-zhenskaya-sully-women-seriy-melanzh-03104360/" , "03104360 Толстовка женская Sully Women, серый меланж, размер XXL")</f>
      </c>
      <c r="C4632" s="4" t="n">
        <v>2444.00</v>
      </c>
      <c r="D4632" s="4"/>
    </row>
    <row collapsed="" customFormat="false" customHeight="1" hidden="" ht="14" outlineLevel="0" r="4633">
      <c r="A4633" s="3" t="inlineStr">
        <is>
          <t>4602</t>
        </is>
      </c>
      <c r="B4633" s="4" t="s">
        <f>=HYPERLINK("http://anyluxury.ru/shop/odezhda/detskaya-odezhda/futbolka-detskaya-regent-kids-150-kobalt-temnosinyaya-188647/" , "1886.47 Футболка детская REGENT KIDS 150, кобальт (темно-синяя), на рост 96-104 см (4 года)")</f>
      </c>
      <c r="C4633" s="4" t="n">
        <v>468.00</v>
      </c>
      <c r="D4633" s="4"/>
    </row>
    <row collapsed="" customFormat="false" customHeight="1" hidden="" ht="14" outlineLevel="0" r="4634">
      <c r="A4634" s="3" t="inlineStr">
        <is>
          <t>4603</t>
        </is>
      </c>
      <c r="B4634" s="4" t="s">
        <f>=HYPERLINK("http://anyluxury.ru/shop/odezhda/detskaya-odezhda/futbolka-detskaya-regent-kids-150-kobalt-temnosinyaya-188647/" , "1886.47 Футболка детская REGENT KIDS 150, кобальт (темно-синяя), на рост 106-116 см (6 лет)")</f>
      </c>
      <c r="C4634" s="4" t="n">
        <v>468.00</v>
      </c>
      <c r="D4634" s="4"/>
    </row>
    <row collapsed="" customFormat="false" customHeight="1" hidden="" ht="14" outlineLevel="0" r="4635">
      <c r="A4635" s="3" t="inlineStr">
        <is>
          <t>4604</t>
        </is>
      </c>
      <c r="B4635" s="4" t="s">
        <f>=HYPERLINK("http://anyluxury.ru/shop/odezhda/detskaya-odezhda/futbolka-detskaya-regent-kids-150-kobalt-temnosinyaya-188647/" , "1886.47 Футболка детская REGENT KIDS 150, кобальт (темно-синяя), на рост 118-128 см (8 лет)")</f>
      </c>
      <c r="C4635" s="4" t="n">
        <v>468.00</v>
      </c>
      <c r="D4635" s="4"/>
    </row>
    <row collapsed="" customFormat="false" customHeight="1" hidden="" ht="14" outlineLevel="0" r="4636">
      <c r="A4636" s="3" t="inlineStr">
        <is>
          <t>4605</t>
        </is>
      </c>
      <c r="B4636" s="4" t="s">
        <f>=HYPERLINK("http://anyluxury.ru/shop/odezhda/detskaya-odezhda/futbolka-detskaya-regent-kids-150-kobalt-temnosinyaya-188647/" , "1886.47 Футболка детская REGENT KIDS 150, кобальт (темно-синяя), на рост 130-140 см (10 лет)")</f>
      </c>
      <c r="C4636" s="4" t="n">
        <v>468.00</v>
      </c>
      <c r="D4636" s="4"/>
    </row>
    <row collapsed="" customFormat="false" customHeight="1" hidden="" ht="14" outlineLevel="0" r="4637">
      <c r="A4637" s="3" t="inlineStr">
        <is>
          <t>4606</t>
        </is>
      </c>
      <c r="B4637" s="4" t="s">
        <f>=HYPERLINK("http://anyluxury.ru/shop/odezhda/detskaya-odezhda/futbolka-detskaya-regent-kids-150-kobalt-temnosinyaya-188647/" , "1886.47 Футболка детская REGENT KIDS 150, кобальт (темно-синяя), на рост 142-152 см (12 лет)")</f>
      </c>
      <c r="C4637" s="4" t="n">
        <v>468.00</v>
      </c>
      <c r="D4637" s="4"/>
    </row>
    <row collapsed="" customFormat="false" customHeight="1" hidden="" ht="14" outlineLevel="0" r="4638">
      <c r="A4638" s="3" t="inlineStr">
        <is>
          <t>4607</t>
        </is>
      </c>
      <c r="B4638" s="4" t="s">
        <f>=HYPERLINK("http://anyluxury.ru/shop/odezhda/detskaya-odezhda/tolstovka-s-kapyushonom-snake-ii-temniy-haki-761199/" , "7611.99 Толстовка с капюшоном Snake II, темный хаки, размер XS")</f>
      </c>
      <c r="C4638" s="4" t="n">
        <v>2466.00</v>
      </c>
      <c r="D4638" s="4"/>
    </row>
    <row collapsed="" customFormat="false" customHeight="1" hidden="" ht="14" outlineLevel="0" r="4639">
      <c r="A4639" s="3" t="inlineStr">
        <is>
          <t>4608</t>
        </is>
      </c>
      <c r="B4639" s="4" t="s">
        <f>=HYPERLINK("http://anyluxury.ru/shop/odezhda/detskaya-odezhda/tolstovka-s-kapyushonom-snake-ii-temniy-haki-761199/" , "7611.99 Толстовка с капюшоном Snake II, темный хаки, размер S")</f>
      </c>
      <c r="C4639" s="4" t="n">
        <v>2466.00</v>
      </c>
      <c r="D4639" s="4"/>
    </row>
    <row collapsed="" customFormat="false" customHeight="1" hidden="" ht="14" outlineLevel="0" r="4640">
      <c r="A4640" s="3" t="inlineStr">
        <is>
          <t>4609</t>
        </is>
      </c>
      <c r="B4640" s="4" t="s">
        <f>=HYPERLINK("http://anyluxury.ru/shop/odezhda/detskaya-odezhda/tolstovka-s-kapyushonom-snake-ii-temniy-haki-761199/" , "7611.99 Толстовка с капюшоном Snake II, темный хаки, размер M")</f>
      </c>
      <c r="C4640" s="4" t="n">
        <v>2466.00</v>
      </c>
      <c r="D4640" s="4"/>
    </row>
    <row collapsed="" customFormat="false" customHeight="1" hidden="" ht="14" outlineLevel="0" r="4641">
      <c r="A4641" s="3" t="inlineStr">
        <is>
          <t>4610</t>
        </is>
      </c>
      <c r="B4641" s="4" t="s">
        <f>=HYPERLINK("http://anyluxury.ru/shop/odezhda/detskaya-odezhda/tolstovka-s-kapyushonom-snake-ii-temniy-haki-761199/" , "7611.99 Толстовка с капюшоном Snake II, темный хаки, размер L")</f>
      </c>
      <c r="C4641" s="4" t="n">
        <v>2466.00</v>
      </c>
      <c r="D4641" s="4"/>
    </row>
    <row collapsed="" customFormat="false" customHeight="1" hidden="" ht="14" outlineLevel="0" r="4642">
      <c r="A4642" s="3" t="inlineStr">
        <is>
          <t>4611</t>
        </is>
      </c>
      <c r="B4642" s="4" t="s">
        <f>=HYPERLINK("http://anyluxury.ru/shop/odezhda/detskaya-odezhda/tolstovka-s-kapyushonom-snake-ii-temniy-haki-761199/" , "7611.99 Толстовка с капюшоном Snake II, темный хаки, размер XL")</f>
      </c>
      <c r="C4642" s="4" t="n">
        <v>2466.00</v>
      </c>
      <c r="D4642" s="4"/>
    </row>
    <row collapsed="" customFormat="false" customHeight="1" hidden="" ht="14" outlineLevel="0" r="4643">
      <c r="A4643" s="3" t="inlineStr">
        <is>
          <t>4612</t>
        </is>
      </c>
      <c r="B4643" s="4" t="s">
        <f>=HYPERLINK("http://anyluxury.ru/shop/odezhda/detskaya-odezhda/tolstovka-s-kapyushonom-snake-ii-temniy-haki-761199/" , "7611.99 Толстовка с капюшоном Snake II, темный хаки, размер XXL")</f>
      </c>
      <c r="C4643" s="4" t="n">
        <v>2466.00</v>
      </c>
      <c r="D4643" s="4"/>
    </row>
    <row collapsed="" customFormat="false" customHeight="1" hidden="" ht="14" outlineLevel="0" r="4644">
      <c r="A4644" s="3" t="inlineStr">
        <is>
          <t>4613</t>
        </is>
      </c>
      <c r="B4644" s="4" t="s">
        <f>=HYPERLINK("http://anyluxury.ru/shop/odezhda/detskaya-odezhda/tolstovka-s-kapyushonom-snake-ii-temniy-haki-761199/" , "7611.99 Толстовка с капюшоном Snake II, темный хаки, размер 3XL")</f>
      </c>
      <c r="C4644" s="4" t="n">
        <v>2861.00</v>
      </c>
      <c r="D4644" s="4"/>
    </row>
    <row collapsed="" customFormat="false" customHeight="1" hidden="" ht="14" outlineLevel="0" r="4645">
      <c r="A4645" s="3" t="inlineStr">
        <is>
          <t>4614</t>
        </is>
      </c>
      <c r="B4645" s="4" t="s">
        <f>=HYPERLINK("http://anyluxury.ru/shop/odezhda/detskaya-odezhda/tolstovka-s-kapyushonom-snake-ii-temniy-haki-761199/" , "7611.99 Толстовка с капюшоном Snake II, темный хаки, размер 4XL")</f>
      </c>
      <c r="C4645" s="4" t="n">
        <v>3682.00</v>
      </c>
      <c r="D4645" s="4"/>
    </row>
    <row collapsed="" customFormat="false" customHeight="1" hidden="" ht="14" outlineLevel="0" r="4646">
      <c r="A4646" s="3" t="inlineStr">
        <is>
          <t>4615</t>
        </is>
      </c>
      <c r="B4646" s="4" t="s">
        <f>=HYPERLINK("http://anyluxury.ru/shop/odezhda/detskaya-odezhda/futbolka-detskaya-regent-fit-kids-pilnorozovaya-664515/" , "6645.15 Футболка детская REGENT FIT KIDS, пыльно-розовая, размер на рост 96-104 см (4 года)")</f>
      </c>
      <c r="C4646" s="4" t="n">
        <v>386.00</v>
      </c>
      <c r="D4646" s="4"/>
    </row>
    <row collapsed="" customFormat="false" customHeight="1" hidden="" ht="14" outlineLevel="0" r="4647">
      <c r="A4647" s="3" t="inlineStr">
        <is>
          <t>4616</t>
        </is>
      </c>
      <c r="B4647" s="4" t="s">
        <f>=HYPERLINK("http://anyluxury.ru/shop/odezhda/detskaya-odezhda/futbolka-detskaya-regent-fit-kids-pilnorozovaya-664515/" , "6645.15 Футболка детская REGENT FIT KIDS, пыльно-розовая, размер на рост 106-116 см (6 лет)")</f>
      </c>
      <c r="C4647" s="4" t="n">
        <v>386.00</v>
      </c>
      <c r="D4647" s="4"/>
    </row>
    <row collapsed="" customFormat="false" customHeight="1" hidden="" ht="14" outlineLevel="0" r="4648">
      <c r="A4648" s="3" t="inlineStr">
        <is>
          <t>4617</t>
        </is>
      </c>
      <c r="B4648" s="4" t="s">
        <f>=HYPERLINK("http://anyluxury.ru/shop/odezhda/detskaya-odezhda/futbolka-detskaya-regent-fit-kids-pilnorozovaya-664515/" , "6645.15 Футболка детская REGENT FIT KIDS, пыльно-розовая, размер на рост 118-128 см (8 лет)")</f>
      </c>
      <c r="C4648" s="4" t="n">
        <v>386.00</v>
      </c>
      <c r="D4648" s="4"/>
    </row>
    <row collapsed="" customFormat="false" customHeight="1" hidden="" ht="14" outlineLevel="0" r="4649">
      <c r="A4649" s="3" t="inlineStr">
        <is>
          <t>4618</t>
        </is>
      </c>
      <c r="B4649" s="4" t="s">
        <f>=HYPERLINK("http://anyluxury.ru/shop/odezhda/detskaya-odezhda/futbolka-detskaya-regent-fit-kids-pilnorozovaya-664515/" , "6645.15 Футболка детская REGENT FIT KIDS, пыльно-розовая, размер на рост 130-140 см (10 лет)")</f>
      </c>
      <c r="C4649" s="4" t="n">
        <v>386.00</v>
      </c>
      <c r="D4649" s="4"/>
    </row>
    <row collapsed="" customFormat="false" customHeight="1" hidden="" ht="14" outlineLevel="0" r="4650">
      <c r="A4650" s="3" t="inlineStr">
        <is>
          <t>4619</t>
        </is>
      </c>
      <c r="B4650" s="4" t="s">
        <f>=HYPERLINK("http://anyluxury.ru/shop/odezhda/detskaya-odezhda/futbolka-detskaya-regent-fit-kids-pilnorozovaya-664515/" , "6645.15 Футболка детская REGENT FIT KIDS, пыльно-розовая, размер на рост 142-152 см (12 лет)")</f>
      </c>
      <c r="C4650" s="4" t="n">
        <v>386.00</v>
      </c>
      <c r="D4650" s="4"/>
    </row>
    <row collapsed="" customFormat="false" customHeight="1" hidden="" ht="14" outlineLevel="0" r="4651">
      <c r="A4651" s="3" t="inlineStr">
        <is>
          <t>4620</t>
        </is>
      </c>
      <c r="B4651" s="4" t="s">
        <f>=HYPERLINK("http://anyluxury.ru/shop/odezhda/detskaya-odezhda/futbolka-detskaya-imperial-kids-yarkobiryuzovaya-250542/" , "2505.42 Футболка детская IMPERIAL KIDS, ярко-бирюзовая, на рост 96-104 см (4 года)")</f>
      </c>
      <c r="C4651" s="4" t="n">
        <v>593.00</v>
      </c>
      <c r="D4651" s="4"/>
    </row>
    <row collapsed="" customFormat="false" customHeight="1" hidden="" ht="14" outlineLevel="0" r="4652">
      <c r="A4652" s="3" t="inlineStr">
        <is>
          <t>4621</t>
        </is>
      </c>
      <c r="B4652" s="4" t="s">
        <f>=HYPERLINK("http://anyluxury.ru/shop/odezhda/detskaya-odezhda/futbolka-detskaya-imperial-kids-yarkobiryuzovaya-250542/" , "2505.42 Футболка детская IMPERIAL KIDS, ярко-бирюзовая, на рост 106-116 см (6 лет)")</f>
      </c>
      <c r="C4652" s="4" t="n">
        <v>593.00</v>
      </c>
      <c r="D4652" s="4"/>
    </row>
    <row collapsed="" customFormat="false" customHeight="1" hidden="" ht="14" outlineLevel="0" r="4653">
      <c r="A4653" s="3" t="inlineStr">
        <is>
          <t>4622</t>
        </is>
      </c>
      <c r="B4653" s="4" t="s">
        <f>=HYPERLINK("http://anyluxury.ru/shop/odezhda/detskaya-odezhda/shapochka-detskaya-baby-prime-rozovaya-s-molochnobelim-1707515/" , "17075.15 Шапочка детская Baby Prime, розовая с молочно-белым")</f>
      </c>
      <c r="C4653" s="4" t="n">
        <v>135.00</v>
      </c>
      <c r="D4653" s="4"/>
    </row>
    <row collapsed="" customFormat="false" customHeight="1" hidden="" ht="14" outlineLevel="0" r="4654">
      <c r="A4654" s="3" t="inlineStr">
        <is>
          <t>4623</t>
        </is>
      </c>
      <c r="B4654" s="4" t="s">
        <f>=HYPERLINK("http://anyluxury.ru/shop/odezhda/detskaya-odezhda/dozhdevikponcho-rainproof-siniy-1187440/" , "11874.40 Дождевик-пончо RainProof, синий")</f>
      </c>
      <c r="C4654" s="4" t="n">
        <v>79.00</v>
      </c>
      <c r="D4654" s="4"/>
    </row>
    <row collapsed="" customFormat="false" customHeight="1" hidden="" ht="14" outlineLevel="0" r="4655">
      <c r="A4655" s="3" t="inlineStr">
        <is>
          <t>4624</t>
        </is>
      </c>
      <c r="B4655" s="4" t="s">
        <f>=HYPERLINK("http://anyluxury.ru/shop/odezhda/detskaya-odezhda/dozhdevikponcho-rainproof-zeleniy-1187490/" , "11874.90 Дождевик-пончо RainProof, зеленый")</f>
      </c>
      <c r="C4655" s="4" t="n">
        <v>79.00</v>
      </c>
      <c r="D4655" s="4"/>
    </row>
    <row collapsed="" customFormat="false" customHeight="1" hidden="" ht="14" outlineLevel="0" r="4656">
      <c r="A4656" s="3" t="inlineStr">
        <is>
          <t>4625</t>
        </is>
      </c>
      <c r="B4656" s="4" t="s">
        <f>=HYPERLINK("http://anyluxury.ru/shop/odezhda/detskaya-odezhda/dozhdevikponcho-rainproof-krasniy-1187450/" , "11874.50 Дождевик-пончо RainProof, красный")</f>
      </c>
      <c r="C4656" s="4" t="n">
        <v>79.00</v>
      </c>
      <c r="D4656" s="4"/>
    </row>
    <row collapsed="" customFormat="false" customHeight="1" hidden="" ht="14" outlineLevel="0" r="4657">
      <c r="A4657" s="3" t="inlineStr">
        <is>
          <t>4626</t>
        </is>
      </c>
      <c r="B4657" s="4" t="s">
        <f>=HYPERLINK("http://anyluxury.ru/shop/odezhda/detskaya-odezhda/dozhdevikponcho-rainproof-zheltiy-1187480/" , "11874.80 Дождевик-пончо RainProof, желтый")</f>
      </c>
      <c r="C4657" s="4" t="n">
        <v>79.00</v>
      </c>
      <c r="D4657" s="4"/>
    </row>
    <row collapsed="" customFormat="false" customHeight="1" hidden="" ht="14" outlineLevel="0" r="4658">
      <c r="A4658" s="3" t="inlineStr">
        <is>
          <t>4627</t>
        </is>
      </c>
      <c r="B4658" s="4" t="s">
        <f>=HYPERLINK("http://anyluxury.ru/shop/odezhda/detskaya-odezhda/dozhdevikponcho-rainproof-oranzheviy-1187420/" , "11874.20 Дождевик-пончо RainProof, оранжевый")</f>
      </c>
      <c r="C4658" s="4" t="n">
        <v>79.00</v>
      </c>
      <c r="D4658" s="4"/>
    </row>
    <row collapsed="" customFormat="false" customHeight="1" hidden="" ht="14" outlineLevel="0" r="4659">
      <c r="A4659" s="3" t="inlineStr">
        <is>
          <t>4628</t>
        </is>
      </c>
      <c r="B4659" s="4" t="s">
        <f>=HYPERLINK("http://anyluxury.ru/shop/odezhda/detskaya-odezhda/dozhdevikponcho-rainproof-beliy-1187460/" , "11874.60 Дождевик-пончо RainProof, белый")</f>
      </c>
      <c r="C4659" s="4" t="n">
        <v>79.00</v>
      </c>
      <c r="D4659" s="4"/>
    </row>
    <row collapsed="" customFormat="false" customHeight="1" hidden="" ht="14" outlineLevel="0" r="4660">
      <c r="A4660" s="3" t="inlineStr">
        <is>
          <t>4629</t>
        </is>
      </c>
      <c r="B4660" s="4" t="s">
        <f>=HYPERLINK("http://anyluxury.ru/shop/odezhda/detskaya-odezhda/dozhdevikplashh-brightway-siniy-1187540/" , "11875.40 Дождевик-плащ BrightWay, синий")</f>
      </c>
      <c r="C4660" s="4" t="n">
        <v>230.00</v>
      </c>
      <c r="D4660" s="4"/>
    </row>
    <row collapsed="" customFormat="false" customHeight="1" hidden="" ht="14" outlineLevel="0" r="4661">
      <c r="A4661" s="3" t="inlineStr">
        <is>
          <t>4630</t>
        </is>
      </c>
      <c r="B4661" s="4" t="s">
        <f>=HYPERLINK("http://anyluxury.ru/shop/odezhda/detskaya-odezhda/dozhdevikplashh-brightway-zeleniy-1187590/" , "11875.90 Дождевик-плащ BrightWay, зеленый")</f>
      </c>
      <c r="C4661" s="4" t="n">
        <v>230.00</v>
      </c>
      <c r="D4661" s="4"/>
    </row>
    <row collapsed="" customFormat="false" customHeight="1" hidden="" ht="14" outlineLevel="0" r="4662">
      <c r="A4662" s="3" t="inlineStr">
        <is>
          <t>4631</t>
        </is>
      </c>
      <c r="B4662" s="4" t="s">
        <f>=HYPERLINK("http://anyluxury.ru/shop/odezhda/detskaya-odezhda/dozhdevik-brightway-zheltiy-1187580/" , "11875.80 Дождевик-плащ BrightWay, желтый")</f>
      </c>
      <c r="C4662" s="4" t="n">
        <v>230.00</v>
      </c>
      <c r="D4662" s="4"/>
    </row>
    <row collapsed="" customFormat="false" customHeight="1" hidden="" ht="14" outlineLevel="0" r="4663">
      <c r="A4663" s="3" t="inlineStr">
        <is>
          <t>4632</t>
        </is>
      </c>
      <c r="B4663" s="4" t="s">
        <f>=HYPERLINK("http://anyluxury.ru/shop/odezhda/detskaya-odezhda/dozhdevikplashh-brightway-oranzheviy-1187520/" , "11875.20 Дождевик-плащ BrightWay, оранжевый")</f>
      </c>
      <c r="C4663" s="4" t="n">
        <v>230.00</v>
      </c>
      <c r="D4663" s="4"/>
    </row>
    <row collapsed="" customFormat="false" customHeight="1" hidden="" ht="14" outlineLevel="0" r="4664">
      <c r="A4664" s="3" t="inlineStr">
        <is>
          <t>4633</t>
        </is>
      </c>
      <c r="B4664" s="4" t="s">
        <f>=HYPERLINK("http://anyluxury.ru/shop/odezhda/detskaya-odezhda/dozhdevikplashh-brightway-beliy-1187560/" , "11875.60 Дождевик-плащ BrightWay, белый")</f>
      </c>
      <c r="C4664" s="4" t="n">
        <v>230.00</v>
      </c>
      <c r="D4664" s="4"/>
    </row>
    <row collapsed="" customFormat="false" customHeight="1" hidden="" ht="14" outlineLevel="0" r="4665">
      <c r="A4665" s="3" t="inlineStr">
        <is>
          <t>4634</t>
        </is>
      </c>
      <c r="B4665" s="4" t="s">
        <f>=HYPERLINK("http://anyluxury.ru/shop/odezhda/detskaya-odezhda/dozhdevikplashh-brightway-prozrachniy-1187500/" , "11875.00 Дождевик-плащ BrightWay, прозрачный")</f>
      </c>
      <c r="C4665" s="4" t="n">
        <v>230.00</v>
      </c>
      <c r="D4665" s="4"/>
    </row>
    <row collapsed="" customFormat="false" customHeight="1" hidden="" ht="14" outlineLevel="0" r="4666">
      <c r="A4666" s="3" t="inlineStr">
        <is>
          <t>4635</t>
        </is>
      </c>
      <c r="B4666" s="4" t="s">
        <f>=HYPERLINK("http://anyluxury.ru/shop/odezhda/detskaya-odezhda/dozhdevikplashh-cloudtime-serebristiy-1187611/" , "11876.11 Дождевик-плащ CloudTime, серебристый")</f>
      </c>
      <c r="C4666" s="4" t="n">
        <v>290.00</v>
      </c>
      <c r="D4666" s="4"/>
    </row>
    <row collapsed="" customFormat="false" customHeight="1" hidden="" ht="14" outlineLevel="0" r="4667">
      <c r="A4667" s="3" t="inlineStr">
        <is>
          <t>4636</t>
        </is>
      </c>
      <c r="B4667" s="4" t="s">
        <f>=HYPERLINK("http://anyluxury.ru/shop/odezhda/detskaya-odezhda/dozhdevikplashh-cloudtime-zolotistiy-1187600/" , "11876.00 Дождевик-плащ CloudTime, золотистый")</f>
      </c>
      <c r="C4667" s="4" t="n">
        <v>290.00</v>
      </c>
      <c r="D4667" s="4"/>
    </row>
    <row collapsed="" customFormat="false" customHeight="1" hidden="" ht="14" outlineLevel="0" r="4668">
      <c r="A4668" s="3" t="inlineStr">
        <is>
          <t>4637</t>
        </is>
      </c>
      <c r="B4668" s="4" t="s">
        <f>=HYPERLINK("http://anyluxury.ru/shop/odezhda/detskaya-odezhda/dozhdevikplashh-cloudtime-cherniy-1187630/" , "11876.30 Дождевик-плащ CloudTime, черный")</f>
      </c>
      <c r="C4668" s="4" t="n">
        <v>290.00</v>
      </c>
      <c r="D4668" s="4"/>
    </row>
    <row collapsed="" customFormat="false" customHeight="1" hidden="" ht="14" outlineLevel="0" r="4669">
      <c r="A4669" s="3" t="inlineStr">
        <is>
          <t>4638</t>
        </is>
      </c>
      <c r="B4669" s="4" t="s">
        <f>=HYPERLINK("http://anyluxury.ru/shop/odezhda/detskaya-odezhda/dozhdevikplashh-cloudtime-beliy-1187660/" , "11876.60 Дождевик-плащ CloudTime, белый")</f>
      </c>
      <c r="C4669" s="4" t="n">
        <v>290.00</v>
      </c>
      <c r="D4669" s="4"/>
    </row>
    <row collapsed="" customFormat="false" customHeight="1" hidden="" ht="14" outlineLevel="0" r="4670">
      <c r="A4670" s="3" t="inlineStr">
        <is>
          <t>4639</t>
        </is>
      </c>
      <c r="B4670" s="4" t="s">
        <f>=HYPERLINK("http://anyluxury.ru/shop/odezhda/detskaya-odezhda/dozhdevikplashh-cloudtime-biryuzoviy-1187614/" , "11876.14 Дождевик-плащ CloudTime, бирюзовый")</f>
      </c>
      <c r="C4670" s="4" t="n">
        <v>290.00</v>
      </c>
      <c r="D4670" s="4"/>
    </row>
    <row collapsed="" customFormat="false" customHeight="1" hidden="" ht="14" outlineLevel="0" r="4671">
      <c r="A4671" s="3" t="inlineStr">
        <is>
          <t>4640</t>
        </is>
      </c>
      <c r="B4671" s="4" t="s">
        <f>=HYPERLINK("http://anyluxury.ru/shop/odezhda/detskaya-odezhda/dozhdevikplashh-cloudtime-fioletoviy-1187670/" , "11876.70 Дождевик-плащ CloudTime, фиолетовый")</f>
      </c>
      <c r="C4671" s="4" t="n">
        <v>290.00</v>
      </c>
      <c r="D4671" s="4"/>
    </row>
    <row collapsed="" customFormat="false" customHeight="1" hidden="" ht="14" outlineLevel="0" r="4672">
      <c r="A4672" s="3" t="inlineStr">
        <is>
          <t>4641</t>
        </is>
      </c>
      <c r="B4672" s="4" t="s">
        <f>=HYPERLINK("http://anyluxury.ru/shop/odezhda/detskaya-odezhda/dozhdevikplashh-cloudtime-rozoviy-1187615/" , "11876.15 Дождевик-плащ CloudTime, розовый")</f>
      </c>
      <c r="C4672" s="4" t="n">
        <v>290.00</v>
      </c>
      <c r="D4672" s="4"/>
    </row>
    <row collapsed="" customFormat="false" customHeight="1" hidden="" ht="14" outlineLevel="0" r="4673">
      <c r="A4673" s="3" t="inlineStr">
        <is>
          <t>4642</t>
        </is>
      </c>
      <c r="B4673" s="4" t="s">
        <f>=HYPERLINK("http://anyluxury.ru/shop/odezhda/detskaya-odezhda/dozhdevikplashh-cloudtime-krasniy-1187650/" , "11876.50 Дождевик-плащ CloudTime, красный")</f>
      </c>
      <c r="C4673" s="4" t="n">
        <v>290.00</v>
      </c>
      <c r="D4673" s="4"/>
    </row>
    <row collapsed="" customFormat="false" customHeight="1" hidden="" ht="14" outlineLevel="0" r="4674">
      <c r="A4674" s="3" t="inlineStr">
        <is>
          <t>4643</t>
        </is>
      </c>
      <c r="B4674" s="4" t="s">
        <f>=HYPERLINK("http://anyluxury.ru/shop/odezhda/detskaya-odezhda/dozhdevikplashh-cloudtime-oranzheviy-1187620/" , "11876.20 Дождевик-плащ CloudTime, оранжевый")</f>
      </c>
      <c r="C4674" s="4" t="n">
        <v>290.00</v>
      </c>
      <c r="D4674" s="4"/>
    </row>
    <row collapsed="" customFormat="false" customHeight="1" hidden="" ht="14" outlineLevel="0" r="4675">
      <c r="A4675" s="3" t="inlineStr">
        <is>
          <t>4644</t>
        </is>
      </c>
      <c r="B4675" s="4" t="s">
        <f>=HYPERLINK("http://anyluxury.ru/shop/odezhda/detskaya-odezhda/dozhdevikplashh-cloudtime-zheltiy-1187680/" , "11876.80 Дождевик-плащ CloudTime, желтый")</f>
      </c>
      <c r="C4675" s="4" t="n">
        <v>290.00</v>
      </c>
      <c r="D4675" s="4"/>
    </row>
    <row collapsed="" customFormat="false" customHeight="1" hidden="" ht="14" outlineLevel="0" r="4676">
      <c r="A4676" s="3" t="inlineStr">
        <is>
          <t>4645</t>
        </is>
      </c>
      <c r="B4676" s="4" t="s">
        <f>=HYPERLINK("http://anyluxury.ru/shop/odezhda/detskaya-odezhda/dozhdevikplashh-cloudtime-zelenoe-yabloko-1187694/" , "11876.94 Дождевик-плащ CloudTime, зеленое яблоко")</f>
      </c>
      <c r="C4676" s="4" t="n">
        <v>290.00</v>
      </c>
      <c r="D4676" s="4"/>
    </row>
    <row collapsed="" customFormat="false" customHeight="1" hidden="" ht="14" outlineLevel="0" r="4677">
      <c r="A4677" s="3" t="inlineStr">
        <is>
          <t>4646</t>
        </is>
      </c>
      <c r="B4677" s="4" t="s">
        <f>=HYPERLINK("http://anyluxury.ru/shop/odezhda/detskaya-odezhda/dozhdevikplashh-cloudtime-zeleniy-1187690/" , "11876.90 Дождевик-плащ CloudTime, зеленый")</f>
      </c>
      <c r="C4677" s="4" t="n">
        <v>290.00</v>
      </c>
      <c r="D4677" s="4"/>
    </row>
    <row collapsed="" customFormat="false" customHeight="1" hidden="" ht="14" outlineLevel="0" r="4678">
      <c r="A4678" s="3" t="inlineStr">
        <is>
          <t>4647</t>
        </is>
      </c>
      <c r="B4678" s="4" t="s">
        <f>=HYPERLINK("http://anyluxury.ru/shop/odezhda/detskaya-odezhda/dozhdevikplashh-cloudtime-siniy-1187640/" , "11876.40 Дождевик-плащ CloudTime, синий")</f>
      </c>
      <c r="C4678" s="4" t="n">
        <v>290.00</v>
      </c>
      <c r="D4678" s="4"/>
    </row>
    <row collapsed="" customFormat="false" customHeight="1" hidden="" ht="14" outlineLevel="0" r="4679">
      <c r="A4679" s="3" t="inlineStr">
        <is>
          <t>4648</t>
        </is>
      </c>
      <c r="B4679" s="4" t="s">
        <f>=HYPERLINK("http://anyluxury.ru/shop/odezhda/detskaya-odezhda/dozhdevikplashh-cloudtime-goluboy-1187641/" , "11876.41 Дождевик-плащ CloudTime, голубой")</f>
      </c>
      <c r="C4679" s="4" t="n">
        <v>290.00</v>
      </c>
      <c r="D4679" s="4"/>
    </row>
    <row collapsed="" customFormat="false" customHeight="1" hidden="" ht="14" outlineLevel="0" r="4680">
      <c r="A4680" s="3" t="inlineStr">
        <is>
          <t>4649</t>
        </is>
      </c>
      <c r="B4680" s="4" t="s">
        <f>=HYPERLINK("http://anyluxury.ru/shop/odezhda/detskaya-odezhda/dozhdevikplashh-cloudtime-bordoviy-1187655/" , "11876.55 Дождевик-плащ CloudTime, бордовый")</f>
      </c>
      <c r="C4680" s="4" t="n">
        <v>292.00</v>
      </c>
      <c r="D4680" s="4"/>
    </row>
    <row collapsed="" customFormat="false" customHeight="1" hidden="" ht="14" outlineLevel="0" r="4681">
      <c r="A4681" s="3" t="inlineStr">
        <is>
          <t>4650</t>
        </is>
      </c>
      <c r="B4681" s="4" t="s">
        <f>=HYPERLINK("http://anyluxury.ru/shop/odezhda/detskaya-odezhda/dozhdevikplashh-detskiy-brightway-kids-siniy-1187740/" , "11877.40 Дождевик-плащ детский BrightWay Kids, синий")</f>
      </c>
      <c r="C4681" s="4" t="n">
        <v>110.00</v>
      </c>
      <c r="D4681" s="4"/>
    </row>
    <row collapsed="" customFormat="false" customHeight="1" hidden="" ht="14" outlineLevel="0" r="4682">
      <c r="A4682" s="3" t="inlineStr">
        <is>
          <t>4651</t>
        </is>
      </c>
      <c r="B4682" s="4" t="s">
        <f>=HYPERLINK("http://anyluxury.ru/shop/odezhda/detskaya-odezhda/dozhdevikplashh-detskiy-brightway-kids-zeleniy-1187790/" , "11877.90 Дождевик-плащ детский BrightWay Kids, зеленый")</f>
      </c>
      <c r="C4682" s="4" t="n">
        <v>110.00</v>
      </c>
      <c r="D4682" s="4"/>
    </row>
    <row collapsed="" customFormat="false" customHeight="1" hidden="" ht="14" outlineLevel="0" r="4683">
      <c r="A4683" s="3" t="inlineStr">
        <is>
          <t>4652</t>
        </is>
      </c>
      <c r="B4683" s="4" t="s">
        <f>=HYPERLINK("http://anyluxury.ru/shop/odezhda/detskaya-odezhda/dozhdevikplashh-detskiy-brightway-kids-krasniy-1187750/" , "11877.50 Дождевик-плащ детский BrightWay Kids, красный")</f>
      </c>
      <c r="C4683" s="4" t="n">
        <v>110.00</v>
      </c>
      <c r="D4683" s="4"/>
    </row>
    <row collapsed="" customFormat="false" customHeight="1" hidden="" ht="14" outlineLevel="0" r="4684">
      <c r="A4684" s="3" t="inlineStr">
        <is>
          <t>4653</t>
        </is>
      </c>
      <c r="B4684" s="4" t="s">
        <f>=HYPERLINK("http://anyluxury.ru/shop/odezhda/detskaya-odezhda/dozhdevikplashh-detskiy-brightway-kids-zheltiy-1187780/" , "11877.80 Дождевик-плащ детский BrightWay Kids, желтый")</f>
      </c>
      <c r="C4684" s="4" t="n">
        <v>110.00</v>
      </c>
      <c r="D4684" s="4"/>
    </row>
    <row collapsed="" customFormat="false" customHeight="1" hidden="" ht="14" outlineLevel="0" r="4685">
      <c r="A4685" s="3" t="inlineStr">
        <is>
          <t>4654</t>
        </is>
      </c>
      <c r="B4685" s="4" t="s">
        <f>=HYPERLINK("http://anyluxury.ru/shop/odezhda/detskaya-odezhda/dozhdevikplashh-detskiy-brightway-kids-oranzheviy-1187720/" , "11877.20 Дождевик-плащ детский BrightWay Kids, оранжевый")</f>
      </c>
      <c r="C4685" s="4" t="n">
        <v>110.00</v>
      </c>
      <c r="D4685" s="4"/>
    </row>
    <row collapsed="" customFormat="false" customHeight="1" hidden="" ht="14" outlineLevel="0" r="4686">
      <c r="A4686" s="3" t="inlineStr">
        <is>
          <t>4655</t>
        </is>
      </c>
      <c r="B4686" s="4" t="s">
        <f>=HYPERLINK("http://anyluxury.ru/shop/odezhda/detskaya-odezhda/dozhdevikplashh-detskiy-brightway-kids-beliy-1187760/" , "11877.60 Дождевик-плащ детский BrightWay Kids, белый")</f>
      </c>
      <c r="C4686" s="4" t="n">
        <v>110.00</v>
      </c>
      <c r="D4686" s="4"/>
    </row>
    <row collapsed="" customFormat="false" customHeight="1" hidden="" ht="14" outlineLevel="0" r="4687">
      <c r="A4687" s="3" t="inlineStr">
        <is>
          <t>4656</t>
        </is>
      </c>
      <c r="B4687" s="4" t="s">
        <f>=HYPERLINK("http://anyluxury.ru/shop/odezhda/detskaya-odezhda/varezhki-brugge-bordovie-1076555/" , "10765.55 Варежки Brugge, бордовые, размер L/XL")</f>
      </c>
      <c r="C4687" s="4" t="n">
        <v>1188.00</v>
      </c>
      <c r="D4687" s="4"/>
    </row>
    <row collapsed="" customFormat="false" customHeight="1" hidden="" ht="14" outlineLevel="0" r="4688">
      <c r="A4688" s="3" t="inlineStr">
        <is>
          <t>4657</t>
        </is>
      </c>
      <c r="B4688" s="4" t="s">
        <f>=HYPERLINK("http://anyluxury.ru/shop/odezhda/detskaya-odezhda/varezhki-brugge-zelenie-1076590/" , "10765.90 Варежки Brugge, зеленые, размер S/M")</f>
      </c>
      <c r="C4688" s="4" t="n">
        <v>1188.00</v>
      </c>
      <c r="D4688" s="4"/>
    </row>
    <row collapsed="" customFormat="false" customHeight="1" hidden="" ht="14" outlineLevel="0" r="4689">
      <c r="A4689" s="3" t="inlineStr">
        <is>
          <t>4658</t>
        </is>
      </c>
      <c r="B4689" s="4" t="s">
        <f>=HYPERLINK("http://anyluxury.ru/shop/odezhda/detskaya-odezhda/varezhki-brugge-zelenie-1076590/" , "10765.90 Варежки Brugge, зеленые, размер L/XL")</f>
      </c>
      <c r="C4689" s="4" t="n">
        <v>1188.00</v>
      </c>
      <c r="D4689" s="4"/>
    </row>
    <row collapsed="" customFormat="false" customHeight="1" hidden="" ht="14" outlineLevel="0" r="4690">
      <c r="A4690" s="3" t="inlineStr">
        <is>
          <t>4659</t>
        </is>
      </c>
      <c r="B4690" s="4" t="s">
        <f>=HYPERLINK("http://anyluxury.ru/shop/odezhda/detskaya-odezhda/vetrovka-kivach-promo-chernaya-1172630/" , "11726.30 Ветровка Kivach Promo черная, размер S")</f>
      </c>
      <c r="C4690" s="4" t="n">
        <v>1290.00</v>
      </c>
      <c r="D4690" s="4"/>
    </row>
    <row collapsed="" customFormat="false" customHeight="1" hidden="" ht="14" outlineLevel="0" r="4691">
      <c r="A4691" s="3" t="inlineStr">
        <is>
          <t>4660</t>
        </is>
      </c>
      <c r="B4691" s="4" t="s">
        <f>=HYPERLINK("http://anyluxury.ru/shop/odezhda/detskaya-odezhda/vetrovka-kivach-promo-chernaya-1172630/" , "11726.30 Ветровка Kivach Promo черная, размер M")</f>
      </c>
      <c r="C4691" s="4" t="n">
        <v>1290.00</v>
      </c>
      <c r="D4691" s="4"/>
    </row>
    <row collapsed="" customFormat="false" customHeight="1" hidden="" ht="14" outlineLevel="0" r="4692">
      <c r="A4692" s="3" t="inlineStr">
        <is>
          <t>4661</t>
        </is>
      </c>
      <c r="B4692" s="4" t="s">
        <f>=HYPERLINK("http://anyluxury.ru/shop/odezhda/detskaya-odezhda/vetrovka-kivach-promo-chernaya-1172630/" , "11726.30 Ветровка Kivach Promo черная, размер L")</f>
      </c>
      <c r="C4692" s="4" t="n">
        <v>1290.00</v>
      </c>
      <c r="D4692" s="4"/>
    </row>
    <row collapsed="" customFormat="false" customHeight="1" hidden="" ht="14" outlineLevel="0" r="4693">
      <c r="A4693" s="3" t="inlineStr">
        <is>
          <t>4662</t>
        </is>
      </c>
      <c r="B4693" s="4" t="s">
        <f>=HYPERLINK("http://anyluxury.ru/shop/odezhda/detskaya-odezhda/vetrovka-kivach-promo-chernaya-1172630/" , "11726.30 Ветровка Kivach Promo черная, размер XL")</f>
      </c>
      <c r="C4693" s="4" t="n">
        <v>1290.00</v>
      </c>
      <c r="D4693" s="4"/>
    </row>
    <row collapsed="" customFormat="false" customHeight="1" hidden="" ht="14" outlineLevel="0" r="4694">
      <c r="A4694" s="3" t="inlineStr">
        <is>
          <t>4663</t>
        </is>
      </c>
      <c r="B4694" s="4" t="s">
        <f>=HYPERLINK("http://anyluxury.ru/shop/odezhda/detskaya-odezhda/vetrovka-kivach-promo-chernaya-1172630/" , "11726.30 Ветровка Kivach Promo черная, размер XXL")</f>
      </c>
      <c r="C4694" s="4" t="n">
        <v>1290.00</v>
      </c>
      <c r="D4694" s="4"/>
    </row>
    <row collapsed="" customFormat="false" customHeight="1" hidden="" ht="14" outlineLevel="0" r="4695">
      <c r="A4695" s="3" t="inlineStr">
        <is>
          <t>4664</t>
        </is>
      </c>
      <c r="B4695" s="4" t="s">
        <f>=HYPERLINK("http://anyluxury.ru/shop/odezhda/detskaya-odezhda/vetrovka-kivach-promo-chernaya-1172630/" , "11726.30 Ветровка Kivach Promo черная, размер 3XL")</f>
      </c>
      <c r="C4695" s="4" t="n">
        <v>1290.00</v>
      </c>
      <c r="D4695" s="4"/>
    </row>
    <row collapsed="" customFormat="false" customHeight="1" hidden="" ht="14" outlineLevel="0" r="4696">
      <c r="A4696" s="3" t="inlineStr">
        <is>
          <t>4665</t>
        </is>
      </c>
      <c r="B4696" s="4" t="s">
        <f>=HYPERLINK("http://anyluxury.ru/shop/odezhda/detskaya-odezhda/vetrovka-kivach-promo-temnosinyaya-1172640/" , "11726.40 Ветровка Kivach Promo темно-синяя, размер M")</f>
      </c>
      <c r="C4696" s="4" t="n">
        <v>1290.00</v>
      </c>
      <c r="D4696" s="4"/>
    </row>
    <row collapsed="" customFormat="false" customHeight="1" hidden="" ht="14" outlineLevel="0" r="4697">
      <c r="A4697" s="3" t="inlineStr">
        <is>
          <t>4666</t>
        </is>
      </c>
      <c r="B4697" s="4" t="s">
        <f>=HYPERLINK("http://anyluxury.ru/shop/odezhda/detskaya-odezhda/vetrovka-kivach-promo-temnosinyaya-1172640/" , "11726.40 Ветровка Kivach Promo темно-синяя, размер L")</f>
      </c>
      <c r="C4697" s="4" t="n">
        <v>1290.00</v>
      </c>
      <c r="D4697" s="4"/>
    </row>
    <row collapsed="" customFormat="false" customHeight="1" hidden="" ht="14" outlineLevel="0" r="4698">
      <c r="A4698" s="3" t="inlineStr">
        <is>
          <t>4667</t>
        </is>
      </c>
      <c r="B4698" s="4" t="s">
        <f>=HYPERLINK("http://anyluxury.ru/shop/odezhda/detskaya-odezhda/vetrovka-kivach-promo-temnosinyaya-1172640/" , "11726.40 Ветровка Kivach Promo темно-синяя, размер XL")</f>
      </c>
      <c r="C4698" s="4" t="n">
        <v>1290.00</v>
      </c>
      <c r="D4698" s="4"/>
    </row>
    <row collapsed="" customFormat="false" customHeight="1" hidden="" ht="14" outlineLevel="0" r="4699">
      <c r="A4699" s="3" t="inlineStr">
        <is>
          <t>4668</t>
        </is>
      </c>
      <c r="B4699" s="4" t="s">
        <f>=HYPERLINK("http://anyluxury.ru/shop/odezhda/detskaya-odezhda/vetrovka-kivach-promo-temnosinyaya-1172640/" , "11726.40 Ветровка Kivach Promo темно-синяя, размер XXL")</f>
      </c>
      <c r="C4699" s="4" t="n">
        <v>1290.00</v>
      </c>
      <c r="D4699" s="4"/>
    </row>
    <row collapsed="" customFormat="false" customHeight="1" hidden="" ht="14" outlineLevel="0" r="4700">
      <c r="A4700" s="3" t="inlineStr">
        <is>
          <t>4669</t>
        </is>
      </c>
      <c r="B4700" s="4" t="s">
        <f>=HYPERLINK("http://anyluxury.ru/shop/odezhda/detskaya-odezhda/vetrovka-kivach-promo-temnosinyaya-1172640/" , "11726.40 Ветровка Kivach Promo темно-синяя, размер 3XL")</f>
      </c>
      <c r="C4700" s="4" t="n">
        <v>1290.00</v>
      </c>
      <c r="D4700" s="4"/>
    </row>
    <row collapsed="" customFormat="false" customHeight="1" hidden="" ht="14" outlineLevel="0" r="4701">
      <c r="A4701" s="3" t="inlineStr">
        <is>
          <t>4670</t>
        </is>
      </c>
      <c r="B4701" s="4" t="s">
        <f>=HYPERLINK("http://anyluxury.ru/shop/odezhda/detskaya-odezhda/vetrovka-kivach-promo-yarkosinyaya-1172644/" , "11726.44 Ветровка Kivach Promo ярко-синяя, размер XL")</f>
      </c>
      <c r="C4701" s="4" t="n">
        <v>1290.00</v>
      </c>
      <c r="D4701" s="4"/>
    </row>
    <row collapsed="" customFormat="false" customHeight="1" hidden="" ht="14" outlineLevel="0" r="4702">
      <c r="A4702" s="3" t="inlineStr">
        <is>
          <t>4671</t>
        </is>
      </c>
      <c r="B4702" s="4" t="s">
        <f>=HYPERLINK("http://anyluxury.ru/shop/odezhda/detskaya-odezhda/vetrovka-kivach-promo-yarkosinyaya-1172644/" , "11726.44 Ветровка Kivach Promo ярко-синяя, размер XXL")</f>
      </c>
      <c r="C4702" s="4" t="n">
        <v>1290.00</v>
      </c>
      <c r="D4702" s="4"/>
    </row>
    <row collapsed="" customFormat="false" customHeight="1" hidden="" ht="14" outlineLevel="0" r="4703">
      <c r="A4703" s="3" t="inlineStr">
        <is>
          <t>4672</t>
        </is>
      </c>
      <c r="B4703" s="4" t="s">
        <f>=HYPERLINK("http://anyluxury.ru/shop/odezhda/detskaya-odezhda/vetrovka-kivach-promo-yarkosinyaya-1172644/" , "11726.44 Ветровка Kivach Promo ярко-синяя, размер 3XL")</f>
      </c>
      <c r="C4703" s="4" t="n">
        <v>1290.00</v>
      </c>
      <c r="D4703" s="4"/>
    </row>
    <row collapsed="" customFormat="false" customHeight="1" hidden="" ht="14" outlineLevel="0" r="4704">
      <c r="A4704" s="3" t="inlineStr">
        <is>
          <t>4673</t>
        </is>
      </c>
      <c r="B4704" s="4" t="s">
        <f>=HYPERLINK("http://anyluxury.ru/shop/odezhda/detskaya-odezhda/vetrovka-kivach-promo-krasnaya-1172650/" , "11726.50 Ветровка Kivach Promo красная, размер S")</f>
      </c>
      <c r="C4704" s="4" t="n">
        <v>1290.00</v>
      </c>
      <c r="D4704" s="4"/>
    </row>
    <row collapsed="" customFormat="false" customHeight="1" hidden="" ht="14" outlineLevel="0" r="4705">
      <c r="A4705" s="3" t="inlineStr">
        <is>
          <t>4674</t>
        </is>
      </c>
      <c r="B4705" s="4" t="s">
        <f>=HYPERLINK("http://anyluxury.ru/shop/odezhda/detskaya-odezhda/vetrovka-kivach-promo-krasnaya-1172650/" , "11726.50 Ветровка Kivach Promo красная, размер M")</f>
      </c>
      <c r="C4705" s="4" t="n">
        <v>1290.00</v>
      </c>
      <c r="D4705" s="4"/>
    </row>
    <row collapsed="" customFormat="false" customHeight="1" hidden="" ht="14" outlineLevel="0" r="4706">
      <c r="A4706" s="3" t="inlineStr">
        <is>
          <t>4675</t>
        </is>
      </c>
      <c r="B4706" s="4" t="s">
        <f>=HYPERLINK("http://anyluxury.ru/shop/odezhda/detskaya-odezhda/vetrovka-kivach-promo-krasnaya-1172650/" , "11726.50 Ветровка Kivach Promo красная, размер L")</f>
      </c>
      <c r="C4706" s="4" t="n">
        <v>1290.00</v>
      </c>
      <c r="D4706" s="4"/>
    </row>
    <row collapsed="" customFormat="false" customHeight="1" hidden="" ht="14" outlineLevel="0" r="4707">
      <c r="A4707" s="3" t="inlineStr">
        <is>
          <t>4676</t>
        </is>
      </c>
      <c r="B4707" s="4" t="s">
        <f>=HYPERLINK("http://anyluxury.ru/shop/odezhda/detskaya-odezhda/vetrovka-kivach-promo-krasnaya-1172650/" , "11726.50 Ветровка Kivach Promo красная, размер XL")</f>
      </c>
      <c r="C4707" s="4" t="n">
        <v>1290.00</v>
      </c>
      <c r="D4707" s="4"/>
    </row>
    <row collapsed="" customFormat="false" customHeight="1" hidden="" ht="14" outlineLevel="0" r="4708">
      <c r="A4708" s="3" t="inlineStr">
        <is>
          <t>4677</t>
        </is>
      </c>
      <c r="B4708" s="4" t="s">
        <f>=HYPERLINK("http://anyluxury.ru/shop/odezhda/detskaya-odezhda/vetrovka-kivach-promo-krasnaya-1172650/" , "11726.50 Ветровка Kivach Promo красная, размер XXL")</f>
      </c>
      <c r="C4708" s="4" t="n">
        <v>1290.00</v>
      </c>
      <c r="D4708" s="4"/>
    </row>
    <row collapsed="" customFormat="false" customHeight="1" hidden="" ht="14" outlineLevel="0" r="4709">
      <c r="A4709" s="3" t="inlineStr">
        <is>
          <t>4678</t>
        </is>
      </c>
      <c r="B4709" s="4" t="s">
        <f>=HYPERLINK("http://anyluxury.ru/shop/odezhda/detskaya-odezhda/vetrovka-kivach-promo-krasnaya-1172650/" , "11726.50 Ветровка Kivach Promo красная, размер 3XL")</f>
      </c>
      <c r="C4709" s="4" t="n">
        <v>1290.00</v>
      </c>
      <c r="D4709" s="4"/>
    </row>
    <row collapsed="" customFormat="false" customHeight="1" hidden="" ht="14" outlineLevel="0" r="4710">
      <c r="A4710" s="3" t="inlineStr">
        <is>
          <t>4679</t>
        </is>
      </c>
      <c r="B4710" s="4" t="s">
        <f>=HYPERLINK("http://anyluxury.ru/shop/odezhda/detskaya-odezhda/dozhdevik-detskiy-rainman-poncho-kids-temnosiniy-1172840/" , "11728.40 Дождевик детский Rainman Poncho Kids темно-синий, 4-7 лет")</f>
      </c>
      <c r="C4710" s="4" t="n">
        <v>699.00</v>
      </c>
      <c r="D4710" s="4"/>
    </row>
    <row collapsed="" customFormat="false" customHeight="1" hidden="" ht="14" outlineLevel="0" r="4711">
      <c r="A4711" s="3" t="inlineStr">
        <is>
          <t>4680</t>
        </is>
      </c>
      <c r="B4711" s="4" t="s">
        <f>=HYPERLINK("http://anyluxury.ru/shop/odezhda/detskaya-odezhda/dozhdevik-detskiy-rainman-poncho-kids-temnosiniy-1172840/" , "11728.40 Дождевик детский Rainman Poncho Kids темно-синий, 8-12 лет")</f>
      </c>
      <c r="C4711" s="4" t="n">
        <v>699.00</v>
      </c>
      <c r="D4711" s="4"/>
    </row>
    <row collapsed="" customFormat="false" customHeight="1" hidden="" ht="14" outlineLevel="0" r="4712">
      <c r="A4712" s="3" t="inlineStr">
        <is>
          <t>4681</t>
        </is>
      </c>
      <c r="B4712" s="4" t="s">
        <f>=HYPERLINK("http://anyluxury.ru/shop/odezhda/detskaya-odezhda/dozhdevik-detskiy-rainman-poncho-kids-krasniy-1172850/" , "11728.50 Дождевик детский Rainman Poncho Kids красный, 4-7 лет")</f>
      </c>
      <c r="C4712" s="4" t="n">
        <v>699.00</v>
      </c>
      <c r="D4712" s="4"/>
    </row>
    <row collapsed="" customFormat="false" customHeight="1" hidden="" ht="14" outlineLevel="0" r="4713">
      <c r="A4713" s="3" t="inlineStr">
        <is>
          <t>4682</t>
        </is>
      </c>
      <c r="B4713" s="4" t="s">
        <f>=HYPERLINK("http://anyluxury.ru/shop/odezhda/detskaya-odezhda/dozhdevik-detskiy-rainman-poncho-kids-krasniy-1172850/" , "11728.50 Дождевик детский Rainman Poncho Kids красный, 8-12 лет")</f>
      </c>
      <c r="C4713" s="4" t="n">
        <v>699.00</v>
      </c>
      <c r="D4713" s="4"/>
    </row>
    <row collapsed="" customFormat="false" customHeight="1" hidden="" ht="14" outlineLevel="0" r="4714">
      <c r="A4714" s="3" t="inlineStr">
        <is>
          <t>4683</t>
        </is>
      </c>
      <c r="B4714" s="4" t="s">
        <f>=HYPERLINK("http://anyluxury.ru/shop/odezhda/detskaya-odezhda/dozhdevik-detskiy-rainman-kids-cherniy-1172930/" , "11729.30 Дождевик детский Rainman Kids черный, 7-9 лет")</f>
      </c>
      <c r="C4714" s="4" t="n">
        <v>1204.00</v>
      </c>
      <c r="D4714" s="4"/>
    </row>
    <row collapsed="" customFormat="false" customHeight="1" hidden="" ht="14" outlineLevel="0" r="4715">
      <c r="A4715" s="3" t="inlineStr">
        <is>
          <t>4684</t>
        </is>
      </c>
      <c r="B4715" s="4" t="s">
        <f>=HYPERLINK("http://anyluxury.ru/shop/odezhda/detskaya-odezhda/dozhdevik-detskiy-rainman-kids-cherniy-1172930/" , "11729.30 Дождевик детский Rainman Kids черный, 10-12 лет")</f>
      </c>
      <c r="C4715" s="4" t="n">
        <v>1204.00</v>
      </c>
      <c r="D4715" s="4"/>
    </row>
    <row collapsed="" customFormat="false" customHeight="1" hidden="" ht="14" outlineLevel="0" r="4716">
      <c r="A4716" s="3" t="inlineStr">
        <is>
          <t>4685</t>
        </is>
      </c>
      <c r="B4716" s="4" t="s">
        <f>=HYPERLINK("http://anyluxury.ru/shop/odezhda/detskaya-odezhda/dozhdevik-detskiy-rainman-kids-temnosiniy-1172940/" , "11729.40 Дождевик детский Rainman Kids темно-синий, 7-9 лет")</f>
      </c>
      <c r="C4716" s="4" t="n">
        <v>1204.00</v>
      </c>
      <c r="D4716" s="4"/>
    </row>
    <row collapsed="" customFormat="false" customHeight="1" hidden="" ht="14" outlineLevel="0" r="4717">
      <c r="A4717" s="3" t="inlineStr">
        <is>
          <t>4686</t>
        </is>
      </c>
      <c r="B4717" s="4" t="s">
        <f>=HYPERLINK("http://anyluxury.ru/shop/odezhda/detskaya-odezhda/dozhdevik-detskiy-rainman-kids-temnosiniy-1172940/" , "11729.40 Дождевик детский Rainman Kids темно-синий, 10-12 лет")</f>
      </c>
      <c r="C4717" s="4" t="n">
        <v>1204.00</v>
      </c>
      <c r="D4717" s="4"/>
    </row>
    <row collapsed="" customFormat="false" customHeight="1" hidden="" ht="14" outlineLevel="0" r="4718">
      <c r="A4718" s="3" t="inlineStr">
        <is>
          <t>4687</t>
        </is>
      </c>
      <c r="B4718" s="4" t="s">
        <f>=HYPERLINK("http://anyluxury.ru/shop/odezhda/detskaya-odezhda/dozhdevik-detskiy-rainman-kids-krasniy-1172950/" , "11729.50 Дождевик детский Rainman Kids красный, 7-9 лет")</f>
      </c>
      <c r="C4718" s="4" t="n">
        <v>1204.00</v>
      </c>
      <c r="D4718" s="4"/>
    </row>
    <row collapsed="" customFormat="false" customHeight="1" hidden="" ht="14" outlineLevel="0" r="4719">
      <c r="A4719" s="3" t="inlineStr">
        <is>
          <t>4688</t>
        </is>
      </c>
      <c r="B4719" s="4" t="s">
        <f>=HYPERLINK("http://anyluxury.ru/shop/odezhda/detskaya-odezhda/dozhdevik-detskiy-rainman-kids-krasniy-1172950/" , "11729.50 Дождевик детский Rainman Kids красный, 10-12 лет")</f>
      </c>
      <c r="C4719" s="4" t="n">
        <v>1204.00</v>
      </c>
      <c r="D4719" s="4"/>
    </row>
    <row collapsed="" customFormat="false" customHeight="1" hidden="" ht="14" outlineLevel="0" r="4720">
      <c r="A4720" s="3" t="inlineStr">
        <is>
          <t>4689</t>
        </is>
      </c>
      <c r="B4720" s="4" t="s">
        <f>=HYPERLINK("http://anyluxury.ru/shop/odezhda/detskaya-odezhda/varezhki-brugge-seriy-melanzh-1076510/" , "10765.10 Варежки Brugge, серый меланж, размер L/XL")</f>
      </c>
      <c r="C4720" s="4" t="n">
        <v>1188.00</v>
      </c>
      <c r="D4720" s="4"/>
    </row>
    <row collapsed="" customFormat="false" customHeight="1" hidden="" ht="14" outlineLevel="0" r="4721">
      <c r="A4721" s="3" t="inlineStr">
        <is>
          <t>4690</t>
        </is>
      </c>
      <c r="B4721" s="4" t="s">
        <f>=HYPERLINK("http://anyluxury.ru/shop/odezhda/detskaya-odezhda/varezhki-brugge-seriy-melanzh-1076510/" , "10765.10 Варежки Brugge, серый меланж, размер S/M")</f>
      </c>
      <c r="C4721" s="4" t="n">
        <v>1188.00</v>
      </c>
      <c r="D4721" s="4"/>
    </row>
    <row collapsed="" customFormat="false" customHeight="1" hidden="" ht="14" outlineLevel="0" r="4722">
      <c r="A4722" s="3" t="inlineStr">
        <is>
          <t>4691</t>
        </is>
      </c>
      <c r="B4722" s="4" t="s">
        <f>=HYPERLINK("http://anyluxury.ru/shop/odezhda/detskaya-odezhda/varezhki-brugge-chernie-1076530/" , "10765.30 Варежки Brugge, черные, размер L/XL")</f>
      </c>
      <c r="C4722" s="4" t="n">
        <v>1188.00</v>
      </c>
      <c r="D4722" s="4"/>
    </row>
    <row collapsed="" customFormat="false" customHeight="1" hidden="" ht="14" outlineLevel="0" r="4723">
      <c r="A4723" s="3" t="inlineStr">
        <is>
          <t>4692</t>
        </is>
      </c>
      <c r="B4723" s="4" t="s">
        <f>=HYPERLINK("http://anyluxury.ru/shop/odezhda/detskaya-odezhda/varezhki-brugge-chernie-1076530/" , "10765.30 Варежки Brugge, черные, размер S/M")</f>
      </c>
      <c r="C4723" s="4" t="n">
        <v>1188.00</v>
      </c>
      <c r="D4723" s="4"/>
    </row>
    <row collapsed="" customFormat="false" customHeight="1" hidden="" ht="14" outlineLevel="0" r="4724">
      <c r="A4724" s="3" t="inlineStr">
        <is>
          <t>4693</t>
        </is>
      </c>
      <c r="B4724" s="4" t="s">
        <f>=HYPERLINK("http://anyluxury.ru/shop/odezhda/detskaya-odezhda/varezhki-heat-trick-svetloseriy-melanzh-1287710/" , "12877.10 Варежки Heat Trick, светло-серый меланж, размер S/M")</f>
      </c>
      <c r="C4724" s="4" t="n">
        <v>989.00</v>
      </c>
      <c r="D4724" s="4"/>
    </row>
    <row collapsed="" customFormat="false" customHeight="1" hidden="" ht="14" outlineLevel="0" r="4725">
      <c r="A4725" s="3" t="inlineStr">
        <is>
          <t>4694</t>
        </is>
      </c>
      <c r="B4725" s="4" t="s">
        <f>=HYPERLINK("http://anyluxury.ru/shop/odezhda/detskaya-odezhda/varezhki-heat-trick-svetloseriy-melanzh-1287710/" , "12877.10 Варежки Heat Trick, светло-серый меланж, размер L/XL")</f>
      </c>
      <c r="C4725" s="4" t="n">
        <v>989.00</v>
      </c>
      <c r="D4725" s="4"/>
    </row>
    <row collapsed="" customFormat="false" customHeight="1" hidden="" ht="14" outlineLevel="0" r="4726">
      <c r="A4726" s="3" t="inlineStr">
        <is>
          <t>4695</t>
        </is>
      </c>
      <c r="B4726" s="4" t="s">
        <f>=HYPERLINK("http://anyluxury.ru/shop/odezhda/detskaya-odezhda/varezhki-heat-trick-temnoseriy-melanzh-1287713/" , "12877.13 Варежки Heat Trick, темно-серый меланж, размер S/M")</f>
      </c>
      <c r="C4726" s="4" t="n">
        <v>989.00</v>
      </c>
      <c r="D4726" s="4"/>
    </row>
    <row collapsed="" customFormat="false" customHeight="1" hidden="" ht="14" outlineLevel="0" r="4727">
      <c r="A4727" s="3" t="inlineStr">
        <is>
          <t>4696</t>
        </is>
      </c>
      <c r="B4727" s="4" t="s">
        <f>=HYPERLINK("http://anyluxury.ru/shop/odezhda/detskaya-odezhda/varezhki-heat-trick-bezheviy-melanzh-1287716/" , "12877.16 Варежки Heat Trick, бежевый меланж, размер S/M")</f>
      </c>
      <c r="C4727" s="4" t="n">
        <v>989.00</v>
      </c>
      <c r="D4727" s="4"/>
    </row>
    <row collapsed="" customFormat="false" customHeight="1" hidden="" ht="14" outlineLevel="0" r="4728">
      <c r="A4728" s="3" t="inlineStr">
        <is>
          <t>4697</t>
        </is>
      </c>
      <c r="B4728" s="4" t="s">
        <f>=HYPERLINK("http://anyluxury.ru/shop/odezhda/detskaya-odezhda/varezhki-heat-trick-cherniy-melanzh-1287730/" , "12877.30 Варежки Heat Trick, черный меланж, размер S/M")</f>
      </c>
      <c r="C4728" s="4" t="n">
        <v>989.00</v>
      </c>
      <c r="D4728" s="4"/>
    </row>
    <row collapsed="" customFormat="false" customHeight="1" hidden="" ht="14" outlineLevel="0" r="4729">
      <c r="A4729" s="3" t="inlineStr">
        <is>
          <t>4698</t>
        </is>
      </c>
      <c r="B4729" s="4" t="s">
        <f>=HYPERLINK("http://anyluxury.ru/shop/odezhda/detskaya-odezhda/varezhki-heat-trick-siniy-melanzh-1287741/" , "12877.41 Варежки Heat Trick, синий меланж, размер L/XL")</f>
      </c>
      <c r="C4729" s="4" t="n">
        <v>989.00</v>
      </c>
      <c r="D4729" s="4"/>
    </row>
    <row collapsed="" customFormat="false" customHeight="1" hidden="" ht="14" outlineLevel="0" r="4730">
      <c r="A4730" s="3" t="inlineStr">
        <is>
          <t>4699</t>
        </is>
      </c>
      <c r="B4730" s="4" t="s">
        <f>=HYPERLINK("http://anyluxury.ru/shop/odezhda/detskaya-odezhda/varezhki-heat-trick-krasnie-1287750/" , "12877.50 Варежки Heat Trick, красные, размер S/M")</f>
      </c>
      <c r="C4730" s="4" t="n">
        <v>989.00</v>
      </c>
      <c r="D4730" s="4"/>
    </row>
    <row collapsed="" customFormat="false" customHeight="1" hidden="" ht="14" outlineLevel="0" r="4731">
      <c r="A4731" s="3" t="inlineStr">
        <is>
          <t>4700</t>
        </is>
      </c>
      <c r="B4731" s="4" t="s">
        <f>=HYPERLINK("http://anyluxury.ru/shop/odezhda/detskaya-odezhda/varezhki-heat-trick-krasnie-1287750/" , "12877.50 Варежки Heat Trick, красные, размер L/XL")</f>
      </c>
      <c r="C4731" s="4" t="n">
        <v>989.00</v>
      </c>
      <c r="D4731" s="4"/>
    </row>
    <row collapsed="" customFormat="false" customHeight="1" hidden="" ht="14" outlineLevel="0" r="4732">
      <c r="A4732" s="3" t="inlineStr">
        <is>
          <t>4701</t>
        </is>
      </c>
      <c r="B4732" s="4" t="s">
        <f>=HYPERLINK("http://anyluxury.ru/shop/odezhda/detskaya-odezhda/varezhki-heat-trick-molochnobelie-1287760/" , "12877.60 Варежки Heat Trick, молочно-белые, размер S/M")</f>
      </c>
      <c r="C4732" s="4" t="n">
        <v>989.00</v>
      </c>
      <c r="D4732" s="4"/>
    </row>
    <row collapsed="" customFormat="false" customHeight="1" hidden="" ht="14" outlineLevel="0" r="4733">
      <c r="A4733" s="3" t="inlineStr">
        <is>
          <t>4702</t>
        </is>
      </c>
      <c r="B4733" s="4" t="s">
        <f>=HYPERLINK("http://anyluxury.ru/shop/odezhda/detskaya-odezhda/varezhki-heat-trick-molochnobelie-1287760/" , "12877.60 Варежки Heat Trick, молочно-белые, размер L/XL")</f>
      </c>
      <c r="C4733" s="4" t="n">
        <v>989.00</v>
      </c>
      <c r="D4733" s="4"/>
    </row>
    <row collapsed="" customFormat="false" customHeight="1" hidden="" ht="14" outlineLevel="0" r="4734">
      <c r="A4734" s="3" t="inlineStr">
        <is>
          <t>4703</t>
        </is>
      </c>
      <c r="B4734" s="4" t="s">
        <f>=HYPERLINK("http://anyluxury.ru/shop/odezhda/detskaya-odezhda/varezhki-schastliviy-klever-7033555/" , "70335.55 Варежки «Счастливый клевер»")</f>
      </c>
      <c r="C4734" s="4" t="n">
        <v>568.00</v>
      </c>
      <c r="D4734" s="4"/>
    </row>
    <row collapsed="" customFormat="false" customHeight="1" hidden="" ht="14" outlineLevel="0" r="4735">
      <c r="A4735" s="3" t="inlineStr">
        <is>
          <t>4704</t>
        </is>
      </c>
      <c r="B4735" s="4" t="s">
        <f>=HYPERLINK("http://anyluxury.ru/shop/odezhda/detskaya-odezhda/hudi-kulonga-oversize-chernoe-1410130/" , "14101.30 Худи Kulonga Oversize, черное, размер ХS/ S")</f>
      </c>
      <c r="C4735" s="4" t="n">
        <v>3800.00</v>
      </c>
      <c r="D4735" s="4"/>
    </row>
    <row collapsed="" customFormat="false" customHeight="1" hidden="" ht="14" outlineLevel="0" r="4736">
      <c r="A4736" s="3" t="inlineStr">
        <is>
          <t>4705</t>
        </is>
      </c>
      <c r="B4736" s="4" t="s">
        <f>=HYPERLINK("http://anyluxury.ru/shop/odezhda/detskaya-odezhda/hudi-kulonga-oversize-chernoe-1410130/" , "14101.30 Худи Kulonga Oversize, черное, размер M/ L")</f>
      </c>
      <c r="C4736" s="4" t="n">
        <v>3800.00</v>
      </c>
      <c r="D4736" s="4"/>
    </row>
    <row collapsed="" customFormat="false" customHeight="1" hidden="" ht="14" outlineLevel="0" r="4737">
      <c r="A4737" s="3" t="inlineStr">
        <is>
          <t>4706</t>
        </is>
      </c>
      <c r="B4737" s="4" t="s">
        <f>=HYPERLINK("http://anyluxury.ru/shop/odezhda/detskaya-odezhda/hudi-kulonga-oversize-chernoe-1410130/" , "14101.30 Худи Kulonga Oversize, черное, размер ХL/ ХХL")</f>
      </c>
      <c r="C4737" s="4" t="n">
        <v>3800.00</v>
      </c>
      <c r="D4737" s="4"/>
    </row>
    <row collapsed="" customFormat="false" customHeight="1" hidden="" ht="14" outlineLevel="0" r="4738">
      <c r="A4738" s="3" t="inlineStr">
        <is>
          <t>4707</t>
        </is>
      </c>
      <c r="B4738" s="4" t="s">
        <f>=HYPERLINK("http://anyluxury.ru/shop/odezhda/detskaya-odezhda/hudi-kulonga-oversize-chernoe-1410130/" , "14101.30 Худи Kulonga Oversize, черное, размер 3XL/4XL")</f>
      </c>
      <c r="C4738" s="4" t="n">
        <v>3800.00</v>
      </c>
      <c r="D4738" s="4"/>
    </row>
    <row collapsed="" customFormat="false" customHeight="1" hidden="" ht="14" outlineLevel="0" r="4739">
      <c r="A4739" s="3" t="inlineStr">
        <is>
          <t>4708</t>
        </is>
      </c>
      <c r="B4739" s="4" t="s">
        <f>=HYPERLINK("http://anyluxury.ru/shop/odezhda/detskaya-odezhda/hudi-kulonga-oversize-molochnobeloe-1410160/" , "14101.60 Худи Kulonga Oversize, молочно-белое, размер ХS/ S")</f>
      </c>
      <c r="C4739" s="4" t="n">
        <v>3800.00</v>
      </c>
      <c r="D4739" s="4"/>
    </row>
    <row collapsed="" customFormat="false" customHeight="1" hidden="" ht="14" outlineLevel="0" r="4740">
      <c r="A4740" s="3" t="inlineStr">
        <is>
          <t>4709</t>
        </is>
      </c>
      <c r="B4740" s="4" t="s">
        <f>=HYPERLINK("http://anyluxury.ru/shop/odezhda/detskaya-odezhda/hudi-kulonga-oversize-molochnobeloe-1410160/" , "14101.60 Худи Kulonga Oversize, молочно-белое, размер M/ L")</f>
      </c>
      <c r="C4740" s="4" t="n">
        <v>3800.00</v>
      </c>
      <c r="D4740" s="4"/>
    </row>
    <row collapsed="" customFormat="false" customHeight="1" hidden="" ht="14" outlineLevel="0" r="4741">
      <c r="A4741" s="3" t="inlineStr">
        <is>
          <t>4710</t>
        </is>
      </c>
      <c r="B4741" s="4" t="s">
        <f>=HYPERLINK("http://anyluxury.ru/shop/odezhda/detskaya-odezhda/hudi-kulonga-oversize-molochnobeloe-1410160/" , "14101.60 Худи Kulonga Oversize, молочно-белое, размер ХL/ ХХL")</f>
      </c>
      <c r="C4741" s="4" t="n">
        <v>3800.00</v>
      </c>
      <c r="D4741" s="4"/>
    </row>
    <row collapsed="" customFormat="false" customHeight="1" hidden="" ht="14" outlineLevel="0" r="4742">
      <c r="A4742" s="3" t="inlineStr">
        <is>
          <t>4711</t>
        </is>
      </c>
      <c r="B4742" s="4" t="s">
        <f>=HYPERLINK("http://anyluxury.ru/shop/odezhda/detskaya-odezhda/hudi-kulonga-oversize-molochnobeloe-1410160/" , "14101.60 Худи Kulonga Oversize, молочно-белое, размер 3XL/4XL")</f>
      </c>
      <c r="C4742" s="4" t="n">
        <v>3800.00</v>
      </c>
      <c r="D4742" s="4"/>
    </row>
    <row collapsed="" customFormat="false" customHeight="1" hidden="" ht="14" outlineLevel="0" r="4743">
      <c r="A4743" s="3" t="inlineStr">
        <is>
          <t>4712</t>
        </is>
      </c>
      <c r="B4743" s="4" t="s">
        <f>=HYPERLINK("http://anyluxury.ru/shop/odezhda/detskaya-odezhda/svitshot-uniseks-space-cherniy-03567312/" , "03567312 Свитшот унисекс Space, черный, размер XXS")</f>
      </c>
      <c r="C4743" s="4" t="n">
        <v>2786.00</v>
      </c>
      <c r="D4743" s="4"/>
    </row>
    <row collapsed="" customFormat="false" customHeight="1" hidden="" ht="14" outlineLevel="0" r="4744">
      <c r="A4744" s="3" t="inlineStr">
        <is>
          <t>4713</t>
        </is>
      </c>
      <c r="B4744" s="4" t="s">
        <f>=HYPERLINK("http://anyluxury.ru/shop/odezhda/detskaya-odezhda/svitshot-uniseks-space-cherniy-03567312/" , "03567312 Свитшот унисекс Space, черный, размер XS")</f>
      </c>
      <c r="C4744" s="4" t="n">
        <v>2786.00</v>
      </c>
      <c r="D4744" s="4"/>
    </row>
    <row collapsed="" customFormat="false" customHeight="1" hidden="" ht="14" outlineLevel="0" r="4745">
      <c r="A4745" s="3" t="inlineStr">
        <is>
          <t>4714</t>
        </is>
      </c>
      <c r="B4745" s="4" t="s">
        <f>=HYPERLINK("http://anyluxury.ru/shop/odezhda/detskaya-odezhda/svitshot-uniseks-space-cherniy-03567312/" , "03567312 Свитшот унисекс Space, черный, размер S")</f>
      </c>
      <c r="C4745" s="4" t="n">
        <v>2786.00</v>
      </c>
      <c r="D4745" s="4"/>
    </row>
    <row collapsed="" customFormat="false" customHeight="1" hidden="" ht="14" outlineLevel="0" r="4746">
      <c r="A4746" s="3" t="inlineStr">
        <is>
          <t>4715</t>
        </is>
      </c>
      <c r="B4746" s="4" t="s">
        <f>=HYPERLINK("http://anyluxury.ru/shop/odezhda/detskaya-odezhda/svitshot-uniseks-space-cherniy-03567312/" , "03567312 Свитшот унисекс Space, черный, размер L")</f>
      </c>
      <c r="C4746" s="4" t="n">
        <v>2786.00</v>
      </c>
      <c r="D4746" s="4"/>
    </row>
    <row collapsed="" customFormat="false" customHeight="1" hidden="" ht="14" outlineLevel="0" r="4747">
      <c r="A4747" s="3" t="inlineStr">
        <is>
          <t>4716</t>
        </is>
      </c>
      <c r="B4747" s="4" t="s">
        <f>=HYPERLINK("http://anyluxury.ru/shop/odezhda/detskaya-odezhda/svitshot-uniseks-space-cherniy-03567312/" , "03567312 Свитшот унисекс Space, черный, размер XL")</f>
      </c>
      <c r="C4747" s="4" t="n">
        <v>2786.00</v>
      </c>
      <c r="D4747" s="4"/>
    </row>
    <row collapsed="" customFormat="false" customHeight="1" hidden="" ht="14" outlineLevel="0" r="4748">
      <c r="A4748" s="3" t="inlineStr">
        <is>
          <t>4717</t>
        </is>
      </c>
      <c r="B4748" s="4" t="s">
        <f>=HYPERLINK("http://anyluxury.ru/shop/odezhda/detskaya-odezhda/svitshot-uniseks-space-cherniy-03567312/" , "03567312 Свитшот унисекс Space, черный, размер XXL")</f>
      </c>
      <c r="C4748" s="4" t="n">
        <v>2786.00</v>
      </c>
      <c r="D4748" s="4"/>
    </row>
    <row collapsed="" customFormat="false" customHeight="1" hidden="" ht="14" outlineLevel="0" r="4749">
      <c r="A4749" s="3" t="inlineStr">
        <is>
          <t>4718</t>
        </is>
      </c>
      <c r="B4749" s="4" t="s">
        <f>=HYPERLINK("http://anyluxury.ru/shop/odezhda/detskaya-odezhda/svitshot-uniseks-space-cherniy-03567312/" , "03567312 Свитшот унисекс Space, черный, размер 3XL")</f>
      </c>
      <c r="C4749" s="4" t="n">
        <v>3119.00</v>
      </c>
      <c r="D4749" s="4"/>
    </row>
    <row collapsed="" customFormat="false" customHeight="1" hidden="" ht="14" outlineLevel="0" r="4750">
      <c r="A4750" s="3" t="inlineStr">
        <is>
          <t>4719</t>
        </is>
      </c>
      <c r="B4750" s="4" t="s">
        <f>=HYPERLINK("http://anyluxury.ru/shop/odezhda/detskaya-odezhda/svitshot-uniseks-space-siniy-03567205/" , "03567205 Свитшот унисекс Space, синий, размер XXs")</f>
      </c>
      <c r="C4750" s="4" t="n">
        <v>2786.00</v>
      </c>
      <c r="D4750" s="4"/>
    </row>
    <row collapsed="" customFormat="false" customHeight="1" hidden="" ht="14" outlineLevel="0" r="4751">
      <c r="A4751" s="3" t="inlineStr">
        <is>
          <t>4720</t>
        </is>
      </c>
      <c r="B4751" s="4" t="s">
        <f>=HYPERLINK("http://anyluxury.ru/shop/odezhda/detskaya-odezhda/svitshot-uniseks-space-siniy-03567205/" , "03567205 Свитшот унисекс Space, синий, размер XS")</f>
      </c>
      <c r="C4751" s="4" t="n">
        <v>2786.00</v>
      </c>
      <c r="D4751" s="4"/>
    </row>
    <row collapsed="" customFormat="false" customHeight="1" hidden="" ht="14" outlineLevel="0" r="4752">
      <c r="A4752" s="3" t="inlineStr">
        <is>
          <t>4721</t>
        </is>
      </c>
      <c r="B4752" s="4" t="s">
        <f>=HYPERLINK("http://anyluxury.ru/shop/odezhda/detskaya-odezhda/svitshot-uniseks-space-siniy-03567205/" , "03567205 Свитшот унисекс Space, синий, размер S")</f>
      </c>
      <c r="C4752" s="4" t="n">
        <v>2786.00</v>
      </c>
      <c r="D4752" s="4"/>
    </row>
    <row collapsed="" customFormat="false" customHeight="1" hidden="" ht="14" outlineLevel="0" r="4753">
      <c r="A4753" s="3" t="inlineStr">
        <is>
          <t>4722</t>
        </is>
      </c>
      <c r="B4753" s="4" t="s">
        <f>=HYPERLINK("http://anyluxury.ru/shop/odezhda/detskaya-odezhda/svitshot-uniseks-space-siniy-03567205/" , "03567205 Свитшот унисекс Space, синий, размер M")</f>
      </c>
      <c r="C4753" s="4" t="n">
        <v>2786.00</v>
      </c>
      <c r="D4753" s="4"/>
    </row>
    <row collapsed="" customFormat="false" customHeight="1" hidden="" ht="14" outlineLevel="0" r="4754">
      <c r="A4754" s="3" t="inlineStr">
        <is>
          <t>4723</t>
        </is>
      </c>
      <c r="B4754" s="4" t="s">
        <f>=HYPERLINK("http://anyluxury.ru/shop/odezhda/detskaya-odezhda/svitshot-uniseks-space-siniy-03567205/" , "03567205 Свитшот унисекс Space, синий, размер L")</f>
      </c>
      <c r="C4754" s="4" t="n">
        <v>2786.00</v>
      </c>
      <c r="D4754" s="4"/>
    </row>
    <row collapsed="" customFormat="false" customHeight="1" hidden="" ht="14" outlineLevel="0" r="4755">
      <c r="A4755" s="3" t="inlineStr">
        <is>
          <t>4724</t>
        </is>
      </c>
      <c r="B4755" s="4" t="s">
        <f>=HYPERLINK("http://anyluxury.ru/shop/odezhda/detskaya-odezhda/svitshot-uniseks-space-siniy-03567205/" , "03567205 Свитшот унисекс Space, синий, размер XL")</f>
      </c>
      <c r="C4755" s="4" t="n">
        <v>2786.00</v>
      </c>
      <c r="D4755" s="4"/>
    </row>
    <row collapsed="" customFormat="false" customHeight="1" hidden="" ht="14" outlineLevel="0" r="4756">
      <c r="A4756" s="3" t="inlineStr">
        <is>
          <t>4725</t>
        </is>
      </c>
      <c r="B4756" s="4" t="s">
        <f>=HYPERLINK("http://anyluxury.ru/shop/odezhda/detskaya-odezhda/svitshot-uniseks-space-siniy-03567205/" , "03567205 Свитшот унисекс Space, синий, размер XXL")</f>
      </c>
      <c r="C4756" s="4" t="n">
        <v>2786.00</v>
      </c>
      <c r="D4756" s="4"/>
    </row>
    <row collapsed="" customFormat="false" customHeight="1" hidden="" ht="14" outlineLevel="0" r="4757">
      <c r="A4757" s="3" t="inlineStr">
        <is>
          <t>4726</t>
        </is>
      </c>
      <c r="B4757" s="4" t="s">
        <f>=HYPERLINK("http://anyluxury.ru/shop/odezhda/detskaya-odezhda/svitshot-uniseks-space-siniy-03567205/" , "03567205 Свитшот унисекс Space, синий, размер 3XL")</f>
      </c>
      <c r="C4757" s="4" t="n">
        <v>3119.00</v>
      </c>
      <c r="D4757" s="4"/>
    </row>
    <row collapsed="" customFormat="false" customHeight="1" hidden="" ht="14" outlineLevel="0" r="4758">
      <c r="A4758" s="3" t="inlineStr">
        <is>
          <t>4727</t>
        </is>
      </c>
      <c r="B4758" s="4" t="s">
        <f>=HYPERLINK("http://anyluxury.ru/shop/odezhda/detskaya-odezhda/svitshot-uniseks-space-temnosiniy-03567319/" , "03567319 Свитшот унисекс Space, темно-синий, размер XXS")</f>
      </c>
      <c r="C4758" s="4" t="n">
        <v>2786.00</v>
      </c>
      <c r="D4758" s="4"/>
    </row>
    <row collapsed="" customFormat="false" customHeight="1" hidden="" ht="14" outlineLevel="0" r="4759">
      <c r="A4759" s="3" t="inlineStr">
        <is>
          <t>4728</t>
        </is>
      </c>
      <c r="B4759" s="4" t="s">
        <f>=HYPERLINK("http://anyluxury.ru/shop/odezhda/detskaya-odezhda/svitshot-uniseks-space-temnosiniy-03567319/" , "03567319 Свитшот унисекс Space, темно-синий, размер XS")</f>
      </c>
      <c r="C4759" s="4" t="n">
        <v>2786.00</v>
      </c>
      <c r="D4759" s="4"/>
    </row>
    <row collapsed="" customFormat="false" customHeight="1" hidden="" ht="14" outlineLevel="0" r="4760">
      <c r="A4760" s="3" t="inlineStr">
        <is>
          <t>4729</t>
        </is>
      </c>
      <c r="B4760" s="4" t="s">
        <f>=HYPERLINK("http://anyluxury.ru/shop/odezhda/detskaya-odezhda/svitshot-uniseks-space-temnosiniy-03567319/" , "03567319 Свитшот унисекс Space, темно-синий, размер S")</f>
      </c>
      <c r="C4760" s="4" t="n">
        <v>2786.00</v>
      </c>
      <c r="D4760" s="4"/>
    </row>
    <row collapsed="" customFormat="false" customHeight="1" hidden="" ht="14" outlineLevel="0" r="4761">
      <c r="A4761" s="3" t="inlineStr">
        <is>
          <t>4730</t>
        </is>
      </c>
      <c r="B4761" s="4" t="s">
        <f>=HYPERLINK("http://anyluxury.ru/shop/odezhda/detskaya-odezhda/svitshot-uniseks-space-temnosiniy-03567319/" , "03567319 Свитшот унисекс Space, темно-синий, размер XL")</f>
      </c>
      <c r="C4761" s="4" t="n">
        <v>2786.00</v>
      </c>
      <c r="D4761" s="4"/>
    </row>
    <row collapsed="" customFormat="false" customHeight="1" hidden="" ht="14" outlineLevel="0" r="4762">
      <c r="A4762" s="3" t="inlineStr">
        <is>
          <t>4731</t>
        </is>
      </c>
      <c r="B4762" s="4" t="s">
        <f>=HYPERLINK("http://anyluxury.ru/shop/odezhda/detskaya-odezhda/svitshot-uniseks-space-temnosiniy-03567319/" , "03567319 Свитшот унисекс Space, темно-синий, размер 3XL")</f>
      </c>
      <c r="C4762" s="4" t="n">
        <v>3119.00</v>
      </c>
      <c r="D4762" s="4"/>
    </row>
    <row collapsed="" customFormat="false" customHeight="1" hidden="" ht="14" outlineLevel="0" r="4763">
      <c r="A4763" s="3" t="inlineStr">
        <is>
          <t>4732</t>
        </is>
      </c>
      <c r="B4763" s="4" t="s">
        <f>=HYPERLINK("http://anyluxury.ru/shop/odezhda/detskaya-odezhda/svitshot-uniseks-space-beliy-03567102/" , "03567102 Свитшот унисекс Space, белый, размер XXS")</f>
      </c>
      <c r="C4763" s="4" t="n">
        <v>2786.00</v>
      </c>
      <c r="D4763" s="4"/>
    </row>
    <row collapsed="" customFormat="false" customHeight="1" hidden="" ht="14" outlineLevel="0" r="4764">
      <c r="A4764" s="3" t="inlineStr">
        <is>
          <t>4733</t>
        </is>
      </c>
      <c r="B4764" s="4" t="s">
        <f>=HYPERLINK("http://anyluxury.ru/shop/odezhda/detskaya-odezhda/svitshot-uniseks-space-beliy-03567102/" , "03567102 Свитшот унисекс Space, белый, размер XS")</f>
      </c>
      <c r="C4764" s="4" t="n">
        <v>2786.00</v>
      </c>
      <c r="D4764" s="4"/>
    </row>
    <row collapsed="" customFormat="false" customHeight="1" hidden="" ht="14" outlineLevel="0" r="4765">
      <c r="A4765" s="3" t="inlineStr">
        <is>
          <t>4734</t>
        </is>
      </c>
      <c r="B4765" s="4" t="s">
        <f>=HYPERLINK("http://anyluxury.ru/shop/odezhda/detskaya-odezhda/svitshot-uniseks-space-beliy-03567102/" , "03567102 Свитшот унисекс Space, белый, размер S")</f>
      </c>
      <c r="C4765" s="4" t="n">
        <v>2786.00</v>
      </c>
      <c r="D4765" s="4"/>
    </row>
    <row collapsed="" customFormat="false" customHeight="1" hidden="" ht="14" outlineLevel="0" r="4766">
      <c r="A4766" s="3" t="inlineStr">
        <is>
          <t>4735</t>
        </is>
      </c>
      <c r="B4766" s="4" t="s">
        <f>=HYPERLINK("http://anyluxury.ru/shop/odezhda/detskaya-odezhda/svitshot-uniseks-space-beliy-03567102/" , "03567102 Свитшот унисекс Space, белый, размер M")</f>
      </c>
      <c r="C4766" s="4" t="n">
        <v>2786.00</v>
      </c>
      <c r="D4766" s="4"/>
    </row>
    <row collapsed="" customFormat="false" customHeight="1" hidden="" ht="14" outlineLevel="0" r="4767">
      <c r="A4767" s="3" t="inlineStr">
        <is>
          <t>4736</t>
        </is>
      </c>
      <c r="B4767" s="4" t="s">
        <f>=HYPERLINK("http://anyluxury.ru/shop/odezhda/detskaya-odezhda/svitshot-uniseks-space-beliy-03567102/" , "03567102 Свитшот унисекс Space, белый, размер L")</f>
      </c>
      <c r="C4767" s="4" t="n">
        <v>2786.00</v>
      </c>
      <c r="D4767" s="4"/>
    </row>
    <row collapsed="" customFormat="false" customHeight="1" hidden="" ht="14" outlineLevel="0" r="4768">
      <c r="A4768" s="3" t="inlineStr">
        <is>
          <t>4737</t>
        </is>
      </c>
      <c r="B4768" s="4" t="s">
        <f>=HYPERLINK("http://anyluxury.ru/shop/odezhda/detskaya-odezhda/svitshot-uniseks-space-beliy-03567102/" , "03567102 Свитшот унисекс Space, белый, размер XL")</f>
      </c>
      <c r="C4768" s="4" t="n">
        <v>2786.00</v>
      </c>
      <c r="D4768" s="4"/>
    </row>
    <row collapsed="" customFormat="false" customHeight="1" hidden="" ht="14" outlineLevel="0" r="4769">
      <c r="A4769" s="3" t="inlineStr">
        <is>
          <t>4738</t>
        </is>
      </c>
      <c r="B4769" s="4" t="s">
        <f>=HYPERLINK("http://anyluxury.ru/shop/odezhda/detskaya-odezhda/svitshot-uniseks-space-beliy-03567102/" , "03567102 Свитшот унисекс Space, белый, размер XXL")</f>
      </c>
      <c r="C4769" s="4" t="n">
        <v>2786.00</v>
      </c>
      <c r="D4769" s="4"/>
    </row>
    <row collapsed="" customFormat="false" customHeight="1" hidden="" ht="14" outlineLevel="0" r="4770">
      <c r="A4770" s="3" t="inlineStr">
        <is>
          <t>4739</t>
        </is>
      </c>
      <c r="B4770" s="4" t="s">
        <f>=HYPERLINK("http://anyluxury.ru/shop/odezhda/detskaya-odezhda/svitshot-uniseks-space-beliy-03567102/" , "03567102 Свитшот унисекс Space, белый, размер 3XL")</f>
      </c>
      <c r="C4770" s="4" t="n">
        <v>3119.00</v>
      </c>
      <c r="D4770" s="4"/>
    </row>
    <row collapsed="" customFormat="false" customHeight="1" hidden="" ht="14" outlineLevel="0" r="4771">
      <c r="A4771" s="3" t="inlineStr">
        <is>
          <t>4740</t>
        </is>
      </c>
      <c r="B4771" s="4" t="s">
        <f>=HYPERLINK("http://anyluxury.ru/shop/odezhda/detskaya-odezhda/svitshot-uniseks-space-temnozeleniy-03567264/" , "03567264 Свитшот унисекс Space, темно-зеленый, размер XXS")</f>
      </c>
      <c r="C4771" s="4" t="n">
        <v>2786.00</v>
      </c>
      <c r="D4771" s="4"/>
    </row>
    <row collapsed="" customFormat="false" customHeight="1" hidden="" ht="14" outlineLevel="0" r="4772">
      <c r="A4772" s="3" t="inlineStr">
        <is>
          <t>4741</t>
        </is>
      </c>
      <c r="B4772" s="4" t="s">
        <f>=HYPERLINK("http://anyluxury.ru/shop/odezhda/detskaya-odezhda/svitshot-uniseks-space-temnozeleniy-03567264/" , "03567264 Свитшот унисекс Space, темно-зеленый, размер XS")</f>
      </c>
      <c r="C4772" s="4" t="n">
        <v>2786.00</v>
      </c>
      <c r="D4772" s="4"/>
    </row>
    <row collapsed="" customFormat="false" customHeight="1" hidden="" ht="14" outlineLevel="0" r="4773">
      <c r="A4773" s="3" t="inlineStr">
        <is>
          <t>4742</t>
        </is>
      </c>
      <c r="B4773" s="4" t="s">
        <f>=HYPERLINK("http://anyluxury.ru/shop/odezhda/detskaya-odezhda/svitshot-uniseks-space-temnozeleniy-03567264/" , "03567264 Свитшот унисекс Space, темно-зеленый, размер S")</f>
      </c>
      <c r="C4773" s="4" t="n">
        <v>2786.00</v>
      </c>
      <c r="D4773" s="4"/>
    </row>
    <row collapsed="" customFormat="false" customHeight="1" hidden="" ht="14" outlineLevel="0" r="4774">
      <c r="A4774" s="3" t="inlineStr">
        <is>
          <t>4743</t>
        </is>
      </c>
      <c r="B4774" s="4" t="s">
        <f>=HYPERLINK("http://anyluxury.ru/shop/odezhda/detskaya-odezhda/svitshot-uniseks-space-temnozeleniy-03567264/" , "03567264 Свитшот унисекс Space, темно-зеленый, размер M")</f>
      </c>
      <c r="C4774" s="4" t="n">
        <v>2786.00</v>
      </c>
      <c r="D4774" s="4"/>
    </row>
    <row collapsed="" customFormat="false" customHeight="1" hidden="" ht="14" outlineLevel="0" r="4775">
      <c r="A4775" s="3" t="inlineStr">
        <is>
          <t>4744</t>
        </is>
      </c>
      <c r="B4775" s="4" t="s">
        <f>=HYPERLINK("http://anyluxury.ru/shop/odezhda/detskaya-odezhda/svitshot-uniseks-space-temnozeleniy-03567264/" , "03567264 Свитшот унисекс Space, темно-зеленый, размер L")</f>
      </c>
      <c r="C4775" s="4" t="n">
        <v>2786.00</v>
      </c>
      <c r="D4775" s="4"/>
    </row>
    <row collapsed="" customFormat="false" customHeight="1" hidden="" ht="14" outlineLevel="0" r="4776">
      <c r="A4776" s="3" t="inlineStr">
        <is>
          <t>4745</t>
        </is>
      </c>
      <c r="B4776" s="4" t="s">
        <f>=HYPERLINK("http://anyluxury.ru/shop/odezhda/detskaya-odezhda/svitshot-uniseks-space-temnozeleniy-03567264/" , "03567264 Свитшот унисекс Space, темно-зеленый, размер XL")</f>
      </c>
      <c r="C4776" s="4" t="n">
        <v>2786.00</v>
      </c>
      <c r="D4776" s="4"/>
    </row>
    <row collapsed="" customFormat="false" customHeight="1" hidden="" ht="14" outlineLevel="0" r="4777">
      <c r="A4777" s="3" t="inlineStr">
        <is>
          <t>4746</t>
        </is>
      </c>
      <c r="B4777" s="4" t="s">
        <f>=HYPERLINK("http://anyluxury.ru/shop/odezhda/detskaya-odezhda/svitshot-uniseks-space-temnozeleniy-03567264/" , "03567264 Свитшот унисекс Space, темно-зеленый, размер XXL")</f>
      </c>
      <c r="C4777" s="4" t="n">
        <v>2786.00</v>
      </c>
      <c r="D4777" s="4"/>
    </row>
    <row collapsed="" customFormat="false" customHeight="1" hidden="" ht="14" outlineLevel="0" r="4778">
      <c r="A4778" s="3" t="inlineStr">
        <is>
          <t>4747</t>
        </is>
      </c>
      <c r="B4778" s="4" t="s">
        <f>=HYPERLINK("http://anyluxury.ru/shop/odezhda/detskaya-odezhda/svitshot-uniseks-space-temnozeleniy-03567264/" , "03567264 Свитшот унисекс Space, темно-зеленый, размер 3XL")</f>
      </c>
      <c r="C4778" s="4" t="n">
        <v>3119.00</v>
      </c>
      <c r="D4778" s="4"/>
    </row>
    <row collapsed="" customFormat="false" customHeight="1" hidden="" ht="14" outlineLevel="0" r="4779">
      <c r="A4779" s="3" t="inlineStr">
        <is>
          <t>4748</t>
        </is>
      </c>
      <c r="B4779" s="4" t="s">
        <f>=HYPERLINK("http://anyluxury.ru/shop/odezhda/detskaya-odezhda/svitshot-uniseks-space-bordoviy-03567146/" , "03567146 Свитшот унисекс Space, бордовый, размер XXS")</f>
      </c>
      <c r="C4779" s="4" t="n">
        <v>2786.00</v>
      </c>
      <c r="D4779" s="4"/>
    </row>
    <row collapsed="" customFormat="false" customHeight="1" hidden="" ht="14" outlineLevel="0" r="4780">
      <c r="A4780" s="3" t="inlineStr">
        <is>
          <t>4749</t>
        </is>
      </c>
      <c r="B4780" s="4" t="s">
        <f>=HYPERLINK("http://anyluxury.ru/shop/odezhda/detskaya-odezhda/svitshot-uniseks-space-bordoviy-03567146/" , "03567146 Свитшот унисекс Space, бордовый, размер XS")</f>
      </c>
      <c r="C4780" s="4" t="n">
        <v>2786.00</v>
      </c>
      <c r="D4780" s="4"/>
    </row>
    <row collapsed="" customFormat="false" customHeight="1" hidden="" ht="14" outlineLevel="0" r="4781">
      <c r="A4781" s="3" t="inlineStr">
        <is>
          <t>4750</t>
        </is>
      </c>
      <c r="B4781" s="4" t="s">
        <f>=HYPERLINK("http://anyluxury.ru/shop/odezhda/detskaya-odezhda/svitshot-uniseks-space-bordoviy-03567146/" , "03567146 Свитшот унисекс Space, бордовый, размер S")</f>
      </c>
      <c r="C4781" s="4" t="n">
        <v>2786.00</v>
      </c>
      <c r="D4781" s="4"/>
    </row>
    <row collapsed="" customFormat="false" customHeight="1" hidden="" ht="14" outlineLevel="0" r="4782">
      <c r="A4782" s="3" t="inlineStr">
        <is>
          <t>4751</t>
        </is>
      </c>
      <c r="B4782" s="4" t="s">
        <f>=HYPERLINK("http://anyluxury.ru/shop/odezhda/detskaya-odezhda/svitshot-uniseks-space-bordoviy-03567146/" , "03567146 Свитшот унисекс Space, бордовый, размер M")</f>
      </c>
      <c r="C4782" s="4" t="n">
        <v>2786.00</v>
      </c>
      <c r="D4782" s="4"/>
    </row>
    <row collapsed="" customFormat="false" customHeight="1" hidden="" ht="14" outlineLevel="0" r="4783">
      <c r="A4783" s="3" t="inlineStr">
        <is>
          <t>4752</t>
        </is>
      </c>
      <c r="B4783" s="4" t="s">
        <f>=HYPERLINK("http://anyluxury.ru/shop/odezhda/detskaya-odezhda/svitshot-uniseks-space-bordoviy-03567146/" , "03567146 Свитшот унисекс Space, бордовый, размер L")</f>
      </c>
      <c r="C4783" s="4" t="n">
        <v>2786.00</v>
      </c>
      <c r="D4783" s="4"/>
    </row>
    <row collapsed="" customFormat="false" customHeight="1" hidden="" ht="14" outlineLevel="0" r="4784">
      <c r="A4784" s="3" t="inlineStr">
        <is>
          <t>4753</t>
        </is>
      </c>
      <c r="B4784" s="4" t="s">
        <f>=HYPERLINK("http://anyluxury.ru/shop/odezhda/detskaya-odezhda/svitshot-uniseks-space-bordoviy-03567146/" , "03567146 Свитшот унисекс Space, бордовый, размер XL")</f>
      </c>
      <c r="C4784" s="4" t="n">
        <v>2786.00</v>
      </c>
      <c r="D4784" s="4"/>
    </row>
    <row collapsed="" customFormat="false" customHeight="1" hidden="" ht="14" outlineLevel="0" r="4785">
      <c r="A4785" s="3" t="inlineStr">
        <is>
          <t>4754</t>
        </is>
      </c>
      <c r="B4785" s="4" t="s">
        <f>=HYPERLINK("http://anyluxury.ru/shop/odezhda/detskaya-odezhda/svitshot-uniseks-space-bordoviy-03567146/" , "03567146 Свитшот унисекс Space, бордовый, размер XXL")</f>
      </c>
      <c r="C4785" s="4" t="n">
        <v>2786.00</v>
      </c>
      <c r="D4785" s="4"/>
    </row>
    <row collapsed="" customFormat="false" customHeight="1" hidden="" ht="14" outlineLevel="0" r="4786">
      <c r="A4786" s="3" t="inlineStr">
        <is>
          <t>4755</t>
        </is>
      </c>
      <c r="B4786" s="4" t="s">
        <f>=HYPERLINK("http://anyluxury.ru/shop/odezhda/detskaya-odezhda/svitshot-uniseks-space-bordoviy-03567146/" , "03567146 Свитшот унисекс Space, бордовый, размер 3XL")</f>
      </c>
      <c r="C4786" s="4" t="n">
        <v>3119.00</v>
      </c>
      <c r="D4786" s="4"/>
    </row>
    <row collapsed="" customFormat="false" customHeight="1" hidden="" ht="14" outlineLevel="0" r="4787">
      <c r="A4787" s="3" t="inlineStr">
        <is>
          <t>4756</t>
        </is>
      </c>
      <c r="B4787" s="4" t="s">
        <f>=HYPERLINK("http://anyluxury.ru/shop/odezhda/detskaya-odezhda/svitshot-uniseks-space-oranzheviy-03567403/" , "03567403 Свитшот унисекс Space, оранжевый, размер XXS")</f>
      </c>
      <c r="C4787" s="4" t="n">
        <v>2786.00</v>
      </c>
      <c r="D4787" s="4"/>
    </row>
    <row collapsed="" customFormat="false" customHeight="1" hidden="" ht="14" outlineLevel="0" r="4788">
      <c r="A4788" s="3" t="inlineStr">
        <is>
          <t>4757</t>
        </is>
      </c>
      <c r="B4788" s="4" t="s">
        <f>=HYPERLINK("http://anyluxury.ru/shop/odezhda/detskaya-odezhda/svitshot-uniseks-space-oranzheviy-03567403/" , "03567403 Свитшот унисекс Space, оранжевый, размер XS")</f>
      </c>
      <c r="C4788" s="4" t="n">
        <v>2786.00</v>
      </c>
      <c r="D4788" s="4"/>
    </row>
    <row collapsed="" customFormat="false" customHeight="1" hidden="" ht="14" outlineLevel="0" r="4789">
      <c r="A4789" s="3" t="inlineStr">
        <is>
          <t>4758</t>
        </is>
      </c>
      <c r="B4789" s="4" t="s">
        <f>=HYPERLINK("http://anyluxury.ru/shop/odezhda/detskaya-odezhda/svitshot-uniseks-space-oranzheviy-03567403/" , "03567403 Свитшот унисекс Space, оранжевый, размер S")</f>
      </c>
      <c r="C4789" s="4" t="n">
        <v>2786.00</v>
      </c>
      <c r="D4789" s="4"/>
    </row>
    <row collapsed="" customFormat="false" customHeight="1" hidden="" ht="14" outlineLevel="0" r="4790">
      <c r="A4790" s="3" t="inlineStr">
        <is>
          <t>4759</t>
        </is>
      </c>
      <c r="B4790" s="4" t="s">
        <f>=HYPERLINK("http://anyluxury.ru/shop/odezhda/detskaya-odezhda/svitshot-uniseks-space-oranzheviy-03567403/" , "03567403 Свитшот унисекс Space, оранжевый, размер M")</f>
      </c>
      <c r="C4790" s="4" t="n">
        <v>2786.00</v>
      </c>
      <c r="D4790" s="4"/>
    </row>
    <row collapsed="" customFormat="false" customHeight="1" hidden="" ht="14" outlineLevel="0" r="4791">
      <c r="A4791" s="3" t="inlineStr">
        <is>
          <t>4760</t>
        </is>
      </c>
      <c r="B4791" s="4" t="s">
        <f>=HYPERLINK("http://anyluxury.ru/shop/odezhda/detskaya-odezhda/svitshot-uniseks-space-oranzheviy-03567403/" , "03567403 Свитшот унисекс Space, оранжевый, размер L")</f>
      </c>
      <c r="C4791" s="4" t="n">
        <v>2786.00</v>
      </c>
      <c r="D4791" s="4"/>
    </row>
    <row collapsed="" customFormat="false" customHeight="1" hidden="" ht="14" outlineLevel="0" r="4792">
      <c r="A4792" s="3" t="inlineStr">
        <is>
          <t>4761</t>
        </is>
      </c>
      <c r="B4792" s="4" t="s">
        <f>=HYPERLINK("http://anyluxury.ru/shop/odezhda/detskaya-odezhda/svitshot-uniseks-space-oranzheviy-03567403/" , "03567403 Свитшот унисекс Space, оранжевый, размер XL")</f>
      </c>
      <c r="C4792" s="4" t="n">
        <v>2786.00</v>
      </c>
      <c r="D4792" s="4"/>
    </row>
    <row collapsed="" customFormat="false" customHeight="1" hidden="" ht="14" outlineLevel="0" r="4793">
      <c r="A4793" s="3" t="inlineStr">
        <is>
          <t>4762</t>
        </is>
      </c>
      <c r="B4793" s="4" t="s">
        <f>=HYPERLINK("http://anyluxury.ru/shop/odezhda/detskaya-odezhda/svitshot-uniseks-space-oranzheviy-03567403/" , "03567403 Свитшот унисекс Space, оранжевый, размер XXL")</f>
      </c>
      <c r="C4793" s="4" t="n">
        <v>2786.00</v>
      </c>
      <c r="D4793" s="4"/>
    </row>
    <row collapsed="" customFormat="false" customHeight="1" hidden="" ht="14" outlineLevel="0" r="4794">
      <c r="A4794" s="3" t="inlineStr">
        <is>
          <t>4763</t>
        </is>
      </c>
      <c r="B4794" s="4" t="s">
        <f>=HYPERLINK("http://anyluxury.ru/shop/odezhda/detskaya-odezhda/svitshot-uniseks-space-oranzheviy-03567403/" , "03567403 Свитшот унисекс Space, оранжевый, размер 3XL")</f>
      </c>
      <c r="C4794" s="4" t="n">
        <v>3119.00</v>
      </c>
      <c r="D4794" s="4"/>
    </row>
    <row collapsed="" customFormat="false" customHeight="1" hidden="" ht="14" outlineLevel="0" r="4795">
      <c r="A4795" s="3" t="inlineStr">
        <is>
          <t>4764</t>
        </is>
      </c>
      <c r="B4795" s="4" t="s">
        <f>=HYPERLINK("http://anyluxury.ru/shop/odezhda/detskaya-odezhda/svitshot-uniseks-space-cherniy-melanzh-03567348/" , "03567348 Свитшот унисекс Space, черный меланж, размер XXS")</f>
      </c>
      <c r="C4795" s="4" t="n">
        <v>2786.00</v>
      </c>
      <c r="D4795" s="4"/>
    </row>
    <row collapsed="" customFormat="false" customHeight="1" hidden="" ht="14" outlineLevel="0" r="4796">
      <c r="A4796" s="3" t="inlineStr">
        <is>
          <t>4765</t>
        </is>
      </c>
      <c r="B4796" s="4" t="s">
        <f>=HYPERLINK("http://anyluxury.ru/shop/odezhda/detskaya-odezhda/svitshot-uniseks-space-cherniy-melanzh-03567348/" , "03567348 Свитшот унисекс Space, черный меланж, размер XS")</f>
      </c>
      <c r="C4796" s="4" t="n">
        <v>2786.00</v>
      </c>
      <c r="D4796" s="4"/>
    </row>
    <row collapsed="" customFormat="false" customHeight="1" hidden="" ht="14" outlineLevel="0" r="4797">
      <c r="A4797" s="3" t="inlineStr">
        <is>
          <t>4766</t>
        </is>
      </c>
      <c r="B4797" s="4" t="s">
        <f>=HYPERLINK("http://anyluxury.ru/shop/odezhda/detskaya-odezhda/svitshot-uniseks-space-cherniy-melanzh-03567348/" , "03567348 Свитшот унисекс Space, черный меланж, размер S")</f>
      </c>
      <c r="C4797" s="4" t="n">
        <v>2786.00</v>
      </c>
      <c r="D4797" s="4"/>
    </row>
    <row collapsed="" customFormat="false" customHeight="1" hidden="" ht="14" outlineLevel="0" r="4798">
      <c r="A4798" s="3" t="inlineStr">
        <is>
          <t>4767</t>
        </is>
      </c>
      <c r="B4798" s="4" t="s">
        <f>=HYPERLINK("http://anyluxury.ru/shop/odezhda/detskaya-odezhda/svitshot-uniseks-space-cherniy-melanzh-03567348/" , "03567348 Свитшот унисекс Space, черный меланж, размер M")</f>
      </c>
      <c r="C4798" s="4" t="n">
        <v>2786.00</v>
      </c>
      <c r="D4798" s="4"/>
    </row>
    <row collapsed="" customFormat="false" customHeight="1" hidden="" ht="14" outlineLevel="0" r="4799">
      <c r="A4799" s="3" t="inlineStr">
        <is>
          <t>4768</t>
        </is>
      </c>
      <c r="B4799" s="4" t="s">
        <f>=HYPERLINK("http://anyluxury.ru/shop/odezhda/detskaya-odezhda/svitshot-uniseks-space-cherniy-melanzh-03567348/" , "03567348 Свитшот унисекс Space, черный меланж, размер L")</f>
      </c>
      <c r="C4799" s="4" t="n">
        <v>2786.00</v>
      </c>
      <c r="D4799" s="4"/>
    </row>
    <row collapsed="" customFormat="false" customHeight="1" hidden="" ht="14" outlineLevel="0" r="4800">
      <c r="A4800" s="3" t="inlineStr">
        <is>
          <t>4769</t>
        </is>
      </c>
      <c r="B4800" s="4" t="s">
        <f>=HYPERLINK("http://anyluxury.ru/shop/odezhda/detskaya-odezhda/svitshot-uniseks-space-cherniy-melanzh-03567348/" , "03567348 Свитшот унисекс Space, черный меланж, размер XL")</f>
      </c>
      <c r="C4800" s="4" t="n">
        <v>2786.00</v>
      </c>
      <c r="D4800" s="4"/>
    </row>
    <row collapsed="" customFormat="false" customHeight="1" hidden="" ht="14" outlineLevel="0" r="4801">
      <c r="A4801" s="3" t="inlineStr">
        <is>
          <t>4770</t>
        </is>
      </c>
      <c r="B4801" s="4" t="s">
        <f>=HYPERLINK("http://anyluxury.ru/shop/odezhda/detskaya-odezhda/svitshot-uniseks-space-cherniy-melanzh-03567348/" , "03567348 Свитшот унисекс Space, черный меланж, размер XXL")</f>
      </c>
      <c r="C4801" s="4" t="n">
        <v>2786.00</v>
      </c>
      <c r="D4801" s="4"/>
    </row>
    <row collapsed="" customFormat="false" customHeight="1" hidden="" ht="14" outlineLevel="0" r="4802">
      <c r="A4802" s="3" t="inlineStr">
        <is>
          <t>4771</t>
        </is>
      </c>
      <c r="B4802" s="4" t="s">
        <f>=HYPERLINK("http://anyluxury.ru/shop/odezhda/detskaya-odezhda/svitshot-uniseks-space-cherniy-melanzh-03567348/" , "03567348 Свитшот унисекс Space, черный меланж, размер 3XL")</f>
      </c>
      <c r="C4802" s="4" t="n">
        <v>3119.00</v>
      </c>
      <c r="D4802" s="4"/>
    </row>
    <row collapsed="" customFormat="false" customHeight="1" hidden="" ht="14" outlineLevel="0" r="4803">
      <c r="A4803" s="3" t="inlineStr">
        <is>
          <t>4772</t>
        </is>
      </c>
      <c r="B4803" s="4" t="s">
        <f>=HYPERLINK("http://anyluxury.ru/shop/odezhda/detskaya-odezhda/svitshot-uniseks-space-seriy-melanzh-03567360/" , "03567360 Свитшот унисекс Space, серый меланж, размер XXS")</f>
      </c>
      <c r="C4803" s="4" t="n">
        <v>2786.00</v>
      </c>
      <c r="D4803" s="4"/>
    </row>
    <row collapsed="" customFormat="false" customHeight="1" hidden="" ht="14" outlineLevel="0" r="4804">
      <c r="A4804" s="3" t="inlineStr">
        <is>
          <t>4773</t>
        </is>
      </c>
      <c r="B4804" s="4" t="s">
        <f>=HYPERLINK("http://anyluxury.ru/shop/odezhda/detskaya-odezhda/svitshot-uniseks-space-seriy-melanzh-03567360/" , "03567360 Свитшот унисекс Space, серый меланж, размер XS")</f>
      </c>
      <c r="C4804" s="4" t="n">
        <v>2786.00</v>
      </c>
      <c r="D4804" s="4"/>
    </row>
    <row collapsed="" customFormat="false" customHeight="1" hidden="" ht="14" outlineLevel="0" r="4805">
      <c r="A4805" s="3" t="inlineStr">
        <is>
          <t>4774</t>
        </is>
      </c>
      <c r="B4805" s="4" t="s">
        <f>=HYPERLINK("http://anyluxury.ru/shop/odezhda/detskaya-odezhda/svitshot-uniseks-space-seriy-melanzh-03567360/" , "03567360 Свитшот унисекс Space, серый меланж, размер S")</f>
      </c>
      <c r="C4805" s="4" t="n">
        <v>2786.00</v>
      </c>
      <c r="D4805" s="4"/>
    </row>
    <row collapsed="" customFormat="false" customHeight="1" hidden="" ht="14" outlineLevel="0" r="4806">
      <c r="A4806" s="3" t="inlineStr">
        <is>
          <t>4775</t>
        </is>
      </c>
      <c r="B4806" s="4" t="s">
        <f>=HYPERLINK("http://anyluxury.ru/shop/odezhda/detskaya-odezhda/svitshot-uniseks-space-seriy-melanzh-03567360/" , "03567360 Свитшот унисекс Space, серый меланж, размер M")</f>
      </c>
      <c r="C4806" s="4" t="n">
        <v>2786.00</v>
      </c>
      <c r="D4806" s="4"/>
    </row>
    <row collapsed="" customFormat="false" customHeight="1" hidden="" ht="14" outlineLevel="0" r="4807">
      <c r="A4807" s="3" t="inlineStr">
        <is>
          <t>4776</t>
        </is>
      </c>
      <c r="B4807" s="4" t="s">
        <f>=HYPERLINK("http://anyluxury.ru/shop/odezhda/detskaya-odezhda/svitshot-uniseks-space-seriy-melanzh-03567360/" , "03567360 Свитшот унисекс Space, серый меланж, размер L")</f>
      </c>
      <c r="C4807" s="4" t="n">
        <v>2786.00</v>
      </c>
      <c r="D4807" s="4"/>
    </row>
    <row collapsed="" customFormat="false" customHeight="1" hidden="" ht="14" outlineLevel="0" r="4808">
      <c r="A4808" s="3" t="inlineStr">
        <is>
          <t>4777</t>
        </is>
      </c>
      <c r="B4808" s="4" t="s">
        <f>=HYPERLINK("http://anyluxury.ru/shop/odezhda/detskaya-odezhda/svitshot-uniseks-space-seriy-melanzh-03567360/" , "03567360 Свитшот унисекс Space, серый меланж, размер XL")</f>
      </c>
      <c r="C4808" s="4" t="n">
        <v>2786.00</v>
      </c>
      <c r="D4808" s="4"/>
    </row>
    <row collapsed="" customFormat="false" customHeight="1" hidden="" ht="14" outlineLevel="0" r="4809">
      <c r="A4809" s="3" t="inlineStr">
        <is>
          <t>4778</t>
        </is>
      </c>
      <c r="B4809" s="4" t="s">
        <f>=HYPERLINK("http://anyluxury.ru/shop/odezhda/detskaya-odezhda/svitshot-uniseks-space-seriy-melanzh-03567360/" , "03567360 Свитшот унисекс Space, серый меланж, размер XXL")</f>
      </c>
      <c r="C4809" s="4" t="n">
        <v>2786.00</v>
      </c>
      <c r="D4809" s="4"/>
    </row>
    <row collapsed="" customFormat="false" customHeight="1" hidden="" ht="14" outlineLevel="0" r="4810">
      <c r="A4810" s="3" t="inlineStr">
        <is>
          <t>4779</t>
        </is>
      </c>
      <c r="B4810" s="4" t="s">
        <f>=HYPERLINK("http://anyluxury.ru/shop/odezhda/detskaya-odezhda/svitshot-uniseks-space-seriy-melanzh-03567360/" , "03567360 Свитшот унисекс Space, серый меланж, размер 3XL")</f>
      </c>
      <c r="C4810" s="4" t="n">
        <v>3119.00</v>
      </c>
      <c r="D4810" s="4"/>
    </row>
    <row collapsed="" customFormat="false" customHeight="1" hidden="" ht="14" outlineLevel="0" r="4811">
      <c r="A4811" s="3" t="inlineStr">
        <is>
          <t>4780</t>
        </is>
      </c>
      <c r="B4811" s="4" t="s">
        <f>=HYPERLINK("http://anyluxury.ru/shop/odezhda/detskaya-odezhda/svitshot-uniseks-space-haki-03567268/" , "03567268 Свитшот унисекс Space, хаки, размер XXS")</f>
      </c>
      <c r="C4811" s="4" t="n">
        <v>2786.00</v>
      </c>
      <c r="D4811" s="4"/>
    </row>
    <row collapsed="" customFormat="false" customHeight="1" hidden="" ht="14" outlineLevel="0" r="4812">
      <c r="A4812" s="3" t="inlineStr">
        <is>
          <t>4781</t>
        </is>
      </c>
      <c r="B4812" s="4" t="s">
        <f>=HYPERLINK("http://anyluxury.ru/shop/odezhda/detskaya-odezhda/svitshot-uniseks-space-haki-03567268/" , "03567268 Свитшот унисекс Space, хаки, размер XS")</f>
      </c>
      <c r="C4812" s="4" t="n">
        <v>2786.00</v>
      </c>
      <c r="D4812" s="4"/>
    </row>
    <row collapsed="" customFormat="false" customHeight="1" hidden="" ht="14" outlineLevel="0" r="4813">
      <c r="A4813" s="3" t="inlineStr">
        <is>
          <t>4782</t>
        </is>
      </c>
      <c r="B4813" s="4" t="s">
        <f>=HYPERLINK("http://anyluxury.ru/shop/odezhda/detskaya-odezhda/svitshot-uniseks-space-haki-03567268/" , "03567268 Свитшот унисекс Space, хаки, размер S")</f>
      </c>
      <c r="C4813" s="4" t="n">
        <v>2786.00</v>
      </c>
      <c r="D4813" s="4"/>
    </row>
    <row collapsed="" customFormat="false" customHeight="1" hidden="" ht="14" outlineLevel="0" r="4814">
      <c r="A4814" s="3" t="inlineStr">
        <is>
          <t>4783</t>
        </is>
      </c>
      <c r="B4814" s="4" t="s">
        <f>=HYPERLINK("http://anyluxury.ru/shop/odezhda/detskaya-odezhda/svitshot-uniseks-space-haki-03567268/" , "03567268 Свитшот унисекс Space, хаки, размер M")</f>
      </c>
      <c r="C4814" s="4" t="n">
        <v>2786.00</v>
      </c>
      <c r="D4814" s="4"/>
    </row>
    <row collapsed="" customFormat="false" customHeight="1" hidden="" ht="14" outlineLevel="0" r="4815">
      <c r="A4815" s="3" t="inlineStr">
        <is>
          <t>4784</t>
        </is>
      </c>
      <c r="B4815" s="4" t="s">
        <f>=HYPERLINK("http://anyluxury.ru/shop/odezhda/detskaya-odezhda/svitshot-uniseks-space-haki-03567268/" , "03567268 Свитшот унисекс Space, хаки, размер L")</f>
      </c>
      <c r="C4815" s="4" t="n">
        <v>2786.00</v>
      </c>
      <c r="D4815" s="4"/>
    </row>
    <row collapsed="" customFormat="false" customHeight="1" hidden="" ht="14" outlineLevel="0" r="4816">
      <c r="A4816" s="3" t="inlineStr">
        <is>
          <t>4785</t>
        </is>
      </c>
      <c r="B4816" s="4" t="s">
        <f>=HYPERLINK("http://anyluxury.ru/shop/odezhda/detskaya-odezhda/svitshot-uniseks-space-haki-03567268/" , "03567268 Свитшот унисекс Space, хаки, размер XL")</f>
      </c>
      <c r="C4816" s="4" t="n">
        <v>2786.00</v>
      </c>
      <c r="D4816" s="4"/>
    </row>
    <row collapsed="" customFormat="false" customHeight="1" hidden="" ht="14" outlineLevel="0" r="4817">
      <c r="A4817" s="3" t="inlineStr">
        <is>
          <t>4786</t>
        </is>
      </c>
      <c r="B4817" s="4" t="s">
        <f>=HYPERLINK("http://anyluxury.ru/shop/odezhda/detskaya-odezhda/svitshot-uniseks-space-haki-03567268/" , "03567268 Свитшот унисекс Space, хаки, размер XXL")</f>
      </c>
      <c r="C4817" s="4" t="n">
        <v>2786.00</v>
      </c>
      <c r="D4817" s="4"/>
    </row>
    <row collapsed="" customFormat="false" customHeight="1" hidden="" ht="14" outlineLevel="0" r="4818">
      <c r="A4818" s="3" t="inlineStr">
        <is>
          <t>4787</t>
        </is>
      </c>
      <c r="B4818" s="4" t="s">
        <f>=HYPERLINK("http://anyluxury.ru/shop/odezhda/detskaya-odezhda/svitshot-uniseks-space-haki-03567268/" , "03567268 Свитшот унисекс Space, хаки, размер 3XL")</f>
      </c>
      <c r="C4818" s="4" t="n">
        <v>3119.00</v>
      </c>
      <c r="D4818" s="4"/>
    </row>
    <row collapsed="" customFormat="false" customHeight="1" hidden="" ht="14" outlineLevel="0" r="4819">
      <c r="A4819" s="3" t="inlineStr">
        <is>
          <t>4788</t>
        </is>
      </c>
      <c r="B4819" s="4" t="s">
        <f>=HYPERLINK("http://anyluxury.ru/shop/odezhda/detskaya-odezhda/svitshot-uniseks-space-rozoviy-03567141/" , "03567141 Свитшот унисекс Space, розовый, размер XXS")</f>
      </c>
      <c r="C4819" s="4" t="n">
        <v>2786.00</v>
      </c>
      <c r="D4819" s="4"/>
    </row>
    <row collapsed="" customFormat="false" customHeight="1" hidden="" ht="14" outlineLevel="0" r="4820">
      <c r="A4820" s="3" t="inlineStr">
        <is>
          <t>4789</t>
        </is>
      </c>
      <c r="B4820" s="4" t="s">
        <f>=HYPERLINK("http://anyluxury.ru/shop/odezhda/detskaya-odezhda/svitshot-uniseks-space-rozoviy-03567141/" , "03567141 Свитшот унисекс Space, розовый, размер XS")</f>
      </c>
      <c r="C4820" s="4" t="n">
        <v>2786.00</v>
      </c>
      <c r="D4820" s="4"/>
    </row>
    <row collapsed="" customFormat="false" customHeight="1" hidden="" ht="14" outlineLevel="0" r="4821">
      <c r="A4821" s="3" t="inlineStr">
        <is>
          <t>4790</t>
        </is>
      </c>
      <c r="B4821" s="4" t="s">
        <f>=HYPERLINK("http://anyluxury.ru/shop/odezhda/detskaya-odezhda/svitshot-uniseks-space-rozoviy-03567141/" , "03567141 Свитшот унисекс Space, розовый, размер S")</f>
      </c>
      <c r="C4821" s="4" t="n">
        <v>2786.00</v>
      </c>
      <c r="D4821" s="4"/>
    </row>
    <row collapsed="" customFormat="false" customHeight="1" hidden="" ht="14" outlineLevel="0" r="4822">
      <c r="A4822" s="3" t="inlineStr">
        <is>
          <t>4791</t>
        </is>
      </c>
      <c r="B4822" s="4" t="s">
        <f>=HYPERLINK("http://anyluxury.ru/shop/odezhda/detskaya-odezhda/svitshot-uniseks-space-rozoviy-03567141/" , "03567141 Свитшот унисекс Space, розовый, размер M")</f>
      </c>
      <c r="C4822" s="4" t="n">
        <v>2786.00</v>
      </c>
      <c r="D4822" s="4"/>
    </row>
    <row collapsed="" customFormat="false" customHeight="1" hidden="" ht="14" outlineLevel="0" r="4823">
      <c r="A4823" s="3" t="inlineStr">
        <is>
          <t>4792</t>
        </is>
      </c>
      <c r="B4823" s="4" t="s">
        <f>=HYPERLINK("http://anyluxury.ru/shop/odezhda/detskaya-odezhda/svitshot-uniseks-space-rozoviy-03567141/" , "03567141 Свитшот унисекс Space, розовый, размер L")</f>
      </c>
      <c r="C4823" s="4" t="n">
        <v>2786.00</v>
      </c>
      <c r="D4823" s="4"/>
    </row>
    <row collapsed="" customFormat="false" customHeight="1" hidden="" ht="14" outlineLevel="0" r="4824">
      <c r="A4824" s="3" t="inlineStr">
        <is>
          <t>4793</t>
        </is>
      </c>
      <c r="B4824" s="4" t="s">
        <f>=HYPERLINK("http://anyluxury.ru/shop/odezhda/detskaya-odezhda/svitshot-uniseks-space-rozoviy-03567141/" , "03567141 Свитшот унисекс Space, розовый, размер XL")</f>
      </c>
      <c r="C4824" s="4" t="n">
        <v>2786.00</v>
      </c>
      <c r="D4824" s="4"/>
    </row>
    <row collapsed="" customFormat="false" customHeight="1" hidden="" ht="14" outlineLevel="0" r="4825">
      <c r="A4825" s="3" t="inlineStr">
        <is>
          <t>4794</t>
        </is>
      </c>
      <c r="B4825" s="4" t="s">
        <f>=HYPERLINK("http://anyluxury.ru/shop/odezhda/detskaya-odezhda/svitshot-uniseks-space-rozoviy-03567141/" , "03567141 Свитшот унисекс Space, розовый, размер XXL")</f>
      </c>
      <c r="C4825" s="4" t="n">
        <v>2786.00</v>
      </c>
      <c r="D4825" s="4"/>
    </row>
    <row collapsed="" customFormat="false" customHeight="1" hidden="" ht="14" outlineLevel="0" r="4826">
      <c r="A4826" s="3" t="inlineStr">
        <is>
          <t>4795</t>
        </is>
      </c>
      <c r="B4826" s="4" t="s">
        <f>=HYPERLINK("http://anyluxury.ru/shop/odezhda/detskaya-odezhda/svitshot-uniseks-space-rozoviy-03567141/" , "03567141 Свитшот унисекс Space, розовый, размер 3XL")</f>
      </c>
      <c r="C4826" s="4" t="n">
        <v>3119.00</v>
      </c>
      <c r="D4826" s="4"/>
    </row>
    <row collapsed="" customFormat="false" customHeight="1" hidden="" ht="14" outlineLevel="0" r="4827">
      <c r="A4827" s="3" t="inlineStr">
        <is>
          <t>4796</t>
        </is>
      </c>
      <c r="B4827" s="4" t="s">
        <f>=HYPERLINK("http://anyluxury.ru/shop/odezhda/detskaya-odezhda/svitshot-uniseks-space-krasniy-03567145/" , "03567145 Свитшот унисекс Space, красный, размер XXS")</f>
      </c>
      <c r="C4827" s="4" t="n">
        <v>2786.00</v>
      </c>
      <c r="D4827" s="4"/>
    </row>
    <row collapsed="" customFormat="false" customHeight="1" hidden="" ht="14" outlineLevel="0" r="4828">
      <c r="A4828" s="3" t="inlineStr">
        <is>
          <t>4797</t>
        </is>
      </c>
      <c r="B4828" s="4" t="s">
        <f>=HYPERLINK("http://anyluxury.ru/shop/odezhda/detskaya-odezhda/svitshot-uniseks-space-krasniy-03567145/" , "03567145 Свитшот унисекс Space, красный, размер XS")</f>
      </c>
      <c r="C4828" s="4" t="n">
        <v>2786.00</v>
      </c>
      <c r="D4828" s="4"/>
    </row>
    <row collapsed="" customFormat="false" customHeight="1" hidden="" ht="14" outlineLevel="0" r="4829">
      <c r="A4829" s="3" t="inlineStr">
        <is>
          <t>4798</t>
        </is>
      </c>
      <c r="B4829" s="4" t="s">
        <f>=HYPERLINK("http://anyluxury.ru/shop/odezhda/detskaya-odezhda/svitshot-uniseks-space-krasniy-03567145/" , "03567145 Свитшот унисекс Space, красный, размер S")</f>
      </c>
      <c r="C4829" s="4" t="n">
        <v>2786.00</v>
      </c>
      <c r="D4829" s="4"/>
    </row>
    <row collapsed="" customFormat="false" customHeight="1" hidden="" ht="14" outlineLevel="0" r="4830">
      <c r="A4830" s="3" t="inlineStr">
        <is>
          <t>4799</t>
        </is>
      </c>
      <c r="B4830" s="4" t="s">
        <f>=HYPERLINK("http://anyluxury.ru/shop/odezhda/detskaya-odezhda/svitshot-uniseks-space-krasniy-03567145/" , "03567145 Свитшот унисекс Space, красный, размер M")</f>
      </c>
      <c r="C4830" s="4" t="n">
        <v>2786.00</v>
      </c>
      <c r="D4830" s="4"/>
    </row>
    <row collapsed="" customFormat="false" customHeight="1" hidden="" ht="14" outlineLevel="0" r="4831">
      <c r="A4831" s="3" t="inlineStr">
        <is>
          <t>4800</t>
        </is>
      </c>
      <c r="B4831" s="4" t="s">
        <f>=HYPERLINK("http://anyluxury.ru/shop/odezhda/detskaya-odezhda/svitshot-uniseks-space-krasniy-03567145/" , "03567145 Свитшот унисекс Space, красный, размер L")</f>
      </c>
      <c r="C4831" s="4" t="n">
        <v>2786.00</v>
      </c>
      <c r="D4831" s="4"/>
    </row>
    <row collapsed="" customFormat="false" customHeight="1" hidden="" ht="14" outlineLevel="0" r="4832">
      <c r="A4832" s="3" t="inlineStr">
        <is>
          <t>4801</t>
        </is>
      </c>
      <c r="B4832" s="4" t="s">
        <f>=HYPERLINK("http://anyluxury.ru/shop/odezhda/detskaya-odezhda/svitshot-uniseks-space-krasniy-03567145/" , "03567145 Свитшот унисекс Space, красный, размер XL")</f>
      </c>
      <c r="C4832" s="4" t="n">
        <v>2786.00</v>
      </c>
      <c r="D4832" s="4"/>
    </row>
    <row collapsed="" customFormat="false" customHeight="1" hidden="" ht="14" outlineLevel="0" r="4833">
      <c r="A4833" s="3" t="inlineStr">
        <is>
          <t>4802</t>
        </is>
      </c>
      <c r="B4833" s="4" t="s">
        <f>=HYPERLINK("http://anyluxury.ru/shop/odezhda/detskaya-odezhda/svitshot-uniseks-space-krasniy-03567145/" , "03567145 Свитшот унисекс Space, красный, размер XXL")</f>
      </c>
      <c r="C4833" s="4" t="n">
        <v>2786.00</v>
      </c>
      <c r="D4833" s="4"/>
    </row>
    <row collapsed="" customFormat="false" customHeight="1" hidden="" ht="14" outlineLevel="0" r="4834">
      <c r="A4834" s="3" t="inlineStr">
        <is>
          <t>4803</t>
        </is>
      </c>
      <c r="B4834" s="4" t="s">
        <f>=HYPERLINK("http://anyluxury.ru/shop/odezhda/detskaya-odezhda/svitshot-uniseks-space-krasniy-03567145/" , "03567145 Свитшот унисекс Space, красный, размер 3XL")</f>
      </c>
      <c r="C4834" s="4" t="n">
        <v>3119.00</v>
      </c>
      <c r="D4834" s="4"/>
    </row>
    <row collapsed="" customFormat="false" customHeight="1" hidden="" ht="14" outlineLevel="0" r="4835">
      <c r="A4835" s="3" t="inlineStr">
        <is>
          <t>4804</t>
        </is>
      </c>
      <c r="B4835" s="4" t="s">
        <f>=HYPERLINK("http://anyluxury.ru/shop/odezhda/detskaya-odezhda/tolstovka-uniseks-stellar-chernaya-03568312/" , "03568312 Толстовка унисекс Stellar, черная, размер XS")</f>
      </c>
      <c r="C4835" s="4" t="n">
        <v>3450.00</v>
      </c>
      <c r="D4835" s="4"/>
    </row>
    <row collapsed="" customFormat="false" customHeight="1" hidden="" ht="14" outlineLevel="0" r="4836">
      <c r="A4836" s="3" t="inlineStr">
        <is>
          <t>4805</t>
        </is>
      </c>
      <c r="B4836" s="4" t="s">
        <f>=HYPERLINK("http://anyluxury.ru/shop/odezhda/detskaya-odezhda/tolstovka-uniseks-stellar-chernaya-03568312/" , "03568312 Толстовка унисекс Stellar, черная, размер S")</f>
      </c>
      <c r="C4836" s="4" t="n">
        <v>3450.00</v>
      </c>
      <c r="D4836" s="4"/>
    </row>
    <row collapsed="" customFormat="false" customHeight="1" hidden="" ht="14" outlineLevel="0" r="4837">
      <c r="A4837" s="3" t="inlineStr">
        <is>
          <t>4806</t>
        </is>
      </c>
      <c r="B4837" s="4" t="s">
        <f>=HYPERLINK("http://anyluxury.ru/shop/odezhda/detskaya-odezhda/tolstovka-uniseks-stellar-chernaya-03568312/" , "03568312 Толстовка унисекс Stellar, черная, размер M")</f>
      </c>
      <c r="C4837" s="4" t="n">
        <v>3450.00</v>
      </c>
      <c r="D4837" s="4"/>
    </row>
    <row collapsed="" customFormat="false" customHeight="1" hidden="" ht="14" outlineLevel="0" r="4838">
      <c r="A4838" s="3" t="inlineStr">
        <is>
          <t>4807</t>
        </is>
      </c>
      <c r="B4838" s="4" t="s">
        <f>=HYPERLINK("http://anyluxury.ru/shop/odezhda/detskaya-odezhda/tolstovka-uniseks-stellar-chernaya-03568312/" , "03568312 Толстовка унисекс Stellar, черная, размер L")</f>
      </c>
      <c r="C4838" s="4" t="n">
        <v>3450.00</v>
      </c>
      <c r="D4838" s="4"/>
    </row>
    <row collapsed="" customFormat="false" customHeight="1" hidden="" ht="14" outlineLevel="0" r="4839">
      <c r="A4839" s="3" t="inlineStr">
        <is>
          <t>4808</t>
        </is>
      </c>
      <c r="B4839" s="4" t="s">
        <f>=HYPERLINK("http://anyluxury.ru/shop/odezhda/detskaya-odezhda/tolstovka-uniseks-stellar-chernaya-03568312/" , "03568312 Толстовка унисекс Stellar, черная, размер XL")</f>
      </c>
      <c r="C4839" s="4" t="n">
        <v>3450.00</v>
      </c>
      <c r="D4839" s="4"/>
    </row>
    <row collapsed="" customFormat="false" customHeight="1" hidden="" ht="14" outlineLevel="0" r="4840">
      <c r="A4840" s="3" t="inlineStr">
        <is>
          <t>4809</t>
        </is>
      </c>
      <c r="B4840" s="4" t="s">
        <f>=HYPERLINK("http://anyluxury.ru/shop/odezhda/detskaya-odezhda/tolstovka-uniseks-stellar-chernaya-03568312/" , "03568312 Толстовка унисекс Stellar, черная, размер 3XL")</f>
      </c>
      <c r="C4840" s="4" t="n">
        <v>3855.00</v>
      </c>
      <c r="D4840" s="4"/>
    </row>
    <row collapsed="" customFormat="false" customHeight="1" hidden="" ht="14" outlineLevel="0" r="4841">
      <c r="A4841" s="3" t="inlineStr">
        <is>
          <t>4810</t>
        </is>
      </c>
      <c r="B4841" s="4" t="s">
        <f>=HYPERLINK("http://anyluxury.ru/shop/odezhda/detskaya-odezhda/tolstovka-uniseks-stellar-sinyaya-03568205/" , "03568205 Толстовка унисекс Stellar, синяя, размер XS")</f>
      </c>
      <c r="C4841" s="4" t="n">
        <v>3450.00</v>
      </c>
      <c r="D4841" s="4"/>
    </row>
    <row collapsed="" customFormat="false" customHeight="1" hidden="" ht="14" outlineLevel="0" r="4842">
      <c r="A4842" s="3" t="inlineStr">
        <is>
          <t>4811</t>
        </is>
      </c>
      <c r="B4842" s="4" t="s">
        <f>=HYPERLINK("http://anyluxury.ru/shop/odezhda/detskaya-odezhda/tolstovka-uniseks-stellar-sinyaya-03568205/" , "03568205 Толстовка унисекс Stellar, синяя, размер S")</f>
      </c>
      <c r="C4842" s="4" t="n">
        <v>3450.00</v>
      </c>
      <c r="D4842" s="4"/>
    </row>
    <row collapsed="" customFormat="false" customHeight="1" hidden="" ht="14" outlineLevel="0" r="4843">
      <c r="A4843" s="3" t="inlineStr">
        <is>
          <t>4812</t>
        </is>
      </c>
      <c r="B4843" s="4" t="s">
        <f>=HYPERLINK("http://anyluxury.ru/shop/odezhda/detskaya-odezhda/tolstovka-uniseks-stellar-sinyaya-03568205/" , "03568205 Толстовка унисекс Stellar, синяя, размер M")</f>
      </c>
      <c r="C4843" s="4" t="n">
        <v>3450.00</v>
      </c>
      <c r="D4843" s="4"/>
    </row>
    <row collapsed="" customFormat="false" customHeight="1" hidden="" ht="14" outlineLevel="0" r="4844">
      <c r="A4844" s="3" t="inlineStr">
        <is>
          <t>4813</t>
        </is>
      </c>
      <c r="B4844" s="4" t="s">
        <f>=HYPERLINK("http://anyluxury.ru/shop/odezhda/detskaya-odezhda/tolstovka-uniseks-stellar-sinyaya-03568205/" , "03568205 Толстовка унисекс Stellar, синяя, размер L")</f>
      </c>
      <c r="C4844" s="4" t="n">
        <v>3450.00</v>
      </c>
      <c r="D4844" s="4"/>
    </row>
    <row collapsed="" customFormat="false" customHeight="1" hidden="" ht="14" outlineLevel="0" r="4845">
      <c r="A4845" s="3" t="inlineStr">
        <is>
          <t>4814</t>
        </is>
      </c>
      <c r="B4845" s="4" t="s">
        <f>=HYPERLINK("http://anyluxury.ru/shop/odezhda/detskaya-odezhda/tolstovka-uniseks-stellar-sinyaya-03568205/" , "03568205 Толстовка унисекс Stellar, синяя, размер XL")</f>
      </c>
      <c r="C4845" s="4" t="n">
        <v>3450.00</v>
      </c>
      <c r="D4845" s="4"/>
    </row>
    <row collapsed="" customFormat="false" customHeight="1" hidden="" ht="14" outlineLevel="0" r="4846">
      <c r="A4846" s="3" t="inlineStr">
        <is>
          <t>4815</t>
        </is>
      </c>
      <c r="B4846" s="4" t="s">
        <f>=HYPERLINK("http://anyluxury.ru/shop/odezhda/detskaya-odezhda/tolstovka-uniseks-stellar-sinyaya-03568205/" , "03568205 Толстовка унисекс Stellar, синяя, размер XXL")</f>
      </c>
      <c r="C4846" s="4" t="n">
        <v>3450.00</v>
      </c>
      <c r="D4846" s="4"/>
    </row>
    <row collapsed="" customFormat="false" customHeight="1" hidden="" ht="14" outlineLevel="0" r="4847">
      <c r="A4847" s="3" t="inlineStr">
        <is>
          <t>4816</t>
        </is>
      </c>
      <c r="B4847" s="4" t="s">
        <f>=HYPERLINK("http://anyluxury.ru/shop/odezhda/detskaya-odezhda/tolstovka-uniseks-stellar-sinyaya-03568205/" , "03568205 Толстовка унисекс Stellar, синяя, размер 3XL")</f>
      </c>
      <c r="C4847" s="4" t="n">
        <v>3855.00</v>
      </c>
      <c r="D4847" s="4"/>
    </row>
    <row collapsed="" customFormat="false" customHeight="1" hidden="" ht="14" outlineLevel="0" r="4848">
      <c r="A4848" s="3" t="inlineStr">
        <is>
          <t>4817</t>
        </is>
      </c>
      <c r="B4848" s="4" t="s">
        <f>=HYPERLINK("http://anyluxury.ru/shop/odezhda/detskaya-odezhda/tolstovka-uniseks-stellar-temnosinyaya-03568319/" , "03568319 Толстовка унисекс Stellar, темно-синяя, размер XS")</f>
      </c>
      <c r="C4848" s="4" t="n">
        <v>3450.00</v>
      </c>
      <c r="D4848" s="4"/>
    </row>
    <row collapsed="" customFormat="false" customHeight="1" hidden="" ht="14" outlineLevel="0" r="4849">
      <c r="A4849" s="3" t="inlineStr">
        <is>
          <t>4818</t>
        </is>
      </c>
      <c r="B4849" s="4" t="s">
        <f>=HYPERLINK("http://anyluxury.ru/shop/odezhda/detskaya-odezhda/tolstovka-uniseks-stellar-temnosinyaya-03568319/" , "03568319 Толстовка унисекс Stellar, темно-синяя, размер S")</f>
      </c>
      <c r="C4849" s="4" t="n">
        <v>3450.00</v>
      </c>
      <c r="D4849" s="4"/>
    </row>
    <row collapsed="" customFormat="false" customHeight="1" hidden="" ht="14" outlineLevel="0" r="4850">
      <c r="A4850" s="3" t="inlineStr">
        <is>
          <t>4819</t>
        </is>
      </c>
      <c r="B4850" s="4" t="s">
        <f>=HYPERLINK("http://anyluxury.ru/shop/odezhda/detskaya-odezhda/tolstovka-uniseks-stellar-temnosinyaya-03568319/" , "03568319 Толстовка унисекс Stellar, темно-синяя, размер M")</f>
      </c>
      <c r="C4850" s="4" t="n">
        <v>3450.00</v>
      </c>
      <c r="D4850" s="4"/>
    </row>
    <row collapsed="" customFormat="false" customHeight="1" hidden="" ht="14" outlineLevel="0" r="4851">
      <c r="A4851" s="3" t="inlineStr">
        <is>
          <t>4820</t>
        </is>
      </c>
      <c r="B4851" s="4" t="s">
        <f>=HYPERLINK("http://anyluxury.ru/shop/odezhda/detskaya-odezhda/tolstovka-uniseks-stellar-temnosinyaya-03568319/" , "03568319 Толстовка унисекс Stellar, темно-синяя, размер L")</f>
      </c>
      <c r="C4851" s="4" t="n">
        <v>3450.00</v>
      </c>
      <c r="D4851" s="4"/>
    </row>
    <row collapsed="" customFormat="false" customHeight="1" hidden="" ht="14" outlineLevel="0" r="4852">
      <c r="A4852" s="3" t="inlineStr">
        <is>
          <t>4821</t>
        </is>
      </c>
      <c r="B4852" s="4" t="s">
        <f>=HYPERLINK("http://anyluxury.ru/shop/odezhda/detskaya-odezhda/tolstovka-uniseks-stellar-temnosinyaya-03568319/" , "03568319 Толстовка унисекс Stellar, темно-синяя, размер XL")</f>
      </c>
      <c r="C4852" s="4" t="n">
        <v>3450.00</v>
      </c>
      <c r="D4852" s="4"/>
    </row>
    <row collapsed="" customFormat="false" customHeight="1" hidden="" ht="14" outlineLevel="0" r="4853">
      <c r="A4853" s="3" t="inlineStr">
        <is>
          <t>4822</t>
        </is>
      </c>
      <c r="B4853" s="4" t="s">
        <f>=HYPERLINK("http://anyluxury.ru/shop/odezhda/detskaya-odezhda/tolstovka-uniseks-stellar-temnosinyaya-03568319/" , "03568319 Толстовка унисекс Stellar, темно-синяя, размер XXL")</f>
      </c>
      <c r="C4853" s="4" t="n">
        <v>3450.00</v>
      </c>
      <c r="D4853" s="4"/>
    </row>
    <row collapsed="" customFormat="false" customHeight="1" hidden="" ht="14" outlineLevel="0" r="4854">
      <c r="A4854" s="3" t="inlineStr">
        <is>
          <t>4823</t>
        </is>
      </c>
      <c r="B4854" s="4" t="s">
        <f>=HYPERLINK("http://anyluxury.ru/shop/odezhda/detskaya-odezhda/tolstovka-uniseks-stellar-temnosinyaya-03568319/" , "03568319 Толстовка унисекс Stellar, темно-синяя, размер 3XL")</f>
      </c>
      <c r="C4854" s="4" t="n">
        <v>3855.00</v>
      </c>
      <c r="D4854" s="4"/>
    </row>
    <row collapsed="" customFormat="false" customHeight="1" hidden="" ht="14" outlineLevel="0" r="4855">
      <c r="A4855" s="3" t="inlineStr">
        <is>
          <t>4824</t>
        </is>
      </c>
      <c r="B4855" s="4" t="s">
        <f>=HYPERLINK("http://anyluxury.ru/shop/odezhda/detskaya-odezhda/tolstovka-uniseks-stellar-seriy-melanzh-03568360/" , "03568360 Толстовка унисекс Stellar, серый меланж, размер XS")</f>
      </c>
      <c r="C4855" s="4" t="n">
        <v>3450.00</v>
      </c>
      <c r="D4855" s="4"/>
    </row>
    <row collapsed="" customFormat="false" customHeight="1" hidden="" ht="14" outlineLevel="0" r="4856">
      <c r="A4856" s="3" t="inlineStr">
        <is>
          <t>4825</t>
        </is>
      </c>
      <c r="B4856" s="4" t="s">
        <f>=HYPERLINK("http://anyluxury.ru/shop/odezhda/detskaya-odezhda/tolstovka-uniseks-stellar-seriy-melanzh-03568360/" , "03568360 Толстовка унисекс Stellar, серый меланж, размер S")</f>
      </c>
      <c r="C4856" s="4" t="n">
        <v>3450.00</v>
      </c>
      <c r="D4856" s="4"/>
    </row>
    <row collapsed="" customFormat="false" customHeight="1" hidden="" ht="14" outlineLevel="0" r="4857">
      <c r="A4857" s="3" t="inlineStr">
        <is>
          <t>4826</t>
        </is>
      </c>
      <c r="B4857" s="4" t="s">
        <f>=HYPERLINK("http://anyluxury.ru/shop/odezhda/detskaya-odezhda/tolstovka-uniseks-stellar-seriy-melanzh-03568360/" , "03568360 Толстовка унисекс Stellar, серый меланж, размер M")</f>
      </c>
      <c r="C4857" s="4" t="n">
        <v>3450.00</v>
      </c>
      <c r="D4857" s="4"/>
    </row>
    <row collapsed="" customFormat="false" customHeight="1" hidden="" ht="14" outlineLevel="0" r="4858">
      <c r="A4858" s="3" t="inlineStr">
        <is>
          <t>4827</t>
        </is>
      </c>
      <c r="B4858" s="4" t="s">
        <f>=HYPERLINK("http://anyluxury.ru/shop/odezhda/detskaya-odezhda/tolstovka-uniseks-stellar-seriy-melanzh-03568360/" , "03568360 Толстовка унисекс Stellar, серый меланж, размер L")</f>
      </c>
      <c r="C4858" s="4" t="n">
        <v>3450.00</v>
      </c>
      <c r="D4858" s="4"/>
    </row>
    <row collapsed="" customFormat="false" customHeight="1" hidden="" ht="14" outlineLevel="0" r="4859">
      <c r="A4859" s="3" t="inlineStr">
        <is>
          <t>4828</t>
        </is>
      </c>
      <c r="B4859" s="4" t="s">
        <f>=HYPERLINK("http://anyluxury.ru/shop/odezhda/detskaya-odezhda/tolstovka-uniseks-stellar-seriy-melanzh-03568360/" , "03568360 Толстовка унисекс Stellar, серый меланж, размер XL")</f>
      </c>
      <c r="C4859" s="4" t="n">
        <v>3450.00</v>
      </c>
      <c r="D4859" s="4"/>
    </row>
    <row collapsed="" customFormat="false" customHeight="1" hidden="" ht="14" outlineLevel="0" r="4860">
      <c r="A4860" s="3" t="inlineStr">
        <is>
          <t>4829</t>
        </is>
      </c>
      <c r="B4860" s="4" t="s">
        <f>=HYPERLINK("http://anyluxury.ru/shop/odezhda/detskaya-odezhda/tolstovka-uniseks-stellar-seriy-melanzh-03568360/" , "03568360 Толстовка унисекс Stellar, серый меланж, размер XXL")</f>
      </c>
      <c r="C4860" s="4" t="n">
        <v>3450.00</v>
      </c>
      <c r="D4860" s="4"/>
    </row>
    <row collapsed="" customFormat="false" customHeight="1" hidden="" ht="14" outlineLevel="0" r="4861">
      <c r="A4861" s="3" t="inlineStr">
        <is>
          <t>4830</t>
        </is>
      </c>
      <c r="B4861" s="4" t="s">
        <f>=HYPERLINK("http://anyluxury.ru/shop/odezhda/detskaya-odezhda/tolstovka-uniseks-stellar-seriy-melanzh-03568360/" , "03568360 Толстовка унисекс Stellar, серый меланж, размер 3XL")</f>
      </c>
      <c r="C4861" s="4" t="n">
        <v>3855.00</v>
      </c>
      <c r="D4861" s="4"/>
    </row>
    <row collapsed="" customFormat="false" customHeight="1" hidden="" ht="14" outlineLevel="0" r="4862">
      <c r="A4862" s="3" t="inlineStr">
        <is>
          <t>4831</t>
        </is>
      </c>
      <c r="B4862" s="4" t="s">
        <f>=HYPERLINK("http://anyluxury.ru/shop/odezhda/detskaya-odezhda/tolstovka-uniseks-stellar-rozovaya-03568141/" , "03568141 Толстовка унисекс Stellar, розовая, размер XS")</f>
      </c>
      <c r="C4862" s="4" t="n">
        <v>3450.00</v>
      </c>
      <c r="D4862" s="4"/>
    </row>
    <row collapsed="" customFormat="false" customHeight="1" hidden="" ht="14" outlineLevel="0" r="4863">
      <c r="A4863" s="3" t="inlineStr">
        <is>
          <t>4832</t>
        </is>
      </c>
      <c r="B4863" s="4" t="s">
        <f>=HYPERLINK("http://anyluxury.ru/shop/odezhda/detskaya-odezhda/tolstovka-uniseks-stellar-rozovaya-03568141/" , "03568141 Толстовка унисекс Stellar, розовая, размер S")</f>
      </c>
      <c r="C4863" s="4" t="n">
        <v>3450.00</v>
      </c>
      <c r="D4863" s="4"/>
    </row>
    <row collapsed="" customFormat="false" customHeight="1" hidden="" ht="14" outlineLevel="0" r="4864">
      <c r="A4864" s="3" t="inlineStr">
        <is>
          <t>4833</t>
        </is>
      </c>
      <c r="B4864" s="4" t="s">
        <f>=HYPERLINK("http://anyluxury.ru/shop/odezhda/detskaya-odezhda/tolstovka-uniseks-stellar-rozovaya-03568141/" , "03568141 Толстовка унисекс Stellar, розовая, размер M")</f>
      </c>
      <c r="C4864" s="4" t="n">
        <v>3450.00</v>
      </c>
      <c r="D4864" s="4"/>
    </row>
    <row collapsed="" customFormat="false" customHeight="1" hidden="" ht="14" outlineLevel="0" r="4865">
      <c r="A4865" s="3" t="inlineStr">
        <is>
          <t>4834</t>
        </is>
      </c>
      <c r="B4865" s="4" t="s">
        <f>=HYPERLINK("http://anyluxury.ru/shop/odezhda/detskaya-odezhda/tolstovka-uniseks-stellar-rozovaya-03568141/" , "03568141 Толстовка унисекс Stellar, розовая, размер L")</f>
      </c>
      <c r="C4865" s="4" t="n">
        <v>3450.00</v>
      </c>
      <c r="D4865" s="4"/>
    </row>
    <row collapsed="" customFormat="false" customHeight="1" hidden="" ht="14" outlineLevel="0" r="4866">
      <c r="A4866" s="3" t="inlineStr">
        <is>
          <t>4835</t>
        </is>
      </c>
      <c r="B4866" s="4" t="s">
        <f>=HYPERLINK("http://anyluxury.ru/shop/odezhda/detskaya-odezhda/tolstovka-uniseks-stellar-rozovaya-03568141/" , "03568141 Толстовка унисекс Stellar, розовая, размер XL")</f>
      </c>
      <c r="C4866" s="4" t="n">
        <v>3450.00</v>
      </c>
      <c r="D4866" s="4"/>
    </row>
    <row collapsed="" customFormat="false" customHeight="1" hidden="" ht="14" outlineLevel="0" r="4867">
      <c r="A4867" s="3" t="inlineStr">
        <is>
          <t>4836</t>
        </is>
      </c>
      <c r="B4867" s="4" t="s">
        <f>=HYPERLINK("http://anyluxury.ru/shop/odezhda/detskaya-odezhda/tolstovka-uniseks-stellar-rozovaya-03568141/" , "03568141 Толстовка унисекс Stellar, розовая, размер XXL")</f>
      </c>
      <c r="C4867" s="4" t="n">
        <v>3450.00</v>
      </c>
      <c r="D4867" s="4"/>
    </row>
    <row collapsed="" customFormat="false" customHeight="1" hidden="" ht="14" outlineLevel="0" r="4868">
      <c r="A4868" s="3" t="inlineStr">
        <is>
          <t>4837</t>
        </is>
      </c>
      <c r="B4868" s="4" t="s">
        <f>=HYPERLINK("http://anyluxury.ru/shop/odezhda/detskaya-odezhda/tolstovka-uniseks-stellar-rozovaya-03568141/" , "03568141 Толстовка унисекс Stellar, розовая, размер 3XL")</f>
      </c>
      <c r="C4868" s="4" t="n">
        <v>3855.00</v>
      </c>
      <c r="D4868" s="4"/>
    </row>
    <row collapsed="" customFormat="false" customHeight="1" hidden="" ht="14" outlineLevel="0" r="4869">
      <c r="A4869" s="3" t="inlineStr">
        <is>
          <t>4838</t>
        </is>
      </c>
      <c r="B4869" s="4" t="s">
        <f>=HYPERLINK("http://anyluxury.ru/shop/odezhda/detskaya-odezhda/tolstovka-uniseks-stellar-belaya-03568102/" , "03568102 Толстовка унисекс Stellar, белая, размер XS")</f>
      </c>
      <c r="C4869" s="4" t="n">
        <v>3450.00</v>
      </c>
      <c r="D4869" s="4"/>
    </row>
    <row collapsed="" customFormat="false" customHeight="1" hidden="" ht="14" outlineLevel="0" r="4870">
      <c r="A4870" s="3" t="inlineStr">
        <is>
          <t>4839</t>
        </is>
      </c>
      <c r="B4870" s="4" t="s">
        <f>=HYPERLINK("http://anyluxury.ru/shop/odezhda/detskaya-odezhda/tolstovka-uniseks-stellar-belaya-03568102/" , "03568102 Толстовка унисекс Stellar, белая, размер S")</f>
      </c>
      <c r="C4870" s="4" t="n">
        <v>3450.00</v>
      </c>
      <c r="D4870" s="4"/>
    </row>
    <row collapsed="" customFormat="false" customHeight="1" hidden="" ht="14" outlineLevel="0" r="4871">
      <c r="A4871" s="3" t="inlineStr">
        <is>
          <t>4840</t>
        </is>
      </c>
      <c r="B4871" s="4" t="s">
        <f>=HYPERLINK("http://anyluxury.ru/shop/odezhda/detskaya-odezhda/tolstovka-uniseks-stellar-belaya-03568102/" , "03568102 Толстовка унисекс Stellar, белая, размер M")</f>
      </c>
      <c r="C4871" s="4" t="n">
        <v>3450.00</v>
      </c>
      <c r="D4871" s="4"/>
    </row>
    <row collapsed="" customFormat="false" customHeight="1" hidden="" ht="14" outlineLevel="0" r="4872">
      <c r="A4872" s="3" t="inlineStr">
        <is>
          <t>4841</t>
        </is>
      </c>
      <c r="B4872" s="4" t="s">
        <f>=HYPERLINK("http://anyluxury.ru/shop/odezhda/detskaya-odezhda/tolstovka-uniseks-stellar-belaya-03568102/" , "03568102 Толстовка унисекс Stellar, белая, размер L")</f>
      </c>
      <c r="C4872" s="4" t="n">
        <v>3450.00</v>
      </c>
      <c r="D4872" s="4"/>
    </row>
    <row collapsed="" customFormat="false" customHeight="1" hidden="" ht="14" outlineLevel="0" r="4873">
      <c r="A4873" s="3" t="inlineStr">
        <is>
          <t>4842</t>
        </is>
      </c>
      <c r="B4873" s="4" t="s">
        <f>=HYPERLINK("http://anyluxury.ru/shop/odezhda/detskaya-odezhda/tolstovka-uniseks-stellar-belaya-03568102/" , "03568102 Толстовка унисекс Stellar, белая, размер XL")</f>
      </c>
      <c r="C4873" s="4" t="n">
        <v>3450.00</v>
      </c>
      <c r="D4873" s="4"/>
    </row>
    <row collapsed="" customFormat="false" customHeight="1" hidden="" ht="14" outlineLevel="0" r="4874">
      <c r="A4874" s="3" t="inlineStr">
        <is>
          <t>4843</t>
        </is>
      </c>
      <c r="B4874" s="4" t="s">
        <f>=HYPERLINK("http://anyluxury.ru/shop/odezhda/detskaya-odezhda/tolstovka-uniseks-stellar-belaya-03568102/" , "03568102 Толстовка унисекс Stellar, белая, размер XXL")</f>
      </c>
      <c r="C4874" s="4" t="n">
        <v>3450.00</v>
      </c>
      <c r="D4874" s="4"/>
    </row>
    <row collapsed="" customFormat="false" customHeight="1" hidden="" ht="14" outlineLevel="0" r="4875">
      <c r="A4875" s="3" t="inlineStr">
        <is>
          <t>4844</t>
        </is>
      </c>
      <c r="B4875" s="4" t="s">
        <f>=HYPERLINK("http://anyluxury.ru/shop/odezhda/detskaya-odezhda/tolstovka-uniseks-stellar-belaya-03568102/" , "03568102 Толстовка унисекс Stellar, белая, размер 3XL")</f>
      </c>
      <c r="C4875" s="4" t="n">
        <v>3855.00</v>
      </c>
      <c r="D4875" s="4"/>
    </row>
    <row collapsed="" customFormat="false" customHeight="1" hidden="" ht="14" outlineLevel="0" r="4876">
      <c r="A4876" s="3" t="inlineStr">
        <is>
          <t>4845</t>
        </is>
      </c>
      <c r="B4876" s="4" t="s">
        <f>=HYPERLINK("http://anyluxury.ru/shop/odezhda/detskaya-odezhda/tolstovka-uniseks-stellar-temnozelenaya-03568264/" , "03568264 Толстовка унисекс Stellar, темно-зеленая, размер XS")</f>
      </c>
      <c r="C4876" s="4" t="n">
        <v>3450.00</v>
      </c>
      <c r="D4876" s="4"/>
    </row>
    <row collapsed="" customFormat="false" customHeight="1" hidden="" ht="14" outlineLevel="0" r="4877">
      <c r="A4877" s="3" t="inlineStr">
        <is>
          <t>4846</t>
        </is>
      </c>
      <c r="B4877" s="4" t="s">
        <f>=HYPERLINK("http://anyluxury.ru/shop/odezhda/detskaya-odezhda/tolstovka-uniseks-stellar-temnozelenaya-03568264/" , "03568264 Толстовка унисекс Stellar, темно-зеленая, размер S")</f>
      </c>
      <c r="C4877" s="4" t="n">
        <v>3450.00</v>
      </c>
      <c r="D4877" s="4"/>
    </row>
    <row collapsed="" customFormat="false" customHeight="1" hidden="" ht="14" outlineLevel="0" r="4878">
      <c r="A4878" s="3" t="inlineStr">
        <is>
          <t>4847</t>
        </is>
      </c>
      <c r="B4878" s="4" t="s">
        <f>=HYPERLINK("http://anyluxury.ru/shop/odezhda/detskaya-odezhda/tolstovka-uniseks-stellar-temnozelenaya-03568264/" , "03568264 Толстовка унисекс Stellar, темно-зеленая, размер M")</f>
      </c>
      <c r="C4878" s="4" t="n">
        <v>3450.00</v>
      </c>
      <c r="D4878" s="4"/>
    </row>
    <row collapsed="" customFormat="false" customHeight="1" hidden="" ht="14" outlineLevel="0" r="4879">
      <c r="A4879" s="3" t="inlineStr">
        <is>
          <t>4848</t>
        </is>
      </c>
      <c r="B4879" s="4" t="s">
        <f>=HYPERLINK("http://anyluxury.ru/shop/odezhda/detskaya-odezhda/tolstovka-uniseks-stellar-temnozelenaya-03568264/" , "03568264 Толстовка унисекс Stellar, темно-зеленая, размер L")</f>
      </c>
      <c r="C4879" s="4" t="n">
        <v>3450.00</v>
      </c>
      <c r="D4879" s="4"/>
    </row>
    <row collapsed="" customFormat="false" customHeight="1" hidden="" ht="14" outlineLevel="0" r="4880">
      <c r="A4880" s="3" t="inlineStr">
        <is>
          <t>4849</t>
        </is>
      </c>
      <c r="B4880" s="4" t="s">
        <f>=HYPERLINK("http://anyluxury.ru/shop/odezhda/detskaya-odezhda/tolstovka-uniseks-stellar-temnozelenaya-03568264/" , "03568264 Толстовка унисекс Stellar, темно-зеленая, размер XL")</f>
      </c>
      <c r="C4880" s="4" t="n">
        <v>3450.00</v>
      </c>
      <c r="D4880" s="4"/>
    </row>
    <row collapsed="" customFormat="false" customHeight="1" hidden="" ht="14" outlineLevel="0" r="4881">
      <c r="A4881" s="3" t="inlineStr">
        <is>
          <t>4850</t>
        </is>
      </c>
      <c r="B4881" s="4" t="s">
        <f>=HYPERLINK("http://anyluxury.ru/shop/odezhda/detskaya-odezhda/tolstovka-uniseks-stellar-temnozelenaya-03568264/" , "03568264 Толстовка унисекс Stellar, темно-зеленая, размер XXL")</f>
      </c>
      <c r="C4881" s="4" t="n">
        <v>3450.00</v>
      </c>
      <c r="D4881" s="4"/>
    </row>
    <row collapsed="" customFormat="false" customHeight="1" hidden="" ht="14" outlineLevel="0" r="4882">
      <c r="A4882" s="3" t="inlineStr">
        <is>
          <t>4851</t>
        </is>
      </c>
      <c r="B4882" s="4" t="s">
        <f>=HYPERLINK("http://anyluxury.ru/shop/odezhda/detskaya-odezhda/tolstovka-uniseks-stellar-temnozelenaya-03568264/" , "03568264 Толстовка унисекс Stellar, темно-зеленая, размер 3XL")</f>
      </c>
      <c r="C4882" s="4" t="n">
        <v>3855.00</v>
      </c>
      <c r="D4882" s="4"/>
    </row>
    <row collapsed="" customFormat="false" customHeight="1" hidden="" ht="14" outlineLevel="0" r="4883">
      <c r="A4883" s="3" t="inlineStr">
        <is>
          <t>4852</t>
        </is>
      </c>
      <c r="B4883" s="4" t="s">
        <f>=HYPERLINK("http://anyluxury.ru/shop/odezhda/detskaya-odezhda/tolstovka-uniseks-stellar-bordovaya-03568146/" , "03568146 Толстовка унисекс Stellar, бордовая, размер XS")</f>
      </c>
      <c r="C4883" s="4" t="n">
        <v>3450.00</v>
      </c>
      <c r="D4883" s="4"/>
    </row>
    <row collapsed="" customFormat="false" customHeight="1" hidden="" ht="14" outlineLevel="0" r="4884">
      <c r="A4884" s="3" t="inlineStr">
        <is>
          <t>4853</t>
        </is>
      </c>
      <c r="B4884" s="4" t="s">
        <f>=HYPERLINK("http://anyluxury.ru/shop/odezhda/detskaya-odezhda/tolstovka-uniseks-stellar-bordovaya-03568146/" , "03568146 Толстовка унисекс Stellar, бордовая, размер S")</f>
      </c>
      <c r="C4884" s="4" t="n">
        <v>3450.00</v>
      </c>
      <c r="D4884" s="4"/>
    </row>
    <row collapsed="" customFormat="false" customHeight="1" hidden="" ht="14" outlineLevel="0" r="4885">
      <c r="A4885" s="3" t="inlineStr">
        <is>
          <t>4854</t>
        </is>
      </c>
      <c r="B4885" s="4" t="s">
        <f>=HYPERLINK("http://anyluxury.ru/shop/odezhda/detskaya-odezhda/tolstovka-uniseks-stellar-bordovaya-03568146/" , "03568146 Толстовка унисекс Stellar, бордовая, размер M")</f>
      </c>
      <c r="C4885" s="4" t="n">
        <v>3450.00</v>
      </c>
      <c r="D4885" s="4"/>
    </row>
    <row collapsed="" customFormat="false" customHeight="1" hidden="" ht="14" outlineLevel="0" r="4886">
      <c r="A4886" s="3" t="inlineStr">
        <is>
          <t>4855</t>
        </is>
      </c>
      <c r="B4886" s="4" t="s">
        <f>=HYPERLINK("http://anyluxury.ru/shop/odezhda/detskaya-odezhda/tolstovka-uniseks-stellar-bordovaya-03568146/" , "03568146 Толстовка унисекс Stellar, бордовая, размер L")</f>
      </c>
      <c r="C4886" s="4" t="n">
        <v>3450.00</v>
      </c>
      <c r="D4886" s="4"/>
    </row>
    <row collapsed="" customFormat="false" customHeight="1" hidden="" ht="14" outlineLevel="0" r="4887">
      <c r="A4887" s="3" t="inlineStr">
        <is>
          <t>4856</t>
        </is>
      </c>
      <c r="B4887" s="4" t="s">
        <f>=HYPERLINK("http://anyluxury.ru/shop/odezhda/detskaya-odezhda/tolstovka-uniseks-stellar-bordovaya-03568146/" , "03568146 Толстовка унисекс Stellar, бордовая, размер XL")</f>
      </c>
      <c r="C4887" s="4" t="n">
        <v>3450.00</v>
      </c>
      <c r="D4887" s="4"/>
    </row>
    <row collapsed="" customFormat="false" customHeight="1" hidden="" ht="14" outlineLevel="0" r="4888">
      <c r="A4888" s="3" t="inlineStr">
        <is>
          <t>4857</t>
        </is>
      </c>
      <c r="B4888" s="4" t="s">
        <f>=HYPERLINK("http://anyluxury.ru/shop/odezhda/detskaya-odezhda/tolstovka-uniseks-stellar-bordovaya-03568146/" , "03568146 Толстовка унисекс Stellar, бордовая, размер XXL")</f>
      </c>
      <c r="C4888" s="4" t="n">
        <v>3450.00</v>
      </c>
      <c r="D4888" s="4"/>
    </row>
    <row collapsed="" customFormat="false" customHeight="1" hidden="" ht="14" outlineLevel="0" r="4889">
      <c r="A4889" s="3" t="inlineStr">
        <is>
          <t>4858</t>
        </is>
      </c>
      <c r="B4889" s="4" t="s">
        <f>=HYPERLINK("http://anyluxury.ru/shop/odezhda/detskaya-odezhda/tolstovka-uniseks-stellar-bordovaya-03568146/" , "03568146 Толстовка унисекс Stellar, бордовая, размер 3XL")</f>
      </c>
      <c r="C4889" s="4" t="n">
        <v>3855.00</v>
      </c>
      <c r="D4889" s="4"/>
    </row>
    <row collapsed="" customFormat="false" customHeight="1" hidden="" ht="14" outlineLevel="0" r="4890">
      <c r="A4890" s="3" t="inlineStr">
        <is>
          <t>4859</t>
        </is>
      </c>
      <c r="B4890" s="4" t="s">
        <f>=HYPERLINK("http://anyluxury.ru/shop/odezhda/detskaya-odezhda/tolstovka-uniseks-stellar-oranzhevaya-03568403/" , "03568403 Толстовка унисекс Stellar, оранжевая, размер XS")</f>
      </c>
      <c r="C4890" s="4" t="n">
        <v>3450.00</v>
      </c>
      <c r="D4890" s="4"/>
    </row>
    <row collapsed="" customFormat="false" customHeight="1" hidden="" ht="14" outlineLevel="0" r="4891">
      <c r="A4891" s="3" t="inlineStr">
        <is>
          <t>4860</t>
        </is>
      </c>
      <c r="B4891" s="4" t="s">
        <f>=HYPERLINK("http://anyluxury.ru/shop/odezhda/detskaya-odezhda/tolstovka-uniseks-stellar-oranzhevaya-03568403/" , "03568403 Толстовка унисекс Stellar, оранжевая, размер S")</f>
      </c>
      <c r="C4891" s="4" t="n">
        <v>3450.00</v>
      </c>
      <c r="D4891" s="4"/>
    </row>
    <row collapsed="" customFormat="false" customHeight="1" hidden="" ht="14" outlineLevel="0" r="4892">
      <c r="A4892" s="3" t="inlineStr">
        <is>
          <t>4861</t>
        </is>
      </c>
      <c r="B4892" s="4" t="s">
        <f>=HYPERLINK("http://anyluxury.ru/shop/odezhda/detskaya-odezhda/tolstovka-uniseks-stellar-oranzhevaya-03568403/" , "03568403 Толстовка унисекс Stellar, оранжевая, размер M")</f>
      </c>
      <c r="C4892" s="4" t="n">
        <v>3450.00</v>
      </c>
      <c r="D4892" s="4"/>
    </row>
    <row collapsed="" customFormat="false" customHeight="1" hidden="" ht="14" outlineLevel="0" r="4893">
      <c r="A4893" s="3" t="inlineStr">
        <is>
          <t>4862</t>
        </is>
      </c>
      <c r="B4893" s="4" t="s">
        <f>=HYPERLINK("http://anyluxury.ru/shop/odezhda/detskaya-odezhda/tolstovka-uniseks-stellar-oranzhevaya-03568403/" , "03568403 Толстовка унисекс Stellar, оранжевая, размер L")</f>
      </c>
      <c r="C4893" s="4" t="n">
        <v>3450.00</v>
      </c>
      <c r="D4893" s="4"/>
    </row>
    <row collapsed="" customFormat="false" customHeight="1" hidden="" ht="14" outlineLevel="0" r="4894">
      <c r="A4894" s="3" t="inlineStr">
        <is>
          <t>4863</t>
        </is>
      </c>
      <c r="B4894" s="4" t="s">
        <f>=HYPERLINK("http://anyluxury.ru/shop/odezhda/detskaya-odezhda/tolstovka-uniseks-stellar-oranzhevaya-03568403/" , "03568403 Толстовка унисекс Stellar, оранжевая, размер XL")</f>
      </c>
      <c r="C4894" s="4" t="n">
        <v>3450.00</v>
      </c>
      <c r="D4894" s="4"/>
    </row>
    <row collapsed="" customFormat="false" customHeight="1" hidden="" ht="14" outlineLevel="0" r="4895">
      <c r="A4895" s="3" t="inlineStr">
        <is>
          <t>4864</t>
        </is>
      </c>
      <c r="B4895" s="4" t="s">
        <f>=HYPERLINK("http://anyluxury.ru/shop/odezhda/detskaya-odezhda/tolstovka-uniseks-stellar-oranzhevaya-03568403/" , "03568403 Толстовка унисекс Stellar, оранжевая, размер XXL")</f>
      </c>
      <c r="C4895" s="4" t="n">
        <v>3450.00</v>
      </c>
      <c r="D4895" s="4"/>
    </row>
    <row collapsed="" customFormat="false" customHeight="1" hidden="" ht="14" outlineLevel="0" r="4896">
      <c r="A4896" s="3" t="inlineStr">
        <is>
          <t>4865</t>
        </is>
      </c>
      <c r="B4896" s="4" t="s">
        <f>=HYPERLINK("http://anyluxury.ru/shop/odezhda/detskaya-odezhda/tolstovka-uniseks-stellar-oranzhevaya-03568403/" , "03568403 Толстовка унисекс Stellar, оранжевая, размер 3XL")</f>
      </c>
      <c r="C4896" s="4" t="n">
        <v>3855.00</v>
      </c>
      <c r="D4896" s="4"/>
    </row>
    <row collapsed="" customFormat="false" customHeight="1" hidden="" ht="14" outlineLevel="0" r="4897">
      <c r="A4897" s="3" t="inlineStr">
        <is>
          <t>4866</t>
        </is>
      </c>
      <c r="B4897" s="4" t="s">
        <f>=HYPERLINK("http://anyluxury.ru/shop/odezhda/detskaya-odezhda/tolstovka-uniseks-stellar-cherniy-melanzh-03568348/" , "03568348 Толстовка унисекс Stellar, черный меланж, размер XS")</f>
      </c>
      <c r="C4897" s="4" t="n">
        <v>3450.00</v>
      </c>
      <c r="D4897" s="4"/>
    </row>
    <row collapsed="" customFormat="false" customHeight="1" hidden="" ht="14" outlineLevel="0" r="4898">
      <c r="A4898" s="3" t="inlineStr">
        <is>
          <t>4867</t>
        </is>
      </c>
      <c r="B4898" s="4" t="s">
        <f>=HYPERLINK("http://anyluxury.ru/shop/odezhda/detskaya-odezhda/tolstovka-uniseks-stellar-cherniy-melanzh-03568348/" , "03568348 Толстовка унисекс Stellar, черный меланж, размер S")</f>
      </c>
      <c r="C4898" s="4" t="n">
        <v>3450.00</v>
      </c>
      <c r="D4898" s="4"/>
    </row>
    <row collapsed="" customFormat="false" customHeight="1" hidden="" ht="14" outlineLevel="0" r="4899">
      <c r="A4899" s="3" t="inlineStr">
        <is>
          <t>4868</t>
        </is>
      </c>
      <c r="B4899" s="4" t="s">
        <f>=HYPERLINK("http://anyluxury.ru/shop/odezhda/detskaya-odezhda/tolstovka-uniseks-stellar-cherniy-melanzh-03568348/" , "03568348 Толстовка унисекс Stellar, черный меланж, размер M")</f>
      </c>
      <c r="C4899" s="4" t="n">
        <v>3450.00</v>
      </c>
      <c r="D4899" s="4"/>
    </row>
    <row collapsed="" customFormat="false" customHeight="1" hidden="" ht="14" outlineLevel="0" r="4900">
      <c r="A4900" s="3" t="inlineStr">
        <is>
          <t>4869</t>
        </is>
      </c>
      <c r="B4900" s="4" t="s">
        <f>=HYPERLINK("http://anyluxury.ru/shop/odezhda/detskaya-odezhda/tolstovka-uniseks-stellar-cherniy-melanzh-03568348/" , "03568348 Толстовка унисекс Stellar, черный меланж, размер L")</f>
      </c>
      <c r="C4900" s="4" t="n">
        <v>3450.00</v>
      </c>
      <c r="D4900" s="4"/>
    </row>
    <row collapsed="" customFormat="false" customHeight="1" hidden="" ht="14" outlineLevel="0" r="4901">
      <c r="A4901" s="3" t="inlineStr">
        <is>
          <t>4870</t>
        </is>
      </c>
      <c r="B4901" s="4" t="s">
        <f>=HYPERLINK("http://anyluxury.ru/shop/odezhda/detskaya-odezhda/tolstovka-uniseks-stellar-cherniy-melanzh-03568348/" , "03568348 Толстовка унисекс Stellar, черный меланж, размер XL")</f>
      </c>
      <c r="C4901" s="4" t="n">
        <v>3450.00</v>
      </c>
      <c r="D4901" s="4"/>
    </row>
    <row collapsed="" customFormat="false" customHeight="1" hidden="" ht="14" outlineLevel="0" r="4902">
      <c r="A4902" s="3" t="inlineStr">
        <is>
          <t>4871</t>
        </is>
      </c>
      <c r="B4902" s="4" t="s">
        <f>=HYPERLINK("http://anyluxury.ru/shop/odezhda/detskaya-odezhda/tolstovka-uniseks-stellar-cherniy-melanzh-03568348/" , "03568348 Толстовка унисекс Stellar, черный меланж, размер XXL")</f>
      </c>
      <c r="C4902" s="4" t="n">
        <v>3450.00</v>
      </c>
      <c r="D4902" s="4"/>
    </row>
    <row collapsed="" customFormat="false" customHeight="1" hidden="" ht="14" outlineLevel="0" r="4903">
      <c r="A4903" s="3" t="inlineStr">
        <is>
          <t>4872</t>
        </is>
      </c>
      <c r="B4903" s="4" t="s">
        <f>=HYPERLINK("http://anyluxury.ru/shop/odezhda/detskaya-odezhda/tolstovka-uniseks-stellar-cherniy-melanzh-03568348/" , "03568348 Толстовка унисекс Stellar, черный меланж, размер 3XL")</f>
      </c>
      <c r="C4903" s="4" t="n">
        <v>3855.00</v>
      </c>
      <c r="D4903" s="4"/>
    </row>
    <row collapsed="" customFormat="false" customHeight="1" hidden="" ht="14" outlineLevel="0" r="4904">
      <c r="A4904" s="3" t="inlineStr">
        <is>
          <t>4873</t>
        </is>
      </c>
      <c r="B4904" s="4" t="s">
        <f>=HYPERLINK("http://anyluxury.ru/shop/odezhda/detskaya-odezhda/tolstovka-uniseks-stellar-haki-03568268/" , "03568268 Толстовка унисекс Stellar, хаки, размер XS")</f>
      </c>
      <c r="C4904" s="4" t="n">
        <v>3450.00</v>
      </c>
      <c r="D4904" s="4"/>
    </row>
    <row collapsed="" customFormat="false" customHeight="1" hidden="" ht="14" outlineLevel="0" r="4905">
      <c r="A4905" s="3" t="inlineStr">
        <is>
          <t>4874</t>
        </is>
      </c>
      <c r="B4905" s="4" t="s">
        <f>=HYPERLINK("http://anyluxury.ru/shop/odezhda/detskaya-odezhda/tolstovka-uniseks-stellar-haki-03568268/" , "03568268 Толстовка унисекс Stellar, хаки, размер S")</f>
      </c>
      <c r="C4905" s="4" t="n">
        <v>3450.00</v>
      </c>
      <c r="D4905" s="4"/>
    </row>
    <row collapsed="" customFormat="false" customHeight="1" hidden="" ht="14" outlineLevel="0" r="4906">
      <c r="A4906" s="3" t="inlineStr">
        <is>
          <t>4875</t>
        </is>
      </c>
      <c r="B4906" s="4" t="s">
        <f>=HYPERLINK("http://anyluxury.ru/shop/odezhda/detskaya-odezhda/tolstovka-uniseks-stellar-haki-03568268/" , "03568268 Толстовка унисекс Stellar, хаки, размер M")</f>
      </c>
      <c r="C4906" s="4" t="n">
        <v>3450.00</v>
      </c>
      <c r="D4906" s="4"/>
    </row>
    <row collapsed="" customFormat="false" customHeight="1" hidden="" ht="14" outlineLevel="0" r="4907">
      <c r="A4907" s="3" t="inlineStr">
        <is>
          <t>4876</t>
        </is>
      </c>
      <c r="B4907" s="4" t="s">
        <f>=HYPERLINK("http://anyluxury.ru/shop/odezhda/detskaya-odezhda/tolstovka-uniseks-stellar-haki-03568268/" , "03568268 Толстовка унисекс Stellar, хаки, размер L")</f>
      </c>
      <c r="C4907" s="4" t="n">
        <v>3450.00</v>
      </c>
      <c r="D4907" s="4"/>
    </row>
    <row collapsed="" customFormat="false" customHeight="1" hidden="" ht="14" outlineLevel="0" r="4908">
      <c r="A4908" s="3" t="inlineStr">
        <is>
          <t>4877</t>
        </is>
      </c>
      <c r="B4908" s="4" t="s">
        <f>=HYPERLINK("http://anyluxury.ru/shop/odezhda/detskaya-odezhda/tolstovka-uniseks-stellar-haki-03568268/" , "03568268 Толстовка унисекс Stellar, хаки, размер XL")</f>
      </c>
      <c r="C4908" s="4" t="n">
        <v>3450.00</v>
      </c>
      <c r="D4908" s="4"/>
    </row>
    <row collapsed="" customFormat="false" customHeight="1" hidden="" ht="14" outlineLevel="0" r="4909">
      <c r="A4909" s="3" t="inlineStr">
        <is>
          <t>4878</t>
        </is>
      </c>
      <c r="B4909" s="4" t="s">
        <f>=HYPERLINK("http://anyluxury.ru/shop/odezhda/detskaya-odezhda/tolstovka-uniseks-stellar-haki-03568268/" , "03568268 Толстовка унисекс Stellar, хаки, размер XXL")</f>
      </c>
      <c r="C4909" s="4" t="n">
        <v>3450.00</v>
      </c>
      <c r="D4909" s="4"/>
    </row>
    <row collapsed="" customFormat="false" customHeight="1" hidden="" ht="14" outlineLevel="0" r="4910">
      <c r="A4910" s="3" t="inlineStr">
        <is>
          <t>4879</t>
        </is>
      </c>
      <c r="B4910" s="4" t="s">
        <f>=HYPERLINK("http://anyluxury.ru/shop/odezhda/detskaya-odezhda/tolstovka-uniseks-stellar-haki-03568268/" , "03568268 Толстовка унисекс Stellar, хаки, размер 3XL")</f>
      </c>
      <c r="C4910" s="4" t="n">
        <v>3855.00</v>
      </c>
      <c r="D4910" s="4"/>
    </row>
    <row collapsed="" customFormat="false" customHeight="1" hidden="" ht="14" outlineLevel="0" r="4911">
      <c r="A4911" s="3" t="inlineStr">
        <is>
          <t>4880</t>
        </is>
      </c>
      <c r="B4911" s="4" t="s">
        <f>=HYPERLINK("http://anyluxury.ru/shop/odezhda/detskaya-odezhda/tolstovka-uniseks-stellar-krasnaya-03568145/" , "03568145 Толстовка унисекс Stellar, красная, размер XS")</f>
      </c>
      <c r="C4911" s="4" t="n">
        <v>3450.00</v>
      </c>
      <c r="D4911" s="4"/>
    </row>
    <row collapsed="" customFormat="false" customHeight="1" hidden="" ht="14" outlineLevel="0" r="4912">
      <c r="A4912" s="3" t="inlineStr">
        <is>
          <t>4881</t>
        </is>
      </c>
      <c r="B4912" s="4" t="s">
        <f>=HYPERLINK("http://anyluxury.ru/shop/odezhda/detskaya-odezhda/tolstovka-uniseks-stellar-krasnaya-03568145/" , "03568145 Толстовка унисекс Stellar, красная, размер S")</f>
      </c>
      <c r="C4912" s="4" t="n">
        <v>3450.00</v>
      </c>
      <c r="D4912" s="4"/>
    </row>
    <row collapsed="" customFormat="false" customHeight="1" hidden="" ht="14" outlineLevel="0" r="4913">
      <c r="A4913" s="3" t="inlineStr">
        <is>
          <t>4882</t>
        </is>
      </c>
      <c r="B4913" s="4" t="s">
        <f>=HYPERLINK("http://anyluxury.ru/shop/odezhda/detskaya-odezhda/tolstovka-uniseks-stellar-krasnaya-03568145/" , "03568145 Толстовка унисекс Stellar, красная, размер M")</f>
      </c>
      <c r="C4913" s="4" t="n">
        <v>3450.00</v>
      </c>
      <c r="D4913" s="4"/>
    </row>
    <row collapsed="" customFormat="false" customHeight="1" hidden="" ht="14" outlineLevel="0" r="4914">
      <c r="A4914" s="3" t="inlineStr">
        <is>
          <t>4883</t>
        </is>
      </c>
      <c r="B4914" s="4" t="s">
        <f>=HYPERLINK("http://anyluxury.ru/shop/odezhda/detskaya-odezhda/tolstovka-uniseks-stellar-krasnaya-03568145/" , "03568145 Толстовка унисекс Stellar, красная, размер L")</f>
      </c>
      <c r="C4914" s="4" t="n">
        <v>3450.00</v>
      </c>
      <c r="D4914" s="4"/>
    </row>
    <row collapsed="" customFormat="false" customHeight="1" hidden="" ht="14" outlineLevel="0" r="4915">
      <c r="A4915" s="3" t="inlineStr">
        <is>
          <t>4884</t>
        </is>
      </c>
      <c r="B4915" s="4" t="s">
        <f>=HYPERLINK("http://anyluxury.ru/shop/odezhda/detskaya-odezhda/tolstovka-uniseks-stellar-krasnaya-03568145/" , "03568145 Толстовка унисекс Stellar, красная, размер XL")</f>
      </c>
      <c r="C4915" s="4" t="n">
        <v>3450.00</v>
      </c>
      <c r="D4915" s="4"/>
    </row>
    <row collapsed="" customFormat="false" customHeight="1" hidden="" ht="14" outlineLevel="0" r="4916">
      <c r="A4916" s="3" t="inlineStr">
        <is>
          <t>4885</t>
        </is>
      </c>
      <c r="B4916" s="4" t="s">
        <f>=HYPERLINK("http://anyluxury.ru/shop/odezhda/detskaya-odezhda/tolstovka-uniseks-stellar-krasnaya-03568145/" , "03568145 Толстовка унисекс Stellar, красная, размер XXL")</f>
      </c>
      <c r="C4916" s="4" t="n">
        <v>3450.00</v>
      </c>
      <c r="D4916" s="4"/>
    </row>
    <row collapsed="" customFormat="false" customHeight="1" hidden="" ht="14" outlineLevel="0" r="4917">
      <c r="A4917" s="3" t="inlineStr">
        <is>
          <t>4886</t>
        </is>
      </c>
      <c r="B4917" s="4" t="s">
        <f>=HYPERLINK("http://anyluxury.ru/shop/odezhda/detskaya-odezhda/tolstovka-uniseks-stellar-krasnaya-03568145/" , "03568145 Толстовка унисекс Stellar, красная, размер 3XL")</f>
      </c>
      <c r="C4917" s="4" t="n">
        <v>3855.00</v>
      </c>
      <c r="D4917" s="4"/>
    </row>
    <row collapsed="" customFormat="false" customHeight="1" hidden="" ht="14" outlineLevel="0" r="4918">
      <c r="A4918" s="3" t="inlineStr">
        <is>
          <t>4887</t>
        </is>
      </c>
      <c r="B4918" s="4" t="s">
        <f>=HYPERLINK("http://anyluxury.ru/shop/odezhda/detskaya-odezhda/tolstovka-detskaya-stellar-kids-oranzhevaya-03576403/" , "03576403 Толстовка детская Stellar Kids, оранжевая, на рост 96-104 см (4 года)")</f>
      </c>
      <c r="C4918" s="4" t="n">
        <v>2528.00</v>
      </c>
      <c r="D4918" s="4"/>
    </row>
    <row collapsed="" customFormat="false" customHeight="1" hidden="" ht="14" outlineLevel="0" r="4919">
      <c r="A4919" s="3" t="inlineStr">
        <is>
          <t>4888</t>
        </is>
      </c>
      <c r="B4919" s="4" t="s">
        <f>=HYPERLINK("http://anyluxury.ru/shop/odezhda/detskaya-odezhda/tolstovka-detskaya-stellar-kids-oranzhevaya-03576403/" , "03576403 Толстовка детская Stellar Kids, оранжевая, на рост 106-116 см (6 лет)")</f>
      </c>
      <c r="C4919" s="4" t="n">
        <v>2528.00</v>
      </c>
      <c r="D4919" s="4"/>
    </row>
    <row collapsed="" customFormat="false" customHeight="1" hidden="" ht="14" outlineLevel="0" r="4920">
      <c r="A4920" s="3" t="inlineStr">
        <is>
          <t>4889</t>
        </is>
      </c>
      <c r="B4920" s="4" t="s">
        <f>=HYPERLINK("http://anyluxury.ru/shop/odezhda/detskaya-odezhda/tolstovka-detskaya-stellar-kids-seriy-melanzh-03576360/" , "03576360 Толстовка детская Stellar Kids, серый меланж, на рост 106-116 см (6 лет)")</f>
      </c>
      <c r="C4920" s="4" t="n">
        <v>2528.00</v>
      </c>
      <c r="D4920" s="4"/>
    </row>
    <row collapsed="" customFormat="false" customHeight="1" hidden="" ht="14" outlineLevel="0" r="4921">
      <c r="A4921" s="3" t="inlineStr">
        <is>
          <t>4890</t>
        </is>
      </c>
      <c r="B4921" s="4" t="s">
        <f>=HYPERLINK("http://anyluxury.ru/shop/odezhda/detskaya-odezhda/tolstovka-detskaya-stellar-kids-seriy-melanzh-03576360/" , "03576360 Толстовка детская Stellar Kids, серый меланж, на рост 118-128 см (8 лет)")</f>
      </c>
      <c r="C4921" s="4" t="n">
        <v>2528.00</v>
      </c>
      <c r="D4921" s="4"/>
    </row>
    <row collapsed="" customFormat="false" customHeight="1" hidden="" ht="14" outlineLevel="0" r="4922">
      <c r="A4922" s="3" t="inlineStr">
        <is>
          <t>4891</t>
        </is>
      </c>
      <c r="B4922" s="4" t="s">
        <f>=HYPERLINK("http://anyluxury.ru/shop/odezhda/detskaya-odezhda/tolstovka-detskaya-stellar-kids-krasnaya-03576145/" , "03576145 Толстовка детская Stellar Kids, красная, на рост 96-104 см (4 года)")</f>
      </c>
      <c r="C4922" s="4" t="n">
        <v>2528.00</v>
      </c>
      <c r="D4922" s="4"/>
    </row>
    <row collapsed="" customFormat="false" customHeight="1" hidden="" ht="14" outlineLevel="0" r="4923">
      <c r="A4923" s="3" t="inlineStr">
        <is>
          <t>4892</t>
        </is>
      </c>
      <c r="B4923" s="4" t="s">
        <f>=HYPERLINK("http://anyluxury.ru/shop/odezhda/detskaya-odezhda/tolstovka-detskaya-stellar-kids-belaya-03576102/" , "03576102 Толстовка детская Stellar Kids, белая, на рост 96-104 см (4 года)")</f>
      </c>
      <c r="C4923" s="4" t="n">
        <v>2528.00</v>
      </c>
      <c r="D4923" s="4"/>
    </row>
    <row collapsed="" customFormat="false" customHeight="1" hidden="" ht="14" outlineLevel="0" r="4924">
      <c r="A4924" s="3" t="inlineStr">
        <is>
          <t>4893</t>
        </is>
      </c>
      <c r="B4924" s="4" t="s">
        <f>=HYPERLINK("http://anyluxury.ru/shop/odezhda/detskaya-odezhda/tolstovka-detskaya-stellar-kids-belaya-03576102/" , "03576102 Толстовка детская Stellar Kids, белая, на рост 106-116 см (6 лет)")</f>
      </c>
      <c r="C4924" s="4" t="n">
        <v>2528.00</v>
      </c>
      <c r="D4924" s="4"/>
    </row>
    <row collapsed="" customFormat="false" customHeight="1" hidden="" ht="14" outlineLevel="0" r="4925">
      <c r="A4925" s="3" t="inlineStr">
        <is>
          <t>4894</t>
        </is>
      </c>
      <c r="B4925" s="4" t="s">
        <f>=HYPERLINK("http://anyluxury.ru/shop/odezhda/detskaya-odezhda/svitshot-uniseks-comet-cherniy-03574312/" , "03574312 Свитшот унисекс Comet, черный, размер XS")</f>
      </c>
      <c r="C4925" s="4" t="n">
        <v>2481.00</v>
      </c>
      <c r="D4925" s="4"/>
    </row>
    <row collapsed="" customFormat="false" customHeight="1" hidden="" ht="14" outlineLevel="0" r="4926">
      <c r="A4926" s="3" t="inlineStr">
        <is>
          <t>4895</t>
        </is>
      </c>
      <c r="B4926" s="4" t="s">
        <f>=HYPERLINK("http://anyluxury.ru/shop/odezhda/detskaya-odezhda/svitshot-uniseks-comet-cherniy-03574312/" , "03574312 Свитшот унисекс Comet, черный, размер S")</f>
      </c>
      <c r="C4926" s="4" t="n">
        <v>2481.00</v>
      </c>
      <c r="D4926" s="4"/>
    </row>
    <row collapsed="" customFormat="false" customHeight="1" hidden="" ht="14" outlineLevel="0" r="4927">
      <c r="A4927" s="3" t="inlineStr">
        <is>
          <t>4896</t>
        </is>
      </c>
      <c r="B4927" s="4" t="s">
        <f>=HYPERLINK("http://anyluxury.ru/shop/odezhda/detskaya-odezhda/svitshot-uniseks-comet-cherniy-03574312/" , "03574312 Свитшот унисекс Comet, черный, размер M")</f>
      </c>
      <c r="C4927" s="4" t="n">
        <v>2481.00</v>
      </c>
      <c r="D4927" s="4"/>
    </row>
    <row collapsed="" customFormat="false" customHeight="1" hidden="" ht="14" outlineLevel="0" r="4928">
      <c r="A4928" s="3" t="inlineStr">
        <is>
          <t>4897</t>
        </is>
      </c>
      <c r="B4928" s="4" t="s">
        <f>=HYPERLINK("http://anyluxury.ru/shop/odezhda/detskaya-odezhda/svitshot-uniseks-comet-cherniy-03574312/" , "03574312 Свитшот унисекс Comet, черный, размер L")</f>
      </c>
      <c r="C4928" s="4" t="n">
        <v>2481.00</v>
      </c>
      <c r="D4928" s="4"/>
    </row>
    <row collapsed="" customFormat="false" customHeight="1" hidden="" ht="14" outlineLevel="0" r="4929">
      <c r="A4929" s="3" t="inlineStr">
        <is>
          <t>4898</t>
        </is>
      </c>
      <c r="B4929" s="4" t="s">
        <f>=HYPERLINK("http://anyluxury.ru/shop/odezhda/detskaya-odezhda/svitshot-uniseks-comet-cherniy-03574312/" , "03574312 Свитшот унисекс Comet, черный, размер XL")</f>
      </c>
      <c r="C4929" s="4" t="n">
        <v>2481.00</v>
      </c>
      <c r="D4929" s="4"/>
    </row>
    <row collapsed="" customFormat="false" customHeight="1" hidden="" ht="14" outlineLevel="0" r="4930">
      <c r="A4930" s="3" t="inlineStr">
        <is>
          <t>4899</t>
        </is>
      </c>
      <c r="B4930" s="4" t="s">
        <f>=HYPERLINK("http://anyluxury.ru/shop/odezhda/detskaya-odezhda/svitshot-uniseks-comet-cherniy-03574312/" , "03574312 Свитшот унисекс Comet, черный, размер XXL")</f>
      </c>
      <c r="C4930" s="4" t="n">
        <v>2481.00</v>
      </c>
      <c r="D4930" s="4"/>
    </row>
    <row collapsed="" customFormat="false" customHeight="1" hidden="" ht="14" outlineLevel="0" r="4931">
      <c r="A4931" s="3" t="inlineStr">
        <is>
          <t>4900</t>
        </is>
      </c>
      <c r="B4931" s="4" t="s">
        <f>=HYPERLINK("http://anyluxury.ru/shop/odezhda/detskaya-odezhda/svitshot-uniseks-comet-cherniy-03574312/" , "03574312 Свитшот унисекс Comet, черный, размер 3XL")</f>
      </c>
      <c r="C4931" s="4" t="n">
        <v>2881.00</v>
      </c>
      <c r="D4931" s="4"/>
    </row>
    <row collapsed="" customFormat="false" customHeight="1" hidden="" ht="14" outlineLevel="0" r="4932">
      <c r="A4932" s="3" t="inlineStr">
        <is>
          <t>4901</t>
        </is>
      </c>
      <c r="B4932" s="4" t="s">
        <f>=HYPERLINK("http://anyluxury.ru/shop/odezhda/detskaya-odezhda/svitshot-uniseks-comet-cherniy-03574312/" , "03574312 Свитшот унисекс Comet, черный, размер 4XL")</f>
      </c>
      <c r="C4932" s="4" t="n">
        <v>3741.00</v>
      </c>
      <c r="D4932" s="4"/>
    </row>
    <row collapsed="" customFormat="false" customHeight="1" hidden="" ht="14" outlineLevel="0" r="4933">
      <c r="A4933" s="3" t="inlineStr">
        <is>
          <t>4902</t>
        </is>
      </c>
      <c r="B4933" s="4" t="s">
        <f>=HYPERLINK("http://anyluxury.ru/shop/odezhda/detskaya-odezhda/svitshot-uniseks-comet-temnozeleniy-03574264/" , "03574264 Свитшот унисекс Comet, темно-зеленый, размер XS")</f>
      </c>
      <c r="C4933" s="4" t="n">
        <v>2481.00</v>
      </c>
      <c r="D4933" s="4"/>
    </row>
    <row collapsed="" customFormat="false" customHeight="1" hidden="" ht="14" outlineLevel="0" r="4934">
      <c r="A4934" s="3" t="inlineStr">
        <is>
          <t>4903</t>
        </is>
      </c>
      <c r="B4934" s="4" t="s">
        <f>=HYPERLINK("http://anyluxury.ru/shop/odezhda/detskaya-odezhda/svitshot-uniseks-comet-temnozeleniy-03574264/" , "03574264 Свитшот унисекс Comet, темно-зеленый, размер S")</f>
      </c>
      <c r="C4934" s="4" t="n">
        <v>2481.00</v>
      </c>
      <c r="D4934" s="4"/>
    </row>
    <row collapsed="" customFormat="false" customHeight="1" hidden="" ht="14" outlineLevel="0" r="4935">
      <c r="A4935" s="3" t="inlineStr">
        <is>
          <t>4904</t>
        </is>
      </c>
      <c r="B4935" s="4" t="s">
        <f>=HYPERLINK("http://anyluxury.ru/shop/odezhda/detskaya-odezhda/svitshot-uniseks-comet-temnozeleniy-03574264/" , "03574264 Свитшот унисекс Comet, темно-зеленый, размер M")</f>
      </c>
      <c r="C4935" s="4" t="n">
        <v>2481.00</v>
      </c>
      <c r="D4935" s="4"/>
    </row>
    <row collapsed="" customFormat="false" customHeight="1" hidden="" ht="14" outlineLevel="0" r="4936">
      <c r="A4936" s="3" t="inlineStr">
        <is>
          <t>4905</t>
        </is>
      </c>
      <c r="B4936" s="4" t="s">
        <f>=HYPERLINK("http://anyluxury.ru/shop/odezhda/detskaya-odezhda/svitshot-uniseks-comet-temnozeleniy-03574264/" , "03574264 Свитшот унисекс Comet, темно-зеленый, размер L")</f>
      </c>
      <c r="C4936" s="4" t="n">
        <v>2481.00</v>
      </c>
      <c r="D4936" s="4"/>
    </row>
    <row collapsed="" customFormat="false" customHeight="1" hidden="" ht="14" outlineLevel="0" r="4937">
      <c r="A4937" s="3" t="inlineStr">
        <is>
          <t>4906</t>
        </is>
      </c>
      <c r="B4937" s="4" t="s">
        <f>=HYPERLINK("http://anyluxury.ru/shop/odezhda/detskaya-odezhda/svitshot-uniseks-comet-temnozeleniy-03574264/" , "03574264 Свитшот унисекс Comet, темно-зеленый, размер XL")</f>
      </c>
      <c r="C4937" s="4" t="n">
        <v>2481.00</v>
      </c>
      <c r="D4937" s="4"/>
    </row>
    <row collapsed="" customFormat="false" customHeight="1" hidden="" ht="14" outlineLevel="0" r="4938">
      <c r="A4938" s="3" t="inlineStr">
        <is>
          <t>4907</t>
        </is>
      </c>
      <c r="B4938" s="4" t="s">
        <f>=HYPERLINK("http://anyluxury.ru/shop/odezhda/detskaya-odezhda/svitshot-uniseks-comet-temnozeleniy-03574264/" , "03574264 Свитшот унисекс Comet, темно-зеленый, размер XXL")</f>
      </c>
      <c r="C4938" s="4" t="n">
        <v>2481.00</v>
      </c>
      <c r="D4938" s="4"/>
    </row>
    <row collapsed="" customFormat="false" customHeight="1" hidden="" ht="14" outlineLevel="0" r="4939">
      <c r="A4939" s="3" t="inlineStr">
        <is>
          <t>4908</t>
        </is>
      </c>
      <c r="B4939" s="4" t="s">
        <f>=HYPERLINK("http://anyluxury.ru/shop/odezhda/detskaya-odezhda/svitshot-uniseks-comet-temnozeleniy-03574264/" , "03574264 Свитшот унисекс Comet, темно-зеленый, размер 3XL")</f>
      </c>
      <c r="C4939" s="4" t="n">
        <v>2881.00</v>
      </c>
      <c r="D4939" s="4"/>
    </row>
    <row collapsed="" customFormat="false" customHeight="1" hidden="" ht="14" outlineLevel="0" r="4940">
      <c r="A4940" s="3" t="inlineStr">
        <is>
          <t>4909</t>
        </is>
      </c>
      <c r="B4940" s="4" t="s">
        <f>=HYPERLINK("http://anyluxury.ru/shop/odezhda/detskaya-odezhda/svitshot-uniseks-comet-temnozeleniy-03574264/" , "03574264 Свитшот унисекс Comet, темно-зеленый, размер 4XL")</f>
      </c>
      <c r="C4940" s="4" t="n">
        <v>3741.00</v>
      </c>
      <c r="D4940" s="4"/>
    </row>
    <row collapsed="" customFormat="false" customHeight="1" hidden="" ht="14" outlineLevel="0" r="4941">
      <c r="A4941" s="3" t="inlineStr">
        <is>
          <t>4910</t>
        </is>
      </c>
      <c r="B4941" s="4" t="s">
        <f>=HYPERLINK("http://anyluxury.ru/shop/odezhda/detskaya-odezhda/svitshot-uniseks-comet-temnoseriy-03574373/" , "03574373 Свитшот унисекс Comet, темно-серый, размер XS")</f>
      </c>
      <c r="C4941" s="4" t="n">
        <v>2481.00</v>
      </c>
      <c r="D4941" s="4"/>
    </row>
    <row collapsed="" customFormat="false" customHeight="1" hidden="" ht="14" outlineLevel="0" r="4942">
      <c r="A4942" s="3" t="inlineStr">
        <is>
          <t>4911</t>
        </is>
      </c>
      <c r="B4942" s="4" t="s">
        <f>=HYPERLINK("http://anyluxury.ru/shop/odezhda/detskaya-odezhda/svitshot-uniseks-comet-temnoseriy-03574373/" , "03574373 Свитшот унисекс Comet, темно-серый, размер S")</f>
      </c>
      <c r="C4942" s="4" t="n">
        <v>2481.00</v>
      </c>
      <c r="D4942" s="4"/>
    </row>
    <row collapsed="" customFormat="false" customHeight="1" hidden="" ht="14" outlineLevel="0" r="4943">
      <c r="A4943" s="3" t="inlineStr">
        <is>
          <t>4912</t>
        </is>
      </c>
      <c r="B4943" s="4" t="s">
        <f>=HYPERLINK("http://anyluxury.ru/shop/odezhda/detskaya-odezhda/svitshot-uniseks-comet-temnoseriy-03574373/" , "03574373 Свитшот унисекс Comet, темно-серый, размер M")</f>
      </c>
      <c r="C4943" s="4" t="n">
        <v>2481.00</v>
      </c>
      <c r="D4943" s="4"/>
    </row>
    <row collapsed="" customFormat="false" customHeight="1" hidden="" ht="14" outlineLevel="0" r="4944">
      <c r="A4944" s="3" t="inlineStr">
        <is>
          <t>4913</t>
        </is>
      </c>
      <c r="B4944" s="4" t="s">
        <f>=HYPERLINK("http://anyluxury.ru/shop/odezhda/detskaya-odezhda/svitshot-uniseks-comet-temnoseriy-03574373/" , "03574373 Свитшот унисекс Comet, темно-серый, размер L")</f>
      </c>
      <c r="C4944" s="4" t="n">
        <v>2481.00</v>
      </c>
      <c r="D4944" s="4"/>
    </row>
    <row collapsed="" customFormat="false" customHeight="1" hidden="" ht="14" outlineLevel="0" r="4945">
      <c r="A4945" s="3" t="inlineStr">
        <is>
          <t>4914</t>
        </is>
      </c>
      <c r="B4945" s="4" t="s">
        <f>=HYPERLINK("http://anyluxury.ru/shop/odezhda/detskaya-odezhda/svitshot-uniseks-comet-temnoseriy-03574373/" , "03574373 Свитшот унисекс Comet, темно-серый, размер XL")</f>
      </c>
      <c r="C4945" s="4" t="n">
        <v>2481.00</v>
      </c>
      <c r="D4945" s="4"/>
    </row>
    <row collapsed="" customFormat="false" customHeight="1" hidden="" ht="14" outlineLevel="0" r="4946">
      <c r="A4946" s="3" t="inlineStr">
        <is>
          <t>4915</t>
        </is>
      </c>
      <c r="B4946" s="4" t="s">
        <f>=HYPERLINK("http://anyluxury.ru/shop/odezhda/detskaya-odezhda/svitshot-uniseks-comet-temnoseriy-03574373/" , "03574373 Свитшот унисекс Comet, темно-серый, размер XXL")</f>
      </c>
      <c r="C4946" s="4" t="n">
        <v>2481.00</v>
      </c>
      <c r="D4946" s="4"/>
    </row>
    <row collapsed="" customFormat="false" customHeight="1" hidden="" ht="14" outlineLevel="0" r="4947">
      <c r="A4947" s="3" t="inlineStr">
        <is>
          <t>4916</t>
        </is>
      </c>
      <c r="B4947" s="4" t="s">
        <f>=HYPERLINK("http://anyluxury.ru/shop/odezhda/detskaya-odezhda/svitshot-uniseks-comet-temnoseriy-03574373/" , "03574373 Свитшот унисекс Comet, темно-серый, размер 3XL")</f>
      </c>
      <c r="C4947" s="4" t="n">
        <v>2881.00</v>
      </c>
      <c r="D4947" s="4"/>
    </row>
    <row collapsed="" customFormat="false" customHeight="1" hidden="" ht="14" outlineLevel="0" r="4948">
      <c r="A4948" s="3" t="inlineStr">
        <is>
          <t>4917</t>
        </is>
      </c>
      <c r="B4948" s="4" t="s">
        <f>=HYPERLINK("http://anyluxury.ru/shop/odezhda/detskaya-odezhda/svitshot-uniseks-comet-temnoseriy-03574373/" , "03574373 Свитшот унисекс Comet, темно-серый, размер 4XL")</f>
      </c>
      <c r="C4948" s="4" t="n">
        <v>3741.00</v>
      </c>
      <c r="D4948" s="4"/>
    </row>
    <row collapsed="" customFormat="false" customHeight="1" hidden="" ht="14" outlineLevel="0" r="4949">
      <c r="A4949" s="3" t="inlineStr">
        <is>
          <t>4918</t>
        </is>
      </c>
      <c r="B4949" s="4" t="s">
        <f>=HYPERLINK("http://anyluxury.ru/shop/odezhda/detskaya-odezhda/svitshot-uniseks-comet-temnosiniy-03574319/" , "03574319 Свитшот унисекс Comet, темно-синий, размер XS")</f>
      </c>
      <c r="C4949" s="4" t="n">
        <v>2481.00</v>
      </c>
      <c r="D4949" s="4"/>
    </row>
    <row collapsed="" customFormat="false" customHeight="1" hidden="" ht="14" outlineLevel="0" r="4950">
      <c r="A4950" s="3" t="inlineStr">
        <is>
          <t>4919</t>
        </is>
      </c>
      <c r="B4950" s="4" t="s">
        <f>=HYPERLINK("http://anyluxury.ru/shop/odezhda/detskaya-odezhda/svitshot-uniseks-comet-temnosiniy-03574319/" , "03574319 Свитшот унисекс Comet, темно-синий, размер S")</f>
      </c>
      <c r="C4950" s="4" t="n">
        <v>2481.00</v>
      </c>
      <c r="D4950" s="4"/>
    </row>
    <row collapsed="" customFormat="false" customHeight="1" hidden="" ht="14" outlineLevel="0" r="4951">
      <c r="A4951" s="3" t="inlineStr">
        <is>
          <t>4920</t>
        </is>
      </c>
      <c r="B4951" s="4" t="s">
        <f>=HYPERLINK("http://anyluxury.ru/shop/odezhda/detskaya-odezhda/svitshot-uniseks-comet-temnosiniy-03574319/" , "03574319 Свитшот унисекс Comet, темно-синий, размер M")</f>
      </c>
      <c r="C4951" s="4" t="n">
        <v>2481.00</v>
      </c>
      <c r="D4951" s="4"/>
    </row>
    <row collapsed="" customFormat="false" customHeight="1" hidden="" ht="14" outlineLevel="0" r="4952">
      <c r="A4952" s="3" t="inlineStr">
        <is>
          <t>4921</t>
        </is>
      </c>
      <c r="B4952" s="4" t="s">
        <f>=HYPERLINK("http://anyluxury.ru/shop/odezhda/detskaya-odezhda/svitshot-uniseks-comet-temnosiniy-03574319/" , "03574319 Свитшот унисекс Comet, темно-синий, размер L")</f>
      </c>
      <c r="C4952" s="4" t="n">
        <v>2481.00</v>
      </c>
      <c r="D4952" s="4"/>
    </row>
    <row collapsed="" customFormat="false" customHeight="1" hidden="" ht="14" outlineLevel="0" r="4953">
      <c r="A4953" s="3" t="inlineStr">
        <is>
          <t>4922</t>
        </is>
      </c>
      <c r="B4953" s="4" t="s">
        <f>=HYPERLINK("http://anyluxury.ru/shop/odezhda/detskaya-odezhda/svitshot-uniseks-comet-temnosiniy-03574319/" , "03574319 Свитшот унисекс Comet, темно-синий, размер XL")</f>
      </c>
      <c r="C4953" s="4" t="n">
        <v>2481.00</v>
      </c>
      <c r="D4953" s="4"/>
    </row>
    <row collapsed="" customFormat="false" customHeight="1" hidden="" ht="14" outlineLevel="0" r="4954">
      <c r="A4954" s="3" t="inlineStr">
        <is>
          <t>4923</t>
        </is>
      </c>
      <c r="B4954" s="4" t="s">
        <f>=HYPERLINK("http://anyluxury.ru/shop/odezhda/detskaya-odezhda/svitshot-uniseks-comet-temnosiniy-03574319/" , "03574319 Свитшот унисекс Comet, темно-синий, размер XXL")</f>
      </c>
      <c r="C4954" s="4" t="n">
        <v>2481.00</v>
      </c>
      <c r="D4954" s="4"/>
    </row>
    <row collapsed="" customFormat="false" customHeight="1" hidden="" ht="14" outlineLevel="0" r="4955">
      <c r="A4955" s="3" t="inlineStr">
        <is>
          <t>4924</t>
        </is>
      </c>
      <c r="B4955" s="4" t="s">
        <f>=HYPERLINK("http://anyluxury.ru/shop/odezhda/detskaya-odezhda/svitshot-uniseks-comet-temnosiniy-03574319/" , "03574319 Свитшот унисекс Comet, темно-синий, размер 3XL")</f>
      </c>
      <c r="C4955" s="4" t="n">
        <v>2881.00</v>
      </c>
      <c r="D4955" s="4"/>
    </row>
    <row collapsed="" customFormat="false" customHeight="1" hidden="" ht="14" outlineLevel="0" r="4956">
      <c r="A4956" s="3" t="inlineStr">
        <is>
          <t>4925</t>
        </is>
      </c>
      <c r="B4956" s="4" t="s">
        <f>=HYPERLINK("http://anyluxury.ru/shop/odezhda/detskaya-odezhda/svitshot-uniseks-comet-temnosiniy-03574319/" , "03574319 Свитшот унисекс Comet, темно-синий, размер 4XL")</f>
      </c>
      <c r="C4956" s="4" t="n">
        <v>3741.00</v>
      </c>
      <c r="D4956" s="4"/>
    </row>
    <row collapsed="" customFormat="false" customHeight="1" hidden="" ht="14" outlineLevel="0" r="4957">
      <c r="A4957" s="3" t="inlineStr">
        <is>
          <t>4926</t>
        </is>
      </c>
      <c r="B4957" s="4" t="s">
        <f>=HYPERLINK("http://anyluxury.ru/shop/odezhda/detskaya-odezhda/svitshot-uniseks-comet-seriy-melanzh-03574360/" , "03574360 Свитшот унисекс Comet, серый меланж, размер XS")</f>
      </c>
      <c r="C4957" s="4" t="n">
        <v>2481.00</v>
      </c>
      <c r="D4957" s="4"/>
    </row>
    <row collapsed="" customFormat="false" customHeight="1" hidden="" ht="14" outlineLevel="0" r="4958">
      <c r="A4958" s="3" t="inlineStr">
        <is>
          <t>4927</t>
        </is>
      </c>
      <c r="B4958" s="4" t="s">
        <f>=HYPERLINK("http://anyluxury.ru/shop/odezhda/detskaya-odezhda/svitshot-uniseks-comet-seriy-melanzh-03574360/" , "03574360 Свитшот унисекс Comet, серый меланж, размер S")</f>
      </c>
      <c r="C4958" s="4" t="n">
        <v>2481.00</v>
      </c>
      <c r="D4958" s="4"/>
    </row>
    <row collapsed="" customFormat="false" customHeight="1" hidden="" ht="14" outlineLevel="0" r="4959">
      <c r="A4959" s="3" t="inlineStr">
        <is>
          <t>4928</t>
        </is>
      </c>
      <c r="B4959" s="4" t="s">
        <f>=HYPERLINK("http://anyluxury.ru/shop/odezhda/detskaya-odezhda/svitshot-uniseks-comet-seriy-melanzh-03574360/" , "03574360 Свитшот унисекс Comet, серый меланж, размер M")</f>
      </c>
      <c r="C4959" s="4" t="n">
        <v>2481.00</v>
      </c>
      <c r="D4959" s="4"/>
    </row>
    <row collapsed="" customFormat="false" customHeight="1" hidden="" ht="14" outlineLevel="0" r="4960">
      <c r="A4960" s="3" t="inlineStr">
        <is>
          <t>4929</t>
        </is>
      </c>
      <c r="B4960" s="4" t="s">
        <f>=HYPERLINK("http://anyluxury.ru/shop/odezhda/detskaya-odezhda/svitshot-uniseks-comet-seriy-melanzh-03574360/" , "03574360 Свитшот унисекс Comet, серый меланж, размер L")</f>
      </c>
      <c r="C4960" s="4" t="n">
        <v>2481.00</v>
      </c>
      <c r="D4960" s="4"/>
    </row>
    <row collapsed="" customFormat="false" customHeight="1" hidden="" ht="14" outlineLevel="0" r="4961">
      <c r="A4961" s="3" t="inlineStr">
        <is>
          <t>4930</t>
        </is>
      </c>
      <c r="B4961" s="4" t="s">
        <f>=HYPERLINK("http://anyluxury.ru/shop/odezhda/detskaya-odezhda/svitshot-uniseks-comet-seriy-melanzh-03574360/" , "03574360 Свитшот унисекс Comet, серый меланж, размер XL")</f>
      </c>
      <c r="C4961" s="4" t="n">
        <v>2481.00</v>
      </c>
      <c r="D4961" s="4"/>
    </row>
    <row collapsed="" customFormat="false" customHeight="1" hidden="" ht="14" outlineLevel="0" r="4962">
      <c r="A4962" s="3" t="inlineStr">
        <is>
          <t>4931</t>
        </is>
      </c>
      <c r="B4962" s="4" t="s">
        <f>=HYPERLINK("http://anyluxury.ru/shop/odezhda/detskaya-odezhda/svitshot-uniseks-comet-seriy-melanzh-03574360/" , "03574360 Свитшот унисекс Comet, серый меланж, размер XXL")</f>
      </c>
      <c r="C4962" s="4" t="n">
        <v>2481.00</v>
      </c>
      <c r="D4962" s="4"/>
    </row>
    <row collapsed="" customFormat="false" customHeight="1" hidden="" ht="14" outlineLevel="0" r="4963">
      <c r="A4963" s="3" t="inlineStr">
        <is>
          <t>4932</t>
        </is>
      </c>
      <c r="B4963" s="4" t="s">
        <f>=HYPERLINK("http://anyluxury.ru/shop/odezhda/detskaya-odezhda/svitshot-uniseks-comet-seriy-melanzh-03574360/" , "03574360 Свитшот унисекс Comet, серый меланж, размер 3XL")</f>
      </c>
      <c r="C4963" s="4" t="n">
        <v>2881.00</v>
      </c>
      <c r="D4963" s="4"/>
    </row>
    <row collapsed="" customFormat="false" customHeight="1" hidden="" ht="14" outlineLevel="0" r="4964">
      <c r="A4964" s="3" t="inlineStr">
        <is>
          <t>4933</t>
        </is>
      </c>
      <c r="B4964" s="4" t="s">
        <f>=HYPERLINK("http://anyluxury.ru/shop/odezhda/detskaya-odezhda/svitshot-uniseks-comet-seriy-melanzh-03574360/" , "03574360 Свитшот унисекс Comet, серый меланж, размер 4XL")</f>
      </c>
      <c r="C4964" s="4" t="n">
        <v>3741.00</v>
      </c>
      <c r="D4964" s="4"/>
    </row>
    <row collapsed="" customFormat="false" customHeight="1" hidden="" ht="14" outlineLevel="0" r="4965">
      <c r="A4965" s="3" t="inlineStr">
        <is>
          <t>4934</t>
        </is>
      </c>
      <c r="B4965" s="4" t="s">
        <f>=HYPERLINK("http://anyluxury.ru/shop/odezhda/detskaya-odezhda/svitshot-uniseks-comet-krasniy-03574145/" , "03574145 Свитшот унисекс Comet, красный, размер XS")</f>
      </c>
      <c r="C4965" s="4" t="n">
        <v>2481.00</v>
      </c>
      <c r="D4965" s="4"/>
    </row>
    <row collapsed="" customFormat="false" customHeight="1" hidden="" ht="14" outlineLevel="0" r="4966">
      <c r="A4966" s="3" t="inlineStr">
        <is>
          <t>4935</t>
        </is>
      </c>
      <c r="B4966" s="4" t="s">
        <f>=HYPERLINK("http://anyluxury.ru/shop/odezhda/detskaya-odezhda/svitshot-uniseks-comet-krasniy-03574145/" , "03574145 Свитшот унисекс Comet, красный, размер S")</f>
      </c>
      <c r="C4966" s="4" t="n">
        <v>2481.00</v>
      </c>
      <c r="D4966" s="4"/>
    </row>
    <row collapsed="" customFormat="false" customHeight="1" hidden="" ht="14" outlineLevel="0" r="4967">
      <c r="A4967" s="3" t="inlineStr">
        <is>
          <t>4936</t>
        </is>
      </c>
      <c r="B4967" s="4" t="s">
        <f>=HYPERLINK("http://anyluxury.ru/shop/odezhda/detskaya-odezhda/svitshot-uniseks-comet-krasniy-03574145/" , "03574145 Свитшот унисекс Comet, красный, размер M")</f>
      </c>
      <c r="C4967" s="4" t="n">
        <v>2481.00</v>
      </c>
      <c r="D4967" s="4"/>
    </row>
    <row collapsed="" customFormat="false" customHeight="1" hidden="" ht="14" outlineLevel="0" r="4968">
      <c r="A4968" s="3" t="inlineStr">
        <is>
          <t>4937</t>
        </is>
      </c>
      <c r="B4968" s="4" t="s">
        <f>=HYPERLINK("http://anyluxury.ru/shop/odezhda/detskaya-odezhda/svitshot-uniseks-comet-krasniy-03574145/" , "03574145 Свитшот унисекс Comet, красный, размер L")</f>
      </c>
      <c r="C4968" s="4" t="n">
        <v>2481.00</v>
      </c>
      <c r="D4968" s="4"/>
    </row>
    <row collapsed="" customFormat="false" customHeight="1" hidden="" ht="14" outlineLevel="0" r="4969">
      <c r="A4969" s="3" t="inlineStr">
        <is>
          <t>4938</t>
        </is>
      </c>
      <c r="B4969" s="4" t="s">
        <f>=HYPERLINK("http://anyluxury.ru/shop/odezhda/detskaya-odezhda/svitshot-uniseks-comet-krasniy-03574145/" , "03574145 Свитшот унисекс Comet, красный, размер XL")</f>
      </c>
      <c r="C4969" s="4" t="n">
        <v>2481.00</v>
      </c>
      <c r="D4969" s="4"/>
    </row>
    <row collapsed="" customFormat="false" customHeight="1" hidden="" ht="14" outlineLevel="0" r="4970">
      <c r="A4970" s="3" t="inlineStr">
        <is>
          <t>4939</t>
        </is>
      </c>
      <c r="B4970" s="4" t="s">
        <f>=HYPERLINK("http://anyluxury.ru/shop/odezhda/detskaya-odezhda/svitshot-uniseks-comet-krasniy-03574145/" , "03574145 Свитшот унисекс Comet, красный, размер XXL")</f>
      </c>
      <c r="C4970" s="4" t="n">
        <v>2481.00</v>
      </c>
      <c r="D4970" s="4"/>
    </row>
    <row collapsed="" customFormat="false" customHeight="1" hidden="" ht="14" outlineLevel="0" r="4971">
      <c r="A4971" s="3" t="inlineStr">
        <is>
          <t>4940</t>
        </is>
      </c>
      <c r="B4971" s="4" t="s">
        <f>=HYPERLINK("http://anyluxury.ru/shop/odezhda/detskaya-odezhda/svitshot-uniseks-comet-krasniy-03574145/" , "03574145 Свитшот унисекс Comet, красный, размер 3XL")</f>
      </c>
      <c r="C4971" s="4" t="n">
        <v>2881.00</v>
      </c>
      <c r="D4971" s="4"/>
    </row>
    <row collapsed="" customFormat="false" customHeight="1" hidden="" ht="14" outlineLevel="0" r="4972">
      <c r="A4972" s="3" t="inlineStr">
        <is>
          <t>4941</t>
        </is>
      </c>
      <c r="B4972" s="4" t="s">
        <f>=HYPERLINK("http://anyluxury.ru/shop/odezhda/detskaya-odezhda/svitshot-uniseks-comet-krasniy-03574145/" , "03574145 Свитшот унисекс Comet, красный, размер 4XL")</f>
      </c>
      <c r="C4972" s="4" t="n">
        <v>3741.00</v>
      </c>
      <c r="D4972" s="4"/>
    </row>
    <row collapsed="" customFormat="false" customHeight="1" hidden="" ht="14" outlineLevel="0" r="4973">
      <c r="A4973" s="3" t="inlineStr">
        <is>
          <t>4942</t>
        </is>
      </c>
      <c r="B4973" s="4" t="s">
        <f>=HYPERLINK("http://anyluxury.ru/shop/odezhda/detskaya-odezhda/svitshot-uniseks-comet-yarkosiniy-03574241/" , "03574241 Свитшот унисекс Comet, ярко-синий, размер XS")</f>
      </c>
      <c r="C4973" s="4" t="n">
        <v>2481.00</v>
      </c>
      <c r="D4973" s="4"/>
    </row>
    <row collapsed="" customFormat="false" customHeight="1" hidden="" ht="14" outlineLevel="0" r="4974">
      <c r="A4974" s="3" t="inlineStr">
        <is>
          <t>4943</t>
        </is>
      </c>
      <c r="B4974" s="4" t="s">
        <f>=HYPERLINK("http://anyluxury.ru/shop/odezhda/detskaya-odezhda/svitshot-uniseks-comet-yarkosiniy-03574241/" , "03574241 Свитшот унисекс Comet, ярко-синий, размер S")</f>
      </c>
      <c r="C4974" s="4" t="n">
        <v>2481.00</v>
      </c>
      <c r="D4974" s="4"/>
    </row>
    <row collapsed="" customFormat="false" customHeight="1" hidden="" ht="14" outlineLevel="0" r="4975">
      <c r="A4975" s="3" t="inlineStr">
        <is>
          <t>4944</t>
        </is>
      </c>
      <c r="B4975" s="4" t="s">
        <f>=HYPERLINK("http://anyluxury.ru/shop/odezhda/detskaya-odezhda/svitshot-uniseks-comet-yarkosiniy-03574241/" , "03574241 Свитшот унисекс Comet, ярко-синий, размер M")</f>
      </c>
      <c r="C4975" s="4" t="n">
        <v>2481.00</v>
      </c>
      <c r="D4975" s="4"/>
    </row>
    <row collapsed="" customFormat="false" customHeight="1" hidden="" ht="14" outlineLevel="0" r="4976">
      <c r="A4976" s="3" t="inlineStr">
        <is>
          <t>4945</t>
        </is>
      </c>
      <c r="B4976" s="4" t="s">
        <f>=HYPERLINK("http://anyluxury.ru/shop/odezhda/detskaya-odezhda/svitshot-uniseks-comet-yarkosiniy-03574241/" , "03574241 Свитшот унисекс Comet, ярко-синий, размер L")</f>
      </c>
      <c r="C4976" s="4" t="n">
        <v>2481.00</v>
      </c>
      <c r="D4976" s="4"/>
    </row>
    <row collapsed="" customFormat="false" customHeight="1" hidden="" ht="14" outlineLevel="0" r="4977">
      <c r="A4977" s="3" t="inlineStr">
        <is>
          <t>4946</t>
        </is>
      </c>
      <c r="B4977" s="4" t="s">
        <f>=HYPERLINK("http://anyluxury.ru/shop/odezhda/detskaya-odezhda/svitshot-uniseks-comet-yarkosiniy-03574241/" , "03574241 Свитшот унисекс Comet, ярко-синий, размер XL")</f>
      </c>
      <c r="C4977" s="4" t="n">
        <v>2481.00</v>
      </c>
      <c r="D4977" s="4"/>
    </row>
    <row collapsed="" customFormat="false" customHeight="1" hidden="" ht="14" outlineLevel="0" r="4978">
      <c r="A4978" s="3" t="inlineStr">
        <is>
          <t>4947</t>
        </is>
      </c>
      <c r="B4978" s="4" t="s">
        <f>=HYPERLINK("http://anyluxury.ru/shop/odezhda/detskaya-odezhda/svitshot-uniseks-comet-yarkosiniy-03574241/" , "03574241 Свитшот унисекс Comet, ярко-синий, размер XXL")</f>
      </c>
      <c r="C4978" s="4" t="n">
        <v>2481.00</v>
      </c>
      <c r="D4978" s="4"/>
    </row>
    <row collapsed="" customFormat="false" customHeight="1" hidden="" ht="14" outlineLevel="0" r="4979">
      <c r="A4979" s="3" t="inlineStr">
        <is>
          <t>4948</t>
        </is>
      </c>
      <c r="B4979" s="4" t="s">
        <f>=HYPERLINK("http://anyluxury.ru/shop/odezhda/detskaya-odezhda/svitshot-uniseks-comet-yarkosiniy-03574241/" , "03574241 Свитшот унисекс Comet, ярко-синий, размер 3XL")</f>
      </c>
      <c r="C4979" s="4" t="n">
        <v>2881.00</v>
      </c>
      <c r="D4979" s="4"/>
    </row>
    <row collapsed="" customFormat="false" customHeight="1" hidden="" ht="14" outlineLevel="0" r="4980">
      <c r="A4980" s="3" t="inlineStr">
        <is>
          <t>4949</t>
        </is>
      </c>
      <c r="B4980" s="4" t="s">
        <f>=HYPERLINK("http://anyluxury.ru/shop/odezhda/detskaya-odezhda/svitshot-uniseks-comet-yarkosiniy-03574241/" , "03574241 Свитшот унисекс Comet, ярко-синий, размер 4XL")</f>
      </c>
      <c r="C4980" s="4" t="n">
        <v>3741.00</v>
      </c>
      <c r="D4980" s="4"/>
    </row>
    <row collapsed="" customFormat="false" customHeight="1" hidden="" ht="14" outlineLevel="0" r="4981">
      <c r="A4981" s="3" t="inlineStr">
        <is>
          <t>4950</t>
        </is>
      </c>
      <c r="B4981" s="4" t="s">
        <f>=HYPERLINK("http://anyluxury.ru/shop/odezhda/detskaya-odezhda/svitshot-uniseks-comet-beliy-03574102/" , "03574102 Свитшот унисекс Comet, белый, размер XS")</f>
      </c>
      <c r="C4981" s="4" t="n">
        <v>2481.00</v>
      </c>
      <c r="D4981" s="4"/>
    </row>
    <row collapsed="" customFormat="false" customHeight="1" hidden="" ht="14" outlineLevel="0" r="4982">
      <c r="A4982" s="3" t="inlineStr">
        <is>
          <t>4951</t>
        </is>
      </c>
      <c r="B4982" s="4" t="s">
        <f>=HYPERLINK("http://anyluxury.ru/shop/odezhda/detskaya-odezhda/svitshot-uniseks-comet-beliy-03574102/" , "03574102 Свитшот унисекс Comet, белый, размер S")</f>
      </c>
      <c r="C4982" s="4" t="n">
        <v>2481.00</v>
      </c>
      <c r="D4982" s="4"/>
    </row>
    <row collapsed="" customFormat="false" customHeight="1" hidden="" ht="14" outlineLevel="0" r="4983">
      <c r="A4983" s="3" t="inlineStr">
        <is>
          <t>4952</t>
        </is>
      </c>
      <c r="B4983" s="4" t="s">
        <f>=HYPERLINK("http://anyluxury.ru/shop/odezhda/detskaya-odezhda/svitshot-uniseks-comet-beliy-03574102/" , "03574102 Свитшот унисекс Comet, белый, размер M")</f>
      </c>
      <c r="C4983" s="4" t="n">
        <v>2481.00</v>
      </c>
      <c r="D4983" s="4"/>
    </row>
    <row collapsed="" customFormat="false" customHeight="1" hidden="" ht="14" outlineLevel="0" r="4984">
      <c r="A4984" s="3" t="inlineStr">
        <is>
          <t>4953</t>
        </is>
      </c>
      <c r="B4984" s="4" t="s">
        <f>=HYPERLINK("http://anyluxury.ru/shop/odezhda/detskaya-odezhda/svitshot-uniseks-comet-beliy-03574102/" , "03574102 Свитшот унисекс Comet, белый, размер L")</f>
      </c>
      <c r="C4984" s="4" t="n">
        <v>2481.00</v>
      </c>
      <c r="D4984" s="4"/>
    </row>
    <row collapsed="" customFormat="false" customHeight="1" hidden="" ht="14" outlineLevel="0" r="4985">
      <c r="A4985" s="3" t="inlineStr">
        <is>
          <t>4954</t>
        </is>
      </c>
      <c r="B4985" s="4" t="s">
        <f>=HYPERLINK("http://anyluxury.ru/shop/odezhda/detskaya-odezhda/svitshot-uniseks-comet-beliy-03574102/" , "03574102 Свитшот унисекс Comet, белый, размер XL")</f>
      </c>
      <c r="C4985" s="4" t="n">
        <v>2481.00</v>
      </c>
      <c r="D4985" s="4"/>
    </row>
    <row collapsed="" customFormat="false" customHeight="1" hidden="" ht="14" outlineLevel="0" r="4986">
      <c r="A4986" s="3" t="inlineStr">
        <is>
          <t>4955</t>
        </is>
      </c>
      <c r="B4986" s="4" t="s">
        <f>=HYPERLINK("http://anyluxury.ru/shop/odezhda/detskaya-odezhda/svitshot-uniseks-comet-beliy-03574102/" , "03574102 Свитшот унисекс Comet, белый, размер XXL")</f>
      </c>
      <c r="C4986" s="4" t="n">
        <v>2481.00</v>
      </c>
      <c r="D4986" s="4"/>
    </row>
    <row collapsed="" customFormat="false" customHeight="1" hidden="" ht="14" outlineLevel="0" r="4987">
      <c r="A4987" s="3" t="inlineStr">
        <is>
          <t>4956</t>
        </is>
      </c>
      <c r="B4987" s="4" t="s">
        <f>=HYPERLINK("http://anyluxury.ru/shop/odezhda/detskaya-odezhda/svitshot-uniseks-comet-beliy-03574102/" , "03574102 Свитшот унисекс Comet, белый, размер 3XL")</f>
      </c>
      <c r="C4987" s="4" t="n">
        <v>2881.00</v>
      </c>
      <c r="D4987" s="4"/>
    </row>
    <row collapsed="" customFormat="false" customHeight="1" hidden="" ht="14" outlineLevel="0" r="4988">
      <c r="A4988" s="3" t="inlineStr">
        <is>
          <t>4957</t>
        </is>
      </c>
      <c r="B4988" s="4" t="s">
        <f>=HYPERLINK("http://anyluxury.ru/shop/odezhda/detskaya-odezhda/svitshot-uniseks-comet-beliy-03574102/" , "03574102 Свитшот унисекс Comet, белый, размер 4XL")</f>
      </c>
      <c r="C4988" s="4" t="n">
        <v>3741.00</v>
      </c>
      <c r="D4988" s="4"/>
    </row>
    <row collapsed="" customFormat="false" customHeight="1" hidden="" ht="14" outlineLevel="0" r="4989">
      <c r="A4989" s="3" t="inlineStr">
        <is>
          <t>4958</t>
        </is>
      </c>
      <c r="B4989" s="4" t="s">
        <f>=HYPERLINK("http://anyluxury.ru/shop/odezhda/detskaya-odezhda/futbolka-detskaya-pioneer-kids-zelenoe-yabloko-03578280/" , "03578280 Футболка детская Pioneer Kids, зеленое яблоко, на рост 96-104 см (4 года)")</f>
      </c>
      <c r="C4989" s="4" t="n">
        <v>648.00</v>
      </c>
      <c r="D4989" s="4"/>
    </row>
    <row collapsed="" customFormat="false" customHeight="1" hidden="" ht="14" outlineLevel="0" r="4990">
      <c r="A4990" s="3" t="inlineStr">
        <is>
          <t>4959</t>
        </is>
      </c>
      <c r="B4990" s="4" t="s">
        <f>=HYPERLINK("http://anyluxury.ru/shop/odezhda/detskaya-odezhda/futbolka-detskaya-pioneer-kids-zelenoe-yabloko-03578280/" , "03578280 Футболка детская Pioneer Kids, зеленое яблоко, на рост 106-116 см (6 лет)")</f>
      </c>
      <c r="C4990" s="4" t="n">
        <v>648.00</v>
      </c>
      <c r="D4990" s="4"/>
    </row>
    <row collapsed="" customFormat="false" customHeight="1" hidden="" ht="14" outlineLevel="0" r="4991">
      <c r="A4991" s="3" t="inlineStr">
        <is>
          <t>4960</t>
        </is>
      </c>
      <c r="B4991" s="4" t="s">
        <f>=HYPERLINK("http://anyluxury.ru/shop/odezhda/detskaya-odezhda/futbolka-detskaya-pioneer-kids-zelenoe-yabloko-03578280/" , "03578280 Футболка детская Pioneer Kids, зеленое яблоко, на рост 118-128 см (8 лет)")</f>
      </c>
      <c r="C4991" s="4" t="n">
        <v>648.00</v>
      </c>
      <c r="D4991" s="4"/>
    </row>
    <row collapsed="" customFormat="false" customHeight="1" hidden="" ht="14" outlineLevel="0" r="4992">
      <c r="A4992" s="3" t="inlineStr">
        <is>
          <t>4961</t>
        </is>
      </c>
      <c r="B4992" s="4" t="s">
        <f>=HYPERLINK("http://anyluxury.ru/shop/odezhda/detskaya-odezhda/futbolka-detskaya-pioneer-kids-zelenoe-yabloko-03578280/" , "03578280 Футболка детская Pioneer Kids, зеленое яблоко, на рост 130-140 см (10 лет)")</f>
      </c>
      <c r="C4992" s="4" t="n">
        <v>648.00</v>
      </c>
      <c r="D4992" s="4"/>
    </row>
    <row collapsed="" customFormat="false" customHeight="1" hidden="" ht="14" outlineLevel="0" r="4993">
      <c r="A4993" s="3" t="inlineStr">
        <is>
          <t>4962</t>
        </is>
      </c>
      <c r="B4993" s="4" t="s">
        <f>=HYPERLINK("http://anyluxury.ru/shop/odezhda/detskaya-odezhda/futbolka-detskaya-pioneer-kids-zelenoe-yabloko-03578280/" , "03578280 Футболка детская Pioneer Kids, зеленое яблоко, на рост 142-152 см (12 лет)")</f>
      </c>
      <c r="C4993" s="4" t="n">
        <v>648.00</v>
      </c>
      <c r="D4993" s="4"/>
    </row>
    <row collapsed="" customFormat="false" customHeight="1" hidden="" ht="14" outlineLevel="0" r="4994">
      <c r="A4994" s="3" t="inlineStr">
        <is>
          <t>4963</t>
        </is>
      </c>
      <c r="B4994" s="4" t="s">
        <f>=HYPERLINK("http://anyluxury.ru/shop/odezhda/detskaya-odezhda/futbolka-detskaya-pioneer-kids-biryuzovaya-03578321/" , "03578321 Футболка детская Pioneer Kids, бирюзовая, на рост 96-104 см (4 года)")</f>
      </c>
      <c r="C4994" s="4" t="n">
        <v>648.00</v>
      </c>
      <c r="D4994" s="4"/>
    </row>
    <row collapsed="" customFormat="false" customHeight="1" hidden="" ht="14" outlineLevel="0" r="4995">
      <c r="A4995" s="3" t="inlineStr">
        <is>
          <t>4964</t>
        </is>
      </c>
      <c r="B4995" s="4" t="s">
        <f>=HYPERLINK("http://anyluxury.ru/shop/odezhda/detskaya-odezhda/futbolka-detskaya-pioneer-kids-biryuzovaya-03578321/" , "03578321 Футболка детская Pioneer Kids, бирюзовая, на рост 106-116 см (6 лет)")</f>
      </c>
      <c r="C4995" s="4" t="n">
        <v>648.00</v>
      </c>
      <c r="D4995" s="4"/>
    </row>
    <row collapsed="" customFormat="false" customHeight="1" hidden="" ht="14" outlineLevel="0" r="4996">
      <c r="A4996" s="3" t="inlineStr">
        <is>
          <t>4965</t>
        </is>
      </c>
      <c r="B4996" s="4" t="s">
        <f>=HYPERLINK("http://anyluxury.ru/shop/odezhda/detskaya-odezhda/futbolka-detskaya-pioneer-kids-biryuzovaya-03578321/" , "03578321 Футболка детская Pioneer Kids, бирюзовая, на рост 118-128 см (8 лет)")</f>
      </c>
      <c r="C4996" s="4" t="n">
        <v>648.00</v>
      </c>
      <c r="D4996" s="4"/>
    </row>
    <row collapsed="" customFormat="false" customHeight="1" hidden="" ht="14" outlineLevel="0" r="4997">
      <c r="A4997" s="3" t="inlineStr">
        <is>
          <t>4966</t>
        </is>
      </c>
      <c r="B4997" s="4" t="s">
        <f>=HYPERLINK("http://anyluxury.ru/shop/odezhda/detskaya-odezhda/futbolka-detskaya-pioneer-kids-biryuzovaya-03578321/" , "03578321 Футболка детская Pioneer Kids, бирюзовая, на рост 130-140 см (10 лет)")</f>
      </c>
      <c r="C4997" s="4" t="n">
        <v>648.00</v>
      </c>
      <c r="D4997" s="4"/>
    </row>
    <row collapsed="" customFormat="false" customHeight="1" hidden="" ht="14" outlineLevel="0" r="4998">
      <c r="A4998" s="3" t="inlineStr">
        <is>
          <t>4967</t>
        </is>
      </c>
      <c r="B4998" s="4" t="s">
        <f>=HYPERLINK("http://anyluxury.ru/shop/odezhda/detskaya-odezhda/futbolka-detskaya-pioneer-kids-biryuzovaya-03578321/" , "03578321 Футболка детская Pioneer Kids, бирюзовая, на рост 142-152 см (12 лет)")</f>
      </c>
      <c r="C4998" s="4" t="n">
        <v>648.00</v>
      </c>
      <c r="D4998" s="4"/>
    </row>
    <row collapsed="" customFormat="false" customHeight="1" hidden="" ht="14" outlineLevel="0" r="4999">
      <c r="A4999" s="3" t="inlineStr">
        <is>
          <t>4968</t>
        </is>
      </c>
      <c r="B4999" s="4" t="s">
        <f>=HYPERLINK("http://anyluxury.ru/shop/odezhda/detskaya-odezhda/futbolka-detskaya-pioneer-kids-chernaya-03578309/" , "03578309 Футболка детская Pioneer Kids, черная, на рост 96-104 см (4 года)")</f>
      </c>
      <c r="C4999" s="4" t="n">
        <v>648.00</v>
      </c>
      <c r="D4999" s="4"/>
    </row>
    <row collapsed="" customFormat="false" customHeight="1" hidden="" ht="14" outlineLevel="0" r="5000">
      <c r="A5000" s="3" t="inlineStr">
        <is>
          <t>4969</t>
        </is>
      </c>
      <c r="B5000" s="4" t="s">
        <f>=HYPERLINK("http://anyluxury.ru/shop/odezhda/detskaya-odezhda/futbolka-detskaya-pioneer-kids-chernaya-03578309/" , "03578309 Футболка детская Pioneer Kids, черная, на рост 106-116 см (6 лет)")</f>
      </c>
      <c r="C5000" s="4" t="n">
        <v>648.00</v>
      </c>
      <c r="D5000" s="4"/>
    </row>
    <row collapsed="" customFormat="false" customHeight="1" hidden="" ht="14" outlineLevel="0" r="5001">
      <c r="A5001" s="3" t="inlineStr">
        <is>
          <t>4970</t>
        </is>
      </c>
      <c r="B5001" s="4" t="s">
        <f>=HYPERLINK("http://anyluxury.ru/shop/odezhda/detskaya-odezhda/futbolka-detskaya-pioneer-kids-chernaya-03578309/" , "03578309 Футболка детская Pioneer Kids, черная, на рост 118-128 см (8 лет)")</f>
      </c>
      <c r="C5001" s="4" t="n">
        <v>648.00</v>
      </c>
      <c r="D5001" s="4"/>
    </row>
    <row collapsed="" customFormat="false" customHeight="1" hidden="" ht="14" outlineLevel="0" r="5002">
      <c r="A5002" s="3" t="inlineStr">
        <is>
          <t>4971</t>
        </is>
      </c>
      <c r="B5002" s="4" t="s">
        <f>=HYPERLINK("http://anyluxury.ru/shop/odezhda/detskaya-odezhda/futbolka-detskaya-pioneer-kids-chernaya-03578309/" , "03578309 Футболка детская Pioneer Kids, черная, на рост 130-140 см (10 лет)")</f>
      </c>
      <c r="C5002" s="4" t="n">
        <v>648.00</v>
      </c>
      <c r="D5002" s="4"/>
    </row>
    <row collapsed="" customFormat="false" customHeight="1" hidden="" ht="14" outlineLevel="0" r="5003">
      <c r="A5003" s="3" t="inlineStr">
        <is>
          <t>4972</t>
        </is>
      </c>
      <c r="B5003" s="4" t="s">
        <f>=HYPERLINK("http://anyluxury.ru/shop/odezhda/detskaya-odezhda/futbolka-detskaya-pioneer-kids-chernaya-03578309/" , "03578309 Футболка детская Pioneer Kids, черная, на рост 142-152 см (12 лет)")</f>
      </c>
      <c r="C5003" s="4" t="n">
        <v>648.00</v>
      </c>
      <c r="D5003" s="4"/>
    </row>
    <row collapsed="" customFormat="false" customHeight="1" hidden="" ht="14" outlineLevel="0" r="5004">
      <c r="A5004" s="3" t="inlineStr">
        <is>
          <t>4973</t>
        </is>
      </c>
      <c r="B5004" s="4" t="s">
        <f>=HYPERLINK("http://anyluxury.ru/shop/odezhda/detskaya-odezhda/futbolka-detskaya-pioneer-kids-temnosinyaya-03578319/" , "03578319 Футболка детская Pioneer Kids, темно-синяя, на рост 96-104 см (4 года)")</f>
      </c>
      <c r="C5004" s="4" t="n">
        <v>648.00</v>
      </c>
      <c r="D5004" s="4"/>
    </row>
    <row collapsed="" customFormat="false" customHeight="1" hidden="" ht="14" outlineLevel="0" r="5005">
      <c r="A5005" s="3" t="inlineStr">
        <is>
          <t>4974</t>
        </is>
      </c>
      <c r="B5005" s="4" t="s">
        <f>=HYPERLINK("http://anyluxury.ru/shop/odezhda/detskaya-odezhda/futbolka-detskaya-pioneer-kids-temnosinyaya-03578319/" , "03578319 Футболка детская Pioneer Kids, темно-синяя, на рост 106-116 см (6 лет)")</f>
      </c>
      <c r="C5005" s="4" t="n">
        <v>648.00</v>
      </c>
      <c r="D5005" s="4"/>
    </row>
    <row collapsed="" customFormat="false" customHeight="1" hidden="" ht="14" outlineLevel="0" r="5006">
      <c r="A5006" s="3" t="inlineStr">
        <is>
          <t>4975</t>
        </is>
      </c>
      <c r="B5006" s="4" t="s">
        <f>=HYPERLINK("http://anyluxury.ru/shop/odezhda/detskaya-odezhda/futbolka-detskaya-pioneer-kids-temnosinyaya-03578319/" , "03578319 Футболка детская Pioneer Kids, темно-синяя, на рост 118-128 см (8 лет)")</f>
      </c>
      <c r="C5006" s="4" t="n">
        <v>648.00</v>
      </c>
      <c r="D5006" s="4"/>
    </row>
    <row collapsed="" customFormat="false" customHeight="1" hidden="" ht="14" outlineLevel="0" r="5007">
      <c r="A5007" s="3" t="inlineStr">
        <is>
          <t>4976</t>
        </is>
      </c>
      <c r="B5007" s="4" t="s">
        <f>=HYPERLINK("http://anyluxury.ru/shop/odezhda/detskaya-odezhda/futbolka-detskaya-pioneer-kids-temnosinyaya-03578319/" , "03578319 Футболка детская Pioneer Kids, темно-синяя, на рост 130-140 см (10 лет)")</f>
      </c>
      <c r="C5007" s="4" t="n">
        <v>648.00</v>
      </c>
      <c r="D5007" s="4"/>
    </row>
    <row collapsed="" customFormat="false" customHeight="1" hidden="" ht="14" outlineLevel="0" r="5008">
      <c r="A5008" s="3" t="inlineStr">
        <is>
          <t>4977</t>
        </is>
      </c>
      <c r="B5008" s="4" t="s">
        <f>=HYPERLINK("http://anyluxury.ru/shop/odezhda/detskaya-odezhda/futbolka-detskaya-pioneer-kids-temnosinyaya-03578319/" , "03578319 Футболка детская Pioneer Kids, темно-синяя, на рост 142-152 см (12 лет)")</f>
      </c>
      <c r="C5008" s="4" t="n">
        <v>648.00</v>
      </c>
      <c r="D5008" s="4"/>
    </row>
    <row collapsed="" customFormat="false" customHeight="1" hidden="" ht="14" outlineLevel="0" r="5009">
      <c r="A5009" s="3" t="inlineStr">
        <is>
          <t>4978</t>
        </is>
      </c>
      <c r="B5009" s="4" t="s">
        <f>=HYPERLINK("http://anyluxury.ru/shop/odezhda/detskaya-odezhda/futbolka-detskaya-pioneer-kids-zheltaya-03578301/" , "03578301 Футболка детская Pioneer Kids, желтая, на рост 96-104 см (4 года)")</f>
      </c>
      <c r="C5009" s="4" t="n">
        <v>648.00</v>
      </c>
      <c r="D5009" s="4"/>
    </row>
    <row collapsed="" customFormat="false" customHeight="1" hidden="" ht="14" outlineLevel="0" r="5010">
      <c r="A5010" s="3" t="inlineStr">
        <is>
          <t>4979</t>
        </is>
      </c>
      <c r="B5010" s="4" t="s">
        <f>=HYPERLINK("http://anyluxury.ru/shop/odezhda/detskaya-odezhda/futbolka-detskaya-pioneer-kids-zheltaya-03578301/" , "03578301 Футболка детская Pioneer Kids, желтая, на рост 106-116 см (6 лет)")</f>
      </c>
      <c r="C5010" s="4" t="n">
        <v>648.00</v>
      </c>
      <c r="D5010" s="4"/>
    </row>
    <row collapsed="" customFormat="false" customHeight="1" hidden="" ht="14" outlineLevel="0" r="5011">
      <c r="A5011" s="3" t="inlineStr">
        <is>
          <t>4980</t>
        </is>
      </c>
      <c r="B5011" s="4" t="s">
        <f>=HYPERLINK("http://anyluxury.ru/shop/odezhda/detskaya-odezhda/futbolka-detskaya-pioneer-kids-zheltaya-03578301/" , "03578301 Футболка детская Pioneer Kids, желтая, на рост 118-128 см (8 лет)")</f>
      </c>
      <c r="C5011" s="4" t="n">
        <v>648.00</v>
      </c>
      <c r="D5011" s="4"/>
    </row>
    <row collapsed="" customFormat="false" customHeight="1" hidden="" ht="14" outlineLevel="0" r="5012">
      <c r="A5012" s="3" t="inlineStr">
        <is>
          <t>4981</t>
        </is>
      </c>
      <c r="B5012" s="4" t="s">
        <f>=HYPERLINK("http://anyluxury.ru/shop/odezhda/detskaya-odezhda/futbolka-detskaya-pioneer-kids-zheltaya-03578301/" , "03578301 Футболка детская Pioneer Kids, желтая, на рост 130-140 см (10 лет)")</f>
      </c>
      <c r="C5012" s="4" t="n">
        <v>648.00</v>
      </c>
      <c r="D5012" s="4"/>
    </row>
    <row collapsed="" customFormat="false" customHeight="1" hidden="" ht="14" outlineLevel="0" r="5013">
      <c r="A5013" s="3" t="inlineStr">
        <is>
          <t>4982</t>
        </is>
      </c>
      <c r="B5013" s="4" t="s">
        <f>=HYPERLINK("http://anyluxury.ru/shop/odezhda/detskaya-odezhda/futbolka-detskaya-pioneer-kids-zheltaya-03578301/" , "03578301 Футболка детская Pioneer Kids, желтая, на рост 142-152 см (12 лет)")</f>
      </c>
      <c r="C5013" s="4" t="n">
        <v>648.00</v>
      </c>
      <c r="D5013" s="4"/>
    </row>
    <row collapsed="" customFormat="false" customHeight="1" hidden="" ht="14" outlineLevel="0" r="5014">
      <c r="A5014" s="3" t="inlineStr">
        <is>
          <t>4983</t>
        </is>
      </c>
      <c r="B5014" s="4" t="s">
        <f>=HYPERLINK("http://anyluxury.ru/shop/odezhda/detskaya-odezhda/futbolka-detskaya-pioneer-kids-seriy-melanzh-03578350/" , "03578350 Футболка детская Pioneer Kids, серый меланж, на рост 96-104 см (4 года)")</f>
      </c>
      <c r="C5014" s="4" t="n">
        <v>648.00</v>
      </c>
      <c r="D5014" s="4"/>
    </row>
    <row collapsed="" customFormat="false" customHeight="1" hidden="" ht="14" outlineLevel="0" r="5015">
      <c r="A5015" s="3" t="inlineStr">
        <is>
          <t>4984</t>
        </is>
      </c>
      <c r="B5015" s="4" t="s">
        <f>=HYPERLINK("http://anyluxury.ru/shop/odezhda/detskaya-odezhda/futbolka-detskaya-pioneer-kids-seriy-melanzh-03578350/" , "03578350 Футболка детская Pioneer Kids, серый меланж, на рост 106-116 см (6 лет)")</f>
      </c>
      <c r="C5015" s="4" t="n">
        <v>648.00</v>
      </c>
      <c r="D5015" s="4"/>
    </row>
    <row collapsed="" customFormat="false" customHeight="1" hidden="" ht="14" outlineLevel="0" r="5016">
      <c r="A5016" s="3" t="inlineStr">
        <is>
          <t>4985</t>
        </is>
      </c>
      <c r="B5016" s="4" t="s">
        <f>=HYPERLINK("http://anyluxury.ru/shop/odezhda/detskaya-odezhda/futbolka-detskaya-pioneer-kids-seriy-melanzh-03578350/" , "03578350 Футболка детская Pioneer Kids, серый меланж, на рост 118-128 см (8 лет)")</f>
      </c>
      <c r="C5016" s="4" t="n">
        <v>648.00</v>
      </c>
      <c r="D5016" s="4"/>
    </row>
    <row collapsed="" customFormat="false" customHeight="1" hidden="" ht="14" outlineLevel="0" r="5017">
      <c r="A5017" s="3" t="inlineStr">
        <is>
          <t>4986</t>
        </is>
      </c>
      <c r="B5017" s="4" t="s">
        <f>=HYPERLINK("http://anyluxury.ru/shop/odezhda/detskaya-odezhda/futbolka-detskaya-pioneer-kids-seriy-melanzh-03578350/" , "03578350 Футболка детская Pioneer Kids, серый меланж, на рост 130-140 см (10 лет)")</f>
      </c>
      <c r="C5017" s="4" t="n">
        <v>648.00</v>
      </c>
      <c r="D5017" s="4"/>
    </row>
    <row collapsed="" customFormat="false" customHeight="1" hidden="" ht="14" outlineLevel="0" r="5018">
      <c r="A5018" s="3" t="inlineStr">
        <is>
          <t>4987</t>
        </is>
      </c>
      <c r="B5018" s="4" t="s">
        <f>=HYPERLINK("http://anyluxury.ru/shop/odezhda/detskaya-odezhda/futbolka-detskaya-pioneer-kids-seriy-melanzh-03578350/" , "03578350 Футболка детская Pioneer Kids, серый меланж, на рост 142-152 см (12 лет)")</f>
      </c>
      <c r="C5018" s="4" t="n">
        <v>648.00</v>
      </c>
      <c r="D5018" s="4"/>
    </row>
    <row collapsed="" customFormat="false" customHeight="1" hidden="" ht="14" outlineLevel="0" r="5019">
      <c r="A5019" s="3" t="inlineStr">
        <is>
          <t>4988</t>
        </is>
      </c>
      <c r="B5019" s="4" t="s">
        <f>=HYPERLINK("http://anyluxury.ru/shop/odezhda/detskaya-odezhda/futbolka-detskaya-pioneer-kids-yarkozelenaya-03578272/" , "03578272 Футболка детская Pioneer Kids, ярко-зеленая, на рост 96-104 см (4 года)")</f>
      </c>
      <c r="C5019" s="4" t="n">
        <v>648.00</v>
      </c>
      <c r="D5019" s="4"/>
    </row>
    <row collapsed="" customFormat="false" customHeight="1" hidden="" ht="14" outlineLevel="0" r="5020">
      <c r="A5020" s="3" t="inlineStr">
        <is>
          <t>4989</t>
        </is>
      </c>
      <c r="B5020" s="4" t="s">
        <f>=HYPERLINK("http://anyluxury.ru/shop/odezhda/detskaya-odezhda/futbolka-detskaya-pioneer-kids-yarkozelenaya-03578272/" , "03578272 Футболка детская Pioneer Kids, ярко-зеленая, на рост 106-116 см (6 лет)")</f>
      </c>
      <c r="C5020" s="4" t="n">
        <v>648.00</v>
      </c>
      <c r="D5020" s="4"/>
    </row>
    <row collapsed="" customFormat="false" customHeight="1" hidden="" ht="14" outlineLevel="0" r="5021">
      <c r="A5021" s="3" t="inlineStr">
        <is>
          <t>4990</t>
        </is>
      </c>
      <c r="B5021" s="4" t="s">
        <f>=HYPERLINK("http://anyluxury.ru/shop/odezhda/detskaya-odezhda/futbolka-detskaya-pioneer-kids-yarkozelenaya-03578272/" , "03578272 Футболка детская Pioneer Kids, ярко-зеленая, на рост 118-128 см (8 лет)")</f>
      </c>
      <c r="C5021" s="4" t="n">
        <v>648.00</v>
      </c>
      <c r="D5021" s="4"/>
    </row>
    <row collapsed="" customFormat="false" customHeight="1" hidden="" ht="14" outlineLevel="0" r="5022">
      <c r="A5022" s="3" t="inlineStr">
        <is>
          <t>4991</t>
        </is>
      </c>
      <c r="B5022" s="4" t="s">
        <f>=HYPERLINK("http://anyluxury.ru/shop/odezhda/detskaya-odezhda/futbolka-detskaya-pioneer-kids-yarkozelenaya-03578272/" , "03578272 Футболка детская Pioneer Kids, ярко-зеленая, на рост 130-140 см (10 лет)")</f>
      </c>
      <c r="C5022" s="4" t="n">
        <v>648.00</v>
      </c>
      <c r="D5022" s="4"/>
    </row>
    <row collapsed="" customFormat="false" customHeight="1" hidden="" ht="14" outlineLevel="0" r="5023">
      <c r="A5023" s="3" t="inlineStr">
        <is>
          <t>4992</t>
        </is>
      </c>
      <c r="B5023" s="4" t="s">
        <f>=HYPERLINK("http://anyluxury.ru/shop/odezhda/detskaya-odezhda/futbolka-detskaya-pioneer-kids-yarkozelenaya-03578272/" , "03578272 Футболка детская Pioneer Kids, ярко-зеленая, на рост 142-152 см (12 лет)")</f>
      </c>
      <c r="C5023" s="4" t="n">
        <v>648.00</v>
      </c>
      <c r="D5023" s="4"/>
    </row>
    <row collapsed="" customFormat="false" customHeight="1" hidden="" ht="14" outlineLevel="0" r="5024">
      <c r="A5024" s="3" t="inlineStr">
        <is>
          <t>4993</t>
        </is>
      </c>
      <c r="B5024" s="4" t="s">
        <f>=HYPERLINK("http://anyluxury.ru/shop/odezhda/detskaya-odezhda/futbolka-detskaya-pioneer-kids-oranzhevaya-03578400/" , "03578400 Футболка детская Pioneer Kids, оранжевая, на рост 96-104 см (4 года)")</f>
      </c>
      <c r="C5024" s="4" t="n">
        <v>648.00</v>
      </c>
      <c r="D5024" s="4"/>
    </row>
    <row collapsed="" customFormat="false" customHeight="1" hidden="" ht="14" outlineLevel="0" r="5025">
      <c r="A5025" s="3" t="inlineStr">
        <is>
          <t>4994</t>
        </is>
      </c>
      <c r="B5025" s="4" t="s">
        <f>=HYPERLINK("http://anyluxury.ru/shop/odezhda/detskaya-odezhda/futbolka-detskaya-pioneer-kids-oranzhevaya-03578400/" , "03578400 Футболка детская Pioneer Kids, оранжевая, на рост 106-116 см (6 лет)")</f>
      </c>
      <c r="C5025" s="4" t="n">
        <v>648.00</v>
      </c>
      <c r="D5025" s="4"/>
    </row>
    <row collapsed="" customFormat="false" customHeight="1" hidden="" ht="14" outlineLevel="0" r="5026">
      <c r="A5026" s="3" t="inlineStr">
        <is>
          <t>4995</t>
        </is>
      </c>
      <c r="B5026" s="4" t="s">
        <f>=HYPERLINK("http://anyluxury.ru/shop/odezhda/detskaya-odezhda/futbolka-detskaya-pioneer-kids-oranzhevaya-03578400/" , "03578400 Футболка детская Pioneer Kids, оранжевая, на рост 118-128 см (8 лет)")</f>
      </c>
      <c r="C5026" s="4" t="n">
        <v>648.00</v>
      </c>
      <c r="D5026" s="4"/>
    </row>
    <row collapsed="" customFormat="false" customHeight="1" hidden="" ht="14" outlineLevel="0" r="5027">
      <c r="A5027" s="3" t="inlineStr">
        <is>
          <t>4996</t>
        </is>
      </c>
      <c r="B5027" s="4" t="s">
        <f>=HYPERLINK("http://anyluxury.ru/shop/odezhda/detskaya-odezhda/futbolka-detskaya-pioneer-kids-oranzhevaya-03578400/" , "03578400 Футболка детская Pioneer Kids, оранжевая, на рост 130-140 см (10 лет)")</f>
      </c>
      <c r="C5027" s="4" t="n">
        <v>648.00</v>
      </c>
      <c r="D5027" s="4"/>
    </row>
    <row collapsed="" customFormat="false" customHeight="1" hidden="" ht="14" outlineLevel="0" r="5028">
      <c r="A5028" s="3" t="inlineStr">
        <is>
          <t>4997</t>
        </is>
      </c>
      <c r="B5028" s="4" t="s">
        <f>=HYPERLINK("http://anyluxury.ru/shop/odezhda/detskaya-odezhda/futbolka-detskaya-pioneer-kids-oranzhevaya-03578400/" , "03578400 Футболка детская Pioneer Kids, оранжевая, на рост 142-152 см (12 лет)")</f>
      </c>
      <c r="C5028" s="4" t="n">
        <v>648.00</v>
      </c>
      <c r="D5028" s="4"/>
    </row>
    <row collapsed="" customFormat="false" customHeight="1" hidden="" ht="14" outlineLevel="0" r="5029">
      <c r="A5029" s="3" t="inlineStr">
        <is>
          <t>4998</t>
        </is>
      </c>
      <c r="B5029" s="4" t="s">
        <f>=HYPERLINK("http://anyluxury.ru/shop/odezhda/detskaya-odezhda/futbolka-detskaya-pioneer-kids-rozovaya-03578141/" , "03578141 Футболка детская Pioneer Kids, розовая, на рост 96-104 см (4 года)")</f>
      </c>
      <c r="C5029" s="4" t="n">
        <v>648.00</v>
      </c>
      <c r="D5029" s="4"/>
    </row>
    <row collapsed="" customFormat="false" customHeight="1" hidden="" ht="14" outlineLevel="0" r="5030">
      <c r="A5030" s="3" t="inlineStr">
        <is>
          <t>4999</t>
        </is>
      </c>
      <c r="B5030" s="4" t="s">
        <f>=HYPERLINK("http://anyluxury.ru/shop/odezhda/detskaya-odezhda/futbolka-detskaya-pioneer-kids-rozovaya-03578141/" , "03578141 Футболка детская Pioneer Kids, розовая, на рост 106-116 см (6 лет)")</f>
      </c>
      <c r="C5030" s="4" t="n">
        <v>648.00</v>
      </c>
      <c r="D5030" s="4"/>
    </row>
    <row collapsed="" customFormat="false" customHeight="1" hidden="" ht="14" outlineLevel="0" r="5031">
      <c r="A5031" s="3" t="inlineStr">
        <is>
          <t>5000</t>
        </is>
      </c>
      <c r="B5031" s="4" t="s">
        <f>=HYPERLINK("http://anyluxury.ru/shop/odezhda/detskaya-odezhda/futbolka-detskaya-pioneer-kids-rozovaya-03578141/" , "03578141 Футболка детская Pioneer Kids, розовая, на рост 118-128 см (8 лет)")</f>
      </c>
      <c r="C5031" s="4" t="n">
        <v>648.00</v>
      </c>
      <c r="D5031" s="4"/>
    </row>
    <row collapsed="" customFormat="false" customHeight="1" hidden="" ht="14" outlineLevel="0" r="5032">
      <c r="A5032" s="3" t="inlineStr">
        <is>
          <t>5001</t>
        </is>
      </c>
      <c r="B5032" s="4" t="s">
        <f>=HYPERLINK("http://anyluxury.ru/shop/odezhda/detskaya-odezhda/futbolka-detskaya-pioneer-kids-rozovaya-03578141/" , "03578141 Футболка детская Pioneer Kids, розовая, на рост 130-140 см (10 лет)")</f>
      </c>
      <c r="C5032" s="4" t="n">
        <v>648.00</v>
      </c>
      <c r="D5032" s="4"/>
    </row>
    <row collapsed="" customFormat="false" customHeight="1" hidden="" ht="14" outlineLevel="0" r="5033">
      <c r="A5033" s="3" t="inlineStr">
        <is>
          <t>5002</t>
        </is>
      </c>
      <c r="B5033" s="4" t="s">
        <f>=HYPERLINK("http://anyluxury.ru/shop/odezhda/detskaya-odezhda/futbolka-detskaya-pioneer-kids-rozovaya-03578141/" , "03578141 Футболка детская Pioneer Kids, розовая, на рост 142-152 см (12 лет)")</f>
      </c>
      <c r="C5033" s="4" t="n">
        <v>648.00</v>
      </c>
      <c r="D5033" s="4"/>
    </row>
    <row collapsed="" customFormat="false" customHeight="1" hidden="" ht="14" outlineLevel="0" r="5034">
      <c r="A5034" s="3" t="inlineStr">
        <is>
          <t>5003</t>
        </is>
      </c>
      <c r="B5034" s="4" t="s">
        <f>=HYPERLINK("http://anyluxury.ru/shop/odezhda/detskaya-odezhda/futbolka-detskaya-pioneer-kids-krasnaya-03578145/" , "03578145 Футболка детская Pioneer Kids, красная, на рост 96-104 см (4 года)")</f>
      </c>
      <c r="C5034" s="4" t="n">
        <v>648.00</v>
      </c>
      <c r="D5034" s="4"/>
    </row>
    <row collapsed="" customFormat="false" customHeight="1" hidden="" ht="14" outlineLevel="0" r="5035">
      <c r="A5035" s="3" t="inlineStr">
        <is>
          <t>5004</t>
        </is>
      </c>
      <c r="B5035" s="4" t="s">
        <f>=HYPERLINK("http://anyluxury.ru/shop/odezhda/detskaya-odezhda/futbolka-detskaya-pioneer-kids-krasnaya-03578145/" , "03578145 Футболка детская Pioneer Kids, красная, на рост 106-116 см (6 лет)")</f>
      </c>
      <c r="C5035" s="4" t="n">
        <v>648.00</v>
      </c>
      <c r="D5035" s="4"/>
    </row>
    <row collapsed="" customFormat="false" customHeight="1" hidden="" ht="14" outlineLevel="0" r="5036">
      <c r="A5036" s="3" t="inlineStr">
        <is>
          <t>5005</t>
        </is>
      </c>
      <c r="B5036" s="4" t="s">
        <f>=HYPERLINK("http://anyluxury.ru/shop/odezhda/detskaya-odezhda/futbolka-detskaya-pioneer-kids-krasnaya-03578145/" , "03578145 Футболка детская Pioneer Kids, красная, на рост 118-128 см (8 лет)")</f>
      </c>
      <c r="C5036" s="4" t="n">
        <v>648.00</v>
      </c>
      <c r="D5036" s="4"/>
    </row>
    <row collapsed="" customFormat="false" customHeight="1" hidden="" ht="14" outlineLevel="0" r="5037">
      <c r="A5037" s="3" t="inlineStr">
        <is>
          <t>5006</t>
        </is>
      </c>
      <c r="B5037" s="4" t="s">
        <f>=HYPERLINK("http://anyluxury.ru/shop/odezhda/detskaya-odezhda/futbolka-detskaya-pioneer-kids-krasnaya-03578145/" , "03578145 Футболка детская Pioneer Kids, красная, на рост 130-140 см (10 лет)")</f>
      </c>
      <c r="C5037" s="4" t="n">
        <v>648.00</v>
      </c>
      <c r="D5037" s="4"/>
    </row>
    <row collapsed="" customFormat="false" customHeight="1" hidden="" ht="14" outlineLevel="0" r="5038">
      <c r="A5038" s="3" t="inlineStr">
        <is>
          <t>5007</t>
        </is>
      </c>
      <c r="B5038" s="4" t="s">
        <f>=HYPERLINK("http://anyluxury.ru/shop/odezhda/detskaya-odezhda/futbolka-detskaya-pioneer-kids-krasnaya-03578145/" , "03578145 Футболка детская Pioneer Kids, красная, на рост 142-152 см (12 лет)")</f>
      </c>
      <c r="C5038" s="4" t="n">
        <v>648.00</v>
      </c>
      <c r="D5038" s="4"/>
    </row>
    <row collapsed="" customFormat="false" customHeight="1" hidden="" ht="14" outlineLevel="0" r="5039">
      <c r="A5039" s="3" t="inlineStr">
        <is>
          <t>5008</t>
        </is>
      </c>
      <c r="B5039" s="4" t="s">
        <f>=HYPERLINK("http://anyluxury.ru/shop/odezhda/detskaya-odezhda/futbolka-detskaya-pioneer-kids-yarkosinyaya-03578241/" , "03578241 Футболка детская Pioneer Kids, ярко-синяя, на рост 96-104 см (4 года)")</f>
      </c>
      <c r="C5039" s="4" t="n">
        <v>648.00</v>
      </c>
      <c r="D5039" s="4"/>
    </row>
    <row collapsed="" customFormat="false" customHeight="1" hidden="" ht="14" outlineLevel="0" r="5040">
      <c r="A5040" s="3" t="inlineStr">
        <is>
          <t>5009</t>
        </is>
      </c>
      <c r="B5040" s="4" t="s">
        <f>=HYPERLINK("http://anyluxury.ru/shop/odezhda/detskaya-odezhda/futbolka-detskaya-pioneer-kids-yarkosinyaya-03578241/" , "03578241 Футболка детская Pioneer Kids, ярко-синяя, на рост 106-116 см (6 лет)")</f>
      </c>
      <c r="C5040" s="4" t="n">
        <v>648.00</v>
      </c>
      <c r="D5040" s="4"/>
    </row>
    <row collapsed="" customFormat="false" customHeight="1" hidden="" ht="14" outlineLevel="0" r="5041">
      <c r="A5041" s="3" t="inlineStr">
        <is>
          <t>5010</t>
        </is>
      </c>
      <c r="B5041" s="4" t="s">
        <f>=HYPERLINK("http://anyluxury.ru/shop/odezhda/detskaya-odezhda/futbolka-detskaya-pioneer-kids-yarkosinyaya-03578241/" , "03578241 Футболка детская Pioneer Kids, ярко-синяя, на рост 118-128 см (8 лет)")</f>
      </c>
      <c r="C5041" s="4" t="n">
        <v>648.00</v>
      </c>
      <c r="D5041" s="4"/>
    </row>
    <row collapsed="" customFormat="false" customHeight="1" hidden="" ht="14" outlineLevel="0" r="5042">
      <c r="A5042" s="3" t="inlineStr">
        <is>
          <t>5011</t>
        </is>
      </c>
      <c r="B5042" s="4" t="s">
        <f>=HYPERLINK("http://anyluxury.ru/shop/odezhda/detskaya-odezhda/futbolka-detskaya-pioneer-kids-yarkosinyaya-03578241/" , "03578241 Футболка детская Pioneer Kids, ярко-синяя, на рост 130-140 см (10 лет)")</f>
      </c>
      <c r="C5042" s="4" t="n">
        <v>648.00</v>
      </c>
      <c r="D5042" s="4"/>
    </row>
    <row collapsed="" customFormat="false" customHeight="1" hidden="" ht="14" outlineLevel="0" r="5043">
      <c r="A5043" s="3" t="inlineStr">
        <is>
          <t>5012</t>
        </is>
      </c>
      <c r="B5043" s="4" t="s">
        <f>=HYPERLINK("http://anyluxury.ru/shop/odezhda/detskaya-odezhda/futbolka-detskaya-pioneer-kids-yarkosinyaya-03578241/" , "03578241 Футболка детская Pioneer Kids, ярко-синяя, на рост 142-152 см (12 лет)")</f>
      </c>
      <c r="C5043" s="4" t="n">
        <v>648.00</v>
      </c>
      <c r="D5043" s="4"/>
    </row>
    <row collapsed="" customFormat="false" customHeight="1" hidden="" ht="14" outlineLevel="0" r="5044">
      <c r="A5044" s="3" t="inlineStr">
        <is>
          <t>5013</t>
        </is>
      </c>
      <c r="B5044" s="4" t="s">
        <f>=HYPERLINK("http://anyluxury.ru/shop/odezhda/detskaya-odezhda/futbolka-detskaya-pioneer-kids-belaya-03578102/" , "03578102 Футболка детская Pioneer Kids, белая, на рост 96-104 см (4 года)")</f>
      </c>
      <c r="C5044" s="4" t="n">
        <v>619.00</v>
      </c>
      <c r="D5044" s="4"/>
    </row>
    <row collapsed="" customFormat="false" customHeight="1" hidden="" ht="14" outlineLevel="0" r="5045">
      <c r="A5045" s="3" t="inlineStr">
        <is>
          <t>5014</t>
        </is>
      </c>
      <c r="B5045" s="4" t="s">
        <f>=HYPERLINK("http://anyluxury.ru/shop/odezhda/detskaya-odezhda/futbolka-detskaya-pioneer-kids-belaya-03578102/" , "03578102 Футболка детская Pioneer Kids, белая, на рост 106-116 см (6 лет)")</f>
      </c>
      <c r="C5045" s="4" t="n">
        <v>619.00</v>
      </c>
      <c r="D5045" s="4"/>
    </row>
    <row collapsed="" customFormat="false" customHeight="1" hidden="" ht="14" outlineLevel="0" r="5046">
      <c r="A5046" s="3" t="inlineStr">
        <is>
          <t>5015</t>
        </is>
      </c>
      <c r="B5046" s="4" t="s">
        <f>=HYPERLINK("http://anyluxury.ru/shop/odezhda/detskaya-odezhda/futbolka-detskaya-pioneer-kids-belaya-03578102/" , "03578102 Футболка детская Pioneer Kids, белая, на рост 118-128 см (8 лет)")</f>
      </c>
      <c r="C5046" s="4" t="n">
        <v>619.00</v>
      </c>
      <c r="D5046" s="4"/>
    </row>
    <row collapsed="" customFormat="false" customHeight="1" hidden="" ht="14" outlineLevel="0" r="5047">
      <c r="A5047" s="3" t="inlineStr">
        <is>
          <t>5016</t>
        </is>
      </c>
      <c r="B5047" s="4" t="s">
        <f>=HYPERLINK("http://anyluxury.ru/shop/odezhda/detskaya-odezhda/futbolka-detskaya-pioneer-kids-belaya-03578102/" , "03578102 Футболка детская Pioneer Kids, белая, на рост 130-140 см (10 лет)")</f>
      </c>
      <c r="C5047" s="4" t="n">
        <v>619.00</v>
      </c>
      <c r="D5047" s="4"/>
    </row>
    <row collapsed="" customFormat="false" customHeight="1" hidden="" ht="14" outlineLevel="0" r="5048">
      <c r="A5048" s="3" t="inlineStr">
        <is>
          <t>5017</t>
        </is>
      </c>
      <c r="B5048" s="4" t="s">
        <f>=HYPERLINK("http://anyluxury.ru/shop/odezhda/detskaya-odezhda/futbolka-detskaya-pioneer-kids-belaya-03578102/" , "03578102 Футболка детская Pioneer Kids, белая, на рост 142-152 см (12 лет)")</f>
      </c>
      <c r="C5048" s="4" t="n">
        <v>619.00</v>
      </c>
      <c r="D5048" s="4"/>
    </row>
    <row collapsed="" customFormat="false" customHeight="1" hidden="" ht="14" outlineLevel="0" r="5049">
      <c r="A5049" s="3" t="inlineStr">
        <is>
          <t>5018</t>
        </is>
      </c>
      <c r="B5049" s="4" t="s">
        <f>=HYPERLINK("http://anyluxury.ru/shop/odezhda/detskaya-odezhda/futbolka-detskaya-crusader-kids-zelenoe-yabloko-03580280/" , "03580280 Футболка детская Crusader Kids, зеленое яблоко, на рост 96-104 см (4 года)")</f>
      </c>
      <c r="C5049" s="4" t="n">
        <v>528.00</v>
      </c>
      <c r="D5049" s="4"/>
    </row>
    <row collapsed="" customFormat="false" customHeight="1" hidden="" ht="14" outlineLevel="0" r="5050">
      <c r="A5050" s="3" t="inlineStr">
        <is>
          <t>5019</t>
        </is>
      </c>
      <c r="B5050" s="4" t="s">
        <f>=HYPERLINK("http://anyluxury.ru/shop/odezhda/detskaya-odezhda/futbolka-detskaya-crusader-kids-zelenoe-yabloko-03580280/" , "03580280 Футболка детская Crusader Kids, зеленое яблоко, на рост 106-116 см (6 лет)")</f>
      </c>
      <c r="C5050" s="4" t="n">
        <v>528.00</v>
      </c>
      <c r="D5050" s="4"/>
    </row>
    <row collapsed="" customFormat="false" customHeight="1" hidden="" ht="14" outlineLevel="0" r="5051">
      <c r="A5051" s="3" t="inlineStr">
        <is>
          <t>5020</t>
        </is>
      </c>
      <c r="B5051" s="4" t="s">
        <f>=HYPERLINK("http://anyluxury.ru/shop/odezhda/detskaya-odezhda/futbolka-detskaya-crusader-kids-zelenoe-yabloko-03580280/" , "03580280 Футболка детская Crusader Kids, зеленое яблоко, на рост 118-128 см (8 лет)")</f>
      </c>
      <c r="C5051" s="4" t="n">
        <v>528.00</v>
      </c>
      <c r="D5051" s="4"/>
    </row>
    <row collapsed="" customFormat="false" customHeight="1" hidden="" ht="14" outlineLevel="0" r="5052">
      <c r="A5052" s="3" t="inlineStr">
        <is>
          <t>5021</t>
        </is>
      </c>
      <c r="B5052" s="4" t="s">
        <f>=HYPERLINK("http://anyluxury.ru/shop/odezhda/detskaya-odezhda/futbolka-detskaya-crusader-kids-zelenoe-yabloko-03580280/" , "03580280 Футболка детская Crusader Kids, зеленое яблоко, на рост 130-140 см (10 лет)")</f>
      </c>
      <c r="C5052" s="4" t="n">
        <v>528.00</v>
      </c>
      <c r="D5052" s="4"/>
    </row>
    <row collapsed="" customFormat="false" customHeight="1" hidden="" ht="14" outlineLevel="0" r="5053">
      <c r="A5053" s="3" t="inlineStr">
        <is>
          <t>5022</t>
        </is>
      </c>
      <c r="B5053" s="4" t="s">
        <f>=HYPERLINK("http://anyluxury.ru/shop/odezhda/detskaya-odezhda/futbolka-detskaya-crusader-kids-zelenoe-yabloko-03580280/" , "03580280 Футболка детская Crusader Kids, зеленое яблоко, на рост 142-152 см (12 лет)")</f>
      </c>
      <c r="C5053" s="4" t="n">
        <v>528.00</v>
      </c>
      <c r="D5053" s="4"/>
    </row>
    <row collapsed="" customFormat="false" customHeight="1" hidden="" ht="14" outlineLevel="0" r="5054">
      <c r="A5054" s="3" t="inlineStr">
        <is>
          <t>5023</t>
        </is>
      </c>
      <c r="B5054" s="4" t="s">
        <f>=HYPERLINK("http://anyluxury.ru/shop/odezhda/detskaya-odezhda/futbolka-detskaya-crusader-kids-biryuzovaya-03580321/" , "03580321 Футболка детская Crusader Kids, бирюзовая, на рост 96-104 см (4 года)")</f>
      </c>
      <c r="C5054" s="4" t="n">
        <v>528.00</v>
      </c>
      <c r="D5054" s="4"/>
    </row>
    <row collapsed="" customFormat="false" customHeight="1" hidden="" ht="14" outlineLevel="0" r="5055">
      <c r="A5055" s="3" t="inlineStr">
        <is>
          <t>5024</t>
        </is>
      </c>
      <c r="B5055" s="4" t="s">
        <f>=HYPERLINK("http://anyluxury.ru/shop/odezhda/detskaya-odezhda/futbolka-detskaya-crusader-kids-biryuzovaya-03580321/" , "03580321 Футболка детская Crusader Kids, бирюзовая, на рост 106-116 см (6 лет)")</f>
      </c>
      <c r="C5055" s="4" t="n">
        <v>528.00</v>
      </c>
      <c r="D5055" s="4"/>
    </row>
    <row collapsed="" customFormat="false" customHeight="1" hidden="" ht="14" outlineLevel="0" r="5056">
      <c r="A5056" s="3" t="inlineStr">
        <is>
          <t>5025</t>
        </is>
      </c>
      <c r="B5056" s="4" t="s">
        <f>=HYPERLINK("http://anyluxury.ru/shop/odezhda/detskaya-odezhda/futbolka-detskaya-crusader-kids-biryuzovaya-03580321/" , "03580321 Футболка детская Crusader Kids, бирюзовая, на рост 118-128 см (8 лет)")</f>
      </c>
      <c r="C5056" s="4" t="n">
        <v>528.00</v>
      </c>
      <c r="D5056" s="4"/>
    </row>
    <row collapsed="" customFormat="false" customHeight="1" hidden="" ht="14" outlineLevel="0" r="5057">
      <c r="A5057" s="3" t="inlineStr">
        <is>
          <t>5026</t>
        </is>
      </c>
      <c r="B5057" s="4" t="s">
        <f>=HYPERLINK("http://anyluxury.ru/shop/odezhda/detskaya-odezhda/futbolka-detskaya-crusader-kids-biryuzovaya-03580321/" , "03580321 Футболка детская Crusader Kids, бирюзовая, на рост 130-140 см (10 лет)")</f>
      </c>
      <c r="C5057" s="4" t="n">
        <v>528.00</v>
      </c>
      <c r="D5057" s="4"/>
    </row>
    <row collapsed="" customFormat="false" customHeight="1" hidden="" ht="14" outlineLevel="0" r="5058">
      <c r="A5058" s="3" t="inlineStr">
        <is>
          <t>5027</t>
        </is>
      </c>
      <c r="B5058" s="4" t="s">
        <f>=HYPERLINK("http://anyluxury.ru/shop/odezhda/detskaya-odezhda/futbolka-detskaya-crusader-kids-biryuzovaya-03580321/" , "03580321 Футболка детская Crusader Kids, бирюзовая, на рост 142-152 см (12 лет)")</f>
      </c>
      <c r="C5058" s="4" t="n">
        <v>528.00</v>
      </c>
      <c r="D5058" s="4"/>
    </row>
    <row collapsed="" customFormat="false" customHeight="1" hidden="" ht="14" outlineLevel="0" r="5059">
      <c r="A5059" s="3" t="inlineStr">
        <is>
          <t>5028</t>
        </is>
      </c>
      <c r="B5059" s="4" t="s">
        <f>=HYPERLINK("http://anyluxury.ru/shop/odezhda/detskaya-odezhda/futbolka-detskaya-crusader-kids-chernaya-03580309/" , "03580309 Футболка детская Crusader Kids, черная, на рост 96-104 см (4 года)")</f>
      </c>
      <c r="C5059" s="4" t="n">
        <v>528.00</v>
      </c>
      <c r="D5059" s="4"/>
    </row>
    <row collapsed="" customFormat="false" customHeight="1" hidden="" ht="14" outlineLevel="0" r="5060">
      <c r="A5060" s="3" t="inlineStr">
        <is>
          <t>5029</t>
        </is>
      </c>
      <c r="B5060" s="4" t="s">
        <f>=HYPERLINK("http://anyluxury.ru/shop/odezhda/detskaya-odezhda/futbolka-detskaya-crusader-kids-chernaya-03580309/" , "03580309 Футболка детская Crusader Kids, черная, на рост 106-116 см (6 лет)")</f>
      </c>
      <c r="C5060" s="4" t="n">
        <v>528.00</v>
      </c>
      <c r="D5060" s="4"/>
    </row>
    <row collapsed="" customFormat="false" customHeight="1" hidden="" ht="14" outlineLevel="0" r="5061">
      <c r="A5061" s="3" t="inlineStr">
        <is>
          <t>5030</t>
        </is>
      </c>
      <c r="B5061" s="4" t="s">
        <f>=HYPERLINK("http://anyluxury.ru/shop/odezhda/detskaya-odezhda/futbolka-detskaya-crusader-kids-chernaya-03580309/" , "03580309 Футболка детская Crusader Kids, черная, на рост 118-128 см (8 лет)")</f>
      </c>
      <c r="C5061" s="4" t="n">
        <v>528.00</v>
      </c>
      <c r="D5061" s="4"/>
    </row>
    <row collapsed="" customFormat="false" customHeight="1" hidden="" ht="14" outlineLevel="0" r="5062">
      <c r="A5062" s="3" t="inlineStr">
        <is>
          <t>5031</t>
        </is>
      </c>
      <c r="B5062" s="4" t="s">
        <f>=HYPERLINK("http://anyluxury.ru/shop/odezhda/detskaya-odezhda/futbolka-detskaya-crusader-kids-chernaya-03580309/" , "03580309 Футболка детская Crusader Kids, черная, на рост 130-140 см (10 лет)")</f>
      </c>
      <c r="C5062" s="4" t="n">
        <v>528.00</v>
      </c>
      <c r="D5062" s="4"/>
    </row>
    <row collapsed="" customFormat="false" customHeight="1" hidden="" ht="14" outlineLevel="0" r="5063">
      <c r="A5063" s="3" t="inlineStr">
        <is>
          <t>5032</t>
        </is>
      </c>
      <c r="B5063" s="4" t="s">
        <f>=HYPERLINK("http://anyluxury.ru/shop/odezhda/detskaya-odezhda/futbolka-detskaya-crusader-kids-chernaya-03580309/" , "03580309 Футболка детская Crusader Kids, черная, на рост 142-152 см (12 лет)")</f>
      </c>
      <c r="C5063" s="4" t="n">
        <v>528.00</v>
      </c>
      <c r="D5063" s="4"/>
    </row>
    <row collapsed="" customFormat="false" customHeight="1" hidden="" ht="14" outlineLevel="0" r="5064">
      <c r="A5064" s="3" t="inlineStr">
        <is>
          <t>5033</t>
        </is>
      </c>
      <c r="B5064" s="4" t="s">
        <f>=HYPERLINK("http://anyluxury.ru/shop/odezhda/detskaya-odezhda/futbolka-detskaya-crusader-kids-temnosinyaya-03580319/" , "03580319 Футболка детская Crusader Kids, темно-синяя, на рост 96-104 см (4 года)")</f>
      </c>
      <c r="C5064" s="4" t="n">
        <v>528.00</v>
      </c>
      <c r="D5064" s="4"/>
    </row>
    <row collapsed="" customFormat="false" customHeight="1" hidden="" ht="14" outlineLevel="0" r="5065">
      <c r="A5065" s="3" t="inlineStr">
        <is>
          <t>5034</t>
        </is>
      </c>
      <c r="B5065" s="4" t="s">
        <f>=HYPERLINK("http://anyluxury.ru/shop/odezhda/detskaya-odezhda/futbolka-detskaya-crusader-kids-temnosinyaya-03580319/" , "03580319 Футболка детская Crusader Kids, темно-синяя, на рост 106-116 см (6 лет)")</f>
      </c>
      <c r="C5065" s="4" t="n">
        <v>528.00</v>
      </c>
      <c r="D5065" s="4"/>
    </row>
    <row collapsed="" customFormat="false" customHeight="1" hidden="" ht="14" outlineLevel="0" r="5066">
      <c r="A5066" s="3" t="inlineStr">
        <is>
          <t>5035</t>
        </is>
      </c>
      <c r="B5066" s="4" t="s">
        <f>=HYPERLINK("http://anyluxury.ru/shop/odezhda/detskaya-odezhda/futbolka-detskaya-crusader-kids-temnosinyaya-03580319/" , "03580319 Футболка детская Crusader Kids, темно-синяя, на рост 118-128 см (8 лет)")</f>
      </c>
      <c r="C5066" s="4" t="n">
        <v>528.00</v>
      </c>
      <c r="D5066" s="4"/>
    </row>
    <row collapsed="" customFormat="false" customHeight="1" hidden="" ht="14" outlineLevel="0" r="5067">
      <c r="A5067" s="3" t="inlineStr">
        <is>
          <t>5036</t>
        </is>
      </c>
      <c r="B5067" s="4" t="s">
        <f>=HYPERLINK("http://anyluxury.ru/shop/odezhda/detskaya-odezhda/futbolka-detskaya-crusader-kids-temnosinyaya-03580319/" , "03580319 Футболка детская Crusader Kids, темно-синяя, на рост 130-140 см (10 лет)")</f>
      </c>
      <c r="C5067" s="4" t="n">
        <v>528.00</v>
      </c>
      <c r="D5067" s="4"/>
    </row>
    <row collapsed="" customFormat="false" customHeight="1" hidden="" ht="14" outlineLevel="0" r="5068">
      <c r="A5068" s="3" t="inlineStr">
        <is>
          <t>5037</t>
        </is>
      </c>
      <c r="B5068" s="4" t="s">
        <f>=HYPERLINK("http://anyluxury.ru/shop/odezhda/detskaya-odezhda/futbolka-detskaya-crusader-kids-temnosinyaya-03580319/" , "03580319 Футболка детская Crusader Kids, темно-синяя, на рост 142-152 см (12 лет)")</f>
      </c>
      <c r="C5068" s="4" t="n">
        <v>528.00</v>
      </c>
      <c r="D5068" s="4"/>
    </row>
    <row collapsed="" customFormat="false" customHeight="1" hidden="" ht="14" outlineLevel="0" r="5069">
      <c r="A5069" s="3" t="inlineStr">
        <is>
          <t>5038</t>
        </is>
      </c>
      <c r="B5069" s="4" t="s">
        <f>=HYPERLINK("http://anyluxury.ru/shop/odezhda/detskaya-odezhda/futbolka-detskaya-crusader-kids-zheltaya-03580301/" , "03580301 Футболка детская Crusader Kids, желтая, на рост 96-104 см (4 года)")</f>
      </c>
      <c r="C5069" s="4" t="n">
        <v>528.00</v>
      </c>
      <c r="D5069" s="4"/>
    </row>
    <row collapsed="" customFormat="false" customHeight="1" hidden="" ht="14" outlineLevel="0" r="5070">
      <c r="A5070" s="3" t="inlineStr">
        <is>
          <t>5039</t>
        </is>
      </c>
      <c r="B5070" s="4" t="s">
        <f>=HYPERLINK("http://anyluxury.ru/shop/odezhda/detskaya-odezhda/futbolka-detskaya-crusader-kids-zheltaya-03580301/" , "03580301 Футболка детская Crusader Kids, желтая, на рост 106-116 см (6 лет)")</f>
      </c>
      <c r="C5070" s="4" t="n">
        <v>528.00</v>
      </c>
      <c r="D5070" s="4"/>
    </row>
    <row collapsed="" customFormat="false" customHeight="1" hidden="" ht="14" outlineLevel="0" r="5071">
      <c r="A5071" s="3" t="inlineStr">
        <is>
          <t>5040</t>
        </is>
      </c>
      <c r="B5071" s="4" t="s">
        <f>=HYPERLINK("http://anyluxury.ru/shop/odezhda/detskaya-odezhda/futbolka-detskaya-crusader-kids-zheltaya-03580301/" , "03580301 Футболка детская Crusader Kids, желтая, на рост 118-128 см (8 лет)")</f>
      </c>
      <c r="C5071" s="4" t="n">
        <v>528.00</v>
      </c>
      <c r="D5071" s="4"/>
    </row>
    <row collapsed="" customFormat="false" customHeight="1" hidden="" ht="14" outlineLevel="0" r="5072">
      <c r="A5072" s="3" t="inlineStr">
        <is>
          <t>5041</t>
        </is>
      </c>
      <c r="B5072" s="4" t="s">
        <f>=HYPERLINK("http://anyluxury.ru/shop/odezhda/detskaya-odezhda/futbolka-detskaya-crusader-kids-zheltaya-03580301/" , "03580301 Футболка детская Crusader Kids, желтая, на рост 130-140 см (10 лет)")</f>
      </c>
      <c r="C5072" s="4" t="n">
        <v>528.00</v>
      </c>
      <c r="D5072" s="4"/>
    </row>
    <row collapsed="" customFormat="false" customHeight="1" hidden="" ht="14" outlineLevel="0" r="5073">
      <c r="A5073" s="3" t="inlineStr">
        <is>
          <t>5042</t>
        </is>
      </c>
      <c r="B5073" s="4" t="s">
        <f>=HYPERLINK("http://anyluxury.ru/shop/odezhda/detskaya-odezhda/futbolka-detskaya-crusader-kids-zheltaya-03580301/" , "03580301 Футболка детская Crusader Kids, желтая, на рост 142-152 см (12 лет)")</f>
      </c>
      <c r="C5073" s="4" t="n">
        <v>528.00</v>
      </c>
      <c r="D5073" s="4"/>
    </row>
    <row collapsed="" customFormat="false" customHeight="1" hidden="" ht="14" outlineLevel="0" r="5074">
      <c r="A5074" s="3" t="inlineStr">
        <is>
          <t>5043</t>
        </is>
      </c>
      <c r="B5074" s="4" t="s">
        <f>=HYPERLINK("http://anyluxury.ru/shop/odezhda/detskaya-odezhda/futbolka-detskaya-crusader-kids-seriy-melanzh-03580350/" , "03580350 Футболка детская Crusader Kids, серый меланж, на рост 96-104 см (4 года)")</f>
      </c>
      <c r="C5074" s="4" t="n">
        <v>528.00</v>
      </c>
      <c r="D5074" s="4"/>
    </row>
    <row collapsed="" customFormat="false" customHeight="1" hidden="" ht="14" outlineLevel="0" r="5075">
      <c r="A5075" s="3" t="inlineStr">
        <is>
          <t>5044</t>
        </is>
      </c>
      <c r="B5075" s="4" t="s">
        <f>=HYPERLINK("http://anyluxury.ru/shop/odezhda/detskaya-odezhda/futbolka-detskaya-crusader-kids-seriy-melanzh-03580350/" , "03580350 Футболка детская Crusader Kids, серый меланж, на рост 106-116 см (6 лет)")</f>
      </c>
      <c r="C5075" s="4" t="n">
        <v>528.00</v>
      </c>
      <c r="D5075" s="4"/>
    </row>
    <row collapsed="" customFormat="false" customHeight="1" hidden="" ht="14" outlineLevel="0" r="5076">
      <c r="A5076" s="3" t="inlineStr">
        <is>
          <t>5045</t>
        </is>
      </c>
      <c r="B5076" s="4" t="s">
        <f>=HYPERLINK("http://anyluxury.ru/shop/odezhda/detskaya-odezhda/futbolka-detskaya-crusader-kids-seriy-melanzh-03580350/" , "03580350 Футболка детская Crusader Kids, серый меланж, на рост 118-128 см (8 лет)")</f>
      </c>
      <c r="C5076" s="4" t="n">
        <v>528.00</v>
      </c>
      <c r="D5076" s="4"/>
    </row>
    <row collapsed="" customFormat="false" customHeight="1" hidden="" ht="14" outlineLevel="0" r="5077">
      <c r="A5077" s="3" t="inlineStr">
        <is>
          <t>5046</t>
        </is>
      </c>
      <c r="B5077" s="4" t="s">
        <f>=HYPERLINK("http://anyluxury.ru/shop/odezhda/detskaya-odezhda/futbolka-detskaya-crusader-kids-seriy-melanzh-03580350/" , "03580350 Футболка детская Crusader Kids, серый меланж, на рост 130-140 см (10 лет)")</f>
      </c>
      <c r="C5077" s="4" t="n">
        <v>528.00</v>
      </c>
      <c r="D5077" s="4"/>
    </row>
    <row collapsed="" customFormat="false" customHeight="1" hidden="" ht="14" outlineLevel="0" r="5078">
      <c r="A5078" s="3" t="inlineStr">
        <is>
          <t>5047</t>
        </is>
      </c>
      <c r="B5078" s="4" t="s">
        <f>=HYPERLINK("http://anyluxury.ru/shop/odezhda/detskaya-odezhda/futbolka-detskaya-crusader-kids-seriy-melanzh-03580350/" , "03580350 Футболка детская Crusader Kids, серый меланж, на рост 142-152 см (12 лет)")</f>
      </c>
      <c r="C5078" s="4" t="n">
        <v>528.00</v>
      </c>
      <c r="D5078" s="4"/>
    </row>
    <row collapsed="" customFormat="false" customHeight="1" hidden="" ht="14" outlineLevel="0" r="5079">
      <c r="A5079" s="3" t="inlineStr">
        <is>
          <t>5048</t>
        </is>
      </c>
      <c r="B5079" s="4" t="s">
        <f>=HYPERLINK("http://anyluxury.ru/shop/odezhda/detskaya-odezhda/futbolka-detskaya-crusader-kids-yarkozelenaya-03580272/" , "03580272 Футболка детская Crusader Kids, ярко-зеленая, на рост 96-104 см (4 года)")</f>
      </c>
      <c r="C5079" s="4" t="n">
        <v>528.00</v>
      </c>
      <c r="D5079" s="4"/>
    </row>
    <row collapsed="" customFormat="false" customHeight="1" hidden="" ht="14" outlineLevel="0" r="5080">
      <c r="A5080" s="3" t="inlineStr">
        <is>
          <t>5049</t>
        </is>
      </c>
      <c r="B5080" s="4" t="s">
        <f>=HYPERLINK("http://anyluxury.ru/shop/odezhda/detskaya-odezhda/futbolka-detskaya-crusader-kids-yarkozelenaya-03580272/" , "03580272 Футболка детская Crusader Kids, ярко-зеленая, на рост 106-116 см (6 лет)")</f>
      </c>
      <c r="C5080" s="4" t="n">
        <v>528.00</v>
      </c>
      <c r="D5080" s="4"/>
    </row>
    <row collapsed="" customFormat="false" customHeight="1" hidden="" ht="14" outlineLevel="0" r="5081">
      <c r="A5081" s="3" t="inlineStr">
        <is>
          <t>5050</t>
        </is>
      </c>
      <c r="B5081" s="4" t="s">
        <f>=HYPERLINK("http://anyluxury.ru/shop/odezhda/detskaya-odezhda/futbolka-detskaya-crusader-kids-yarkozelenaya-03580272/" , "03580272 Футболка детская Crusader Kids, ярко-зеленая, на рост 118-128 см (8 лет)")</f>
      </c>
      <c r="C5081" s="4" t="n">
        <v>528.00</v>
      </c>
      <c r="D5081" s="4"/>
    </row>
    <row collapsed="" customFormat="false" customHeight="1" hidden="" ht="14" outlineLevel="0" r="5082">
      <c r="A5082" s="3" t="inlineStr">
        <is>
          <t>5051</t>
        </is>
      </c>
      <c r="B5082" s="4" t="s">
        <f>=HYPERLINK("http://anyluxury.ru/shop/odezhda/detskaya-odezhda/futbolka-detskaya-crusader-kids-yarkozelenaya-03580272/" , "03580272 Футболка детская Crusader Kids, ярко-зеленая, на рост 130-140 см (10 лет)")</f>
      </c>
      <c r="C5082" s="4" t="n">
        <v>528.00</v>
      </c>
      <c r="D5082" s="4"/>
    </row>
    <row collapsed="" customFormat="false" customHeight="1" hidden="" ht="14" outlineLevel="0" r="5083">
      <c r="A5083" s="3" t="inlineStr">
        <is>
          <t>5052</t>
        </is>
      </c>
      <c r="B5083" s="4" t="s">
        <f>=HYPERLINK("http://anyluxury.ru/shop/odezhda/detskaya-odezhda/futbolka-detskaya-crusader-kids-yarkozelenaya-03580272/" , "03580272 Футболка детская Crusader Kids, ярко-зеленая, на рост 142-152 см (12 лет)")</f>
      </c>
      <c r="C5083" s="4" t="n">
        <v>528.00</v>
      </c>
      <c r="D5083" s="4"/>
    </row>
    <row collapsed="" customFormat="false" customHeight="1" hidden="" ht="14" outlineLevel="0" r="5084">
      <c r="A5084" s="3" t="inlineStr">
        <is>
          <t>5053</t>
        </is>
      </c>
      <c r="B5084" s="4" t="s">
        <f>=HYPERLINK("http://anyluxury.ru/shop/odezhda/detskaya-odezhda/futbolka-detskaya-crusader-kids-oranzhevaya-03580400/" , "03580400 Футболка детская Crusader Kids, оранжевая, на рост 96-104 см (4 года)")</f>
      </c>
      <c r="C5084" s="4" t="n">
        <v>528.00</v>
      </c>
      <c r="D5084" s="4"/>
    </row>
    <row collapsed="" customFormat="false" customHeight="1" hidden="" ht="14" outlineLevel="0" r="5085">
      <c r="A5085" s="3" t="inlineStr">
        <is>
          <t>5054</t>
        </is>
      </c>
      <c r="B5085" s="4" t="s">
        <f>=HYPERLINK("http://anyluxury.ru/shop/odezhda/detskaya-odezhda/futbolka-detskaya-crusader-kids-oranzhevaya-03580400/" , "03580400 Футболка детская Crusader Kids, оранжевая, на рост 106-116 см (6 лет)")</f>
      </c>
      <c r="C5085" s="4" t="n">
        <v>528.00</v>
      </c>
      <c r="D5085" s="4"/>
    </row>
    <row collapsed="" customFormat="false" customHeight="1" hidden="" ht="14" outlineLevel="0" r="5086">
      <c r="A5086" s="3" t="inlineStr">
        <is>
          <t>5055</t>
        </is>
      </c>
      <c r="B5086" s="4" t="s">
        <f>=HYPERLINK("http://anyluxury.ru/shop/odezhda/detskaya-odezhda/futbolka-detskaya-crusader-kids-oranzhevaya-03580400/" , "03580400 Футболка детская Crusader Kids, оранжевая, на рост 118-128 см (8 лет)")</f>
      </c>
      <c r="C5086" s="4" t="n">
        <v>528.00</v>
      </c>
      <c r="D5086" s="4"/>
    </row>
    <row collapsed="" customFormat="false" customHeight="1" hidden="" ht="14" outlineLevel="0" r="5087">
      <c r="A5087" s="3" t="inlineStr">
        <is>
          <t>5056</t>
        </is>
      </c>
      <c r="B5087" s="4" t="s">
        <f>=HYPERLINK("http://anyluxury.ru/shop/odezhda/detskaya-odezhda/futbolka-detskaya-crusader-kids-oranzhevaya-03580400/" , "03580400 Футболка детская Crusader Kids, оранжевая, на рост 130-140 см (10 лет)")</f>
      </c>
      <c r="C5087" s="4" t="n">
        <v>528.00</v>
      </c>
      <c r="D5087" s="4"/>
    </row>
    <row collapsed="" customFormat="false" customHeight="1" hidden="" ht="14" outlineLevel="0" r="5088">
      <c r="A5088" s="3" t="inlineStr">
        <is>
          <t>5057</t>
        </is>
      </c>
      <c r="B5088" s="4" t="s">
        <f>=HYPERLINK("http://anyluxury.ru/shop/odezhda/detskaya-odezhda/futbolka-detskaya-crusader-kids-oranzhevaya-03580400/" , "03580400 Футболка детская Crusader Kids, оранжевая, на рост 142-152 см (12 лет)")</f>
      </c>
      <c r="C5088" s="4" t="n">
        <v>528.00</v>
      </c>
      <c r="D5088" s="4"/>
    </row>
    <row collapsed="" customFormat="false" customHeight="1" hidden="" ht="14" outlineLevel="0" r="5089">
      <c r="A5089" s="3" t="inlineStr">
        <is>
          <t>5058</t>
        </is>
      </c>
      <c r="B5089" s="4" t="s">
        <f>=HYPERLINK("http://anyluxury.ru/shop/odezhda/detskaya-odezhda/futbolka-detskaya-crusader-kids-rozovaya-03580141/" , "03580141 Футболка детская Crusader Kids, розовая, на рост 96-104 см (4 года)")</f>
      </c>
      <c r="C5089" s="4" t="n">
        <v>528.00</v>
      </c>
      <c r="D5089" s="4"/>
    </row>
    <row collapsed="" customFormat="false" customHeight="1" hidden="" ht="14" outlineLevel="0" r="5090">
      <c r="A5090" s="3" t="inlineStr">
        <is>
          <t>5059</t>
        </is>
      </c>
      <c r="B5090" s="4" t="s">
        <f>=HYPERLINK("http://anyluxury.ru/shop/odezhda/detskaya-odezhda/futbolka-detskaya-crusader-kids-rozovaya-03580141/" , "03580141 Футболка детская Crusader Kids, розовая, на рост 106-116 см (6 лет)")</f>
      </c>
      <c r="C5090" s="4" t="n">
        <v>528.00</v>
      </c>
      <c r="D5090" s="4"/>
    </row>
    <row collapsed="" customFormat="false" customHeight="1" hidden="" ht="14" outlineLevel="0" r="5091">
      <c r="A5091" s="3" t="inlineStr">
        <is>
          <t>5060</t>
        </is>
      </c>
      <c r="B5091" s="4" t="s">
        <f>=HYPERLINK("http://anyluxury.ru/shop/odezhda/detskaya-odezhda/futbolka-detskaya-crusader-kids-rozovaya-03580141/" , "03580141 Футболка детская Crusader Kids, розовая, на рост 118-128 см (8 лет)")</f>
      </c>
      <c r="C5091" s="4" t="n">
        <v>528.00</v>
      </c>
      <c r="D5091" s="4"/>
    </row>
    <row collapsed="" customFormat="false" customHeight="1" hidden="" ht="14" outlineLevel="0" r="5092">
      <c r="A5092" s="3" t="inlineStr">
        <is>
          <t>5061</t>
        </is>
      </c>
      <c r="B5092" s="4" t="s">
        <f>=HYPERLINK("http://anyluxury.ru/shop/odezhda/detskaya-odezhda/futbolka-detskaya-crusader-kids-rozovaya-03580141/" , "03580141 Футболка детская Crusader Kids, розовая, на рост 130-140 см (10 лет)")</f>
      </c>
      <c r="C5092" s="4" t="n">
        <v>528.00</v>
      </c>
      <c r="D5092" s="4"/>
    </row>
    <row collapsed="" customFormat="false" customHeight="1" hidden="" ht="14" outlineLevel="0" r="5093">
      <c r="A5093" s="3" t="inlineStr">
        <is>
          <t>5062</t>
        </is>
      </c>
      <c r="B5093" s="4" t="s">
        <f>=HYPERLINK("http://anyluxury.ru/shop/odezhda/detskaya-odezhda/futbolka-detskaya-crusader-kids-rozovaya-03580141/" , "03580141 Футболка детская Crusader Kids, розовая, на рост 142-152 см (12 лет)")</f>
      </c>
      <c r="C5093" s="4" t="n">
        <v>528.00</v>
      </c>
      <c r="D5093" s="4"/>
    </row>
    <row collapsed="" customFormat="false" customHeight="1" hidden="" ht="14" outlineLevel="0" r="5094">
      <c r="A5094" s="3" t="inlineStr">
        <is>
          <t>5063</t>
        </is>
      </c>
      <c r="B5094" s="4" t="s">
        <f>=HYPERLINK("http://anyluxury.ru/shop/odezhda/detskaya-odezhda/futbolka-detskaya-crusader-kids-krasnaya-03580145/" , "03580145 Футболка детская Crusader Kids, красная, на рост 96-104 см (4 года)")</f>
      </c>
      <c r="C5094" s="4" t="n">
        <v>528.00</v>
      </c>
      <c r="D5094" s="4"/>
    </row>
    <row collapsed="" customFormat="false" customHeight="1" hidden="" ht="14" outlineLevel="0" r="5095">
      <c r="A5095" s="3" t="inlineStr">
        <is>
          <t>5064</t>
        </is>
      </c>
      <c r="B5095" s="4" t="s">
        <f>=HYPERLINK("http://anyluxury.ru/shop/odezhda/detskaya-odezhda/futbolka-detskaya-crusader-kids-krasnaya-03580145/" , "03580145 Футболка детская Crusader Kids, красная, на рост 106-116 см (6 лет)")</f>
      </c>
      <c r="C5095" s="4" t="n">
        <v>528.00</v>
      </c>
      <c r="D5095" s="4"/>
    </row>
    <row collapsed="" customFormat="false" customHeight="1" hidden="" ht="14" outlineLevel="0" r="5096">
      <c r="A5096" s="3" t="inlineStr">
        <is>
          <t>5065</t>
        </is>
      </c>
      <c r="B5096" s="4" t="s">
        <f>=HYPERLINK("http://anyluxury.ru/shop/odezhda/detskaya-odezhda/futbolka-detskaya-crusader-kids-krasnaya-03580145/" , "03580145 Футболка детская Crusader Kids, красная, на рост 118-128 см (8 лет)")</f>
      </c>
      <c r="C5096" s="4" t="n">
        <v>528.00</v>
      </c>
      <c r="D5096" s="4"/>
    </row>
    <row collapsed="" customFormat="false" customHeight="1" hidden="" ht="14" outlineLevel="0" r="5097">
      <c r="A5097" s="3" t="inlineStr">
        <is>
          <t>5066</t>
        </is>
      </c>
      <c r="B5097" s="4" t="s">
        <f>=HYPERLINK("http://anyluxury.ru/shop/odezhda/detskaya-odezhda/futbolka-detskaya-crusader-kids-krasnaya-03580145/" , "03580145 Футболка детская Crusader Kids, красная, на рост 130-140 см (10 лет)")</f>
      </c>
      <c r="C5097" s="4" t="n">
        <v>528.00</v>
      </c>
      <c r="D5097" s="4"/>
    </row>
    <row collapsed="" customFormat="false" customHeight="1" hidden="" ht="14" outlineLevel="0" r="5098">
      <c r="A5098" s="3" t="inlineStr">
        <is>
          <t>5067</t>
        </is>
      </c>
      <c r="B5098" s="4" t="s">
        <f>=HYPERLINK("http://anyluxury.ru/shop/odezhda/detskaya-odezhda/futbolka-detskaya-crusader-kids-krasnaya-03580145/" , "03580145 Футболка детская Crusader Kids, красная, на рост 142-152 см (12 лет)")</f>
      </c>
      <c r="C5098" s="4" t="n">
        <v>528.00</v>
      </c>
      <c r="D5098" s="4"/>
    </row>
    <row collapsed="" customFormat="false" customHeight="1" hidden="" ht="14" outlineLevel="0" r="5099">
      <c r="A5099" s="3" t="inlineStr">
        <is>
          <t>5068</t>
        </is>
      </c>
      <c r="B5099" s="4" t="s">
        <f>=HYPERLINK("http://anyluxury.ru/shop/odezhda/detskaya-odezhda/futbolka-detskaya-crusader-kids-yarkosinyaya-03580241/" , "03580241 Футболка детская Crusader Kids, ярко-синяя, на рост 96-104 см (4 года)")</f>
      </c>
      <c r="C5099" s="4" t="n">
        <v>528.00</v>
      </c>
      <c r="D5099" s="4"/>
    </row>
    <row collapsed="" customFormat="false" customHeight="1" hidden="" ht="14" outlineLevel="0" r="5100">
      <c r="A5100" s="3" t="inlineStr">
        <is>
          <t>5069</t>
        </is>
      </c>
      <c r="B5100" s="4" t="s">
        <f>=HYPERLINK("http://anyluxury.ru/shop/odezhda/detskaya-odezhda/futbolka-detskaya-crusader-kids-yarkosinyaya-03580241/" , "03580241 Футболка детская Crusader Kids, ярко-синяя, на рост 106-116 см (6 лет)")</f>
      </c>
      <c r="C5100" s="4" t="n">
        <v>528.00</v>
      </c>
      <c r="D5100" s="4"/>
    </row>
    <row collapsed="" customFormat="false" customHeight="1" hidden="" ht="14" outlineLevel="0" r="5101">
      <c r="A5101" s="3" t="inlineStr">
        <is>
          <t>5070</t>
        </is>
      </c>
      <c r="B5101" s="4" t="s">
        <f>=HYPERLINK("http://anyluxury.ru/shop/odezhda/detskaya-odezhda/futbolka-detskaya-crusader-kids-yarkosinyaya-03580241/" , "03580241 Футболка детская Crusader Kids, ярко-синяя, на рост 118-128 см (8 лет)")</f>
      </c>
      <c r="C5101" s="4" t="n">
        <v>528.00</v>
      </c>
      <c r="D5101" s="4"/>
    </row>
    <row collapsed="" customFormat="false" customHeight="1" hidden="" ht="14" outlineLevel="0" r="5102">
      <c r="A5102" s="3" t="inlineStr">
        <is>
          <t>5071</t>
        </is>
      </c>
      <c r="B5102" s="4" t="s">
        <f>=HYPERLINK("http://anyluxury.ru/shop/odezhda/detskaya-odezhda/futbolka-detskaya-crusader-kids-yarkosinyaya-03580241/" , "03580241 Футболка детская Crusader Kids, ярко-синяя, на рост 130-140 см (10 лет)")</f>
      </c>
      <c r="C5102" s="4" t="n">
        <v>528.00</v>
      </c>
      <c r="D5102" s="4"/>
    </row>
    <row collapsed="" customFormat="false" customHeight="1" hidden="" ht="14" outlineLevel="0" r="5103">
      <c r="A5103" s="3" t="inlineStr">
        <is>
          <t>5072</t>
        </is>
      </c>
      <c r="B5103" s="4" t="s">
        <f>=HYPERLINK("http://anyluxury.ru/shop/odezhda/detskaya-odezhda/futbolka-detskaya-crusader-kids-yarkosinyaya-03580241/" , "03580241 Футболка детская Crusader Kids, ярко-синяя, на рост 142-152 см (12 лет)")</f>
      </c>
      <c r="C5103" s="4" t="n">
        <v>528.00</v>
      </c>
      <c r="D5103" s="4"/>
    </row>
    <row collapsed="" customFormat="false" customHeight="1" hidden="" ht="14" outlineLevel="0" r="5104">
      <c r="A5104" s="3" t="inlineStr">
        <is>
          <t>5073</t>
        </is>
      </c>
      <c r="B5104" s="4" t="s">
        <f>=HYPERLINK("http://anyluxury.ru/shop/odezhda/detskaya-odezhda/futbolka-detskaya-crusader-kids-belaya-03580102/" , "03580102 Футболка детская Crusader Kids, белая, на рост 96-104 см (4 года)")</f>
      </c>
      <c r="C5104" s="4" t="n">
        <v>480.00</v>
      </c>
      <c r="D5104" s="4"/>
    </row>
    <row collapsed="" customFormat="false" customHeight="1" hidden="" ht="14" outlineLevel="0" r="5105">
      <c r="A5105" s="3" t="inlineStr">
        <is>
          <t>5074</t>
        </is>
      </c>
      <c r="B5105" s="4" t="s">
        <f>=HYPERLINK("http://anyluxury.ru/shop/odezhda/detskaya-odezhda/futbolka-detskaya-crusader-kids-belaya-03580102/" , "03580102 Футболка детская Crusader Kids, белая, на рост 106-116 см (6 лет)")</f>
      </c>
      <c r="C5105" s="4" t="n">
        <v>480.00</v>
      </c>
      <c r="D5105" s="4"/>
    </row>
    <row collapsed="" customFormat="false" customHeight="1" hidden="" ht="14" outlineLevel="0" r="5106">
      <c r="A5106" s="3" t="inlineStr">
        <is>
          <t>5075</t>
        </is>
      </c>
      <c r="B5106" s="4" t="s">
        <f>=HYPERLINK("http://anyluxury.ru/shop/odezhda/detskaya-odezhda/futbolka-detskaya-crusader-kids-belaya-03580102/" , "03580102 Футболка детская Crusader Kids, белая, на рост 118-128 см (8 лет)")</f>
      </c>
      <c r="C5106" s="4" t="n">
        <v>480.00</v>
      </c>
      <c r="D5106" s="4"/>
    </row>
    <row collapsed="" customFormat="false" customHeight="1" hidden="" ht="14" outlineLevel="0" r="5107">
      <c r="A5107" s="3" t="inlineStr">
        <is>
          <t>5076</t>
        </is>
      </c>
      <c r="B5107" s="4" t="s">
        <f>=HYPERLINK("http://anyluxury.ru/shop/odezhda/detskaya-odezhda/futbolka-detskaya-crusader-kids-belaya-03580102/" , "03580102 Футболка детская Crusader Kids, белая, на рост 130-140 см (10 лет)")</f>
      </c>
      <c r="C5107" s="4" t="n">
        <v>480.00</v>
      </c>
      <c r="D5107" s="4"/>
    </row>
    <row collapsed="" customFormat="false" customHeight="1" hidden="" ht="14" outlineLevel="0" r="5108">
      <c r="A5108" s="3" t="inlineStr">
        <is>
          <t>5077</t>
        </is>
      </c>
      <c r="B5108" s="4" t="s">
        <f>=HYPERLINK("http://anyluxury.ru/shop/odezhda/detskaya-odezhda/futbolka-detskaya-crusader-kids-belaya-03580102/" , "03580102 Футболка детская Crusader Kids, белая, на рост 142-152 см (12 лет)")</f>
      </c>
      <c r="C5108" s="4" t="n">
        <v>480.00</v>
      </c>
      <c r="D5108" s="4"/>
    </row>
    <row collapsed="" customFormat="false" customHeight="1" hidden="" ht="14" outlineLevel="0" r="5109">
      <c r="A5109" s="3" t="inlineStr">
        <is>
          <t>5078</t>
        </is>
      </c>
      <c r="B5109" s="4" t="s">
        <f>=HYPERLINK("http://anyluxury.ru/shop/odezhda/detskaya-odezhda/perchatki-real-talk-serie-5480110/" , "54801.10 Перчатки Real Talk, серые, размер S/M")</f>
      </c>
      <c r="C5109" s="4" t="n">
        <v>570.00</v>
      </c>
      <c r="D5109" s="4"/>
    </row>
    <row collapsed="" customFormat="false" customHeight="1" hidden="" ht="14" outlineLevel="0" r="5110">
      <c r="A5110" s="3" t="inlineStr">
        <is>
          <t>5079</t>
        </is>
      </c>
      <c r="B5110" s="4" t="s">
        <f>=HYPERLINK("http://anyluxury.ru/shop/odezhda/detskaya-odezhda/perchatki-real-talk-chernie-5480130/" , "54801.30 Перчатки Real Talk, черные, размер S/M")</f>
      </c>
      <c r="C5110" s="4" t="n">
        <v>570.00</v>
      </c>
      <c r="D5110" s="4"/>
    </row>
    <row collapsed="" customFormat="false" customHeight="1" hidden="" ht="14" outlineLevel="0" r="5111">
      <c r="A5111" s="3" t="inlineStr">
        <is>
          <t>5080</t>
        </is>
      </c>
      <c r="B5111" s="4" t="s">
        <f>=HYPERLINK("http://anyluxury.ru/shop/odezhda/detskaya-odezhda/perchatki-real-talk-sinie-5480140/" , "54801.40 Перчатки Real Talk, синие, размер S/M")</f>
      </c>
      <c r="C5111" s="4" t="n">
        <v>570.00</v>
      </c>
      <c r="D5111" s="4"/>
    </row>
    <row collapsed="" customFormat="false" customHeight="1" hidden="" ht="14" outlineLevel="0" r="5112">
      <c r="A5112" s="3" t="inlineStr">
        <is>
          <t>5081</t>
        </is>
      </c>
      <c r="B5112" s="4" t="s">
        <f>=HYPERLINK("http://anyluxury.ru/shop/odezhda/detskaya-odezhda/perchatki-real-talk-krasnie-5480150/" , "54801.50 Перчатки Real Talk, красные, размер S/M")</f>
      </c>
      <c r="C5112" s="4" t="n">
        <v>570.00</v>
      </c>
      <c r="D5112" s="4"/>
    </row>
    <row collapsed="" customFormat="false" customHeight="1" hidden="" ht="14" outlineLevel="0" r="5113">
      <c r="A5113" s="3" t="inlineStr">
        <is>
          <t>5082</t>
        </is>
      </c>
      <c r="B5113" s="4" t="s">
        <f>=HYPERLINK("http://anyluxury.ru/shop/odezhda/detskaya-odezhda/perchatki-real-talk-krasnie-5480150/" , "54801.50 Перчатки Real Talk, красные, размер L/XL")</f>
      </c>
      <c r="C5113" s="4" t="n">
        <v>570.00</v>
      </c>
      <c r="D5113" s="4"/>
    </row>
    <row collapsed="" customFormat="false" customHeight="1" hidden="" ht="14" outlineLevel="0" r="5114">
      <c r="A5114" s="3" t="inlineStr">
        <is>
          <t>5083</t>
        </is>
      </c>
      <c r="B5114" s="4" t="s">
        <f>=HYPERLINK("http://anyluxury.ru/shop/odezhda/detskaya-odezhda/dzhoggeri-kulonga-chernie-1295930/" , "12959.30 Джоггеры Kulonga, черный, размер ХS/ S")</f>
      </c>
      <c r="C5114" s="4" t="n">
        <v>3200.00</v>
      </c>
      <c r="D5114" s="4"/>
    </row>
    <row collapsed="" customFormat="false" customHeight="1" hidden="" ht="14" outlineLevel="0" r="5115">
      <c r="A5115" s="3" t="inlineStr">
        <is>
          <t>5084</t>
        </is>
      </c>
      <c r="B5115" s="4" t="s">
        <f>=HYPERLINK("http://anyluxury.ru/shop/odezhda/detskaya-odezhda/dzhoggeri-kulonga-chernie-1295930/" , "12959.30 Джоггеры Kulonga, черный, размер M/ L")</f>
      </c>
      <c r="C5115" s="4" t="n">
        <v>3200.00</v>
      </c>
      <c r="D5115" s="4"/>
    </row>
    <row collapsed="" customFormat="false" customHeight="1" hidden="" ht="14" outlineLevel="0" r="5116">
      <c r="A5116" s="3" t="inlineStr">
        <is>
          <t>5085</t>
        </is>
      </c>
      <c r="B5116" s="4" t="s">
        <f>=HYPERLINK("http://anyluxury.ru/shop/odezhda/detskaya-odezhda/dzhoggeri-kulonga-chernie-1295930/" , "12959.30 Джоггеры Kulonga, черный, размер XL/ XXL")</f>
      </c>
      <c r="C5116" s="4" t="n">
        <v>3200.00</v>
      </c>
      <c r="D5116" s="4"/>
    </row>
    <row collapsed="" customFormat="false" customHeight="1" hidden="" ht="14" outlineLevel="0" r="5117">
      <c r="A5117" s="3" t="inlineStr">
        <is>
          <t>5086</t>
        </is>
      </c>
      <c r="B5117" s="4" t="s">
        <f>=HYPERLINK("http://anyluxury.ru/shop/odezhda/detskaya-odezhda/perchatki-real-talk-temnosinie-5480144/" , "54801.44 Перчатки Real Talk, темно-синие, размер S/M")</f>
      </c>
      <c r="C5117" s="4" t="n">
        <v>570.00</v>
      </c>
      <c r="D5117" s="4"/>
    </row>
    <row collapsed="" customFormat="false" customHeight="1" hidden="" ht="14" outlineLevel="0" r="5118">
      <c r="A5118" s="3" t="inlineStr">
        <is>
          <t>5087</t>
        </is>
      </c>
      <c r="B5118" s="4" t="s">
        <f>=HYPERLINK("http://anyluxury.ru/shop/odezhda/detskaya-odezhda/perchatki-real-talk-temnosinie-5480144/" , "54801.44 Перчатки Real Talk, темно-синие, размер L/XL")</f>
      </c>
      <c r="C5118" s="4" t="n">
        <v>570.00</v>
      </c>
      <c r="D5118" s="4"/>
    </row>
    <row collapsed="" customFormat="false" customHeight="1" hidden="" ht="14" outlineLevel="0" r="5119">
      <c r="A5119" s="3" t="inlineStr">
        <is>
          <t>5088</t>
        </is>
      </c>
      <c r="B5119" s="4" t="s">
        <f>=HYPERLINK("http://anyluxury.ru/shop/odezhda/detskaya-odezhda/perchatki-real-talk-bezhevie-5480111/" , "54801.11 Перчатки Real Talk, бежевые, размер S/M")</f>
      </c>
      <c r="C5119" s="4" t="n">
        <v>570.00</v>
      </c>
      <c r="D5119" s="4"/>
    </row>
    <row collapsed="" customFormat="false" customHeight="1" hidden="" ht="14" outlineLevel="0" r="5120">
      <c r="A5120" s="3" t="inlineStr">
        <is>
          <t>5089</t>
        </is>
      </c>
      <c r="B5120" s="4" t="s">
        <f>=HYPERLINK("http://anyluxury.ru/shop/odezhda/detskaya-odezhda/perchatki-real-talk-bezhevie-5480111/" , "54801.11 Перчатки Real Talk, бежевые, размер L/XL")</f>
      </c>
      <c r="C5120" s="4" t="n">
        <v>570.00</v>
      </c>
      <c r="D5120" s="4"/>
    </row>
    <row collapsed="" customFormat="false" customHeight="1" hidden="" ht="14" outlineLevel="0" r="5121">
      <c r="A5121" s="3" t="inlineStr">
        <is>
          <t>5090</t>
        </is>
      </c>
      <c r="B5121" s="4" t="s">
        <f>=HYPERLINK("http://anyluxury.ru/shop/odezhda/detskaya-odezhda/perchatki-real-talk-gorchichnie-5480182/" , "54801.82 Перчатки Real Talk, горчичные, размер S/M")</f>
      </c>
      <c r="C5121" s="4" t="n">
        <v>570.00</v>
      </c>
      <c r="D5121" s="4"/>
    </row>
    <row collapsed="" customFormat="false" customHeight="1" hidden="" ht="14" outlineLevel="0" r="5122">
      <c r="A5122" s="3" t="inlineStr">
        <is>
          <t>5091</t>
        </is>
      </c>
      <c r="B5122" s="4" t="s">
        <f>=HYPERLINK("http://anyluxury.ru/shop/odezhda/detskaya-odezhda/perchatki-real-talk-gorchichnie-5480182/" , "54801.82 Перчатки Real Talk, горчичные, размер L/XL")</f>
      </c>
      <c r="C5122" s="4" t="n">
        <v>570.00</v>
      </c>
      <c r="D5122" s="4"/>
    </row>
    <row collapsed="" customFormat="false" customHeight="1" hidden="" ht="14" outlineLevel="0" r="5123">
      <c r="A5123" s="3" t="inlineStr">
        <is>
          <t>5092</t>
        </is>
      </c>
      <c r="B5123" s="4" t="s">
        <f>=HYPERLINK("http://anyluxury.ru/shop/odezhda/detskaya-odezhda/futbolka-s-dlinnim-rukavom-kosmos-krasnaya-1218155/" , "12181.55 Футболка с длинным рукавом Kosmos, красная, размер S")</f>
      </c>
      <c r="C5123" s="4" t="n">
        <v>1050.00</v>
      </c>
      <c r="D5123" s="4"/>
    </row>
    <row collapsed="" customFormat="false" customHeight="1" hidden="" ht="14" outlineLevel="0" r="5124">
      <c r="A5124" s="3" t="inlineStr">
        <is>
          <t>5093</t>
        </is>
      </c>
      <c r="B5124" s="4" t="s">
        <f>=HYPERLINK("http://anyluxury.ru/shop/odezhda/detskaya-odezhda/futbolka-s-dlinnim-rukavom-kosmos-krasnaya-1218155/" , "12181.55 Футболка с длинным рукавом Kosmos, красная, размер M")</f>
      </c>
      <c r="C5124" s="4" t="n">
        <v>1050.00</v>
      </c>
      <c r="D5124" s="4"/>
    </row>
    <row collapsed="" customFormat="false" customHeight="1" hidden="" ht="14" outlineLevel="0" r="5125">
      <c r="A5125" s="3" t="inlineStr">
        <is>
          <t>5094</t>
        </is>
      </c>
      <c r="B5125" s="4" t="s">
        <f>=HYPERLINK("http://anyluxury.ru/shop/odezhda/detskaya-odezhda/hudi-vozduh-sinee-1218544/" , "12185.44 Худи Vozduh, синее, размер S")</f>
      </c>
      <c r="C5125" s="4" t="n">
        <v>2900.00</v>
      </c>
      <c r="D5125" s="4"/>
    </row>
    <row collapsed="" customFormat="false" customHeight="1" hidden="" ht="14" outlineLevel="0" r="5126">
      <c r="A5126" s="3" t="inlineStr">
        <is>
          <t>5095</t>
        </is>
      </c>
      <c r="B5126" s="4" t="s">
        <f>=HYPERLINK("http://anyluxury.ru/shop/odezhda/detskaya-odezhda/hudi-vozduh-sinee-1218544/" , "12185.44 Худи Vozduh, синее, размер M")</f>
      </c>
      <c r="C5126" s="4" t="n">
        <v>2900.00</v>
      </c>
      <c r="D5126" s="4"/>
    </row>
    <row collapsed="" customFormat="false" customHeight="1" hidden="" ht="14" outlineLevel="0" r="5127">
      <c r="A5127" s="3" t="inlineStr">
        <is>
          <t>5096</t>
        </is>
      </c>
      <c r="B5127" s="4" t="s">
        <f>=HYPERLINK("http://anyluxury.ru/shop/odezhda/detskaya-odezhda/hudi-vozduh-sinee-1218544/" , "12185.44 Худи Vozduh, синее, размер L")</f>
      </c>
      <c r="C5127" s="4" t="n">
        <v>2900.00</v>
      </c>
      <c r="D5127" s="4"/>
    </row>
    <row collapsed="" customFormat="false" customHeight="1" hidden="" ht="14" outlineLevel="0" r="5128">
      <c r="A5128" s="3" t="inlineStr">
        <is>
          <t>5097</t>
        </is>
      </c>
      <c r="B5128" s="4" t="s">
        <f>=HYPERLINK("http://anyluxury.ru/shop/odezhda/detskaya-odezhda/hudi-vozduh-sinee-1218544/" , "12185.44 Худи Vozduh, синее, размер XL")</f>
      </c>
      <c r="C5128" s="4" t="n">
        <v>2900.00</v>
      </c>
      <c r="D5128" s="4"/>
    </row>
    <row collapsed="" customFormat="false" customHeight="1" hidden="" ht="14" outlineLevel="0" r="5129">
      <c r="A5129" s="3" t="inlineStr">
        <is>
          <t>5098</t>
        </is>
      </c>
      <c r="B5129" s="4" t="s">
        <f>=HYPERLINK("http://anyluxury.ru/shop/odezhda/detskaya-odezhda/hudi-vozduh-beloe-1218560/" , "12185.60 Худи Vozduh, белое, размер M")</f>
      </c>
      <c r="C5129" s="4" t="n">
        <v>2900.00</v>
      </c>
      <c r="D5129" s="4"/>
    </row>
    <row collapsed="" customFormat="false" customHeight="1" hidden="" ht="14" outlineLevel="0" r="5130">
      <c r="A5130" s="3" t="inlineStr">
        <is>
          <t>5099</t>
        </is>
      </c>
      <c r="B5130" s="4" t="s">
        <f>=HYPERLINK("http://anyluxury.ru/shop/odezhda/detskaya-odezhda/hudi-vozduh-beloe-1218560/" , "12185.60 Худи Vozduh, белое, размер L")</f>
      </c>
      <c r="C5130" s="4" t="n">
        <v>2900.00</v>
      </c>
      <c r="D5130" s="4"/>
    </row>
    <row collapsed="" customFormat="false" customHeight="1" hidden="" ht="14" outlineLevel="0" r="5131">
      <c r="A5131" s="3" t="inlineStr">
        <is>
          <t>5100</t>
        </is>
      </c>
      <c r="B5131" s="4" t="s">
        <f>=HYPERLINK("http://anyluxury.ru/shop/odezhda/detskaya-odezhda/hudi-vozduh-beloe-1218560/" , "12185.60 Худи Vozduh, белое, размер XL")</f>
      </c>
      <c r="C5131" s="4" t="n">
        <v>2900.00</v>
      </c>
      <c r="D5131" s="4"/>
    </row>
    <row collapsed="" customFormat="false" customHeight="1" hidden="" ht="14" outlineLevel="0" r="5132">
      <c r="A5132" s="3" t="inlineStr">
        <is>
          <t>5101</t>
        </is>
      </c>
      <c r="B5132" s="4" t="s">
        <f>=HYPERLINK("http://anyluxury.ru/shop/odezhda/detskaya-odezhda/hudi-vozduh-temnosinee-1218540/" , "12185.40 Худи Vozduh, темно-синее, размер S")</f>
      </c>
      <c r="C5132" s="4" t="n">
        <v>2900.00</v>
      </c>
      <c r="D5132" s="4"/>
    </row>
    <row collapsed="" customFormat="false" customHeight="1" hidden="" ht="14" outlineLevel="0" r="5133">
      <c r="A5133" s="3" t="inlineStr">
        <is>
          <t>5102</t>
        </is>
      </c>
      <c r="B5133" s="4" t="s">
        <f>=HYPERLINK("http://anyluxury.ru/shop/odezhda/detskaya-odezhda/hudi-vozduh-temnosinee-1218540/" , "12185.40 Худи Vozduh, темно-синее, размер M")</f>
      </c>
      <c r="C5133" s="4" t="n">
        <v>2900.00</v>
      </c>
      <c r="D5133" s="4"/>
    </row>
    <row collapsed="" customFormat="false" customHeight="1" hidden="" ht="14" outlineLevel="0" r="5134">
      <c r="A5134" s="3" t="inlineStr">
        <is>
          <t>5103</t>
        </is>
      </c>
      <c r="B5134" s="4" t="s">
        <f>=HYPERLINK("http://anyluxury.ru/shop/odezhda/detskaya-odezhda/hudi-vozduh-temnosinee-1218540/" , "12185.40 Худи Vozduh, темно-синее, размер L")</f>
      </c>
      <c r="C5134" s="4" t="n">
        <v>2900.00</v>
      </c>
      <c r="D5134" s="4"/>
    </row>
    <row collapsed="" customFormat="false" customHeight="1" hidden="" ht="14" outlineLevel="0" r="5135">
      <c r="A5135" s="3" t="inlineStr">
        <is>
          <t>5104</t>
        </is>
      </c>
      <c r="B5135" s="4" t="s">
        <f>=HYPERLINK("http://anyluxury.ru/shop/odezhda/detskaya-odezhda/hudi-vozduh-temnosinee-1218540/" , "12185.40 Худи Vozduh, темно-синее, размер XL")</f>
      </c>
      <c r="C5135" s="4" t="n">
        <v>2900.00</v>
      </c>
      <c r="D5135" s="4"/>
    </row>
    <row collapsed="" customFormat="false" customHeight="1" hidden="" ht="14" outlineLevel="0" r="5136">
      <c r="A5136" s="3" t="inlineStr">
        <is>
          <t>5105</t>
        </is>
      </c>
      <c r="B5136" s="4" t="s">
        <f>=HYPERLINK("http://anyluxury.ru/shop/odezhda/detskaya-odezhda/hudi-vozduh-krasnoe-1218555/" , "12185.55 Худи Vozduh, красное, размер S")</f>
      </c>
      <c r="C5136" s="4" t="n">
        <v>2900.00</v>
      </c>
      <c r="D5136" s="4"/>
    </row>
    <row collapsed="" customFormat="false" customHeight="1" hidden="" ht="14" outlineLevel="0" r="5137">
      <c r="A5137" s="3" t="inlineStr">
        <is>
          <t>5106</t>
        </is>
      </c>
      <c r="B5137" s="4" t="s">
        <f>=HYPERLINK("http://anyluxury.ru/shop/odezhda/detskaya-odezhda/hudi-vozduh-krasnoe-1218555/" , "12185.55 Худи Vozduh, красное, размер M")</f>
      </c>
      <c r="C5137" s="4" t="n">
        <v>2900.00</v>
      </c>
      <c r="D5137" s="4"/>
    </row>
    <row collapsed="" customFormat="false" customHeight="1" hidden="" ht="14" outlineLevel="0" r="5138">
      <c r="A5138" s="3" t="inlineStr">
        <is>
          <t>5107</t>
        </is>
      </c>
      <c r="B5138" s="4" t="s">
        <f>=HYPERLINK("http://anyluxury.ru/shop/odezhda/detskaya-odezhda/hudi-vozduh-krasnoe-1218555/" , "12185.55 Худи Vozduh, красное, размер L")</f>
      </c>
      <c r="C5138" s="4" t="n">
        <v>2900.00</v>
      </c>
      <c r="D5138" s="4"/>
    </row>
    <row collapsed="" customFormat="false" customHeight="1" hidden="" ht="14" outlineLevel="0" r="5139">
      <c r="A5139" s="3" t="inlineStr">
        <is>
          <t>5108</t>
        </is>
      </c>
      <c r="B5139" s="4" t="s">
        <f>=HYPERLINK("http://anyluxury.ru/shop/odezhda/detskaya-odezhda/hudi-vozduh-krasnoe-1218555/" , "12185.55 Худи Vozduh, красное, размер XL")</f>
      </c>
      <c r="C5139" s="4" t="n">
        <v>2900.00</v>
      </c>
      <c r="D5139" s="4"/>
    </row>
    <row collapsed="" customFormat="false" customHeight="1" hidden="" ht="14" outlineLevel="0" r="5140">
      <c r="A5140" s="3" t="inlineStr">
        <is>
          <t>5109</t>
        </is>
      </c>
      <c r="B5140" s="4" t="s">
        <f>=HYPERLINK("http://anyluxury.ru/shop/odezhda/detskaya-odezhda/svitshot-kosmos-siniy-1218244/" , "12182.44 Свитшот Kosmos, синий, размер S")</f>
      </c>
      <c r="C5140" s="4" t="n">
        <v>2500.00</v>
      </c>
      <c r="D5140" s="4"/>
    </row>
    <row collapsed="" customFormat="false" customHeight="1" hidden="" ht="14" outlineLevel="0" r="5141">
      <c r="A5141" s="3" t="inlineStr">
        <is>
          <t>5110</t>
        </is>
      </c>
      <c r="B5141" s="4" t="s">
        <f>=HYPERLINK("http://anyluxury.ru/shop/odezhda/detskaya-odezhda/svitshot-kosmos-beliy-1218260/" , "12182.60 Свитшот Kosmos, белый, размер M")</f>
      </c>
      <c r="C5141" s="4" t="n">
        <v>2600.00</v>
      </c>
      <c r="D5141" s="4"/>
    </row>
    <row collapsed="" customFormat="false" customHeight="1" hidden="" ht="14" outlineLevel="0" r="5142">
      <c r="A5142" s="3" t="inlineStr">
        <is>
          <t>5111</t>
        </is>
      </c>
      <c r="B5142" s="4" t="s">
        <f>=HYPERLINK("http://anyluxury.ru/shop/odezhda/detskaya-odezhda/svitshot-kosmos-seriy-1218210/" , "12182.10 Свитшот Kosmos, серый, размер S")</f>
      </c>
      <c r="C5142" s="4" t="n">
        <v>2500.00</v>
      </c>
      <c r="D5142" s="4"/>
    </row>
    <row collapsed="" customFormat="false" customHeight="1" hidden="" ht="14" outlineLevel="0" r="5143">
      <c r="A5143" s="3" t="inlineStr">
        <is>
          <t>5112</t>
        </is>
      </c>
      <c r="B5143" s="4" t="s">
        <f>=HYPERLINK("http://anyluxury.ru/shop/odezhda/detskaya-odezhda/svitshot-kosmos-krasniy-1218255/" , "12182.55 Свитшот Kosmos, красный, размер S")</f>
      </c>
      <c r="C5143" s="4" t="n">
        <v>2500.00</v>
      </c>
      <c r="D5143" s="4"/>
    </row>
    <row collapsed="" customFormat="false" customHeight="1" hidden="" ht="14" outlineLevel="0" r="5144">
      <c r="A5144" s="3" t="inlineStr">
        <is>
          <t>5113</t>
        </is>
      </c>
      <c r="B5144" s="4" t="s">
        <f>=HYPERLINK("http://anyluxury.ru/shop/odezhda/detskaya-odezhda/svitshot-kosmos-krasniy-1218255/" , "12182.55 Свитшот Kosmos, красный, размер M")</f>
      </c>
      <c r="C5144" s="4" t="n">
        <v>2500.00</v>
      </c>
      <c r="D5144" s="4"/>
    </row>
    <row collapsed="" customFormat="false" customHeight="1" hidden="" ht="14" outlineLevel="0" r="5145">
      <c r="A5145" s="3" t="inlineStr">
        <is>
          <t>5114</t>
        </is>
      </c>
      <c r="B5145" s="4" t="s">
        <f>=HYPERLINK("http://anyluxury.ru/shop/odezhda/detskaya-odezhda/svitshot-kosmos-krasniy-1218255/" , "12182.55 Свитшот Kosmos, красный, размер XL")</f>
      </c>
      <c r="C5145" s="4" t="n">
        <v>2500.00</v>
      </c>
      <c r="D5145" s="4"/>
    </row>
    <row collapsed="" customFormat="false" customHeight="1" hidden="" ht="14" outlineLevel="0" r="5146">
      <c r="A5146" s="3" t="inlineStr">
        <is>
          <t>5115</t>
        </is>
      </c>
      <c r="B5146" s="4" t="s">
        <f>=HYPERLINK("http://anyluxury.ru/shop/odezhda/detskaya-odezhda/perchatki-alpine-bezhevie-1801300/" , "18013.00 Перчатки Alpine, бежевые, размер M")</f>
      </c>
      <c r="C5146" s="4" t="n">
        <v>1399.00</v>
      </c>
      <c r="D5146" s="4"/>
    </row>
    <row collapsed="" customFormat="false" customHeight="1" hidden="" ht="14" outlineLevel="0" r="5147">
      <c r="A5147" s="3" t="inlineStr">
        <is>
          <t>5116</t>
        </is>
      </c>
      <c r="B5147" s="4" t="s">
        <f>=HYPERLINK("http://anyluxury.ru/shop/odezhda/detskaya-odezhda/perchatki-alpine-bezhevie-1801300/" , "18013.00 Перчатки Alpine, бежевые, размер L")</f>
      </c>
      <c r="C5147" s="4" t="n">
        <v>1399.00</v>
      </c>
      <c r="D5147" s="4"/>
    </row>
    <row collapsed="" customFormat="false" customHeight="1" hidden="" ht="14" outlineLevel="0" r="5148">
      <c r="A5148" s="3" t="inlineStr">
        <is>
          <t>5117</t>
        </is>
      </c>
      <c r="B5148" s="4" t="s">
        <f>=HYPERLINK("http://anyluxury.ru/shop/odezhda/detskaya-odezhda/perchatki-alpine-seriy-melanzh-1801311/" , "18013.11 Перчатки Alpine, серый меланж, размер M")</f>
      </c>
      <c r="C5148" s="4" t="n">
        <v>1399.00</v>
      </c>
      <c r="D5148" s="4"/>
    </row>
    <row collapsed="" customFormat="false" customHeight="1" hidden="" ht="14" outlineLevel="0" r="5149">
      <c r="A5149" s="3" t="inlineStr">
        <is>
          <t>5118</t>
        </is>
      </c>
      <c r="B5149" s="4" t="s">
        <f>=HYPERLINK("http://anyluxury.ru/shop/odezhda/detskaya-odezhda/perchatki-alpine-chernie-1801330/" , "18013.30 Перчатки Alpine, черные, размер M")</f>
      </c>
      <c r="C5149" s="4" t="n">
        <v>1399.00</v>
      </c>
      <c r="D5149" s="4"/>
    </row>
    <row collapsed="" customFormat="false" customHeight="1" hidden="" ht="14" outlineLevel="0" r="5150">
      <c r="A5150" s="3" t="inlineStr">
        <is>
          <t>5119</t>
        </is>
      </c>
      <c r="B5150" s="4" t="s">
        <f>=HYPERLINK("http://anyluxury.ru/shop/odezhda/detskaya-odezhda/perchatki-alpine-temnosinie-1801344/" , "18013.44 Перчатки Alpine, темно-синие, размер M")</f>
      </c>
      <c r="C5150" s="4" t="n">
        <v>1399.00</v>
      </c>
      <c r="D5150" s="4"/>
    </row>
    <row collapsed="" customFormat="false" customHeight="1" hidden="" ht="14" outlineLevel="0" r="5151">
      <c r="A5151" s="3" t="inlineStr">
        <is>
          <t>5120</t>
        </is>
      </c>
      <c r="B5151" s="4" t="s">
        <f>=HYPERLINK("http://anyluxury.ru/shop/odezhda/detskaya-odezhda/perchatki-alpine-belie-1801360/" , "18013.60 Перчатки Alpine, белые, размер M")</f>
      </c>
      <c r="C5151" s="4" t="n">
        <v>1399.00</v>
      </c>
      <c r="D5151" s="4"/>
    </row>
    <row collapsed="" customFormat="false" customHeight="1" hidden="" ht="14" outlineLevel="0" r="5152">
      <c r="A5152" s="3" t="inlineStr">
        <is>
          <t>5121</t>
        </is>
      </c>
      <c r="B5152" s="4" t="s">
        <f>=HYPERLINK("http://anyluxury.ru/shop/odezhda/detskaya-odezhda/perchatki-alpine-belie-1801360/" , "18013.60 Перчатки Alpine, белые, размер L")</f>
      </c>
      <c r="C5152" s="4" t="n">
        <v>1399.00</v>
      </c>
      <c r="D5152" s="4"/>
    </row>
    <row collapsed="" customFormat="false" customHeight="1" hidden="" ht="14" outlineLevel="0" r="5153">
      <c r="A5153" s="3" t="inlineStr">
        <is>
          <t>5122</t>
        </is>
      </c>
      <c r="B5153" s="4" t="s">
        <f>=HYPERLINK("http://anyluxury.ru/shop/odezhda/detskaya-odezhda/varezhki-nordkyn-bordovie-1045255/" , "10452.55 Варежки Nordkyn, бордовые, размер L/XL")</f>
      </c>
      <c r="C5153" s="4" t="n">
        <v>789.00</v>
      </c>
      <c r="D5153" s="4"/>
    </row>
    <row collapsed="" customFormat="false" customHeight="1" hidden="" ht="14" outlineLevel="0" r="5154">
      <c r="A5154" s="3" t="inlineStr">
        <is>
          <t>5123</t>
        </is>
      </c>
      <c r="B5154" s="4" t="s">
        <f>=HYPERLINK("http://anyluxury.ru/shop/odezhda/detskaya-odezhda/varezhki-nordkyn-zelenie-olivkovie-1045290/" , "10452.90 Варежки Nordkyn, зеленые (оливковые), размер S/M")</f>
      </c>
      <c r="C5154" s="4" t="n">
        <v>789.00</v>
      </c>
      <c r="D5154" s="4"/>
    </row>
    <row collapsed="" customFormat="false" customHeight="1" hidden="" ht="14" outlineLevel="0" r="5155">
      <c r="A5155" s="3" t="inlineStr">
        <is>
          <t>5124</t>
        </is>
      </c>
      <c r="B5155" s="4" t="s">
        <f>=HYPERLINK("http://anyluxury.ru/shop/odezhda/detskaya-odezhda/termonakleyka-print-na-zakaz-1393900/" , "13939.00 Термонаклейка Print на заказ")</f>
      </c>
      <c r="C5155" s="4" t="n">
        <v>380.00</v>
      </c>
      <c r="D5155" s="4"/>
    </row>
    <row collapsed="" customFormat="false" customHeight="1" hidden="" ht="14" outlineLevel="0" r="5156">
      <c r="A5156" s="3" t="inlineStr">
        <is>
          <t>5125</t>
        </is>
      </c>
      <c r="B5156" s="4" t="s">
        <f>=HYPERLINK("http://anyluxury.ru/shop/odezhda/detskaya-odezhda/dozhdevik-kivach-promo-oranzheviy-neon-1172620/" , "11726.20 Дождевик Kivach Promo оранжевый неон, размер S")</f>
      </c>
      <c r="C5156" s="4" t="n">
        <v>1290.00</v>
      </c>
      <c r="D5156" s="4"/>
    </row>
    <row collapsed="" customFormat="false" customHeight="1" hidden="" ht="14" outlineLevel="0" r="5157">
      <c r="A5157" s="3" t="inlineStr">
        <is>
          <t>5126</t>
        </is>
      </c>
      <c r="B5157" s="4" t="s">
        <f>=HYPERLINK("http://anyluxury.ru/shop/odezhda/detskaya-odezhda/dozhdevik-kivach-promo-oranzheviy-neon-1172620/" , "11726.20 Дождевик Kivach Promo оранжевый неон, размер M")</f>
      </c>
      <c r="C5157" s="4" t="n">
        <v>1290.00</v>
      </c>
      <c r="D5157" s="4"/>
    </row>
    <row collapsed="" customFormat="false" customHeight="1" hidden="" ht="14" outlineLevel="0" r="5158">
      <c r="A5158" s="3" t="inlineStr">
        <is>
          <t>5127</t>
        </is>
      </c>
      <c r="B5158" s="4" t="s">
        <f>=HYPERLINK("http://anyluxury.ru/shop/odezhda/detskaya-odezhda/dozhdevik-kivach-promo-oranzheviy-neon-1172620/" , "11726.20 Дождевик Kivach Promo оранжевый неон, размер L")</f>
      </c>
      <c r="C5158" s="4" t="n">
        <v>1290.00</v>
      </c>
      <c r="D5158" s="4"/>
    </row>
    <row collapsed="" customFormat="false" customHeight="1" hidden="" ht="14" outlineLevel="0" r="5159">
      <c r="A5159" s="3" t="inlineStr">
        <is>
          <t>5128</t>
        </is>
      </c>
      <c r="B5159" s="4" t="s">
        <f>=HYPERLINK("http://anyluxury.ru/shop/odezhda/detskaya-odezhda/dozhdevik-kivach-promo-oranzheviy-neon-1172620/" , "11726.20 Дождевик Kivach Promo оранжевый неон, размер XL")</f>
      </c>
      <c r="C5159" s="4" t="n">
        <v>1290.00</v>
      </c>
      <c r="D5159" s="4"/>
    </row>
    <row collapsed="" customFormat="false" customHeight="1" hidden="" ht="14" outlineLevel="0" r="5160">
      <c r="A5160" s="3" t="inlineStr">
        <is>
          <t>5129</t>
        </is>
      </c>
      <c r="B5160" s="4" t="s">
        <f>=HYPERLINK("http://anyluxury.ru/shop/odezhda/detskaya-odezhda/dozhdevik-kivach-promo-oranzheviy-neon-1172620/" , "11726.20 Дождевик Kivach Promo оранжевый неон, размер XXL")</f>
      </c>
      <c r="C5160" s="4" t="n">
        <v>1290.00</v>
      </c>
      <c r="D5160" s="4"/>
    </row>
    <row collapsed="" customFormat="false" customHeight="1" hidden="" ht="14" outlineLevel="0" r="5161">
      <c r="A5161" s="3" t="inlineStr">
        <is>
          <t>5130</t>
        </is>
      </c>
      <c r="B5161" s="4" t="s">
        <f>=HYPERLINK("http://anyluxury.ru/shop/odezhda/detskaya-odezhda/dozhdevik-kivach-promo-oranzheviy-neon-1172620/" , "11726.20 Дождевик Kivach Promo оранжевый неон, размер 3XL")</f>
      </c>
      <c r="C5161" s="4" t="n">
        <v>1290.00</v>
      </c>
      <c r="D5161" s="4"/>
    </row>
    <row collapsed="" customFormat="false" customHeight="1" hidden="" ht="14" outlineLevel="0" r="5162">
      <c r="A5162" s="3" t="inlineStr">
        <is>
          <t>5131</t>
        </is>
      </c>
      <c r="B5162" s="4" t="s">
        <f>=HYPERLINK("http://anyluxury.ru/shop/odezhda/detskaya-odezhda/dozhdevik-detskiy-rainman-kids-beliy-1172960/" , "11729.60 Дождевик детский Rainman Kids белый, 7-9 лет")</f>
      </c>
      <c r="C5162" s="4" t="n">
        <v>1204.00</v>
      </c>
      <c r="D5162" s="4"/>
    </row>
    <row collapsed="" customFormat="false" customHeight="1" hidden="" ht="14" outlineLevel="0" r="5163">
      <c r="A5163" s="3" t="inlineStr">
        <is>
          <t>5132</t>
        </is>
      </c>
      <c r="B5163" s="4" t="s">
        <f>=HYPERLINK("http://anyluxury.ru/shop/odezhda/detskaya-odezhda/dozhdevik-detskiy-rainman-kids-beliy-1172960/" , "11729.60 Дождевик детский Rainman Kids белый, 10-12 лет")</f>
      </c>
      <c r="C5163" s="4" t="n">
        <v>1204.00</v>
      </c>
      <c r="D5163" s="4"/>
    </row>
    <row collapsed="" customFormat="false" customHeight="1" hidden="" ht="14" outlineLevel="0" r="5164">
      <c r="A5164" s="3" t="inlineStr">
        <is>
          <t>5133</t>
        </is>
      </c>
      <c r="B5164" s="4" t="s">
        <f>=HYPERLINK("http://anyluxury.ru/shop/odezhda/detskaya-odezhda/dzhoggeri-jumbo-cherniy-melanzh-03810348/" , "03810348 Джоггеры Jumbo, черный меланж, размер XS")</f>
      </c>
      <c r="C5164" s="4" t="n">
        <v>3388.00</v>
      </c>
      <c r="D5164" s="4"/>
    </row>
    <row collapsed="" customFormat="false" customHeight="1" hidden="" ht="14" outlineLevel="0" r="5165">
      <c r="A5165" s="3" t="inlineStr">
        <is>
          <t>5134</t>
        </is>
      </c>
      <c r="B5165" s="4" t="s">
        <f>=HYPERLINK("http://anyluxury.ru/shop/odezhda/detskaya-odezhda/dzhoggeri-jumbo-cherniy-melanzh-03810348/" , "03810348 Джоггеры Jumbo, черный меланж, размер S")</f>
      </c>
      <c r="C5165" s="4" t="n">
        <v>3388.00</v>
      </c>
      <c r="D5165" s="4"/>
    </row>
    <row collapsed="" customFormat="false" customHeight="1" hidden="" ht="14" outlineLevel="0" r="5166">
      <c r="A5166" s="3" t="inlineStr">
        <is>
          <t>5135</t>
        </is>
      </c>
      <c r="B5166" s="4" t="s">
        <f>=HYPERLINK("http://anyluxury.ru/shop/odezhda/detskaya-odezhda/dzhoggeri-jumbo-cherniy-melanzh-03810348/" , "03810348 Джоггеры Jumbo, черный меланж, размер M")</f>
      </c>
      <c r="C5166" s="4" t="n">
        <v>3388.00</v>
      </c>
      <c r="D5166" s="4"/>
    </row>
    <row collapsed="" customFormat="false" customHeight="1" hidden="" ht="14" outlineLevel="0" r="5167">
      <c r="A5167" s="3" t="inlineStr">
        <is>
          <t>5136</t>
        </is>
      </c>
      <c r="B5167" s="4" t="s">
        <f>=HYPERLINK("http://anyluxury.ru/shop/odezhda/detskaya-odezhda/dzhoggeri-jumbo-cherniy-melanzh-03810348/" , "03810348 Джоггеры Jumbo, черный меланж, размер L")</f>
      </c>
      <c r="C5167" s="4" t="n">
        <v>3388.00</v>
      </c>
      <c r="D5167" s="4"/>
    </row>
    <row collapsed="" customFormat="false" customHeight="1" hidden="" ht="14" outlineLevel="0" r="5168">
      <c r="A5168" s="3" t="inlineStr">
        <is>
          <t>5137</t>
        </is>
      </c>
      <c r="B5168" s="4" t="s">
        <f>=HYPERLINK("http://anyluxury.ru/shop/odezhda/detskaya-odezhda/dzhoggeri-jumbo-cherniy-melanzh-03810348/" , "03810348 Джоггеры Jumbo, черный меланж, размер XL")</f>
      </c>
      <c r="C5168" s="4" t="n">
        <v>3388.00</v>
      </c>
      <c r="D5168" s="4"/>
    </row>
    <row collapsed="" customFormat="false" customHeight="1" hidden="" ht="14" outlineLevel="0" r="5169">
      <c r="A5169" s="3" t="inlineStr">
        <is>
          <t>5138</t>
        </is>
      </c>
      <c r="B5169" s="4" t="s">
        <f>=HYPERLINK("http://anyluxury.ru/shop/odezhda/detskaya-odezhda/dzhoggeri-jumbo-cherniy-melanzh-03810348/" , "03810348 Джоггеры Jumbo, черный меланж, размер XXL")</f>
      </c>
      <c r="C5169" s="4" t="n">
        <v>3388.00</v>
      </c>
      <c r="D5169" s="4"/>
    </row>
    <row collapsed="" customFormat="false" customHeight="1" hidden="" ht="14" outlineLevel="0" r="5170">
      <c r="A5170" s="3" t="inlineStr">
        <is>
          <t>5139</t>
        </is>
      </c>
      <c r="B5170" s="4" t="s">
        <f>=HYPERLINK("http://anyluxury.ru/shop/odezhda/detskaya-odezhda/dzhoggeri-jumbo-cherniy-melanzh-03810348/" , "03810348 Джоггеры Jumbo, черный меланж, размер 3XL")</f>
      </c>
      <c r="C5170" s="4" t="n">
        <v>3825.00</v>
      </c>
      <c r="D5170" s="4"/>
    </row>
    <row collapsed="" customFormat="false" customHeight="1" hidden="" ht="14" outlineLevel="0" r="5171">
      <c r="A5171" s="3" t="inlineStr">
        <is>
          <t>5140</t>
        </is>
      </c>
      <c r="B5171" s="4" t="s">
        <f>=HYPERLINK("http://anyluxury.ru/shop/odezhda/detskaya-odezhda/dzhoggeri-jumbo-temnosinie-03810319/" , "03810319 Джоггеры Jumbo, темно-синие, размер XS")</f>
      </c>
      <c r="C5171" s="4" t="n">
        <v>3388.00</v>
      </c>
      <c r="D5171" s="4"/>
    </row>
    <row collapsed="" customFormat="false" customHeight="1" hidden="" ht="14" outlineLevel="0" r="5172">
      <c r="A5172" s="3" t="inlineStr">
        <is>
          <t>5141</t>
        </is>
      </c>
      <c r="B5172" s="4" t="s">
        <f>=HYPERLINK("http://anyluxury.ru/shop/odezhda/detskaya-odezhda/dzhoggeri-jumbo-temnosinie-03810319/" , "03810319 Джоггеры Jumbo, темно-синие, размер S")</f>
      </c>
      <c r="C5172" s="4" t="n">
        <v>3388.00</v>
      </c>
      <c r="D5172" s="4"/>
    </row>
    <row collapsed="" customFormat="false" customHeight="1" hidden="" ht="14" outlineLevel="0" r="5173">
      <c r="A5173" s="3" t="inlineStr">
        <is>
          <t>5142</t>
        </is>
      </c>
      <c r="B5173" s="4" t="s">
        <f>=HYPERLINK("http://anyluxury.ru/shop/odezhda/detskaya-odezhda/dzhoggeri-jumbo-temnosinie-03810319/" , "03810319 Джоггеры Jumbo, темно-синие, размер M")</f>
      </c>
      <c r="C5173" s="4" t="n">
        <v>3388.00</v>
      </c>
      <c r="D5173" s="4"/>
    </row>
    <row collapsed="" customFormat="false" customHeight="1" hidden="" ht="14" outlineLevel="0" r="5174">
      <c r="A5174" s="3" t="inlineStr">
        <is>
          <t>5143</t>
        </is>
      </c>
      <c r="B5174" s="4" t="s">
        <f>=HYPERLINK("http://anyluxury.ru/shop/odezhda/detskaya-odezhda/dzhoggeri-jumbo-temnosinie-03810319/" , "03810319 Джоггеры Jumbo, темно-синие, размер L")</f>
      </c>
      <c r="C5174" s="4" t="n">
        <v>3388.00</v>
      </c>
      <c r="D5174" s="4"/>
    </row>
    <row collapsed="" customFormat="false" customHeight="1" hidden="" ht="14" outlineLevel="0" r="5175">
      <c r="A5175" s="3" t="inlineStr">
        <is>
          <t>5144</t>
        </is>
      </c>
      <c r="B5175" s="4" t="s">
        <f>=HYPERLINK("http://anyluxury.ru/shop/odezhda/detskaya-odezhda/dzhoggeri-jumbo-temnosinie-03810319/" , "03810319 Джоггеры Jumbo, темно-синие, размер XL")</f>
      </c>
      <c r="C5175" s="4" t="n">
        <v>3388.00</v>
      </c>
      <c r="D5175" s="4"/>
    </row>
    <row collapsed="" customFormat="false" customHeight="1" hidden="" ht="14" outlineLevel="0" r="5176">
      <c r="A5176" s="3" t="inlineStr">
        <is>
          <t>5145</t>
        </is>
      </c>
      <c r="B5176" s="4" t="s">
        <f>=HYPERLINK("http://anyluxury.ru/shop/odezhda/detskaya-odezhda/dzhoggeri-jumbo-temnosinie-03810319/" , "03810319 Джоггеры Jumbo, темно-синие, размер XXL")</f>
      </c>
      <c r="C5176" s="4" t="n">
        <v>3388.00</v>
      </c>
      <c r="D5176" s="4"/>
    </row>
    <row collapsed="" customFormat="false" customHeight="1" hidden="" ht="14" outlineLevel="0" r="5177">
      <c r="A5177" s="3" t="inlineStr">
        <is>
          <t>5146</t>
        </is>
      </c>
      <c r="B5177" s="4" t="s">
        <f>=HYPERLINK("http://anyluxury.ru/shop/odezhda/detskaya-odezhda/dzhoggeri-jumbo-temnosinie-03810319/" , "03810319 Джоггеры Jumbo, темно-синие, размер 3XL")</f>
      </c>
      <c r="C5177" s="4" t="n">
        <v>3825.00</v>
      </c>
      <c r="D5177" s="4"/>
    </row>
    <row collapsed="" customFormat="false" customHeight="1" hidden="" ht="14" outlineLevel="0" r="5178">
      <c r="A5178" s="3" t="inlineStr">
        <is>
          <t>5147</t>
        </is>
      </c>
      <c r="B5178" s="4" t="s">
        <f>=HYPERLINK("http://anyluxury.ru/shop/odezhda/detskaya-odezhda/dzhoggeri-jumbo-haki-03810268/" , "03810268 Джоггеры Jumbo, хаки, размер XS")</f>
      </c>
      <c r="C5178" s="4" t="n">
        <v>3388.00</v>
      </c>
      <c r="D5178" s="4"/>
    </row>
    <row collapsed="" customFormat="false" customHeight="1" hidden="" ht="14" outlineLevel="0" r="5179">
      <c r="A5179" s="3" t="inlineStr">
        <is>
          <t>5148</t>
        </is>
      </c>
      <c r="B5179" s="4" t="s">
        <f>=HYPERLINK("http://anyluxury.ru/shop/odezhda/detskaya-odezhda/dzhoggeri-jumbo-haki-03810268/" , "03810268 Джоггеры Jumbo, хаки, размер S")</f>
      </c>
      <c r="C5179" s="4" t="n">
        <v>3388.00</v>
      </c>
      <c r="D5179" s="4"/>
    </row>
    <row collapsed="" customFormat="false" customHeight="1" hidden="" ht="14" outlineLevel="0" r="5180">
      <c r="A5180" s="3" t="inlineStr">
        <is>
          <t>5149</t>
        </is>
      </c>
      <c r="B5180" s="4" t="s">
        <f>=HYPERLINK("http://anyluxury.ru/shop/odezhda/detskaya-odezhda/dzhoggeri-jumbo-haki-03810268/" , "03810268 Джоггеры Jumbo, хаки, размер M")</f>
      </c>
      <c r="C5180" s="4" t="n">
        <v>3388.00</v>
      </c>
      <c r="D5180" s="4"/>
    </row>
    <row collapsed="" customFormat="false" customHeight="1" hidden="" ht="14" outlineLevel="0" r="5181">
      <c r="A5181" s="3" t="inlineStr">
        <is>
          <t>5150</t>
        </is>
      </c>
      <c r="B5181" s="4" t="s">
        <f>=HYPERLINK("http://anyluxury.ru/shop/odezhda/detskaya-odezhda/dzhoggeri-jumbo-haki-03810268/" , "03810268 Джоггеры Jumbo, хаки, размер L")</f>
      </c>
      <c r="C5181" s="4" t="n">
        <v>3388.00</v>
      </c>
      <c r="D5181" s="4"/>
    </row>
    <row collapsed="" customFormat="false" customHeight="1" hidden="" ht="14" outlineLevel="0" r="5182">
      <c r="A5182" s="3" t="inlineStr">
        <is>
          <t>5151</t>
        </is>
      </c>
      <c r="B5182" s="4" t="s">
        <f>=HYPERLINK("http://anyluxury.ru/shop/odezhda/detskaya-odezhda/dzhoggeri-jumbo-haki-03810268/" , "03810268 Джоггеры Jumbo, хаки, размер XL")</f>
      </c>
      <c r="C5182" s="4" t="n">
        <v>3388.00</v>
      </c>
      <c r="D5182" s="4"/>
    </row>
    <row collapsed="" customFormat="false" customHeight="1" hidden="" ht="14" outlineLevel="0" r="5183">
      <c r="A5183" s="3" t="inlineStr">
        <is>
          <t>5152</t>
        </is>
      </c>
      <c r="B5183" s="4" t="s">
        <f>=HYPERLINK("http://anyluxury.ru/shop/odezhda/detskaya-odezhda/dzhoggeri-jumbo-haki-03810268/" , "03810268 Джоггеры Jumbo, хаки, размер XXL")</f>
      </c>
      <c r="C5183" s="4" t="n">
        <v>3388.00</v>
      </c>
      <c r="D5183" s="4"/>
    </row>
    <row collapsed="" customFormat="false" customHeight="1" hidden="" ht="14" outlineLevel="0" r="5184">
      <c r="A5184" s="3" t="inlineStr">
        <is>
          <t>5153</t>
        </is>
      </c>
      <c r="B5184" s="4" t="s">
        <f>=HYPERLINK("http://anyluxury.ru/shop/odezhda/detskaya-odezhda/dzhoggeri-jumbo-haki-03810268/" , "03810268 Джоггеры Jumbo, хаки, размер 3XL")</f>
      </c>
      <c r="C5184" s="4" t="n">
        <v>3825.00</v>
      </c>
      <c r="D5184" s="4"/>
    </row>
    <row collapsed="" customFormat="false" customHeight="1" hidden="" ht="14" outlineLevel="0" r="5185">
      <c r="A5185" s="3" t="inlineStr">
        <is>
          <t>5154</t>
        </is>
      </c>
      <c r="B5185" s="4" t="s">
        <f>=HYPERLINK("http://anyluxury.ru/shop/odezhda/detskaya-odezhda/dzhoggeri-jumbo-sirenevie-03810701/" , "03810701 Джоггеры Jumbo, сиреневые, размер XS")</f>
      </c>
      <c r="C5185" s="4" t="n">
        <v>3388.00</v>
      </c>
      <c r="D5185" s="4"/>
    </row>
    <row collapsed="" customFormat="false" customHeight="1" hidden="" ht="14" outlineLevel="0" r="5186">
      <c r="A5186" s="3" t="inlineStr">
        <is>
          <t>5155</t>
        </is>
      </c>
      <c r="B5186" s="4" t="s">
        <f>=HYPERLINK("http://anyluxury.ru/shop/odezhda/detskaya-odezhda/dzhoggeri-jumbo-sirenevie-03810701/" , "03810701 Джоггеры Jumbo, сиреневые, размер S")</f>
      </c>
      <c r="C5186" s="4" t="n">
        <v>3388.00</v>
      </c>
      <c r="D5186" s="4"/>
    </row>
    <row collapsed="" customFormat="false" customHeight="1" hidden="" ht="14" outlineLevel="0" r="5187">
      <c r="A5187" s="3" t="inlineStr">
        <is>
          <t>5156</t>
        </is>
      </c>
      <c r="B5187" s="4" t="s">
        <f>=HYPERLINK("http://anyluxury.ru/shop/odezhda/detskaya-odezhda/dzhoggeri-jumbo-sirenevie-03810701/" , "03810701 Джоггеры Jumbo, сиреневые, размер M")</f>
      </c>
      <c r="C5187" s="4" t="n">
        <v>3388.00</v>
      </c>
      <c r="D5187" s="4"/>
    </row>
    <row collapsed="" customFormat="false" customHeight="1" hidden="" ht="14" outlineLevel="0" r="5188">
      <c r="A5188" s="3" t="inlineStr">
        <is>
          <t>5157</t>
        </is>
      </c>
      <c r="B5188" s="4" t="s">
        <f>=HYPERLINK("http://anyluxury.ru/shop/odezhda/detskaya-odezhda/dzhoggeri-jumbo-sirenevie-03810701/" , "03810701 Джоггеры Jumbo, сиреневые, размер L")</f>
      </c>
      <c r="C5188" s="4" t="n">
        <v>3388.00</v>
      </c>
      <c r="D5188" s="4"/>
    </row>
    <row collapsed="" customFormat="false" customHeight="1" hidden="" ht="14" outlineLevel="0" r="5189">
      <c r="A5189" s="3" t="inlineStr">
        <is>
          <t>5158</t>
        </is>
      </c>
      <c r="B5189" s="4" t="s">
        <f>=HYPERLINK("http://anyluxury.ru/shop/odezhda/detskaya-odezhda/dzhoggeri-jumbo-sirenevie-03810701/" , "03810701 Джоггеры Jumbo, сиреневые, размер XL")</f>
      </c>
      <c r="C5189" s="4" t="n">
        <v>3388.00</v>
      </c>
      <c r="D5189" s="4"/>
    </row>
    <row collapsed="" customFormat="false" customHeight="1" hidden="" ht="14" outlineLevel="0" r="5190">
      <c r="A5190" s="3" t="inlineStr">
        <is>
          <t>5159</t>
        </is>
      </c>
      <c r="B5190" s="4" t="s">
        <f>=HYPERLINK("http://anyluxury.ru/shop/odezhda/detskaya-odezhda/dzhoggeri-jumbo-sirenevie-03810701/" , "03810701 Джоггеры Jumbo, сиреневые, размер XXL")</f>
      </c>
      <c r="C5190" s="4" t="n">
        <v>3388.00</v>
      </c>
      <c r="D5190" s="4"/>
    </row>
    <row collapsed="" customFormat="false" customHeight="1" hidden="" ht="14" outlineLevel="0" r="5191">
      <c r="A5191" s="3" t="inlineStr">
        <is>
          <t>5160</t>
        </is>
      </c>
      <c r="B5191" s="4" t="s">
        <f>=HYPERLINK("http://anyluxury.ru/shop/odezhda/detskaya-odezhda/dzhoggeri-jumbo-sirenevie-03810701/" , "03810701 Джоггеры Jumbo, сиреневые, размер 3XL")</f>
      </c>
      <c r="C5191" s="4" t="n">
        <v>3825.00</v>
      </c>
      <c r="D5191" s="4"/>
    </row>
    <row collapsed="" customFormat="false" customHeight="1" hidden="" ht="14" outlineLevel="0" r="5192">
      <c r="A5192" s="3" t="inlineStr">
        <is>
          <t>5161</t>
        </is>
      </c>
      <c r="B5192" s="4" t="s">
        <f>=HYPERLINK("http://anyluxury.ru/shop/odezhda/detskaya-odezhda/dzhoggeri-zhenskie-jet-women-chernie-03809312/" , "03809312 Джоггеры женские Jet Women, черные, размер XS")</f>
      </c>
      <c r="C5192" s="4" t="n">
        <v>3197.00</v>
      </c>
      <c r="D5192" s="4"/>
    </row>
    <row collapsed="" customFormat="false" customHeight="1" hidden="" ht="14" outlineLevel="0" r="5193">
      <c r="A5193" s="3" t="inlineStr">
        <is>
          <t>5162</t>
        </is>
      </c>
      <c r="B5193" s="4" t="s">
        <f>=HYPERLINK("http://anyluxury.ru/shop/odezhda/detskaya-odezhda/dzhoggeri-zhenskie-jet-women-chernie-03809312/" , "03809312 Джоггеры женские Jet Women, черные, размер S")</f>
      </c>
      <c r="C5193" s="4" t="n">
        <v>3197.00</v>
      </c>
      <c r="D5193" s="4"/>
    </row>
    <row collapsed="" customFormat="false" customHeight="1" hidden="" ht="14" outlineLevel="0" r="5194">
      <c r="A5194" s="3" t="inlineStr">
        <is>
          <t>5163</t>
        </is>
      </c>
      <c r="B5194" s="4" t="s">
        <f>=HYPERLINK("http://anyluxury.ru/shop/odezhda/detskaya-odezhda/dzhoggeri-zhenskie-jet-women-chernie-03809312/" , "03809312 Джоггеры женские Jet Women, черные, размер M")</f>
      </c>
      <c r="C5194" s="4" t="n">
        <v>3197.00</v>
      </c>
      <c r="D5194" s="4"/>
    </row>
    <row collapsed="" customFormat="false" customHeight="1" hidden="" ht="14" outlineLevel="0" r="5195">
      <c r="A5195" s="3" t="inlineStr">
        <is>
          <t>5164</t>
        </is>
      </c>
      <c r="B5195" s="4" t="s">
        <f>=HYPERLINK("http://anyluxury.ru/shop/odezhda/detskaya-odezhda/dzhoggeri-zhenskie-jet-women-chernie-03809312/" , "03809312 Джоггеры женские Jet Women, черные, размер L")</f>
      </c>
      <c r="C5195" s="4" t="n">
        <v>3197.00</v>
      </c>
      <c r="D5195" s="4"/>
    </row>
    <row collapsed="" customFormat="false" customHeight="1" hidden="" ht="14" outlineLevel="0" r="5196">
      <c r="A5196" s="3" t="inlineStr">
        <is>
          <t>5165</t>
        </is>
      </c>
      <c r="B5196" s="4" t="s">
        <f>=HYPERLINK("http://anyluxury.ru/shop/odezhda/detskaya-odezhda/dzhoggeri-zhenskie-jet-women-chernie-03809312/" , "03809312 Джоггеры женские Jet Women, черные, размер XL")</f>
      </c>
      <c r="C5196" s="4" t="n">
        <v>3197.00</v>
      </c>
      <c r="D5196" s="4"/>
    </row>
    <row collapsed="" customFormat="false" customHeight="1" hidden="" ht="14" outlineLevel="0" r="5197">
      <c r="A5197" s="3" t="inlineStr">
        <is>
          <t>5166</t>
        </is>
      </c>
      <c r="B5197" s="4" t="s">
        <f>=HYPERLINK("http://anyluxury.ru/shop/odezhda/detskaya-odezhda/dzhoggeri-zhenskie-jet-women-chernie-03809312/" , "03809312 Джоггеры женские Jet Women, черные, размер XXL")</f>
      </c>
      <c r="C5197" s="4" t="n">
        <v>3197.00</v>
      </c>
      <c r="D5197" s="4"/>
    </row>
    <row collapsed="" customFormat="false" customHeight="1" hidden="" ht="14" outlineLevel="0" r="5198">
      <c r="A5198" s="3" t="inlineStr">
        <is>
          <t>5167</t>
        </is>
      </c>
      <c r="B5198" s="4" t="s">
        <f>=HYPERLINK("http://anyluxury.ru/shop/odezhda/detskaya-odezhda/dzhoggeri-zhenskie-jet-women-temnosinie-03809319/" , "03809319 Джоггеры женские Jet Women, темно-синие, размер XS")</f>
      </c>
      <c r="C5198" s="4" t="n">
        <v>3197.00</v>
      </c>
      <c r="D5198" s="4"/>
    </row>
    <row collapsed="" customFormat="false" customHeight="1" hidden="" ht="14" outlineLevel="0" r="5199">
      <c r="A5199" s="3" t="inlineStr">
        <is>
          <t>5168</t>
        </is>
      </c>
      <c r="B5199" s="4" t="s">
        <f>=HYPERLINK("http://anyluxury.ru/shop/odezhda/detskaya-odezhda/dzhoggeri-zhenskie-jet-women-temnosinie-03809319/" , "03809319 Джоггеры женские Jet Women, темно-синие, размер S")</f>
      </c>
      <c r="C5199" s="4" t="n">
        <v>3197.00</v>
      </c>
      <c r="D5199" s="4"/>
    </row>
    <row collapsed="" customFormat="false" customHeight="1" hidden="" ht="14" outlineLevel="0" r="5200">
      <c r="A5200" s="3" t="inlineStr">
        <is>
          <t>5169</t>
        </is>
      </c>
      <c r="B5200" s="4" t="s">
        <f>=HYPERLINK("http://anyluxury.ru/shop/odezhda/detskaya-odezhda/dzhoggeri-zhenskie-jet-women-temnosinie-03809319/" , "03809319 Джоггеры женские Jet Women, темно-синие, размер M")</f>
      </c>
      <c r="C5200" s="4" t="n">
        <v>3197.00</v>
      </c>
      <c r="D5200" s="4"/>
    </row>
    <row collapsed="" customFormat="false" customHeight="1" hidden="" ht="14" outlineLevel="0" r="5201">
      <c r="A5201" s="3" t="inlineStr">
        <is>
          <t>5170</t>
        </is>
      </c>
      <c r="B5201" s="4" t="s">
        <f>=HYPERLINK("http://anyluxury.ru/shop/odezhda/detskaya-odezhda/dzhoggeri-zhenskie-jet-women-temnosinie-03809319/" , "03809319 Джоггеры женские Jet Women, темно-синие, размер L")</f>
      </c>
      <c r="C5201" s="4" t="n">
        <v>3197.00</v>
      </c>
      <c r="D5201" s="4"/>
    </row>
    <row collapsed="" customFormat="false" customHeight="1" hidden="" ht="14" outlineLevel="0" r="5202">
      <c r="A5202" s="3" t="inlineStr">
        <is>
          <t>5171</t>
        </is>
      </c>
      <c r="B5202" s="4" t="s">
        <f>=HYPERLINK("http://anyluxury.ru/shop/odezhda/detskaya-odezhda/dzhoggeri-zhenskie-jet-women-temnosinie-03809319/" , "03809319 Джоггеры женские Jet Women, темно-синие, размер XL")</f>
      </c>
      <c r="C5202" s="4" t="n">
        <v>3197.00</v>
      </c>
      <c r="D5202" s="4"/>
    </row>
    <row collapsed="" customFormat="false" customHeight="1" hidden="" ht="14" outlineLevel="0" r="5203">
      <c r="A5203" s="3" t="inlineStr">
        <is>
          <t>5172</t>
        </is>
      </c>
      <c r="B5203" s="4" t="s">
        <f>=HYPERLINK("http://anyluxury.ru/shop/odezhda/detskaya-odezhda/dzhoggeri-zhenskie-jet-women-temnosinie-03809319/" , "03809319 Джоггеры женские Jet Women, темно-синие, размер XXL")</f>
      </c>
      <c r="C5203" s="4" t="n">
        <v>3197.00</v>
      </c>
      <c r="D5203" s="4"/>
    </row>
    <row collapsed="" customFormat="false" customHeight="1" hidden="" ht="14" outlineLevel="0" r="5204">
      <c r="A5204" s="3" t="inlineStr">
        <is>
          <t>5173</t>
        </is>
      </c>
      <c r="B5204" s="4" t="s">
        <f>=HYPERLINK("http://anyluxury.ru/shop/odezhda/detskaya-odezhda/bryuki-muzhskie-docker-temnozelenie-03820266/" , "03820266 Брюки мужские Docker, темно-зеленые, размер 36")</f>
      </c>
      <c r="C5204" s="4" t="n">
        <v>4409.00</v>
      </c>
      <c r="D5204" s="4"/>
    </row>
    <row collapsed="" customFormat="false" customHeight="1" hidden="" ht="14" outlineLevel="0" r="5205">
      <c r="A5205" s="3" t="inlineStr">
        <is>
          <t>5174</t>
        </is>
      </c>
      <c r="B5205" s="4" t="s">
        <f>=HYPERLINK("http://anyluxury.ru/shop/odezhda/detskaya-odezhda/bryuki-muzhskie-docker-temnozelenie-03820266/" , "03820266 Брюки мужские Docker, темно-зеленые, размер 38")</f>
      </c>
      <c r="C5205" s="4" t="n">
        <v>4409.00</v>
      </c>
      <c r="D5205" s="4"/>
    </row>
    <row collapsed="" customFormat="false" customHeight="1" hidden="" ht="14" outlineLevel="0" r="5206">
      <c r="A5206" s="3" t="inlineStr">
        <is>
          <t>5175</t>
        </is>
      </c>
      <c r="B5206" s="4" t="s">
        <f>=HYPERLINK("http://anyluxury.ru/shop/odezhda/detskaya-odezhda/bryuki-muzhskie-docker-temnozelenie-03820266/" , "03820266 Брюки мужские Docker, темно-зеленые, размер 40")</f>
      </c>
      <c r="C5206" s="4" t="n">
        <v>4409.00</v>
      </c>
      <c r="D5206" s="4"/>
    </row>
    <row collapsed="" customFormat="false" customHeight="1" hidden="" ht="14" outlineLevel="0" r="5207">
      <c r="A5207" s="3" t="inlineStr">
        <is>
          <t>5176</t>
        </is>
      </c>
      <c r="B5207" s="4" t="s">
        <f>=HYPERLINK("http://anyluxury.ru/shop/odezhda/detskaya-odezhda/bryuki-muzhskie-docker-temnozelenie-03820266/" , "03820266 Брюки мужские Docker, темно-зеленые, размер 42")</f>
      </c>
      <c r="C5207" s="4" t="n">
        <v>4409.00</v>
      </c>
      <c r="D5207" s="4"/>
    </row>
    <row collapsed="" customFormat="false" customHeight="1" hidden="" ht="14" outlineLevel="0" r="5208">
      <c r="A5208" s="3" t="inlineStr">
        <is>
          <t>5177</t>
        </is>
      </c>
      <c r="B5208" s="4" t="s">
        <f>=HYPERLINK("http://anyluxury.ru/shop/odezhda/detskaya-odezhda/bryuki-muzhskie-docker-temnozelenie-03820266/" , "03820266 Брюки мужские Docker, темно-зеленые, размер 44")</f>
      </c>
      <c r="C5208" s="4" t="n">
        <v>4409.00</v>
      </c>
      <c r="D5208" s="4"/>
    </row>
    <row collapsed="" customFormat="false" customHeight="1" hidden="" ht="14" outlineLevel="0" r="5209">
      <c r="A5209" s="3" t="inlineStr">
        <is>
          <t>5178</t>
        </is>
      </c>
      <c r="B5209" s="4" t="s">
        <f>=HYPERLINK("http://anyluxury.ru/shop/odezhda/detskaya-odezhda/bryuki-muzhskie-docker-temnozelenie-03820266/" , "03820266 Брюки мужские Docker, темно-зеленые, размер 46")</f>
      </c>
      <c r="C5209" s="4" t="n">
        <v>4409.00</v>
      </c>
      <c r="D5209" s="4"/>
    </row>
    <row collapsed="" customFormat="false" customHeight="1" hidden="" ht="14" outlineLevel="0" r="5210">
      <c r="A5210" s="3" t="inlineStr">
        <is>
          <t>5179</t>
        </is>
      </c>
      <c r="B5210" s="4" t="s">
        <f>=HYPERLINK("http://anyluxury.ru/shop/odezhda/detskaya-odezhda/bryuki-muzhskie-docker-temnozelenie-03820266/" , "03820266 Брюки мужские Docker, темно-зеленые, размер 48")</f>
      </c>
      <c r="C5210" s="4" t="n">
        <v>4409.00</v>
      </c>
      <c r="D5210" s="4"/>
    </row>
    <row collapsed="" customFormat="false" customHeight="1" hidden="" ht="14" outlineLevel="0" r="5211">
      <c r="A5211" s="3" t="inlineStr">
        <is>
          <t>5180</t>
        </is>
      </c>
      <c r="B5211" s="4" t="s">
        <f>=HYPERLINK("http://anyluxury.ru/shop/odezhda/detskaya-odezhda/bryuki-muzhskie-docker-temnozelenie-03820266/" , "03820266 Брюки мужские Docker, темно-зеленые, размер 50")</f>
      </c>
      <c r="C5211" s="4" t="n">
        <v>5043.00</v>
      </c>
      <c r="D5211" s="4"/>
    </row>
    <row collapsed="" customFormat="false" customHeight="1" hidden="" ht="14" outlineLevel="0" r="5212">
      <c r="A5212" s="3" t="inlineStr">
        <is>
          <t>5181</t>
        </is>
      </c>
      <c r="B5212" s="4" t="s">
        <f>=HYPERLINK("http://anyluxury.ru/shop/odezhda/detskaya-odezhda/bryuki-muzhskie-docker-temnozelenie-03820266/" , "03820266 Брюки мужские Docker, темно-зеленые, размер 52")</f>
      </c>
      <c r="C5212" s="4" t="n">
        <v>5043.00</v>
      </c>
      <c r="D5212" s="4"/>
    </row>
    <row collapsed="" customFormat="false" customHeight="1" hidden="" ht="14" outlineLevel="0" r="5213">
      <c r="A5213" s="3" t="inlineStr">
        <is>
          <t>5182</t>
        </is>
      </c>
      <c r="B5213" s="4" t="s">
        <f>=HYPERLINK("http://anyluxury.ru/shop/odezhda/detskaya-odezhda/bryuki-muzhskie-docker-temnozelenie-03820266/" , "03820266 Брюки мужские Docker, темно-зеленые, размер 54")</f>
      </c>
      <c r="C5213" s="4" t="n">
        <v>5043.00</v>
      </c>
      <c r="D5213" s="4"/>
    </row>
    <row collapsed="" customFormat="false" customHeight="1" hidden="" ht="14" outlineLevel="0" r="5214">
      <c r="A5214" s="3" t="inlineStr">
        <is>
          <t>5183</t>
        </is>
      </c>
      <c r="B5214" s="4" t="s">
        <f>=HYPERLINK("http://anyluxury.ru/shop/odezhda/detskaya-odezhda/bryuki-muzhskie-docker-temnozelenie-03820266/" , "03820266 Брюки мужские Docker, темно-зеленые, размер 56")</f>
      </c>
      <c r="C5214" s="4" t="n">
        <v>5043.00</v>
      </c>
      <c r="D5214" s="4"/>
    </row>
    <row collapsed="" customFormat="false" customHeight="1" hidden="" ht="14" outlineLevel="0" r="5215">
      <c r="A5215" s="3" t="inlineStr">
        <is>
          <t>5184</t>
        </is>
      </c>
      <c r="B5215" s="4" t="s">
        <f>=HYPERLINK("http://anyluxury.ru/shop/odezhda/detskaya-odezhda/bryuki-muzhskie-docker-temnozelenie-03820266/" , "03820266 Брюки мужские Docker, темно-зеленые, размер 58")</f>
      </c>
      <c r="C5215" s="4" t="n">
        <v>5043.00</v>
      </c>
      <c r="D5215" s="4"/>
    </row>
    <row collapsed="" customFormat="false" customHeight="1" hidden="" ht="14" outlineLevel="0" r="5216">
      <c r="A5216" s="3" t="inlineStr">
        <is>
          <t>5185</t>
        </is>
      </c>
      <c r="B5216" s="4" t="s">
        <f>=HYPERLINK("http://anyluxury.ru/shop/odezhda/detskaya-odezhda/bryuki-muzhskie-docker-temnozelenie-03820266/" , "03820266 Брюки мужские Docker, темно-зеленые, размер 60")</f>
      </c>
      <c r="C5216" s="4" t="n">
        <v>5532.00</v>
      </c>
      <c r="D5216" s="4"/>
    </row>
    <row collapsed="" customFormat="false" customHeight="1" hidden="" ht="14" outlineLevel="0" r="5217">
      <c r="A5217" s="3" t="inlineStr">
        <is>
          <t>5186</t>
        </is>
      </c>
      <c r="B5217" s="4" t="s">
        <f>=HYPERLINK("http://anyluxury.ru/shop/odezhda/detskaya-odezhda/bryuki-muzhskie-docker-temnozelenie-03820266/" , "03820266 Брюки мужские Docker, темно-зеленые, размер 62")</f>
      </c>
      <c r="C5217" s="4" t="n">
        <v>5532.00</v>
      </c>
      <c r="D5217" s="4"/>
    </row>
    <row collapsed="" customFormat="false" customHeight="1" hidden="" ht="14" outlineLevel="0" r="5218">
      <c r="A5218" s="3" t="inlineStr">
        <is>
          <t>5187</t>
        </is>
      </c>
      <c r="B5218" s="4" t="s">
        <f>=HYPERLINK("http://anyluxury.ru/shop/odezhda/detskaya-odezhda/bryuki-muzhskie-docker-temnozelenie-03820266/" , "03820266 Брюки мужские Docker, темно-зеленые, размер 64")</f>
      </c>
      <c r="C5218" s="4" t="n">
        <v>5532.00</v>
      </c>
      <c r="D5218" s="4"/>
    </row>
    <row collapsed="" customFormat="false" customHeight="1" hidden="" ht="14" outlineLevel="0" r="5219">
      <c r="A5219" s="3" t="inlineStr">
        <is>
          <t>5188</t>
        </is>
      </c>
      <c r="B5219" s="4" t="s">
        <f>=HYPERLINK("http://anyluxury.ru/shop/odezhda/detskaya-odezhda/detskiy-snud-real-talk-zheltiy-77740580/" , "777405.80 Детский снуд Real Talk, желтый")</f>
      </c>
      <c r="C5219" s="4" t="n">
        <v>410.00</v>
      </c>
      <c r="D5219" s="4"/>
    </row>
    <row collapsed="" customFormat="false" customHeight="1" hidden="" ht="14" outlineLevel="0" r="5220">
      <c r="A5220" s="3" t="inlineStr">
        <is>
          <t>5189</t>
        </is>
      </c>
      <c r="B5220" s="4" t="s">
        <f>=HYPERLINK("http://anyluxury.ru/shop/odezhda/detskaya-odezhda/dozhdevik-muzhskoy-squall-cherniy-1162730/" , "11627.30 Дождевик мужской Squall черный, размер S")</f>
      </c>
      <c r="C5220" s="4" t="n">
        <v>11694.00</v>
      </c>
      <c r="D5220" s="4"/>
    </row>
    <row collapsed="" customFormat="false" customHeight="1" hidden="" ht="14" outlineLevel="0" r="5221">
      <c r="A5221" s="3" t="inlineStr">
        <is>
          <t>5190</t>
        </is>
      </c>
      <c r="B5221" s="4" t="s">
        <f>=HYPERLINK("http://anyluxury.ru/shop/odezhda/detskaya-odezhda/dozhdevik-muzhskoy-squall-cherniy-1162730/" , "11627.30 Дождевик мужской Squall черный, размер M")</f>
      </c>
      <c r="C5221" s="4" t="n">
        <v>11694.00</v>
      </c>
      <c r="D5221" s="4"/>
    </row>
    <row collapsed="" customFormat="false" customHeight="1" hidden="" ht="14" outlineLevel="0" r="5222">
      <c r="A5222" s="3" t="inlineStr">
        <is>
          <t>5191</t>
        </is>
      </c>
      <c r="B5222" s="4" t="s">
        <f>=HYPERLINK("http://anyluxury.ru/shop/odezhda/detskaya-odezhda/dozhdevik-muzhskoy-squall-cherniy-1162730/" , "11627.30 Дождевик мужской Squall черный, размер XXL")</f>
      </c>
      <c r="C5222" s="4" t="n">
        <v>11694.00</v>
      </c>
      <c r="D5222" s="4"/>
    </row>
    <row collapsed="" customFormat="false" customHeight="1" hidden="" ht="14" outlineLevel="0" r="5223">
      <c r="A5223" s="3" t="inlineStr">
        <is>
          <t>5192</t>
        </is>
      </c>
      <c r="B5223" s="4" t="s">
        <f>=HYPERLINK("http://anyluxury.ru/shop/odezhda/detskaya-odezhda/dozhdevik-muzhskoy-squall-cherniy-1162730/" , "11627.30 Дождевик мужской Squall черный, размер 4XL")</f>
      </c>
      <c r="C5223" s="4" t="n">
        <v>11694.00</v>
      </c>
      <c r="D5223" s="4"/>
    </row>
    <row collapsed="" customFormat="false" customHeight="1" hidden="" ht="14" outlineLevel="0" r="5224">
      <c r="A5224" s="3" t="inlineStr">
        <is>
          <t>5193</t>
        </is>
      </c>
      <c r="B5224" s="4" t="s">
        <f>=HYPERLINK("http://anyluxury.ru/shop/odezhda/detskaya-odezhda/dozhdevik-muzhskoy-squall-cherniy-1162730/" , "11627.30 Дождевик мужской Squall черный, размер 5XL")</f>
      </c>
      <c r="C5224" s="4" t="n">
        <v>11694.00</v>
      </c>
      <c r="D5224" s="4"/>
    </row>
    <row collapsed="" customFormat="false" customHeight="1" hidden="" ht="14" outlineLevel="0" r="5225">
      <c r="A5225" s="3" t="inlineStr">
        <is>
          <t>5194</t>
        </is>
      </c>
      <c r="B5225" s="4" t="s">
        <f>=HYPERLINK("http://anyluxury.ru/shop/odezhda/detskaya-odezhda/dozhdevik-muzhskoy-squall-zheltiy-1162780/" , "11627.80 Дождевик мужской Squall желтый, размер S")</f>
      </c>
      <c r="C5225" s="4" t="n">
        <v>10037.00</v>
      </c>
      <c r="D5225" s="4"/>
    </row>
    <row collapsed="" customFormat="false" customHeight="1" hidden="" ht="14" outlineLevel="0" r="5226">
      <c r="A5226" s="3" t="inlineStr">
        <is>
          <t>5195</t>
        </is>
      </c>
      <c r="B5226" s="4" t="s">
        <f>=HYPERLINK("http://anyluxury.ru/shop/odezhda/detskaya-odezhda/dozhdevik-muzhskoy-squall-zheltiy-1162780/" , "11627.80 Дождевик мужской Squall желтый, размер M")</f>
      </c>
      <c r="C5226" s="4" t="n">
        <v>10037.00</v>
      </c>
      <c r="D5226" s="4"/>
    </row>
    <row collapsed="" customFormat="false" customHeight="1" hidden="" ht="14" outlineLevel="0" r="5227">
      <c r="A5227" s="3" t="inlineStr">
        <is>
          <t>5196</t>
        </is>
      </c>
      <c r="B5227" s="4" t="s">
        <f>=HYPERLINK("http://anyluxury.ru/shop/odezhda/detskaya-odezhda/dozhdevik-muzhskoy-squall-zheltiy-1162780/" , "11627.80 Дождевик мужской Squall желтый, размер XL")</f>
      </c>
      <c r="C5227" s="4" t="n">
        <v>10037.00</v>
      </c>
      <c r="D5227" s="4"/>
    </row>
    <row collapsed="" customFormat="false" customHeight="1" hidden="" ht="14" outlineLevel="0" r="5228">
      <c r="A5228" s="3" t="inlineStr">
        <is>
          <t>5197</t>
        </is>
      </c>
      <c r="B5228" s="4" t="s">
        <f>=HYPERLINK("http://anyluxury.ru/shop/odezhda/detskaya-odezhda/dozhdevik-muzhskoy-squall-zheltiy-1162780/" , "11627.80 Дождевик мужской Squall желтый, размер XXL")</f>
      </c>
      <c r="C5228" s="4" t="n">
        <v>10037.00</v>
      </c>
      <c r="D5228" s="4"/>
    </row>
    <row collapsed="" customFormat="false" customHeight="1" hidden="" ht="14" outlineLevel="0" r="5229">
      <c r="A5229" s="3" t="inlineStr">
        <is>
          <t>5198</t>
        </is>
      </c>
      <c r="B5229" s="4" t="s">
        <f>=HYPERLINK("http://anyluxury.ru/shop/odezhda/detskaya-odezhda/dozhdevik-muzhskoy-squall-zheltiy-1162780/" , "11627.80 Дождевик мужской Squall желтый, размер 3XL")</f>
      </c>
      <c r="C5229" s="4" t="n">
        <v>10037.00</v>
      </c>
      <c r="D5229" s="4"/>
    </row>
    <row collapsed="" customFormat="false" customHeight="1" hidden="" ht="14" outlineLevel="0" r="5230">
      <c r="A5230" s="3" t="inlineStr">
        <is>
          <t>5199</t>
        </is>
      </c>
      <c r="B5230" s="4" t="s">
        <f>=HYPERLINK("http://anyluxury.ru/shop/odezhda/detskaya-odezhda/dozhdevik-zhenskiy-squall-cherniy-1162830/" , "11628.30 Дождевик женский Squall черный, размер XS")</f>
      </c>
      <c r="C5230" s="4" t="n">
        <v>11474.00</v>
      </c>
      <c r="D5230" s="4"/>
    </row>
    <row collapsed="" customFormat="false" customHeight="1" hidden="" ht="14" outlineLevel="0" r="5231">
      <c r="A5231" s="3" t="inlineStr">
        <is>
          <t>5200</t>
        </is>
      </c>
      <c r="B5231" s="4" t="s">
        <f>=HYPERLINK("http://anyluxury.ru/shop/odezhda/detskaya-odezhda/dozhdevik-zhenskiy-squall-cherniy-1162830/" , "11628.30 Дождевик женский Squall черный, размер S")</f>
      </c>
      <c r="C5231" s="4" t="n">
        <v>11474.00</v>
      </c>
      <c r="D5231" s="4"/>
    </row>
    <row collapsed="" customFormat="false" customHeight="1" hidden="" ht="14" outlineLevel="0" r="5232">
      <c r="A5232" s="3" t="inlineStr">
        <is>
          <t>5201</t>
        </is>
      </c>
      <c r="B5232" s="4" t="s">
        <f>=HYPERLINK("http://anyluxury.ru/shop/odezhda/detskaya-odezhda/dozhdevik-zhenskiy-squall-cherniy-1162830/" , "11628.30 Дождевик женский Squall черный, размер M")</f>
      </c>
      <c r="C5232" s="4" t="n">
        <v>11474.00</v>
      </c>
      <c r="D5232" s="4"/>
    </row>
    <row collapsed="" customFormat="false" customHeight="1" hidden="" ht="14" outlineLevel="0" r="5233">
      <c r="A5233" s="3" t="inlineStr">
        <is>
          <t>5202</t>
        </is>
      </c>
      <c r="B5233" s="4" t="s">
        <f>=HYPERLINK("http://anyluxury.ru/shop/odezhda/detskaya-odezhda/dozhdevik-zhenskiy-squall-cherniy-1162830/" , "11628.30 Дождевик женский Squall черный, размер L")</f>
      </c>
      <c r="C5233" s="4" t="n">
        <v>11474.00</v>
      </c>
      <c r="D5233" s="4"/>
    </row>
    <row collapsed="" customFormat="false" customHeight="1" hidden="" ht="14" outlineLevel="0" r="5234">
      <c r="A5234" s="3" t="inlineStr">
        <is>
          <t>5203</t>
        </is>
      </c>
      <c r="B5234" s="4" t="s">
        <f>=HYPERLINK("http://anyluxury.ru/shop/odezhda/detskaya-odezhda/dozhdevik-zhenskiy-squall-cherniy-1162830/" , "11628.30 Дождевик женский Squall черный, размер XL")</f>
      </c>
      <c r="C5234" s="4" t="n">
        <v>11474.00</v>
      </c>
      <c r="D5234" s="4"/>
    </row>
    <row collapsed="" customFormat="false" customHeight="1" hidden="" ht="14" outlineLevel="0" r="5235">
      <c r="A5235" s="3" t="inlineStr">
        <is>
          <t>5204</t>
        </is>
      </c>
      <c r="B5235" s="4" t="s">
        <f>=HYPERLINK("http://anyluxury.ru/shop/odezhda/detskaya-odezhda/dozhdevik-zhenskiy-squall-cherniy-1162830/" , "11628.30 Дождевик женский Squall черный, размер XXL")</f>
      </c>
      <c r="C5235" s="4" t="n">
        <v>11474.00</v>
      </c>
      <c r="D5235" s="4"/>
    </row>
    <row collapsed="" customFormat="false" customHeight="1" hidden="" ht="14" outlineLevel="0" r="5236">
      <c r="A5236" s="3" t="inlineStr">
        <is>
          <t>5205</t>
        </is>
      </c>
      <c r="B5236" s="4" t="s">
        <f>=HYPERLINK("http://anyluxury.ru/shop/odezhda/detskaya-odezhda/dozhdevik-zhenskiy-squall-zheltiy-1162880/" , "11628.80 Дождевик женский Squall желтый, размер XS")</f>
      </c>
      <c r="C5236" s="4" t="n">
        <v>9425.00</v>
      </c>
      <c r="D5236" s="4"/>
    </row>
    <row collapsed="" customFormat="false" customHeight="1" hidden="" ht="14" outlineLevel="0" r="5237">
      <c r="A5237" s="3" t="inlineStr">
        <is>
          <t>5206</t>
        </is>
      </c>
      <c r="B5237" s="4" t="s">
        <f>=HYPERLINK("http://anyluxury.ru/shop/odezhda/detskaya-odezhda/dozhdevik-zhenskiy-squall-zheltiy-1162880/" , "11628.80 Дождевик женский Squall желтый, размер S")</f>
      </c>
      <c r="C5237" s="4" t="n">
        <v>9425.00</v>
      </c>
      <c r="D5237" s="4"/>
    </row>
    <row collapsed="" customFormat="false" customHeight="1" hidden="" ht="14" outlineLevel="0" r="5238">
      <c r="A5238" s="3" t="inlineStr">
        <is>
          <t>5207</t>
        </is>
      </c>
      <c r="B5238" s="4" t="s">
        <f>=HYPERLINK("http://anyluxury.ru/shop/odezhda/detskaya-odezhda/dozhdevik-zhenskiy-squall-zheltiy-1162880/" , "11628.80 Дождевик женский Squall желтый, размер M")</f>
      </c>
      <c r="C5238" s="4" t="n">
        <v>9425.00</v>
      </c>
      <c r="D5238" s="4"/>
    </row>
    <row collapsed="" customFormat="false" customHeight="1" hidden="" ht="14" outlineLevel="0" r="5239">
      <c r="A5239" s="3" t="inlineStr">
        <is>
          <t>5208</t>
        </is>
      </c>
      <c r="B5239" s="4" t="s">
        <f>=HYPERLINK("http://anyluxury.ru/shop/odezhda/detskaya-odezhda/dozhdevik-zhenskiy-squall-zheltiy-1162880/" , "11628.80 Дождевик женский Squall желтый, размер L")</f>
      </c>
      <c r="C5239" s="4" t="n">
        <v>9425.00</v>
      </c>
      <c r="D5239" s="4"/>
    </row>
    <row collapsed="" customFormat="false" customHeight="1" hidden="" ht="14" outlineLevel="0" r="5240">
      <c r="A5240" s="3" t="inlineStr">
        <is>
          <t>5209</t>
        </is>
      </c>
      <c r="B5240" s="4" t="s">
        <f>=HYPERLINK("http://anyluxury.ru/shop/odezhda/detskaya-odezhda/dozhdevik-zhenskiy-squall-zheltiy-1162880/" , "11628.80 Дождевик женский Squall желтый, размер XL")</f>
      </c>
      <c r="C5240" s="4" t="n">
        <v>9425.00</v>
      </c>
      <c r="D5240" s="4"/>
    </row>
    <row collapsed="" customFormat="false" customHeight="1" hidden="" ht="14" outlineLevel="0" r="5241">
      <c r="A5241" s="3" t="inlineStr">
        <is>
          <t>5210</t>
        </is>
      </c>
      <c r="B5241" s="4" t="s">
        <f>=HYPERLINK("http://anyluxury.ru/shop/odezhda/detskaya-odezhda/dozhdevik-zhenskiy-squall-zheltiy-1162880/" , "11628.80 Дождевик женский Squall желтый, размер XXL")</f>
      </c>
      <c r="C5241" s="4" t="n">
        <v>9425.00</v>
      </c>
      <c r="D5241" s="4"/>
    </row>
    <row collapsed="" customFormat="false" customHeight="1" hidden="" ht="14" outlineLevel="0" r="5242">
      <c r="A5242" s="3" t="inlineStr">
        <is>
          <t>5211</t>
        </is>
      </c>
      <c r="B5242" s="4" t="s">
        <f>=HYPERLINK("http://anyluxury.ru/shop/odezhda/detskaya-odezhda/dozhdevik-plashh-plashh-krasniy-7061150/" , "70611.50 Дождевик «Плащ, плащ», красный, размер S")</f>
      </c>
      <c r="C5242" s="4" t="n">
        <v>1756.00</v>
      </c>
      <c r="D5242" s="4"/>
    </row>
    <row collapsed="" customFormat="false" customHeight="1" hidden="" ht="14" outlineLevel="0" r="5243">
      <c r="A5243" s="3" t="inlineStr">
        <is>
          <t>5212</t>
        </is>
      </c>
      <c r="B5243" s="4" t="s">
        <f>=HYPERLINK("http://anyluxury.ru/shop/odezhda/detskaya-odezhda/dozhdevik-plashh-plashh-krasniy-7061150/" , "70611.50 Дождевик «Плащ, плащ», красный, размер M")</f>
      </c>
      <c r="C5243" s="4" t="n">
        <v>1756.00</v>
      </c>
      <c r="D5243" s="4"/>
    </row>
    <row collapsed="" customFormat="false" customHeight="1" hidden="" ht="14" outlineLevel="0" r="5244">
      <c r="A5244" s="3" t="inlineStr">
        <is>
          <t>5213</t>
        </is>
      </c>
      <c r="B5244" s="4" t="s">
        <f>=HYPERLINK("http://anyluxury.ru/shop/odezhda/detskaya-odezhda/dozhdevik-plashh-plashh-krasniy-7061150/" , "70611.50 Дождевик «Плащ, плащ», красный, размер L")</f>
      </c>
      <c r="C5244" s="4" t="n">
        <v>1756.00</v>
      </c>
      <c r="D5244" s="4"/>
    </row>
    <row collapsed="" customFormat="false" customHeight="1" hidden="" ht="14" outlineLevel="0" r="5245">
      <c r="A5245" s="3" t="inlineStr">
        <is>
          <t>5214</t>
        </is>
      </c>
      <c r="B5245" s="4" t="s">
        <f>=HYPERLINK("http://anyluxury.ru/shop/odezhda/detskaya-odezhda/dozhdevik-plashh-plashh-krasniy-7061150/" , "70611.50 Дождевик «Плащ, плащ», красный, размер XL")</f>
      </c>
      <c r="C5245" s="4" t="n">
        <v>1756.00</v>
      </c>
      <c r="D5245" s="4"/>
    </row>
    <row collapsed="" customFormat="false" customHeight="1" hidden="" ht="14" outlineLevel="0" r="5246">
      <c r="A5246" s="3" t="inlineStr">
        <is>
          <t>5215</t>
        </is>
      </c>
      <c r="B5246" s="4" t="s">
        <f>=HYPERLINK("http://anyluxury.ru/shop/odezhda/detskaya-odezhda/dozhdevik-plashh-plashh-krasniy-7061150/" , "70611.50 Дождевик «Плащ, плащ», красный, размер XXL")</f>
      </c>
      <c r="C5246" s="4" t="n">
        <v>1756.00</v>
      </c>
      <c r="D5246" s="4"/>
    </row>
    <row collapsed="" customFormat="false" customHeight="1" hidden="" ht="14" outlineLevel="0" r="5247">
      <c r="A5247" s="3" t="inlineStr">
        <is>
          <t>5216</t>
        </is>
      </c>
      <c r="B5247" s="4" t="s">
        <f>=HYPERLINK("http://anyluxury.ru/shop/odezhda/detskaya-odezhda/dozhdevik-plashh-plashh-cherniy-7061130/" , "70611.30 Дождевик «Плащ, плащ», черный, размер S")</f>
      </c>
      <c r="C5247" s="4" t="n">
        <v>1756.00</v>
      </c>
      <c r="D5247" s="4"/>
    </row>
    <row collapsed="" customFormat="false" customHeight="1" hidden="" ht="14" outlineLevel="0" r="5248">
      <c r="A5248" s="3" t="inlineStr">
        <is>
          <t>5217</t>
        </is>
      </c>
      <c r="B5248" s="4" t="s">
        <f>=HYPERLINK("http://anyluxury.ru/shop/odezhda/detskaya-odezhda/dozhdevik-plashh-plashh-cherniy-7061130/" , "70611.30 Дождевик «Плащ, плащ», черный, размер M")</f>
      </c>
      <c r="C5248" s="4" t="n">
        <v>1756.00</v>
      </c>
      <c r="D5248" s="4"/>
    </row>
    <row collapsed="" customFormat="false" customHeight="1" hidden="" ht="14" outlineLevel="0" r="5249">
      <c r="A5249" s="3" t="inlineStr">
        <is>
          <t>5218</t>
        </is>
      </c>
      <c r="B5249" s="4" t="s">
        <f>=HYPERLINK("http://anyluxury.ru/shop/odezhda/detskaya-odezhda/dozhdevik-plashh-plashh-cherniy-7061130/" , "70611.30 Дождевик «Плащ, плащ», черный, размер L")</f>
      </c>
      <c r="C5249" s="4" t="n">
        <v>1756.00</v>
      </c>
      <c r="D5249" s="4"/>
    </row>
    <row collapsed="" customFormat="false" customHeight="1" hidden="" ht="14" outlineLevel="0" r="5250">
      <c r="A5250" s="3" t="inlineStr">
        <is>
          <t>5219</t>
        </is>
      </c>
      <c r="B5250" s="4" t="s">
        <f>=HYPERLINK("http://anyluxury.ru/shop/odezhda/detskaya-odezhda/dozhdevik-plashh-plashh-cherniy-7061130/" , "70611.30 Дождевик «Плащ, плащ», черный, размер XL")</f>
      </c>
      <c r="C5250" s="4" t="n">
        <v>1756.00</v>
      </c>
      <c r="D5250" s="4"/>
    </row>
    <row collapsed="" customFormat="false" customHeight="1" hidden="" ht="14" outlineLevel="0" r="5251">
      <c r="A5251" s="3" t="inlineStr">
        <is>
          <t>5220</t>
        </is>
      </c>
      <c r="B5251" s="4" t="s">
        <f>=HYPERLINK("http://anyluxury.ru/shop/odezhda/detskaya-odezhda/dozhdevik-plashh-plashh-cherniy-7061130/" , "70611.30 Дождевик «Плащ, плащ», черный, размер XXL")</f>
      </c>
      <c r="C5251" s="4" t="n">
        <v>1756.00</v>
      </c>
      <c r="D5251" s="4"/>
    </row>
    <row collapsed="" customFormat="false" customHeight="1" hidden="" ht="14" outlineLevel="0" r="5252">
      <c r="A5252" s="3" t="inlineStr">
        <is>
          <t>5221</t>
        </is>
      </c>
      <c r="B5252" s="4" t="s">
        <f>=HYPERLINK("http://anyluxury.ru/shop/odezhda/detskaya-odezhda/dozhdevik-plashh-plashh-beliy-7061160/" , "70611.60 Дождевик «Плащ, плащ», белый, размер S")</f>
      </c>
      <c r="C5252" s="4" t="n">
        <v>1759.00</v>
      </c>
      <c r="D5252" s="4"/>
    </row>
    <row collapsed="" customFormat="false" customHeight="1" hidden="" ht="14" outlineLevel="0" r="5253">
      <c r="A5253" s="3" t="inlineStr">
        <is>
          <t>5222</t>
        </is>
      </c>
      <c r="B5253" s="4" t="s">
        <f>=HYPERLINK("http://anyluxury.ru/shop/odezhda/detskaya-odezhda/dozhdevik-plashh-plashh-beliy-7061160/" , "70611.60 Дождевик «Плащ, плащ», белый, размер M")</f>
      </c>
      <c r="C5253" s="4" t="n">
        <v>1759.00</v>
      </c>
      <c r="D5253" s="4"/>
    </row>
    <row collapsed="" customFormat="false" customHeight="1" hidden="" ht="14" outlineLevel="0" r="5254">
      <c r="A5254" s="3" t="inlineStr">
        <is>
          <t>5223</t>
        </is>
      </c>
      <c r="B5254" s="4" t="s">
        <f>=HYPERLINK("http://anyluxury.ru/shop/odezhda/detskaya-odezhda/dozhdevik-plashh-plashh-beliy-7061160/" , "70611.60 Дождевик «Плащ, плащ», белый, размер L")</f>
      </c>
      <c r="C5254" s="4" t="n">
        <v>1759.00</v>
      </c>
      <c r="D5254" s="4"/>
    </row>
    <row collapsed="" customFormat="false" customHeight="1" hidden="" ht="14" outlineLevel="0" r="5255">
      <c r="A5255" s="3" t="inlineStr">
        <is>
          <t>5224</t>
        </is>
      </c>
      <c r="B5255" s="4" t="s">
        <f>=HYPERLINK("http://anyluxury.ru/shop/odezhda/detskaya-odezhda/dozhdevik-plashh-plashh-beliy-7061160/" , "70611.60 Дождевик «Плащ, плащ», белый, размер XL")</f>
      </c>
      <c r="C5255" s="4" t="n">
        <v>1759.00</v>
      </c>
      <c r="D5255" s="4"/>
    </row>
    <row collapsed="" customFormat="false" customHeight="1" hidden="" ht="14" outlineLevel="0" r="5256">
      <c r="A5256" s="3" t="inlineStr">
        <is>
          <t>5225</t>
        </is>
      </c>
      <c r="B5256" s="4" t="s">
        <f>=HYPERLINK("http://anyluxury.ru/shop/odezhda/detskaya-odezhda/dozhdevik-plashh-plashh-beliy-7061160/" , "70611.60 Дождевик «Плащ, плащ», белый, размер XXL")</f>
      </c>
      <c r="C5256" s="4" t="n">
        <v>1759.00</v>
      </c>
      <c r="D5256" s="4"/>
    </row>
    <row collapsed="" customFormat="false" customHeight="1" hidden="" ht="14" outlineLevel="0" r="5257">
      <c r="A5257" s="3" t="inlineStr">
        <is>
          <t>5226</t>
        </is>
      </c>
      <c r="B5257" s="4" t="s">
        <f>=HYPERLINK("http://anyluxury.ru/shop/odezhda/detskaya-odezhda/dozhdevik-uniseks-rainman-yarkosiniy-745643/" , "7456.43 Дождевик унисекс Rainman ярко-синий, размер XS")</f>
      </c>
      <c r="C5257" s="4" t="n">
        <v>1520.00</v>
      </c>
      <c r="D5257" s="4"/>
    </row>
    <row collapsed="" customFormat="false" customHeight="1" hidden="" ht="14" outlineLevel="0" r="5258">
      <c r="A5258" s="3" t="inlineStr">
        <is>
          <t>5227</t>
        </is>
      </c>
      <c r="B5258" s="4" t="s">
        <f>=HYPERLINK("http://anyluxury.ru/shop/odezhda/detskaya-odezhda/dozhdevik-uniseks-rainman-yarkosiniy-745643/" , "7456.43 Дождевик унисекс Rainman ярко-синий, размер M")</f>
      </c>
      <c r="C5258" s="4" t="n">
        <v>1520.00</v>
      </c>
      <c r="D5258" s="4"/>
    </row>
    <row collapsed="" customFormat="false" customHeight="1" hidden="" ht="14" outlineLevel="0" r="5259">
      <c r="A5259" s="3" t="inlineStr">
        <is>
          <t>5228</t>
        </is>
      </c>
      <c r="B5259" s="4" t="s">
        <f>=HYPERLINK("http://anyluxury.ru/shop/odezhda/detskaya-odezhda/dozhdevik-uniseks-rainman-yarkosiniy-745643/" , "7456.43 Дождевик унисекс Rainman ярко-синий, размер L")</f>
      </c>
      <c r="C5259" s="4" t="n">
        <v>1520.00</v>
      </c>
      <c r="D5259" s="4"/>
    </row>
    <row collapsed="" customFormat="false" customHeight="1" hidden="" ht="14" outlineLevel="0" r="5260">
      <c r="A5260" s="3" t="inlineStr">
        <is>
          <t>5229</t>
        </is>
      </c>
      <c r="B5260" s="4" t="s">
        <f>=HYPERLINK("http://anyluxury.ru/shop/odezhda/detskaya-odezhda/dozhdevik-uniseks-rainman-yarkosiniy-745643/" , "7456.43 Дождевик унисекс Rainman ярко-синий, размер XL")</f>
      </c>
      <c r="C5260" s="4" t="n">
        <v>1520.00</v>
      </c>
      <c r="D5260" s="4"/>
    </row>
    <row collapsed="" customFormat="false" customHeight="1" hidden="" ht="14" outlineLevel="0" r="5261">
      <c r="A5261" s="3" t="inlineStr">
        <is>
          <t>5230</t>
        </is>
      </c>
      <c r="B5261" s="4" t="s">
        <f>=HYPERLINK("http://anyluxury.ru/shop/odezhda/detskaya-odezhda/dozhdevik-uniseks-rainman-yarkosiniy-745643/" , "7456.43 Дождевик унисекс Rainman ярко-синий, размер XXL")</f>
      </c>
      <c r="C5261" s="4" t="n">
        <v>1520.00</v>
      </c>
      <c r="D5261" s="4"/>
    </row>
    <row collapsed="" customFormat="false" customHeight="1" hidden="" ht="14" outlineLevel="0" r="5262">
      <c r="A5262" s="3" t="inlineStr">
        <is>
          <t>5231</t>
        </is>
      </c>
      <c r="B5262" s="4" t="s">
        <f>=HYPERLINK("http://anyluxury.ru/shop/odezhda/detskaya-odezhda/dozhdevik-uniseks-rainman-yarkosiniy-745643/" , "7456.43 Дождевик унисекс Rainman ярко-синий, размер XS")</f>
      </c>
      <c r="C5262" s="4" t="n">
        <v>1409.00</v>
      </c>
      <c r="D5262" s="4"/>
    </row>
    <row collapsed="" customFormat="false" customHeight="1" hidden="" ht="14" outlineLevel="0" r="5263">
      <c r="A5263" s="3" t="inlineStr">
        <is>
          <t>5232</t>
        </is>
      </c>
      <c r="B5263" s="4" t="s">
        <f>=HYPERLINK("http://anyluxury.ru/shop/odezhda/detskaya-odezhda/dozhdevik-uniseks-rainman-yarkosiniy-745643/" , "7456.43 Дождевик унисекс Rainman ярко-синий, размер S")</f>
      </c>
      <c r="C5263" s="4" t="n">
        <v>1409.00</v>
      </c>
      <c r="D5263" s="4"/>
    </row>
    <row collapsed="" customFormat="false" customHeight="1" hidden="" ht="14" outlineLevel="0" r="5264">
      <c r="A5264" s="3" t="inlineStr">
        <is>
          <t>5233</t>
        </is>
      </c>
      <c r="B5264" s="4" t="s">
        <f>=HYPERLINK("http://anyluxury.ru/shop/odezhda/detskaya-odezhda/dozhdevik-uniseks-rainman-krasniy-745651/" , "7456.51 Дождевик унисекс Rainman красный, размер XS")</f>
      </c>
      <c r="C5264" s="4" t="n">
        <v>1520.00</v>
      </c>
      <c r="D5264" s="4"/>
    </row>
    <row collapsed="" customFormat="false" customHeight="1" hidden="" ht="14" outlineLevel="0" r="5265">
      <c r="A5265" s="3" t="inlineStr">
        <is>
          <t>5234</t>
        </is>
      </c>
      <c r="B5265" s="4" t="s">
        <f>=HYPERLINK("http://anyluxury.ru/shop/odezhda/detskaya-odezhda/dozhdevik-uniseks-rainman-krasniy-745651/" , "7456.51 Дождевик унисекс Rainman красный, размер S")</f>
      </c>
      <c r="C5265" s="4" t="n">
        <v>1520.00</v>
      </c>
      <c r="D5265" s="4"/>
    </row>
    <row collapsed="" customFormat="false" customHeight="1" hidden="" ht="14" outlineLevel="0" r="5266">
      <c r="A5266" s="3" t="inlineStr">
        <is>
          <t>5235</t>
        </is>
      </c>
      <c r="B5266" s="4" t="s">
        <f>=HYPERLINK("http://anyluxury.ru/shop/odezhda/detskaya-odezhda/dozhdevik-uniseks-rainman-krasniy-745651/" , "7456.51 Дождевик унисекс Rainman красный, размер M")</f>
      </c>
      <c r="C5266" s="4" t="n">
        <v>1520.00</v>
      </c>
      <c r="D5266" s="4"/>
    </row>
    <row collapsed="" customFormat="false" customHeight="1" hidden="" ht="14" outlineLevel="0" r="5267">
      <c r="A5267" s="3" t="inlineStr">
        <is>
          <t>5236</t>
        </is>
      </c>
      <c r="B5267" s="4" t="s">
        <f>=HYPERLINK("http://anyluxury.ru/shop/odezhda/detskaya-odezhda/dozhdevik-uniseks-rainman-krasniy-745651/" , "7456.51 Дождевик унисекс Rainman красный, размер L")</f>
      </c>
      <c r="C5267" s="4" t="n">
        <v>1520.00</v>
      </c>
      <c r="D5267" s="4"/>
    </row>
    <row collapsed="" customFormat="false" customHeight="1" hidden="" ht="14" outlineLevel="0" r="5268">
      <c r="A5268" s="3" t="inlineStr">
        <is>
          <t>5237</t>
        </is>
      </c>
      <c r="B5268" s="4" t="s">
        <f>=HYPERLINK("http://anyluxury.ru/shop/odezhda/detskaya-odezhda/dozhdevik-uniseks-rainman-krasniy-745651/" , "7456.51 Дождевик унисекс Rainman красный, размер XL")</f>
      </c>
      <c r="C5268" s="4" t="n">
        <v>1520.00</v>
      </c>
      <c r="D5268" s="4"/>
    </row>
    <row collapsed="" customFormat="false" customHeight="1" hidden="" ht="14" outlineLevel="0" r="5269">
      <c r="A5269" s="3" t="inlineStr">
        <is>
          <t>5238</t>
        </is>
      </c>
      <c r="B5269" s="4" t="s">
        <f>=HYPERLINK("http://anyluxury.ru/shop/odezhda/detskaya-odezhda/dozhdevik-uniseks-rainman-krasniy-745651/" , "7456.51 Дождевик унисекс Rainman красный, размер XXL")</f>
      </c>
      <c r="C5269" s="4" t="n">
        <v>1520.00</v>
      </c>
      <c r="D5269" s="4"/>
    </row>
    <row collapsed="" customFormat="false" customHeight="1" hidden="" ht="14" outlineLevel="0" r="5270">
      <c r="A5270" s="3" t="inlineStr">
        <is>
          <t>5239</t>
        </is>
      </c>
      <c r="B5270" s="4" t="s">
        <f>=HYPERLINK("http://anyluxury.ru/shop/odezhda/detskaya-odezhda/dozhdevik-uniseks-rainman-cherniy-745631/" , "7456.31 Дождевик унисекс Rainman черный, размер XS")</f>
      </c>
      <c r="C5270" s="4" t="n">
        <v>1520.00</v>
      </c>
      <c r="D5270" s="4"/>
    </row>
    <row collapsed="" customFormat="false" customHeight="1" hidden="" ht="14" outlineLevel="0" r="5271">
      <c r="A5271" s="3" t="inlineStr">
        <is>
          <t>5240</t>
        </is>
      </c>
      <c r="B5271" s="4" t="s">
        <f>=HYPERLINK("http://anyluxury.ru/shop/odezhda/detskaya-odezhda/dozhdevik-uniseks-rainman-cherniy-745631/" , "7456.31 Дождевик унисекс Rainman черный, размер S")</f>
      </c>
      <c r="C5271" s="4" t="n">
        <v>1520.00</v>
      </c>
      <c r="D5271" s="4"/>
    </row>
    <row collapsed="" customFormat="false" customHeight="1" hidden="" ht="14" outlineLevel="0" r="5272">
      <c r="A5272" s="3" t="inlineStr">
        <is>
          <t>5241</t>
        </is>
      </c>
      <c r="B5272" s="4" t="s">
        <f>=HYPERLINK("http://anyluxury.ru/shop/odezhda/detskaya-odezhda/dozhdevik-uniseks-rainman-cherniy-745631/" , "7456.31 Дождевик унисекс Rainman черный, размер M")</f>
      </c>
      <c r="C5272" s="4" t="n">
        <v>1520.00</v>
      </c>
      <c r="D5272" s="4"/>
    </row>
    <row collapsed="" customFormat="false" customHeight="1" hidden="" ht="14" outlineLevel="0" r="5273">
      <c r="A5273" s="3" t="inlineStr">
        <is>
          <t>5242</t>
        </is>
      </c>
      <c r="B5273" s="4" t="s">
        <f>=HYPERLINK("http://anyluxury.ru/shop/odezhda/detskaya-odezhda/dozhdevik-uniseks-rainman-cherniy-745631/" , "7456.31 Дождевик унисекс Rainman черный, размер XL")</f>
      </c>
      <c r="C5273" s="4" t="n">
        <v>1520.00</v>
      </c>
      <c r="D5273" s="4"/>
    </row>
    <row collapsed="" customFormat="false" customHeight="1" hidden="" ht="14" outlineLevel="0" r="5274">
      <c r="A5274" s="3" t="inlineStr">
        <is>
          <t>5243</t>
        </is>
      </c>
      <c r="B5274" s="4" t="s">
        <f>=HYPERLINK("http://anyluxury.ru/shop/odezhda/detskaya-odezhda/dozhdevik-uniseks-rainman-beliy-745661/" , "7456.61 Дождевик унисекс Rainman белый, размер XS")</f>
      </c>
      <c r="C5274" s="4" t="n">
        <v>1520.00</v>
      </c>
      <c r="D5274" s="4"/>
    </row>
    <row collapsed="" customFormat="false" customHeight="1" hidden="" ht="14" outlineLevel="0" r="5275">
      <c r="A5275" s="3" t="inlineStr">
        <is>
          <t>5244</t>
        </is>
      </c>
      <c r="B5275" s="4" t="s">
        <f>=HYPERLINK("http://anyluxury.ru/shop/odezhda/detskaya-odezhda/dozhdevik-uniseks-rainman-beliy-745661/" , "7456.61 Дождевик унисекс Rainman белый, размер S")</f>
      </c>
      <c r="C5275" s="4" t="n">
        <v>1520.00</v>
      </c>
      <c r="D5275" s="4"/>
    </row>
    <row collapsed="" customFormat="false" customHeight="1" hidden="" ht="14" outlineLevel="0" r="5276">
      <c r="A5276" s="3" t="inlineStr">
        <is>
          <t>5245</t>
        </is>
      </c>
      <c r="B5276" s="4" t="s">
        <f>=HYPERLINK("http://anyluxury.ru/shop/odezhda/detskaya-odezhda/dozhdevik-uniseks-rainman-beliy-745661/" , "7456.61 Дождевик унисекс Rainman белый, размер M")</f>
      </c>
      <c r="C5276" s="4" t="n">
        <v>1520.00</v>
      </c>
      <c r="D5276" s="4"/>
    </row>
    <row collapsed="" customFormat="false" customHeight="1" hidden="" ht="14" outlineLevel="0" r="5277">
      <c r="A5277" s="3" t="inlineStr">
        <is>
          <t>5246</t>
        </is>
      </c>
      <c r="B5277" s="4" t="s">
        <f>=HYPERLINK("http://anyluxury.ru/shop/odezhda/detskaya-odezhda/dozhdevik-uniseks-rainman-beliy-745661/" , "7456.61 Дождевик унисекс Rainman белый, размер L")</f>
      </c>
      <c r="C5277" s="4" t="n">
        <v>1520.00</v>
      </c>
      <c r="D5277" s="4"/>
    </row>
    <row collapsed="" customFormat="false" customHeight="1" hidden="" ht="14" outlineLevel="0" r="5278">
      <c r="A5278" s="3" t="inlineStr">
        <is>
          <t>5247</t>
        </is>
      </c>
      <c r="B5278" s="4" t="s">
        <f>=HYPERLINK("http://anyluxury.ru/shop/odezhda/detskaya-odezhda/dozhdevik-uniseks-rainman-beliy-745661/" , "7456.61 Дождевик унисекс Rainman белый, размер XL")</f>
      </c>
      <c r="C5278" s="4" t="n">
        <v>1520.00</v>
      </c>
      <c r="D5278" s="4"/>
    </row>
    <row collapsed="" customFormat="false" customHeight="1" hidden="" ht="14" outlineLevel="0" r="5279">
      <c r="A5279" s="3" t="inlineStr">
        <is>
          <t>5248</t>
        </is>
      </c>
      <c r="B5279" s="4" t="s">
        <f>=HYPERLINK("http://anyluxury.ru/shop/odezhda/detskaya-odezhda/dozhdevik-uniseks-rainman-zheltiy-745682/" , "7456.82 Дождевик унисекс Rainman желтый, размер XS")</f>
      </c>
      <c r="C5279" s="4" t="n">
        <v>1520.00</v>
      </c>
      <c r="D5279" s="4"/>
    </row>
    <row collapsed="" customFormat="false" customHeight="1" hidden="" ht="14" outlineLevel="0" r="5280">
      <c r="A5280" s="3" t="inlineStr">
        <is>
          <t>5249</t>
        </is>
      </c>
      <c r="B5280" s="4" t="s">
        <f>=HYPERLINK("http://anyluxury.ru/shop/odezhda/detskaya-odezhda/dozhdevik-uniseks-rainman-zheltiy-745682/" , "7456.82 Дождевик унисекс Rainman желтый, размер M")</f>
      </c>
      <c r="C5280" s="4" t="n">
        <v>1520.00</v>
      </c>
      <c r="D5280" s="4"/>
    </row>
    <row collapsed="" customFormat="false" customHeight="1" hidden="" ht="14" outlineLevel="0" r="5281">
      <c r="A5281" s="3" t="inlineStr">
        <is>
          <t>5250</t>
        </is>
      </c>
      <c r="B5281" s="4" t="s">
        <f>=HYPERLINK("http://anyluxury.ru/shop/odezhda/detskaya-odezhda/dozhdevik-uniseks-rainman-zheltiy-745682/" , "7456.82 Дождевик унисекс Rainman желтый, размер L")</f>
      </c>
      <c r="C5281" s="4" t="n">
        <v>1520.00</v>
      </c>
      <c r="D5281" s="4"/>
    </row>
    <row collapsed="" customFormat="false" customHeight="1" hidden="" ht="14" outlineLevel="0" r="5282">
      <c r="A5282" s="3" t="inlineStr">
        <is>
          <t>5251</t>
        </is>
      </c>
      <c r="B5282" s="4" t="s">
        <f>=HYPERLINK("http://anyluxury.ru/shop/odezhda/detskaya-odezhda/dozhdevik-uniseks-rainman-zelenoe-yabloko-745693/" , "7456.93 Дождевик унисекс Rainman зеленое яблоко, размер XS")</f>
      </c>
      <c r="C5282" s="4" t="n">
        <v>1520.00</v>
      </c>
      <c r="D5282" s="4"/>
    </row>
    <row collapsed="" customFormat="false" customHeight="1" hidden="" ht="14" outlineLevel="0" r="5283">
      <c r="A5283" s="3" t="inlineStr">
        <is>
          <t>5252</t>
        </is>
      </c>
      <c r="B5283" s="4" t="s">
        <f>=HYPERLINK("http://anyluxury.ru/shop/odezhda/detskaya-odezhda/dozhdevik-uniseks-rainman-zelenoe-yabloko-745693/" , "7456.93 Дождевик унисекс Rainman зеленое яблоко, размер S")</f>
      </c>
      <c r="C5283" s="4" t="n">
        <v>1520.00</v>
      </c>
      <c r="D5283" s="4"/>
    </row>
    <row collapsed="" customFormat="false" customHeight="1" hidden="" ht="14" outlineLevel="0" r="5284">
      <c r="A5284" s="3" t="inlineStr">
        <is>
          <t>5253</t>
        </is>
      </c>
      <c r="B5284" s="4" t="s">
        <f>=HYPERLINK("http://anyluxury.ru/shop/odezhda/detskaya-odezhda/dozhdevik-uniseks-rainman-zelenoe-yabloko-745693/" , "7456.93 Дождевик унисекс Rainman зеленое яблоко, размер M")</f>
      </c>
      <c r="C5284" s="4" t="n">
        <v>1520.00</v>
      </c>
      <c r="D5284" s="4"/>
    </row>
    <row collapsed="" customFormat="false" customHeight="1" hidden="" ht="14" outlineLevel="0" r="5285">
      <c r="A5285" s="3" t="inlineStr">
        <is>
          <t>5254</t>
        </is>
      </c>
      <c r="B5285" s="4" t="s">
        <f>=HYPERLINK("http://anyluxury.ru/shop/odezhda/detskaya-odezhda/dozhdevik-uniseks-rainman-zelenoe-yabloko-745693/" , "7456.93 Дождевик унисекс Rainman зеленое яблоко, размер L")</f>
      </c>
      <c r="C5285" s="4" t="n">
        <v>1520.00</v>
      </c>
      <c r="D5285" s="4"/>
    </row>
    <row collapsed="" customFormat="false" customHeight="1" hidden="" ht="14" outlineLevel="0" r="5286">
      <c r="A5286" s="3" t="inlineStr">
        <is>
          <t>5255</t>
        </is>
      </c>
      <c r="B5286" s="4" t="s">
        <f>=HYPERLINK("http://anyluxury.ru/shop/odezhda/detskaya-odezhda/dozhdevik-uniseks-rainman-zelenoe-yabloko-745693/" , "7456.93 Дождевик унисекс Rainman зеленое яблоко, размер XL")</f>
      </c>
      <c r="C5286" s="4" t="n">
        <v>1520.00</v>
      </c>
      <c r="D5286" s="4"/>
    </row>
    <row collapsed="" customFormat="false" customHeight="1" hidden="" ht="14" outlineLevel="0" r="5287">
      <c r="A5287" s="3" t="inlineStr">
        <is>
          <t>5256</t>
        </is>
      </c>
      <c r="B5287" s="4" t="s">
        <f>=HYPERLINK("http://anyluxury.ru/shop/odezhda/detskaya-odezhda/dozhdevik-uniseks-rainman-zelenoe-yabloko-745693/" , "7456.93 Дождевик унисекс Rainman зеленое яблоко, размер XXL")</f>
      </c>
      <c r="C5287" s="4" t="n">
        <v>1520.00</v>
      </c>
      <c r="D5287" s="4"/>
    </row>
    <row collapsed="" customFormat="false" customHeight="1" hidden="" ht="14" outlineLevel="0" r="5288">
      <c r="A5288" s="3" t="inlineStr">
        <is>
          <t>5257</t>
        </is>
      </c>
      <c r="B5288" s="4" t="s">
        <f>=HYPERLINK("http://anyluxury.ru/shop/odezhda/detskaya-odezhda/dozhdevik-v-futlyare-trifle-beliy-1456760/" , "14567.60 Дождевик в футляре Trifle, белый")</f>
      </c>
      <c r="C5288" s="4" t="n">
        <v>132.00</v>
      </c>
      <c r="D5288" s="4"/>
    </row>
    <row collapsed="" customFormat="false" customHeight="1" hidden="" ht="14" outlineLevel="0" r="5289">
      <c r="A5289" s="3" t="inlineStr">
        <is>
          <t>5258</t>
        </is>
      </c>
      <c r="B5289" s="4" t="s">
        <f>=HYPERLINK("http://anyluxury.ru/shop/odezhda/detskaya-odezhda/dozhdevik-v-futlyare-trifle-siniy-1456740/" , "14567.40 Дождевик в футляре Trifle, синий")</f>
      </c>
      <c r="C5289" s="4" t="n">
        <v>132.00</v>
      </c>
      <c r="D5289" s="4"/>
    </row>
    <row collapsed="" customFormat="false" customHeight="1" hidden="" ht="14" outlineLevel="0" r="5290">
      <c r="A5290" s="3" t="inlineStr">
        <is>
          <t>5259</t>
        </is>
      </c>
      <c r="B5290" s="4" t="s">
        <f>=HYPERLINK("http://anyluxury.ru/shop/odezhda/detskaya-odezhda/dozhdevik-v-futlyare-trifle-cherniy-1456730/" , "14567.30 Дождевик в футляре Trifle, черный")</f>
      </c>
      <c r="C5290" s="4" t="n">
        <v>132.00</v>
      </c>
      <c r="D5290" s="4"/>
    </row>
    <row collapsed="" customFormat="false" customHeight="1" hidden="" ht="14" outlineLevel="0" r="5291">
      <c r="A5291" s="3" t="inlineStr">
        <is>
          <t>5260</t>
        </is>
      </c>
      <c r="B5291" s="4" t="s">
        <f>=HYPERLINK("http://anyluxury.ru/shop/odezhda/detskaya-odezhda/dozhdevikanorak-alatau-cherniy-1411130/" , "14111.30 Дождевик-анорак Alatau, черный")</f>
      </c>
      <c r="C5291" s="4" t="n">
        <v>1190.00</v>
      </c>
      <c r="D5291" s="4"/>
    </row>
    <row collapsed="" customFormat="false" customHeight="1" hidden="" ht="14" outlineLevel="0" r="5292">
      <c r="A5292" s="3" t="inlineStr">
        <is>
          <t>5261</t>
        </is>
      </c>
      <c r="B5292" s="4" t="s">
        <f>=HYPERLINK("http://anyluxury.ru/shop/odezhda/detskaya-odezhda/dozhdevikanorak-alatau-krasniy-1411150/" , "14111.50 Дождевик-анорак Alatau, красный")</f>
      </c>
      <c r="C5292" s="4" t="n">
        <v>1190.00</v>
      </c>
      <c r="D5292" s="4"/>
    </row>
    <row collapsed="" customFormat="false" customHeight="1" hidden="" ht="14" outlineLevel="0" r="5293">
      <c r="A5293" s="3" t="inlineStr">
        <is>
          <t>5262</t>
        </is>
      </c>
      <c r="B5293" s="4" t="s">
        <f>=HYPERLINK("http://anyluxury.ru/shop/odezhda/detskaya-odezhda/dozhdevikanorak-alatau-yarkosiniy-1411144/" , "14111.44 Дождевик-анорак Alatau, ярко-синий")</f>
      </c>
      <c r="C5293" s="4" t="n">
        <v>1190.00</v>
      </c>
      <c r="D5293" s="4"/>
    </row>
    <row collapsed="" customFormat="false" customHeight="1" hidden="" ht="14" outlineLevel="0" r="5294">
      <c r="A5294" s="3" t="inlineStr">
        <is>
          <t>5263</t>
        </is>
      </c>
      <c r="B5294" s="4" t="s">
        <f>=HYPERLINK("http://anyluxury.ru/shop/odezhda/detskaya-odezhda/dozhdevik-rainman-zip-zheltiy-1112481/" , "11124.81 Дождевик Rainman Zip желтый, размер M")</f>
      </c>
      <c r="C5294" s="4" t="n">
        <v>1290.00</v>
      </c>
      <c r="D5294" s="4"/>
    </row>
    <row collapsed="" customFormat="false" customHeight="1" hidden="" ht="14" outlineLevel="0" r="5295">
      <c r="A5295" s="3" t="inlineStr">
        <is>
          <t>5264</t>
        </is>
      </c>
      <c r="B5295" s="4" t="s">
        <f>=HYPERLINK("http://anyluxury.ru/shop/odezhda/detskaya-odezhda/dozhdevik-rainman-zip-zheltiy-1112481/" , "11124.81 Дождевик Rainman Zip желтый, размер XL")</f>
      </c>
      <c r="C5295" s="4" t="n">
        <v>1290.00</v>
      </c>
      <c r="D5295" s="4"/>
    </row>
    <row collapsed="" customFormat="false" customHeight="1" hidden="" ht="14" outlineLevel="0" r="5296">
      <c r="A5296" s="3" t="inlineStr">
        <is>
          <t>5265</t>
        </is>
      </c>
      <c r="B5296" s="4" t="s">
        <f>=HYPERLINK("http://anyluxury.ru/shop/odezhda/detskaya-odezhda/dozhdevik-rainman-zip-zheltiy-1112481/" , "11124.81 Дождевик Rainman Zip желтый, размер XXL")</f>
      </c>
      <c r="C5296" s="4" t="n">
        <v>1290.00</v>
      </c>
      <c r="D5296" s="4"/>
    </row>
    <row collapsed="" customFormat="false" customHeight="1" hidden="" ht="14" outlineLevel="0" r="5297">
      <c r="A5297" s="3" t="inlineStr">
        <is>
          <t>5266</t>
        </is>
      </c>
      <c r="B5297" s="4" t="s">
        <f>=HYPERLINK("http://anyluxury.ru/shop/odezhda/detskaya-odezhda/dozhdevik-rainman-zip-zheltiy-1112481/" , "11124.81 Дождевик Rainman Zip, желтый, размер S")</f>
      </c>
      <c r="C5297" s="4" t="n">
        <v>1290.00</v>
      </c>
      <c r="D5297" s="4"/>
    </row>
    <row collapsed="" customFormat="false" customHeight="1" hidden="" ht="14" outlineLevel="0" r="5298">
      <c r="A5298" s="3" t="inlineStr">
        <is>
          <t>5267</t>
        </is>
      </c>
      <c r="B5298" s="4" t="s">
        <f>=HYPERLINK("http://anyluxury.ru/shop/odezhda/detskaya-odezhda/dozhdevik-rainman-zip-zheltiy-1112481/" , "11124.81 Дождевик Rainman Zip, желтый, размер M")</f>
      </c>
      <c r="C5298" s="4" t="n">
        <v>1290.00</v>
      </c>
      <c r="D5298" s="4"/>
    </row>
    <row collapsed="" customFormat="false" customHeight="1" hidden="" ht="14" outlineLevel="0" r="5299">
      <c r="A5299" s="3" t="inlineStr">
        <is>
          <t>5268</t>
        </is>
      </c>
      <c r="B5299" s="4" t="s">
        <f>=HYPERLINK("http://anyluxury.ru/shop/odezhda/detskaya-odezhda/dozhdevik-rainman-zip-zheltiy-1112481/" , "11124.81 Дождевик Rainman Zip, желтый, размер L")</f>
      </c>
      <c r="C5299" s="4" t="n">
        <v>1290.00</v>
      </c>
      <c r="D5299" s="4"/>
    </row>
    <row collapsed="" customFormat="false" customHeight="1" hidden="" ht="14" outlineLevel="0" r="5300">
      <c r="A5300" s="3" t="inlineStr">
        <is>
          <t>5269</t>
        </is>
      </c>
      <c r="B5300" s="4" t="s">
        <f>=HYPERLINK("http://anyluxury.ru/shop/odezhda/detskaya-odezhda/dozhdevik-rainman-zip-zheltiy-1112481/" , "11124.81 Дождевик Rainman Zip, желтый, размер XL")</f>
      </c>
      <c r="C5300" s="4" t="n">
        <v>1290.00</v>
      </c>
      <c r="D5300" s="4"/>
    </row>
    <row collapsed="" customFormat="false" customHeight="1" hidden="" ht="14" outlineLevel="0" r="5301">
      <c r="A5301" s="3" t="inlineStr">
        <is>
          <t>5270</t>
        </is>
      </c>
      <c r="B5301" s="4" t="s">
        <f>=HYPERLINK("http://anyluxury.ru/shop/odezhda/detskaya-odezhda/dozhdevik-rainman-zip-zheltiy-1112481/" , "11124.81 Дождевик Rainman Zip, желтый, размер XXL")</f>
      </c>
      <c r="C5301" s="4" t="n">
        <v>1290.00</v>
      </c>
      <c r="D5301" s="4"/>
    </row>
    <row collapsed="" customFormat="false" customHeight="1" hidden="" ht="14" outlineLevel="0" r="5302">
      <c r="A5302" s="3" t="inlineStr">
        <is>
          <t>5271</t>
        </is>
      </c>
      <c r="B5302" s="4" t="s">
        <f>=HYPERLINK("http://anyluxury.ru/shop/odezhda/detskaya-odezhda/dozhdevik-rainman-zip-zelenoe-yabloko-1112494/" , "11124.94 Дождевик Rainman Zip зеленое яблоко, размер S")</f>
      </c>
      <c r="C5302" s="4" t="n">
        <v>1290.00</v>
      </c>
      <c r="D5302" s="4"/>
    </row>
    <row collapsed="" customFormat="false" customHeight="1" hidden="" ht="14" outlineLevel="0" r="5303">
      <c r="A5303" s="3" t="inlineStr">
        <is>
          <t>5272</t>
        </is>
      </c>
      <c r="B5303" s="4" t="s">
        <f>=HYPERLINK("http://anyluxury.ru/shop/odezhda/detskaya-odezhda/dozhdevik-rainman-zip-zelenoe-yabloko-1112494/" , "11124.94 Дождевик Rainman Zip зеленое яблоко, размер M")</f>
      </c>
      <c r="C5303" s="4" t="n">
        <v>1290.00</v>
      </c>
      <c r="D5303" s="4"/>
    </row>
    <row collapsed="" customFormat="false" customHeight="1" hidden="" ht="14" outlineLevel="0" r="5304">
      <c r="A5304" s="3" t="inlineStr">
        <is>
          <t>5273</t>
        </is>
      </c>
      <c r="B5304" s="4" t="s">
        <f>=HYPERLINK("http://anyluxury.ru/shop/odezhda/detskaya-odezhda/dozhdevik-rainman-zip-zelenoe-yabloko-1112494/" , "11124.94 Дождевик Rainman Zip зеленое яблоко, размер L")</f>
      </c>
      <c r="C5304" s="4" t="n">
        <v>1290.00</v>
      </c>
      <c r="D5304" s="4"/>
    </row>
    <row collapsed="" customFormat="false" customHeight="1" hidden="" ht="14" outlineLevel="0" r="5305">
      <c r="A5305" s="3" t="inlineStr">
        <is>
          <t>5274</t>
        </is>
      </c>
      <c r="B5305" s="4" t="s">
        <f>=HYPERLINK("http://anyluxury.ru/shop/odezhda/detskaya-odezhda/dozhdevik-rainman-zip-zelenoe-yabloko-1112494/" , "11124.94 Дождевик Rainman Zip зеленое яблоко, размер XL")</f>
      </c>
      <c r="C5305" s="4" t="n">
        <v>1290.00</v>
      </c>
      <c r="D5305" s="4"/>
    </row>
    <row collapsed="" customFormat="false" customHeight="1" hidden="" ht="14" outlineLevel="0" r="5306">
      <c r="A5306" s="3" t="inlineStr">
        <is>
          <t>5275</t>
        </is>
      </c>
      <c r="B5306" s="4" t="s">
        <f>=HYPERLINK("http://anyluxury.ru/shop/odezhda/detskaya-odezhda/dozhdevik-rainman-zip-zelenoe-yabloko-1112494/" , "11124.94 Дождевик Rainman Zip зеленое яблоко, размер XXL")</f>
      </c>
      <c r="C5306" s="4" t="n">
        <v>1290.00</v>
      </c>
      <c r="D5306" s="4"/>
    </row>
    <row collapsed="" customFormat="false" customHeight="1" hidden="" ht="14" outlineLevel="0" r="5307">
      <c r="A5307" s="3" t="inlineStr">
        <is>
          <t>5276</t>
        </is>
      </c>
      <c r="B5307" s="4" t="s">
        <f>=HYPERLINK("http://anyluxury.ru/shop/odezhda/detskaya-odezhda/dozhdevik-rainman-zip-zelenoe-yabloko-1112494/" , "11124.94 Дождевик Rainman Zip, зеленое яблоко, размер S")</f>
      </c>
      <c r="C5307" s="4" t="n">
        <v>1290.00</v>
      </c>
      <c r="D5307" s="4"/>
    </row>
    <row collapsed="" customFormat="false" customHeight="1" hidden="" ht="14" outlineLevel="0" r="5308">
      <c r="A5308" s="3" t="inlineStr">
        <is>
          <t>5277</t>
        </is>
      </c>
      <c r="B5308" s="4" t="s">
        <f>=HYPERLINK("http://anyluxury.ru/shop/odezhda/detskaya-odezhda/dozhdevik-rainman-zip-zelenoe-yabloko-1112494/" , "11124.94 Дождевик Rainman Zip, зеленое яблоко, размер M")</f>
      </c>
      <c r="C5308" s="4" t="n">
        <v>1290.00</v>
      </c>
      <c r="D5308" s="4"/>
    </row>
    <row collapsed="" customFormat="false" customHeight="1" hidden="" ht="14" outlineLevel="0" r="5309">
      <c r="A5309" s="3" t="inlineStr">
        <is>
          <t>5278</t>
        </is>
      </c>
      <c r="B5309" s="4" t="s">
        <f>=HYPERLINK("http://anyluxury.ru/shop/odezhda/detskaya-odezhda/dozhdevik-rainman-zip-zelenoe-yabloko-1112494/" , "11124.94 Дождевик Rainman Zip, зеленое яблоко, размер L")</f>
      </c>
      <c r="C5309" s="4" t="n">
        <v>1290.00</v>
      </c>
      <c r="D5309" s="4"/>
    </row>
    <row collapsed="" customFormat="false" customHeight="1" hidden="" ht="14" outlineLevel="0" r="5310">
      <c r="A5310" s="3" t="inlineStr">
        <is>
          <t>5279</t>
        </is>
      </c>
      <c r="B5310" s="4" t="s">
        <f>=HYPERLINK("http://anyluxury.ru/shop/odezhda/detskaya-odezhda/dozhdevik-rainman-zip-zelenoe-yabloko-1112494/" , "11124.94 Дождевик Rainman Zip, зеленое яблоко, размер XL")</f>
      </c>
      <c r="C5310" s="4" t="n">
        <v>1290.00</v>
      </c>
      <c r="D5310" s="4"/>
    </row>
    <row collapsed="" customFormat="false" customHeight="1" hidden="" ht="14" outlineLevel="0" r="5311">
      <c r="A5311" s="3" t="inlineStr">
        <is>
          <t>5280</t>
        </is>
      </c>
      <c r="B5311" s="4" t="s">
        <f>=HYPERLINK("http://anyluxury.ru/shop/odezhda/detskaya-odezhda/dozhdevik-rainman-zip-zelenoe-yabloko-1112494/" , "11124.94 Дождевик Rainman Zip, зеленое яблоко, размер XXL")</f>
      </c>
      <c r="C5311" s="4" t="n">
        <v>1290.00</v>
      </c>
      <c r="D5311" s="4"/>
    </row>
    <row collapsed="" customFormat="false" customHeight="1" hidden="" ht="14" outlineLevel="0" r="5312">
      <c r="A5312" s="3" t="inlineStr">
        <is>
          <t>5281</t>
        </is>
      </c>
      <c r="B5312" s="4" t="s">
        <f>=HYPERLINK("http://anyluxury.ru/shop/odezhda/detskaya-odezhda/dozhdevik-rainman-zip-oranzheviy-neon-1112420/" , "11124.20 Дождевик Rainman Zip оранжевый неон, размер S")</f>
      </c>
      <c r="C5312" s="4" t="n">
        <v>1290.00</v>
      </c>
      <c r="D5312" s="4"/>
    </row>
    <row collapsed="" customFormat="false" customHeight="1" hidden="" ht="14" outlineLevel="0" r="5313">
      <c r="A5313" s="3" t="inlineStr">
        <is>
          <t>5282</t>
        </is>
      </c>
      <c r="B5313" s="4" t="s">
        <f>=HYPERLINK("http://anyluxury.ru/shop/odezhda/detskaya-odezhda/dozhdevik-rainman-zip-oranzheviy-neon-1112420/" , "11124.20 Дождевик Rainman Zip оранжевый неон, размер M")</f>
      </c>
      <c r="C5313" s="4" t="n">
        <v>1290.00</v>
      </c>
      <c r="D5313" s="4"/>
    </row>
    <row collapsed="" customFormat="false" customHeight="1" hidden="" ht="14" outlineLevel="0" r="5314">
      <c r="A5314" s="3" t="inlineStr">
        <is>
          <t>5283</t>
        </is>
      </c>
      <c r="B5314" s="4" t="s">
        <f>=HYPERLINK("http://anyluxury.ru/shop/odezhda/detskaya-odezhda/dozhdevik-rainman-zip-oranzheviy-neon-1112420/" , "11124.20 Дождевик Rainman Zip оранжевый неон, размер XXL")</f>
      </c>
      <c r="C5314" s="4" t="n">
        <v>1290.00</v>
      </c>
      <c r="D5314" s="4"/>
    </row>
    <row collapsed="" customFormat="false" customHeight="1" hidden="" ht="14" outlineLevel="0" r="5315">
      <c r="A5315" s="3" t="inlineStr">
        <is>
          <t>5284</t>
        </is>
      </c>
      <c r="B5315" s="4" t="s">
        <f>=HYPERLINK("http://anyluxury.ru/shop/odezhda/detskaya-odezhda/dozhdevik-rainman-zip-pro-yarkosiniy-1410744/" , "14107.44 Дождевик Rainman Zip Pro ярко-синий, размер S")</f>
      </c>
      <c r="C5315" s="4" t="n">
        <v>1920.00</v>
      </c>
      <c r="D5315" s="4"/>
    </row>
    <row collapsed="" customFormat="false" customHeight="1" hidden="" ht="14" outlineLevel="0" r="5316">
      <c r="A5316" s="3" t="inlineStr">
        <is>
          <t>5285</t>
        </is>
      </c>
      <c r="B5316" s="4" t="s">
        <f>=HYPERLINK("http://anyluxury.ru/shop/odezhda/detskaya-odezhda/dozhdevik-rainman-zip-pro-yarkosiniy-1410744/" , "14107.44 Дождевик Rainman Zip Pro ярко-синий, размер M")</f>
      </c>
      <c r="C5316" s="4" t="n">
        <v>1920.00</v>
      </c>
      <c r="D5316" s="4"/>
    </row>
    <row collapsed="" customFormat="false" customHeight="1" hidden="" ht="14" outlineLevel="0" r="5317">
      <c r="A5317" s="3" t="inlineStr">
        <is>
          <t>5286</t>
        </is>
      </c>
      <c r="B5317" s="4" t="s">
        <f>=HYPERLINK("http://anyluxury.ru/shop/odezhda/detskaya-odezhda/dozhdevik-rainman-zip-pro-yarkosiniy-1410744/" , "14107.44 Дождевик Rainman Zip Pro ярко-синий, размер L")</f>
      </c>
      <c r="C5317" s="4" t="n">
        <v>1920.00</v>
      </c>
      <c r="D5317" s="4"/>
    </row>
    <row collapsed="" customFormat="false" customHeight="1" hidden="" ht="14" outlineLevel="0" r="5318">
      <c r="A5318" s="3" t="inlineStr">
        <is>
          <t>5287</t>
        </is>
      </c>
      <c r="B5318" s="4" t="s">
        <f>=HYPERLINK("http://anyluxury.ru/shop/odezhda/detskaya-odezhda/dozhdevik-rainman-zip-pro-yarkosiniy-1410744/" , "14107.44 Дождевик Rainman Zip Pro ярко-синий, размер XL")</f>
      </c>
      <c r="C5318" s="4" t="n">
        <v>1920.00</v>
      </c>
      <c r="D5318" s="4"/>
    </row>
    <row collapsed="" customFormat="false" customHeight="1" hidden="" ht="14" outlineLevel="0" r="5319">
      <c r="A5319" s="3" t="inlineStr">
        <is>
          <t>5288</t>
        </is>
      </c>
      <c r="B5319" s="4" t="s">
        <f>=HYPERLINK("http://anyluxury.ru/shop/odezhda/detskaya-odezhda/dozhdevik-rainman-zip-pro-yarkosiniy-1410744/" , "14107.44 Дождевик Rainman Zip Pro ярко-синий, размер XXL")</f>
      </c>
      <c r="C5319" s="4" t="n">
        <v>1920.00</v>
      </c>
      <c r="D5319" s="4"/>
    </row>
    <row collapsed="" customFormat="false" customHeight="1" hidden="" ht="14" outlineLevel="0" r="5320">
      <c r="A5320" s="3" t="inlineStr">
        <is>
          <t>5289</t>
        </is>
      </c>
      <c r="B5320" s="4" t="s">
        <f>=HYPERLINK("http://anyluxury.ru/shop/odezhda/detskaya-odezhda/dozhdevik-rainman-zip-pro-krasniy-1410750/" , "14107.50 Дождевик Rainman Zip Pro красный, размер S")</f>
      </c>
      <c r="C5320" s="4" t="n">
        <v>1920.00</v>
      </c>
      <c r="D5320" s="4"/>
    </row>
    <row collapsed="" customFormat="false" customHeight="1" hidden="" ht="14" outlineLevel="0" r="5321">
      <c r="A5321" s="3" t="inlineStr">
        <is>
          <t>5290</t>
        </is>
      </c>
      <c r="B5321" s="4" t="s">
        <f>=HYPERLINK("http://anyluxury.ru/shop/odezhda/detskaya-odezhda/dozhdevik-rainman-zip-pro-krasniy-1410750/" , "14107.50 Дождевик Rainman Zip Pro красный, размер M")</f>
      </c>
      <c r="C5321" s="4" t="n">
        <v>1920.00</v>
      </c>
      <c r="D5321" s="4"/>
    </row>
    <row collapsed="" customFormat="false" customHeight="1" hidden="" ht="14" outlineLevel="0" r="5322">
      <c r="A5322" s="3" t="inlineStr">
        <is>
          <t>5291</t>
        </is>
      </c>
      <c r="B5322" s="4" t="s">
        <f>=HYPERLINK("http://anyluxury.ru/shop/odezhda/detskaya-odezhda/dozhdevik-rainman-zip-pro-krasniy-1410750/" , "14107.50 Дождевик Rainman Zip Pro красный, размер L")</f>
      </c>
      <c r="C5322" s="4" t="n">
        <v>1920.00</v>
      </c>
      <c r="D5322" s="4"/>
    </row>
    <row collapsed="" customFormat="false" customHeight="1" hidden="" ht="14" outlineLevel="0" r="5323">
      <c r="A5323" s="3" t="inlineStr">
        <is>
          <t>5292</t>
        </is>
      </c>
      <c r="B5323" s="4" t="s">
        <f>=HYPERLINK("http://anyluxury.ru/shop/odezhda/detskaya-odezhda/dozhdevik-rainman-zip-pro-krasniy-1410750/" , "14107.50 Дождевик Rainman Zip Pro красный, размер XL")</f>
      </c>
      <c r="C5323" s="4" t="n">
        <v>1920.00</v>
      </c>
      <c r="D5323" s="4"/>
    </row>
    <row collapsed="" customFormat="false" customHeight="1" hidden="" ht="14" outlineLevel="0" r="5324">
      <c r="A5324" s="3" t="inlineStr">
        <is>
          <t>5293</t>
        </is>
      </c>
      <c r="B5324" s="4" t="s">
        <f>=HYPERLINK("http://anyluxury.ru/shop/odezhda/detskaya-odezhda/dozhdevik-rainman-zip-pro-krasniy-1410750/" , "14107.50 Дождевик Rainman Zip Pro красный, размер XXL")</f>
      </c>
      <c r="C5324" s="4" t="n">
        <v>1920.00</v>
      </c>
      <c r="D5324" s="4"/>
    </row>
    <row collapsed="" customFormat="false" customHeight="1" hidden="" ht="14" outlineLevel="0" r="5325">
      <c r="A5325" s="3" t="inlineStr">
        <is>
          <t>5294</t>
        </is>
      </c>
      <c r="B5325" s="4" t="s">
        <f>=HYPERLINK("http://anyluxury.ru/shop/odezhda/detskaya-odezhda/dozhdevik-rainman-zip-pro-cherniy-1410730/" , "14107.30 Дождевик Rainman Zip Pro черный, размер S")</f>
      </c>
      <c r="C5325" s="4" t="n">
        <v>1920.00</v>
      </c>
      <c r="D5325" s="4"/>
    </row>
    <row collapsed="" customFormat="false" customHeight="1" hidden="" ht="14" outlineLevel="0" r="5326">
      <c r="A5326" s="3" t="inlineStr">
        <is>
          <t>5295</t>
        </is>
      </c>
      <c r="B5326" s="4" t="s">
        <f>=HYPERLINK("http://anyluxury.ru/shop/odezhda/detskaya-odezhda/dozhdevik-rainman-zip-pro-cherniy-1410730/" , "14107.30 Дождевик Rainman Zip Pro черный, размер M")</f>
      </c>
      <c r="C5326" s="4" t="n">
        <v>1920.00</v>
      </c>
      <c r="D5326" s="4"/>
    </row>
    <row collapsed="" customFormat="false" customHeight="1" hidden="" ht="14" outlineLevel="0" r="5327">
      <c r="A5327" s="3" t="inlineStr">
        <is>
          <t>5296</t>
        </is>
      </c>
      <c r="B5327" s="4" t="s">
        <f>=HYPERLINK("http://anyluxury.ru/shop/odezhda/detskaya-odezhda/dozhdevik-rainman-zip-pro-cherniy-1410730/" , "14107.30 Дождевик Rainman Zip Pro черный, размер L")</f>
      </c>
      <c r="C5327" s="4" t="n">
        <v>1920.00</v>
      </c>
      <c r="D5327" s="4"/>
    </row>
    <row collapsed="" customFormat="false" customHeight="1" hidden="" ht="14" outlineLevel="0" r="5328">
      <c r="A5328" s="3" t="inlineStr">
        <is>
          <t>5297</t>
        </is>
      </c>
      <c r="B5328" s="4" t="s">
        <f>=HYPERLINK("http://anyluxury.ru/shop/odezhda/detskaya-odezhda/dozhdevik-rainman-zip-pro-cherniy-1410730/" , "14107.30 Дождевик Rainman Zip Pro черный, размер XL")</f>
      </c>
      <c r="C5328" s="4" t="n">
        <v>1920.00</v>
      </c>
      <c r="D5328" s="4"/>
    </row>
    <row collapsed="" customFormat="false" customHeight="1" hidden="" ht="14" outlineLevel="0" r="5329">
      <c r="A5329" s="3" t="inlineStr">
        <is>
          <t>5298</t>
        </is>
      </c>
      <c r="B5329" s="4" t="s">
        <f>=HYPERLINK("http://anyluxury.ru/shop/odezhda/detskaya-odezhda/dozhdevik-rainman-zip-pro-cherniy-1410730/" , "14107.30 Дождевик Rainman Zip Pro черный, размер XXL")</f>
      </c>
      <c r="C5329" s="4" t="n">
        <v>1920.00</v>
      </c>
      <c r="D5329" s="4"/>
    </row>
    <row collapsed="" customFormat="false" customHeight="1" hidden="" ht="14" outlineLevel="0" r="5330">
      <c r="A5330" s="3" t="inlineStr">
        <is>
          <t>5299</t>
        </is>
      </c>
      <c r="B5330" s="4" t="s">
        <f>=HYPERLINK("http://anyluxury.ru/shop/odezhda/detskaya-odezhda/dozhdevik-rainman-zip-pro-temnosiniy-1410740/" , "14107.40 Дождевик Rainman Zip Pro темно-синий, размер S")</f>
      </c>
      <c r="C5330" s="4" t="n">
        <v>1920.00</v>
      </c>
      <c r="D5330" s="4"/>
    </row>
    <row collapsed="" customFormat="false" customHeight="1" hidden="" ht="14" outlineLevel="0" r="5331">
      <c r="A5331" s="3" t="inlineStr">
        <is>
          <t>5300</t>
        </is>
      </c>
      <c r="B5331" s="4" t="s">
        <f>=HYPERLINK("http://anyluxury.ru/shop/odezhda/detskaya-odezhda/dozhdevik-rainman-zip-pro-temnosiniy-1410740/" , "14107.40 Дождевик Rainman Zip Pro темно-синий, размер M")</f>
      </c>
      <c r="C5331" s="4" t="n">
        <v>1920.00</v>
      </c>
      <c r="D5331" s="4"/>
    </row>
    <row collapsed="" customFormat="false" customHeight="1" hidden="" ht="14" outlineLevel="0" r="5332">
      <c r="A5332" s="3" t="inlineStr">
        <is>
          <t>5301</t>
        </is>
      </c>
      <c r="B5332" s="4" t="s">
        <f>=HYPERLINK("http://anyluxury.ru/shop/odezhda/detskaya-odezhda/dozhdevik-rainman-zip-pro-temnosiniy-1410740/" , "14107.40 Дождевик Rainman Zip Pro темно-синий, размер L")</f>
      </c>
      <c r="C5332" s="4" t="n">
        <v>1920.00</v>
      </c>
      <c r="D5332" s="4"/>
    </row>
    <row collapsed="" customFormat="false" customHeight="1" hidden="" ht="14" outlineLevel="0" r="5333">
      <c r="A5333" s="3" t="inlineStr">
        <is>
          <t>5302</t>
        </is>
      </c>
      <c r="B5333" s="4" t="s">
        <f>=HYPERLINK("http://anyluxury.ru/shop/odezhda/detskaya-odezhda/dozhdevik-rainman-zip-pro-temnosiniy-1410740/" , "14107.40 Дождевик Rainman Zip Pro темно-синий, размер XL")</f>
      </c>
      <c r="C5333" s="4" t="n">
        <v>1920.00</v>
      </c>
      <c r="D5333" s="4"/>
    </row>
    <row collapsed="" customFormat="false" customHeight="1" hidden="" ht="14" outlineLevel="0" r="5334">
      <c r="A5334" s="3" t="inlineStr">
        <is>
          <t>5303</t>
        </is>
      </c>
      <c r="B5334" s="4" t="s">
        <f>=HYPERLINK("http://anyluxury.ru/shop/odezhda/detskaya-odezhda/dozhdevik-rainman-zip-pro-temnosiniy-1410740/" , "14107.40 Дождевик Rainman Zip Pro темно-синий, размер XXL")</f>
      </c>
      <c r="C5334" s="4" t="n">
        <v>1920.00</v>
      </c>
      <c r="D5334" s="4"/>
    </row>
    <row collapsed="" customFormat="false" customHeight="1" hidden="" ht="14" outlineLevel="0" r="5335">
      <c r="A5335" s="3" t="inlineStr">
        <is>
          <t>5304</t>
        </is>
      </c>
      <c r="B5335" s="4" t="s">
        <f>=HYPERLINK("http://anyluxury.ru/shop/odezhda/detskaya-odezhda/dozhdevik-rainman-zip-pro-beliy-1410760/" , "14107.60 Дождевик Rainman Zip Pro белый, размер S")</f>
      </c>
      <c r="C5335" s="4" t="n">
        <v>1920.00</v>
      </c>
      <c r="D5335" s="4"/>
    </row>
    <row collapsed="" customFormat="false" customHeight="1" hidden="" ht="14" outlineLevel="0" r="5336">
      <c r="A5336" s="3" t="inlineStr">
        <is>
          <t>5305</t>
        </is>
      </c>
      <c r="B5336" s="4" t="s">
        <f>=HYPERLINK("http://anyluxury.ru/shop/odezhda/detskaya-odezhda/dozhdevik-rainman-zip-pro-beliy-1410760/" , "14107.60 Дождевик Rainman Zip Pro белый, размер M")</f>
      </c>
      <c r="C5336" s="4" t="n">
        <v>1920.00</v>
      </c>
      <c r="D5336" s="4"/>
    </row>
    <row collapsed="" customFormat="false" customHeight="1" hidden="" ht="14" outlineLevel="0" r="5337">
      <c r="A5337" s="3" t="inlineStr">
        <is>
          <t>5306</t>
        </is>
      </c>
      <c r="B5337" s="4" t="s">
        <f>=HYPERLINK("http://anyluxury.ru/shop/odezhda/detskaya-odezhda/dozhdevik-rainman-zip-pro-beliy-1410760/" , "14107.60 Дождевик Rainman Zip Pro белый, размер L")</f>
      </c>
      <c r="C5337" s="4" t="n">
        <v>1920.00</v>
      </c>
      <c r="D5337" s="4"/>
    </row>
    <row collapsed="" customFormat="false" customHeight="1" hidden="" ht="14" outlineLevel="0" r="5338">
      <c r="A5338" s="3" t="inlineStr">
        <is>
          <t>5307</t>
        </is>
      </c>
      <c r="B5338" s="4" t="s">
        <f>=HYPERLINK("http://anyluxury.ru/shop/odezhda/detskaya-odezhda/dozhdevik-rainman-zip-pro-beliy-1410760/" , "14107.60 Дождевик Rainman Zip Pro белый, размер XL")</f>
      </c>
      <c r="C5338" s="4" t="n">
        <v>1920.00</v>
      </c>
      <c r="D5338" s="4"/>
    </row>
    <row collapsed="" customFormat="false" customHeight="1" hidden="" ht="14" outlineLevel="0" r="5339">
      <c r="A5339" s="3" t="inlineStr">
        <is>
          <t>5308</t>
        </is>
      </c>
      <c r="B5339" s="4" t="s">
        <f>=HYPERLINK("http://anyluxury.ru/shop/odezhda/detskaya-odezhda/dozhdevik-rainman-zip-pro-beliy-1410760/" , "14107.60 Дождевик Rainman Zip Pro белый, размер XXL")</f>
      </c>
      <c r="C5339" s="4" t="n">
        <v>1920.00</v>
      </c>
      <c r="D5339" s="4"/>
    </row>
    <row collapsed="" customFormat="false" customHeight="1" hidden="" ht="14" outlineLevel="0" r="5340">
      <c r="A5340" s="3" t="inlineStr">
        <is>
          <t>5309</t>
        </is>
      </c>
      <c r="B5340" s="4" t="s">
        <f>=HYPERLINK("http://anyluxury.ru/shop/odezhda/detskaya-odezhda/dozhdevik-rainman-zip-pockets-beliy-1312760/" , "13127.60 Дождевик Rainman Zip Pockets белый, размер XS")</f>
      </c>
      <c r="C5340" s="4" t="n">
        <v>890.00</v>
      </c>
      <c r="D5340" s="4"/>
    </row>
    <row collapsed="" customFormat="false" customHeight="1" hidden="" ht="14" outlineLevel="0" r="5341">
      <c r="A5341" s="3" t="inlineStr">
        <is>
          <t>5310</t>
        </is>
      </c>
      <c r="B5341" s="4" t="s">
        <f>=HYPERLINK("http://anyluxury.ru/shop/odezhda/detskaya-odezhda/dozhdevikanorak-alatau-oranzheviy-neon-1411120/" , "14111.20 Дождевик-анорак Alatau, оранжевый неон")</f>
      </c>
      <c r="C5341" s="4" t="n">
        <v>1190.00</v>
      </c>
      <c r="D5341" s="4"/>
    </row>
    <row collapsed="" customFormat="false" customHeight="1" hidden="" ht="14" outlineLevel="0" r="5342">
      <c r="A5342" s="3" t="inlineStr">
        <is>
          <t>5311</t>
        </is>
      </c>
      <c r="B5342" s="4" t="s">
        <f>=HYPERLINK("http://anyluxury.ru/shop/odezhda/detskaya-odezhda/dozhdevikanorak-alatau-zheltiy-neon-1411180/" , "14111.80 Дождевик-анорак Alatau, желтый неон")</f>
      </c>
      <c r="C5342" s="4" t="n">
        <v>1190.00</v>
      </c>
      <c r="D5342" s="4"/>
    </row>
    <row collapsed="" customFormat="false" customHeight="1" hidden="" ht="14" outlineLevel="0" r="5343">
      <c r="A5343" s="3" t="inlineStr">
        <is>
          <t>5312</t>
        </is>
      </c>
      <c r="B5343" s="4" t="s">
        <f>=HYPERLINK("http://anyluxury.ru/shop/odezhda/detskaya-odezhda/dozhdevikanorak-alatau-zheltiy-1411181/" , "14111.81 Дождевик-анорак Alatau, желтый")</f>
      </c>
      <c r="C5343" s="4" t="n">
        <v>1190.00</v>
      </c>
      <c r="D5343" s="4"/>
    </row>
    <row collapsed="" customFormat="false" customHeight="1" hidden="" ht="14" outlineLevel="0" r="5344">
      <c r="A5344" s="3" t="inlineStr">
        <is>
          <t>5313</t>
        </is>
      </c>
      <c r="B5344" s="4" t="s">
        <f>=HYPERLINK("http://anyluxury.ru/shop/odezhda/detskaya-odezhda/dozhdevikanorak-alatau-zelenoe-yabloko-1411194/" , "14111.94 Дождевик-анорак Alatau, зеленое яблоко")</f>
      </c>
      <c r="C5344" s="4" t="n">
        <v>1190.00</v>
      </c>
      <c r="D5344" s="4"/>
    </row>
    <row collapsed="" customFormat="false" customHeight="1" hidden="" ht="14" outlineLevel="0" r="5345">
      <c r="A5345" s="3" t="inlineStr">
        <is>
          <t>5314</t>
        </is>
      </c>
      <c r="B5345" s="4" t="s">
        <f>=HYPERLINK("http://anyluxury.ru/shop/odezhda/detskaya-odezhda/dozhdevik-kivach-promo-beliy-1172660/" , "11726.60 Дождевик Kivach Promo белый, размер L")</f>
      </c>
      <c r="C5345" s="4" t="n">
        <v>1290.00</v>
      </c>
      <c r="D5345" s="4"/>
    </row>
    <row collapsed="" customFormat="false" customHeight="1" hidden="" ht="14" outlineLevel="0" r="5346">
      <c r="A5346" s="3" t="inlineStr">
        <is>
          <t>5315</t>
        </is>
      </c>
      <c r="B5346" s="4" t="s">
        <f>=HYPERLINK("http://anyluxury.ru/shop/odezhda/detskaya-odezhda/dozhdevik-kivach-promo-beliy-1172660/" , "11726.60 Дождевик Kivach Promo белый, размер XL")</f>
      </c>
      <c r="C5346" s="4" t="n">
        <v>1290.00</v>
      </c>
      <c r="D5346" s="4"/>
    </row>
    <row collapsed="" customFormat="false" customHeight="1" hidden="" ht="14" outlineLevel="0" r="5347">
      <c r="A5347" s="3" t="inlineStr">
        <is>
          <t>5316</t>
        </is>
      </c>
      <c r="B5347" s="4" t="s">
        <f>=HYPERLINK("http://anyluxury.ru/shop/odezhda/detskaya-odezhda/dozhdevik-kivach-promo-beliy-1172660/" , "11726.60 Дождевик Kivach Promo белый, размер XXL")</f>
      </c>
      <c r="C5347" s="4" t="n">
        <v>1290.00</v>
      </c>
      <c r="D5347" s="4"/>
    </row>
    <row collapsed="" customFormat="false" customHeight="1" hidden="" ht="14" outlineLevel="0" r="5348">
      <c r="A5348" s="3" t="inlineStr">
        <is>
          <t>5317</t>
        </is>
      </c>
      <c r="B5348" s="4" t="s">
        <f>=HYPERLINK("http://anyluxury.ru/shop/odezhda/detskaya-odezhda/dozhdevik-kivach-promo-beliy-1172660/" , "11726.60 Дождевик Kivach Promo белый, размер 3XL")</f>
      </c>
      <c r="C5348" s="4" t="n">
        <v>1290.00</v>
      </c>
      <c r="D5348" s="4"/>
    </row>
    <row collapsed="" customFormat="false" customHeight="1" hidden="" ht="14" outlineLevel="0" r="5349">
      <c r="A5349" s="3" t="inlineStr">
        <is>
          <t>5318</t>
        </is>
      </c>
      <c r="B5349" s="4" t="s">
        <f>=HYPERLINK("http://anyluxury.ru/shop/odezhda/detskaya-odezhda/dozhdevik-kivach-promo-zheltiy-neon-1172680/" , "11726.80 Дождевик Kivach Promo, желтый неон, размер S")</f>
      </c>
      <c r="C5349" s="4" t="n">
        <v>1290.00</v>
      </c>
      <c r="D5349" s="4"/>
    </row>
    <row collapsed="" customFormat="false" customHeight="1" hidden="" ht="14" outlineLevel="0" r="5350">
      <c r="A5350" s="3" t="inlineStr">
        <is>
          <t>5319</t>
        </is>
      </c>
      <c r="B5350" s="4" t="s">
        <f>=HYPERLINK("http://anyluxury.ru/shop/odezhda/detskaya-odezhda/dozhdevik-kivach-promo-zheltiy-neon-1172680/" , "11726.80 Дождевик Kivach Promo, желтый неон, размер M")</f>
      </c>
      <c r="C5350" s="4" t="n">
        <v>1290.00</v>
      </c>
      <c r="D5350" s="4"/>
    </row>
    <row collapsed="" customFormat="false" customHeight="1" hidden="" ht="14" outlineLevel="0" r="5351">
      <c r="A5351" s="3" t="inlineStr">
        <is>
          <t>5320</t>
        </is>
      </c>
      <c r="B5351" s="4" t="s">
        <f>=HYPERLINK("http://anyluxury.ru/shop/odezhda/detskaya-odezhda/dozhdevik-kivach-promo-zheltiy-neon-1172680/" , "11726.80 Дождевик Kivach Promo, желтый неон, размер L")</f>
      </c>
      <c r="C5351" s="4" t="n">
        <v>1290.00</v>
      </c>
      <c r="D5351" s="4"/>
    </row>
    <row collapsed="" customFormat="false" customHeight="1" hidden="" ht="14" outlineLevel="0" r="5352">
      <c r="A5352" s="3" t="inlineStr">
        <is>
          <t>5321</t>
        </is>
      </c>
      <c r="B5352" s="4" t="s">
        <f>=HYPERLINK("http://anyluxury.ru/shop/odezhda/detskaya-odezhda/dozhdevik-kivach-promo-zheltiy-neon-1172680/" , "11726.80 Дождевик Kivach Promo, желтый неон, размер XL")</f>
      </c>
      <c r="C5352" s="4" t="n">
        <v>1290.00</v>
      </c>
      <c r="D5352" s="4"/>
    </row>
    <row collapsed="" customFormat="false" customHeight="1" hidden="" ht="14" outlineLevel="0" r="5353">
      <c r="A5353" s="3" t="inlineStr">
        <is>
          <t>5322</t>
        </is>
      </c>
      <c r="B5353" s="4" t="s">
        <f>=HYPERLINK("http://anyluxury.ru/shop/odezhda/detskaya-odezhda/dozhdevik-kivach-promo-zheltiy-neon-1172680/" , "11726.80 Дождевик Kivach Promo, желтый неон, размер XXL")</f>
      </c>
      <c r="C5353" s="4" t="n">
        <v>1290.00</v>
      </c>
      <c r="D5353" s="4"/>
    </row>
    <row collapsed="" customFormat="false" customHeight="1" hidden="" ht="14" outlineLevel="0" r="5354">
      <c r="A5354" s="3" t="inlineStr">
        <is>
          <t>5323</t>
        </is>
      </c>
      <c r="B5354" s="4" t="s">
        <f>=HYPERLINK("http://anyluxury.ru/shop/odezhda/detskaya-odezhda/dozhdevik-kivach-promo-zheltiy-neon-1172680/" , "11726.80 Дождевик Kivach Promo, желтый неон, размер 3XL")</f>
      </c>
      <c r="C5354" s="4" t="n">
        <v>1290.00</v>
      </c>
      <c r="D5354" s="4"/>
    </row>
    <row collapsed="" customFormat="false" customHeight="1" hidden="" ht="14" outlineLevel="0" r="5355">
      <c r="A5355" s="3" t="inlineStr">
        <is>
          <t>5324</t>
        </is>
      </c>
      <c r="B5355" s="4" t="s">
        <f>=HYPERLINK("http://anyluxury.ru/shop/odezhda/detskaya-odezhda/dozhdevik-kivach-promo-zheltiy-1172681/" , "11726.81 Дождевик Kivach Promo желтый, размер S")</f>
      </c>
      <c r="C5355" s="4" t="n">
        <v>1290.00</v>
      </c>
      <c r="D5355" s="4"/>
    </row>
    <row collapsed="" customFormat="false" customHeight="1" hidden="" ht="14" outlineLevel="0" r="5356">
      <c r="A5356" s="3" t="inlineStr">
        <is>
          <t>5325</t>
        </is>
      </c>
      <c r="B5356" s="4" t="s">
        <f>=HYPERLINK("http://anyluxury.ru/shop/odezhda/detskaya-odezhda/dozhdevik-kivach-promo-zheltiy-1172681/" , "11726.81 Дождевик Kivach Promo желтый, размер M")</f>
      </c>
      <c r="C5356" s="4" t="n">
        <v>1290.00</v>
      </c>
      <c r="D5356" s="4"/>
    </row>
    <row collapsed="" customFormat="false" customHeight="1" hidden="" ht="14" outlineLevel="0" r="5357">
      <c r="A5357" s="3" t="inlineStr">
        <is>
          <t>5326</t>
        </is>
      </c>
      <c r="B5357" s="4" t="s">
        <f>=HYPERLINK("http://anyluxury.ru/shop/odezhda/detskaya-odezhda/dozhdevik-kivach-promo-zheltiy-1172681/" , "11726.81 Дождевик Kivach Promo желтый, размер L")</f>
      </c>
      <c r="C5357" s="4" t="n">
        <v>1290.00</v>
      </c>
      <c r="D5357" s="4"/>
    </row>
    <row collapsed="" customFormat="false" customHeight="1" hidden="" ht="14" outlineLevel="0" r="5358">
      <c r="A5358" s="3" t="inlineStr">
        <is>
          <t>5327</t>
        </is>
      </c>
      <c r="B5358" s="4" t="s">
        <f>=HYPERLINK("http://anyluxury.ru/shop/odezhda/detskaya-odezhda/dozhdevik-kivach-promo-zheltiy-1172681/" , "11726.81 Дождевик Kivach Promo желтый, размер XL")</f>
      </c>
      <c r="C5358" s="4" t="n">
        <v>1290.00</v>
      </c>
      <c r="D5358" s="4"/>
    </row>
    <row collapsed="" customFormat="false" customHeight="1" hidden="" ht="14" outlineLevel="0" r="5359">
      <c r="A5359" s="3" t="inlineStr">
        <is>
          <t>5328</t>
        </is>
      </c>
      <c r="B5359" s="4" t="s">
        <f>=HYPERLINK("http://anyluxury.ru/shop/odezhda/detskaya-odezhda/dozhdevik-kivach-promo-zheltiy-1172681/" , "11726.81 Дождевик Kivach Promo желтый, размер XXL")</f>
      </c>
      <c r="C5359" s="4" t="n">
        <v>1290.00</v>
      </c>
      <c r="D5359" s="4"/>
    </row>
    <row collapsed="" customFormat="false" customHeight="1" hidden="" ht="14" outlineLevel="0" r="5360">
      <c r="A5360" s="3" t="inlineStr">
        <is>
          <t>5329</t>
        </is>
      </c>
      <c r="B5360" s="4" t="s">
        <f>=HYPERLINK("http://anyluxury.ru/shop/odezhda/detskaya-odezhda/dozhdevik-kivach-promo-zheltiy-1172681/" , "11726.81 Дождевик Kivach Promo желтый, размер 3XL")</f>
      </c>
      <c r="C5360" s="4" t="n">
        <v>1290.00</v>
      </c>
      <c r="D5360" s="4"/>
    </row>
    <row collapsed="" customFormat="false" customHeight="1" hidden="" ht="14" outlineLevel="0" r="5361">
      <c r="A5361" s="3" t="inlineStr">
        <is>
          <t>5330</t>
        </is>
      </c>
      <c r="B5361" s="4" t="s">
        <f>=HYPERLINK("http://anyluxury.ru/shop/odezhda/detskaya-odezhda/dozhdevik-kivach-promo-zelenoe-yabloko-1172694/" , "11726.94 Дождевик Kivach Promo зеленое яблоко, размер S")</f>
      </c>
      <c r="C5361" s="4" t="n">
        <v>1290.00</v>
      </c>
      <c r="D5361" s="4"/>
    </row>
    <row collapsed="" customFormat="false" customHeight="1" hidden="" ht="14" outlineLevel="0" r="5362">
      <c r="A5362" s="3" t="inlineStr">
        <is>
          <t>5331</t>
        </is>
      </c>
      <c r="B5362" s="4" t="s">
        <f>=HYPERLINK("http://anyluxury.ru/shop/odezhda/detskaya-odezhda/dozhdevik-kivach-promo-zelenoe-yabloko-1172694/" , "11726.94 Дождевик Kivach Promo зеленое яблоко, размер M")</f>
      </c>
      <c r="C5362" s="4" t="n">
        <v>1290.00</v>
      </c>
      <c r="D5362" s="4"/>
    </row>
    <row collapsed="" customFormat="false" customHeight="1" hidden="" ht="14" outlineLevel="0" r="5363">
      <c r="A5363" s="3" t="inlineStr">
        <is>
          <t>5332</t>
        </is>
      </c>
      <c r="B5363" s="4" t="s">
        <f>=HYPERLINK("http://anyluxury.ru/shop/odezhda/detskaya-odezhda/dozhdevik-kivach-promo-zelenoe-yabloko-1172694/" , "11726.94 Дождевик Kivach Promo зеленое яблоко, размер L")</f>
      </c>
      <c r="C5363" s="4" t="n">
        <v>1290.00</v>
      </c>
      <c r="D5363" s="4"/>
    </row>
    <row collapsed="" customFormat="false" customHeight="1" hidden="" ht="14" outlineLevel="0" r="5364">
      <c r="A5364" s="3" t="inlineStr">
        <is>
          <t>5333</t>
        </is>
      </c>
      <c r="B5364" s="4" t="s">
        <f>=HYPERLINK("http://anyluxury.ru/shop/odezhda/detskaya-odezhda/dozhdevik-kivach-promo-zelenoe-yabloko-1172694/" , "11726.94 Дождевик Kivach Promo зеленое яблоко, размер XL")</f>
      </c>
      <c r="C5364" s="4" t="n">
        <v>1290.00</v>
      </c>
      <c r="D5364" s="4"/>
    </row>
    <row collapsed="" customFormat="false" customHeight="1" hidden="" ht="14" outlineLevel="0" r="5365">
      <c r="A5365" s="3" t="inlineStr">
        <is>
          <t>5334</t>
        </is>
      </c>
      <c r="B5365" s="4" t="s">
        <f>=HYPERLINK("http://anyluxury.ru/shop/odezhda/detskaya-odezhda/dozhdevik-kivach-promo-zelenoe-yabloko-1172694/" , "11726.94 Дождевик Kivach Promo зеленое яблоко, размер XXL")</f>
      </c>
      <c r="C5365" s="4" t="n">
        <v>1290.00</v>
      </c>
      <c r="D5365" s="4"/>
    </row>
    <row collapsed="" customFormat="false" customHeight="1" hidden="" ht="14" outlineLevel="0" r="5366">
      <c r="A5366" s="3" t="inlineStr">
        <is>
          <t>5335</t>
        </is>
      </c>
      <c r="B5366" s="4" t="s">
        <f>=HYPERLINK("http://anyluxury.ru/shop/odezhda/detskaya-odezhda/dozhdevik-kivach-promo-zelenoe-yabloko-1172694/" , "11726.94 Дождевик Kivach Promo зеленое яблоко, размер 3XL")</f>
      </c>
      <c r="C5366" s="4" t="n">
        <v>1290.00</v>
      </c>
      <c r="D5366" s="4"/>
    </row>
    <row collapsed="" customFormat="false" customHeight="1" hidden="" ht="14" outlineLevel="0" r="5367">
      <c r="A5367" s="3" t="inlineStr">
        <is>
          <t>5336</t>
        </is>
      </c>
      <c r="B5367" s="4" t="s">
        <f>=HYPERLINK("http://anyluxury.ru/shop/odezhda/detskaya-odezhda/dozhdevikanorak-alatau-temnosiniy-1411140/" , "14111.40 Дождевик-анорак Alatau, темно-синий")</f>
      </c>
      <c r="C5367" s="4" t="n">
        <v>1190.00</v>
      </c>
      <c r="D5367" s="4"/>
    </row>
    <row collapsed="" customFormat="false" customHeight="1" hidden="" ht="14" outlineLevel="0" r="5368">
      <c r="A5368" s="3" t="inlineStr">
        <is>
          <t>5337</t>
        </is>
      </c>
      <c r="B5368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XS")</f>
      </c>
      <c r="C5368" s="4" t="n">
        <v>1440.00</v>
      </c>
      <c r="D5368" s="4"/>
    </row>
    <row collapsed="" customFormat="false" customHeight="1" hidden="" ht="14" outlineLevel="0" r="5369">
      <c r="A5369" s="3" t="inlineStr">
        <is>
          <t>5338</t>
        </is>
      </c>
      <c r="B5369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S")</f>
      </c>
      <c r="C5369" s="4" t="n">
        <v>1440.00</v>
      </c>
      <c r="D5369" s="4"/>
    </row>
    <row collapsed="" customFormat="false" customHeight="1" hidden="" ht="14" outlineLevel="0" r="5370">
      <c r="A5370" s="3" t="inlineStr">
        <is>
          <t>5339</t>
        </is>
      </c>
      <c r="B5370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M")</f>
      </c>
      <c r="C5370" s="4" t="n">
        <v>1440.00</v>
      </c>
      <c r="D5370" s="4"/>
    </row>
    <row collapsed="" customFormat="false" customHeight="1" hidden="" ht="14" outlineLevel="0" r="5371">
      <c r="A5371" s="3" t="inlineStr">
        <is>
          <t>5340</t>
        </is>
      </c>
      <c r="B5371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L")</f>
      </c>
      <c r="C5371" s="4" t="n">
        <v>1440.00</v>
      </c>
      <c r="D5371" s="4"/>
    </row>
    <row collapsed="" customFormat="false" customHeight="1" hidden="" ht="14" outlineLevel="0" r="5372">
      <c r="A5372" s="3" t="inlineStr">
        <is>
          <t>5341</t>
        </is>
      </c>
      <c r="B5372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XL")</f>
      </c>
      <c r="C5372" s="4" t="n">
        <v>1440.00</v>
      </c>
      <c r="D5372" s="4"/>
    </row>
    <row collapsed="" customFormat="false" customHeight="1" hidden="" ht="14" outlineLevel="0" r="5373">
      <c r="A5373" s="3" t="inlineStr">
        <is>
          <t>5342</t>
        </is>
      </c>
      <c r="B5373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XXL")</f>
      </c>
      <c r="C5373" s="4" t="n">
        <v>1440.00</v>
      </c>
      <c r="D5373" s="4"/>
    </row>
    <row collapsed="" customFormat="false" customHeight="1" hidden="" ht="14" outlineLevel="0" r="5374">
      <c r="A5374" s="3" t="inlineStr">
        <is>
          <t>5343</t>
        </is>
      </c>
      <c r="B5374" s="4" t="s">
        <f>=HYPERLINK("http://anyluxury.ru/shop/odezhda/detskaya-odezhda/dozhdevikanorak-hard-work-seriy-7134411/" , "71344.11 Дождевик-анорак Hard Work, серый")</f>
      </c>
      <c r="C5374" s="4" t="n">
        <v>2090.00</v>
      </c>
      <c r="D5374" s="4"/>
    </row>
    <row collapsed="" customFormat="false" customHeight="1" hidden="" ht="14" outlineLevel="0" r="5375">
      <c r="A5375" s="3" t="inlineStr">
        <is>
          <t>5344</t>
        </is>
      </c>
      <c r="B5375" s="4" t="s">
        <f>=HYPERLINK("http://anyluxury.ru/shop/odezhda/detskaya-odezhda/dozhdevik-palladio-serebristiy-1387711/" , "13877.11 Дождевик Palladio, серебристый, размер XS")</f>
      </c>
      <c r="C5375" s="4" t="n">
        <v>1548.00</v>
      </c>
      <c r="D5375" s="4"/>
    </row>
    <row collapsed="" customFormat="false" customHeight="1" hidden="" ht="14" outlineLevel="0" r="5376">
      <c r="A5376" s="3" t="inlineStr">
        <is>
          <t>5345</t>
        </is>
      </c>
      <c r="B5376" s="4" t="s">
        <f>=HYPERLINK("http://anyluxury.ru/shop/odezhda/detskaya-odezhda/dozhdevik-palladio-serebristiy-1387711/" , "13877.11 Дождевик Palladio, серебристый, размер S")</f>
      </c>
      <c r="C5376" s="4" t="n">
        <v>1548.00</v>
      </c>
      <c r="D5376" s="4"/>
    </row>
    <row collapsed="" customFormat="false" customHeight="1" hidden="" ht="14" outlineLevel="0" r="5377">
      <c r="A5377" s="3" t="inlineStr">
        <is>
          <t>5346</t>
        </is>
      </c>
      <c r="B5377" s="4" t="s">
        <f>=HYPERLINK("http://anyluxury.ru/shop/odezhda/detskaya-odezhda/hudi-kulonga-oversize-bezhevoe-1410110/" , "14101.10 Худи Kulonga Oversize, бежевое, размер ХS/S")</f>
      </c>
      <c r="C5377" s="4" t="n">
        <v>3800.00</v>
      </c>
      <c r="D5377" s="4"/>
    </row>
    <row collapsed="" customFormat="false" customHeight="1" hidden="" ht="14" outlineLevel="0" r="5378">
      <c r="A5378" s="3" t="inlineStr">
        <is>
          <t>5347</t>
        </is>
      </c>
      <c r="B5378" s="4" t="s">
        <f>=HYPERLINK("http://anyluxury.ru/shop/odezhda/detskaya-odezhda/hudi-kulonga-oversize-bezhevoe-1410110/" , "14101.10 Худи Kulonga Oversize, бежевое, размер M/L")</f>
      </c>
      <c r="C5378" s="4" t="n">
        <v>3800.00</v>
      </c>
      <c r="D5378" s="4"/>
    </row>
    <row collapsed="" customFormat="false" customHeight="1" hidden="" ht="14" outlineLevel="0" r="5379">
      <c r="A5379" s="3" t="inlineStr">
        <is>
          <t>5348</t>
        </is>
      </c>
      <c r="B5379" s="4" t="s">
        <f>=HYPERLINK("http://anyluxury.ru/shop/odezhda/detskaya-odezhda/hudi-kulonga-oversize-bezhevoe-1410110/" , "14101.10 Худи Kulonga Oversize, бежевое, размер ХL/ХХL")</f>
      </c>
      <c r="C5379" s="4" t="n">
        <v>3800.00</v>
      </c>
      <c r="D5379" s="4"/>
    </row>
    <row collapsed="" customFormat="false" customHeight="1" hidden="" ht="14" outlineLevel="0" r="5380">
      <c r="A5380" s="3" t="inlineStr">
        <is>
          <t>5349</t>
        </is>
      </c>
      <c r="B5380" s="4" t="s">
        <f>=HYPERLINK("http://anyluxury.ru/shop/odezhda/detskaya-odezhda/hudi-kulonga-oversize-bezhevoe-1410110/" , "14101.10 Худи Kulonga Oversize, бежевое, размер 3XL/4XL")</f>
      </c>
      <c r="C5380" s="4" t="n">
        <v>3800.00</v>
      </c>
      <c r="D5380" s="4"/>
    </row>
    <row collapsed="" customFormat="false" customHeight="1" hidden="" ht="14" outlineLevel="0" r="5381">
      <c r="A5381" s="3" t="inlineStr">
        <is>
          <t>5350</t>
        </is>
      </c>
      <c r="B5381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XS")</f>
      </c>
      <c r="C5381" s="4" t="n">
        <v>1440.00</v>
      </c>
      <c r="D5381" s="4"/>
    </row>
    <row collapsed="" customFormat="false" customHeight="1" hidden="" ht="14" outlineLevel="0" r="5382">
      <c r="A5382" s="3" t="inlineStr">
        <is>
          <t>5351</t>
        </is>
      </c>
      <c r="B5382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S")</f>
      </c>
      <c r="C5382" s="4" t="n">
        <v>1440.00</v>
      </c>
      <c r="D5382" s="4"/>
    </row>
    <row collapsed="" customFormat="false" customHeight="1" hidden="" ht="14" outlineLevel="0" r="5383">
      <c r="A5383" s="3" t="inlineStr">
        <is>
          <t>5352</t>
        </is>
      </c>
      <c r="B5383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M")</f>
      </c>
      <c r="C5383" s="4" t="n">
        <v>1440.00</v>
      </c>
      <c r="D5383" s="4"/>
    </row>
    <row collapsed="" customFormat="false" customHeight="1" hidden="" ht="14" outlineLevel="0" r="5384">
      <c r="A5384" s="3" t="inlineStr">
        <is>
          <t>5353</t>
        </is>
      </c>
      <c r="B5384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L")</f>
      </c>
      <c r="C5384" s="4" t="n">
        <v>1440.00</v>
      </c>
      <c r="D5384" s="4"/>
    </row>
    <row collapsed="" customFormat="false" customHeight="1" hidden="" ht="14" outlineLevel="0" r="5385">
      <c r="A5385" s="3" t="inlineStr">
        <is>
          <t>5354</t>
        </is>
      </c>
      <c r="B5385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XL")</f>
      </c>
      <c r="C5385" s="4" t="n">
        <v>1440.00</v>
      </c>
      <c r="D5385" s="4"/>
    </row>
    <row collapsed="" customFormat="false" customHeight="1" hidden="" ht="14" outlineLevel="0" r="5386">
      <c r="A5386" s="3" t="inlineStr">
        <is>
          <t>5355</t>
        </is>
      </c>
      <c r="B5386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XXL")</f>
      </c>
      <c r="C5386" s="4" t="n">
        <v>1440.00</v>
      </c>
      <c r="D5386" s="4"/>
    </row>
    <row collapsed="" customFormat="false" customHeight="1" hidden="" ht="14" outlineLevel="0" r="5387">
      <c r="A5387" s="3" t="inlineStr">
        <is>
          <t>5356</t>
        </is>
      </c>
      <c r="B5387" s="4" t="s">
        <f>=HYPERLINK("http://anyluxury.ru/shop/odezhda/detskaya-odezhda/perchatki-bernard-seriy-melanzh-2008711/" , "20087.11 Перчатки Bernard, серый меланж, размер S/M")</f>
      </c>
      <c r="C5387" s="4" t="n">
        <v>1690.00</v>
      </c>
      <c r="D5387" s="4"/>
    </row>
    <row collapsed="" customFormat="false" customHeight="1" hidden="" ht="14" outlineLevel="0" r="5388">
      <c r="A5388" s="3" t="inlineStr">
        <is>
          <t>5357</t>
        </is>
      </c>
      <c r="B5388" s="4" t="s">
        <f>=HYPERLINK("http://anyluxury.ru/shop/odezhda/detskaya-odezhda/perchatki-bernard-seriy-melanzh-2008711/" , "20087.11 Перчатки Bernard, серый меланж, размер L/XL")</f>
      </c>
      <c r="C5388" s="4" t="n">
        <v>1690.00</v>
      </c>
      <c r="D5388" s="4"/>
    </row>
    <row collapsed="" customFormat="false" customHeight="1" hidden="" ht="14" outlineLevel="0" r="5389">
      <c r="A5389" s="3" t="inlineStr">
        <is>
          <t>5358</t>
        </is>
      </c>
      <c r="B5389" s="4" t="s">
        <f>=HYPERLINK("http://anyluxury.ru/shop/odezhda/detskaya-odezhda/perchatki-bernard-svetloserie-2008716/" , "20087.16 Перчатки Bernard, светло-серые, размер S/M")</f>
      </c>
      <c r="C5389" s="4" t="n">
        <v>1690.00</v>
      </c>
      <c r="D5389" s="4"/>
    </row>
    <row collapsed="" customFormat="false" customHeight="1" hidden="" ht="14" outlineLevel="0" r="5390">
      <c r="A5390" s="3" t="inlineStr">
        <is>
          <t>5359</t>
        </is>
      </c>
      <c r="B5390" s="4" t="s">
        <f>=HYPERLINK("http://anyluxury.ru/shop/odezhda/detskaya-odezhda/perchatki-bernard-svetloserie-2008716/" , "20087.16 Перчатки Bernard, светло-серые, размер L/XL")</f>
      </c>
      <c r="C5390" s="4" t="n">
        <v>1690.00</v>
      </c>
      <c r="D5390" s="4"/>
    </row>
    <row collapsed="" customFormat="false" customHeight="1" hidden="" ht="14" outlineLevel="0" r="5391">
      <c r="A5391" s="3" t="inlineStr">
        <is>
          <t>5360</t>
        </is>
      </c>
      <c r="B5391" s="4" t="s">
        <f>=HYPERLINK("http://anyluxury.ru/shop/odezhda/detskaya-odezhda/perchatki-bernard-temnosinie-2008744/" , "20087.44 Перчатки Bernard, темно-синие, размер S/M")</f>
      </c>
      <c r="C5391" s="4" t="n">
        <v>1690.00</v>
      </c>
      <c r="D5391" s="4"/>
    </row>
    <row collapsed="" customFormat="false" customHeight="1" hidden="" ht="14" outlineLevel="0" r="5392">
      <c r="A5392" s="3" t="inlineStr">
        <is>
          <t>5361</t>
        </is>
      </c>
      <c r="B5392" s="4" t="s">
        <f>=HYPERLINK("http://anyluxury.ru/shop/odezhda/detskaya-odezhda/perchatki-bernard-temnosinie-2008744/" , "20087.44 Перчатки Bernard, темно-синие, размер L/XL")</f>
      </c>
      <c r="C5392" s="4" t="n">
        <v>1690.00</v>
      </c>
      <c r="D5392" s="4"/>
    </row>
    <row collapsed="" customFormat="false" customHeight="1" hidden="" ht="14" outlineLevel="0" r="5393">
      <c r="A5393" s="3" t="inlineStr">
        <is>
          <t>5362</t>
        </is>
      </c>
      <c r="B5393" s="4" t="s">
        <f>=HYPERLINK("http://anyluxury.ru/shop/odezhda/detskaya-odezhda/perchatki-bernard-molochnobelie-2008760/" , "20087.60 Перчатки Bernard, молочно-белые, размер S/M")</f>
      </c>
      <c r="C5393" s="4" t="n">
        <v>1690.00</v>
      </c>
      <c r="D5393" s="4"/>
    </row>
    <row collapsed="" customFormat="false" customHeight="1" hidden="" ht="14" outlineLevel="0" r="5394">
      <c r="A5394" s="3" t="inlineStr">
        <is>
          <t>5363</t>
        </is>
      </c>
      <c r="B5394" s="4" t="s">
        <f>=HYPERLINK("http://anyluxury.ru/shop/odezhda/detskaya-odezhda/perchatki-bernard-molochnobelie-2008760/" , "20087.60 Перчатки Bernard, молочно-белые, размер L/XL")</f>
      </c>
      <c r="C5394" s="4" t="n">
        <v>1690.00</v>
      </c>
      <c r="D5394" s="4"/>
    </row>
    <row collapsed="" customFormat="false" customHeight="1" hidden="" ht="14" outlineLevel="0" r="5395">
      <c r="A5395" s="3" t="inlineStr">
        <is>
          <t>5364</t>
        </is>
      </c>
      <c r="B5395" s="4" t="s">
        <f>=HYPERLINK("http://anyluxury.ru/shop/odezhda/detskaya-odezhda/perchatki-bernard-zheltie-2008780/" , "20087.80 Перчатки Bernard, желтые, размер S/M")</f>
      </c>
      <c r="C5395" s="4" t="n">
        <v>1690.00</v>
      </c>
      <c r="D5395" s="4"/>
    </row>
    <row collapsed="" customFormat="false" customHeight="1" hidden="" ht="14" outlineLevel="0" r="5396">
      <c r="A5396" s="3" t="inlineStr">
        <is>
          <t>5365</t>
        </is>
      </c>
      <c r="B5396" s="4" t="s">
        <f>=HYPERLINK("http://anyluxury.ru/shop/odezhda/detskaya-odezhda/perchatki-bernard-zheltie-2008780/" , "20087.80 Перчатки Bernard, желтые, размер L/XL")</f>
      </c>
      <c r="C5396" s="4" t="n">
        <v>1690.00</v>
      </c>
      <c r="D5396" s="4"/>
    </row>
    <row collapsed="" customFormat="false" customHeight="1" hidden="" ht="14" outlineLevel="0" r="5397">
      <c r="A5397" s="3" t="inlineStr">
        <is>
          <t>5366</t>
        </is>
      </c>
      <c r="B5397" s="4" t="s">
        <f>=HYPERLINK("http://anyluxury.ru/shop/odezhda/detskaya-odezhda/hudi-kulonga-comfort-chernoe-1420230/" , "14202.30 Худи Kulonga Comfort, черное, размер ХS/ S")</f>
      </c>
      <c r="C5397" s="4" t="n">
        <v>2000.00</v>
      </c>
      <c r="D5397" s="4"/>
    </row>
    <row collapsed="" customFormat="false" customHeight="1" hidden="" ht="14" outlineLevel="0" r="5398">
      <c r="A5398" s="3" t="inlineStr">
        <is>
          <t>5367</t>
        </is>
      </c>
      <c r="B5398" s="4" t="s">
        <f>=HYPERLINK("http://anyluxury.ru/shop/odezhda/detskaya-odezhda/hudi-kulonga-comfort-molochnobeloe-1420260/" , "14202.60 Худи Kulonga Comfort, молочно-белое, размер ХL/ ХХL")</f>
      </c>
      <c r="C5398" s="4" t="n">
        <v>2000.00</v>
      </c>
      <c r="D5398" s="4"/>
    </row>
    <row collapsed="" customFormat="false" customHeight="1" hidden="" ht="14" outlineLevel="0" r="5399">
      <c r="A5399" s="3" t="inlineStr">
        <is>
          <t>5368</t>
        </is>
      </c>
      <c r="B5399" s="4" t="s">
        <f>=HYPERLINK("http://anyluxury.ru/shop/odezhda/detskaya-odezhda/varezhki-na-zakaz-mani-akril-1854701/" , "18547.01 Варежки на заказ Mani, акрил")</f>
      </c>
      <c r="C5399" s="4" t="n">
        <v>794.00</v>
      </c>
      <c r="D5399" s="4"/>
    </row>
    <row collapsed="" customFormat="false" customHeight="1" hidden="" ht="14" outlineLevel="0" r="5400">
      <c r="A5400" s="3" t="inlineStr">
        <is>
          <t>5369</t>
        </is>
      </c>
      <c r="B5400" s="4" t="s">
        <f>=HYPERLINK("http://anyluxury.ru/shop/odezhda/detskaya-odezhda/varezhki-na-zakaz-mani-polusherst-1854702/" , "18547.02 Варежки на заказ Mani, полушерсть")</f>
      </c>
      <c r="C5400" s="4" t="n">
        <v>971.00</v>
      </c>
      <c r="D5400" s="4"/>
    </row>
    <row collapsed="" customFormat="false" customHeight="1" hidden="" ht="14" outlineLevel="0" r="5401">
      <c r="A5401" s="3" t="inlineStr">
        <is>
          <t>5370</t>
        </is>
      </c>
      <c r="B5401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XS")</f>
      </c>
      <c r="C5401" s="4" t="n">
        <v>1440.00</v>
      </c>
      <c r="D5401" s="4"/>
    </row>
    <row collapsed="" customFormat="false" customHeight="1" hidden="" ht="14" outlineLevel="0" r="5402">
      <c r="A5402" s="3" t="inlineStr">
        <is>
          <t>5371</t>
        </is>
      </c>
      <c r="B5402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S")</f>
      </c>
      <c r="C5402" s="4" t="n">
        <v>1440.00</v>
      </c>
      <c r="D5402" s="4"/>
    </row>
    <row collapsed="" customFormat="false" customHeight="1" hidden="" ht="14" outlineLevel="0" r="5403">
      <c r="A5403" s="3" t="inlineStr">
        <is>
          <t>5372</t>
        </is>
      </c>
      <c r="B5403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M")</f>
      </c>
      <c r="C5403" s="4" t="n">
        <v>1440.00</v>
      </c>
      <c r="D5403" s="4"/>
    </row>
    <row collapsed="" customFormat="false" customHeight="1" hidden="" ht="14" outlineLevel="0" r="5404">
      <c r="A5404" s="3" t="inlineStr">
        <is>
          <t>5373</t>
        </is>
      </c>
      <c r="B5404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L")</f>
      </c>
      <c r="C5404" s="4" t="n">
        <v>1440.00</v>
      </c>
      <c r="D5404" s="4"/>
    </row>
    <row collapsed="" customFormat="false" customHeight="1" hidden="" ht="14" outlineLevel="0" r="5405">
      <c r="A5405" s="3" t="inlineStr">
        <is>
          <t>5374</t>
        </is>
      </c>
      <c r="B5405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XL")</f>
      </c>
      <c r="C5405" s="4" t="n">
        <v>1440.00</v>
      </c>
      <c r="D5405" s="4"/>
    </row>
    <row collapsed="" customFormat="false" customHeight="1" hidden="" ht="14" outlineLevel="0" r="5406">
      <c r="A5406" s="3" t="inlineStr">
        <is>
          <t>5375</t>
        </is>
      </c>
      <c r="B5406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XXL")</f>
      </c>
      <c r="C5406" s="4" t="n">
        <v>1440.00</v>
      </c>
      <c r="D5406" s="4"/>
    </row>
    <row collapsed="" customFormat="false" customHeight="1" hidden="" ht="14" outlineLevel="0" r="5407">
      <c r="A5407" s="3" t="inlineStr">
        <is>
          <t>5376</t>
        </is>
      </c>
      <c r="B5407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XS")</f>
      </c>
      <c r="C5407" s="4" t="n">
        <v>1440.00</v>
      </c>
      <c r="D5407" s="4"/>
    </row>
    <row collapsed="" customFormat="false" customHeight="1" hidden="" ht="14" outlineLevel="0" r="5408">
      <c r="A5408" s="3" t="inlineStr">
        <is>
          <t>5377</t>
        </is>
      </c>
      <c r="B5408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S")</f>
      </c>
      <c r="C5408" s="4" t="n">
        <v>1440.00</v>
      </c>
      <c r="D5408" s="4"/>
    </row>
    <row collapsed="" customFormat="false" customHeight="1" hidden="" ht="14" outlineLevel="0" r="5409">
      <c r="A5409" s="3" t="inlineStr">
        <is>
          <t>5378</t>
        </is>
      </c>
      <c r="B5409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M")</f>
      </c>
      <c r="C5409" s="4" t="n">
        <v>1440.00</v>
      </c>
      <c r="D5409" s="4"/>
    </row>
    <row collapsed="" customFormat="false" customHeight="1" hidden="" ht="14" outlineLevel="0" r="5410">
      <c r="A5410" s="3" t="inlineStr">
        <is>
          <t>5379</t>
        </is>
      </c>
      <c r="B5410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L")</f>
      </c>
      <c r="C5410" s="4" t="n">
        <v>1440.00</v>
      </c>
      <c r="D5410" s="4"/>
    </row>
    <row collapsed="" customFormat="false" customHeight="1" hidden="" ht="14" outlineLevel="0" r="5411">
      <c r="A5411" s="3" t="inlineStr">
        <is>
          <t>5380</t>
        </is>
      </c>
      <c r="B5411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XL")</f>
      </c>
      <c r="C5411" s="4" t="n">
        <v>1440.00</v>
      </c>
      <c r="D5411" s="4"/>
    </row>
    <row collapsed="" customFormat="false" customHeight="1" hidden="" ht="14" outlineLevel="0" r="5412">
      <c r="A5412" s="3" t="inlineStr">
        <is>
          <t>5381</t>
        </is>
      </c>
      <c r="B5412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XXL")</f>
      </c>
      <c r="C5412" s="4" t="n">
        <v>1440.00</v>
      </c>
      <c r="D5412" s="4"/>
    </row>
    <row collapsed="" customFormat="false" customHeight="1" hidden="" ht="14" outlineLevel="0" r="5413">
      <c r="A5413" s="3" t="inlineStr">
        <is>
          <t>5382</t>
        </is>
      </c>
      <c r="B5413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XXL")</f>
      </c>
      <c r="C5413" s="4" t="n">
        <v>1440.00</v>
      </c>
      <c r="D5413" s="4"/>
    </row>
    <row collapsed="" customFormat="false" customHeight="1" hidden="" ht="14" outlineLevel="0" r="5414">
      <c r="A5414" s="3" t="inlineStr">
        <is>
          <t>5383</t>
        </is>
      </c>
      <c r="B5414" s="4" t="s">
        <f>=HYPERLINK("http://anyluxury.ru/shop/odezhda/detskaya-odezhda/vodolazka-urban-chernaya-1396030/" , "13960.30 Водолазка Urban, черная, размер ХS/S")</f>
      </c>
      <c r="C5414" s="4" t="n">
        <v>800.00</v>
      </c>
      <c r="D5414" s="4"/>
    </row>
    <row collapsed="" customFormat="false" customHeight="1" hidden="" ht="14" outlineLevel="0" r="5415">
      <c r="A5415" s="3" t="inlineStr">
        <is>
          <t>5384</t>
        </is>
      </c>
      <c r="B5415" s="4" t="s">
        <f>=HYPERLINK("http://anyluxury.ru/shop/odezhda/detskaya-odezhda/vodolazka-urban-chernaya-1396030/" , "13960.30 Водолазка Urban, черная, размер M/L")</f>
      </c>
      <c r="C5415" s="4" t="n">
        <v>800.00</v>
      </c>
      <c r="D5415" s="4"/>
    </row>
    <row collapsed="" customFormat="false" customHeight="1" hidden="" ht="14" outlineLevel="0" r="5416">
      <c r="A5416" s="3" t="inlineStr">
        <is>
          <t>5385</t>
        </is>
      </c>
      <c r="B5416" s="4" t="s">
        <f>=HYPERLINK("http://anyluxury.ru/shop/odezhda/detskaya-odezhda/vodolazka-urban-chernaya-1396030/" , "13960.30 Водолазка Urban, черная, размер ХL/ХХL")</f>
      </c>
      <c r="C5416" s="4" t="n">
        <v>800.00</v>
      </c>
      <c r="D5416" s="4"/>
    </row>
    <row collapsed="" customFormat="false" customHeight="1" hidden="" ht="14" outlineLevel="0" r="5417">
      <c r="A5417" s="3" t="inlineStr">
        <is>
          <t>5386</t>
        </is>
      </c>
      <c r="B5417" s="4" t="s">
        <f>=HYPERLINK("http://anyluxury.ru/shop/odezhda/detskaya-odezhda/vodolazka-urban-molochnobelaya-1396060/" , "13960.60 Водолазка Urban, молочно-белая, размер ХS/S")</f>
      </c>
      <c r="C5417" s="4" t="n">
        <v>800.00</v>
      </c>
      <c r="D5417" s="4"/>
    </row>
    <row collapsed="" customFormat="false" customHeight="1" hidden="" ht="14" outlineLevel="0" r="5418">
      <c r="A5418" s="3" t="inlineStr">
        <is>
          <t>5387</t>
        </is>
      </c>
      <c r="B5418" s="4" t="s">
        <f>=HYPERLINK("http://anyluxury.ru/shop/odezhda/detskaya-odezhda/vodolazka-urban-molochnobelaya-1396060/" , "13960.60 Водолазка Urban, молочно-белая, размер M/L")</f>
      </c>
      <c r="C5418" s="4" t="n">
        <v>800.00</v>
      </c>
      <c r="D5418" s="4"/>
    </row>
    <row collapsed="" customFormat="false" customHeight="1" hidden="" ht="14" outlineLevel="0" r="5419">
      <c r="A5419" s="3" t="inlineStr">
        <is>
          <t>5388</t>
        </is>
      </c>
      <c r="B5419" s="4" t="s">
        <f>=HYPERLINK("http://anyluxury.ru/shop/odezhda/detskaya-odezhda/vodolazka-urban-molochnobelaya-1396060/" , "13960.60 Водолазка Urban, молочно-белая, размер ХL/ХХL")</f>
      </c>
      <c r="C5419" s="4" t="n">
        <v>800.00</v>
      </c>
      <c r="D5419" s="4"/>
    </row>
    <row collapsed="" customFormat="false" customHeight="1" hidden="" ht="14" outlineLevel="0" r="5420">
      <c r="A5420" s="3" t="inlineStr">
        <is>
          <t>5389</t>
        </is>
      </c>
      <c r="B5420" s="4" t="s">
        <f>=HYPERLINK("http://anyluxury.ru/shop/odezhda/detskaya-odezhda/hudi-oversayz-chistaya-sol-seriy-melanzh-7117111/" , "71171.11 Худи оверсайз «Чистая соль», серый меланж, размер XS/S (44-46)")</f>
      </c>
      <c r="C5420" s="4" t="n">
        <v>3300.00</v>
      </c>
      <c r="D5420" s="4"/>
    </row>
    <row collapsed="" customFormat="false" customHeight="1" hidden="" ht="14" outlineLevel="0" r="5421">
      <c r="A5421" s="3" t="inlineStr">
        <is>
          <t>5390</t>
        </is>
      </c>
      <c r="B5421" s="4" t="s">
        <f>=HYPERLINK("http://anyluxury.ru/shop/odezhda/detskaya-odezhda/hudi-oversayz-chistaya-sol-seriy-melanzh-7117111/" , "71171.11 Худи оверсайз «Чистая соль», серый меланж, размер M/L (48-50)")</f>
      </c>
      <c r="C5421" s="4" t="n">
        <v>3300.00</v>
      </c>
      <c r="D5421" s="4"/>
    </row>
    <row collapsed="" customFormat="false" customHeight="1" hidden="" ht="14" outlineLevel="0" r="5422">
      <c r="A5422" s="3" t="inlineStr">
        <is>
          <t>5391</t>
        </is>
      </c>
      <c r="B5422" s="4" t="s">
        <f>=HYPERLINK("http://anyluxury.ru/shop/odezhda/detskaya-odezhda/hudi-oversayz-chistaya-sol-seriy-melanzh-7117111/" , "71171.11 Худи оверсайз «Чистая соль», серый меланж, размер XL/XXL (52-54)")</f>
      </c>
      <c r="C5422" s="4" t="n">
        <v>3300.00</v>
      </c>
      <c r="D5422" s="4"/>
    </row>
    <row collapsed="" customFormat="false" customHeight="1" hidden="" ht="14" outlineLevel="0" r="5423">
      <c r="A5423" s="3" t="inlineStr">
        <is>
          <t>5392</t>
        </is>
      </c>
      <c r="B5423" s="4" t="s">
        <f>=HYPERLINK("http://anyluxury.ru/shop/odezhda/detskaya-odezhda/hudi-oversayz-chistaya-sol-chernoe-7117130/" , "71171.30 Худи оверсайз «Чистая соль», черное, размер XS/S (44-46)")</f>
      </c>
      <c r="C5423" s="4" t="n">
        <v>3300.00</v>
      </c>
      <c r="D5423" s="4"/>
    </row>
    <row collapsed="" customFormat="false" customHeight="1" hidden="" ht="14" outlineLevel="0" r="5424">
      <c r="A5424" s="3" t="inlineStr">
        <is>
          <t>5393</t>
        </is>
      </c>
      <c r="B5424" s="4" t="s">
        <f>=HYPERLINK("http://anyluxury.ru/shop/odezhda/detskaya-odezhda/hudi-oversayz-chistaya-sol-chernoe-7117130/" , "71171.30 Худи оверсайз «Чистая соль», черное, размер M/L (48-50)")</f>
      </c>
      <c r="C5424" s="4" t="n">
        <v>3300.00</v>
      </c>
      <c r="D5424" s="4"/>
    </row>
    <row collapsed="" customFormat="false" customHeight="1" hidden="" ht="14" outlineLevel="0" r="5425">
      <c r="A5425" s="3" t="inlineStr">
        <is>
          <t>5394</t>
        </is>
      </c>
      <c r="B5425" s="4" t="s">
        <f>=HYPERLINK("http://anyluxury.ru/shop/odezhda/detskaya-odezhda/hudi-oversayz-chistaya-sol-chernoe-7117130/" , "71171.30 Худи оверсайз «Чистая соль», черное, размер XL/XXL (52-54)")</f>
      </c>
      <c r="C5425" s="4" t="n">
        <v>3300.00</v>
      </c>
      <c r="D5425" s="4"/>
    </row>
    <row collapsed="" customFormat="false" customHeight="1" hidden="" ht="14" outlineLevel="0" r="5426">
      <c r="A5426" s="3" t="inlineStr">
        <is>
          <t>5395</t>
        </is>
      </c>
      <c r="B5426" s="4" t="s">
        <f>=HYPERLINK("http://anyluxury.ru/shop/odezhda/detskaya-odezhda/perchatki-na-zakaz-guanti-akril-1892201/" , "18922.01 Перчатки на заказ Guanti, акрил")</f>
      </c>
      <c r="C5426" s="4" t="n">
        <v>766.00</v>
      </c>
      <c r="D5426" s="4"/>
    </row>
    <row collapsed="" customFormat="false" customHeight="1" hidden="" ht="14" outlineLevel="0" r="5427">
      <c r="A5427" s="3" t="inlineStr">
        <is>
          <t>5396</t>
        </is>
      </c>
      <c r="B5427" s="4" t="s">
        <f>=HYPERLINK("http://anyluxury.ru/shop/odezhda/detskaya-odezhda/perchatki-na-zakaz-guanti-polusherst-1892202/" , "18922.02 Перчатки на заказ Guanti, полушерсть")</f>
      </c>
      <c r="C5427" s="4" t="n">
        <v>911.00</v>
      </c>
      <c r="D5427" s="4"/>
    </row>
    <row collapsed="" customFormat="false" customHeight="1" hidden="" ht="14" outlineLevel="0" r="5428">
      <c r="A5428" s="3" t="inlineStr">
        <is>
          <t>5397</t>
        </is>
      </c>
      <c r="B5428" s="4" t="s">
        <f>=HYPERLINK("http://anyluxury.ru/shop/odezhda/detskaya-odezhda/sensornie-perchatki-na-zakaz-guanti-tok-akril-1892301/" , "18923.01 Сенсорные перчатки на заказ Guanti Tok, акрил")</f>
      </c>
      <c r="C5428" s="4" t="n">
        <v>832.00</v>
      </c>
      <c r="D5428" s="4"/>
    </row>
    <row collapsed="" customFormat="false" customHeight="1" hidden="" ht="14" outlineLevel="0" r="5429">
      <c r="A5429" s="3" t="inlineStr">
        <is>
          <t>5398</t>
        </is>
      </c>
      <c r="B5429" s="4" t="s">
        <f>=HYPERLINK("http://anyluxury.ru/shop/odezhda/detskaya-odezhda/sensornie-perchatki-na-zakaz-guanti-tok-polusherst-1892302/" , "18923.02 Сенсорные перчатки на заказ Guanti Tok, полушерсть")</f>
      </c>
      <c r="C5429" s="4" t="n">
        <v>977.00</v>
      </c>
      <c r="D5429" s="4"/>
    </row>
    <row collapsed="" customFormat="false" customHeight="1" hidden="" ht="14" outlineLevel="0" r="5430">
      <c r="A5430" s="3" t="inlineStr">
        <is>
          <t>5399</t>
        </is>
      </c>
      <c r="B5430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XS")</f>
      </c>
      <c r="C5430" s="4" t="n">
        <v>1440.00</v>
      </c>
      <c r="D5430" s="4"/>
    </row>
    <row collapsed="" customFormat="false" customHeight="1" hidden="" ht="14" outlineLevel="0" r="5431">
      <c r="A5431" s="3" t="inlineStr">
        <is>
          <t>5400</t>
        </is>
      </c>
      <c r="B5431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S")</f>
      </c>
      <c r="C5431" s="4" t="n">
        <v>1440.00</v>
      </c>
      <c r="D5431" s="4"/>
    </row>
    <row collapsed="" customFormat="false" customHeight="1" hidden="" ht="14" outlineLevel="0" r="5432">
      <c r="A5432" s="3" t="inlineStr">
        <is>
          <t>5401</t>
        </is>
      </c>
      <c r="B5432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M")</f>
      </c>
      <c r="C5432" s="4" t="n">
        <v>1440.00</v>
      </c>
      <c r="D5432" s="4"/>
    </row>
    <row collapsed="" customFormat="false" customHeight="1" hidden="" ht="14" outlineLevel="0" r="5433">
      <c r="A5433" s="3" t="inlineStr">
        <is>
          <t>5402</t>
        </is>
      </c>
      <c r="B5433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L")</f>
      </c>
      <c r="C5433" s="4" t="n">
        <v>1440.00</v>
      </c>
      <c r="D5433" s="4"/>
    </row>
    <row collapsed="" customFormat="false" customHeight="1" hidden="" ht="14" outlineLevel="0" r="5434">
      <c r="A5434" s="3" t="inlineStr">
        <is>
          <t>5403</t>
        </is>
      </c>
      <c r="B5434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XL")</f>
      </c>
      <c r="C5434" s="4" t="n">
        <v>1440.00</v>
      </c>
      <c r="D5434" s="4"/>
    </row>
    <row collapsed="" customFormat="false" customHeight="1" hidden="" ht="14" outlineLevel="0" r="5435">
      <c r="A5435" s="3" t="inlineStr">
        <is>
          <t>5404</t>
        </is>
      </c>
      <c r="B5435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XXL")</f>
      </c>
      <c r="C5435" s="4" t="n">
        <v>1440.00</v>
      </c>
      <c r="D5435" s="4"/>
    </row>
    <row collapsed="" customFormat="false" customHeight="1" hidden="" ht="14" outlineLevel="0" r="5436">
      <c r="A5436" s="3" t="inlineStr">
        <is>
          <t>5405</t>
        </is>
      </c>
      <c r="B5436" s="4" t="s">
        <f>=HYPERLINK("http://anyluxury.ru/shop/odezhda/detskaya-odezhda/hudi-kulonga-comfort-serozelenoe-1420291/" , "14202.91 Худи Kulonga Comfort, серо-зеленое, размер XS/S")</f>
      </c>
      <c r="C5436" s="4" t="n">
        <v>2000.00</v>
      </c>
      <c r="D5436" s="4"/>
    </row>
    <row collapsed="" customFormat="false" customHeight="1" hidden="" ht="14" outlineLevel="0" r="5437">
      <c r="A5437" s="3" t="inlineStr">
        <is>
          <t>5406</t>
        </is>
      </c>
      <c r="B5437" s="4" t="s">
        <f>=HYPERLINK("http://anyluxury.ru/shop/odezhda/detskaya-odezhda/hudi-kulonga-oversize-temnosinee-1410140/" , "14101.40 Худи Kulonga Oversize, темно-синее, размер ХS/S")</f>
      </c>
      <c r="C5437" s="4" t="n">
        <v>3000.00</v>
      </c>
      <c r="D5437" s="4"/>
    </row>
    <row collapsed="" customFormat="false" customHeight="1" hidden="" ht="14" outlineLevel="0" r="5438">
      <c r="A5438" s="3" t="inlineStr">
        <is>
          <t>5407</t>
        </is>
      </c>
      <c r="B5438" s="4" t="s">
        <f>=HYPERLINK("http://anyluxury.ru/shop/odezhda/detskaya-odezhda/hudi-kulonga-oversize-temnosinee-1410140/" , "14101.40 Худи Kulonga Oversize, темно-синее, размер ХL/ХХL")</f>
      </c>
      <c r="C5438" s="4" t="n">
        <v>3000.00</v>
      </c>
      <c r="D5438" s="4"/>
    </row>
    <row collapsed="" customFormat="false" customHeight="1" hidden="" ht="14" outlineLevel="0" r="5439">
      <c r="A5439" s="3" t="inlineStr">
        <is>
          <t>5408</t>
        </is>
      </c>
      <c r="B5439" s="4" t="s">
        <f>=HYPERLINK("http://anyluxury.ru/shop/odezhda/detskaya-odezhda/dozhdevik-rainman-tourist-zheltiy-neon-1408880/" , "14088.80 Дождевик Rainman Tourist, желтый неон, размер XS")</f>
      </c>
      <c r="C5439" s="4" t="n">
        <v>1420.00</v>
      </c>
      <c r="D5439" s="4"/>
    </row>
    <row collapsed="" customFormat="false" customHeight="1" hidden="" ht="14" outlineLevel="0" r="5440">
      <c r="A5440" s="3" t="inlineStr">
        <is>
          <t>5409</t>
        </is>
      </c>
      <c r="B5440" s="4" t="s">
        <f>=HYPERLINK("http://anyluxury.ru/shop/odezhda/detskaya-odezhda/dozhdevik-rainman-tourist-zheltiy-neon-1408880/" , "14088.80 Дождевик Rainman Tourist, желтый неон, размер S")</f>
      </c>
      <c r="C5440" s="4" t="n">
        <v>1420.00</v>
      </c>
      <c r="D5440" s="4"/>
    </row>
    <row collapsed="" customFormat="false" customHeight="1" hidden="" ht="14" outlineLevel="0" r="5441">
      <c r="A5441" s="3" t="inlineStr">
        <is>
          <t>5410</t>
        </is>
      </c>
      <c r="B5441" s="4" t="s">
        <f>=HYPERLINK("http://anyluxury.ru/shop/odezhda/detskaya-odezhda/dozhdevik-rainman-tourist-zheltiy-neon-1408880/" , "14088.80 Дождевик Rainman Tourist, желтый неон, размер M")</f>
      </c>
      <c r="C5441" s="4" t="n">
        <v>1420.00</v>
      </c>
      <c r="D5441" s="4"/>
    </row>
    <row collapsed="" customFormat="false" customHeight="1" hidden="" ht="14" outlineLevel="0" r="5442">
      <c r="A5442" s="3" t="inlineStr">
        <is>
          <t>5411</t>
        </is>
      </c>
      <c r="B5442" s="4" t="s">
        <f>=HYPERLINK("http://anyluxury.ru/shop/odezhda/detskaya-odezhda/dozhdevik-rainman-tourist-zheltiy-neon-1408880/" , "14088.80 Дождевик Rainman Tourist, желтый неон, размер L")</f>
      </c>
      <c r="C5442" s="4" t="n">
        <v>1420.00</v>
      </c>
      <c r="D5442" s="4"/>
    </row>
    <row collapsed="" customFormat="false" customHeight="1" hidden="" ht="14" outlineLevel="0" r="5443">
      <c r="A5443" s="3" t="inlineStr">
        <is>
          <t>5412</t>
        </is>
      </c>
      <c r="B5443" s="4" t="s">
        <f>=HYPERLINK("http://anyluxury.ru/shop/odezhda/detskaya-odezhda/dozhdevik-rainman-tourist-zheltiy-neon-1408880/" , "14088.80 Дождевик Rainman Tourist, желтый неон, размер XL")</f>
      </c>
      <c r="C5443" s="4" t="n">
        <v>1420.00</v>
      </c>
      <c r="D5443" s="4"/>
    </row>
    <row collapsed="" customFormat="false" customHeight="1" hidden="" ht="14" outlineLevel="0" r="5444">
      <c r="A5444" s="3" t="inlineStr">
        <is>
          <t>5413</t>
        </is>
      </c>
      <c r="B5444" s="4" t="s">
        <f>=HYPERLINK("http://anyluxury.ru/shop/odezhda/detskaya-odezhda/dozhdevik-rainman-tourist-zheltiy-neon-1408880/" , "14088.80 Дождевик Rainman Tourist, желтый неон, размер XXL")</f>
      </c>
      <c r="C5444" s="4" t="n">
        <v>1420.00</v>
      </c>
      <c r="D5444" s="4"/>
    </row>
    <row collapsed="" customFormat="false" customHeight="1" hidden="" ht="14" outlineLevel="0" r="5445">
      <c r="A5445" s="3" t="inlineStr">
        <is>
          <t>5414</t>
        </is>
      </c>
      <c r="B5445" s="4" t="s">
        <f>=HYPERLINK("http://anyluxury.ru/shop/odezhda/detskaya-odezhda/dozhdevik-rainman-tourist-zelenoe-yabloko-1408894/" , "14088.94 Дождевик Rainman Tourist, зеленое яблоко, размер XS")</f>
      </c>
      <c r="C5445" s="4" t="n">
        <v>1420.00</v>
      </c>
      <c r="D5445" s="4"/>
    </row>
    <row collapsed="" customFormat="false" customHeight="1" hidden="" ht="14" outlineLevel="0" r="5446">
      <c r="A5446" s="3" t="inlineStr">
        <is>
          <t>5415</t>
        </is>
      </c>
      <c r="B5446" s="4" t="s">
        <f>=HYPERLINK("http://anyluxury.ru/shop/odezhda/detskaya-odezhda/dozhdevik-rainman-tourist-zelenoe-yabloko-1408894/" , "14088.94 Дождевик Rainman Tourist, зеленое яблоко, размер S")</f>
      </c>
      <c r="C5446" s="4" t="n">
        <v>1420.00</v>
      </c>
      <c r="D5446" s="4"/>
    </row>
    <row collapsed="" customFormat="false" customHeight="1" hidden="" ht="14" outlineLevel="0" r="5447">
      <c r="A5447" s="3" t="inlineStr">
        <is>
          <t>5416</t>
        </is>
      </c>
      <c r="B5447" s="4" t="s">
        <f>=HYPERLINK("http://anyluxury.ru/shop/odezhda/detskaya-odezhda/dozhdevik-rainman-tourist-zelenoe-yabloko-1408894/" , "14088.94 Дождевик Rainman Tourist, зеленое яблоко, размер M")</f>
      </c>
      <c r="C5447" s="4" t="n">
        <v>1420.00</v>
      </c>
      <c r="D5447" s="4"/>
    </row>
    <row collapsed="" customFormat="false" customHeight="1" hidden="" ht="14" outlineLevel="0" r="5448">
      <c r="A5448" s="3" t="inlineStr">
        <is>
          <t>5417</t>
        </is>
      </c>
      <c r="B5448" s="4" t="s">
        <f>=HYPERLINK("http://anyluxury.ru/shop/odezhda/detskaya-odezhda/dozhdevik-rainman-tourist-zelenoe-yabloko-1408894/" , "14088.94 Дождевик Rainman Tourist, зеленое яблоко, размер L")</f>
      </c>
      <c r="C5448" s="4" t="n">
        <v>1420.00</v>
      </c>
      <c r="D5448" s="4"/>
    </row>
    <row collapsed="" customFormat="false" customHeight="1" hidden="" ht="14" outlineLevel="0" r="5449">
      <c r="A5449" s="3" t="inlineStr">
        <is>
          <t>5418</t>
        </is>
      </c>
      <c r="B5449" s="4" t="s">
        <f>=HYPERLINK("http://anyluxury.ru/shop/odezhda/detskaya-odezhda/dozhdevik-rainman-tourist-zelenoe-yabloko-1408894/" , "14088.94 Дождевик Rainman Tourist, зеленое яблоко, размер XL")</f>
      </c>
      <c r="C5449" s="4" t="n">
        <v>1420.00</v>
      </c>
      <c r="D5449" s="4"/>
    </row>
    <row collapsed="" customFormat="false" customHeight="1" hidden="" ht="14" outlineLevel="0" r="5450">
      <c r="A5450" s="3" t="inlineStr">
        <is>
          <t>5419</t>
        </is>
      </c>
      <c r="B5450" s="4" t="s">
        <f>=HYPERLINK("http://anyluxury.ru/shop/odezhda/detskaya-odezhda/dozhdevik-rainman-tourist-zelenoe-yabloko-1408894/" , "14088.94 Дождевик Rainman Tourist, зеленое яблоко, размер XXL")</f>
      </c>
      <c r="C5450" s="4" t="n">
        <v>1420.00</v>
      </c>
      <c r="D5450" s="4"/>
    </row>
    <row collapsed="" customFormat="false" customHeight="1" hidden="" ht="14" outlineLevel="0" r="5451">
      <c r="A5451" s="3" t="inlineStr">
        <is>
          <t>5420</t>
        </is>
      </c>
      <c r="B5451" s="4" t="s">
        <f>=HYPERLINK("http://anyluxury.ru/shop/odezhda/detskaya-odezhda/dozhdevik-rainman-tourist-yarkosiniy-1408844/" , "14088.44 Дождевик Rainman Tourist, ярко-синий, размер XS")</f>
      </c>
      <c r="C5451" s="4" t="n">
        <v>1420.00</v>
      </c>
      <c r="D5451" s="4"/>
    </row>
    <row collapsed="" customFormat="false" customHeight="1" hidden="" ht="14" outlineLevel="0" r="5452">
      <c r="A5452" s="3" t="inlineStr">
        <is>
          <t>5421</t>
        </is>
      </c>
      <c r="B5452" s="4" t="s">
        <f>=HYPERLINK("http://anyluxury.ru/shop/odezhda/detskaya-odezhda/dozhdevik-rainman-tourist-yarkosiniy-1408844/" , "14088.44 Дождевик Rainman Tourist, ярко-синий, размер S")</f>
      </c>
      <c r="C5452" s="4" t="n">
        <v>1420.00</v>
      </c>
      <c r="D5452" s="4"/>
    </row>
    <row collapsed="" customFormat="false" customHeight="1" hidden="" ht="14" outlineLevel="0" r="5453">
      <c r="A5453" s="3" t="inlineStr">
        <is>
          <t>5422</t>
        </is>
      </c>
      <c r="B5453" s="4" t="s">
        <f>=HYPERLINK("http://anyluxury.ru/shop/odezhda/detskaya-odezhda/dozhdevik-rainman-tourist-yarkosiniy-1408844/" , "14088.44 Дождевик Rainman Tourist, ярко-синий, размер M")</f>
      </c>
      <c r="C5453" s="4" t="n">
        <v>1420.00</v>
      </c>
      <c r="D5453" s="4"/>
    </row>
    <row collapsed="" customFormat="false" customHeight="1" hidden="" ht="14" outlineLevel="0" r="5454">
      <c r="A5454" s="3" t="inlineStr">
        <is>
          <t>5423</t>
        </is>
      </c>
      <c r="B5454" s="4" t="s">
        <f>=HYPERLINK("http://anyluxury.ru/shop/odezhda/detskaya-odezhda/dozhdevik-rainman-tourist-yarkosiniy-1408844/" , "14088.44 Дождевик Rainman Tourist, ярко-синий, размер L")</f>
      </c>
      <c r="C5454" s="4" t="n">
        <v>1420.00</v>
      </c>
      <c r="D5454" s="4"/>
    </row>
    <row collapsed="" customFormat="false" customHeight="1" hidden="" ht="14" outlineLevel="0" r="5455">
      <c r="A5455" s="3" t="inlineStr">
        <is>
          <t>5424</t>
        </is>
      </c>
      <c r="B5455" s="4" t="s">
        <f>=HYPERLINK("http://anyluxury.ru/shop/odezhda/detskaya-odezhda/dozhdevik-rainman-tourist-yarkosiniy-1408844/" , "14088.44 Дождевик Rainman Tourist, ярко-синий, размер XL")</f>
      </c>
      <c r="C5455" s="4" t="n">
        <v>1420.00</v>
      </c>
      <c r="D5455" s="4"/>
    </row>
    <row collapsed="" customFormat="false" customHeight="1" hidden="" ht="14" outlineLevel="0" r="5456">
      <c r="A5456" s="3" t="inlineStr">
        <is>
          <t>5425</t>
        </is>
      </c>
      <c r="B5456" s="4" t="s">
        <f>=HYPERLINK("http://anyluxury.ru/shop/odezhda/detskaya-odezhda/dozhdevik-rainman-tourist-yarkosiniy-1408844/" , "14088.44 Дождевик Rainman Tourist, ярко-синий, размер XXL")</f>
      </c>
      <c r="C5456" s="4" t="n">
        <v>1420.00</v>
      </c>
      <c r="D5456" s="4"/>
    </row>
    <row collapsed="" customFormat="false" customHeight="1" hidden="" ht="14" outlineLevel="0" r="5457">
      <c r="A5457" s="3" t="inlineStr">
        <is>
          <t>5426</t>
        </is>
      </c>
      <c r="B5457" s="4" t="s">
        <f>=HYPERLINK("http://anyluxury.ru/shop/odezhda/detskaya-odezhda/dozhdevik-rainman-tourist-cherniy-1408830/" , "14088.30 Дождевик Rainman Tourist, черный, размер XS")</f>
      </c>
      <c r="C5457" s="4" t="n">
        <v>1420.00</v>
      </c>
      <c r="D5457" s="4"/>
    </row>
    <row collapsed="" customFormat="false" customHeight="1" hidden="" ht="14" outlineLevel="0" r="5458">
      <c r="A5458" s="3" t="inlineStr">
        <is>
          <t>5427</t>
        </is>
      </c>
      <c r="B5458" s="4" t="s">
        <f>=HYPERLINK("http://anyluxury.ru/shop/odezhda/detskaya-odezhda/dozhdevik-rainman-tourist-cherniy-1408830/" , "14088.30 Дождевик Rainman Tourist, черный, размер S")</f>
      </c>
      <c r="C5458" s="4" t="n">
        <v>1420.00</v>
      </c>
      <c r="D5458" s="4"/>
    </row>
    <row collapsed="" customFormat="false" customHeight="1" hidden="" ht="14" outlineLevel="0" r="5459">
      <c r="A5459" s="3" t="inlineStr">
        <is>
          <t>5428</t>
        </is>
      </c>
      <c r="B5459" s="4" t="s">
        <f>=HYPERLINK("http://anyluxury.ru/shop/odezhda/detskaya-odezhda/dozhdevik-rainman-tourist-cherniy-1408830/" , "14088.30 Дождевик Rainman Tourist, черный, размер M")</f>
      </c>
      <c r="C5459" s="4" t="n">
        <v>1420.00</v>
      </c>
      <c r="D5459" s="4"/>
    </row>
    <row collapsed="" customFormat="false" customHeight="1" hidden="" ht="14" outlineLevel="0" r="5460">
      <c r="A5460" s="3" t="inlineStr">
        <is>
          <t>5429</t>
        </is>
      </c>
      <c r="B5460" s="4" t="s">
        <f>=HYPERLINK("http://anyluxury.ru/shop/odezhda/detskaya-odezhda/dozhdevik-rainman-tourist-cherniy-1408830/" , "14088.30 Дождевик Rainman Tourist, черный, размер L")</f>
      </c>
      <c r="C5460" s="4" t="n">
        <v>1420.00</v>
      </c>
      <c r="D5460" s="4"/>
    </row>
    <row collapsed="" customFormat="false" customHeight="1" hidden="" ht="14" outlineLevel="0" r="5461">
      <c r="A5461" s="3" t="inlineStr">
        <is>
          <t>5430</t>
        </is>
      </c>
      <c r="B5461" s="4" t="s">
        <f>=HYPERLINK("http://anyluxury.ru/shop/odezhda/detskaya-odezhda/dozhdevik-rainman-tourist-cherniy-1408830/" , "14088.30 Дождевик Rainman Tourist, черный, размер XL")</f>
      </c>
      <c r="C5461" s="4" t="n">
        <v>1420.00</v>
      </c>
      <c r="D5461" s="4"/>
    </row>
    <row collapsed="" customFormat="false" customHeight="1" hidden="" ht="14" outlineLevel="0" r="5462">
      <c r="A5462" s="3" t="inlineStr">
        <is>
          <t>5431</t>
        </is>
      </c>
      <c r="B5462" s="4" t="s">
        <f>=HYPERLINK("http://anyluxury.ru/shop/odezhda/detskaya-odezhda/dozhdevik-rainman-tourist-cherniy-1408830/" , "14088.30 Дождевик Rainman Tourist, черный, размер XXL")</f>
      </c>
      <c r="C5462" s="4" t="n">
        <v>1420.00</v>
      </c>
      <c r="D5462" s="4"/>
    </row>
    <row collapsed="" customFormat="false" customHeight="1" hidden="" ht="14" outlineLevel="0" r="5463">
      <c r="A5463" s="3" t="inlineStr">
        <is>
          <t>5432</t>
        </is>
      </c>
      <c r="B5463" s="4" t="s">
        <f>=HYPERLINK("http://anyluxury.ru/shop/odezhda/detskaya-odezhda/dozhdevik-rainman-tourist-oranzheviy-neon-1408820/" , "14088.20 Дождевик Rainman Tourist, оранжевый неон, размер XS")</f>
      </c>
      <c r="C5463" s="4" t="n">
        <v>1420.00</v>
      </c>
      <c r="D5463" s="4"/>
    </row>
    <row collapsed="" customFormat="false" customHeight="1" hidden="" ht="14" outlineLevel="0" r="5464">
      <c r="A5464" s="3" t="inlineStr">
        <is>
          <t>5433</t>
        </is>
      </c>
      <c r="B5464" s="4" t="s">
        <f>=HYPERLINK("http://anyluxury.ru/shop/odezhda/detskaya-odezhda/dozhdevik-rainman-tourist-oranzheviy-neon-1408820/" , "14088.20 Дождевик Rainman Tourist, оранжевый неон, размер S")</f>
      </c>
      <c r="C5464" s="4" t="n">
        <v>1420.00</v>
      </c>
      <c r="D5464" s="4"/>
    </row>
    <row collapsed="" customFormat="false" customHeight="1" hidden="" ht="14" outlineLevel="0" r="5465">
      <c r="A5465" s="3" t="inlineStr">
        <is>
          <t>5434</t>
        </is>
      </c>
      <c r="B5465" s="4" t="s">
        <f>=HYPERLINK("http://anyluxury.ru/shop/odezhda/detskaya-odezhda/dozhdevik-rainman-tourist-oranzheviy-neon-1408820/" , "14088.20 Дождевик Rainman Tourist, оранжевый неон, размер M")</f>
      </c>
      <c r="C5465" s="4" t="n">
        <v>1420.00</v>
      </c>
      <c r="D5465" s="4"/>
    </row>
    <row collapsed="" customFormat="false" customHeight="1" hidden="" ht="14" outlineLevel="0" r="5466">
      <c r="A5466" s="3" t="inlineStr">
        <is>
          <t>5435</t>
        </is>
      </c>
      <c r="B5466" s="4" t="s">
        <f>=HYPERLINK("http://anyluxury.ru/shop/odezhda/detskaya-odezhda/dozhdevik-rainman-tourist-oranzheviy-neon-1408820/" , "14088.20 Дождевик Rainman Tourist, оранжевый неон, размер L")</f>
      </c>
      <c r="C5466" s="4" t="n">
        <v>1420.00</v>
      </c>
      <c r="D5466" s="4"/>
    </row>
    <row collapsed="" customFormat="false" customHeight="1" hidden="" ht="14" outlineLevel="0" r="5467">
      <c r="A5467" s="3" t="inlineStr">
        <is>
          <t>5436</t>
        </is>
      </c>
      <c r="B5467" s="4" t="s">
        <f>=HYPERLINK("http://anyluxury.ru/shop/odezhda/detskaya-odezhda/dozhdevik-rainman-tourist-oranzheviy-neon-1408820/" , "14088.20 Дождевик Rainman Tourist, оранжевый неон, размер XL")</f>
      </c>
      <c r="C5467" s="4" t="n">
        <v>1420.00</v>
      </c>
      <c r="D5467" s="4"/>
    </row>
    <row collapsed="" customFormat="false" customHeight="1" hidden="" ht="14" outlineLevel="0" r="5468">
      <c r="A5468" s="3" t="inlineStr">
        <is>
          <t>5437</t>
        </is>
      </c>
      <c r="B5468" s="4" t="s">
        <f>=HYPERLINK("http://anyluxury.ru/shop/odezhda/detskaya-odezhda/dozhdevik-rainman-tourist-oranzheviy-neon-1408820/" , "14088.20 Дождевик Rainman Tourist, оранжевый неон, размер XXL")</f>
      </c>
      <c r="C5468" s="4" t="n">
        <v>1420.00</v>
      </c>
      <c r="D5468" s="4"/>
    </row>
    <row collapsed="" customFormat="false" customHeight="1" hidden="" ht="14" outlineLevel="0" r="5469">
      <c r="A5469" s="3" t="inlineStr">
        <is>
          <t>5438</t>
        </is>
      </c>
      <c r="B5469" s="4" t="s">
        <f>=HYPERLINK("http://anyluxury.ru/shop/odezhda/detskaya-odezhda/dozhdevik-rainman-zip-pro-zheltiy-1410781/" , "14107.81 Дождевик Rainman Zip Pro желтый, размер S")</f>
      </c>
      <c r="C5469" s="4" t="n">
        <v>1620.00</v>
      </c>
      <c r="D5469" s="4"/>
    </row>
    <row collapsed="" customFormat="false" customHeight="1" hidden="" ht="14" outlineLevel="0" r="5470">
      <c r="A5470" s="3" t="inlineStr">
        <is>
          <t>5439</t>
        </is>
      </c>
      <c r="B5470" s="4" t="s">
        <f>=HYPERLINK("http://anyluxury.ru/shop/odezhda/detskaya-odezhda/dozhdevik-rainman-zip-pro-zheltiy-1410781/" , "14107.81 Дождевик Rainman Zip Pro желтый, размер M")</f>
      </c>
      <c r="C5470" s="4" t="n">
        <v>1620.00</v>
      </c>
      <c r="D5470" s="4"/>
    </row>
    <row collapsed="" customFormat="false" customHeight="1" hidden="" ht="14" outlineLevel="0" r="5471">
      <c r="A5471" s="3" t="inlineStr">
        <is>
          <t>5440</t>
        </is>
      </c>
      <c r="B5471" s="4" t="s">
        <f>=HYPERLINK("http://anyluxury.ru/shop/odezhda/detskaya-odezhda/dozhdevik-rainman-zip-pro-zheltiy-1410781/" , "14107.81 Дождевик Rainman Zip Pro желтый, размер L")</f>
      </c>
      <c r="C5471" s="4" t="n">
        <v>1620.00</v>
      </c>
      <c r="D5471" s="4"/>
    </row>
    <row collapsed="" customFormat="false" customHeight="1" hidden="" ht="14" outlineLevel="0" r="5472">
      <c r="A5472" s="3" t="inlineStr">
        <is>
          <t>5441</t>
        </is>
      </c>
      <c r="B5472" s="4" t="s">
        <f>=HYPERLINK("http://anyluxury.ru/shop/odezhda/detskaya-odezhda/dozhdevik-rainman-zip-pro-zheltiy-1410781/" , "14107.81 Дождевик Rainman Zip Pro желтый, размер XL")</f>
      </c>
      <c r="C5472" s="4" t="n">
        <v>1620.00</v>
      </c>
      <c r="D5472" s="4"/>
    </row>
    <row collapsed="" customFormat="false" customHeight="1" hidden="" ht="14" outlineLevel="0" r="5473">
      <c r="A5473" s="3" t="inlineStr">
        <is>
          <t>5442</t>
        </is>
      </c>
      <c r="B5473" s="4" t="s">
        <f>=HYPERLINK("http://anyluxury.ru/shop/odezhda/detskaya-odezhda/dozhdevik-rainman-zip-pro-zheltiy-1410781/" , "14107.81 Дождевик Rainman Zip Pro желтый, размер XXL")</f>
      </c>
      <c r="C5473" s="4" t="n">
        <v>1620.00</v>
      </c>
      <c r="D5473" s="4"/>
    </row>
    <row collapsed="" customFormat="false" customHeight="1" hidden="" ht="14" outlineLevel="0" r="5474">
      <c r="A5474" s="3" t="inlineStr">
        <is>
          <t>5443</t>
        </is>
      </c>
      <c r="B5474" s="4" t="s">
        <f>=HYPERLINK("http://anyluxury.ru/shop/odezhda/detskaya-odezhda/dozhdevik-rainman-zip-pro-zelenoe-yabloko-1410794/" , "14107.94 Дождевик Rainman Zip Pro зеленое яблоко, размер S")</f>
      </c>
      <c r="C5474" s="4" t="n">
        <v>1620.00</v>
      </c>
      <c r="D5474" s="4"/>
    </row>
    <row collapsed="" customFormat="false" customHeight="1" hidden="" ht="14" outlineLevel="0" r="5475">
      <c r="A5475" s="3" t="inlineStr">
        <is>
          <t>5444</t>
        </is>
      </c>
      <c r="B5475" s="4" t="s">
        <f>=HYPERLINK("http://anyluxury.ru/shop/odezhda/detskaya-odezhda/dozhdevik-rainman-zip-pro-zelenoe-yabloko-1410794/" , "14107.94 Дождевик Rainman Zip Pro зеленое яблоко, размер M")</f>
      </c>
      <c r="C5475" s="4" t="n">
        <v>1620.00</v>
      </c>
      <c r="D5475" s="4"/>
    </row>
    <row collapsed="" customFormat="false" customHeight="1" hidden="" ht="14" outlineLevel="0" r="5476">
      <c r="A5476" s="3" t="inlineStr">
        <is>
          <t>5445</t>
        </is>
      </c>
      <c r="B5476" s="4" t="s">
        <f>=HYPERLINK("http://anyluxury.ru/shop/odezhda/detskaya-odezhda/dozhdevik-rainman-zip-pro-zelenoe-yabloko-1410794/" , "14107.94 Дождевик Rainman Zip Pro зеленое яблоко, размер L")</f>
      </c>
      <c r="C5476" s="4" t="n">
        <v>1620.00</v>
      </c>
      <c r="D5476" s="4"/>
    </row>
    <row collapsed="" customFormat="false" customHeight="1" hidden="" ht="14" outlineLevel="0" r="5477">
      <c r="A5477" s="3" t="inlineStr">
        <is>
          <t>5446</t>
        </is>
      </c>
      <c r="B5477" s="4" t="s">
        <f>=HYPERLINK("http://anyluxury.ru/shop/odezhda/detskaya-odezhda/dozhdevik-rainman-zip-pro-zelenoe-yabloko-1410794/" , "14107.94 Дождевик Rainman Zip Pro зеленое яблоко, размер XL")</f>
      </c>
      <c r="C5477" s="4" t="n">
        <v>1620.00</v>
      </c>
      <c r="D5477" s="4"/>
    </row>
    <row collapsed="" customFormat="false" customHeight="1" hidden="" ht="14" outlineLevel="0" r="5478">
      <c r="A5478" s="3" t="inlineStr">
        <is>
          <t>5447</t>
        </is>
      </c>
      <c r="B5478" s="4" t="s">
        <f>=HYPERLINK("http://anyluxury.ru/shop/odezhda/detskaya-odezhda/dozhdevik-rainman-zip-pro-zelenoe-yabloko-1410794/" , "14107.94 Дождевик Rainman Zip Pro зеленое яблоко, размер XXL")</f>
      </c>
      <c r="C5478" s="4" t="n">
        <v>1620.00</v>
      </c>
      <c r="D5478" s="4"/>
    </row>
    <row collapsed="" customFormat="false" customHeight="1" hidden="" ht="14" outlineLevel="0" r="5479">
      <c r="A5479" s="3" t="inlineStr">
        <is>
          <t>5448</t>
        </is>
      </c>
      <c r="B5479" s="4" t="s">
        <f>=HYPERLINK("http://anyluxury.ru/shop/odezhda/detskaya-odezhda/dozhdevik-rainman-zip-pro-oranzheviy-neon-1410720/" , "14107.20 Дождевик Rainman Zip Pro оранжевый неон, размер S")</f>
      </c>
      <c r="C5479" s="4" t="n">
        <v>1920.00</v>
      </c>
      <c r="D5479" s="4"/>
    </row>
    <row collapsed="" customFormat="false" customHeight="1" hidden="" ht="14" outlineLevel="0" r="5480">
      <c r="A5480" s="3" t="inlineStr">
        <is>
          <t>5449</t>
        </is>
      </c>
      <c r="B5480" s="4" t="s">
        <f>=HYPERLINK("http://anyluxury.ru/shop/odezhda/detskaya-odezhda/dozhdevik-rainman-zip-pro-oranzheviy-neon-1410720/" , "14107.20 Дождевик Rainman Zip Pro оранжевый неон, размер M")</f>
      </c>
      <c r="C5480" s="4" t="n">
        <v>1920.00</v>
      </c>
      <c r="D5480" s="4"/>
    </row>
    <row collapsed="" customFormat="false" customHeight="1" hidden="" ht="14" outlineLevel="0" r="5481">
      <c r="A5481" s="3" t="inlineStr">
        <is>
          <t>5450</t>
        </is>
      </c>
      <c r="B5481" s="4" t="s">
        <f>=HYPERLINK("http://anyluxury.ru/shop/odezhda/detskaya-odezhda/dozhdevik-rainman-zip-pro-oranzheviy-neon-1410720/" , "14107.20 Дождевик Rainman Zip Pro оранжевый неон, размер L")</f>
      </c>
      <c r="C5481" s="4" t="n">
        <v>1920.00</v>
      </c>
      <c r="D5481" s="4"/>
    </row>
    <row collapsed="" customFormat="false" customHeight="1" hidden="" ht="14" outlineLevel="0" r="5482">
      <c r="A5482" s="3" t="inlineStr">
        <is>
          <t>5451</t>
        </is>
      </c>
      <c r="B5482" s="4" t="s">
        <f>=HYPERLINK("http://anyluxury.ru/shop/odezhda/detskaya-odezhda/dozhdevik-rainman-zip-pro-oranzheviy-neon-1410720/" , "14107.20 Дождевик Rainman Zip Pro оранжевый неон, размер XL")</f>
      </c>
      <c r="C5482" s="4" t="n">
        <v>1920.00</v>
      </c>
      <c r="D5482" s="4"/>
    </row>
    <row collapsed="" customFormat="false" customHeight="1" hidden="" ht="14" outlineLevel="0" r="5483">
      <c r="A5483" s="3" t="inlineStr">
        <is>
          <t>5452</t>
        </is>
      </c>
      <c r="B5483" s="4" t="s">
        <f>=HYPERLINK("http://anyluxury.ru/shop/odezhda/detskaya-odezhda/dozhdevik-rainman-zip-pro-oranzheviy-neon-1410720/" , "14107.20 Дождевик Rainman Zip Pro оранжевый неон, размер XXL")</f>
      </c>
      <c r="C5483" s="4" t="n">
        <v>1920.00</v>
      </c>
      <c r="D5483" s="4"/>
    </row>
    <row collapsed="" customFormat="false" customHeight="1" hidden="" ht="14" outlineLevel="0" r="5484">
      <c r="A5484" s="3" t="inlineStr">
        <is>
          <t>5453</t>
        </is>
      </c>
      <c r="B5484" s="4" t="s">
        <f>=HYPERLINK("http://anyluxury.ru/shop/odezhda/detskaya-odezhda/dozhdevik-rainman-zip-pro-zheltiy-neon-1410780/" , "14107.80 Дождевик Rainman Zip Pro желтый неон, размер S")</f>
      </c>
      <c r="C5484" s="4" t="n">
        <v>1620.00</v>
      </c>
      <c r="D5484" s="4"/>
    </row>
    <row collapsed="" customFormat="false" customHeight="1" hidden="" ht="14" outlineLevel="0" r="5485">
      <c r="A5485" s="3" t="inlineStr">
        <is>
          <t>5454</t>
        </is>
      </c>
      <c r="B5485" s="4" t="s">
        <f>=HYPERLINK("http://anyluxury.ru/shop/odezhda/detskaya-odezhda/dozhdevik-rainman-zip-pro-zheltiy-neon-1410780/" , "14107.80 Дождевик Rainman Zip Pro желтый неон, размер M")</f>
      </c>
      <c r="C5485" s="4" t="n">
        <v>1620.00</v>
      </c>
      <c r="D5485" s="4"/>
    </row>
    <row collapsed="" customFormat="false" customHeight="1" hidden="" ht="14" outlineLevel="0" r="5486">
      <c r="A5486" s="3" t="inlineStr">
        <is>
          <t>5455</t>
        </is>
      </c>
      <c r="B5486" s="4" t="s">
        <f>=HYPERLINK("http://anyluxury.ru/shop/odezhda/detskaya-odezhda/dozhdevik-rainman-zip-pro-zheltiy-neon-1410780/" , "14107.80 Дождевик Rainman Zip Pro желтый неон, размер L")</f>
      </c>
      <c r="C5486" s="4" t="n">
        <v>1620.00</v>
      </c>
      <c r="D5486" s="4"/>
    </row>
    <row collapsed="" customFormat="false" customHeight="1" hidden="" ht="14" outlineLevel="0" r="5487">
      <c r="A5487" s="3" t="inlineStr">
        <is>
          <t>5456</t>
        </is>
      </c>
      <c r="B5487" s="4" t="s">
        <f>=HYPERLINK("http://anyluxury.ru/shop/odezhda/detskaya-odezhda/dozhdevik-rainman-zip-pro-zheltiy-neon-1410780/" , "14107.80 Дождевик Rainman Zip Pro желтый неон, размер XL")</f>
      </c>
      <c r="C5487" s="4" t="n">
        <v>1620.00</v>
      </c>
      <c r="D5487" s="4"/>
    </row>
    <row collapsed="" customFormat="false" customHeight="1" hidden="" ht="14" outlineLevel="0" r="5488">
      <c r="A5488" s="3" t="inlineStr">
        <is>
          <t>5457</t>
        </is>
      </c>
      <c r="B5488" s="4" t="s">
        <f>=HYPERLINK("http://anyluxury.ru/shop/odezhda/detskaya-odezhda/dozhdevik-rainman-zip-pro-zheltiy-neon-1410780/" , "14107.80 Дождевик Rainman Zip Pro желтый неон, размер XXL")</f>
      </c>
      <c r="C5488" s="4" t="n">
        <v>1620.00</v>
      </c>
      <c r="D5488" s="4"/>
    </row>
    <row collapsed="" customFormat="false" customHeight="1" hidden="" ht="14" outlineLevel="0" r="5489">
      <c r="A5489" s="3" t="inlineStr">
        <is>
          <t>5458</t>
        </is>
      </c>
      <c r="B5489" s="4" t="s">
        <f>=HYPERLINK("http://anyluxury.ru/shop/odezhda/detskaya-odezhda/dozhdevikanorak-alatau-beliy-1411160/" , "14111.60 Дождевик-анорак Alatau, белый")</f>
      </c>
      <c r="C5489" s="4" t="n">
        <v>1190.00</v>
      </c>
      <c r="D5489" s="4"/>
    </row>
    <row collapsed="" customFormat="false" customHeight="1" hidden="" ht="14" outlineLevel="0" r="5490">
      <c r="A5490" s="3" t="inlineStr">
        <is>
          <t>5459</t>
        </is>
      </c>
      <c r="B5490" s="4" t="s">
        <f>=HYPERLINK("http://anyluxury.ru/shop/odezhda/detskaya-odezhda/futbolka-s-dlinnim-rukavom-lehta-chernaya-1421530/" , "14215.30 Футболка с длинным рукавом Lehta, черная, размер S")</f>
      </c>
      <c r="C5490" s="4" t="n">
        <v>800.00</v>
      </c>
      <c r="D5490" s="4"/>
    </row>
    <row collapsed="" customFormat="false" customHeight="1" hidden="" ht="14" outlineLevel="0" r="5491">
      <c r="A5491" s="3" t="inlineStr">
        <is>
          <t>5460</t>
        </is>
      </c>
      <c r="B5491" s="4" t="s">
        <f>=HYPERLINK("http://anyluxury.ru/shop/odezhda/detskaya-odezhda/futbolka-s-dlinnim-rukavom-lehta-chernaya-1421530/" , "14215.30 Футболка с длинным рукавом Lehta, черная, размер M")</f>
      </c>
      <c r="C5491" s="4" t="n">
        <v>800.00</v>
      </c>
      <c r="D5491" s="4"/>
    </row>
    <row collapsed="" customFormat="false" customHeight="1" hidden="" ht="14" outlineLevel="0" r="5492">
      <c r="A5492" s="3" t="inlineStr">
        <is>
          <t>5461</t>
        </is>
      </c>
      <c r="B5492" s="4" t="s">
        <f>=HYPERLINK("http://anyluxury.ru/shop/odezhda/detskaya-odezhda/futbolka-s-dlinnim-rukavom-lehta-chernaya-1421530/" , "14215.30 Футболка с длинным рукавом Lehta, черная, размер L")</f>
      </c>
      <c r="C5492" s="4" t="n">
        <v>800.00</v>
      </c>
      <c r="D5492" s="4"/>
    </row>
    <row collapsed="" customFormat="false" customHeight="1" hidden="" ht="14" outlineLevel="0" r="5493">
      <c r="A5493" s="3" t="inlineStr">
        <is>
          <t>5462</t>
        </is>
      </c>
      <c r="B5493" s="4" t="s">
        <f>=HYPERLINK("http://anyluxury.ru/shop/odezhda/detskaya-odezhda/futbolka-s-dlinnim-rukavom-lehta-chernaya-1421530/" , "14215.30 Футболка с длинным рукавом Lehta, черная, размер XL")</f>
      </c>
      <c r="C5493" s="4" t="n">
        <v>800.00</v>
      </c>
      <c r="D5493" s="4"/>
    </row>
    <row collapsed="" customFormat="false" customHeight="1" hidden="" ht="14" outlineLevel="0" r="5494">
      <c r="A5494" s="3" t="inlineStr">
        <is>
          <t>5463</t>
        </is>
      </c>
      <c r="B5494" s="4" t="s">
        <f>=HYPERLINK("http://anyluxury.ru/shop/odezhda/detskaya-odezhda/futbolka-s-dlinnim-rukavom-lehta-chernaya-1421530/" , "14215.30 Футболка с длинным рукавом Lehta, черная, размер 3XL")</f>
      </c>
      <c r="C5494" s="4" t="n">
        <v>800.00</v>
      </c>
      <c r="D5494" s="4"/>
    </row>
    <row collapsed="" customFormat="false" customHeight="1" hidden="" ht="14" outlineLevel="0" r="5495">
      <c r="A5495" s="3" t="inlineStr">
        <is>
          <t>5464</t>
        </is>
      </c>
      <c r="B5495" s="4" t="s">
        <f>=HYPERLINK("http://anyluxury.ru/shop/odezhda/detskaya-odezhda/futbolka-s-dlinnim-rukavom-lehta-belaya-1421560/" , "14215.60 Футболка с длинным рукавом Lehta, белая, размер M")</f>
      </c>
      <c r="C5495" s="4" t="n">
        <v>800.00</v>
      </c>
      <c r="D5495" s="4"/>
    </row>
    <row collapsed="" customFormat="false" customHeight="1" hidden="" ht="14" outlineLevel="0" r="5496">
      <c r="A5496" s="3" t="inlineStr">
        <is>
          <t>5465</t>
        </is>
      </c>
      <c r="B5496" s="4" t="s">
        <f>=HYPERLINK("http://anyluxury.ru/shop/odezhda/detskaya-odezhda/futbolka-s-dlinnim-rukavom-lehta-belaya-1421560/" , "14215.60 Футболка с длинным рукавом Lehta, белая, размер L")</f>
      </c>
      <c r="C5496" s="4" t="n">
        <v>800.00</v>
      </c>
      <c r="D5496" s="4"/>
    </row>
    <row collapsed="" customFormat="false" customHeight="1" hidden="" ht="14" outlineLevel="0" r="5497">
      <c r="A5497" s="3" t="inlineStr">
        <is>
          <t>5466</t>
        </is>
      </c>
      <c r="B5497" s="4" t="s">
        <f>=HYPERLINK("http://anyluxury.ru/shop/odezhda/detskaya-odezhda/futbolka-s-dlinnim-rukavom-lehta-belaya-1421560/" , "14215.60 Футболка с длинным рукавом Lehta, белая, размер XL")</f>
      </c>
      <c r="C5497" s="4" t="n">
        <v>800.00</v>
      </c>
      <c r="D5497" s="4"/>
    </row>
    <row collapsed="" customFormat="false" customHeight="1" hidden="" ht="14" outlineLevel="0" r="5498">
      <c r="A5498" s="3" t="inlineStr">
        <is>
          <t>5467</t>
        </is>
      </c>
      <c r="B5498" s="4" t="s">
        <f>=HYPERLINK("http://anyluxury.ru/shop/odezhda/detskaya-odezhda/futbolka-s-dlinnim-rukavom-lehta-belaya-1421560/" , "14215.60 Футболка с длинным рукавом Lehta, белая, размер XXL")</f>
      </c>
      <c r="C5498" s="4" t="n">
        <v>800.00</v>
      </c>
      <c r="D5498" s="4"/>
    </row>
    <row collapsed="" customFormat="false" customHeight="1" hidden="" ht="14" outlineLevel="0" r="5499">
      <c r="A5499" s="3" t="inlineStr">
        <is>
          <t>5468</t>
        </is>
      </c>
      <c r="B5499" s="4" t="s">
        <f>=HYPERLINK("http://anyluxury.ru/shop/odezhda/detskaya-odezhda/futbolka-s-dlinnim-rukavom-lehta-belaya-1421560/" , "14215.60 Футболка с длинным рукавом Lehta, белая, размер 3XL")</f>
      </c>
      <c r="C5499" s="4" t="n">
        <v>800.00</v>
      </c>
      <c r="D5499" s="4"/>
    </row>
    <row collapsed="" customFormat="false" customHeight="1" hidden="" ht="14" outlineLevel="0" r="5500">
      <c r="A5500" s="3" t="inlineStr">
        <is>
          <t>5469</t>
        </is>
      </c>
      <c r="B5500" s="4" t="s">
        <f>=HYPERLINK("http://anyluxury.ru/shop/odezhda/detskaya-odezhda/hudi-barta-chernoe-1421630/" , "14216.30 Худи Barta, черное, размер S")</f>
      </c>
      <c r="C5500" s="4" t="n">
        <v>2210.00</v>
      </c>
      <c r="D5500" s="4"/>
    </row>
    <row collapsed="" customFormat="false" customHeight="1" hidden="" ht="14" outlineLevel="0" r="5501">
      <c r="A5501" s="3" t="inlineStr">
        <is>
          <t>5470</t>
        </is>
      </c>
      <c r="B5501" s="4" t="s">
        <f>=HYPERLINK("http://anyluxury.ru/shop/odezhda/detskaya-odezhda/hudi-barta-chernoe-1421630/" , "14216.30 Худи Barta, черное, размер M")</f>
      </c>
      <c r="C5501" s="4" t="n">
        <v>2210.00</v>
      </c>
      <c r="D5501" s="4"/>
    </row>
    <row collapsed="" customFormat="false" customHeight="1" hidden="" ht="14" outlineLevel="0" r="5502">
      <c r="A5502" s="3" t="inlineStr">
        <is>
          <t>5471</t>
        </is>
      </c>
      <c r="B5502" s="4" t="s">
        <f>=HYPERLINK("http://anyluxury.ru/shop/odezhda/detskaya-odezhda/hudi-barta-chernoe-1421630/" , "14216.30 Худи Barta, черное, размер L")</f>
      </c>
      <c r="C5502" s="4" t="n">
        <v>2210.00</v>
      </c>
      <c r="D5502" s="4"/>
    </row>
    <row collapsed="" customFormat="false" customHeight="1" hidden="" ht="14" outlineLevel="0" r="5503">
      <c r="A5503" s="3" t="inlineStr">
        <is>
          <t>5472</t>
        </is>
      </c>
      <c r="B5503" s="4" t="s">
        <f>=HYPERLINK("http://anyluxury.ru/shop/odezhda/detskaya-odezhda/hudi-barta-chernoe-1421630/" , "14216.30 Худи Barta, черное, размер XL")</f>
      </c>
      <c r="C5503" s="4" t="n">
        <v>2210.00</v>
      </c>
      <c r="D5503" s="4"/>
    </row>
    <row collapsed="" customFormat="false" customHeight="1" hidden="" ht="14" outlineLevel="0" r="5504">
      <c r="A5504" s="3" t="inlineStr">
        <is>
          <t>5473</t>
        </is>
      </c>
      <c r="B5504" s="4" t="s">
        <f>=HYPERLINK("http://anyluxury.ru/shop/odezhda/detskaya-odezhda/hudi-barta-chernoe-1421630/" , "14216.30 Худи Barta, черное, размер XXL")</f>
      </c>
      <c r="C5504" s="4" t="n">
        <v>2210.00</v>
      </c>
      <c r="D5504" s="4"/>
    </row>
    <row collapsed="" customFormat="false" customHeight="1" hidden="" ht="14" outlineLevel="0" r="5505">
      <c r="A5505" s="3" t="inlineStr">
        <is>
          <t>5474</t>
        </is>
      </c>
      <c r="B5505" s="4" t="s">
        <f>=HYPERLINK("http://anyluxury.ru/shop/odezhda/detskaya-odezhda/hudi-barta-chernoe-1421630/" , "14216.30 Худи Barta, черное, размер 3XL")</f>
      </c>
      <c r="C5505" s="4" t="n">
        <v>2210.00</v>
      </c>
      <c r="D5505" s="4"/>
    </row>
    <row collapsed="" customFormat="false" customHeight="1" hidden="" ht="14" outlineLevel="0" r="5506">
      <c r="A5506" s="3" t="inlineStr">
        <is>
          <t>5475</t>
        </is>
      </c>
      <c r="B5506" s="4" t="s">
        <f>=HYPERLINK("http://anyluxury.ru/shop/odezhda/detskaya-odezhda/hudi-barta-beloe-1421660/" , "14216.60 Худи Barta, белое, размер S")</f>
      </c>
      <c r="C5506" s="4" t="n">
        <v>2210.00</v>
      </c>
      <c r="D5506" s="4"/>
    </row>
    <row collapsed="" customFormat="false" customHeight="1" hidden="" ht="14" outlineLevel="0" r="5507">
      <c r="A5507" s="3" t="inlineStr">
        <is>
          <t>5476</t>
        </is>
      </c>
      <c r="B5507" s="4" t="s">
        <f>=HYPERLINK("http://anyluxury.ru/shop/odezhda/detskaya-odezhda/hudi-barta-beloe-1421660/" , "14216.60 Худи Barta, белое, размер M")</f>
      </c>
      <c r="C5507" s="4" t="n">
        <v>2210.00</v>
      </c>
      <c r="D5507" s="4"/>
    </row>
    <row collapsed="" customFormat="false" customHeight="1" hidden="" ht="14" outlineLevel="0" r="5508">
      <c r="A5508" s="3" t="inlineStr">
        <is>
          <t>5477</t>
        </is>
      </c>
      <c r="B5508" s="4" t="s">
        <f>=HYPERLINK("http://anyluxury.ru/shop/odezhda/detskaya-odezhda/hudi-barta-beloe-1421660/" , "14216.60 Худи Barta, белое, размер L")</f>
      </c>
      <c r="C5508" s="4" t="n">
        <v>2210.00</v>
      </c>
      <c r="D5508" s="4"/>
    </row>
    <row collapsed="" customFormat="false" customHeight="1" hidden="" ht="14" outlineLevel="0" r="5509">
      <c r="A5509" s="3" t="inlineStr">
        <is>
          <t>5478</t>
        </is>
      </c>
      <c r="B5509" s="4" t="s">
        <f>=HYPERLINK("http://anyluxury.ru/shop/odezhda/detskaya-odezhda/hudi-barta-beloe-1421660/" , "14216.60 Худи Barta, белое, размер XL")</f>
      </c>
      <c r="C5509" s="4" t="n">
        <v>2210.00</v>
      </c>
      <c r="D5509" s="4"/>
    </row>
    <row collapsed="" customFormat="false" customHeight="1" hidden="" ht="14" outlineLevel="0" r="5510">
      <c r="A5510" s="3" t="inlineStr">
        <is>
          <t>5479</t>
        </is>
      </c>
      <c r="B5510" s="4" t="s">
        <f>=HYPERLINK("http://anyluxury.ru/shop/odezhda/detskaya-odezhda/hudi-barta-beloe-1421660/" , "14216.60 Худи Barta, белое, размер XXL")</f>
      </c>
      <c r="C5510" s="4" t="n">
        <v>2210.00</v>
      </c>
      <c r="D5510" s="4"/>
    </row>
    <row collapsed="" customFormat="false" customHeight="1" hidden="" ht="14" outlineLevel="0" r="5511">
      <c r="A5511" s="3" t="inlineStr">
        <is>
          <t>5480</t>
        </is>
      </c>
      <c r="B5511" s="4" t="s">
        <f>=HYPERLINK("http://anyluxury.ru/shop/odezhda/detskaya-odezhda/hudi-barta-beloe-1421660/" , "14216.60 Худи Barta, белое, размер 3XL")</f>
      </c>
      <c r="C5511" s="4" t="n">
        <v>2210.00</v>
      </c>
      <c r="D5511" s="4"/>
    </row>
    <row collapsed="" customFormat="false" customHeight="1" hidden="" ht="14" outlineLevel="0" r="5512">
      <c r="A5512" s="3" t="inlineStr">
        <is>
          <t>5481</t>
        </is>
      </c>
      <c r="B5512" s="4" t="s">
        <f>=HYPERLINK("http://anyluxury.ru/shop/odezhda/detskaya-odezhda/hudi-barta-temnosinee-1421640/" , "14216.40 Худи Barta, темно-синее, размер L")</f>
      </c>
      <c r="C5512" s="4" t="n">
        <v>2210.00</v>
      </c>
      <c r="D5512" s="4"/>
    </row>
    <row collapsed="" customFormat="false" customHeight="1" hidden="" ht="14" outlineLevel="0" r="5513">
      <c r="A5513" s="3" t="inlineStr">
        <is>
          <t>5482</t>
        </is>
      </c>
      <c r="B5513" s="4" t="s">
        <f>=HYPERLINK("http://anyluxury.ru/shop/odezhda/detskaya-odezhda/hudi-barta-temnosinee-1421640/" , "14216.40 Худи Barta, темно-синее, размер XL")</f>
      </c>
      <c r="C5513" s="4" t="n">
        <v>2210.00</v>
      </c>
      <c r="D5513" s="4"/>
    </row>
    <row collapsed="" customFormat="false" customHeight="1" hidden="" ht="14" outlineLevel="0" r="5514">
      <c r="A5514" s="3" t="inlineStr">
        <is>
          <t>5483</t>
        </is>
      </c>
      <c r="B5514" s="4" t="s">
        <f>=HYPERLINK("http://anyluxury.ru/shop/odezhda/detskaya-odezhda/hudi-barta-temnosinee-1421640/" , "14216.40 Худи Barta, темно-синее, размер XXL")</f>
      </c>
      <c r="C5514" s="4" t="n">
        <v>2210.00</v>
      </c>
      <c r="D5514" s="4"/>
    </row>
    <row collapsed="" customFormat="false" customHeight="1" hidden="" ht="14" outlineLevel="0" r="5515">
      <c r="A5515" s="3" t="inlineStr">
        <is>
          <t>5484</t>
        </is>
      </c>
      <c r="B5515" s="4" t="s">
        <f>=HYPERLINK("http://anyluxury.ru/shop/odezhda/detskaya-odezhda/hudi-barta-temnosinee-1421640/" , "14216.40 Худи Barta, темно-синее, размер 3XL")</f>
      </c>
      <c r="C5515" s="4" t="n">
        <v>2210.00</v>
      </c>
      <c r="D5515" s="4"/>
    </row>
    <row collapsed="" customFormat="false" customHeight="1" hidden="" ht="14" outlineLevel="0" r="5516">
      <c r="A5516" s="3" t="inlineStr">
        <is>
          <t>5485</t>
        </is>
      </c>
      <c r="B5516" s="4" t="s">
        <f>=HYPERLINK("http://anyluxury.ru/shop/odezhda/detskaya-odezhda/shevron-vishivnoy-na-zakaz-lambda-s-1418810/" , "14188.10 Шеврон вышивной на заказ Lambda, S")</f>
      </c>
      <c r="C5516" s="4" t="n">
        <v>257.00</v>
      </c>
      <c r="D5516" s="4"/>
    </row>
    <row collapsed="" customFormat="false" customHeight="1" hidden="" ht="14" outlineLevel="0" r="5517">
      <c r="A5517" s="3" t="inlineStr">
        <is>
          <t>5486</t>
        </is>
      </c>
      <c r="B5517" s="4" t="s">
        <f>=HYPERLINK("http://anyluxury.ru/shop/odezhda/detskaya-odezhda/shevron-vishivnoy-na-lipuchke-na-zakaz-zeta-l-1419030/" , "14190.30 Шеврон вышивной на липучке на заказ Zeta, L")</f>
      </c>
      <c r="C5517" s="4" t="n">
        <v>483.00</v>
      </c>
      <c r="D5517" s="4"/>
    </row>
    <row collapsed="" customFormat="false" customHeight="1" hidden="" ht="14" outlineLevel="0" r="5518">
      <c r="A5518" s="3" t="inlineStr">
        <is>
          <t>5487</t>
        </is>
      </c>
      <c r="B5518" s="4" t="s">
        <f>=HYPERLINK("http://anyluxury.ru/shop/odezhda/detskaya-odezhda/shevron-vishivnoy-na-zakaz-lambda-m-1418820/" , "14188.20 Шеврон вышивной на заказ Lambda, M")</f>
      </c>
      <c r="C5518" s="4" t="n">
        <v>316.00</v>
      </c>
      <c r="D5518" s="4"/>
    </row>
    <row collapsed="" customFormat="false" customHeight="1" hidden="" ht="14" outlineLevel="0" r="5519">
      <c r="A5519" s="3" t="inlineStr">
        <is>
          <t>5488</t>
        </is>
      </c>
      <c r="B5519" s="4" t="s">
        <f>=HYPERLINK("http://anyluxury.ru/shop/odezhda/detskaya-odezhda/shevron-vishivnoy-na-lipuchke-na-zakaz-zeta-s-1419010/" , "14190.10 Шеврон вышивной на липучке на заказ Zeta, S")</f>
      </c>
      <c r="C5519" s="4" t="n">
        <v>294.00</v>
      </c>
      <c r="D5519" s="4"/>
    </row>
    <row collapsed="" customFormat="false" customHeight="1" hidden="" ht="14" outlineLevel="0" r="5520">
      <c r="A5520" s="3" t="inlineStr">
        <is>
          <t>5489</t>
        </is>
      </c>
      <c r="B5520" s="4" t="s">
        <f>=HYPERLINK("http://anyluxury.ru/shop/odezhda/detskaya-odezhda/shevron-vishivnoy-na-lipuchke-na-zakaz-zeta-m-1419020/" , "14190.20 Шеврон вышивной на липучке на заказ Zeta, M")</f>
      </c>
      <c r="C5520" s="4" t="n">
        <v>362.00</v>
      </c>
      <c r="D5520" s="4"/>
    </row>
    <row collapsed="" customFormat="false" customHeight="1" hidden="" ht="14" outlineLevel="0" r="5521">
      <c r="A5521" s="3" t="inlineStr">
        <is>
          <t>5490</t>
        </is>
      </c>
      <c r="B5521" s="4" t="s">
        <f>=HYPERLINK("http://anyluxury.ru/shop/odezhda/detskaya-odezhda/shevron-vishivnoy-na-zakaz-lambda-l-1418830/" , "14188.30 Шеврон вышивной на заказ Lambda, L")</f>
      </c>
      <c r="C5521" s="4" t="n">
        <v>430.00</v>
      </c>
      <c r="D5521" s="4"/>
    </row>
    <row collapsed="" customFormat="false" customHeight="1" hidden="" ht="14" outlineLevel="0" r="5522">
      <c r="A5522" s="3" t="inlineStr">
        <is>
          <t>5491</t>
        </is>
      </c>
      <c r="B5522" s="4" t="s">
        <f>=HYPERLINK("http://anyluxury.ru/shop/odezhda/detskaya-odezhda/futbolka-s-dlinnim-rukavom-kosmos-10-seraya-1218110/" , "12181.10 Футболка с длинным рукавом Kosmos, серая, размер S")</f>
      </c>
      <c r="C5522" s="4" t="n">
        <v>1050.00</v>
      </c>
      <c r="D5522" s="4"/>
    </row>
    <row collapsed="" customFormat="false" customHeight="1" hidden="" ht="14" outlineLevel="0" r="5523">
      <c r="A5523" s="3" t="inlineStr">
        <is>
          <t>5492</t>
        </is>
      </c>
      <c r="B5523" s="4" t="s">
        <f>=HYPERLINK("http://anyluxury.ru/shop/odezhda/detskaya-odezhda/kurtka-muzhskaya-factor-men-chernaya-03823312/" , "03823312 Куртка мужская Factor Men, черная, размер S")</f>
      </c>
      <c r="C5523" s="4" t="n">
        <v>3211.00</v>
      </c>
      <c r="D5523" s="4"/>
    </row>
    <row collapsed="" customFormat="false" customHeight="1" hidden="" ht="14" outlineLevel="0" r="5524">
      <c r="A5524" s="3" t="inlineStr">
        <is>
          <t>5493</t>
        </is>
      </c>
      <c r="B5524" s="4" t="s">
        <f>=HYPERLINK("http://anyluxury.ru/shop/odezhda/detskaya-odezhda/kurtka-muzhskaya-factor-men-chernaya-03823312/" , "03823312 Куртка мужская Factor Men, черная, размер M")</f>
      </c>
      <c r="C5524" s="4" t="n">
        <v>3211.00</v>
      </c>
      <c r="D5524" s="4"/>
    </row>
    <row collapsed="" customFormat="false" customHeight="1" hidden="" ht="14" outlineLevel="0" r="5525">
      <c r="A5525" s="3" t="inlineStr">
        <is>
          <t>5494</t>
        </is>
      </c>
      <c r="B5525" s="4" t="s">
        <f>=HYPERLINK("http://anyluxury.ru/shop/odezhda/detskaya-odezhda/kurtka-muzhskaya-factor-men-chernaya-03823312/" , "03823312 Куртка мужская Factor Men, черная, размер L")</f>
      </c>
      <c r="C5525" s="4" t="n">
        <v>3211.00</v>
      </c>
      <c r="D5525" s="4"/>
    </row>
    <row collapsed="" customFormat="false" customHeight="1" hidden="" ht="14" outlineLevel="0" r="5526">
      <c r="A5526" s="3" t="inlineStr">
        <is>
          <t>5495</t>
        </is>
      </c>
      <c r="B5526" s="4" t="s">
        <f>=HYPERLINK("http://anyluxury.ru/shop/odezhda/detskaya-odezhda/kurtka-muzhskaya-factor-men-chernaya-03823312/" , "03823312 Куртка мужская Factor Men, черная, размер XL")</f>
      </c>
      <c r="C5526" s="4" t="n">
        <v>3211.00</v>
      </c>
      <c r="D5526" s="4"/>
    </row>
    <row collapsed="" customFormat="false" customHeight="1" hidden="" ht="14" outlineLevel="0" r="5527">
      <c r="A5527" s="3" t="inlineStr">
        <is>
          <t>5496</t>
        </is>
      </c>
      <c r="B5527" s="4" t="s">
        <f>=HYPERLINK("http://anyluxury.ru/shop/odezhda/detskaya-odezhda/kurtka-muzhskaya-factor-men-chernaya-03823312/" , "03823312 Куртка мужская Factor Men, черная, размер XXL")</f>
      </c>
      <c r="C5527" s="4" t="n">
        <v>3211.00</v>
      </c>
      <c r="D5527" s="4"/>
    </row>
    <row collapsed="" customFormat="false" customHeight="1" hidden="" ht="14" outlineLevel="0" r="5528">
      <c r="A5528" s="3" t="inlineStr">
        <is>
          <t>5497</t>
        </is>
      </c>
      <c r="B5528" s="4" t="s">
        <f>=HYPERLINK("http://anyluxury.ru/shop/odezhda/detskaya-odezhda/kurtka-muzhskaya-factor-men-chernaya-03823312/" , "03823312 Куртка мужская Factor Men, черная, размер 3XL")</f>
      </c>
      <c r="C5528" s="4" t="n">
        <v>3599.00</v>
      </c>
      <c r="D5528" s="4"/>
    </row>
    <row collapsed="" customFormat="false" customHeight="1" hidden="" ht="14" outlineLevel="0" r="5529">
      <c r="A5529" s="3" t="inlineStr">
        <is>
          <t>5498</t>
        </is>
      </c>
      <c r="B5529" s="4" t="s">
        <f>=HYPERLINK("http://anyluxury.ru/shop/odezhda/detskaya-odezhda/kurtka-muzhskaya-factor-men-chernaya-03823312/" , "03823312 Куртка мужская Factor Men, черная, размер 4XL")</f>
      </c>
      <c r="C5529" s="4" t="n">
        <v>3599.00</v>
      </c>
      <c r="D5529" s="4"/>
    </row>
    <row collapsed="" customFormat="false" customHeight="1" hidden="" ht="14" outlineLevel="0" r="5530">
      <c r="A5530" s="3" t="inlineStr">
        <is>
          <t>5499</t>
        </is>
      </c>
      <c r="B5530" s="4" t="s">
        <f>=HYPERLINK("http://anyluxury.ru/shop/odezhda/detskaya-odezhda/kurtka-muzhskaya-factor-men-chernaya-03823312/" , "03823312 Куртка мужская Factor Men, черная, размер 5XL")</f>
      </c>
      <c r="C5530" s="4" t="n">
        <v>3902.00</v>
      </c>
      <c r="D5530" s="4"/>
    </row>
    <row collapsed="" customFormat="false" customHeight="1" hidden="" ht="14" outlineLevel="0" r="5531">
      <c r="A5531" s="3" t="inlineStr">
        <is>
          <t>5500</t>
        </is>
      </c>
      <c r="B5531" s="4" t="s">
        <f>=HYPERLINK("http://anyluxury.ru/shop/odezhda/detskaya-odezhda/kurtka-muzhskaya-factor-men-temnoseraya-03823370/" , "03823370 Куртка мужская Factor Men, темно-серая, размер S")</f>
      </c>
      <c r="C5531" s="4" t="n">
        <v>3211.00</v>
      </c>
      <c r="D5531" s="4"/>
    </row>
    <row collapsed="" customFormat="false" customHeight="1" hidden="" ht="14" outlineLevel="0" r="5532">
      <c r="A5532" s="3" t="inlineStr">
        <is>
          <t>5501</t>
        </is>
      </c>
      <c r="B5532" s="4" t="s">
        <f>=HYPERLINK("http://anyluxury.ru/shop/odezhda/detskaya-odezhda/kurtka-muzhskaya-factor-men-temnoseraya-03823370/" , "03823370 Куртка мужская Factor Men, темно-серая, размер M")</f>
      </c>
      <c r="C5532" s="4" t="n">
        <v>3211.00</v>
      </c>
      <c r="D5532" s="4"/>
    </row>
    <row collapsed="" customFormat="false" customHeight="1" hidden="" ht="14" outlineLevel="0" r="5533">
      <c r="A5533" s="3" t="inlineStr">
        <is>
          <t>5502</t>
        </is>
      </c>
      <c r="B5533" s="4" t="s">
        <f>=HYPERLINK("http://anyluxury.ru/shop/odezhda/detskaya-odezhda/kurtka-muzhskaya-factor-men-temnoseraya-03823370/" , "03823370 Куртка мужская Factor Men, темно-серая, размер L")</f>
      </c>
      <c r="C5533" s="4" t="n">
        <v>3211.00</v>
      </c>
      <c r="D5533" s="4"/>
    </row>
    <row collapsed="" customFormat="false" customHeight="1" hidden="" ht="14" outlineLevel="0" r="5534">
      <c r="A5534" s="3" t="inlineStr">
        <is>
          <t>5503</t>
        </is>
      </c>
      <c r="B5534" s="4" t="s">
        <f>=HYPERLINK("http://anyluxury.ru/shop/odezhda/detskaya-odezhda/kurtka-muzhskaya-factor-men-temnoseraya-03823370/" , "03823370 Куртка мужская Factor Men, темно-серая, размер XL")</f>
      </c>
      <c r="C5534" s="4" t="n">
        <v>3211.00</v>
      </c>
      <c r="D5534" s="4"/>
    </row>
    <row collapsed="" customFormat="false" customHeight="1" hidden="" ht="14" outlineLevel="0" r="5535">
      <c r="A5535" s="3" t="inlineStr">
        <is>
          <t>5504</t>
        </is>
      </c>
      <c r="B5535" s="4" t="s">
        <f>=HYPERLINK("http://anyluxury.ru/shop/odezhda/detskaya-odezhda/kurtka-muzhskaya-factor-men-temnoseraya-03823370/" , "03823370 Куртка мужская Factor Men, темно-серая, размер XXL")</f>
      </c>
      <c r="C5535" s="4" t="n">
        <v>3211.00</v>
      </c>
      <c r="D5535" s="4"/>
    </row>
    <row collapsed="" customFormat="false" customHeight="1" hidden="" ht="14" outlineLevel="0" r="5536">
      <c r="A5536" s="3" t="inlineStr">
        <is>
          <t>5505</t>
        </is>
      </c>
      <c r="B5536" s="4" t="s">
        <f>=HYPERLINK("http://anyluxury.ru/shop/odezhda/detskaya-odezhda/kurtka-muzhskaya-factor-men-temnoseraya-03823370/" , "03823370 Куртка мужская Factor Men, темно-серая, размер 3XL")</f>
      </c>
      <c r="C5536" s="4" t="n">
        <v>3599.00</v>
      </c>
      <c r="D5536" s="4"/>
    </row>
    <row collapsed="" customFormat="false" customHeight="1" hidden="" ht="14" outlineLevel="0" r="5537">
      <c r="A5537" s="3" t="inlineStr">
        <is>
          <t>5506</t>
        </is>
      </c>
      <c r="B5537" s="4" t="s">
        <f>=HYPERLINK("http://anyluxury.ru/shop/odezhda/detskaya-odezhda/kurtka-muzhskaya-factor-men-temnoseraya-03823370/" , "03823370 Куртка мужская Factor Men, темно-серая, размер 4XL")</f>
      </c>
      <c r="C5537" s="4" t="n">
        <v>3599.00</v>
      </c>
      <c r="D5537" s="4"/>
    </row>
    <row collapsed="" customFormat="false" customHeight="1" hidden="" ht="14" outlineLevel="0" r="5538">
      <c r="A5538" s="3" t="inlineStr">
        <is>
          <t>5507</t>
        </is>
      </c>
      <c r="B5538" s="4" t="s">
        <f>=HYPERLINK("http://anyluxury.ru/shop/odezhda/detskaya-odezhda/kurtka-muzhskaya-factor-men-temnoseraya-03823370/" , "03823370 Куртка мужская Factor Men, темно-серая, размер 5XL")</f>
      </c>
      <c r="C5538" s="4" t="n">
        <v>3902.00</v>
      </c>
      <c r="D5538" s="4"/>
    </row>
    <row collapsed="" customFormat="false" customHeight="1" hidden="" ht="14" outlineLevel="0" r="5539">
      <c r="A5539" s="3" t="inlineStr">
        <is>
          <t>5508</t>
        </is>
      </c>
      <c r="B5539" s="4" t="s">
        <f>=HYPERLINK("http://anyluxury.ru/shop/odezhda/detskaya-odezhda/kurtka-muzhskaya-factor-men-temnozelenaya-03823266/" , "03823266 Куртка мужская Factor Men, темно-зеленая, размер S")</f>
      </c>
      <c r="C5539" s="4" t="n">
        <v>3211.00</v>
      </c>
      <c r="D5539" s="4"/>
    </row>
    <row collapsed="" customFormat="false" customHeight="1" hidden="" ht="14" outlineLevel="0" r="5540">
      <c r="A5540" s="3" t="inlineStr">
        <is>
          <t>5509</t>
        </is>
      </c>
      <c r="B5540" s="4" t="s">
        <f>=HYPERLINK("http://anyluxury.ru/shop/odezhda/detskaya-odezhda/kurtka-muzhskaya-factor-men-temnozelenaya-03823266/" , "03823266 Куртка мужская Factor Men, темно-зеленая, размер M")</f>
      </c>
      <c r="C5540" s="4" t="n">
        <v>3211.00</v>
      </c>
      <c r="D5540" s="4"/>
    </row>
    <row collapsed="" customFormat="false" customHeight="1" hidden="" ht="14" outlineLevel="0" r="5541">
      <c r="A5541" s="3" t="inlineStr">
        <is>
          <t>5510</t>
        </is>
      </c>
      <c r="B5541" s="4" t="s">
        <f>=HYPERLINK("http://anyluxury.ru/shop/odezhda/detskaya-odezhda/kurtka-muzhskaya-factor-men-temnozelenaya-03823266/" , "03823266 Куртка мужская Factor Men, темно-зеленая, размер L")</f>
      </c>
      <c r="C5541" s="4" t="n">
        <v>3211.00</v>
      </c>
      <c r="D5541" s="4"/>
    </row>
    <row collapsed="" customFormat="false" customHeight="1" hidden="" ht="14" outlineLevel="0" r="5542">
      <c r="A5542" s="3" t="inlineStr">
        <is>
          <t>5511</t>
        </is>
      </c>
      <c r="B5542" s="4" t="s">
        <f>=HYPERLINK("http://anyluxury.ru/shop/odezhda/detskaya-odezhda/kurtka-muzhskaya-factor-men-temnozelenaya-03823266/" , "03823266 Куртка мужская Factor Men, темно-зеленая, размер XL")</f>
      </c>
      <c r="C5542" s="4" t="n">
        <v>3211.00</v>
      </c>
      <c r="D5542" s="4"/>
    </row>
    <row collapsed="" customFormat="false" customHeight="1" hidden="" ht="14" outlineLevel="0" r="5543">
      <c r="A5543" s="3" t="inlineStr">
        <is>
          <t>5512</t>
        </is>
      </c>
      <c r="B5543" s="4" t="s">
        <f>=HYPERLINK("http://anyluxury.ru/shop/odezhda/detskaya-odezhda/kurtka-muzhskaya-factor-men-temnozelenaya-03823266/" , "03823266 Куртка мужская Factor Men, темно-зеленая, размер XXL")</f>
      </c>
      <c r="C5543" s="4" t="n">
        <v>3211.00</v>
      </c>
      <c r="D5543" s="4"/>
    </row>
    <row collapsed="" customFormat="false" customHeight="1" hidden="" ht="14" outlineLevel="0" r="5544">
      <c r="A5544" s="3" t="inlineStr">
        <is>
          <t>5513</t>
        </is>
      </c>
      <c r="B5544" s="4" t="s">
        <f>=HYPERLINK("http://anyluxury.ru/shop/odezhda/detskaya-odezhda/kurtka-muzhskaya-factor-men-temnozelenaya-03823266/" , "03823266 Куртка мужская Factor Men, темно-зеленая, размер 3XL")</f>
      </c>
      <c r="C5544" s="4" t="n">
        <v>3599.00</v>
      </c>
      <c r="D5544" s="4"/>
    </row>
    <row collapsed="" customFormat="false" customHeight="1" hidden="" ht="14" outlineLevel="0" r="5545">
      <c r="A5545" s="3" t="inlineStr">
        <is>
          <t>5514</t>
        </is>
      </c>
      <c r="B5545" s="4" t="s">
        <f>=HYPERLINK("http://anyluxury.ru/shop/odezhda/detskaya-odezhda/kurtka-muzhskaya-factor-men-temnozelenaya-03823266/" , "03823266 Куртка мужская Factor Men, темно-зеленая, размер 4XL")</f>
      </c>
      <c r="C5545" s="4" t="n">
        <v>3599.00</v>
      </c>
      <c r="D5545" s="4"/>
    </row>
    <row collapsed="" customFormat="false" customHeight="1" hidden="" ht="14" outlineLevel="0" r="5546">
      <c r="A5546" s="3" t="inlineStr">
        <is>
          <t>5515</t>
        </is>
      </c>
      <c r="B5546" s="4" t="s">
        <f>=HYPERLINK("http://anyluxury.ru/shop/odezhda/detskaya-odezhda/kurtka-muzhskaya-factor-men-temnozelenaya-03823266/" , "03823266 Куртка мужская Factor Men, темно-зеленая, размер 5XL")</f>
      </c>
      <c r="C5546" s="4" t="n">
        <v>3902.00</v>
      </c>
      <c r="D5546" s="4"/>
    </row>
    <row collapsed="" customFormat="false" customHeight="1" hidden="" ht="14" outlineLevel="0" r="5547">
      <c r="A5547" s="3" t="inlineStr">
        <is>
          <t>5516</t>
        </is>
      </c>
      <c r="B5547" s="4" t="s">
        <f>=HYPERLINK("http://anyluxury.ru/shop/odezhda/detskaya-odezhda/kurtka-muzhskaya-factor-men-temnosinyaya-03823318/" , "03823318 Куртка мужская Factor Men, темно-синяя, размер S")</f>
      </c>
      <c r="C5547" s="4" t="n">
        <v>3211.00</v>
      </c>
      <c r="D5547" s="4"/>
    </row>
    <row collapsed="" customFormat="false" customHeight="1" hidden="" ht="14" outlineLevel="0" r="5548">
      <c r="A5548" s="3" t="inlineStr">
        <is>
          <t>5517</t>
        </is>
      </c>
      <c r="B5548" s="4" t="s">
        <f>=HYPERLINK("http://anyluxury.ru/shop/odezhda/detskaya-odezhda/kurtka-muzhskaya-factor-men-temnosinyaya-03823318/" , "03823318 Куртка мужская Factor Men, темно-синяя, размер M")</f>
      </c>
      <c r="C5548" s="4" t="n">
        <v>3211.00</v>
      </c>
      <c r="D5548" s="4"/>
    </row>
    <row collapsed="" customFormat="false" customHeight="1" hidden="" ht="14" outlineLevel="0" r="5549">
      <c r="A5549" s="3" t="inlineStr">
        <is>
          <t>5518</t>
        </is>
      </c>
      <c r="B5549" s="4" t="s">
        <f>=HYPERLINK("http://anyluxury.ru/shop/odezhda/detskaya-odezhda/kurtka-muzhskaya-factor-men-temnosinyaya-03823318/" , "03823318 Куртка мужская Factor Men, темно-синяя, размер L")</f>
      </c>
      <c r="C5549" s="4" t="n">
        <v>3211.00</v>
      </c>
      <c r="D5549" s="4"/>
    </row>
    <row collapsed="" customFormat="false" customHeight="1" hidden="" ht="14" outlineLevel="0" r="5550">
      <c r="A5550" s="3" t="inlineStr">
        <is>
          <t>5519</t>
        </is>
      </c>
      <c r="B5550" s="4" t="s">
        <f>=HYPERLINK("http://anyluxury.ru/shop/odezhda/detskaya-odezhda/kurtka-muzhskaya-factor-men-temnosinyaya-03823318/" , "03823318 Куртка мужская Factor Men, темно-синяя, размер XL")</f>
      </c>
      <c r="C5550" s="4" t="n">
        <v>3211.00</v>
      </c>
      <c r="D5550" s="4"/>
    </row>
    <row collapsed="" customFormat="false" customHeight="1" hidden="" ht="14" outlineLevel="0" r="5551">
      <c r="A5551" s="3" t="inlineStr">
        <is>
          <t>5520</t>
        </is>
      </c>
      <c r="B5551" s="4" t="s">
        <f>=HYPERLINK("http://anyluxury.ru/shop/odezhda/detskaya-odezhda/kurtka-muzhskaya-factor-men-temnosinyaya-03823318/" , "03823318 Куртка мужская Factor Men, темно-синяя, размер XXL")</f>
      </c>
      <c r="C5551" s="4" t="n">
        <v>3211.00</v>
      </c>
      <c r="D5551" s="4"/>
    </row>
    <row collapsed="" customFormat="false" customHeight="1" hidden="" ht="14" outlineLevel="0" r="5552">
      <c r="A5552" s="3" t="inlineStr">
        <is>
          <t>5521</t>
        </is>
      </c>
      <c r="B5552" s="4" t="s">
        <f>=HYPERLINK("http://anyluxury.ru/shop/odezhda/detskaya-odezhda/kurtka-muzhskaya-factor-men-temnosinyaya-03823318/" , "03823318 Куртка мужская Factor Men, темно-синяя, размер 3XL")</f>
      </c>
      <c r="C5552" s="4" t="n">
        <v>3599.00</v>
      </c>
      <c r="D5552" s="4"/>
    </row>
    <row collapsed="" customFormat="false" customHeight="1" hidden="" ht="14" outlineLevel="0" r="5553">
      <c r="A5553" s="3" t="inlineStr">
        <is>
          <t>5522</t>
        </is>
      </c>
      <c r="B5553" s="4" t="s">
        <f>=HYPERLINK("http://anyluxury.ru/shop/odezhda/detskaya-odezhda/kurtka-muzhskaya-factor-men-temnosinyaya-03823318/" , "03823318 Куртка мужская Factor Men, темно-синяя, размер 4XL")</f>
      </c>
      <c r="C5553" s="4" t="n">
        <v>3599.00</v>
      </c>
      <c r="D5553" s="4"/>
    </row>
    <row collapsed="" customFormat="false" customHeight="1" hidden="" ht="14" outlineLevel="0" r="5554">
      <c r="A5554" s="3" t="inlineStr">
        <is>
          <t>5523</t>
        </is>
      </c>
      <c r="B5554" s="4" t="s">
        <f>=HYPERLINK("http://anyluxury.ru/shop/odezhda/detskaya-odezhda/kurtka-muzhskaya-factor-men-temnosinyaya-03823318/" , "03823318 Куртка мужская Factor Men, темно-синяя, размер 5XL")</f>
      </c>
      <c r="C5554" s="4" t="n">
        <v>3902.00</v>
      </c>
      <c r="D5554" s="4"/>
    </row>
    <row collapsed="" customFormat="false" customHeight="1" hidden="" ht="14" outlineLevel="0" r="5555">
      <c r="A5555" s="3" t="inlineStr">
        <is>
          <t>5524</t>
        </is>
      </c>
      <c r="B5555" s="4" t="s">
        <f>=HYPERLINK("http://anyluxury.ru/shop/odezhda/detskaya-odezhda/kurtka-muzhskaya-factor-men-oranzhevaya-03823400/" , "03823400 Куртка мужская Factor Men, оранжевая, размер S")</f>
      </c>
      <c r="C5555" s="4" t="n">
        <v>3211.00</v>
      </c>
      <c r="D5555" s="4"/>
    </row>
    <row collapsed="" customFormat="false" customHeight="1" hidden="" ht="14" outlineLevel="0" r="5556">
      <c r="A5556" s="3" t="inlineStr">
        <is>
          <t>5525</t>
        </is>
      </c>
      <c r="B5556" s="4" t="s">
        <f>=HYPERLINK("http://anyluxury.ru/shop/odezhda/detskaya-odezhda/kurtka-muzhskaya-factor-men-oranzhevaya-03823400/" , "03823400 Куртка мужская Factor Men, оранжевая, размер M")</f>
      </c>
      <c r="C5556" s="4" t="n">
        <v>3211.00</v>
      </c>
      <c r="D5556" s="4"/>
    </row>
    <row collapsed="" customFormat="false" customHeight="1" hidden="" ht="14" outlineLevel="0" r="5557">
      <c r="A5557" s="3" t="inlineStr">
        <is>
          <t>5526</t>
        </is>
      </c>
      <c r="B5557" s="4" t="s">
        <f>=HYPERLINK("http://anyluxury.ru/shop/odezhda/detskaya-odezhda/kurtka-muzhskaya-factor-men-oranzhevaya-03823400/" , "03823400 Куртка мужская Factor Men, оранжевая, размер L")</f>
      </c>
      <c r="C5557" s="4" t="n">
        <v>3211.00</v>
      </c>
      <c r="D5557" s="4"/>
    </row>
    <row collapsed="" customFormat="false" customHeight="1" hidden="" ht="14" outlineLevel="0" r="5558">
      <c r="A5558" s="3" t="inlineStr">
        <is>
          <t>5527</t>
        </is>
      </c>
      <c r="B5558" s="4" t="s">
        <f>=HYPERLINK("http://anyluxury.ru/shop/odezhda/detskaya-odezhda/kurtka-muzhskaya-factor-men-oranzhevaya-03823400/" , "03823400 Куртка мужская Factor Men, оранжевая, размер XL")</f>
      </c>
      <c r="C5558" s="4" t="n">
        <v>3211.00</v>
      </c>
      <c r="D5558" s="4"/>
    </row>
    <row collapsed="" customFormat="false" customHeight="1" hidden="" ht="14" outlineLevel="0" r="5559">
      <c r="A5559" s="3" t="inlineStr">
        <is>
          <t>5528</t>
        </is>
      </c>
      <c r="B5559" s="4" t="s">
        <f>=HYPERLINK("http://anyluxury.ru/shop/odezhda/detskaya-odezhda/kurtka-muzhskaya-factor-men-oranzhevaya-03823400/" , "03823400 Куртка мужская Factor Men, оранжевая, размер XXL")</f>
      </c>
      <c r="C5559" s="4" t="n">
        <v>3211.00</v>
      </c>
      <c r="D5559" s="4"/>
    </row>
    <row collapsed="" customFormat="false" customHeight="1" hidden="" ht="14" outlineLevel="0" r="5560">
      <c r="A5560" s="3" t="inlineStr">
        <is>
          <t>5529</t>
        </is>
      </c>
      <c r="B5560" s="4" t="s">
        <f>=HYPERLINK("http://anyluxury.ru/shop/odezhda/detskaya-odezhda/kurtka-muzhskaya-factor-men-oranzhevaya-03823400/" , "03823400 Куртка мужская Factor Men, оранжевая, размер 3XL")</f>
      </c>
      <c r="C5560" s="4" t="n">
        <v>3599.00</v>
      </c>
      <c r="D5560" s="4"/>
    </row>
    <row collapsed="" customFormat="false" customHeight="1" hidden="" ht="14" outlineLevel="0" r="5561">
      <c r="A5561" s="3" t="inlineStr">
        <is>
          <t>5530</t>
        </is>
      </c>
      <c r="B5561" s="4" t="s">
        <f>=HYPERLINK("http://anyluxury.ru/shop/odezhda/detskaya-odezhda/kurtka-muzhskaya-factor-men-oranzhevaya-03823400/" , "03823400 Куртка мужская Factor Men, оранжевая, размер 4XL")</f>
      </c>
      <c r="C5561" s="4" t="n">
        <v>3599.00</v>
      </c>
      <c r="D5561" s="4"/>
    </row>
    <row collapsed="" customFormat="false" customHeight="1" hidden="" ht="14" outlineLevel="0" r="5562">
      <c r="A5562" s="3" t="inlineStr">
        <is>
          <t>5531</t>
        </is>
      </c>
      <c r="B5562" s="4" t="s">
        <f>=HYPERLINK("http://anyluxury.ru/shop/odezhda/detskaya-odezhda/kurtka-muzhskaya-factor-men-oranzhevaya-03823400/" , "03823400 Куртка мужская Factor Men, оранжевая, размер 5XL")</f>
      </c>
      <c r="C5562" s="4" t="n">
        <v>3902.00</v>
      </c>
      <c r="D5562" s="4"/>
    </row>
    <row collapsed="" customFormat="false" customHeight="1" hidden="" ht="14" outlineLevel="0" r="5563">
      <c r="A5563" s="3" t="inlineStr">
        <is>
          <t>5532</t>
        </is>
      </c>
      <c r="B5563" s="4" t="s">
        <f>=HYPERLINK("http://anyluxury.ru/shop/odezhda/detskaya-odezhda/kurtka-muzhskaya-factor-men-krasnaya-03823145/" , "03823145 Куртка мужская Factor Men, красная, размер S")</f>
      </c>
      <c r="C5563" s="4" t="n">
        <v>3211.00</v>
      </c>
      <c r="D5563" s="4"/>
    </row>
    <row collapsed="" customFormat="false" customHeight="1" hidden="" ht="14" outlineLevel="0" r="5564">
      <c r="A5564" s="3" t="inlineStr">
        <is>
          <t>5533</t>
        </is>
      </c>
      <c r="B5564" s="4" t="s">
        <f>=HYPERLINK("http://anyluxury.ru/shop/odezhda/detskaya-odezhda/kurtka-muzhskaya-factor-men-krasnaya-03823145/" , "03823145 Куртка мужская Factor Men, красная, размер M")</f>
      </c>
      <c r="C5564" s="4" t="n">
        <v>3211.00</v>
      </c>
      <c r="D5564" s="4"/>
    </row>
    <row collapsed="" customFormat="false" customHeight="1" hidden="" ht="14" outlineLevel="0" r="5565">
      <c r="A5565" s="3" t="inlineStr">
        <is>
          <t>5534</t>
        </is>
      </c>
      <c r="B5565" s="4" t="s">
        <f>=HYPERLINK("http://anyluxury.ru/shop/odezhda/detskaya-odezhda/kurtka-muzhskaya-factor-men-krasnaya-03823145/" , "03823145 Куртка мужская Factor Men, красная, размер L")</f>
      </c>
      <c r="C5565" s="4" t="n">
        <v>3211.00</v>
      </c>
      <c r="D5565" s="4"/>
    </row>
    <row collapsed="" customFormat="false" customHeight="1" hidden="" ht="14" outlineLevel="0" r="5566">
      <c r="A5566" s="3" t="inlineStr">
        <is>
          <t>5535</t>
        </is>
      </c>
      <c r="B5566" s="4" t="s">
        <f>=HYPERLINK("http://anyluxury.ru/shop/odezhda/detskaya-odezhda/kurtka-muzhskaya-factor-men-krasnaya-03823145/" , "03823145 Куртка мужская Factor Men, красная, размер XL")</f>
      </c>
      <c r="C5566" s="4" t="n">
        <v>3211.00</v>
      </c>
      <c r="D5566" s="4"/>
    </row>
    <row collapsed="" customFormat="false" customHeight="1" hidden="" ht="14" outlineLevel="0" r="5567">
      <c r="A5567" s="3" t="inlineStr">
        <is>
          <t>5536</t>
        </is>
      </c>
      <c r="B5567" s="4" t="s">
        <f>=HYPERLINK("http://anyluxury.ru/shop/odezhda/detskaya-odezhda/kurtka-muzhskaya-factor-men-krasnaya-03823145/" , "03823145 Куртка мужская Factor Men, красная, размер XXL")</f>
      </c>
      <c r="C5567" s="4" t="n">
        <v>3211.00</v>
      </c>
      <c r="D5567" s="4"/>
    </row>
    <row collapsed="" customFormat="false" customHeight="1" hidden="" ht="14" outlineLevel="0" r="5568">
      <c r="A5568" s="3" t="inlineStr">
        <is>
          <t>5537</t>
        </is>
      </c>
      <c r="B5568" s="4" t="s">
        <f>=HYPERLINK("http://anyluxury.ru/shop/odezhda/detskaya-odezhda/kurtka-muzhskaya-factor-men-krasnaya-03823145/" , "03823145 Куртка мужская Factor Men, красная, размер 3XL")</f>
      </c>
      <c r="C5568" s="4" t="n">
        <v>3599.00</v>
      </c>
      <c r="D5568" s="4"/>
    </row>
    <row collapsed="" customFormat="false" customHeight="1" hidden="" ht="14" outlineLevel="0" r="5569">
      <c r="A5569" s="3" t="inlineStr">
        <is>
          <t>5538</t>
        </is>
      </c>
      <c r="B5569" s="4" t="s">
        <f>=HYPERLINK("http://anyluxury.ru/shop/odezhda/detskaya-odezhda/kurtka-muzhskaya-factor-men-krasnaya-03823145/" , "03823145 Куртка мужская Factor Men, красная, размер 4XL")</f>
      </c>
      <c r="C5569" s="4" t="n">
        <v>3599.00</v>
      </c>
      <c r="D5569" s="4"/>
    </row>
    <row collapsed="" customFormat="false" customHeight="1" hidden="" ht="14" outlineLevel="0" r="5570">
      <c r="A5570" s="3" t="inlineStr">
        <is>
          <t>5539</t>
        </is>
      </c>
      <c r="B5570" s="4" t="s">
        <f>=HYPERLINK("http://anyluxury.ru/shop/odezhda/detskaya-odezhda/kurtka-muzhskaya-factor-men-krasnaya-03823145/" , "03823145 Куртка мужская Factor Men, красная, размер 5XL")</f>
      </c>
      <c r="C5570" s="4" t="n">
        <v>3902.00</v>
      </c>
      <c r="D5570" s="4"/>
    </row>
    <row collapsed="" customFormat="false" customHeight="1" hidden="" ht="14" outlineLevel="0" r="5571">
      <c r="A5571" s="3" t="inlineStr">
        <is>
          <t>5540</t>
        </is>
      </c>
      <c r="B5571" s="4" t="s">
        <f>=HYPERLINK("http://anyluxury.ru/shop/odezhda/detskaya-odezhda/kurtka-muzhskaya-factor-men-bezhevaya-03823123/" , "03823123 Куртка мужская Factor Men, бежевая, размер S")</f>
      </c>
      <c r="C5571" s="4" t="n">
        <v>3211.00</v>
      </c>
      <c r="D5571" s="4"/>
    </row>
    <row collapsed="" customFormat="false" customHeight="1" hidden="" ht="14" outlineLevel="0" r="5572">
      <c r="A5572" s="3" t="inlineStr">
        <is>
          <t>5541</t>
        </is>
      </c>
      <c r="B5572" s="4" t="s">
        <f>=HYPERLINK("http://anyluxury.ru/shop/odezhda/detskaya-odezhda/kurtka-muzhskaya-factor-men-bezhevaya-03823123/" , "03823123 Куртка мужская Factor Men, бежевая, размер M")</f>
      </c>
      <c r="C5572" s="4" t="n">
        <v>3211.00</v>
      </c>
      <c r="D5572" s="4"/>
    </row>
    <row collapsed="" customFormat="false" customHeight="1" hidden="" ht="14" outlineLevel="0" r="5573">
      <c r="A5573" s="3" t="inlineStr">
        <is>
          <t>5542</t>
        </is>
      </c>
      <c r="B5573" s="4" t="s">
        <f>=HYPERLINK("http://anyluxury.ru/shop/odezhda/detskaya-odezhda/kurtka-muzhskaya-factor-men-bezhevaya-03823123/" , "03823123 Куртка мужская Factor Men, бежевая, размер L")</f>
      </c>
      <c r="C5573" s="4" t="n">
        <v>3211.00</v>
      </c>
      <c r="D5573" s="4"/>
    </row>
    <row collapsed="" customFormat="false" customHeight="1" hidden="" ht="14" outlineLevel="0" r="5574">
      <c r="A5574" s="3" t="inlineStr">
        <is>
          <t>5543</t>
        </is>
      </c>
      <c r="B5574" s="4" t="s">
        <f>=HYPERLINK("http://anyluxury.ru/shop/odezhda/detskaya-odezhda/kurtka-muzhskaya-factor-men-bezhevaya-03823123/" , "03823123 Куртка мужская Factor Men, бежевая, размер XL")</f>
      </c>
      <c r="C5574" s="4" t="n">
        <v>3211.00</v>
      </c>
      <c r="D5574" s="4"/>
    </row>
    <row collapsed="" customFormat="false" customHeight="1" hidden="" ht="14" outlineLevel="0" r="5575">
      <c r="A5575" s="3" t="inlineStr">
        <is>
          <t>5544</t>
        </is>
      </c>
      <c r="B5575" s="4" t="s">
        <f>=HYPERLINK("http://anyluxury.ru/shop/odezhda/detskaya-odezhda/kurtka-muzhskaya-factor-men-bezhevaya-03823123/" , "03823123 Куртка мужская Factor Men, бежевая, размер XXL")</f>
      </c>
      <c r="C5575" s="4" t="n">
        <v>3211.00</v>
      </c>
      <c r="D5575" s="4"/>
    </row>
    <row collapsed="" customFormat="false" customHeight="1" hidden="" ht="14" outlineLevel="0" r="5576">
      <c r="A5576" s="3" t="inlineStr">
        <is>
          <t>5545</t>
        </is>
      </c>
      <c r="B5576" s="4" t="s">
        <f>=HYPERLINK("http://anyluxury.ru/shop/odezhda/detskaya-odezhda/kurtka-muzhskaya-factor-men-bezhevaya-03823123/" , "03823123 Куртка мужская Factor Men, бежевая, размер 3XL")</f>
      </c>
      <c r="C5576" s="4" t="n">
        <v>3599.00</v>
      </c>
      <c r="D5576" s="4"/>
    </row>
    <row collapsed="" customFormat="false" customHeight="1" hidden="" ht="14" outlineLevel="0" r="5577">
      <c r="A5577" s="3" t="inlineStr">
        <is>
          <t>5546</t>
        </is>
      </c>
      <c r="B5577" s="4" t="s">
        <f>=HYPERLINK("http://anyluxury.ru/shop/odezhda/detskaya-odezhda/kurtka-muzhskaya-factor-men-bezhevaya-03823123/" , "03823123 Куртка мужская Factor Men, бежевая, размер 4XL")</f>
      </c>
      <c r="C5577" s="4" t="n">
        <v>3599.00</v>
      </c>
      <c r="D5577" s="4"/>
    </row>
    <row collapsed="" customFormat="false" customHeight="1" hidden="" ht="14" outlineLevel="0" r="5578">
      <c r="A5578" s="3" t="inlineStr">
        <is>
          <t>5547</t>
        </is>
      </c>
      <c r="B5578" s="4" t="s">
        <f>=HYPERLINK("http://anyluxury.ru/shop/odezhda/detskaya-odezhda/kurtka-muzhskaya-factor-men-bezhevaya-03823123/" , "03823123 Куртка мужская Factor Men, бежевая, размер 5XL")</f>
      </c>
      <c r="C5578" s="4" t="n">
        <v>3902.00</v>
      </c>
      <c r="D5578" s="4"/>
    </row>
    <row collapsed="" customFormat="false" customHeight="1" hidden="" ht="14" outlineLevel="0" r="5579">
      <c r="A5579" s="3" t="inlineStr">
        <is>
          <t>5548</t>
        </is>
      </c>
      <c r="B5579" s="4" t="s">
        <f>=HYPERLINK("http://anyluxury.ru/shop/odezhda/detskaya-odezhda/kurtka-muzhskaya-factor-men-yarkosinyaya-03823241/" , "03823241 Куртка мужская Factor Men, ярко-синяя, размер S")</f>
      </c>
      <c r="C5579" s="4" t="n">
        <v>3211.00</v>
      </c>
      <c r="D5579" s="4"/>
    </row>
    <row collapsed="" customFormat="false" customHeight="1" hidden="" ht="14" outlineLevel="0" r="5580">
      <c r="A5580" s="3" t="inlineStr">
        <is>
          <t>5549</t>
        </is>
      </c>
      <c r="B5580" s="4" t="s">
        <f>=HYPERLINK("http://anyluxury.ru/shop/odezhda/detskaya-odezhda/kurtka-muzhskaya-factor-men-yarkosinyaya-03823241/" , "03823241 Куртка мужская Factor Men, ярко-синяя, размер M")</f>
      </c>
      <c r="C5580" s="4" t="n">
        <v>3211.00</v>
      </c>
      <c r="D5580" s="4"/>
    </row>
    <row collapsed="" customFormat="false" customHeight="1" hidden="" ht="14" outlineLevel="0" r="5581">
      <c r="A5581" s="3" t="inlineStr">
        <is>
          <t>5550</t>
        </is>
      </c>
      <c r="B5581" s="4" t="s">
        <f>=HYPERLINK("http://anyluxury.ru/shop/odezhda/detskaya-odezhda/kurtka-muzhskaya-factor-men-yarkosinyaya-03823241/" , "03823241 Куртка мужская Factor Men, ярко-синяя, размер L")</f>
      </c>
      <c r="C5581" s="4" t="n">
        <v>3211.00</v>
      </c>
      <c r="D5581" s="4"/>
    </row>
    <row collapsed="" customFormat="false" customHeight="1" hidden="" ht="14" outlineLevel="0" r="5582">
      <c r="A5582" s="3" t="inlineStr">
        <is>
          <t>5551</t>
        </is>
      </c>
      <c r="B5582" s="4" t="s">
        <f>=HYPERLINK("http://anyluxury.ru/shop/odezhda/detskaya-odezhda/kurtka-muzhskaya-factor-men-yarkosinyaya-03823241/" , "03823241 Куртка мужская Factor Men, ярко-синяя, размер XL")</f>
      </c>
      <c r="C5582" s="4" t="n">
        <v>3211.00</v>
      </c>
      <c r="D5582" s="4"/>
    </row>
    <row collapsed="" customFormat="false" customHeight="1" hidden="" ht="14" outlineLevel="0" r="5583">
      <c r="A5583" s="3" t="inlineStr">
        <is>
          <t>5552</t>
        </is>
      </c>
      <c r="B5583" s="4" t="s">
        <f>=HYPERLINK("http://anyluxury.ru/shop/odezhda/detskaya-odezhda/kurtka-muzhskaya-factor-men-yarkosinyaya-03823241/" , "03823241 Куртка мужская Factor Men, ярко-синяя, размер XXL")</f>
      </c>
      <c r="C5583" s="4" t="n">
        <v>3211.00</v>
      </c>
      <c r="D5583" s="4"/>
    </row>
    <row collapsed="" customFormat="false" customHeight="1" hidden="" ht="14" outlineLevel="0" r="5584">
      <c r="A5584" s="3" t="inlineStr">
        <is>
          <t>5553</t>
        </is>
      </c>
      <c r="B5584" s="4" t="s">
        <f>=HYPERLINK("http://anyluxury.ru/shop/odezhda/detskaya-odezhda/kurtka-muzhskaya-factor-men-yarkosinyaya-03823241/" , "03823241 Куртка мужская Factor Men, ярко-синяя, размер 3XL")</f>
      </c>
      <c r="C5584" s="4" t="n">
        <v>3599.00</v>
      </c>
      <c r="D5584" s="4"/>
    </row>
    <row collapsed="" customFormat="false" customHeight="1" hidden="" ht="14" outlineLevel="0" r="5585">
      <c r="A5585" s="3" t="inlineStr">
        <is>
          <t>5554</t>
        </is>
      </c>
      <c r="B5585" s="4" t="s">
        <f>=HYPERLINK("http://anyluxury.ru/shop/odezhda/detskaya-odezhda/kurtka-muzhskaya-factor-men-yarkosinyaya-03823241/" , "03823241 Куртка мужская Factor Men, ярко-синяя, размер 4XL")</f>
      </c>
      <c r="C5585" s="4" t="n">
        <v>3599.00</v>
      </c>
      <c r="D5585" s="4"/>
    </row>
    <row collapsed="" customFormat="false" customHeight="1" hidden="" ht="14" outlineLevel="0" r="5586">
      <c r="A5586" s="3" t="inlineStr">
        <is>
          <t>5555</t>
        </is>
      </c>
      <c r="B5586" s="4" t="s">
        <f>=HYPERLINK("http://anyluxury.ru/shop/odezhda/detskaya-odezhda/kurtka-muzhskaya-factor-men-yarkosinyaya-03823241/" , "03823241 Куртка мужская Factor Men, ярко-синяя, размер 5XL")</f>
      </c>
      <c r="C5586" s="4" t="n">
        <v>3902.00</v>
      </c>
      <c r="D5586" s="4"/>
    </row>
    <row collapsed="" customFormat="false" customHeight="1" hidden="" ht="14" outlineLevel="0" r="5587">
      <c r="A5587" s="3" t="inlineStr">
        <is>
          <t>5556</t>
        </is>
      </c>
      <c r="B5587" s="4" t="s">
        <f>=HYPERLINK("http://anyluxury.ru/shop/odezhda/detskaya-odezhda/nabor-pullerov-billy-biryuzoviy-03821321tun/" , "03821321TUN Набор пуллеров Billy, бирюзовый")</f>
      </c>
      <c r="C5587" s="4" t="n">
        <v>704.00</v>
      </c>
      <c r="D5587" s="4"/>
    </row>
    <row collapsed="" customFormat="false" customHeight="1" hidden="" ht="14" outlineLevel="0" r="5588">
      <c r="A5588" s="3" t="inlineStr">
        <is>
          <t>5557</t>
        </is>
      </c>
      <c r="B5588" s="4" t="s">
        <f>=HYPERLINK("http://anyluxury.ru/shop/odezhda/detskaya-odezhda/nabor-pullerov-billy-cherniy-03821312tun/" , "03821312TUN Набор пуллеров Billy, черный")</f>
      </c>
      <c r="C5588" s="4" t="n">
        <v>704.00</v>
      </c>
      <c r="D5588" s="4"/>
    </row>
    <row collapsed="" customFormat="false" customHeight="1" hidden="" ht="14" outlineLevel="0" r="5589">
      <c r="A5589" s="3" t="inlineStr">
        <is>
          <t>5558</t>
        </is>
      </c>
      <c r="B5589" s="4" t="s">
        <f>=HYPERLINK("http://anyluxury.ru/shop/odezhda/detskaya-odezhda/nabor-pullerov-billy-temnozeleniy-03821264tun/" , "03821264TUN Набор пуллеров Billy, темно-зеленый")</f>
      </c>
      <c r="C5589" s="4" t="n">
        <v>704.00</v>
      </c>
      <c r="D5589" s="4"/>
    </row>
    <row collapsed="" customFormat="false" customHeight="1" hidden="" ht="14" outlineLevel="0" r="5590">
      <c r="A5590" s="3" t="inlineStr">
        <is>
          <t>5559</t>
        </is>
      </c>
      <c r="B5590" s="4" t="s">
        <f>=HYPERLINK("http://anyluxury.ru/shop/odezhda/detskaya-odezhda/nabor-pullerov-billy-temnoseriy-03821370tun/" , "03821370TUN Набор пуллеров Billy, темно-серый")</f>
      </c>
      <c r="C5590" s="4" t="n">
        <v>704.00</v>
      </c>
      <c r="D5590" s="4"/>
    </row>
    <row collapsed="" customFormat="false" customHeight="1" hidden="" ht="14" outlineLevel="0" r="5591">
      <c r="A5591" s="3" t="inlineStr">
        <is>
          <t>5560</t>
        </is>
      </c>
      <c r="B5591" s="4" t="s">
        <f>=HYPERLINK("http://anyluxury.ru/shop/odezhda/detskaya-odezhda/nabor-pullerov-billy-temnosiniy-03821319tun/" , "03821319TUN Набор пуллеров Billy, темно-синий")</f>
      </c>
      <c r="C5591" s="4" t="n">
        <v>704.00</v>
      </c>
      <c r="D5591" s="4"/>
    </row>
    <row collapsed="" customFormat="false" customHeight="1" hidden="" ht="14" outlineLevel="0" r="5592">
      <c r="A5592" s="3" t="inlineStr">
        <is>
          <t>5561</t>
        </is>
      </c>
      <c r="B5592" s="4" t="s">
        <f>=HYPERLINK("http://anyluxury.ru/shop/odezhda/detskaya-odezhda/nabor-pullerov-billy-yarkorozoviy-fuksiya-03821140tun/" , "03821140TUN Набор пуллеров Billy, ярко-розовый (фуксия)")</f>
      </c>
      <c r="C5592" s="4" t="n">
        <v>704.00</v>
      </c>
      <c r="D5592" s="4"/>
    </row>
    <row collapsed="" customFormat="false" customHeight="1" hidden="" ht="14" outlineLevel="0" r="5593">
      <c r="A5593" s="3" t="inlineStr">
        <is>
          <t>5562</t>
        </is>
      </c>
      <c r="B5593" s="4" t="s">
        <f>=HYPERLINK("http://anyluxury.ru/shop/odezhda/detskaya-odezhda/nabor-pullerov-billy-zheltiy-03821301tun/" , "03821301TUN Набор пуллеров Billy, желтый")</f>
      </c>
      <c r="C5593" s="4" t="n">
        <v>704.00</v>
      </c>
      <c r="D5593" s="4"/>
    </row>
    <row collapsed="" customFormat="false" customHeight="1" hidden="" ht="14" outlineLevel="0" r="5594">
      <c r="A5594" s="3" t="inlineStr">
        <is>
          <t>5563</t>
        </is>
      </c>
      <c r="B5594" s="4" t="s">
        <f>=HYPERLINK("http://anyluxury.ru/shop/odezhda/detskaya-odezhda/nabor-pullerov-billy-yarkozeleniy-03821272tun/" , "03821272TUN Набор пуллеров Billy, ярко-зеленый")</f>
      </c>
      <c r="C5594" s="4" t="n">
        <v>704.00</v>
      </c>
      <c r="D5594" s="4"/>
    </row>
    <row collapsed="" customFormat="false" customHeight="1" hidden="" ht="14" outlineLevel="0" r="5595">
      <c r="A5595" s="3" t="inlineStr">
        <is>
          <t>5564</t>
        </is>
      </c>
      <c r="B5595" s="4" t="s">
        <f>=HYPERLINK("http://anyluxury.ru/shop/odezhda/detskaya-odezhda/nabor-pullerov-billy-zelenoe-yabloko-03821281tun/" , "03821281TUN Набор пуллеров Billy, зеленое яблоко")</f>
      </c>
      <c r="C5595" s="4" t="n">
        <v>704.00</v>
      </c>
      <c r="D5595" s="4"/>
    </row>
    <row collapsed="" customFormat="false" customHeight="1" hidden="" ht="14" outlineLevel="0" r="5596">
      <c r="A5596" s="3" t="inlineStr">
        <is>
          <t>5565</t>
        </is>
      </c>
      <c r="B5596" s="4" t="s">
        <f>=HYPERLINK("http://anyluxury.ru/shop/odezhda/detskaya-odezhda/nabor-pullerov-billy-oranzheviy-03821400tun/" , "03821400TUN Набор пуллеров Billy, оранжевый")</f>
      </c>
      <c r="C5596" s="4" t="n">
        <v>704.00</v>
      </c>
      <c r="D5596" s="4"/>
    </row>
    <row collapsed="" customFormat="false" customHeight="1" hidden="" ht="14" outlineLevel="0" r="5597">
      <c r="A5597" s="3" t="inlineStr">
        <is>
          <t>5566</t>
        </is>
      </c>
      <c r="B5597" s="4" t="s">
        <f>=HYPERLINK("http://anyluxury.ru/shop/odezhda/detskaya-odezhda/nabor-pullerov-billy-krasniy-03821145tun/" , "03821145TUN Набор пуллеров Billy, красный")</f>
      </c>
      <c r="C5597" s="4" t="n">
        <v>704.00</v>
      </c>
      <c r="D5597" s="4"/>
    </row>
    <row collapsed="" customFormat="false" customHeight="1" hidden="" ht="14" outlineLevel="0" r="5598">
      <c r="A5598" s="3" t="inlineStr">
        <is>
          <t>5567</t>
        </is>
      </c>
      <c r="B5598" s="4" t="s">
        <f>=HYPERLINK("http://anyluxury.ru/shop/odezhda/detskaya-odezhda/nabor-pullerov-billy-yarkosiniy-03821241tun/" , "03821241TUN Набор пуллеров Billy, ярко-синий")</f>
      </c>
      <c r="C5598" s="4" t="n">
        <v>704.00</v>
      </c>
      <c r="D5598" s="4"/>
    </row>
    <row collapsed="" customFormat="false" customHeight="1" hidden="" ht="14" outlineLevel="0" r="5599">
      <c r="A5599" s="3" t="inlineStr">
        <is>
          <t>5568</t>
        </is>
      </c>
      <c r="B5599" s="4" t="s">
        <f>=HYPERLINK("http://anyluxury.ru/shop/odezhda/detskaya-odezhda/kurtka-zhenskaya-factor-women-chernaya-03824312/" , "03824312 Куртка женская Factor Women, черная, размер S")</f>
      </c>
      <c r="C5599" s="4" t="n">
        <v>3107.00</v>
      </c>
      <c r="D5599" s="4"/>
    </row>
    <row collapsed="" customFormat="false" customHeight="1" hidden="" ht="14" outlineLevel="0" r="5600">
      <c r="A5600" s="3" t="inlineStr">
        <is>
          <t>5569</t>
        </is>
      </c>
      <c r="B5600" s="4" t="s">
        <f>=HYPERLINK("http://anyluxury.ru/shop/odezhda/detskaya-odezhda/kurtka-zhenskaya-factor-women-chernaya-03824312/" , "03824312 Куртка женская Factor Women, черная, размер M")</f>
      </c>
      <c r="C5600" s="4" t="n">
        <v>3107.00</v>
      </c>
      <c r="D5600" s="4"/>
    </row>
    <row collapsed="" customFormat="false" customHeight="1" hidden="" ht="14" outlineLevel="0" r="5601">
      <c r="A5601" s="3" t="inlineStr">
        <is>
          <t>5570</t>
        </is>
      </c>
      <c r="B5601" s="4" t="s">
        <f>=HYPERLINK("http://anyluxury.ru/shop/odezhda/detskaya-odezhda/kurtka-zhenskaya-factor-women-chernaya-03824312/" , "03824312 Куртка женская Factor Women, черная, размер L")</f>
      </c>
      <c r="C5601" s="4" t="n">
        <v>3107.00</v>
      </c>
      <c r="D5601" s="4"/>
    </row>
    <row collapsed="" customFormat="false" customHeight="1" hidden="" ht="14" outlineLevel="0" r="5602">
      <c r="A5602" s="3" t="inlineStr">
        <is>
          <t>5571</t>
        </is>
      </c>
      <c r="B5602" s="4" t="s">
        <f>=HYPERLINK("http://anyluxury.ru/shop/odezhda/detskaya-odezhda/kurtka-zhenskaya-factor-women-chernaya-03824312/" , "03824312 Куртка женская Factor Women, черная, размер XL")</f>
      </c>
      <c r="C5602" s="4" t="n">
        <v>3107.00</v>
      </c>
      <c r="D5602" s="4"/>
    </row>
    <row collapsed="" customFormat="false" customHeight="1" hidden="" ht="14" outlineLevel="0" r="5603">
      <c r="A5603" s="3" t="inlineStr">
        <is>
          <t>5572</t>
        </is>
      </c>
      <c r="B5603" s="4" t="s">
        <f>=HYPERLINK("http://anyluxury.ru/shop/odezhda/detskaya-odezhda/kurtka-zhenskaya-factor-women-chernaya-03824312/" , "03824312 Куртка женская Factor Women, черная, размер XXL")</f>
      </c>
      <c r="C5603" s="4" t="n">
        <v>3107.00</v>
      </c>
      <c r="D5603" s="4"/>
    </row>
    <row collapsed="" customFormat="false" customHeight="1" hidden="" ht="14" outlineLevel="0" r="5604">
      <c r="A5604" s="3" t="inlineStr">
        <is>
          <t>5573</t>
        </is>
      </c>
      <c r="B5604" s="4" t="s">
        <f>=HYPERLINK("http://anyluxury.ru/shop/odezhda/detskaya-odezhda/kurtka-zhenskaya-factor-women-chernaya-03824312/" , "03824312 Куртка женская Factor Women, черная, размер 3XL")</f>
      </c>
      <c r="C5604" s="4" t="n">
        <v>3495.00</v>
      </c>
      <c r="D5604" s="4"/>
    </row>
    <row collapsed="" customFormat="false" customHeight="1" hidden="" ht="14" outlineLevel="0" r="5605">
      <c r="A5605" s="3" t="inlineStr">
        <is>
          <t>5574</t>
        </is>
      </c>
      <c r="B5605" s="4" t="s">
        <f>=HYPERLINK("http://anyluxury.ru/shop/odezhda/detskaya-odezhda/kurtka-zhenskaya-factor-women-temnoseraya-03824370/" , "03824370 Куртка женская Factor Women, темно-серая, размер S")</f>
      </c>
      <c r="C5605" s="4" t="n">
        <v>3107.00</v>
      </c>
      <c r="D5605" s="4"/>
    </row>
    <row collapsed="" customFormat="false" customHeight="1" hidden="" ht="14" outlineLevel="0" r="5606">
      <c r="A5606" s="3" t="inlineStr">
        <is>
          <t>5575</t>
        </is>
      </c>
      <c r="B5606" s="4" t="s">
        <f>=HYPERLINK("http://anyluxury.ru/shop/odezhda/detskaya-odezhda/kurtka-zhenskaya-factor-women-temnoseraya-03824370/" , "03824370 Куртка женская Factor Women, темно-серая, размер M")</f>
      </c>
      <c r="C5606" s="4" t="n">
        <v>3107.00</v>
      </c>
      <c r="D5606" s="4"/>
    </row>
    <row collapsed="" customFormat="false" customHeight="1" hidden="" ht="14" outlineLevel="0" r="5607">
      <c r="A5607" s="3" t="inlineStr">
        <is>
          <t>5576</t>
        </is>
      </c>
      <c r="B5607" s="4" t="s">
        <f>=HYPERLINK("http://anyluxury.ru/shop/odezhda/detskaya-odezhda/kurtka-zhenskaya-factor-women-temnoseraya-03824370/" , "03824370 Куртка женская Factor Women, темно-серая, размер L")</f>
      </c>
      <c r="C5607" s="4" t="n">
        <v>3107.00</v>
      </c>
      <c r="D5607" s="4"/>
    </row>
    <row collapsed="" customFormat="false" customHeight="1" hidden="" ht="14" outlineLevel="0" r="5608">
      <c r="A5608" s="3" t="inlineStr">
        <is>
          <t>5577</t>
        </is>
      </c>
      <c r="B5608" s="4" t="s">
        <f>=HYPERLINK("http://anyluxury.ru/shop/odezhda/detskaya-odezhda/kurtka-zhenskaya-factor-women-temnoseraya-03824370/" , "03824370 Куртка женская Factor Women, темно-серая, размер XL")</f>
      </c>
      <c r="C5608" s="4" t="n">
        <v>3107.00</v>
      </c>
      <c r="D5608" s="4"/>
    </row>
    <row collapsed="" customFormat="false" customHeight="1" hidden="" ht="14" outlineLevel="0" r="5609">
      <c r="A5609" s="3" t="inlineStr">
        <is>
          <t>5578</t>
        </is>
      </c>
      <c r="B5609" s="4" t="s">
        <f>=HYPERLINK("http://anyluxury.ru/shop/odezhda/detskaya-odezhda/kurtka-zhenskaya-factor-women-temnoseraya-03824370/" , "03824370 Куртка женская Factor Women, темно-серая, размер XXL")</f>
      </c>
      <c r="C5609" s="4" t="n">
        <v>3107.00</v>
      </c>
      <c r="D5609" s="4"/>
    </row>
    <row collapsed="" customFormat="false" customHeight="1" hidden="" ht="14" outlineLevel="0" r="5610">
      <c r="A5610" s="3" t="inlineStr">
        <is>
          <t>5579</t>
        </is>
      </c>
      <c r="B5610" s="4" t="s">
        <f>=HYPERLINK("http://anyluxury.ru/shop/odezhda/detskaya-odezhda/kurtka-zhenskaya-factor-women-temnoseraya-03824370/" , "03824370 Куртка женская Factor Women, темно-серая, размер 3XL")</f>
      </c>
      <c r="C5610" s="4" t="n">
        <v>3495.00</v>
      </c>
      <c r="D5610" s="4"/>
    </row>
    <row collapsed="" customFormat="false" customHeight="1" hidden="" ht="14" outlineLevel="0" r="5611">
      <c r="A5611" s="3" t="inlineStr">
        <is>
          <t>5580</t>
        </is>
      </c>
      <c r="B5611" s="4" t="s">
        <f>=HYPERLINK("http://anyluxury.ru/shop/odezhda/detskaya-odezhda/kurtka-zhenskaya-factor-women-temnozelenaya-03824266/" , "03824266 Куртка женская Factor Women, темно-зеленая, размер S")</f>
      </c>
      <c r="C5611" s="4" t="n">
        <v>3107.00</v>
      </c>
      <c r="D5611" s="4"/>
    </row>
    <row collapsed="" customFormat="false" customHeight="1" hidden="" ht="14" outlineLevel="0" r="5612">
      <c r="A5612" s="3" t="inlineStr">
        <is>
          <t>5581</t>
        </is>
      </c>
      <c r="B5612" s="4" t="s">
        <f>=HYPERLINK("http://anyluxury.ru/shop/odezhda/detskaya-odezhda/kurtka-zhenskaya-factor-women-temnozelenaya-03824266/" , "03824266 Куртка женская Factor Women, темно-зеленая, размер M")</f>
      </c>
      <c r="C5612" s="4" t="n">
        <v>3107.00</v>
      </c>
      <c r="D5612" s="4"/>
    </row>
    <row collapsed="" customFormat="false" customHeight="1" hidden="" ht="14" outlineLevel="0" r="5613">
      <c r="A5613" s="3" t="inlineStr">
        <is>
          <t>5582</t>
        </is>
      </c>
      <c r="B5613" s="4" t="s">
        <f>=HYPERLINK("http://anyluxury.ru/shop/odezhda/detskaya-odezhda/kurtka-zhenskaya-factor-women-temnozelenaya-03824266/" , "03824266 Куртка женская Factor Women, темно-зеленая, размер L")</f>
      </c>
      <c r="C5613" s="4" t="n">
        <v>3107.00</v>
      </c>
      <c r="D5613" s="4"/>
    </row>
    <row collapsed="" customFormat="false" customHeight="1" hidden="" ht="14" outlineLevel="0" r="5614">
      <c r="A5614" s="3" t="inlineStr">
        <is>
          <t>5583</t>
        </is>
      </c>
      <c r="B5614" s="4" t="s">
        <f>=HYPERLINK("http://anyluxury.ru/shop/odezhda/detskaya-odezhda/kurtka-zhenskaya-factor-women-temnozelenaya-03824266/" , "03824266 Куртка женская Factor Women, темно-зеленая, размер XL")</f>
      </c>
      <c r="C5614" s="4" t="n">
        <v>3107.00</v>
      </c>
      <c r="D5614" s="4"/>
    </row>
    <row collapsed="" customFormat="false" customHeight="1" hidden="" ht="14" outlineLevel="0" r="5615">
      <c r="A5615" s="3" t="inlineStr">
        <is>
          <t>5584</t>
        </is>
      </c>
      <c r="B5615" s="4" t="s">
        <f>=HYPERLINK("http://anyluxury.ru/shop/odezhda/detskaya-odezhda/kurtka-zhenskaya-factor-women-temnozelenaya-03824266/" , "03824266 Куртка женская Factor Women, темно-зеленая, размер XXL")</f>
      </c>
      <c r="C5615" s="4" t="n">
        <v>3107.00</v>
      </c>
      <c r="D5615" s="4"/>
    </row>
    <row collapsed="" customFormat="false" customHeight="1" hidden="" ht="14" outlineLevel="0" r="5616">
      <c r="A5616" s="3" t="inlineStr">
        <is>
          <t>5585</t>
        </is>
      </c>
      <c r="B5616" s="4" t="s">
        <f>=HYPERLINK("http://anyluxury.ru/shop/odezhda/detskaya-odezhda/kurtka-zhenskaya-factor-women-temnozelenaya-03824266/" , "03824266 Куртка женская Factor Women, темно-зеленая, размер 3XL")</f>
      </c>
      <c r="C5616" s="4" t="n">
        <v>3495.00</v>
      </c>
      <c r="D5616" s="4"/>
    </row>
    <row collapsed="" customFormat="false" customHeight="1" hidden="" ht="14" outlineLevel="0" r="5617">
      <c r="A5617" s="3" t="inlineStr">
        <is>
          <t>5586</t>
        </is>
      </c>
      <c r="B5617" s="4" t="s">
        <f>=HYPERLINK("http://anyluxury.ru/shop/odezhda/detskaya-odezhda/kurtka-zhenskaya-factor-women-temnosinyaya-03824318/" , "03824318 Куртка женская Factor Women, темно-синяя, размер S")</f>
      </c>
      <c r="C5617" s="4" t="n">
        <v>3107.00</v>
      </c>
      <c r="D5617" s="4"/>
    </row>
    <row collapsed="" customFormat="false" customHeight="1" hidden="" ht="14" outlineLevel="0" r="5618">
      <c r="A5618" s="3" t="inlineStr">
        <is>
          <t>5587</t>
        </is>
      </c>
      <c r="B5618" s="4" t="s">
        <f>=HYPERLINK("http://anyluxury.ru/shop/odezhda/detskaya-odezhda/kurtka-zhenskaya-factor-women-temnosinyaya-03824318/" , "03824318 Куртка женская Factor Women, темно-синяя, размер M")</f>
      </c>
      <c r="C5618" s="4" t="n">
        <v>3107.00</v>
      </c>
      <c r="D5618" s="4"/>
    </row>
    <row collapsed="" customFormat="false" customHeight="1" hidden="" ht="14" outlineLevel="0" r="5619">
      <c r="A5619" s="3" t="inlineStr">
        <is>
          <t>5588</t>
        </is>
      </c>
      <c r="B5619" s="4" t="s">
        <f>=HYPERLINK("http://anyluxury.ru/shop/odezhda/detskaya-odezhda/kurtka-zhenskaya-factor-women-temnosinyaya-03824318/" , "03824318 Куртка женская Factor Women, темно-синяя, размер L")</f>
      </c>
      <c r="C5619" s="4" t="n">
        <v>3107.00</v>
      </c>
      <c r="D5619" s="4"/>
    </row>
    <row collapsed="" customFormat="false" customHeight="1" hidden="" ht="14" outlineLevel="0" r="5620">
      <c r="A5620" s="3" t="inlineStr">
        <is>
          <t>5589</t>
        </is>
      </c>
      <c r="B5620" s="4" t="s">
        <f>=HYPERLINK("http://anyluxury.ru/shop/odezhda/detskaya-odezhda/kurtka-zhenskaya-factor-women-temnosinyaya-03824318/" , "03824318 Куртка женская Factor Women, темно-синяя, размер XL")</f>
      </c>
      <c r="C5620" s="4" t="n">
        <v>3107.00</v>
      </c>
      <c r="D5620" s="4"/>
    </row>
    <row collapsed="" customFormat="false" customHeight="1" hidden="" ht="14" outlineLevel="0" r="5621">
      <c r="A5621" s="3" t="inlineStr">
        <is>
          <t>5590</t>
        </is>
      </c>
      <c r="B5621" s="4" t="s">
        <f>=HYPERLINK("http://anyluxury.ru/shop/odezhda/detskaya-odezhda/kurtka-zhenskaya-factor-women-temnosinyaya-03824318/" , "03824318 Куртка женская Factor Women, темно-синяя, размер XXL")</f>
      </c>
      <c r="C5621" s="4" t="n">
        <v>3107.00</v>
      </c>
      <c r="D5621" s="4"/>
    </row>
    <row collapsed="" customFormat="false" customHeight="1" hidden="" ht="14" outlineLevel="0" r="5622">
      <c r="A5622" s="3" t="inlineStr">
        <is>
          <t>5591</t>
        </is>
      </c>
      <c r="B5622" s="4" t="s">
        <f>=HYPERLINK("http://anyluxury.ru/shop/odezhda/detskaya-odezhda/kurtka-zhenskaya-factor-women-temnosinyaya-03824318/" , "03824318 Куртка женская Factor Women, темно-синяя, размер 3XL")</f>
      </c>
      <c r="C5622" s="4" t="n">
        <v>3495.00</v>
      </c>
      <c r="D5622" s="4"/>
    </row>
    <row collapsed="" customFormat="false" customHeight="1" hidden="" ht="14" outlineLevel="0" r="5623">
      <c r="A5623" s="3" t="inlineStr">
        <is>
          <t>5592</t>
        </is>
      </c>
      <c r="B5623" s="4" t="s">
        <f>=HYPERLINK("http://anyluxury.ru/shop/odezhda/detskaya-odezhda/kurtka-zhenskaya-factor-women-oranzhevaya-03824400/" , "03824400 Куртка женская Factor Women, оранжевая, размер S")</f>
      </c>
      <c r="C5623" s="4" t="n">
        <v>3107.00</v>
      </c>
      <c r="D5623" s="4"/>
    </row>
    <row collapsed="" customFormat="false" customHeight="1" hidden="" ht="14" outlineLevel="0" r="5624">
      <c r="A5624" s="3" t="inlineStr">
        <is>
          <t>5593</t>
        </is>
      </c>
      <c r="B5624" s="4" t="s">
        <f>=HYPERLINK("http://anyluxury.ru/shop/odezhda/detskaya-odezhda/kurtka-zhenskaya-factor-women-oranzhevaya-03824400/" , "03824400 Куртка женская Factor Women, оранжевая, размер M")</f>
      </c>
      <c r="C5624" s="4" t="n">
        <v>3107.00</v>
      </c>
      <c r="D5624" s="4"/>
    </row>
    <row collapsed="" customFormat="false" customHeight="1" hidden="" ht="14" outlineLevel="0" r="5625">
      <c r="A5625" s="3" t="inlineStr">
        <is>
          <t>5594</t>
        </is>
      </c>
      <c r="B5625" s="4" t="s">
        <f>=HYPERLINK("http://anyluxury.ru/shop/odezhda/detskaya-odezhda/kurtka-zhenskaya-factor-women-oranzhevaya-03824400/" , "03824400 Куртка женская Factor Women, оранжевая, размер L")</f>
      </c>
      <c r="C5625" s="4" t="n">
        <v>3107.00</v>
      </c>
      <c r="D5625" s="4"/>
    </row>
    <row collapsed="" customFormat="false" customHeight="1" hidden="" ht="14" outlineLevel="0" r="5626">
      <c r="A5626" s="3" t="inlineStr">
        <is>
          <t>5595</t>
        </is>
      </c>
      <c r="B5626" s="4" t="s">
        <f>=HYPERLINK("http://anyluxury.ru/shop/odezhda/detskaya-odezhda/kurtka-zhenskaya-factor-women-oranzhevaya-03824400/" , "03824400 Куртка женская Factor Women, оранжевая, размер XL")</f>
      </c>
      <c r="C5626" s="4" t="n">
        <v>3107.00</v>
      </c>
      <c r="D5626" s="4"/>
    </row>
    <row collapsed="" customFormat="false" customHeight="1" hidden="" ht="14" outlineLevel="0" r="5627">
      <c r="A5627" s="3" t="inlineStr">
        <is>
          <t>5596</t>
        </is>
      </c>
      <c r="B5627" s="4" t="s">
        <f>=HYPERLINK("http://anyluxury.ru/shop/odezhda/detskaya-odezhda/kurtka-zhenskaya-factor-women-oranzhevaya-03824400/" , "03824400 Куртка женская Factor Women, оранжевая, размер XXL")</f>
      </c>
      <c r="C5627" s="4" t="n">
        <v>3107.00</v>
      </c>
      <c r="D5627" s="4"/>
    </row>
    <row collapsed="" customFormat="false" customHeight="1" hidden="" ht="14" outlineLevel="0" r="5628">
      <c r="A5628" s="3" t="inlineStr">
        <is>
          <t>5597</t>
        </is>
      </c>
      <c r="B5628" s="4" t="s">
        <f>=HYPERLINK("http://anyluxury.ru/shop/odezhda/detskaya-odezhda/kurtka-zhenskaya-factor-women-oranzhevaya-03824400/" , "03824400 Куртка женская Factor Women, оранжевая, размер 3XL")</f>
      </c>
      <c r="C5628" s="4" t="n">
        <v>3495.00</v>
      </c>
      <c r="D5628" s="4"/>
    </row>
    <row collapsed="" customFormat="false" customHeight="1" hidden="" ht="14" outlineLevel="0" r="5629">
      <c r="A5629" s="3" t="inlineStr">
        <is>
          <t>5598</t>
        </is>
      </c>
      <c r="B5629" s="4" t="s">
        <f>=HYPERLINK("http://anyluxury.ru/shop/odezhda/detskaya-odezhda/kurtka-zhenskaya-factor-women-krasnaya-03824145/" , "03824145 Куртка женская Factor Women, красная, размер S")</f>
      </c>
      <c r="C5629" s="4" t="n">
        <v>3107.00</v>
      </c>
      <c r="D5629" s="4"/>
    </row>
    <row collapsed="" customFormat="false" customHeight="1" hidden="" ht="14" outlineLevel="0" r="5630">
      <c r="A5630" s="3" t="inlineStr">
        <is>
          <t>5599</t>
        </is>
      </c>
      <c r="B5630" s="4" t="s">
        <f>=HYPERLINK("http://anyluxury.ru/shop/odezhda/detskaya-odezhda/kurtka-zhenskaya-factor-women-krasnaya-03824145/" , "03824145 Куртка женская Factor Women, красная, размер M")</f>
      </c>
      <c r="C5630" s="4" t="n">
        <v>3107.00</v>
      </c>
      <c r="D5630" s="4"/>
    </row>
    <row collapsed="" customFormat="false" customHeight="1" hidden="" ht="14" outlineLevel="0" r="5631">
      <c r="A5631" s="3" t="inlineStr">
        <is>
          <t>5600</t>
        </is>
      </c>
      <c r="B5631" s="4" t="s">
        <f>=HYPERLINK("http://anyluxury.ru/shop/odezhda/detskaya-odezhda/kurtka-zhenskaya-factor-women-krasnaya-03824145/" , "03824145 Куртка женская Factor Women, красная, размер L")</f>
      </c>
      <c r="C5631" s="4" t="n">
        <v>3107.00</v>
      </c>
      <c r="D5631" s="4"/>
    </row>
    <row collapsed="" customFormat="false" customHeight="1" hidden="" ht="14" outlineLevel="0" r="5632">
      <c r="A5632" s="3" t="inlineStr">
        <is>
          <t>5601</t>
        </is>
      </c>
      <c r="B5632" s="4" t="s">
        <f>=HYPERLINK("http://anyluxury.ru/shop/odezhda/detskaya-odezhda/kurtka-zhenskaya-factor-women-krasnaya-03824145/" , "03824145 Куртка женская Factor Women, красная, размер XL")</f>
      </c>
      <c r="C5632" s="4" t="n">
        <v>3107.00</v>
      </c>
      <c r="D5632" s="4"/>
    </row>
    <row collapsed="" customFormat="false" customHeight="1" hidden="" ht="14" outlineLevel="0" r="5633">
      <c r="A5633" s="3" t="inlineStr">
        <is>
          <t>5602</t>
        </is>
      </c>
      <c r="B5633" s="4" t="s">
        <f>=HYPERLINK("http://anyluxury.ru/shop/odezhda/detskaya-odezhda/kurtka-zhenskaya-factor-women-krasnaya-03824145/" , "03824145 Куртка женская Factor Women, красная, размер XXL")</f>
      </c>
      <c r="C5633" s="4" t="n">
        <v>3107.00</v>
      </c>
      <c r="D5633" s="4"/>
    </row>
    <row collapsed="" customFormat="false" customHeight="1" hidden="" ht="14" outlineLevel="0" r="5634">
      <c r="A5634" s="3" t="inlineStr">
        <is>
          <t>5603</t>
        </is>
      </c>
      <c r="B5634" s="4" t="s">
        <f>=HYPERLINK("http://anyluxury.ru/shop/odezhda/detskaya-odezhda/kurtka-zhenskaya-factor-women-krasnaya-03824145/" , "03824145 Куртка женская Factor Women, красная, размер 3XL")</f>
      </c>
      <c r="C5634" s="4" t="n">
        <v>3495.00</v>
      </c>
      <c r="D5634" s="4"/>
    </row>
    <row collapsed="" customFormat="false" customHeight="1" hidden="" ht="14" outlineLevel="0" r="5635">
      <c r="A5635" s="3" t="inlineStr">
        <is>
          <t>5604</t>
        </is>
      </c>
      <c r="B5635" s="4" t="s">
        <f>=HYPERLINK("http://anyluxury.ru/shop/odezhda/detskaya-odezhda/kurtka-zhenskaya-factor-women-bezhevaya-03824123/" , "03824123 Куртка женская Factor Women, бежевая, размер S")</f>
      </c>
      <c r="C5635" s="4" t="n">
        <v>3107.00</v>
      </c>
      <c r="D5635" s="4"/>
    </row>
    <row collapsed="" customFormat="false" customHeight="1" hidden="" ht="14" outlineLevel="0" r="5636">
      <c r="A5636" s="3" t="inlineStr">
        <is>
          <t>5605</t>
        </is>
      </c>
      <c r="B5636" s="4" t="s">
        <f>=HYPERLINK("http://anyluxury.ru/shop/odezhda/detskaya-odezhda/kurtka-zhenskaya-factor-women-bezhevaya-03824123/" , "03824123 Куртка женская Factor Women, бежевая, размер M")</f>
      </c>
      <c r="C5636" s="4" t="n">
        <v>3107.00</v>
      </c>
      <c r="D5636" s="4"/>
    </row>
    <row collapsed="" customFormat="false" customHeight="1" hidden="" ht="14" outlineLevel="0" r="5637">
      <c r="A5637" s="3" t="inlineStr">
        <is>
          <t>5606</t>
        </is>
      </c>
      <c r="B5637" s="4" t="s">
        <f>=HYPERLINK("http://anyluxury.ru/shop/odezhda/detskaya-odezhda/kurtka-zhenskaya-factor-women-bezhevaya-03824123/" , "03824123 Куртка женская Factor Women, бежевая, размер L")</f>
      </c>
      <c r="C5637" s="4" t="n">
        <v>3107.00</v>
      </c>
      <c r="D5637" s="4"/>
    </row>
    <row collapsed="" customFormat="false" customHeight="1" hidden="" ht="14" outlineLevel="0" r="5638">
      <c r="A5638" s="3" t="inlineStr">
        <is>
          <t>5607</t>
        </is>
      </c>
      <c r="B5638" s="4" t="s">
        <f>=HYPERLINK("http://anyluxury.ru/shop/odezhda/detskaya-odezhda/kurtka-zhenskaya-factor-women-bezhevaya-03824123/" , "03824123 Куртка женская Factor Women, бежевая, размер XL")</f>
      </c>
      <c r="C5638" s="4" t="n">
        <v>3107.00</v>
      </c>
      <c r="D5638" s="4"/>
    </row>
    <row collapsed="" customFormat="false" customHeight="1" hidden="" ht="14" outlineLevel="0" r="5639">
      <c r="A5639" s="3" t="inlineStr">
        <is>
          <t>5608</t>
        </is>
      </c>
      <c r="B5639" s="4" t="s">
        <f>=HYPERLINK("http://anyluxury.ru/shop/odezhda/detskaya-odezhda/kurtka-zhenskaya-factor-women-bezhevaya-03824123/" , "03824123 Куртка женская Factor Women, бежевая, размер XXL")</f>
      </c>
      <c r="C5639" s="4" t="n">
        <v>3107.00</v>
      </c>
      <c r="D5639" s="4"/>
    </row>
    <row collapsed="" customFormat="false" customHeight="1" hidden="" ht="14" outlineLevel="0" r="5640">
      <c r="A5640" s="3" t="inlineStr">
        <is>
          <t>5609</t>
        </is>
      </c>
      <c r="B5640" s="4" t="s">
        <f>=HYPERLINK("http://anyluxury.ru/shop/odezhda/detskaya-odezhda/kurtka-zhenskaya-factor-women-bezhevaya-03824123/" , "03824123 Куртка женская Factor Women, бежевая, размер 3XL")</f>
      </c>
      <c r="C5640" s="4" t="n">
        <v>3495.00</v>
      </c>
      <c r="D5640" s="4"/>
    </row>
    <row collapsed="" customFormat="false" customHeight="1" hidden="" ht="14" outlineLevel="0" r="5641">
      <c r="A5641" s="3" t="inlineStr">
        <is>
          <t>5610</t>
        </is>
      </c>
      <c r="B5641" s="4" t="s">
        <f>=HYPERLINK("http://anyluxury.ru/shop/odezhda/detskaya-odezhda/kurtka-zhenskaya-factor-women-yarkosinyaya-03824241/" , "03824241 Куртка женская Factor Women, ярко-синяя, размер S")</f>
      </c>
      <c r="C5641" s="4" t="n">
        <v>3107.00</v>
      </c>
      <c r="D5641" s="4"/>
    </row>
    <row collapsed="" customFormat="false" customHeight="1" hidden="" ht="14" outlineLevel="0" r="5642">
      <c r="A5642" s="3" t="inlineStr">
        <is>
          <t>5611</t>
        </is>
      </c>
      <c r="B5642" s="4" t="s">
        <f>=HYPERLINK("http://anyluxury.ru/shop/odezhda/detskaya-odezhda/kurtka-zhenskaya-factor-women-yarkosinyaya-03824241/" , "03824241 Куртка женская Factor Women, ярко-синяя, размер M")</f>
      </c>
      <c r="C5642" s="4" t="n">
        <v>3107.00</v>
      </c>
      <c r="D5642" s="4"/>
    </row>
    <row collapsed="" customFormat="false" customHeight="1" hidden="" ht="14" outlineLevel="0" r="5643">
      <c r="A5643" s="3" t="inlineStr">
        <is>
          <t>5612</t>
        </is>
      </c>
      <c r="B5643" s="4" t="s">
        <f>=HYPERLINK("http://anyluxury.ru/shop/odezhda/detskaya-odezhda/kurtka-zhenskaya-factor-women-yarkosinyaya-03824241/" , "03824241 Куртка женская Factor Women, ярко-синяя, размер L")</f>
      </c>
      <c r="C5643" s="4" t="n">
        <v>3107.00</v>
      </c>
      <c r="D5643" s="4"/>
    </row>
    <row collapsed="" customFormat="false" customHeight="1" hidden="" ht="14" outlineLevel="0" r="5644">
      <c r="A5644" s="3" t="inlineStr">
        <is>
          <t>5613</t>
        </is>
      </c>
      <c r="B5644" s="4" t="s">
        <f>=HYPERLINK("http://anyluxury.ru/shop/odezhda/detskaya-odezhda/kurtka-zhenskaya-factor-women-yarkosinyaya-03824241/" , "03824241 Куртка женская Factor Women, ярко-синяя, размер XL")</f>
      </c>
      <c r="C5644" s="4" t="n">
        <v>3107.00</v>
      </c>
      <c r="D5644" s="4"/>
    </row>
    <row collapsed="" customFormat="false" customHeight="1" hidden="" ht="14" outlineLevel="0" r="5645">
      <c r="A5645" s="3" t="inlineStr">
        <is>
          <t>5614</t>
        </is>
      </c>
      <c r="B5645" s="4" t="s">
        <f>=HYPERLINK("http://anyluxury.ru/shop/odezhda/detskaya-odezhda/kurtka-zhenskaya-factor-women-yarkosinyaya-03824241/" , "03824241 Куртка женская Factor Women, ярко-синяя, размер XXL")</f>
      </c>
      <c r="C5645" s="4" t="n">
        <v>3107.00</v>
      </c>
      <c r="D5645" s="4"/>
    </row>
    <row collapsed="" customFormat="false" customHeight="1" hidden="" ht="14" outlineLevel="0" r="5646">
      <c r="A5646" s="3" t="inlineStr">
        <is>
          <t>5615</t>
        </is>
      </c>
      <c r="B5646" s="4" t="s">
        <f>=HYPERLINK("http://anyluxury.ru/shop/odezhda/detskaya-odezhda/kurtka-zhenskaya-factor-women-yarkosinyaya-03824241/" , "03824241 Куртка женская Factor Women, ярко-синяя, размер 3XL")</f>
      </c>
      <c r="C5646" s="4" t="n">
        <v>3495.00</v>
      </c>
      <c r="D5646" s="4"/>
    </row>
    <row collapsed="" customFormat="false" customHeight="1" hidden="" ht="14" outlineLevel="0" r="5647">
      <c r="A5647" s="3" t="inlineStr">
        <is>
          <t>5616</t>
        </is>
      </c>
      <c r="B5647" s="4" t="s">
        <f>=HYPERLINK("http://anyluxury.ru/shop/odezhda/detskaya-odezhda/hudi-uniseks-collins-goluboe-03818251/" , "03818251 Худи унисекс Collins, голубое, размер XS")</f>
      </c>
      <c r="C5647" s="4" t="n">
        <v>4336.00</v>
      </c>
      <c r="D5647" s="4"/>
    </row>
    <row collapsed="" customFormat="false" customHeight="1" hidden="" ht="14" outlineLevel="0" r="5648">
      <c r="A5648" s="3" t="inlineStr">
        <is>
          <t>5617</t>
        </is>
      </c>
      <c r="B5648" s="4" t="s">
        <f>=HYPERLINK("http://anyluxury.ru/shop/odezhda/detskaya-odezhda/hudi-uniseks-collins-goluboe-03818251/" , "03818251 Худи унисекс Collins, голубое, размер S")</f>
      </c>
      <c r="C5648" s="4" t="n">
        <v>4336.00</v>
      </c>
      <c r="D5648" s="4"/>
    </row>
    <row collapsed="" customFormat="false" customHeight="1" hidden="" ht="14" outlineLevel="0" r="5649">
      <c r="A5649" s="3" t="inlineStr">
        <is>
          <t>5618</t>
        </is>
      </c>
      <c r="B5649" s="4" t="s">
        <f>=HYPERLINK("http://anyluxury.ru/shop/odezhda/detskaya-odezhda/hudi-uniseks-collins-goluboe-03818251/" , "03818251 Худи унисекс Collins, голубое, размер M")</f>
      </c>
      <c r="C5649" s="4" t="n">
        <v>4336.00</v>
      </c>
      <c r="D5649" s="4"/>
    </row>
    <row collapsed="" customFormat="false" customHeight="1" hidden="" ht="14" outlineLevel="0" r="5650">
      <c r="A5650" s="3" t="inlineStr">
        <is>
          <t>5619</t>
        </is>
      </c>
      <c r="B5650" s="4" t="s">
        <f>=HYPERLINK("http://anyluxury.ru/shop/odezhda/detskaya-odezhda/hudi-uniseks-collins-goluboe-03818251/" , "03818251 Худи унисекс Collins, голубое, размер L")</f>
      </c>
      <c r="C5650" s="4" t="n">
        <v>4336.00</v>
      </c>
      <c r="D5650" s="4"/>
    </row>
    <row collapsed="" customFormat="false" customHeight="1" hidden="" ht="14" outlineLevel="0" r="5651">
      <c r="A5651" s="3" t="inlineStr">
        <is>
          <t>5620</t>
        </is>
      </c>
      <c r="B5651" s="4" t="s">
        <f>=HYPERLINK("http://anyluxury.ru/shop/odezhda/detskaya-odezhda/hudi-uniseks-collins-goluboe-03818251/" , "03818251 Худи унисекс Collins, голубое, размер XL")</f>
      </c>
      <c r="C5651" s="4" t="n">
        <v>4336.00</v>
      </c>
      <c r="D5651" s="4"/>
    </row>
    <row collapsed="" customFormat="false" customHeight="1" hidden="" ht="14" outlineLevel="0" r="5652">
      <c r="A5652" s="3" t="inlineStr">
        <is>
          <t>5621</t>
        </is>
      </c>
      <c r="B5652" s="4" t="s">
        <f>=HYPERLINK("http://anyluxury.ru/shop/odezhda/detskaya-odezhda/hudi-uniseks-collins-goluboe-03818251/" , "03818251 Худи унисекс Collins, голубое, размер XXL")</f>
      </c>
      <c r="C5652" s="4" t="n">
        <v>4336.00</v>
      </c>
      <c r="D5652" s="4"/>
    </row>
    <row collapsed="" customFormat="false" customHeight="1" hidden="" ht="14" outlineLevel="0" r="5653">
      <c r="A5653" s="3" t="inlineStr">
        <is>
          <t>5622</t>
        </is>
      </c>
      <c r="B5653" s="4" t="s">
        <f>=HYPERLINK("http://anyluxury.ru/shop/odezhda/detskaya-odezhda/hudi-uniseks-collins-goluboe-03818251/" , "03818251 Худи унисекс Collins, голубое, размер 3XL")</f>
      </c>
      <c r="C5653" s="4" t="n">
        <v>4928.00</v>
      </c>
      <c r="D5653" s="4"/>
    </row>
    <row collapsed="" customFormat="false" customHeight="1" hidden="" ht="14" outlineLevel="0" r="5654">
      <c r="A5654" s="3" t="inlineStr">
        <is>
          <t>5623</t>
        </is>
      </c>
      <c r="B5654" s="4" t="s">
        <f>=HYPERLINK("http://anyluxury.ru/shop/odezhda/detskaya-odezhda/hudi-uniseks-collins-bezhevoe-03818101/" , "03818101 Худи унисекс Collins, бежевое, размер XS")</f>
      </c>
      <c r="C5654" s="4" t="n">
        <v>4336.00</v>
      </c>
      <c r="D5654" s="4"/>
    </row>
    <row collapsed="" customFormat="false" customHeight="1" hidden="" ht="14" outlineLevel="0" r="5655">
      <c r="A5655" s="3" t="inlineStr">
        <is>
          <t>5624</t>
        </is>
      </c>
      <c r="B5655" s="4" t="s">
        <f>=HYPERLINK("http://anyluxury.ru/shop/odezhda/detskaya-odezhda/hudi-uniseks-collins-bezhevoe-03818101/" , "03818101 Худи унисекс Collins, бежевое, размер S")</f>
      </c>
      <c r="C5655" s="4" t="n">
        <v>4336.00</v>
      </c>
      <c r="D5655" s="4"/>
    </row>
    <row collapsed="" customFormat="false" customHeight="1" hidden="" ht="14" outlineLevel="0" r="5656">
      <c r="A5656" s="3" t="inlineStr">
        <is>
          <t>5625</t>
        </is>
      </c>
      <c r="B5656" s="4" t="s">
        <f>=HYPERLINK("http://anyluxury.ru/shop/odezhda/detskaya-odezhda/hudi-uniseks-collins-bezhevoe-03818101/" , "03818101 Худи унисекс Collins, бежевое, размер M")</f>
      </c>
      <c r="C5656" s="4" t="n">
        <v>4336.00</v>
      </c>
      <c r="D5656" s="4"/>
    </row>
    <row collapsed="" customFormat="false" customHeight="1" hidden="" ht="14" outlineLevel="0" r="5657">
      <c r="A5657" s="3" t="inlineStr">
        <is>
          <t>5626</t>
        </is>
      </c>
      <c r="B5657" s="4" t="s">
        <f>=HYPERLINK("http://anyluxury.ru/shop/odezhda/detskaya-odezhda/hudi-uniseks-collins-bezhevoe-03818101/" , "03818101 Худи унисекс Collins, бежевое, размер L")</f>
      </c>
      <c r="C5657" s="4" t="n">
        <v>4336.00</v>
      </c>
      <c r="D5657" s="4"/>
    </row>
    <row collapsed="" customFormat="false" customHeight="1" hidden="" ht="14" outlineLevel="0" r="5658">
      <c r="A5658" s="3" t="inlineStr">
        <is>
          <t>5627</t>
        </is>
      </c>
      <c r="B5658" s="4" t="s">
        <f>=HYPERLINK("http://anyluxury.ru/shop/odezhda/detskaya-odezhda/hudi-uniseks-collins-bezhevoe-03818101/" , "03818101 Худи унисекс Collins, бежевое, размер XL")</f>
      </c>
      <c r="C5658" s="4" t="n">
        <v>4336.00</v>
      </c>
      <c r="D5658" s="4"/>
    </row>
    <row collapsed="" customFormat="false" customHeight="1" hidden="" ht="14" outlineLevel="0" r="5659">
      <c r="A5659" s="3" t="inlineStr">
        <is>
          <t>5628</t>
        </is>
      </c>
      <c r="B5659" s="4" t="s">
        <f>=HYPERLINK("http://anyluxury.ru/shop/odezhda/detskaya-odezhda/hudi-uniseks-collins-bezhevoe-03818101/" , "03818101 Худи унисекс Collins, бежевое, размер XXL")</f>
      </c>
      <c r="C5659" s="4" t="n">
        <v>4336.00</v>
      </c>
      <c r="D5659" s="4"/>
    </row>
    <row collapsed="" customFormat="false" customHeight="1" hidden="" ht="14" outlineLevel="0" r="5660">
      <c r="A5660" s="3" t="inlineStr">
        <is>
          <t>5629</t>
        </is>
      </c>
      <c r="B5660" s="4" t="s">
        <f>=HYPERLINK("http://anyluxury.ru/shop/odezhda/detskaya-odezhda/hudi-uniseks-collins-bezhevoe-03818101/" , "03818101 Худи унисекс Collins, бежевое, размер 3XL")</f>
      </c>
      <c r="C5660" s="4" t="n">
        <v>4928.00</v>
      </c>
      <c r="D5660" s="4"/>
    </row>
    <row collapsed="" customFormat="false" customHeight="1" hidden="" ht="14" outlineLevel="0" r="5661">
      <c r="A5661" s="3" t="inlineStr">
        <is>
          <t>5630</t>
        </is>
      </c>
      <c r="B5661" s="4" t="s">
        <f>=HYPERLINK("http://anyluxury.ru/shop/odezhda/detskaya-odezhda/hudi-uniseks-collins-molochnobeloe-03818104/" , "03818104 Худи унисекс Collins, молочно-белое, размер XS")</f>
      </c>
      <c r="C5661" s="4" t="n">
        <v>4336.00</v>
      </c>
      <c r="D5661" s="4"/>
    </row>
    <row collapsed="" customFormat="false" customHeight="1" hidden="" ht="14" outlineLevel="0" r="5662">
      <c r="A5662" s="3" t="inlineStr">
        <is>
          <t>5631</t>
        </is>
      </c>
      <c r="B5662" s="4" t="s">
        <f>=HYPERLINK("http://anyluxury.ru/shop/odezhda/detskaya-odezhda/hudi-uniseks-collins-molochnobeloe-03818104/" , "03818104 Худи унисекс Collins, молочно-белое, размер S")</f>
      </c>
      <c r="C5662" s="4" t="n">
        <v>4336.00</v>
      </c>
      <c r="D5662" s="4"/>
    </row>
    <row collapsed="" customFormat="false" customHeight="1" hidden="" ht="14" outlineLevel="0" r="5663">
      <c r="A5663" s="3" t="inlineStr">
        <is>
          <t>5632</t>
        </is>
      </c>
      <c r="B5663" s="4" t="s">
        <f>=HYPERLINK("http://anyluxury.ru/shop/odezhda/detskaya-odezhda/hudi-uniseks-collins-molochnobeloe-03818104/" , "03818104 Худи унисекс Collins, молочно-белое, размер M")</f>
      </c>
      <c r="C5663" s="4" t="n">
        <v>4336.00</v>
      </c>
      <c r="D5663" s="4"/>
    </row>
    <row collapsed="" customFormat="false" customHeight="1" hidden="" ht="14" outlineLevel="0" r="5664">
      <c r="A5664" s="3" t="inlineStr">
        <is>
          <t>5633</t>
        </is>
      </c>
      <c r="B5664" s="4" t="s">
        <f>=HYPERLINK("http://anyluxury.ru/shop/odezhda/detskaya-odezhda/hudi-uniseks-collins-molochnobeloe-03818104/" , "03818104 Худи унисекс Collins, молочно-белое, размер L")</f>
      </c>
      <c r="C5664" s="4" t="n">
        <v>4336.00</v>
      </c>
      <c r="D5664" s="4"/>
    </row>
    <row collapsed="" customFormat="false" customHeight="1" hidden="" ht="14" outlineLevel="0" r="5665">
      <c r="A5665" s="3" t="inlineStr">
        <is>
          <t>5634</t>
        </is>
      </c>
      <c r="B5665" s="4" t="s">
        <f>=HYPERLINK("http://anyluxury.ru/shop/odezhda/detskaya-odezhda/hudi-uniseks-collins-molochnobeloe-03818104/" , "03818104 Худи унисекс Collins, молочно-белое, размер XL")</f>
      </c>
      <c r="C5665" s="4" t="n">
        <v>4336.00</v>
      </c>
      <c r="D5665" s="4"/>
    </row>
    <row collapsed="" customFormat="false" customHeight="1" hidden="" ht="14" outlineLevel="0" r="5666">
      <c r="A5666" s="3" t="inlineStr">
        <is>
          <t>5635</t>
        </is>
      </c>
      <c r="B5666" s="4" t="s">
        <f>=HYPERLINK("http://anyluxury.ru/shop/odezhda/detskaya-odezhda/hudi-uniseks-collins-molochnobeloe-03818104/" , "03818104 Худи унисекс Collins, молочно-белое, размер XXL")</f>
      </c>
      <c r="C5666" s="4" t="n">
        <v>4336.00</v>
      </c>
      <c r="D5666" s="4"/>
    </row>
    <row collapsed="" customFormat="false" customHeight="1" hidden="" ht="14" outlineLevel="0" r="5667">
      <c r="A5667" s="3" t="inlineStr">
        <is>
          <t>5636</t>
        </is>
      </c>
      <c r="B5667" s="4" t="s">
        <f>=HYPERLINK("http://anyluxury.ru/shop/odezhda/detskaya-odezhda/hudi-uniseks-collins-molochnobeloe-03818104/" , "03818104 Худи унисекс Collins, молочно-белое, размер 3XL")</f>
      </c>
      <c r="C5667" s="4" t="n">
        <v>4928.00</v>
      </c>
      <c r="D5667" s="4"/>
    </row>
    <row collapsed="" customFormat="false" customHeight="1" hidden="" ht="14" outlineLevel="0" r="5668">
      <c r="A5668" s="3" t="inlineStr">
        <is>
          <t>5637</t>
        </is>
      </c>
      <c r="B5668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XS")</f>
      </c>
      <c r="C5668" s="4" t="n">
        <v>1890.00</v>
      </c>
      <c r="D5668" s="4"/>
    </row>
    <row collapsed="" customFormat="false" customHeight="1" hidden="" ht="14" outlineLevel="0" r="5669">
      <c r="A5669" s="3" t="inlineStr">
        <is>
          <t>5638</t>
        </is>
      </c>
      <c r="B5669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S")</f>
      </c>
      <c r="C5669" s="4" t="n">
        <v>1890.00</v>
      </c>
      <c r="D5669" s="4"/>
    </row>
    <row collapsed="" customFormat="false" customHeight="1" hidden="" ht="14" outlineLevel="0" r="5670">
      <c r="A5670" s="3" t="inlineStr">
        <is>
          <t>5639</t>
        </is>
      </c>
      <c r="B5670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M")</f>
      </c>
      <c r="C5670" s="4" t="n">
        <v>1890.00</v>
      </c>
      <c r="D5670" s="4"/>
    </row>
    <row collapsed="" customFormat="false" customHeight="1" hidden="" ht="14" outlineLevel="0" r="5671">
      <c r="A5671" s="3" t="inlineStr">
        <is>
          <t>5640</t>
        </is>
      </c>
      <c r="B5671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L")</f>
      </c>
      <c r="C5671" s="4" t="n">
        <v>1890.00</v>
      </c>
      <c r="D5671" s="4"/>
    </row>
    <row collapsed="" customFormat="false" customHeight="1" hidden="" ht="14" outlineLevel="0" r="5672">
      <c r="A5672" s="3" t="inlineStr">
        <is>
          <t>5641</t>
        </is>
      </c>
      <c r="B5672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XL")</f>
      </c>
      <c r="C5672" s="4" t="n">
        <v>1890.00</v>
      </c>
      <c r="D5672" s="4"/>
    </row>
    <row collapsed="" customFormat="false" customHeight="1" hidden="" ht="14" outlineLevel="0" r="5673">
      <c r="A5673" s="3" t="inlineStr">
        <is>
          <t>5642</t>
        </is>
      </c>
      <c r="B5673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XXL")</f>
      </c>
      <c r="C5673" s="4" t="n">
        <v>1890.00</v>
      </c>
      <c r="D5673" s="4"/>
    </row>
    <row collapsed="" customFormat="false" customHeight="1" hidden="" ht="14" outlineLevel="0" r="5674">
      <c r="A5674" s="3" t="inlineStr">
        <is>
          <t>5643</t>
        </is>
      </c>
      <c r="B5674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XS")</f>
      </c>
      <c r="C5674" s="4" t="n">
        <v>1890.00</v>
      </c>
      <c r="D5674" s="4"/>
    </row>
    <row collapsed="" customFormat="false" customHeight="1" hidden="" ht="14" outlineLevel="0" r="5675">
      <c r="A5675" s="3" t="inlineStr">
        <is>
          <t>5644</t>
        </is>
      </c>
      <c r="B5675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S")</f>
      </c>
      <c r="C5675" s="4" t="n">
        <v>1890.00</v>
      </c>
      <c r="D5675" s="4"/>
    </row>
    <row collapsed="" customFormat="false" customHeight="1" hidden="" ht="14" outlineLevel="0" r="5676">
      <c r="A5676" s="3" t="inlineStr">
        <is>
          <t>5645</t>
        </is>
      </c>
      <c r="B5676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M")</f>
      </c>
      <c r="C5676" s="4" t="n">
        <v>1890.00</v>
      </c>
      <c r="D5676" s="4"/>
    </row>
    <row collapsed="" customFormat="false" customHeight="1" hidden="" ht="14" outlineLevel="0" r="5677">
      <c r="A5677" s="3" t="inlineStr">
        <is>
          <t>5646</t>
        </is>
      </c>
      <c r="B5677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L")</f>
      </c>
      <c r="C5677" s="4" t="n">
        <v>1890.00</v>
      </c>
      <c r="D5677" s="4"/>
    </row>
    <row collapsed="" customFormat="false" customHeight="1" hidden="" ht="14" outlineLevel="0" r="5678">
      <c r="A5678" s="3" t="inlineStr">
        <is>
          <t>5647</t>
        </is>
      </c>
      <c r="B5678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XL")</f>
      </c>
      <c r="C5678" s="4" t="n">
        <v>1890.00</v>
      </c>
      <c r="D5678" s="4"/>
    </row>
    <row collapsed="" customFormat="false" customHeight="1" hidden="" ht="14" outlineLevel="0" r="5679">
      <c r="A5679" s="3" t="inlineStr">
        <is>
          <t>5648</t>
        </is>
      </c>
      <c r="B5679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XXL")</f>
      </c>
      <c r="C5679" s="4" t="n">
        <v>1890.00</v>
      </c>
      <c r="D5679" s="4"/>
    </row>
    <row collapsed="" customFormat="false" customHeight="1" hidden="" ht="14" outlineLevel="0" r="5680">
      <c r="A5680" s="3" t="inlineStr">
        <is>
          <t>5649</t>
        </is>
      </c>
      <c r="B5680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XS")</f>
      </c>
      <c r="C5680" s="4" t="n">
        <v>1890.00</v>
      </c>
      <c r="D5680" s="4"/>
    </row>
    <row collapsed="" customFormat="false" customHeight="1" hidden="" ht="14" outlineLevel="0" r="5681">
      <c r="A5681" s="3" t="inlineStr">
        <is>
          <t>5650</t>
        </is>
      </c>
      <c r="B5681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S")</f>
      </c>
      <c r="C5681" s="4" t="n">
        <v>1890.00</v>
      </c>
      <c r="D5681" s="4"/>
    </row>
    <row collapsed="" customFormat="false" customHeight="1" hidden="" ht="14" outlineLevel="0" r="5682">
      <c r="A5682" s="3" t="inlineStr">
        <is>
          <t>5651</t>
        </is>
      </c>
      <c r="B5682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M")</f>
      </c>
      <c r="C5682" s="4" t="n">
        <v>1890.00</v>
      </c>
      <c r="D5682" s="4"/>
    </row>
    <row collapsed="" customFormat="false" customHeight="1" hidden="" ht="14" outlineLevel="0" r="5683">
      <c r="A5683" s="3" t="inlineStr">
        <is>
          <t>5652</t>
        </is>
      </c>
      <c r="B5683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L")</f>
      </c>
      <c r="C5683" s="4" t="n">
        <v>1890.00</v>
      </c>
      <c r="D5683" s="4"/>
    </row>
    <row collapsed="" customFormat="false" customHeight="1" hidden="" ht="14" outlineLevel="0" r="5684">
      <c r="A5684" s="3" t="inlineStr">
        <is>
          <t>5653</t>
        </is>
      </c>
      <c r="B5684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XL")</f>
      </c>
      <c r="C5684" s="4" t="n">
        <v>1890.00</v>
      </c>
      <c r="D5684" s="4"/>
    </row>
    <row collapsed="" customFormat="false" customHeight="1" hidden="" ht="14" outlineLevel="0" r="5685">
      <c r="A5685" s="3" t="inlineStr">
        <is>
          <t>5654</t>
        </is>
      </c>
      <c r="B5685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XXL")</f>
      </c>
      <c r="C5685" s="4" t="n">
        <v>1890.00</v>
      </c>
      <c r="D5685" s="4"/>
    </row>
    <row collapsed="" customFormat="false" customHeight="1" hidden="" ht="14" outlineLevel="0" r="5686">
      <c r="A5686" s="3" t="inlineStr">
        <is>
          <t>5655</t>
        </is>
      </c>
      <c r="B5686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XS")</f>
      </c>
      <c r="C5686" s="4" t="n">
        <v>1890.00</v>
      </c>
      <c r="D5686" s="4"/>
    </row>
    <row collapsed="" customFormat="false" customHeight="1" hidden="" ht="14" outlineLevel="0" r="5687">
      <c r="A5687" s="3" t="inlineStr">
        <is>
          <t>5656</t>
        </is>
      </c>
      <c r="B5687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S")</f>
      </c>
      <c r="C5687" s="4" t="n">
        <v>1890.00</v>
      </c>
      <c r="D5687" s="4"/>
    </row>
    <row collapsed="" customFormat="false" customHeight="1" hidden="" ht="14" outlineLevel="0" r="5688">
      <c r="A5688" s="3" t="inlineStr">
        <is>
          <t>5657</t>
        </is>
      </c>
      <c r="B5688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M")</f>
      </c>
      <c r="C5688" s="4" t="n">
        <v>1890.00</v>
      </c>
      <c r="D5688" s="4"/>
    </row>
    <row collapsed="" customFormat="false" customHeight="1" hidden="" ht="14" outlineLevel="0" r="5689">
      <c r="A5689" s="3" t="inlineStr">
        <is>
          <t>5658</t>
        </is>
      </c>
      <c r="B5689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L")</f>
      </c>
      <c r="C5689" s="4" t="n">
        <v>1890.00</v>
      </c>
      <c r="D5689" s="4"/>
    </row>
    <row collapsed="" customFormat="false" customHeight="1" hidden="" ht="14" outlineLevel="0" r="5690">
      <c r="A5690" s="3" t="inlineStr">
        <is>
          <t>5659</t>
        </is>
      </c>
      <c r="B5690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XL")</f>
      </c>
      <c r="C5690" s="4" t="n">
        <v>1890.00</v>
      </c>
      <c r="D5690" s="4"/>
    </row>
    <row collapsed="" customFormat="false" customHeight="1" hidden="" ht="14" outlineLevel="0" r="5691">
      <c r="A5691" s="3" t="inlineStr">
        <is>
          <t>5660</t>
        </is>
      </c>
      <c r="B5691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XXL")</f>
      </c>
      <c r="C5691" s="4" t="n">
        <v>1890.00</v>
      </c>
      <c r="D5691" s="4"/>
    </row>
    <row collapsed="" customFormat="false" customHeight="1" hidden="" ht="14" outlineLevel="0" r="5692">
      <c r="A5692" s="3" t="inlineStr">
        <is>
          <t>5661</t>
        </is>
      </c>
      <c r="B5692" s="4" t="s">
        <f>=HYPERLINK("http://anyluxury.ru/shop/odezhda/detskaya-odezhda/dozhdevikanorak-so-svetootrazhayushhimi-elementami-alatau-blink-beliy-1466160/" , "14661.60 Дождевик-анорак со светоотражающими элементами Alatau Blink, белый")</f>
      </c>
      <c r="C5692" s="4" t="n">
        <v>1290.00</v>
      </c>
      <c r="D5692" s="4"/>
    </row>
    <row collapsed="" customFormat="false" customHeight="1" hidden="" ht="14" outlineLevel="0" r="5693">
      <c r="A5693" s="3" t="inlineStr">
        <is>
          <t>5662</t>
        </is>
      </c>
      <c r="B5693" s="4" t="s">
        <f>=HYPERLINK("http://anyluxury.ru/shop/odezhda/detskaya-odezhda/dozhdevikanorak-so-svetootrazhayushhimi-elementami-alatau-blink-zheltiy-1466181/" , "14661.81 Дождевик-анорак со светоотражающими элементами Alatau Blink, желтый")</f>
      </c>
      <c r="C5693" s="4" t="n">
        <v>1290.00</v>
      </c>
      <c r="D5693" s="4"/>
    </row>
    <row collapsed="" customFormat="false" customHeight="1" hidden="" ht="14" outlineLevel="0" r="5694">
      <c r="A5694" s="3" t="inlineStr">
        <is>
          <t>5663</t>
        </is>
      </c>
      <c r="B5694" s="4" t="s">
        <f>=HYPERLINK("http://anyluxury.ru/shop/odezhda/detskaya-odezhda/dozhdevikanorak-so-svetootrazhayushhimi-elementami-alatau-blink-zheltiy-neon-1466180/" , "14661.80 Дождевик-анорак со светоотражающими элементами Alatau Blink, желтый неон")</f>
      </c>
      <c r="C5694" s="4" t="n">
        <v>1290.00</v>
      </c>
      <c r="D5694" s="4"/>
    </row>
    <row collapsed="" customFormat="false" customHeight="1" hidden="" ht="14" outlineLevel="0" r="5695">
      <c r="A5695" s="3" t="inlineStr">
        <is>
          <t>5664</t>
        </is>
      </c>
      <c r="B5695" s="4" t="s">
        <f>=HYPERLINK("http://anyluxury.ru/shop/odezhda/detskaya-odezhda/dozhdevikanorak-so-svetootrazhayushhimi-elementami-alatau-blink-zelenoe-yabloko-1466194/" , "14661.94 Дождевик-анорак со светоотражающими элементами Alatau Blink, зеленое яблоко")</f>
      </c>
      <c r="C5695" s="4" t="n">
        <v>1290.00</v>
      </c>
      <c r="D5695" s="4"/>
    </row>
    <row collapsed="" customFormat="false" customHeight="1" hidden="" ht="14" outlineLevel="0" r="5696">
      <c r="A5696" s="3" t="inlineStr">
        <is>
          <t>5665</t>
        </is>
      </c>
      <c r="B5696" s="4" t="s">
        <f>=HYPERLINK("http://anyluxury.ru/shop/odezhda/detskaya-odezhda/dozhdevikanorak-so-svetootrazhayushhimi-elementami-alatau-blink-yarkosiniy-1466144/" , "14661.44 Дождевик-анорак со светоотражающими элементами Alatau Blink, ярко-синий")</f>
      </c>
      <c r="C5696" s="4" t="n">
        <v>1290.00</v>
      </c>
      <c r="D5696" s="4"/>
    </row>
    <row collapsed="" customFormat="false" customHeight="1" hidden="" ht="14" outlineLevel="0" r="5697">
      <c r="A5697" s="3" t="inlineStr">
        <is>
          <t>5666</t>
        </is>
      </c>
      <c r="B5697" s="4" t="s">
        <f>=HYPERLINK("http://anyluxury.ru/shop/odezhda/detskaya-odezhda/dozhdevikanorak-so-svetootrazhayushhimi-elementami-alatau-blink-temnosiniy-1466140/" , "14661.40 Дождевик-анорак со светоотражающими элементами Alatau Blink, темно-синий")</f>
      </c>
      <c r="C5697" s="4" t="n">
        <v>1290.00</v>
      </c>
      <c r="D5697" s="4"/>
    </row>
    <row collapsed="" customFormat="false" customHeight="1" hidden="" ht="14" outlineLevel="0" r="5698">
      <c r="A5698" s="3" t="inlineStr">
        <is>
          <t>5667</t>
        </is>
      </c>
      <c r="B5698" s="4" t="s">
        <f>=HYPERLINK("http://anyluxury.ru/shop/odezhda/detskaya-odezhda/dozhdevikanorak-so-svetootrazhayushhimi-elementami-alatau-blink-cherniy-1466130/" , "14661.30 Дождевик-анорак со светоотражающими элементами Alatau Blink, черный")</f>
      </c>
      <c r="C5698" s="4" t="n">
        <v>1290.00</v>
      </c>
      <c r="D5698" s="4"/>
    </row>
    <row collapsed="" customFormat="false" customHeight="1" hidden="" ht="14" outlineLevel="0" r="5699">
      <c r="A5699" s="3" t="inlineStr">
        <is>
          <t>5668</t>
        </is>
      </c>
      <c r="B5699" s="4" t="s">
        <f>=HYPERLINK("http://anyluxury.ru/shop/odezhda/detskaya-odezhda/dozhdevikanorak-so-svetootrazhayushhimi-elementami-alatau-blink-oranzheviy-neon-1466120/" , "14661.20 Дождевик-анорак со светоотражающими элементами Alatau Blink, оранжевый неон")</f>
      </c>
      <c r="C5699" s="4" t="n">
        <v>1290.00</v>
      </c>
      <c r="D5699" s="4"/>
    </row>
    <row collapsed="" customFormat="false" customHeight="1" hidden="" ht="14" outlineLevel="0" r="5700">
      <c r="A5700" s="3" t="inlineStr">
        <is>
          <t>5669</t>
        </is>
      </c>
      <c r="B5700" s="4" t="s">
        <f>=HYPERLINK("http://anyluxury.ru/shop/odezhda/detskaya-odezhda/dozhdevikponcho-aquastop-na-zakaz-1895501/" , "18955.01 Дождевик-пончо AquaStop на заказ")</f>
      </c>
      <c r="C5700" s="4" t="n">
        <v>3200.00</v>
      </c>
      <c r="D5700" s="4"/>
    </row>
    <row collapsed="" customFormat="false" customHeight="1" hidden="" ht="14" outlineLevel="0" r="5701">
      <c r="A5701" s="3" t="inlineStr">
        <is>
          <t>5670</t>
        </is>
      </c>
      <c r="B5701" s="4" t="s">
        <f>=HYPERLINK("http://anyluxury.ru/shop/odezhda/detskaya-odezhda/dozhdevik-raincoat-na-zakaz-1894901/" , "18949.01 Дождевик RainCoat на заказ")</f>
      </c>
      <c r="C5701" s="4" t="n">
        <v>3080.00</v>
      </c>
      <c r="D5701" s="4"/>
    </row>
    <row collapsed="" customFormat="false" customHeight="1" hidden="" ht="14" outlineLevel="0" r="5702">
      <c r="A5702" s="3" t="inlineStr">
        <is>
          <t>5671</t>
        </is>
      </c>
      <c r="B5702" s="4" t="s">
        <f>=HYPERLINK("http://anyluxury.ru/shop/odezhda/detskaya-odezhda/bryuki-muzhskie-docker-chernie-03820312/" , "03820312 Брюки мужские Docker, черные, размер 36")</f>
      </c>
      <c r="C5702" s="4" t="n">
        <v>4409.00</v>
      </c>
      <c r="D5702" s="4"/>
    </row>
    <row collapsed="" customFormat="false" customHeight="1" hidden="" ht="14" outlineLevel="0" r="5703">
      <c r="A5703" s="3" t="inlineStr">
        <is>
          <t>5672</t>
        </is>
      </c>
      <c r="B5703" s="4" t="s">
        <f>=HYPERLINK("http://anyluxury.ru/shop/odezhda/detskaya-odezhda/bryuki-muzhskie-docker-chernie-03820312/" , "03820312 Брюки мужские Docker, черные, размер 38")</f>
      </c>
      <c r="C5703" s="4" t="n">
        <v>4409.00</v>
      </c>
      <c r="D5703" s="4"/>
    </row>
    <row collapsed="" customFormat="false" customHeight="1" hidden="" ht="14" outlineLevel="0" r="5704">
      <c r="A5704" s="3" t="inlineStr">
        <is>
          <t>5673</t>
        </is>
      </c>
      <c r="B5704" s="4" t="s">
        <f>=HYPERLINK("http://anyluxury.ru/shop/odezhda/detskaya-odezhda/bryuki-muzhskie-docker-chernie-03820312/" , "03820312 Брюки мужские Docker, черные, размер 40")</f>
      </c>
      <c r="C5704" s="4" t="n">
        <v>4409.00</v>
      </c>
      <c r="D5704" s="4"/>
    </row>
    <row collapsed="" customFormat="false" customHeight="1" hidden="" ht="14" outlineLevel="0" r="5705">
      <c r="A5705" s="3" t="inlineStr">
        <is>
          <t>5674</t>
        </is>
      </c>
      <c r="B5705" s="4" t="s">
        <f>=HYPERLINK("http://anyluxury.ru/shop/odezhda/detskaya-odezhda/bryuki-muzhskie-docker-chernie-03820312/" , "03820312 Брюки мужские Docker, черные, размер 42")</f>
      </c>
      <c r="C5705" s="4" t="n">
        <v>4409.00</v>
      </c>
      <c r="D5705" s="4"/>
    </row>
    <row collapsed="" customFormat="false" customHeight="1" hidden="" ht="14" outlineLevel="0" r="5706">
      <c r="A5706" s="3" t="inlineStr">
        <is>
          <t>5675</t>
        </is>
      </c>
      <c r="B5706" s="4" t="s">
        <f>=HYPERLINK("http://anyluxury.ru/shop/odezhda/detskaya-odezhda/bryuki-muzhskie-docker-chernie-03820312/" , "03820312 Брюки мужские Docker, черные, размер 44")</f>
      </c>
      <c r="C5706" s="4" t="n">
        <v>4409.00</v>
      </c>
      <c r="D5706" s="4"/>
    </row>
    <row collapsed="" customFormat="false" customHeight="1" hidden="" ht="14" outlineLevel="0" r="5707">
      <c r="A5707" s="3" t="inlineStr">
        <is>
          <t>5676</t>
        </is>
      </c>
      <c r="B5707" s="4" t="s">
        <f>=HYPERLINK("http://anyluxury.ru/shop/odezhda/detskaya-odezhda/bryuki-muzhskie-docker-chernie-03820312/" , "03820312 Брюки мужские Docker, черные, размер 46")</f>
      </c>
      <c r="C5707" s="4" t="n">
        <v>4409.00</v>
      </c>
      <c r="D5707" s="4"/>
    </row>
    <row collapsed="" customFormat="false" customHeight="1" hidden="" ht="14" outlineLevel="0" r="5708">
      <c r="A5708" s="3" t="inlineStr">
        <is>
          <t>5677</t>
        </is>
      </c>
      <c r="B5708" s="4" t="s">
        <f>=HYPERLINK("http://anyluxury.ru/shop/odezhda/detskaya-odezhda/bryuki-muzhskie-docker-chernie-03820312/" , "03820312 Брюки мужские Docker, черные, размер 48")</f>
      </c>
      <c r="C5708" s="4" t="n">
        <v>4409.00</v>
      </c>
      <c r="D5708" s="4"/>
    </row>
    <row collapsed="" customFormat="false" customHeight="1" hidden="" ht="14" outlineLevel="0" r="5709">
      <c r="A5709" s="3" t="inlineStr">
        <is>
          <t>5678</t>
        </is>
      </c>
      <c r="B5709" s="4" t="s">
        <f>=HYPERLINK("http://anyluxury.ru/shop/odezhda/detskaya-odezhda/bryuki-muzhskie-docker-chernie-03820312/" , "03820312 Брюки мужские Docker, черные, размер 50")</f>
      </c>
      <c r="C5709" s="4" t="n">
        <v>5043.00</v>
      </c>
      <c r="D5709" s="4"/>
    </row>
    <row collapsed="" customFormat="false" customHeight="1" hidden="" ht="14" outlineLevel="0" r="5710">
      <c r="A5710" s="3" t="inlineStr">
        <is>
          <t>5679</t>
        </is>
      </c>
      <c r="B5710" s="4" t="s">
        <f>=HYPERLINK("http://anyluxury.ru/shop/odezhda/detskaya-odezhda/bryuki-muzhskie-docker-chernie-03820312/" , "03820312 Брюки мужские Docker, черные, размер 52")</f>
      </c>
      <c r="C5710" s="4" t="n">
        <v>5043.00</v>
      </c>
      <c r="D5710" s="4"/>
    </row>
    <row collapsed="" customFormat="false" customHeight="1" hidden="" ht="14" outlineLevel="0" r="5711">
      <c r="A5711" s="3" t="inlineStr">
        <is>
          <t>5680</t>
        </is>
      </c>
      <c r="B5711" s="4" t="s">
        <f>=HYPERLINK("http://anyluxury.ru/shop/odezhda/detskaya-odezhda/bryuki-muzhskie-docker-chernie-03820312/" , "03820312 Брюки мужские Docker, черные, размер 54")</f>
      </c>
      <c r="C5711" s="4" t="n">
        <v>5043.00</v>
      </c>
      <c r="D5711" s="4"/>
    </row>
    <row collapsed="" customFormat="false" customHeight="1" hidden="" ht="14" outlineLevel="0" r="5712">
      <c r="A5712" s="3" t="inlineStr">
        <is>
          <t>5681</t>
        </is>
      </c>
      <c r="B5712" s="4" t="s">
        <f>=HYPERLINK("http://anyluxury.ru/shop/odezhda/detskaya-odezhda/bryuki-muzhskie-docker-chernie-03820312/" , "03820312 Брюки мужские Docker, черные, размер 56")</f>
      </c>
      <c r="C5712" s="4" t="n">
        <v>5043.00</v>
      </c>
      <c r="D5712" s="4"/>
    </row>
    <row collapsed="" customFormat="false" customHeight="1" hidden="" ht="14" outlineLevel="0" r="5713">
      <c r="A5713" s="3" t="inlineStr">
        <is>
          <t>5682</t>
        </is>
      </c>
      <c r="B5713" s="4" t="s">
        <f>=HYPERLINK("http://anyluxury.ru/shop/odezhda/detskaya-odezhda/bryuki-muzhskie-docker-chernie-03820312/" , "03820312 Брюки мужские Docker, черные, размер 58")</f>
      </c>
      <c r="C5713" s="4" t="n">
        <v>5043.00</v>
      </c>
      <c r="D5713" s="4"/>
    </row>
    <row collapsed="" customFormat="false" customHeight="1" hidden="" ht="14" outlineLevel="0" r="5714">
      <c r="A5714" s="3" t="inlineStr">
        <is>
          <t>5683</t>
        </is>
      </c>
      <c r="B5714" s="4" t="s">
        <f>=HYPERLINK("http://anyluxury.ru/shop/odezhda/detskaya-odezhda/bryuki-muzhskie-docker-chernie-03820312/" , "03820312 Брюки мужские Docker, черные, размер 60")</f>
      </c>
      <c r="C5714" s="4" t="n">
        <v>5532.00</v>
      </c>
      <c r="D5714" s="4"/>
    </row>
    <row collapsed="" customFormat="false" customHeight="1" hidden="" ht="14" outlineLevel="0" r="5715">
      <c r="A5715" s="3" t="inlineStr">
        <is>
          <t>5684</t>
        </is>
      </c>
      <c r="B5715" s="4" t="s">
        <f>=HYPERLINK("http://anyluxury.ru/shop/odezhda/detskaya-odezhda/bryuki-muzhskie-docker-chernie-03820312/" , "03820312 Брюки мужские Docker, черные, размер 62")</f>
      </c>
      <c r="C5715" s="4" t="n">
        <v>5532.00</v>
      </c>
      <c r="D5715" s="4"/>
    </row>
    <row collapsed="" customFormat="false" customHeight="1" hidden="" ht="14" outlineLevel="0" r="5716">
      <c r="A5716" s="3" t="inlineStr">
        <is>
          <t>5685</t>
        </is>
      </c>
      <c r="B5716" s="4" t="s">
        <f>=HYPERLINK("http://anyluxury.ru/shop/odezhda/detskaya-odezhda/bryuki-muzhskie-docker-chernie-03820312/" , "03820312 Брюки мужские Docker, черные, размер 64")</f>
      </c>
      <c r="C5716" s="4" t="n">
        <v>5532.00</v>
      </c>
      <c r="D5716" s="4"/>
    </row>
    <row collapsed="" customFormat="false" customHeight="1" hidden="" ht="14" outlineLevel="0" r="5717">
      <c r="A5717" s="3" t="inlineStr">
        <is>
          <t>5686</t>
        </is>
      </c>
      <c r="B5717" s="4" t="s">
        <f>=HYPERLINK("http://anyluxury.ru/shop/odezhda/detskaya-odezhda/bryuki-muzhskie-docker-temnoserie-03820384/" , "03820384 Брюки мужские Docker, темно-серые, размер 36")</f>
      </c>
      <c r="C5717" s="4" t="n">
        <v>4409.00</v>
      </c>
      <c r="D5717" s="4"/>
    </row>
    <row collapsed="" customFormat="false" customHeight="1" hidden="" ht="14" outlineLevel="0" r="5718">
      <c r="A5718" s="3" t="inlineStr">
        <is>
          <t>5687</t>
        </is>
      </c>
      <c r="B5718" s="4" t="s">
        <f>=HYPERLINK("http://anyluxury.ru/shop/odezhda/detskaya-odezhda/bryuki-muzhskie-docker-temnoserie-03820384/" , "03820384 Брюки мужские Docker, темно-серые, размер 38")</f>
      </c>
      <c r="C5718" s="4" t="n">
        <v>4409.00</v>
      </c>
      <c r="D5718" s="4"/>
    </row>
    <row collapsed="" customFormat="false" customHeight="1" hidden="" ht="14" outlineLevel="0" r="5719">
      <c r="A5719" s="3" t="inlineStr">
        <is>
          <t>5688</t>
        </is>
      </c>
      <c r="B5719" s="4" t="s">
        <f>=HYPERLINK("http://anyluxury.ru/shop/odezhda/detskaya-odezhda/bryuki-muzhskie-docker-temnoserie-03820384/" , "03820384 Брюки мужские Docker, темно-серые, размер 40")</f>
      </c>
      <c r="C5719" s="4" t="n">
        <v>4409.00</v>
      </c>
      <c r="D5719" s="4"/>
    </row>
    <row collapsed="" customFormat="false" customHeight="1" hidden="" ht="14" outlineLevel="0" r="5720">
      <c r="A5720" s="3" t="inlineStr">
        <is>
          <t>5689</t>
        </is>
      </c>
      <c r="B5720" s="4" t="s">
        <f>=HYPERLINK("http://anyluxury.ru/shop/odezhda/detskaya-odezhda/bryuki-muzhskie-docker-temnoserie-03820384/" , "03820384 Брюки мужские Docker, темно-серые, размер 42")</f>
      </c>
      <c r="C5720" s="4" t="n">
        <v>4409.00</v>
      </c>
      <c r="D5720" s="4"/>
    </row>
    <row collapsed="" customFormat="false" customHeight="1" hidden="" ht="14" outlineLevel="0" r="5721">
      <c r="A5721" s="3" t="inlineStr">
        <is>
          <t>5690</t>
        </is>
      </c>
      <c r="B5721" s="4" t="s">
        <f>=HYPERLINK("http://anyluxury.ru/shop/odezhda/detskaya-odezhda/bryuki-muzhskie-docker-temnoserie-03820384/" , "03820384 Брюки мужские Docker, темно-серые, размер 44")</f>
      </c>
      <c r="C5721" s="4" t="n">
        <v>4409.00</v>
      </c>
      <c r="D5721" s="4"/>
    </row>
    <row collapsed="" customFormat="false" customHeight="1" hidden="" ht="14" outlineLevel="0" r="5722">
      <c r="A5722" s="3" t="inlineStr">
        <is>
          <t>5691</t>
        </is>
      </c>
      <c r="B5722" s="4" t="s">
        <f>=HYPERLINK("http://anyluxury.ru/shop/odezhda/detskaya-odezhda/bryuki-muzhskie-docker-temnoserie-03820384/" , "03820384 Брюки мужские Docker, темно-серые, размер 46")</f>
      </c>
      <c r="C5722" s="4" t="n">
        <v>4409.00</v>
      </c>
      <c r="D5722" s="4"/>
    </row>
    <row collapsed="" customFormat="false" customHeight="1" hidden="" ht="14" outlineLevel="0" r="5723">
      <c r="A5723" s="3" t="inlineStr">
        <is>
          <t>5692</t>
        </is>
      </c>
      <c r="B5723" s="4" t="s">
        <f>=HYPERLINK("http://anyluxury.ru/shop/odezhda/detskaya-odezhda/bryuki-muzhskie-docker-temnoserie-03820384/" , "03820384 Брюки мужские Docker, темно-серые, размер 48")</f>
      </c>
      <c r="C5723" s="4" t="n">
        <v>4409.00</v>
      </c>
      <c r="D5723" s="4"/>
    </row>
    <row collapsed="" customFormat="false" customHeight="1" hidden="" ht="14" outlineLevel="0" r="5724">
      <c r="A5724" s="3" t="inlineStr">
        <is>
          <t>5693</t>
        </is>
      </c>
      <c r="B5724" s="4" t="s">
        <f>=HYPERLINK("http://anyluxury.ru/shop/odezhda/detskaya-odezhda/bryuki-muzhskie-docker-temnoserie-03820384/" , "03820384 Брюки мужские Docker, темно-серые, размер 50")</f>
      </c>
      <c r="C5724" s="4" t="n">
        <v>5043.00</v>
      </c>
      <c r="D5724" s="4"/>
    </row>
    <row collapsed="" customFormat="false" customHeight="1" hidden="" ht="14" outlineLevel="0" r="5725">
      <c r="A5725" s="3" t="inlineStr">
        <is>
          <t>5694</t>
        </is>
      </c>
      <c r="B5725" s="4" t="s">
        <f>=HYPERLINK("http://anyluxury.ru/shop/odezhda/detskaya-odezhda/bryuki-muzhskie-docker-temnoserie-03820384/" , "03820384 Брюки мужские Docker, темно-серые, размер 52")</f>
      </c>
      <c r="C5725" s="4" t="n">
        <v>5043.00</v>
      </c>
      <c r="D5725" s="4"/>
    </row>
    <row collapsed="" customFormat="false" customHeight="1" hidden="" ht="14" outlineLevel="0" r="5726">
      <c r="A5726" s="3" t="inlineStr">
        <is>
          <t>5695</t>
        </is>
      </c>
      <c r="B5726" s="4" t="s">
        <f>=HYPERLINK("http://anyluxury.ru/shop/odezhda/detskaya-odezhda/bryuki-muzhskie-docker-temnoserie-03820384/" , "03820384 Брюки мужские Docker, темно-серые, размер 54")</f>
      </c>
      <c r="C5726" s="4" t="n">
        <v>5043.00</v>
      </c>
      <c r="D5726" s="4"/>
    </row>
    <row collapsed="" customFormat="false" customHeight="1" hidden="" ht="14" outlineLevel="0" r="5727">
      <c r="A5727" s="3" t="inlineStr">
        <is>
          <t>5696</t>
        </is>
      </c>
      <c r="B5727" s="4" t="s">
        <f>=HYPERLINK("http://anyluxury.ru/shop/odezhda/detskaya-odezhda/bryuki-muzhskie-docker-temnoserie-03820384/" , "03820384 Брюки мужские Docker, темно-серые, размер 56")</f>
      </c>
      <c r="C5727" s="4" t="n">
        <v>5043.00</v>
      </c>
      <c r="D5727" s="4"/>
    </row>
    <row collapsed="" customFormat="false" customHeight="1" hidden="" ht="14" outlineLevel="0" r="5728">
      <c r="A5728" s="3" t="inlineStr">
        <is>
          <t>5697</t>
        </is>
      </c>
      <c r="B5728" s="4" t="s">
        <f>=HYPERLINK("http://anyluxury.ru/shop/odezhda/detskaya-odezhda/bryuki-muzhskie-docker-temnoserie-03820384/" , "03820384 Брюки мужские Docker, темно-серые, размер 58")</f>
      </c>
      <c r="C5728" s="4" t="n">
        <v>5043.00</v>
      </c>
      <c r="D5728" s="4"/>
    </row>
    <row collapsed="" customFormat="false" customHeight="1" hidden="" ht="14" outlineLevel="0" r="5729">
      <c r="A5729" s="3" t="inlineStr">
        <is>
          <t>5698</t>
        </is>
      </c>
      <c r="B5729" s="4" t="s">
        <f>=HYPERLINK("http://anyluxury.ru/shop/odezhda/detskaya-odezhda/bryuki-muzhskie-docker-temnoserie-03820384/" , "03820384 Брюки мужские Docker, темно-серые, размер 60")</f>
      </c>
      <c r="C5729" s="4" t="n">
        <v>5532.00</v>
      </c>
      <c r="D5729" s="4"/>
    </row>
    <row collapsed="" customFormat="false" customHeight="1" hidden="" ht="14" outlineLevel="0" r="5730">
      <c r="A5730" s="3" t="inlineStr">
        <is>
          <t>5699</t>
        </is>
      </c>
      <c r="B5730" s="4" t="s">
        <f>=HYPERLINK("http://anyluxury.ru/shop/odezhda/detskaya-odezhda/bryuki-muzhskie-docker-temnoserie-03820384/" , "03820384 Брюки мужские Docker, темно-серые, размер 62")</f>
      </c>
      <c r="C5730" s="4" t="n">
        <v>5532.00</v>
      </c>
      <c r="D5730" s="4"/>
    </row>
    <row collapsed="" customFormat="false" customHeight="1" hidden="" ht="14" outlineLevel="0" r="5731">
      <c r="A5731" s="3" t="inlineStr">
        <is>
          <t>5700</t>
        </is>
      </c>
      <c r="B5731" s="4" t="s">
        <f>=HYPERLINK("http://anyluxury.ru/shop/odezhda/detskaya-odezhda/bryuki-muzhskie-docker-temnoserie-03820384/" , "03820384 Брюки мужские Docker, темно-серые, размер 64")</f>
      </c>
      <c r="C5731" s="4" t="n">
        <v>5532.00</v>
      </c>
      <c r="D5731" s="4"/>
    </row>
    <row collapsed="" customFormat="false" customHeight="1" hidden="" ht="14" outlineLevel="0" r="5732">
      <c r="A5732" s="3" t="inlineStr">
        <is>
          <t>5701</t>
        </is>
      </c>
      <c r="B5732" s="4" t="s">
        <f>=HYPERLINK("http://anyluxury.ru/shop/odezhda/detskaya-odezhda/bryuki-muzhskie-docker-temnosinie-03820317/" , "03820317 Брюки мужские Docker, темно-синие, размер 36")</f>
      </c>
      <c r="C5732" s="4" t="n">
        <v>4409.00</v>
      </c>
      <c r="D5732" s="4"/>
    </row>
    <row collapsed="" customFormat="false" customHeight="1" hidden="" ht="14" outlineLevel="0" r="5733">
      <c r="A5733" s="3" t="inlineStr">
        <is>
          <t>5702</t>
        </is>
      </c>
      <c r="B5733" s="4" t="s">
        <f>=HYPERLINK("http://anyluxury.ru/shop/odezhda/detskaya-odezhda/bryuki-muzhskie-docker-temnosinie-03820317/" , "03820317 Брюки мужские Docker, темно-синие, размер 38")</f>
      </c>
      <c r="C5733" s="4" t="n">
        <v>4409.00</v>
      </c>
      <c r="D5733" s="4"/>
    </row>
    <row collapsed="" customFormat="false" customHeight="1" hidden="" ht="14" outlineLevel="0" r="5734">
      <c r="A5734" s="3" t="inlineStr">
        <is>
          <t>5703</t>
        </is>
      </c>
      <c r="B5734" s="4" t="s">
        <f>=HYPERLINK("http://anyluxury.ru/shop/odezhda/detskaya-odezhda/bryuki-muzhskie-docker-temnosinie-03820317/" , "03820317 Брюки мужские Docker, темно-синие, размер 40")</f>
      </c>
      <c r="C5734" s="4" t="n">
        <v>4409.00</v>
      </c>
      <c r="D5734" s="4"/>
    </row>
    <row collapsed="" customFormat="false" customHeight="1" hidden="" ht="14" outlineLevel="0" r="5735">
      <c r="A5735" s="3" t="inlineStr">
        <is>
          <t>5704</t>
        </is>
      </c>
      <c r="B5735" s="4" t="s">
        <f>=HYPERLINK("http://anyluxury.ru/shop/odezhda/detskaya-odezhda/bryuki-muzhskie-docker-temnosinie-03820317/" , "03820317 Брюки мужские Docker, темно-синие, размер 42")</f>
      </c>
      <c r="C5735" s="4" t="n">
        <v>4409.00</v>
      </c>
      <c r="D5735" s="4"/>
    </row>
    <row collapsed="" customFormat="false" customHeight="1" hidden="" ht="14" outlineLevel="0" r="5736">
      <c r="A5736" s="3" t="inlineStr">
        <is>
          <t>5705</t>
        </is>
      </c>
      <c r="B5736" s="4" t="s">
        <f>=HYPERLINK("http://anyluxury.ru/shop/odezhda/detskaya-odezhda/bryuki-muzhskie-docker-temnosinie-03820317/" , "03820317 Брюки мужские Docker, темно-синие, размер 44")</f>
      </c>
      <c r="C5736" s="4" t="n">
        <v>4409.00</v>
      </c>
      <c r="D5736" s="4"/>
    </row>
    <row collapsed="" customFormat="false" customHeight="1" hidden="" ht="14" outlineLevel="0" r="5737">
      <c r="A5737" s="3" t="inlineStr">
        <is>
          <t>5706</t>
        </is>
      </c>
      <c r="B5737" s="4" t="s">
        <f>=HYPERLINK("http://anyluxury.ru/shop/odezhda/detskaya-odezhda/bryuki-muzhskie-docker-temnosinie-03820317/" , "03820317 Брюки мужские Docker, темно-синие, размер 46")</f>
      </c>
      <c r="C5737" s="4" t="n">
        <v>4409.00</v>
      </c>
      <c r="D5737" s="4"/>
    </row>
    <row collapsed="" customFormat="false" customHeight="1" hidden="" ht="14" outlineLevel="0" r="5738">
      <c r="A5738" s="3" t="inlineStr">
        <is>
          <t>5707</t>
        </is>
      </c>
      <c r="B5738" s="4" t="s">
        <f>=HYPERLINK("http://anyluxury.ru/shop/odezhda/detskaya-odezhda/bryuki-muzhskie-docker-temnosinie-03820317/" , "03820317 Брюки мужские Docker, темно-синие, размер 48")</f>
      </c>
      <c r="C5738" s="4" t="n">
        <v>4409.00</v>
      </c>
      <c r="D5738" s="4"/>
    </row>
    <row collapsed="" customFormat="false" customHeight="1" hidden="" ht="14" outlineLevel="0" r="5739">
      <c r="A5739" s="3" t="inlineStr">
        <is>
          <t>5708</t>
        </is>
      </c>
      <c r="B5739" s="4" t="s">
        <f>=HYPERLINK("http://anyluxury.ru/shop/odezhda/detskaya-odezhda/bryuki-muzhskie-docker-temnosinie-03820317/" , "03820317 Брюки мужские Docker, темно-синие, размер 50")</f>
      </c>
      <c r="C5739" s="4" t="n">
        <v>5043.00</v>
      </c>
      <c r="D5739" s="4"/>
    </row>
    <row collapsed="" customFormat="false" customHeight="1" hidden="" ht="14" outlineLevel="0" r="5740">
      <c r="A5740" s="3" t="inlineStr">
        <is>
          <t>5709</t>
        </is>
      </c>
      <c r="B5740" s="4" t="s">
        <f>=HYPERLINK("http://anyluxury.ru/shop/odezhda/detskaya-odezhda/bryuki-muzhskie-docker-temnosinie-03820317/" , "03820317 Брюки мужские Docker, темно-синие, размер 52")</f>
      </c>
      <c r="C5740" s="4" t="n">
        <v>5043.00</v>
      </c>
      <c r="D5740" s="4"/>
    </row>
    <row collapsed="" customFormat="false" customHeight="1" hidden="" ht="14" outlineLevel="0" r="5741">
      <c r="A5741" s="3" t="inlineStr">
        <is>
          <t>5710</t>
        </is>
      </c>
      <c r="B5741" s="4" t="s">
        <f>=HYPERLINK("http://anyluxury.ru/shop/odezhda/detskaya-odezhda/bryuki-muzhskie-docker-temnosinie-03820317/" , "03820317 Брюки мужские Docker, темно-синие, размер 54")</f>
      </c>
      <c r="C5741" s="4" t="n">
        <v>5043.00</v>
      </c>
      <c r="D5741" s="4"/>
    </row>
    <row collapsed="" customFormat="false" customHeight="1" hidden="" ht="14" outlineLevel="0" r="5742">
      <c r="A5742" s="3" t="inlineStr">
        <is>
          <t>5711</t>
        </is>
      </c>
      <c r="B5742" s="4" t="s">
        <f>=HYPERLINK("http://anyluxury.ru/shop/odezhda/detskaya-odezhda/bryuki-muzhskie-docker-temnosinie-03820317/" , "03820317 Брюки мужские Docker, темно-синие, размер 56")</f>
      </c>
      <c r="C5742" s="4" t="n">
        <v>5043.00</v>
      </c>
      <c r="D5742" s="4"/>
    </row>
    <row collapsed="" customFormat="false" customHeight="1" hidden="" ht="14" outlineLevel="0" r="5743">
      <c r="A5743" s="3" t="inlineStr">
        <is>
          <t>5712</t>
        </is>
      </c>
      <c r="B5743" s="4" t="s">
        <f>=HYPERLINK("http://anyluxury.ru/shop/odezhda/detskaya-odezhda/bryuki-muzhskie-docker-temnosinie-03820317/" , "03820317 Брюки мужские Docker, темно-синие, размер 58")</f>
      </c>
      <c r="C5743" s="4" t="n">
        <v>5043.00</v>
      </c>
      <c r="D5743" s="4"/>
    </row>
    <row collapsed="" customFormat="false" customHeight="1" hidden="" ht="14" outlineLevel="0" r="5744">
      <c r="A5744" s="3" t="inlineStr">
        <is>
          <t>5713</t>
        </is>
      </c>
      <c r="B5744" s="4" t="s">
        <f>=HYPERLINK("http://anyluxury.ru/shop/odezhda/detskaya-odezhda/bryuki-muzhskie-docker-temnosinie-03820317/" , "03820317 Брюки мужские Docker, темно-синие, размер 60")</f>
      </c>
      <c r="C5744" s="4" t="n">
        <v>5532.00</v>
      </c>
      <c r="D5744" s="4"/>
    </row>
    <row collapsed="" customFormat="false" customHeight="1" hidden="" ht="14" outlineLevel="0" r="5745">
      <c r="A5745" s="3" t="inlineStr">
        <is>
          <t>5714</t>
        </is>
      </c>
      <c r="B5745" s="4" t="s">
        <f>=HYPERLINK("http://anyluxury.ru/shop/odezhda/detskaya-odezhda/bryuki-muzhskie-docker-temnosinie-03820317/" , "03820317 Брюки мужские Docker, темно-синие, размер 62")</f>
      </c>
      <c r="C5745" s="4" t="n">
        <v>5532.00</v>
      </c>
      <c r="D5745" s="4"/>
    </row>
    <row collapsed="" customFormat="false" customHeight="1" hidden="" ht="14" outlineLevel="0" r="5746">
      <c r="A5746" s="3" t="inlineStr">
        <is>
          <t>5715</t>
        </is>
      </c>
      <c r="B5746" s="4" t="s">
        <f>=HYPERLINK("http://anyluxury.ru/shop/odezhda/detskaya-odezhda/bryuki-muzhskie-docker-temnosinie-03820317/" , "03820317 Брюки мужские Docker, темно-синие, размер 64")</f>
      </c>
      <c r="C5746" s="4" t="n">
        <v>5532.00</v>
      </c>
      <c r="D5746" s="4"/>
    </row>
    <row collapsed="" customFormat="false" customHeight="1" hidden="" ht="14" outlineLevel="0" r="5747">
      <c r="A5747" s="3" t="inlineStr">
        <is>
          <t>5716</t>
        </is>
      </c>
      <c r="B5747" s="4" t="s">
        <f>=HYPERLINK("http://anyluxury.ru/shop/odezhda/detskaya-odezhda/hudi-uniseks-patch-catcher-so-vstavkoy-iz-lipuchki-chernoe-1393430/" , "13934.30 Худи унисекс Patch Catcher, черное, размер S")</f>
      </c>
      <c r="C5747" s="4" t="n">
        <v>6300.00</v>
      </c>
      <c r="D5747" s="4"/>
    </row>
    <row collapsed="" customFormat="false" customHeight="1" hidden="" ht="14" outlineLevel="0" r="5748">
      <c r="A5748" s="3" t="inlineStr">
        <is>
          <t>5717</t>
        </is>
      </c>
      <c r="B5748" s="4" t="s">
        <f>=HYPERLINK("http://anyluxury.ru/shop/odezhda/detskaya-odezhda/hudi-uniseks-patch-catcher-so-vstavkoy-iz-lipuchki-chernoe-1393430/" , "13934.30 Худи унисекс Patch Catcher, черное, размер M")</f>
      </c>
      <c r="C5748" s="4" t="n">
        <v>6300.00</v>
      </c>
      <c r="D5748" s="4"/>
    </row>
    <row collapsed="" customFormat="false" customHeight="1" hidden="" ht="14" outlineLevel="0" r="5749">
      <c r="A5749" s="3" t="inlineStr">
        <is>
          <t>5718</t>
        </is>
      </c>
      <c r="B5749" s="4" t="s">
        <f>=HYPERLINK("http://anyluxury.ru/shop/odezhda/detskaya-odezhda/hudi-uniseks-patch-catcher-so-vstavkoy-iz-lipuchki-chernoe-1393430/" , "13934.30 Худи унисекс Patch Catcher, черное, размер XXL")</f>
      </c>
      <c r="C5749" s="4" t="n">
        <v>6300.00</v>
      </c>
      <c r="D5749" s="4"/>
    </row>
    <row collapsed="" customFormat="false" customHeight="1" hidden="" ht="14" outlineLevel="0" r="5750">
      <c r="A5750" s="3" t="inlineStr">
        <is>
          <t>5719</t>
        </is>
      </c>
      <c r="B5750" s="4" t="s">
        <f>=HYPERLINK("http://anyluxury.ru/shop/odezhda/detskaya-odezhda/hudi-uniseks-lemna-chernoe-1393830/" , "13938.30 Худи унисекс Lemna, черное, размер XS/S")</f>
      </c>
      <c r="C5750" s="4" t="n">
        <v>2500.00</v>
      </c>
      <c r="D5750" s="4"/>
    </row>
    <row collapsed="" customFormat="false" customHeight="1" hidden="" ht="14" outlineLevel="0" r="5751">
      <c r="A5751" s="3" t="inlineStr">
        <is>
          <t>5720</t>
        </is>
      </c>
      <c r="B5751" s="4" t="s">
        <f>=HYPERLINK("http://anyluxury.ru/shop/odezhda/detskaya-odezhda/hudi-uniseks-lemna-chernoe-1393830/" , "13938.30 Худи унисекс Lemna, черное, размер XL/XXL")</f>
      </c>
      <c r="C5751" s="4" t="n">
        <v>2500.00</v>
      </c>
      <c r="D5751" s="4"/>
    </row>
    <row collapsed="" customFormat="false" customHeight="1" hidden="" ht="14" outlineLevel="0" r="5752">
      <c r="A5752" s="3" t="inlineStr">
        <is>
          <t>5721</t>
        </is>
      </c>
      <c r="B5752" s="4" t="s">
        <f>=HYPERLINK("http://anyluxury.ru/shop/odezhda/detskaya-odezhda/hudi-uniseks-vozduh-20-kremovoe-1461260/" , "14612.60 Худи унисекс Vozduh 2.0, кремовое, размер XS/S")</f>
      </c>
      <c r="C5752" s="4" t="n">
        <v>2200.00</v>
      </c>
      <c r="D5752" s="4"/>
    </row>
    <row collapsed="" customFormat="false" customHeight="1" hidden="" ht="14" outlineLevel="0" r="5753">
      <c r="A5753" s="3" t="inlineStr">
        <is>
          <t>5722</t>
        </is>
      </c>
      <c r="B5753" s="4" t="s">
        <f>=HYPERLINK("http://anyluxury.ru/shop/odezhda/detskaya-odezhda/hudi-uniseks-vozduh-20-kremovoe-1461260/" , "14612.60 Худи унисекс Vozduh 2.0, кремовое, размер XL/ XXL")</f>
      </c>
      <c r="C5753" s="4" t="n">
        <v>2200.00</v>
      </c>
      <c r="D5753" s="4"/>
    </row>
    <row collapsed="" customFormat="false" customHeight="1" hidden="" ht="14" outlineLevel="0" r="5754">
      <c r="A5754" s="3" t="inlineStr">
        <is>
          <t>5723</t>
        </is>
      </c>
      <c r="B5754" s="4" t="s">
        <f>=HYPERLINK("http://anyluxury.ru/shop/odezhda/detskaya-odezhda/hudi-uniseks-vozduh-20-krasnoe-1461255/" , "14612.55 Худи унисекс Vozduh 2.0, красное, размер XS/S")</f>
      </c>
      <c r="C5754" s="4" t="n">
        <v>2200.00</v>
      </c>
      <c r="D5754" s="4"/>
    </row>
    <row collapsed="" customFormat="false" customHeight="1" hidden="" ht="14" outlineLevel="0" r="5755">
      <c r="A5755" s="3" t="inlineStr">
        <is>
          <t>5724</t>
        </is>
      </c>
      <c r="B5755" s="4" t="s">
        <f>=HYPERLINK("http://anyluxury.ru/shop/odezhda/detskaya-odezhda/hudi-uniseks-vozduh-20-krasnoe-1461255/" , "14612.55 Худи унисекс Vozduh 2.0, красное, размер M/L")</f>
      </c>
      <c r="C5755" s="4" t="n">
        <v>2200.00</v>
      </c>
      <c r="D5755" s="4"/>
    </row>
    <row collapsed="" customFormat="false" customHeight="1" hidden="" ht="14" outlineLevel="0" r="5756">
      <c r="A5756" s="3" t="inlineStr">
        <is>
          <t>5725</t>
        </is>
      </c>
      <c r="B5756" s="4" t="s">
        <f>=HYPERLINK("http://anyluxury.ru/shop/odezhda/detskaya-odezhda/hudi-uniseks-vozduh-20-krasnoe-1461255/" , "14612.55 Худи унисекс Vozduh 2.0, красное, размер XL/ XXL")</f>
      </c>
      <c r="C5756" s="4" t="n">
        <v>2200.00</v>
      </c>
      <c r="D5756" s="4"/>
    </row>
    <row collapsed="" customFormat="false" customHeight="1" hidden="" ht="14" outlineLevel="0" r="5757">
      <c r="A5757" s="3" t="inlineStr">
        <is>
          <t>5726</t>
        </is>
      </c>
      <c r="B5757" s="4" t="s">
        <f>=HYPERLINK("http://anyluxury.ru/shop/odezhda/detskaya-odezhda/hudi-uniseks-vozduh-20-temnoseroe-grafit-1461213/" , "14612.13 Худи унисекс Vozduh 2.0, темно-серое (графит), размер XS/S")</f>
      </c>
      <c r="C5757" s="4" t="n">
        <v>2200.00</v>
      </c>
      <c r="D5757" s="4"/>
    </row>
    <row collapsed="" customFormat="false" customHeight="1" hidden="" ht="14" outlineLevel="0" r="5758">
      <c r="A5758" s="3" t="inlineStr">
        <is>
          <t>5727</t>
        </is>
      </c>
      <c r="B5758" s="4" t="s">
        <f>=HYPERLINK("http://anyluxury.ru/shop/odezhda/detskaya-odezhda/hudi-uniseks-vozduh-20-temnoseroe-grafit-1461213/" , "14612.13 Худи унисекс Vozduh 2.0, темно-серое (графит), размер XL/ XXL")</f>
      </c>
      <c r="C5758" s="4" t="n">
        <v>2200.00</v>
      </c>
      <c r="D5758" s="4"/>
    </row>
    <row collapsed="" customFormat="false" customHeight="1" hidden="" ht="14" outlineLevel="0" r="5759">
      <c r="A5759" s="3" t="inlineStr">
        <is>
          <t>5728</t>
        </is>
      </c>
      <c r="B5759" s="4" t="s">
        <f>=HYPERLINK("http://anyluxury.ru/shop/odezhda/detskaya-odezhda/svitshot-uniseks-kosmos-20-temnosiniy-1461340/" , "14613.40 Свитшот унисекс Kosmos 2.0, темно-синий, размер XS/S")</f>
      </c>
      <c r="C5759" s="4" t="n">
        <v>3660.00</v>
      </c>
      <c r="D5759" s="4"/>
    </row>
    <row collapsed="" customFormat="false" customHeight="1" hidden="" ht="14" outlineLevel="0" r="5760">
      <c r="A5760" s="3" t="inlineStr">
        <is>
          <t>5729</t>
        </is>
      </c>
      <c r="B5760" s="4" t="s">
        <f>=HYPERLINK("http://anyluxury.ru/shop/odezhda/detskaya-odezhda/svitshot-uniseks-kosmos-20-temnosiniy-1461340/" , "14613.40 Свитшот унисекс Kosmos 2.0, темно-синий, размер M/L")</f>
      </c>
      <c r="C5760" s="4" t="n">
        <v>3660.00</v>
      </c>
      <c r="D5760" s="4"/>
    </row>
    <row collapsed="" customFormat="false" customHeight="1" hidden="" ht="14" outlineLevel="0" r="5761">
      <c r="A5761" s="3" t="inlineStr">
        <is>
          <t>5730</t>
        </is>
      </c>
      <c r="B5761" s="4" t="s">
        <f>=HYPERLINK("http://anyluxury.ru/shop/odezhda/detskaya-odezhda/svitshot-uniseks-kosmos-20-temnosiniy-1461340/" , "14613.40 Свитшот унисекс Kosmos 2.0, темно-синий, размер XL/ XXL")</f>
      </c>
      <c r="C5761" s="4" t="n">
        <v>3660.00</v>
      </c>
      <c r="D5761" s="4"/>
    </row>
    <row collapsed="" customFormat="false" customHeight="1" hidden="" ht="14" outlineLevel="0" r="5762">
      <c r="A5762" s="3" t="inlineStr">
        <is>
          <t>5731</t>
        </is>
      </c>
      <c r="B5762" s="4" t="s">
        <f>=HYPERLINK("http://anyluxury.ru/shop/odezhda/detskaya-odezhda/svitshot-uniseks-kosmos-20-krasniy-1461355/" , "14613.55 Свитшот унисекс Kosmos 2.0, красный, размер XS/S")</f>
      </c>
      <c r="C5762" s="4" t="n">
        <v>3660.00</v>
      </c>
      <c r="D5762" s="4"/>
    </row>
    <row collapsed="" customFormat="false" customHeight="1" hidden="" ht="14" outlineLevel="0" r="5763">
      <c r="A5763" s="3" t="inlineStr">
        <is>
          <t>5732</t>
        </is>
      </c>
      <c r="B5763" s="4" t="s">
        <f>=HYPERLINK("http://anyluxury.ru/shop/odezhda/detskaya-odezhda/svitshot-uniseks-kosmos-20-krasniy-1461355/" , "14613.55 Свитшот унисекс Kosmos 2.0, красный, размер M/L")</f>
      </c>
      <c r="C5763" s="4" t="n">
        <v>3660.00</v>
      </c>
      <c r="D5763" s="4"/>
    </row>
    <row collapsed="" customFormat="false" customHeight="1" hidden="" ht="14" outlineLevel="0" r="5764">
      <c r="A5764" s="3" t="inlineStr">
        <is>
          <t>5733</t>
        </is>
      </c>
      <c r="B5764" s="4" t="s">
        <f>=HYPERLINK("http://anyluxury.ru/shop/odezhda/detskaya-odezhda/svitshot-uniseks-kosmos-20-krasniy-1461355/" , "14613.55 Свитшот унисекс Kosmos 2.0, красный, размер XL/ XXL")</f>
      </c>
      <c r="C5764" s="4" t="n">
        <v>3660.00</v>
      </c>
      <c r="D5764" s="4"/>
    </row>
    <row collapsed="" customFormat="false" customHeight="1" hidden="" ht="14" outlineLevel="0" r="5765">
      <c r="A5765" s="3" t="inlineStr">
        <is>
          <t>5734</t>
        </is>
      </c>
      <c r="B5765" s="4" t="s">
        <f>=HYPERLINK("http://anyluxury.ru/shop/odezhda/detskaya-odezhda/svitshot-uniseks-kosmos-20-kremoviy-1461360/" , "14613.60 Свитшот унисекс Kosmos 2.0, кремовый, размер XS/S")</f>
      </c>
      <c r="C5765" s="4" t="n">
        <v>3660.00</v>
      </c>
      <c r="D5765" s="4"/>
    </row>
    <row collapsed="" customFormat="false" customHeight="1" hidden="" ht="14" outlineLevel="0" r="5766">
      <c r="A5766" s="3" t="inlineStr">
        <is>
          <t>5735</t>
        </is>
      </c>
      <c r="B5766" s="4" t="s">
        <f>=HYPERLINK("http://anyluxury.ru/shop/odezhda/detskaya-odezhda/svitshot-uniseks-kosmos-20-kremoviy-1461360/" , "14613.60 Свитшот унисекс Kosmos 2.0, кремовый, размер M/L")</f>
      </c>
      <c r="C5766" s="4" t="n">
        <v>3660.00</v>
      </c>
      <c r="D5766" s="4"/>
    </row>
    <row collapsed="" customFormat="false" customHeight="1" hidden="" ht="14" outlineLevel="0" r="5767">
      <c r="A5767" s="3" t="inlineStr">
        <is>
          <t>5736</t>
        </is>
      </c>
      <c r="B5767" s="4" t="s">
        <f>=HYPERLINK("http://anyluxury.ru/shop/odezhda/detskaya-odezhda/svitshot-uniseks-kosmos-20-kremoviy-1461360/" , "14613.60 Свитшот унисекс Kosmos 2.0, кремовый, размер XL/ XXL")</f>
      </c>
      <c r="C5767" s="4" t="n">
        <v>3660.00</v>
      </c>
      <c r="D5767" s="4"/>
    </row>
    <row collapsed="" customFormat="false" customHeight="1" hidden="" ht="14" outlineLevel="0" r="5768">
      <c r="A5768" s="3" t="inlineStr">
        <is>
          <t>5737</t>
        </is>
      </c>
      <c r="B5768" s="4" t="s">
        <f>=HYPERLINK("http://anyluxury.ru/shop/odezhda/detskaya-odezhda/svitshot-neofit-kremoviy-1461460/" , "14614.60 Свитшот Neofit, кремовый, размер XS/S")</f>
      </c>
      <c r="C5768" s="4" t="n">
        <v>2225.00</v>
      </c>
      <c r="D5768" s="4"/>
    </row>
    <row collapsed="" customFormat="false" customHeight="1" hidden="" ht="14" outlineLevel="0" r="5769">
      <c r="A5769" s="3" t="inlineStr">
        <is>
          <t>5738</t>
        </is>
      </c>
      <c r="B5769" s="4" t="s">
        <f>=HYPERLINK("http://anyluxury.ru/shop/odezhda/detskaya-odezhda/svitshot-neofit-kremoviy-1461460/" , "14614.60 Свитшот Neofit, кремовый, размер M/L")</f>
      </c>
      <c r="C5769" s="4" t="n">
        <v>2225.00</v>
      </c>
      <c r="D5769" s="4"/>
    </row>
    <row collapsed="" customFormat="false" customHeight="1" hidden="" ht="14" outlineLevel="0" r="5770">
      <c r="A5770" s="3" t="inlineStr">
        <is>
          <t>5739</t>
        </is>
      </c>
      <c r="B5770" s="4" t="s">
        <f>=HYPERLINK("http://anyluxury.ru/shop/odezhda/detskaya-odezhda/svitshot-neofit-kremoviy-1461460/" , "14614.60 Свитшот Neofit, кремовый, размер XL/ XXL")</f>
      </c>
      <c r="C5770" s="4" t="n">
        <v>2225.00</v>
      </c>
      <c r="D5770" s="4"/>
    </row>
    <row collapsed="" customFormat="false" customHeight="1" hidden="" ht="14" outlineLevel="0" r="5771">
      <c r="A5771" s="3" t="inlineStr">
        <is>
          <t>5740</t>
        </is>
      </c>
      <c r="B5771" s="4" t="s">
        <f>=HYPERLINK("http://anyluxury.ru/shop/odezhda/detskaya-odezhda/svitshot-neofit-cvetloseriy-1461410/" , "14614.10 Свитшот Neofit, cветло-серый, размер XS/S")</f>
      </c>
      <c r="C5771" s="4" t="n">
        <v>2225.00</v>
      </c>
      <c r="D5771" s="4"/>
    </row>
    <row collapsed="" customFormat="false" customHeight="1" hidden="" ht="14" outlineLevel="0" r="5772">
      <c r="A5772" s="3" t="inlineStr">
        <is>
          <t>5741</t>
        </is>
      </c>
      <c r="B5772" s="4" t="s">
        <f>=HYPERLINK("http://anyluxury.ru/shop/odezhda/detskaya-odezhda/svitshot-neofit-cvetloseriy-1461410/" , "14614.10 Свитшот Neofit, cветло-серый, размер M/L")</f>
      </c>
      <c r="C5772" s="4" t="n">
        <v>2225.00</v>
      </c>
      <c r="D5772" s="4"/>
    </row>
    <row collapsed="" customFormat="false" customHeight="1" hidden="" ht="14" outlineLevel="0" r="5773">
      <c r="A5773" s="3" t="inlineStr">
        <is>
          <t>5742</t>
        </is>
      </c>
      <c r="B5773" s="4" t="s">
        <f>=HYPERLINK("http://anyluxury.ru/shop/odezhda/detskaya-odezhda/svitshot-neofit-cvetloseriy-1461410/" , "14614.10 Свитшот Neofit, cветло-серый, размер XL/ XXL")</f>
      </c>
      <c r="C5773" s="4" t="n">
        <v>2225.00</v>
      </c>
      <c r="D5773" s="4"/>
    </row>
    <row collapsed="" customFormat="false" customHeight="1" hidden="" ht="14" outlineLevel="0" r="5774">
      <c r="A5774" s="3" t="inlineStr">
        <is>
          <t>5743</t>
        </is>
      </c>
      <c r="B5774" s="4" t="s">
        <f>=HYPERLINK("http://anyluxury.ru/shop/odezhda/detskaya-odezhda/svitshot-neofit-temnosiniy-1461444/" , "14614.44 Свитшот Neofit, темно-синий, размер XS/S")</f>
      </c>
      <c r="C5774" s="4" t="n">
        <v>2225.00</v>
      </c>
      <c r="D5774" s="4"/>
    </row>
    <row collapsed="" customFormat="false" customHeight="1" hidden="" ht="14" outlineLevel="0" r="5775">
      <c r="A5775" s="3" t="inlineStr">
        <is>
          <t>5744</t>
        </is>
      </c>
      <c r="B5775" s="4" t="s">
        <f>=HYPERLINK("http://anyluxury.ru/shop/odezhda/detskaya-odezhda/svitshot-neofit-temnosiniy-1461444/" , "14614.44 Свитшот Neofit, темно-синий размер XL/ XXL")</f>
      </c>
      <c r="C5775" s="4" t="n">
        <v>2225.00</v>
      </c>
      <c r="D5775" s="4"/>
    </row>
    <row collapsed="" customFormat="false" customHeight="1" hidden="" ht="14" outlineLevel="0" r="5776">
      <c r="A5776" s="3" t="inlineStr">
        <is>
          <t>5745</t>
        </is>
      </c>
      <c r="B5776" s="4" t="s">
        <f>=HYPERLINK("http://anyluxury.ru/shop/odezhda/detskaya-odezhda/svitshot-neofit-temnoseriy-grafit-1461413/" , "14614.13 Свитшот Neofit, темно-серый (графит), размер XS/S")</f>
      </c>
      <c r="C5776" s="4" t="n">
        <v>2225.00</v>
      </c>
      <c r="D5776" s="4"/>
    </row>
    <row collapsed="" customFormat="false" customHeight="1" hidden="" ht="14" outlineLevel="0" r="5777">
      <c r="A5777" s="3" t="inlineStr">
        <is>
          <t>5746</t>
        </is>
      </c>
      <c r="B5777" s="4" t="s">
        <f>=HYPERLINK("http://anyluxury.ru/shop/odezhda/detskaya-odezhda/svitshot-neofit-temnoseriy-grafit-1461413/" , "14614.13 Свитшот Neofit, темно-серый (графит), размер M/L")</f>
      </c>
      <c r="C5777" s="4" t="n">
        <v>2225.00</v>
      </c>
      <c r="D5777" s="4"/>
    </row>
    <row collapsed="" customFormat="false" customHeight="1" hidden="" ht="14" outlineLevel="0" r="5778">
      <c r="A5778" s="3" t="inlineStr">
        <is>
          <t>5747</t>
        </is>
      </c>
      <c r="B5778" s="4" t="s">
        <f>=HYPERLINK("http://anyluxury.ru/shop/odezhda/detskaya-odezhda/svitshot-neofit-temnoseriy-grafit-1461413/" , "14614.13 Свитшот Neofit, темно-серый (графит), размер XL/ XXL")</f>
      </c>
      <c r="C5778" s="4" t="n">
        <v>2225.00</v>
      </c>
      <c r="D5778" s="4"/>
    </row>
    <row collapsed="" customFormat="false" customHeight="1" hidden="" ht="14" outlineLevel="0" r="5779">
      <c r="A5779" s="3" t="inlineStr">
        <is>
          <t>5748</t>
        </is>
      </c>
      <c r="B5779" s="4" t="s">
        <f>=HYPERLINK("http://anyluxury.ru/shop/odezhda/detskaya-odezhda/shevron-s-polnocvetnoy-pechatyu-na-zakaz-kappa-m-1418920/" , "14189.20 Шеврон с полноцветной печатью на заказ Kappa, M")</f>
      </c>
      <c r="C5779" s="4" t="n">
        <v>279.00</v>
      </c>
      <c r="D5779" s="4"/>
    </row>
    <row collapsed="" customFormat="false" customHeight="1" hidden="" ht="14" outlineLevel="0" r="5780">
      <c r="A5780" s="3" t="inlineStr">
        <is>
          <t>5749</t>
        </is>
      </c>
      <c r="B5780" s="4" t="s">
        <f>=HYPERLINK("http://anyluxury.ru/shop/odezhda/detskaya-odezhda/shevron-na-lipuchke-s-polnocvetnoy-pechatyu-na-zakaz-sigma-m-1419220/" , "14192.20 Шеврон на липучке с полноцветной печатью на заказ Sigma, M")</f>
      </c>
      <c r="C5780" s="4" t="n">
        <v>325.00</v>
      </c>
      <c r="D5780" s="4"/>
    </row>
    <row collapsed="" customFormat="false" customHeight="1" hidden="" ht="14" outlineLevel="0" r="5781">
      <c r="A5781" s="3" t="inlineStr">
        <is>
          <t>5750</t>
        </is>
      </c>
      <c r="B5781" s="4" t="s">
        <f>=HYPERLINK("http://anyluxury.ru/shop/odezhda/detskaya-odezhda/shevron-s-polnocvetnoy-pechatyu-na-zakaz-kappa-s-1418910/" , "14189.10 Шеврон с полноцветной печатью на заказ Kappa, S")</f>
      </c>
      <c r="C5781" s="4" t="n">
        <v>243.00</v>
      </c>
      <c r="D5781" s="4"/>
    </row>
    <row collapsed="" customFormat="false" customHeight="1" hidden="" ht="14" outlineLevel="0" r="5782">
      <c r="A5782" s="3" t="inlineStr">
        <is>
          <t>5751</t>
        </is>
      </c>
      <c r="B5782" s="4" t="s">
        <f>=HYPERLINK("http://anyluxury.ru/shop/odezhda/detskaya-odezhda/shevron-s-polnocvetnoy-pechatyu-na-zakaz-kappa-l-1418930/" , "14189.30 Шеврон с полноцветной печатью на заказ Kappa, L")</f>
      </c>
      <c r="C5782" s="4" t="n">
        <v>347.00</v>
      </c>
      <c r="D5782" s="4"/>
    </row>
    <row collapsed="" customFormat="false" customHeight="1" hidden="" ht="14" outlineLevel="0" r="5783">
      <c r="A5783" s="3" t="inlineStr">
        <is>
          <t>5752</t>
        </is>
      </c>
      <c r="B5783" s="4" t="s">
        <f>=HYPERLINK("http://anyluxury.ru/shop/odezhda/detskaya-odezhda/shevron-na-lipuchke-s-polnocvetnoy-pechatyu-na-zakaz-sigma-s-1419210/" , "14192.10 Шеврон на липучке с полноцветной печатью на заказ Sigma, S")</f>
      </c>
      <c r="C5783" s="4" t="n">
        <v>281.00</v>
      </c>
      <c r="D5783" s="4"/>
    </row>
    <row collapsed="" customFormat="false" customHeight="1" hidden="" ht="14" outlineLevel="0" r="5784">
      <c r="A5784" s="3" t="inlineStr">
        <is>
          <t>5753</t>
        </is>
      </c>
      <c r="B5784" s="4" t="s">
        <f>=HYPERLINK("http://anyluxury.ru/shop/odezhda/detskaya-odezhda/shevron-na-lipuchke-s-polnocvetnoy-pechatyu-na-zakaz-sigma-l-1419230/" , "14192.30 Шеврон на липучке с полноцветной печатью на заказ Sigma, L")</f>
      </c>
      <c r="C5784" s="4" t="n">
        <v>400.00</v>
      </c>
      <c r="D5784" s="4"/>
    </row>
    <row collapsed="" customFormat="false" customHeight="1" hidden="" ht="14" outlineLevel="0" r="5785">
      <c r="A5785" s="3" t="inlineStr">
        <is>
          <t>5754</t>
        </is>
      </c>
      <c r="B5785" s="4" t="s">
        <f>=HYPERLINK("http://anyluxury.ru/shop/odezhda/detskaya-odezhda/kurtka-flisovaya-uniseks-manakin-belaya-1426660/" , "14266.60 Куртка флисовая унисекс Manakin, белая, размер ХS/S")</f>
      </c>
      <c r="C5785" s="4" t="n">
        <v>2540.00</v>
      </c>
      <c r="D5785" s="4"/>
    </row>
    <row collapsed="" customFormat="false" customHeight="1" hidden="" ht="14" outlineLevel="0" r="5786">
      <c r="A5786" s="3" t="inlineStr">
        <is>
          <t>5755</t>
        </is>
      </c>
      <c r="B5786" s="4" t="s">
        <f>=HYPERLINK("http://anyluxury.ru/shop/odezhda/detskaya-odezhda/kurtka-flisovaya-uniseks-manakin-belaya-1426660/" , "14266.60 Куртка флисовая унисекс Manakin, белая, размер M/L")</f>
      </c>
      <c r="C5786" s="4" t="n">
        <v>2540.00</v>
      </c>
      <c r="D5786" s="4"/>
    </row>
    <row collapsed="" customFormat="false" customHeight="1" hidden="" ht="14" outlineLevel="0" r="5787">
      <c r="A5787" s="3" t="inlineStr">
        <is>
          <t>5756</t>
        </is>
      </c>
      <c r="B5787" s="4" t="s">
        <f>=HYPERLINK("http://anyluxury.ru/shop/odezhda/detskaya-odezhda/kurtka-flisovaya-uniseks-manakin-belaya-1426660/" , "14266.60 Куртка флисовая унисекс Manakin, белая, размер ХL/ХХL")</f>
      </c>
      <c r="C5787" s="4" t="n">
        <v>2540.00</v>
      </c>
      <c r="D5787" s="4"/>
    </row>
    <row collapsed="" customFormat="false" customHeight="1" hidden="" ht="14" outlineLevel="0" r="5788">
      <c r="A5788" s="3" t="inlineStr">
        <is>
          <t>5757</t>
        </is>
      </c>
      <c r="B5788" s="4" t="s">
        <f>=HYPERLINK("http://anyluxury.ru/shop/odezhda/detskaya-odezhda/hudi-kulonga-comfort-temnosinee-1420240/" , "14202.40 Худи Kulonga Comfort, темно-синее, размер ХS/S")</f>
      </c>
      <c r="C5788" s="4" t="n">
        <v>2000.00</v>
      </c>
      <c r="D5788" s="4"/>
    </row>
    <row collapsed="" customFormat="false" customHeight="1" hidden="" ht="14" outlineLevel="0" r="5789">
      <c r="A5789" s="3" t="inlineStr">
        <is>
          <t>5758</t>
        </is>
      </c>
      <c r="B5789" s="4" t="s">
        <f>=HYPERLINK("http://anyluxury.ru/shop/odezhda/detskaya-odezhda/shevron-iz-pvh-na-zakaz-iota-s-1419110/" , "14191.10 Лейбл из ПВХ на заказ Iota, S")</f>
      </c>
      <c r="C5789" s="4" t="n">
        <v>183.00</v>
      </c>
      <c r="D5789" s="4"/>
    </row>
    <row collapsed="" customFormat="false" customHeight="1" hidden="" ht="14" outlineLevel="0" r="5790">
      <c r="A5790" s="3" t="inlineStr">
        <is>
          <t>5759</t>
        </is>
      </c>
      <c r="B5790" s="4" t="s">
        <f>=HYPERLINK("http://anyluxury.ru/shop/odezhda/detskaya-odezhda/vyazanaya-lenta-na-zakaz-tape-1419630/" , "14196.30 Вязаный шнурок в капюшон на заказ Tape")</f>
      </c>
      <c r="C5790" s="4" t="n">
        <v>438.00</v>
      </c>
      <c r="D5790" s="4"/>
    </row>
    <row collapsed="" customFormat="false" customHeight="1" hidden="" ht="14" outlineLevel="0" r="5791">
      <c r="A5791" s="3" t="inlineStr">
        <is>
          <t>5760</t>
        </is>
      </c>
      <c r="B5791" s="4" t="s">
        <f>=HYPERLINK("http://anyluxury.ru/shop/odezhda/detskaya-odezhda/vyazaniy-karmankenguru-na-zakaz-raosy-1419710/" , "14197.10 Вязаный карман-кенгуру на заказ Рaosy")</f>
      </c>
      <c r="C5791" s="4" t="n">
        <v>1197.00</v>
      </c>
      <c r="D5791" s="4"/>
    </row>
    <row collapsed="" customFormat="false" customHeight="1" hidden="" ht="14" outlineLevel="0" r="5792">
      <c r="A5792" s="3" t="inlineStr">
        <is>
          <t>5761</t>
        </is>
      </c>
      <c r="B5792" s="4" t="s">
        <f>=HYPERLINK("http://anyluxury.ru/shop/odezhda/detskaya-odezhda/vyazanie-manzheti-na-zakaz-runo-1419820/" , "14198.20 Вязаные манжеты на заказ Рuno")</f>
      </c>
      <c r="C5792" s="4" t="n">
        <v>825.00</v>
      </c>
      <c r="D5792" s="4"/>
    </row>
    <row collapsed="" customFormat="false" customHeight="1" hidden="" ht="14" outlineLevel="0" r="5793">
      <c r="A5793" s="3" t="inlineStr">
        <is>
          <t>5762</t>
        </is>
      </c>
      <c r="B5793" s="4" t="s">
        <f>=HYPERLINK("http://anyluxury.ru/shop/odezhda/detskaya-odezhda/vyazanaya-rezinka-po-nizu-na-zakaz-fondo-1419930/" , "14199.30 Вязаная резинка по низу на заказ Fondo")</f>
      </c>
      <c r="C5793" s="4" t="n">
        <v>723.00</v>
      </c>
      <c r="D5793" s="4"/>
    </row>
    <row collapsed="" customFormat="false" customHeight="1" hidden="" ht="14" outlineLevel="0" r="5794">
      <c r="A5794" s="3" t="inlineStr">
        <is>
          <t>5763</t>
        </is>
      </c>
      <c r="B5794" s="4" t="s">
        <f>=HYPERLINK("http://anyluxury.ru/shop/odezhda/detskaya-odezhda/shevron-iz-pvh-na-zakaz-iota-m-1419120/" , "14191.20 Лейбл из ПВХ на заказ Iota, M")</f>
      </c>
      <c r="C5794" s="4" t="n">
        <v>256.00</v>
      </c>
      <c r="D5794" s="4"/>
    </row>
    <row collapsed="" customFormat="false" customHeight="1" hidden="" ht="14" outlineLevel="0" r="5795">
      <c r="A5795" s="3" t="inlineStr">
        <is>
          <t>5764</t>
        </is>
      </c>
      <c r="B5795" s="4" t="s">
        <f>=HYPERLINK("http://anyluxury.ru/shop/odezhda/detskaya-odezhda/kurtka-flisovaya-uniseks-manakin-chernaya-1426630/" , "14266.30 Куртка флисовая унисекс Manakin, черная, размер ХS/S")</f>
      </c>
      <c r="C5795" s="4" t="n">
        <v>2540.00</v>
      </c>
      <c r="D5795" s="4"/>
    </row>
    <row collapsed="" customFormat="false" customHeight="1" hidden="" ht="14" outlineLevel="0" r="5796">
      <c r="A5796" s="3" t="inlineStr">
        <is>
          <t>5765</t>
        </is>
      </c>
      <c r="B5796" s="4" t="s">
        <f>=HYPERLINK("http://anyluxury.ru/shop/odezhda/detskaya-odezhda/kurtka-flisovaya-uniseks-manakin-chernaya-1426630/" , "14266.30 Куртка флисовая унисекс Manakin, черная, размер M/L")</f>
      </c>
      <c r="C5796" s="4" t="n">
        <v>2540.00</v>
      </c>
      <c r="D5796" s="4"/>
    </row>
    <row collapsed="" customFormat="false" customHeight="1" hidden="" ht="14" outlineLevel="0" r="5797">
      <c r="A5797" s="3" t="inlineStr">
        <is>
          <t>5766</t>
        </is>
      </c>
      <c r="B5797" s="4" t="s">
        <f>=HYPERLINK("http://anyluxury.ru/shop/odezhda/detskaya-odezhda/kurtka-flisovaya-uniseks-manakin-chernaya-1426630/" , "14266.30 Куртка флисовая унисекс Manakin, черная, размер ХL/ХХL")</f>
      </c>
      <c r="C5797" s="4" t="n">
        <v>2540.00</v>
      </c>
      <c r="D5797" s="4"/>
    </row>
    <row collapsed="" customFormat="false" customHeight="1" hidden="" ht="14" outlineLevel="0" r="5798">
      <c r="A5798" s="3" t="inlineStr">
        <is>
          <t>5767</t>
        </is>
      </c>
      <c r="B5798" s="4" t="s">
        <f>=HYPERLINK("http://anyluxury.ru/shop/odezhda/detskaya-odezhda/kurtka-flisovaya-uniseks-manakin-yarkosinyaya-1426644/" , "14266.44 Куртка флисовая унисекс Manakin, ярко-синяя, размер ХS/S")</f>
      </c>
      <c r="C5798" s="4" t="n">
        <v>2540.00</v>
      </c>
      <c r="D5798" s="4"/>
    </row>
    <row collapsed="" customFormat="false" customHeight="1" hidden="" ht="14" outlineLevel="0" r="5799">
      <c r="A5799" s="3" t="inlineStr">
        <is>
          <t>5768</t>
        </is>
      </c>
      <c r="B5799" s="4" t="s">
        <f>=HYPERLINK("http://anyluxury.ru/shop/odezhda/detskaya-odezhda/hudi-kulonga-one-size-molochnobeloe-1430160/" , "14301.60 Худи Kulonga One Size, молочно-белое")</f>
      </c>
      <c r="C5799" s="4" t="n">
        <v>3950.00</v>
      </c>
      <c r="D5799" s="4"/>
    </row>
    <row collapsed="" customFormat="false" customHeight="1" hidden="" ht="14" outlineLevel="0" r="5800">
      <c r="A5800" s="3" t="inlineStr">
        <is>
          <t>5769</t>
        </is>
      </c>
      <c r="B5800" s="4" t="s">
        <f>=HYPERLINK("http://anyluxury.ru/shop/odezhda/detskaya-odezhda/hudi-furry-oversize-chernoe-1425530/" , "14255.30 Худи Furry Oversize, черное, размер ХS/S")</f>
      </c>
      <c r="C5800" s="4" t="n">
        <v>5494.00</v>
      </c>
      <c r="D5800" s="4"/>
    </row>
    <row collapsed="" customFormat="false" customHeight="1" hidden="" ht="14" outlineLevel="0" r="5801">
      <c r="A5801" s="3" t="inlineStr">
        <is>
          <t>5770</t>
        </is>
      </c>
      <c r="B5801" s="4" t="s">
        <f>=HYPERLINK("http://anyluxury.ru/shop/odezhda/detskaya-odezhda/hudi-furry-oversize-chernoe-1425530/" , "14255.30 Худи Furry Oversize, черное, размер M/L")</f>
      </c>
      <c r="C5801" s="4" t="n">
        <v>5494.00</v>
      </c>
      <c r="D5801" s="4"/>
    </row>
    <row collapsed="" customFormat="false" customHeight="1" hidden="" ht="14" outlineLevel="0" r="5802">
      <c r="A5802" s="3" t="inlineStr">
        <is>
          <t>5771</t>
        </is>
      </c>
      <c r="B5802" s="4" t="s">
        <f>=HYPERLINK("http://anyluxury.ru/shop/odezhda/detskaya-odezhda/hudi-furry-oversize-chernoe-1425530/" , "14255.30 Худи Furry Oversize, черное, размер ХL/XXL")</f>
      </c>
      <c r="C5802" s="4" t="n">
        <v>5494.00</v>
      </c>
      <c r="D5802" s="4"/>
    </row>
    <row collapsed="" customFormat="false" customHeight="1" hidden="" ht="14" outlineLevel="0" r="5803">
      <c r="A5803" s="3" t="inlineStr">
        <is>
          <t>5772</t>
        </is>
      </c>
      <c r="B5803" s="4" t="s">
        <f>=HYPERLINK("http://anyluxury.ru/shop/odezhda/detskaya-odezhda/kurtka-flisovaya-uniseks-manakin-temnosinyaya-1426640/" , "14266.40 Куртка флисовая унисекс Manakin, темно-синяя, размер XS/S")</f>
      </c>
      <c r="C5803" s="4" t="n">
        <v>3090.00</v>
      </c>
      <c r="D5803" s="4"/>
    </row>
    <row collapsed="" customFormat="false" customHeight="1" hidden="" ht="14" outlineLevel="0" r="5804">
      <c r="A5804" s="3" t="inlineStr">
        <is>
          <t>5773</t>
        </is>
      </c>
      <c r="B5804" s="4" t="s">
        <f>=HYPERLINK("http://anyluxury.ru/shop/odezhda/detskaya-odezhda/kurtka-flisovaya-uniseks-manakin-temnosinyaya-1426640/" , "14266.40 Куртка флисовая унисекс Manakin, темно-синяя, размер M/L")</f>
      </c>
      <c r="C5804" s="4" t="n">
        <v>3090.00</v>
      </c>
      <c r="D5804" s="4"/>
    </row>
    <row collapsed="" customFormat="false" customHeight="1" hidden="" ht="14" outlineLevel="0" r="5805">
      <c r="A5805" s="3" t="inlineStr">
        <is>
          <t>5774</t>
        </is>
      </c>
      <c r="B5805" s="4" t="s">
        <f>=HYPERLINK("http://anyluxury.ru/shop/odezhda/detskaya-odezhda/kurtka-flisovaya-uniseks-manakin-temnosinyaya-1426640/" , "14266.40 Куртка флисовая унисекс Manakin, темно-синяя, размер XL/XXL")</f>
      </c>
      <c r="C5805" s="4" t="n">
        <v>3090.00</v>
      </c>
      <c r="D5805" s="4"/>
    </row>
    <row collapsed="" customFormat="false" customHeight="1" hidden="" ht="14" outlineLevel="0" r="5806">
      <c r="A5806" s="3" t="inlineStr">
        <is>
          <t>5775</t>
        </is>
      </c>
      <c r="B5806" s="4" t="s">
        <f>=HYPERLINK("http://anyluxury.ru/shop/odezhda/detskaya-odezhda/kurtka-flisovaya-uniseks-manakin-fioletovaya-1426678/" , "14266.78 Куртка флисовая унисекс Manakin, фиолетовая, размер XS/S")</f>
      </c>
      <c r="C5806" s="4" t="n">
        <v>3090.00</v>
      </c>
      <c r="D5806" s="4"/>
    </row>
    <row collapsed="" customFormat="false" customHeight="1" hidden="" ht="14" outlineLevel="0" r="5807">
      <c r="A5807" s="3" t="inlineStr">
        <is>
          <t>5776</t>
        </is>
      </c>
      <c r="B5807" s="4" t="s">
        <f>=HYPERLINK("http://anyluxury.ru/shop/odezhda/detskaya-odezhda/kurtka-flisovaya-uniseks-manakin-fioletovaya-1426678/" , "14266.78 Куртка флисовая унисекс Manakin, фиолетовая, размер M/L")</f>
      </c>
      <c r="C5807" s="4" t="n">
        <v>3090.00</v>
      </c>
      <c r="D5807" s="4"/>
    </row>
    <row collapsed="" customFormat="false" customHeight="1" hidden="" ht="14" outlineLevel="0" r="5808">
      <c r="A5808" s="3" t="inlineStr">
        <is>
          <t>5777</t>
        </is>
      </c>
      <c r="B5808" s="4" t="s">
        <f>=HYPERLINK("http://anyluxury.ru/shop/odezhda/detskaya-odezhda/kurtka-flisovaya-uniseks-manakin-fioletovaya-1426678/" , "14266.78 Куртка флисовая унисекс Manakin, фиолетовая, размер XL/XXL")</f>
      </c>
      <c r="C5808" s="4" t="n">
        <v>3090.00</v>
      </c>
      <c r="D5808" s="4"/>
    </row>
    <row collapsed="" customFormat="false" customHeight="1" hidden="" ht="14" outlineLevel="0" r="5809">
      <c r="A5809" s="3" t="inlineStr">
        <is>
          <t>5778</t>
        </is>
      </c>
      <c r="B5809" s="4" t="s">
        <f>=HYPERLINK("http://anyluxury.ru/shop/odezhda/detskaya-odezhda/kurtka-flisovaya-uniseks-manakin-sirenevaya-1426677/" , "14266.77 Куртка флисовая унисекс Manakin, сиреневая, размер XS/S")</f>
      </c>
      <c r="C5809" s="4" t="n">
        <v>3090.00</v>
      </c>
      <c r="D5809" s="4"/>
    </row>
    <row collapsed="" customFormat="false" customHeight="1" hidden="" ht="14" outlineLevel="0" r="5810">
      <c r="A5810" s="3" t="inlineStr">
        <is>
          <t>5779</t>
        </is>
      </c>
      <c r="B5810" s="4" t="s">
        <f>=HYPERLINK("http://anyluxury.ru/shop/odezhda/detskaya-odezhda/kurtka-flisovaya-uniseks-manakin-sirenevaya-1426677/" , "14266.77 Куртка флисовая унисекс Manakin, сиреневая, размер M/L")</f>
      </c>
      <c r="C5810" s="4" t="n">
        <v>3090.00</v>
      </c>
      <c r="D5810" s="4"/>
    </row>
    <row collapsed="" customFormat="false" customHeight="1" hidden="" ht="14" outlineLevel="0" r="5811">
      <c r="A5811" s="3" t="inlineStr">
        <is>
          <t>5780</t>
        </is>
      </c>
      <c r="B5811" s="4" t="s">
        <f>=HYPERLINK("http://anyluxury.ru/shop/odezhda/detskaya-odezhda/kurtka-flisovaya-uniseks-manakin-sirenevaya-1426677/" , "14266.77 Куртка флисовая унисекс Manakin, сиреневая, размер XL/XXL")</f>
      </c>
      <c r="C5811" s="4" t="n">
        <v>3090.00</v>
      </c>
      <c r="D5811" s="4"/>
    </row>
    <row collapsed="" customFormat="false" customHeight="1" hidden="" ht="14" outlineLevel="0" r="5812">
      <c r="A5812" s="3" t="inlineStr">
        <is>
          <t>5781</t>
        </is>
      </c>
      <c r="B5812" s="4" t="s">
        <f>=HYPERLINK("http://anyluxury.ru/shop/odezhda/detskaya-odezhda/kurtka-flisovaya-uniseks-manakin-oranzhevaya-1426620/" , "14266.20 Куртка флисовая унисекс Manakin, оранжевая, размер XS/S")</f>
      </c>
      <c r="C5812" s="4" t="n">
        <v>3090.00</v>
      </c>
      <c r="D5812" s="4"/>
    </row>
    <row collapsed="" customFormat="false" customHeight="1" hidden="" ht="14" outlineLevel="0" r="5813">
      <c r="A5813" s="3" t="inlineStr">
        <is>
          <t>5782</t>
        </is>
      </c>
      <c r="B5813" s="4" t="s">
        <f>=HYPERLINK("http://anyluxury.ru/shop/odezhda/detskaya-odezhda/kurtka-flisovaya-uniseks-manakin-oranzhevaya-1426620/" , "14266.20 Куртка флисовая унисекс Manakin, оранжевая, размер M/L")</f>
      </c>
      <c r="C5813" s="4" t="n">
        <v>3090.00</v>
      </c>
      <c r="D5813" s="4"/>
    </row>
    <row collapsed="" customFormat="false" customHeight="1" hidden="" ht="14" outlineLevel="0" r="5814">
      <c r="A5814" s="3" t="inlineStr">
        <is>
          <t>5783</t>
        </is>
      </c>
      <c r="B5814" s="4" t="s">
        <f>=HYPERLINK("http://anyluxury.ru/shop/odezhda/detskaya-odezhda/kurtka-flisovaya-uniseks-manakin-oranzhevaya-1426620/" , "14266.20 Куртка флисовая унисекс Manakin, оранжевая, размер XL/XXL")</f>
      </c>
      <c r="C5814" s="4" t="n">
        <v>3090.00</v>
      </c>
      <c r="D5814" s="4"/>
    </row>
    <row collapsed="" customFormat="false" customHeight="1" hidden="" ht="14" outlineLevel="0" r="5815">
      <c r="A5815" s="3" t="inlineStr">
        <is>
          <t>5784</t>
        </is>
      </c>
      <c r="B5815" s="4" t="s">
        <f>=HYPERLINK("http://anyluxury.ru/shop/odezhda/detskaya-odezhda/kurtka-flisovaya-uniseks-manakin-zheltaya-1426680/" , "14266.80 Куртка флисовая унисекс Manakin, желтая, размер XS/S")</f>
      </c>
      <c r="C5815" s="4" t="n">
        <v>3090.00</v>
      </c>
      <c r="D5815" s="4"/>
    </row>
    <row collapsed="" customFormat="false" customHeight="1" hidden="" ht="14" outlineLevel="0" r="5816">
      <c r="A5816" s="3" t="inlineStr">
        <is>
          <t>5785</t>
        </is>
      </c>
      <c r="B5816" s="4" t="s">
        <f>=HYPERLINK("http://anyluxury.ru/shop/odezhda/detskaya-odezhda/kurtka-flisovaya-uniseks-manakin-zheltaya-1426680/" , "14266.80 Куртка флисовая унисекс Manakin, желтая, размер M/L")</f>
      </c>
      <c r="C5816" s="4" t="n">
        <v>3090.00</v>
      </c>
      <c r="D5816" s="4"/>
    </row>
    <row collapsed="" customFormat="false" customHeight="1" hidden="" ht="14" outlineLevel="0" r="5817">
      <c r="A5817" s="3" t="inlineStr">
        <is>
          <t>5786</t>
        </is>
      </c>
      <c r="B5817" s="4" t="s">
        <f>=HYPERLINK("http://anyluxury.ru/shop/odezhda/detskaya-odezhda/kurtka-flisovaya-uniseks-manakin-zheltaya-1426680/" , "14266.80 Куртка флисовая унисекс Manakin, желтая, размер XL/XXL")</f>
      </c>
      <c r="C5817" s="4" t="n">
        <v>3090.00</v>
      </c>
      <c r="D5817" s="4"/>
    </row>
    <row collapsed="" customFormat="false" customHeight="1" hidden="" ht="14" outlineLevel="0" r="5818">
      <c r="A5818" s="3" t="inlineStr">
        <is>
          <t>5787</t>
        </is>
      </c>
      <c r="B5818" s="4" t="s">
        <f>=HYPERLINK("http://anyluxury.ru/shop/odezhda/detskaya-odezhda/kurtka-flisovaya-uniseks-manakin-seraya-1426611/" , "14266.11 Куртка флисовая унисекс Manakin, серая, размер XS/S")</f>
      </c>
      <c r="C5818" s="4" t="n">
        <v>3090.00</v>
      </c>
      <c r="D5818" s="4"/>
    </row>
    <row collapsed="" customFormat="false" customHeight="1" hidden="" ht="14" outlineLevel="0" r="5819">
      <c r="A5819" s="3" t="inlineStr">
        <is>
          <t>5788</t>
        </is>
      </c>
      <c r="B5819" s="4" t="s">
        <f>=HYPERLINK("http://anyluxury.ru/shop/odezhda/detskaya-odezhda/kurtka-flisovaya-uniseks-manakin-seraya-1426611/" , "14266.11 Куртка флисовая унисекс Manakin, серая, размер M/L")</f>
      </c>
      <c r="C5819" s="4" t="n">
        <v>3090.00</v>
      </c>
      <c r="D5819" s="4"/>
    </row>
    <row collapsed="" customFormat="false" customHeight="1" hidden="" ht="14" outlineLevel="0" r="5820">
      <c r="A5820" s="3" t="inlineStr">
        <is>
          <t>5789</t>
        </is>
      </c>
      <c r="B5820" s="4" t="s">
        <f>=HYPERLINK("http://anyluxury.ru/shop/odezhda/detskaya-odezhda/kurtka-flisovaya-uniseks-manakin-seraya-1426611/" , "14266.11 Куртка флисовая унисекс Manakin, серая, размер XL/XXL")</f>
      </c>
      <c r="C5820" s="4" t="n">
        <v>3090.00</v>
      </c>
      <c r="D5820" s="4"/>
    </row>
    <row collapsed="" customFormat="false" customHeight="1" hidden="" ht="14" outlineLevel="0" r="5821">
      <c r="A5821" s="3" t="inlineStr">
        <is>
          <t>5790</t>
        </is>
      </c>
      <c r="B5821" s="4" t="s">
        <f>=HYPERLINK("http://anyluxury.ru/shop/odezhda/detskaya-odezhda/kurtka-flisovaya-uniseks-manakin-bezhevaya-1426610/" , "14266.10 Куртка флисовая унисекс Manakin, бежевая, размер XS/S")</f>
      </c>
      <c r="C5821" s="4" t="n">
        <v>3090.00</v>
      </c>
      <c r="D5821" s="4"/>
    </row>
    <row collapsed="" customFormat="false" customHeight="1" hidden="" ht="14" outlineLevel="0" r="5822">
      <c r="A5822" s="3" t="inlineStr">
        <is>
          <t>5791</t>
        </is>
      </c>
      <c r="B5822" s="4" t="s">
        <f>=HYPERLINK("http://anyluxury.ru/shop/odezhda/detskaya-odezhda/kurtka-flisovaya-uniseks-manakin-bezhevaya-1426610/" , "14266.10 Куртка флисовая унисекс Manakin, бежевая, размер M/L")</f>
      </c>
      <c r="C5822" s="4" t="n">
        <v>3090.00</v>
      </c>
      <c r="D5822" s="4"/>
    </row>
    <row collapsed="" customFormat="false" customHeight="1" hidden="" ht="14" outlineLevel="0" r="5823">
      <c r="A5823" s="3" t="inlineStr">
        <is>
          <t>5792</t>
        </is>
      </c>
      <c r="B5823" s="4" t="s">
        <f>=HYPERLINK("http://anyluxury.ru/shop/odezhda/detskaya-odezhda/kurtka-flisovaya-uniseks-manakin-bezhevaya-1426610/" , "14266.10 Куртка флисовая унисекс Manakin, бежевая, размер XL/XXL")</f>
      </c>
      <c r="C5823" s="4" t="n">
        <v>3090.00</v>
      </c>
      <c r="D5823" s="4"/>
    </row>
    <row collapsed="" customFormat="false" customHeight="1" hidden="" ht="14" outlineLevel="0" r="5824">
      <c r="A5824" s="3" t="inlineStr">
        <is>
          <t>5793</t>
        </is>
      </c>
      <c r="B5824" s="4" t="s">
        <f>=HYPERLINK("http://anyluxury.ru/shop/odezhda/detskaya-odezhda/kurtka-flisovaya-uniseks-manakin-fuksiya-1426657/" , "14266.57 Куртка флисовая унисекс Manakin, фуксия, размер XS/S")</f>
      </c>
      <c r="C5824" s="4" t="n">
        <v>3090.00</v>
      </c>
      <c r="D5824" s="4"/>
    </row>
    <row collapsed="" customFormat="false" customHeight="1" hidden="" ht="14" outlineLevel="0" r="5825">
      <c r="A5825" s="3" t="inlineStr">
        <is>
          <t>5794</t>
        </is>
      </c>
      <c r="B5825" s="4" t="s">
        <f>=HYPERLINK("http://anyluxury.ru/shop/odezhda/detskaya-odezhda/kurtka-flisovaya-uniseks-manakin-fuksiya-1426657/" , "14266.57 Куртка флисовая унисекс Manakin, фуксия, размер M/L")</f>
      </c>
      <c r="C5825" s="4" t="n">
        <v>3090.00</v>
      </c>
      <c r="D5825" s="4"/>
    </row>
    <row collapsed="" customFormat="false" customHeight="1" hidden="" ht="14" outlineLevel="0" r="5826">
      <c r="A5826" s="3" t="inlineStr">
        <is>
          <t>5795</t>
        </is>
      </c>
      <c r="B5826" s="4" t="s">
        <f>=HYPERLINK("http://anyluxury.ru/shop/odezhda/detskaya-odezhda/kurtka-flisovaya-uniseks-manakin-fuksiya-1426657/" , "14266.57 Куртка флисовая унисекс Manakin, фуксия, размер XL/XXL")</f>
      </c>
      <c r="C5826" s="4" t="n">
        <v>3090.00</v>
      </c>
      <c r="D5826" s="4"/>
    </row>
    <row collapsed="" customFormat="false" customHeight="1" hidden="" ht="14" outlineLevel="0" r="5827">
      <c r="A5827" s="3" t="inlineStr">
        <is>
          <t>5796</t>
        </is>
      </c>
      <c r="B5827" s="4" t="s">
        <f>=HYPERLINK("http://anyluxury.ru/shop/odezhda/detskaya-odezhda/kurtka-flisovaya-uniseks-manakin-biryuzovaya-1426642/" , "14266.42 Куртка флисовая унисекс Manakin, бирюзовая, размер XS/S")</f>
      </c>
      <c r="C5827" s="4" t="n">
        <v>3090.00</v>
      </c>
      <c r="D5827" s="4"/>
    </row>
    <row collapsed="" customFormat="false" customHeight="1" hidden="" ht="14" outlineLevel="0" r="5828">
      <c r="A5828" s="3" t="inlineStr">
        <is>
          <t>5797</t>
        </is>
      </c>
      <c r="B5828" s="4" t="s">
        <f>=HYPERLINK("http://anyluxury.ru/shop/odezhda/detskaya-odezhda/kurtka-flisovaya-uniseks-manakin-biryuzovaya-1426642/" , "14266.42 Куртка флисовая унисекс Manakin, бирюзовая, размер M/L")</f>
      </c>
      <c r="C5828" s="4" t="n">
        <v>3090.00</v>
      </c>
      <c r="D5828" s="4"/>
    </row>
    <row collapsed="" customFormat="false" customHeight="1" hidden="" ht="14" outlineLevel="0" r="5829">
      <c r="A5829" s="3" t="inlineStr">
        <is>
          <t>5798</t>
        </is>
      </c>
      <c r="B5829" s="4" t="s">
        <f>=HYPERLINK("http://anyluxury.ru/shop/odezhda/detskaya-odezhda/kurtka-flisovaya-uniseks-manakin-biryuzovaya-1426642/" , "14266.42 Куртка флисовая унисекс Manakin, бирюзовая, размер XL/XXL")</f>
      </c>
      <c r="C5829" s="4" t="n">
        <v>3090.00</v>
      </c>
      <c r="D5829" s="4"/>
    </row>
    <row collapsed="" customFormat="false" customHeight="1" hidden="" ht="14" outlineLevel="0" r="5830">
      <c r="A5830" s="3" t="inlineStr">
        <is>
          <t>5799</t>
        </is>
      </c>
      <c r="B5830" s="4" t="s">
        <f>=HYPERLINK("http://anyluxury.ru/shop/odezhda/detskaya-odezhda/kurtka-flisovaya-uniseks-manakin-zelenoe-yabloko-1426694/" , "14266.94 Куртка флисовая унисекс Manakin, зеленое яблоко, размер XS/S")</f>
      </c>
      <c r="C5830" s="4" t="n">
        <v>3090.00</v>
      </c>
      <c r="D5830" s="4"/>
    </row>
    <row collapsed="" customFormat="false" customHeight="1" hidden="" ht="14" outlineLevel="0" r="5831">
      <c r="A5831" s="3" t="inlineStr">
        <is>
          <t>5800</t>
        </is>
      </c>
      <c r="B5831" s="4" t="s">
        <f>=HYPERLINK("http://anyluxury.ru/shop/odezhda/detskaya-odezhda/kurtka-flisovaya-uniseks-manakin-zelenoe-yabloko-1426694/" , "14266.94 Куртка флисовая унисекс Manakin, зеленое яблоко, размер M/L")</f>
      </c>
      <c r="C5831" s="4" t="n">
        <v>3090.00</v>
      </c>
      <c r="D5831" s="4"/>
    </row>
    <row collapsed="" customFormat="false" customHeight="1" hidden="" ht="14" outlineLevel="0" r="5832">
      <c r="A5832" s="3" t="inlineStr">
        <is>
          <t>5801</t>
        </is>
      </c>
      <c r="B5832" s="4" t="s">
        <f>=HYPERLINK("http://anyluxury.ru/shop/odezhda/detskaya-odezhda/kurtka-flisovaya-uniseks-manakin-zelenoe-yabloko-1426694/" , "14266.94 Куртка флисовая унисекс Manakin, зеленое яблоко, размер XL/XXL")</f>
      </c>
      <c r="C5832" s="4" t="n">
        <v>3090.00</v>
      </c>
      <c r="D5832" s="4"/>
    </row>
    <row collapsed="" customFormat="false" customHeight="1" hidden="" ht="14" outlineLevel="0" r="5833">
      <c r="A5833" s="3" t="inlineStr">
        <is>
          <t>5802</t>
        </is>
      </c>
      <c r="B5833" s="4" t="s">
        <f>=HYPERLINK("http://anyluxury.ru/shop/odezhda/detskaya-odezhda/vyazanaya-gorlovina-na-zakaz-runo-1436410/" , "14364.10 Вязаная горловина на заказ Рuno")</f>
      </c>
      <c r="C5833" s="4" t="n">
        <v>702.00</v>
      </c>
      <c r="D5833" s="4"/>
    </row>
    <row collapsed="" customFormat="false" customHeight="1" hidden="" ht="14" outlineLevel="0" r="5834">
      <c r="A5834" s="3" t="inlineStr">
        <is>
          <t>5803</t>
        </is>
      </c>
      <c r="B5834" s="4" t="s">
        <f>=HYPERLINK("http://anyluxury.ru/shop/odezhda/detskaya-odezhda/vyazaniy-karman-na-zakaz-fondo-1436310/" , "14363.10 Вязаный карман на заказ Fondo")</f>
      </c>
      <c r="C5834" s="4" t="n">
        <v>591.00</v>
      </c>
      <c r="D5834" s="4"/>
    </row>
    <row collapsed="" customFormat="false" customHeight="1" hidden="" ht="14" outlineLevel="0" r="5835">
      <c r="A5835" s="3" t="inlineStr">
        <is>
          <t>5804</t>
        </is>
      </c>
      <c r="B5835" s="4" t="s">
        <f>=HYPERLINK("http://anyluxury.ru/shop/odezhda/detskaya-odezhda/puller-iz-pvh-na-zakaz-omega-1419410/" , "14194.10 Пуллер на заказ Omega")</f>
      </c>
      <c r="C5835" s="4" t="n">
        <v>191.00</v>
      </c>
      <c r="D5835" s="4"/>
    </row>
    <row collapsed="" customFormat="false" customHeight="1" hidden="" ht="14" outlineLevel="0" r="5836">
      <c r="A5836" s="3" t="inlineStr">
        <is>
          <t>5805</t>
        </is>
      </c>
      <c r="B5836" s="4" t="s">
        <f>=HYPERLINK("http://anyluxury.ru/shop/odezhda/detskaya-odezhda/shorti-terry-chernie-1623030/" , "16230.30 Шорты Terry, черные, размер XS/S")</f>
      </c>
      <c r="C5836" s="4" t="n">
        <v>2260.00</v>
      </c>
      <c r="D5836" s="4"/>
    </row>
    <row collapsed="" customFormat="false" customHeight="1" hidden="" ht="14" outlineLevel="0" r="5837">
      <c r="A5837" s="3" t="inlineStr">
        <is>
          <t>5806</t>
        </is>
      </c>
      <c r="B5837" s="4" t="s">
        <f>=HYPERLINK("http://anyluxury.ru/shop/odezhda/detskaya-odezhda/shorti-terry-chernie-1623030/" , "16230.30 Шорты Terry, черные, размер M/L")</f>
      </c>
      <c r="C5837" s="4" t="n">
        <v>2260.00</v>
      </c>
      <c r="D5837" s="4"/>
    </row>
    <row collapsed="" customFormat="false" customHeight="1" hidden="" ht="14" outlineLevel="0" r="5838">
      <c r="A5838" s="3" t="inlineStr">
        <is>
          <t>5807</t>
        </is>
      </c>
      <c r="B5838" s="4" t="s">
        <f>=HYPERLINK("http://anyluxury.ru/shop/odezhda/detskaya-odezhda/shorti-terry-chernie-1623030/" , "16230.30 Шорты Terry, черные, размер XL/XXL")</f>
      </c>
      <c r="C5838" s="4" t="n">
        <v>2260.00</v>
      </c>
      <c r="D5838" s="4"/>
    </row>
    <row collapsed="" customFormat="false" customHeight="1" hidden="" ht="14" outlineLevel="0" r="5839">
      <c r="A5839" s="3" t="inlineStr">
        <is>
          <t>5808</t>
        </is>
      </c>
      <c r="B5839" s="4" t="s">
        <f>=HYPERLINK("http://anyluxury.ru/shop/odezhda/detskaya-odezhda/shorti-terry-molochnobelie-1623060/" , "16230.60 Шорты Terry, молочно-белые, размер XS/S")</f>
      </c>
      <c r="C5839" s="4" t="n">
        <v>2260.00</v>
      </c>
      <c r="D5839" s="4"/>
    </row>
    <row collapsed="" customFormat="false" customHeight="1" hidden="" ht="14" outlineLevel="0" r="5840">
      <c r="A5840" s="3" t="inlineStr">
        <is>
          <t>5809</t>
        </is>
      </c>
      <c r="B5840" s="4" t="s">
        <f>=HYPERLINK("http://anyluxury.ru/shop/odezhda/detskaya-odezhda/shorti-terry-molochnobelie-1623060/" , "16230.60 Шорты Terry, молочно-белые, размер M/L")</f>
      </c>
      <c r="C5840" s="4" t="n">
        <v>2260.00</v>
      </c>
      <c r="D5840" s="4"/>
    </row>
    <row collapsed="" customFormat="false" customHeight="1" hidden="" ht="14" outlineLevel="0" r="5841">
      <c r="A5841" s="3" t="inlineStr">
        <is>
          <t>5810</t>
        </is>
      </c>
      <c r="B5841" s="4" t="s">
        <f>=HYPERLINK("http://anyluxury.ru/shop/odezhda/detskaya-odezhda/shorti-terry-molochnobelie-1623060/" , "16230.60 Шорты Terry, молочно-белые, размер XL/XXL")</f>
      </c>
      <c r="C5841" s="4" t="n">
        <v>2260.00</v>
      </c>
      <c r="D5841" s="4"/>
    </row>
    <row collapsed="" customFormat="false" customHeight="1" hidden="" ht="14" outlineLevel="0" r="5842">
      <c r="A5842" s="3" t="inlineStr">
        <is>
          <t>5811</t>
        </is>
      </c>
      <c r="B5842" s="4" t="s">
        <f>=HYPERLINK("http://anyluxury.ru/shop/odezhda/detskaya-odezhda/leybl-zhakkardoviy-epsilon-na-zakaz-1537200/" , "15372.00 Лейбл жаккардовый Epsilon на заказ")</f>
      </c>
      <c r="C5842" s="4" t="n">
        <v>36.90</v>
      </c>
      <c r="D5842" s="4"/>
    </row>
    <row collapsed="" customFormat="false" customHeight="1" hidden="" ht="14" outlineLevel="0" r="5843">
      <c r="A5843" s="3" t="inlineStr">
        <is>
          <t>5812</t>
        </is>
      </c>
      <c r="B5843" s="4" t="s">
        <f>=HYPERLINK("http://anyluxury.ru/shop/odezhda/detskaya-odezhda/hudi-flisovoe-uniseks-manakin-temnosinee-1436640/" , "14366.40 Худи флисовое унисекс Manakin, темно-синее, размер XS/S")</f>
      </c>
      <c r="C5843" s="4" t="n">
        <v>2990.00</v>
      </c>
      <c r="D5843" s="4"/>
    </row>
    <row collapsed="" customFormat="false" customHeight="1" hidden="" ht="14" outlineLevel="0" r="5844">
      <c r="A5844" s="3" t="inlineStr">
        <is>
          <t>5813</t>
        </is>
      </c>
      <c r="B5844" s="4" t="s">
        <f>=HYPERLINK("http://anyluxury.ru/shop/odezhda/detskaya-odezhda/hudi-flisovoe-uniseks-manakin-temnosinee-1436640/" , "14366.40 Худи флисовое унисекс Manakin, темно-синее, размер M/L")</f>
      </c>
      <c r="C5844" s="4" t="n">
        <v>2990.00</v>
      </c>
      <c r="D5844" s="4"/>
    </row>
    <row collapsed="" customFormat="false" customHeight="1" hidden="" ht="14" outlineLevel="0" r="5845">
      <c r="A5845" s="3" t="inlineStr">
        <is>
          <t>5814</t>
        </is>
      </c>
      <c r="B5845" s="4" t="s">
        <f>=HYPERLINK("http://anyluxury.ru/shop/odezhda/detskaya-odezhda/hudi-flisovoe-uniseks-manakin-temnosinee-1436640/" , "14366.40 Худи флисовое унисекс Manakin, темно-синее, размер XL/2XL")</f>
      </c>
      <c r="C5845" s="4" t="n">
        <v>2990.00</v>
      </c>
      <c r="D5845" s="4"/>
    </row>
    <row collapsed="" customFormat="false" customHeight="1" hidden="" ht="14" outlineLevel="0" r="5846">
      <c r="A5846" s="3" t="inlineStr">
        <is>
          <t>5815</t>
        </is>
      </c>
      <c r="B5846" s="4" t="s">
        <f>=HYPERLINK("http://anyluxury.ru/shop/odezhda/detskaya-odezhda/hudi-flisovoe-uniseks-manakin-beloe-1436660/" , "14366.60 Худи флисовое унисекс Manakin, белое, размер XS/S")</f>
      </c>
      <c r="C5846" s="4" t="n">
        <v>2990.00</v>
      </c>
      <c r="D5846" s="4"/>
    </row>
    <row collapsed="" customFormat="false" customHeight="1" hidden="" ht="14" outlineLevel="0" r="5847">
      <c r="A5847" s="3" t="inlineStr">
        <is>
          <t>5816</t>
        </is>
      </c>
      <c r="B5847" s="4" t="s">
        <f>=HYPERLINK("http://anyluxury.ru/shop/odezhda/detskaya-odezhda/hudi-flisovoe-uniseks-manakin-beloe-1436660/" , "14366.60 Худи флисовое унисекс Manakin, белое, размер M/L")</f>
      </c>
      <c r="C5847" s="4" t="n">
        <v>2990.00</v>
      </c>
      <c r="D5847" s="4"/>
    </row>
    <row collapsed="" customFormat="false" customHeight="1" hidden="" ht="14" outlineLevel="0" r="5848">
      <c r="A5848" s="3" t="inlineStr">
        <is>
          <t>5817</t>
        </is>
      </c>
      <c r="B5848" s="4" t="s">
        <f>=HYPERLINK("http://anyluxury.ru/shop/odezhda/detskaya-odezhda/hudi-flisovoe-uniseks-manakin-beloe-1436660/" , "14366.60 Худи флисовое унисекс Manakin, белое, размер XL/2XL")</f>
      </c>
      <c r="C5848" s="4" t="n">
        <v>2990.00</v>
      </c>
      <c r="D5848" s="4"/>
    </row>
    <row collapsed="" customFormat="false" customHeight="1" hidden="" ht="14" outlineLevel="0" r="5849">
      <c r="A5849" s="3" t="inlineStr">
        <is>
          <t>5818</t>
        </is>
      </c>
      <c r="B5849" s="4" t="s">
        <f>=HYPERLINK("http://anyluxury.ru/shop/odezhda/detskaya-odezhda/hudi-flisovoe-uniseks-manakin-yarkosinee-1436644/" , "14366.44 Худи флисовое унисекс Manakin, ярко-синее, размер XS/S")</f>
      </c>
      <c r="C5849" s="4" t="n">
        <v>2990.00</v>
      </c>
      <c r="D5849" s="4"/>
    </row>
    <row collapsed="" customFormat="false" customHeight="1" hidden="" ht="14" outlineLevel="0" r="5850">
      <c r="A5850" s="3" t="inlineStr">
        <is>
          <t>5819</t>
        </is>
      </c>
      <c r="B5850" s="4" t="s">
        <f>=HYPERLINK("http://anyluxury.ru/shop/odezhda/detskaya-odezhda/hudi-flisovoe-uniseks-manakin-yarkosinee-1436644/" , "14366.44 Худи флисовое унисекс Manakin, ярко-синее, размер M/L")</f>
      </c>
      <c r="C5850" s="4" t="n">
        <v>2990.00</v>
      </c>
      <c r="D5850" s="4"/>
    </row>
    <row collapsed="" customFormat="false" customHeight="1" hidden="" ht="14" outlineLevel="0" r="5851">
      <c r="A5851" s="3" t="inlineStr">
        <is>
          <t>5820</t>
        </is>
      </c>
      <c r="B5851" s="4" t="s">
        <f>=HYPERLINK("http://anyluxury.ru/shop/odezhda/detskaya-odezhda/hudi-flisovoe-uniseks-manakin-yarkosinee-1436644/" , "14366.44 Худи флисовое унисекс Manakin, ярко-синее, размер XL/2XL")</f>
      </c>
      <c r="C5851" s="4" t="n">
        <v>2990.00</v>
      </c>
      <c r="D5851" s="4"/>
    </row>
    <row collapsed="" customFormat="false" customHeight="1" hidden="" ht="14" outlineLevel="0" r="5852">
      <c r="A5852" s="3" t="inlineStr">
        <is>
          <t>5821</t>
        </is>
      </c>
      <c r="B5852" s="4" t="s">
        <f>=HYPERLINK("http://anyluxury.ru/shop/odezhda/detskaya-odezhda/hudi-flisovoe-uniseks-manakin-krasnoe-1436650/" , "14366.50 Худи флисовое унисекс Manakin, красное, размер XS/S")</f>
      </c>
      <c r="C5852" s="4" t="n">
        <v>2990.00</v>
      </c>
      <c r="D5852" s="4"/>
    </row>
    <row collapsed="" customFormat="false" customHeight="1" hidden="" ht="14" outlineLevel="0" r="5853">
      <c r="A5853" s="3" t="inlineStr">
        <is>
          <t>5822</t>
        </is>
      </c>
      <c r="B5853" s="4" t="s">
        <f>=HYPERLINK("http://anyluxury.ru/shop/odezhda/detskaya-odezhda/hudi-flisovoe-uniseks-manakin-krasnoe-1436650/" , "14366.50 Худи флисовое унисекс Manakin, красное, размер M/L")</f>
      </c>
      <c r="C5853" s="4" t="n">
        <v>2990.00</v>
      </c>
      <c r="D5853" s="4"/>
    </row>
    <row collapsed="" customFormat="false" customHeight="1" hidden="" ht="14" outlineLevel="0" r="5854">
      <c r="A5854" s="3" t="inlineStr">
        <is>
          <t>5823</t>
        </is>
      </c>
      <c r="B5854" s="4" t="s">
        <f>=HYPERLINK("http://anyluxury.ru/shop/odezhda/detskaya-odezhda/hudi-flisovoe-uniseks-manakin-krasnoe-1436650/" , "14366.50 Худи флисовое унисекс Manakin, красное, размер XL/2XL")</f>
      </c>
      <c r="C5854" s="4" t="n">
        <v>2990.00</v>
      </c>
      <c r="D5854" s="4"/>
    </row>
    <row collapsed="" customFormat="false" customHeight="1" hidden="" ht="14" outlineLevel="0" r="5855">
      <c r="A5855" s="3" t="inlineStr">
        <is>
          <t>5824</t>
        </is>
      </c>
      <c r="B5855" s="4" t="s">
        <f>=HYPERLINK("http://anyluxury.ru/shop/odezhda/detskaya-odezhda/hudi-flisovoe-uniseks-manakin-fioletovoe-1436678/" , "14366.78 Худи флисовое унисекс Manakin, фиолетовое, размер XS/S")</f>
      </c>
      <c r="C5855" s="4" t="n">
        <v>3348.00</v>
      </c>
      <c r="D5855" s="4"/>
    </row>
    <row collapsed="" customFormat="false" customHeight="1" hidden="" ht="14" outlineLevel="0" r="5856">
      <c r="A5856" s="3" t="inlineStr">
        <is>
          <t>5825</t>
        </is>
      </c>
      <c r="B5856" s="4" t="s">
        <f>=HYPERLINK("http://anyluxury.ru/shop/odezhda/detskaya-odezhda/hudi-flisovoe-uniseks-manakin-fioletovoe-1436678/" , "14366.78 Худи флисовое унисекс Manakin, фиолетовое, размер M/L")</f>
      </c>
      <c r="C5856" s="4" t="n">
        <v>3348.00</v>
      </c>
      <c r="D5856" s="4"/>
    </row>
    <row collapsed="" customFormat="false" customHeight="1" hidden="" ht="14" outlineLevel="0" r="5857">
      <c r="A5857" s="3" t="inlineStr">
        <is>
          <t>5826</t>
        </is>
      </c>
      <c r="B5857" s="4" t="s">
        <f>=HYPERLINK("http://anyluxury.ru/shop/odezhda/detskaya-odezhda/hudi-flisovoe-uniseks-manakin-fioletovoe-1436678/" , "14366.78 Худи флисовое унисекс Manakin, фиолетовое, размер XL/XXL")</f>
      </c>
      <c r="C5857" s="4" t="n">
        <v>3348.00</v>
      </c>
      <c r="D5857" s="4"/>
    </row>
    <row collapsed="" customFormat="false" customHeight="1" hidden="" ht="14" outlineLevel="0" r="5858">
      <c r="A5858" s="3" t="inlineStr">
        <is>
          <t>5827</t>
        </is>
      </c>
      <c r="B5858" s="4" t="s">
        <f>=HYPERLINK("http://anyluxury.ru/shop/odezhda/detskaya-odezhda/hudi-flisovoe-uniseks-manakin-sirenevoe-1436677/" , "14366.77 Худи флисовое унисекс Manakin, сиреневое, размер XS/S")</f>
      </c>
      <c r="C5858" s="4" t="n">
        <v>3348.00</v>
      </c>
      <c r="D5858" s="4"/>
    </row>
    <row collapsed="" customFormat="false" customHeight="1" hidden="" ht="14" outlineLevel="0" r="5859">
      <c r="A5859" s="3" t="inlineStr">
        <is>
          <t>5828</t>
        </is>
      </c>
      <c r="B5859" s="4" t="s">
        <f>=HYPERLINK("http://anyluxury.ru/shop/odezhda/detskaya-odezhda/hudi-flisovoe-uniseks-manakin-sirenevoe-1436677/" , "14366.77 Худи флисовое унисекс Manakin, сиреневое, размер M/L")</f>
      </c>
      <c r="C5859" s="4" t="n">
        <v>3348.00</v>
      </c>
      <c r="D5859" s="4"/>
    </row>
    <row collapsed="" customFormat="false" customHeight="1" hidden="" ht="14" outlineLevel="0" r="5860">
      <c r="A5860" s="3" t="inlineStr">
        <is>
          <t>5829</t>
        </is>
      </c>
      <c r="B5860" s="4" t="s">
        <f>=HYPERLINK("http://anyluxury.ru/shop/odezhda/detskaya-odezhda/hudi-flisovoe-uniseks-manakin-sirenevoe-1436677/" , "14366.77 Худи флисовое унисекс Manakin, сиреневое, размер XL/XXL")</f>
      </c>
      <c r="C5860" s="4" t="n">
        <v>3348.00</v>
      </c>
      <c r="D5860" s="4"/>
    </row>
    <row collapsed="" customFormat="false" customHeight="1" hidden="" ht="14" outlineLevel="0" r="5861">
      <c r="A5861" s="3" t="inlineStr">
        <is>
          <t>5830</t>
        </is>
      </c>
      <c r="B5861" s="4" t="s">
        <f>=HYPERLINK("http://anyluxury.ru/shop/odezhda/detskaya-odezhda/hudi-flisovoe-uniseks-manakin-oranzhevoe-1436620/" , "14366.20 Худи флисовое унисекс Manakin, оранжевое, размер XS/S")</f>
      </c>
      <c r="C5861" s="4" t="n">
        <v>3348.00</v>
      </c>
      <c r="D5861" s="4"/>
    </row>
    <row collapsed="" customFormat="false" customHeight="1" hidden="" ht="14" outlineLevel="0" r="5862">
      <c r="A5862" s="3" t="inlineStr">
        <is>
          <t>5831</t>
        </is>
      </c>
      <c r="B5862" s="4" t="s">
        <f>=HYPERLINK("http://anyluxury.ru/shop/odezhda/detskaya-odezhda/hudi-flisovoe-uniseks-manakin-oranzhevoe-1436620/" , "14366.20 Худи флисовое унисекс Manakin, оранжевое, размер M/L")</f>
      </c>
      <c r="C5862" s="4" t="n">
        <v>3348.00</v>
      </c>
      <c r="D5862" s="4"/>
    </row>
    <row collapsed="" customFormat="false" customHeight="1" hidden="" ht="14" outlineLevel="0" r="5863">
      <c r="A5863" s="3" t="inlineStr">
        <is>
          <t>5832</t>
        </is>
      </c>
      <c r="B5863" s="4" t="s">
        <f>=HYPERLINK("http://anyluxury.ru/shop/odezhda/detskaya-odezhda/hudi-flisovoe-uniseks-manakin-oranzhevoe-1436620/" , "14366.20 Худи флисовое унисекс Manakin, оранжевое, размер XL/XXL")</f>
      </c>
      <c r="C5863" s="4" t="n">
        <v>3348.00</v>
      </c>
      <c r="D5863" s="4"/>
    </row>
    <row collapsed="" customFormat="false" customHeight="1" hidden="" ht="14" outlineLevel="0" r="5864">
      <c r="A5864" s="3" t="inlineStr">
        <is>
          <t>5833</t>
        </is>
      </c>
      <c r="B5864" s="4" t="s">
        <f>=HYPERLINK("http://anyluxury.ru/shop/odezhda/detskaya-odezhda/hudi-flisovoe-uniseks-manakin-zheltoe-1436680/" , "14366.80 Худи флисовое унисекс Manakin, желтое, размер XS/S")</f>
      </c>
      <c r="C5864" s="4" t="n">
        <v>3348.00</v>
      </c>
      <c r="D5864" s="4"/>
    </row>
    <row collapsed="" customFormat="false" customHeight="1" hidden="" ht="14" outlineLevel="0" r="5865">
      <c r="A5865" s="3" t="inlineStr">
        <is>
          <t>5834</t>
        </is>
      </c>
      <c r="B5865" s="4" t="s">
        <f>=HYPERLINK("http://anyluxury.ru/shop/odezhda/detskaya-odezhda/hudi-flisovoe-uniseks-manakin-zheltoe-1436680/" , "14366.80 Худи флисовое унисекс Manakin, желтое, размер M/L")</f>
      </c>
      <c r="C5865" s="4" t="n">
        <v>3348.00</v>
      </c>
      <c r="D5865" s="4"/>
    </row>
    <row collapsed="" customFormat="false" customHeight="1" hidden="" ht="14" outlineLevel="0" r="5866">
      <c r="A5866" s="3" t="inlineStr">
        <is>
          <t>5835</t>
        </is>
      </c>
      <c r="B5866" s="4" t="s">
        <f>=HYPERLINK("http://anyluxury.ru/shop/odezhda/detskaya-odezhda/hudi-flisovoe-uniseks-manakin-zheltoe-1436680/" , "14366.80 Худи флисовое унисекс Manakin, желтое, размер XL/XXL")</f>
      </c>
      <c r="C5866" s="4" t="n">
        <v>3348.00</v>
      </c>
      <c r="D5866" s="4"/>
    </row>
    <row collapsed="" customFormat="false" customHeight="1" hidden="" ht="14" outlineLevel="0" r="5867">
      <c r="A5867" s="3" t="inlineStr">
        <is>
          <t>5836</t>
        </is>
      </c>
      <c r="B5867" s="4" t="s">
        <f>=HYPERLINK("http://anyluxury.ru/shop/odezhda/detskaya-odezhda/hudi-flisovoe-uniseks-manakin-seroe-1436611/" , "14366.11 Худи флисовое унисекс Manakin, серое, размер XS/S")</f>
      </c>
      <c r="C5867" s="4" t="n">
        <v>3348.00</v>
      </c>
      <c r="D5867" s="4"/>
    </row>
    <row collapsed="" customFormat="false" customHeight="1" hidden="" ht="14" outlineLevel="0" r="5868">
      <c r="A5868" s="3" t="inlineStr">
        <is>
          <t>5837</t>
        </is>
      </c>
      <c r="B5868" s="4" t="s">
        <f>=HYPERLINK("http://anyluxury.ru/shop/odezhda/detskaya-odezhda/hudi-flisovoe-uniseks-manakin-seroe-1436611/" , "14366.11 Худи флисовое унисекс Manakin, серое, размер M/L")</f>
      </c>
      <c r="C5868" s="4" t="n">
        <v>3348.00</v>
      </c>
      <c r="D5868" s="4"/>
    </row>
    <row collapsed="" customFormat="false" customHeight="1" hidden="" ht="14" outlineLevel="0" r="5869">
      <c r="A5869" s="3" t="inlineStr">
        <is>
          <t>5838</t>
        </is>
      </c>
      <c r="B5869" s="4" t="s">
        <f>=HYPERLINK("http://anyluxury.ru/shop/odezhda/detskaya-odezhda/hudi-flisovoe-uniseks-manakin-seroe-1436611/" , "14366.11 Худи флисовое унисекс Manakin, серое, размер XL/XXL")</f>
      </c>
      <c r="C5869" s="4" t="n">
        <v>3348.00</v>
      </c>
      <c r="D5869" s="4"/>
    </row>
    <row collapsed="" customFormat="false" customHeight="1" hidden="" ht="14" outlineLevel="0" r="5870">
      <c r="A5870" s="3" t="inlineStr">
        <is>
          <t>5839</t>
        </is>
      </c>
      <c r="B5870" s="4" t="s">
        <f>=HYPERLINK("http://anyluxury.ru/shop/odezhda/detskaya-odezhda/hudi-flisovoe-uniseks-manakin-bezhevoe-1436610/" , "14366.10 Худи флисовое унисекс Manakin, бежевое, размер XS/S")</f>
      </c>
      <c r="C5870" s="4" t="n">
        <v>3348.00</v>
      </c>
      <c r="D5870" s="4"/>
    </row>
    <row collapsed="" customFormat="false" customHeight="1" hidden="" ht="14" outlineLevel="0" r="5871">
      <c r="A5871" s="3" t="inlineStr">
        <is>
          <t>5840</t>
        </is>
      </c>
      <c r="B5871" s="4" t="s">
        <f>=HYPERLINK("http://anyluxury.ru/shop/odezhda/detskaya-odezhda/hudi-flisovoe-uniseks-manakin-bezhevoe-1436610/" , "14366.10 Худи флисовое унисекс Manakin, бежевое, размер M/L")</f>
      </c>
      <c r="C5871" s="4" t="n">
        <v>3348.00</v>
      </c>
      <c r="D5871" s="4"/>
    </row>
    <row collapsed="" customFormat="false" customHeight="1" hidden="" ht="14" outlineLevel="0" r="5872">
      <c r="A5872" s="3" t="inlineStr">
        <is>
          <t>5841</t>
        </is>
      </c>
      <c r="B5872" s="4" t="s">
        <f>=HYPERLINK("http://anyluxury.ru/shop/odezhda/detskaya-odezhda/hudi-flisovoe-uniseks-manakin-bezhevoe-1436610/" , "14366.10 Худи флисовое унисекс Manakin, бежевое, размер XL/XXL")</f>
      </c>
      <c r="C5872" s="4" t="n">
        <v>3348.00</v>
      </c>
      <c r="D5872" s="4"/>
    </row>
    <row collapsed="" customFormat="false" customHeight="1" hidden="" ht="14" outlineLevel="0" r="5873">
      <c r="A5873" s="3" t="inlineStr">
        <is>
          <t>5842</t>
        </is>
      </c>
      <c r="B5873" s="4" t="s">
        <f>=HYPERLINK("http://anyluxury.ru/shop/odezhda/detskaya-odezhda/hudi-flisovoe-uniseks-manakin-fuksiya-1436657/" , "14366.57 Худи флисовое унисекс Manakin, фуксия, размер XS/S")</f>
      </c>
      <c r="C5873" s="4" t="n">
        <v>3348.00</v>
      </c>
      <c r="D5873" s="4"/>
    </row>
    <row collapsed="" customFormat="false" customHeight="1" hidden="" ht="14" outlineLevel="0" r="5874">
      <c r="A5874" s="3" t="inlineStr">
        <is>
          <t>5843</t>
        </is>
      </c>
      <c r="B5874" s="4" t="s">
        <f>=HYPERLINK("http://anyluxury.ru/shop/odezhda/detskaya-odezhda/hudi-flisovoe-uniseks-manakin-fuksiya-1436657/" , "14366.57 Худи флисовое унисекс Manakin, фуксия, размер M/L")</f>
      </c>
      <c r="C5874" s="4" t="n">
        <v>3348.00</v>
      </c>
      <c r="D5874" s="4"/>
    </row>
    <row collapsed="" customFormat="false" customHeight="1" hidden="" ht="14" outlineLevel="0" r="5875">
      <c r="A5875" s="3" t="inlineStr">
        <is>
          <t>5844</t>
        </is>
      </c>
      <c r="B5875" s="4" t="s">
        <f>=HYPERLINK("http://anyluxury.ru/shop/odezhda/detskaya-odezhda/hudi-flisovoe-uniseks-manakin-fuksiya-1436657/" , "14366.57 Худи флисовое унисекс Manakin, фуксия, размер XL/XXL")</f>
      </c>
      <c r="C5875" s="4" t="n">
        <v>3348.00</v>
      </c>
      <c r="D5875" s="4"/>
    </row>
    <row collapsed="" customFormat="false" customHeight="1" hidden="" ht="14" outlineLevel="0" r="5876">
      <c r="A5876" s="3" t="inlineStr">
        <is>
          <t>5845</t>
        </is>
      </c>
      <c r="B5876" s="4" t="s">
        <f>=HYPERLINK("http://anyluxury.ru/shop/odezhda/detskaya-odezhda/hudi-flisovoe-uniseks-manakin-biryuzovoe-1436642/" , "14366.42 Худи флисовое унисекс Manakin, бирюзовое, размер XS/S")</f>
      </c>
      <c r="C5876" s="4" t="n">
        <v>3348.00</v>
      </c>
      <c r="D5876" s="4"/>
    </row>
    <row collapsed="" customFormat="false" customHeight="1" hidden="" ht="14" outlineLevel="0" r="5877">
      <c r="A5877" s="3" t="inlineStr">
        <is>
          <t>5846</t>
        </is>
      </c>
      <c r="B5877" s="4" t="s">
        <f>=HYPERLINK("http://anyluxury.ru/shop/odezhda/detskaya-odezhda/hudi-flisovoe-uniseks-manakin-biryuzovoe-1436642/" , "14366.42 Худи флисовое унисекс Manakin, бирюзовое, размер M/L")</f>
      </c>
      <c r="C5877" s="4" t="n">
        <v>3348.00</v>
      </c>
      <c r="D5877" s="4"/>
    </row>
    <row collapsed="" customFormat="false" customHeight="1" hidden="" ht="14" outlineLevel="0" r="5878">
      <c r="A5878" s="3" t="inlineStr">
        <is>
          <t>5847</t>
        </is>
      </c>
      <c r="B5878" s="4" t="s">
        <f>=HYPERLINK("http://anyluxury.ru/shop/odezhda/detskaya-odezhda/hudi-flisovoe-uniseks-manakin-biryuzovoe-1436642/" , "14366.42 Худи флисовое унисекс Manakin, бирюзовое, размер XL/XXL")</f>
      </c>
      <c r="C5878" s="4" t="n">
        <v>3348.00</v>
      </c>
      <c r="D5878" s="4"/>
    </row>
    <row collapsed="" customFormat="false" customHeight="1" hidden="" ht="14" outlineLevel="0" r="5879">
      <c r="A5879" s="3" t="inlineStr">
        <is>
          <t>5848</t>
        </is>
      </c>
      <c r="B5879" s="4" t="s">
        <f>=HYPERLINK("http://anyluxury.ru/shop/odezhda/detskaya-odezhda/hudi-flisovoe-uniseks-manakin-zelenoe-yabloko-1436694/" , "14366.94 Худи флисовое унисекс Manakin, зеленое яблоко, размер XS/S")</f>
      </c>
      <c r="C5879" s="4" t="n">
        <v>3348.00</v>
      </c>
      <c r="D5879" s="4"/>
    </row>
    <row collapsed="" customFormat="false" customHeight="1" hidden="" ht="14" outlineLevel="0" r="5880">
      <c r="A5880" s="3" t="inlineStr">
        <is>
          <t>5849</t>
        </is>
      </c>
      <c r="B5880" s="4" t="s">
        <f>=HYPERLINK("http://anyluxury.ru/shop/odezhda/detskaya-odezhda/hudi-flisovoe-uniseks-manakin-zelenoe-yabloko-1436694/" , "14366.94 Худи флисовое унисекс Manakin, зеленое яблоко, размер M/L")</f>
      </c>
      <c r="C5880" s="4" t="n">
        <v>3348.00</v>
      </c>
      <c r="D5880" s="4"/>
    </row>
    <row collapsed="" customFormat="false" customHeight="1" hidden="" ht="14" outlineLevel="0" r="5881">
      <c r="A5881" s="3" t="inlineStr">
        <is>
          <t>5850</t>
        </is>
      </c>
      <c r="B5881" s="4" t="s">
        <f>=HYPERLINK("http://anyluxury.ru/shop/odezhda/detskaya-odezhda/hudi-flisovoe-uniseks-manakin-zelenoe-yabloko-1436694/" , "14366.94 Худи флисовое унисекс Manakin, зеленое яблоко, размер XL/XXL")</f>
      </c>
      <c r="C5881" s="4" t="n">
        <v>3348.00</v>
      </c>
      <c r="D5881" s="4"/>
    </row>
    <row collapsed="" customFormat="false" customHeight="1" hidden="" ht="14" outlineLevel="0" r="5882">
      <c r="A5882" s="3" t="inlineStr">
        <is>
          <t>5851</t>
        </is>
      </c>
      <c r="B5882" s="4" t="s">
        <f>=HYPERLINK("http://anyluxury.ru/shop/odezhda/detskaya-odezhda/hudi-flisovoe-uniseks-manakin-chernoe-1436630/" , "14366.30 Худи флисовое унисекс Manakin, черное, размер XS/S")</f>
      </c>
      <c r="C5882" s="4" t="n">
        <v>3348.00</v>
      </c>
      <c r="D5882" s="4"/>
    </row>
    <row collapsed="" customFormat="false" customHeight="1" hidden="" ht="14" outlineLevel="0" r="5883">
      <c r="A5883" s="3" t="inlineStr">
        <is>
          <t>5852</t>
        </is>
      </c>
      <c r="B5883" s="4" t="s">
        <f>=HYPERLINK("http://anyluxury.ru/shop/odezhda/detskaya-odezhda/hudi-flisovoe-uniseks-manakin-chernoe-1436630/" , "14366.30 Худи флисовое унисекс Manakin, черное, размер M/L")</f>
      </c>
      <c r="C5883" s="4" t="n">
        <v>3348.00</v>
      </c>
      <c r="D5883" s="4"/>
    </row>
    <row collapsed="" customFormat="false" customHeight="1" hidden="" ht="14" outlineLevel="0" r="5884">
      <c r="A5884" s="3" t="inlineStr">
        <is>
          <t>5853</t>
        </is>
      </c>
      <c r="B5884" s="4" t="s">
        <f>=HYPERLINK("http://anyluxury.ru/shop/odezhda/detskaya-odezhda/hudi-flisovoe-uniseks-manakin-chernoe-1436630/" , "14366.30 Худи флисовое унисекс Manakin, черное, размер XL/XXL")</f>
      </c>
      <c r="C5884" s="4" t="n">
        <v>3348.00</v>
      </c>
      <c r="D5884" s="4"/>
    </row>
    <row collapsed="" customFormat="false" customHeight="1" hidden="" ht="14" outlineLevel="0" r="5885">
      <c r="A5885" s="3" t="inlineStr">
        <is>
          <t>5854</t>
        </is>
      </c>
      <c r="B5885" s="4" t="s">
        <f>=HYPERLINK("http://anyluxury.ru/shop/odezhda/detskaya-odezhda/perchatki-real-talk-belie-5480160/" , "54801.60 Перчатки Real Talk, белые, размер S/M")</f>
      </c>
      <c r="C5885" s="4" t="n">
        <v>570.00</v>
      </c>
      <c r="D5885" s="4"/>
    </row>
    <row collapsed="" customFormat="false" customHeight="1" hidden="" ht="14" outlineLevel="0" r="5886">
      <c r="A5886" s="3" t="inlineStr">
        <is>
          <t>5855</t>
        </is>
      </c>
      <c r="B5886" s="4" t="s">
        <f>=HYPERLINK("http://anyluxury.ru/shop/odezhda/detskaya-odezhda/perchatki-real-talk-belie-5480160/" , "54801.60 Перчатки Real Talk, белые, размер L/XL")</f>
      </c>
      <c r="C5886" s="4" t="n">
        <v>570.00</v>
      </c>
      <c r="D5886" s="4"/>
    </row>
    <row collapsed="" customFormat="false" customHeight="1" hidden="" ht="14" outlineLevel="0" r="5887">
      <c r="A5887" s="3" t="inlineStr">
        <is>
          <t>5856</t>
        </is>
      </c>
      <c r="B5887" s="4" t="s">
        <f>=HYPERLINK("http://anyluxury.ru/shop/odezhda/detskaya-odezhda/varezhki-life-explorer-temnoserie-grafit-1618613/" , "16186.13 Варежки Life Explorer, темно-серые (графит), размер S/M")</f>
      </c>
      <c r="C5887" s="4" t="n">
        <v>840.00</v>
      </c>
      <c r="D5887" s="4"/>
    </row>
    <row collapsed="" customFormat="false" customHeight="1" hidden="" ht="14" outlineLevel="0" r="5888">
      <c r="A5888" s="3" t="inlineStr">
        <is>
          <t>5857</t>
        </is>
      </c>
      <c r="B5888" s="4" t="s">
        <f>=HYPERLINK("http://anyluxury.ru/shop/odezhda/detskaya-odezhda/varezhki-life-explorer-sinie-1618644/" , "16186.44 Варежки Life Explorer, синие, размер S/M")</f>
      </c>
      <c r="C5888" s="4" t="n">
        <v>840.00</v>
      </c>
      <c r="D5888" s="4"/>
    </row>
    <row collapsed="" customFormat="false" customHeight="1" hidden="" ht="14" outlineLevel="0" r="5889">
      <c r="A5889" s="3" t="inlineStr">
        <is>
          <t>5858</t>
        </is>
      </c>
      <c r="B5889" s="4" t="s">
        <f>=HYPERLINK("http://anyluxury.ru/shop/odezhda/detskaya-odezhda/varezhki-life-explorer-biryuzovie-1618649/" , "16186.49 Варежки Life Explorer, бирюзовые, размер S/M")</f>
      </c>
      <c r="C5889" s="4" t="n">
        <v>840.00</v>
      </c>
      <c r="D5889" s="4"/>
    </row>
    <row collapsed="" customFormat="false" customHeight="1" hidden="" ht="14" outlineLevel="0" r="5890">
      <c r="A5890" s="3" t="inlineStr">
        <is>
          <t>5859</t>
        </is>
      </c>
      <c r="B5890" s="4" t="s">
        <f>=HYPERLINK("http://anyluxury.ru/shop/odezhda/detskaya-odezhda/varezhki-life-explorer-biryuzovie-1618649/" , "16186.49 Варежки Life Explorer, бирюзовые, размер L/XL")</f>
      </c>
      <c r="C5890" s="4" t="n">
        <v>840.00</v>
      </c>
      <c r="D5890" s="4"/>
    </row>
    <row collapsed="" customFormat="false" customHeight="1" hidden="" ht="14" outlineLevel="0" r="5891">
      <c r="A5891" s="3" t="inlineStr">
        <is>
          <t>5860</t>
        </is>
      </c>
      <c r="B5891" s="4" t="s">
        <f>=HYPERLINK("http://anyluxury.ru/shop/odezhda/detskaya-odezhda/varezhki-life-explorer-krasnie-1618650/" , "16186.50 Варежки Life Explorer, красные, размер S/M")</f>
      </c>
      <c r="C5891" s="4" t="n">
        <v>840.00</v>
      </c>
      <c r="D5891" s="4"/>
    </row>
    <row collapsed="" customFormat="false" customHeight="1" hidden="" ht="14" outlineLevel="0" r="5892">
      <c r="A5892" s="3" t="inlineStr">
        <is>
          <t>5861</t>
        </is>
      </c>
      <c r="B5892" s="4" t="s">
        <f>=HYPERLINK("http://anyluxury.ru/shop/odezhda/detskaya-odezhda/varezhki-life-explorer-krasnie-1618650/" , "16186.50 Варежки Life Explorer, красные, размер L/XL")</f>
      </c>
      <c r="C5892" s="4" t="n">
        <v>840.00</v>
      </c>
      <c r="D5892" s="4"/>
    </row>
    <row collapsed="" customFormat="false" customHeight="1" hidden="" ht="14" outlineLevel="0" r="5893">
      <c r="A5893" s="3" t="inlineStr">
        <is>
          <t>5862</t>
        </is>
      </c>
      <c r="B5893" s="4" t="s">
        <f>=HYPERLINK("http://anyluxury.ru/shop/odezhda/detskaya-odezhda/varezhki-life-explorer-zheltie-1618680/" , "16186.80 Варежки Life Explorer, желтые, размер S/M")</f>
      </c>
      <c r="C5893" s="4" t="n">
        <v>840.00</v>
      </c>
      <c r="D5893" s="4"/>
    </row>
    <row collapsed="" customFormat="false" customHeight="1" hidden="" ht="14" outlineLevel="0" r="5894">
      <c r="A5894" s="3" t="inlineStr">
        <is>
          <t>5863</t>
        </is>
      </c>
      <c r="B5894" s="4" t="s">
        <f>=HYPERLINK("http://anyluxury.ru/shop/odezhda/detskaya-odezhda/varezhki-life-explorer-zheltie-1618680/" , "16186.80 Варежки Life Explorer, желтые, размер L/XL")</f>
      </c>
      <c r="C5894" s="4" t="n">
        <v>840.00</v>
      </c>
      <c r="D5894" s="4"/>
    </row>
    <row collapsed="" customFormat="false" customHeight="1" hidden="" ht="14" outlineLevel="0" r="5895">
      <c r="A5895" s="3" t="inlineStr">
        <is>
          <t>5864</t>
        </is>
      </c>
      <c r="B5895" s="4" t="s">
        <f>=HYPERLINK("http://anyluxury.ru/shop/odezhda/detskaya-odezhda/varezhki-life-explorer-fioletovie-1618677/" , "16186.77 Варежки Life Explorer, фиоелетовые, размер S/M")</f>
      </c>
      <c r="C5895" s="4" t="n">
        <v>840.00</v>
      </c>
      <c r="D5895" s="4"/>
    </row>
    <row collapsed="" customFormat="false" customHeight="1" hidden="" ht="14" outlineLevel="0" r="5896">
      <c r="A5896" s="3" t="inlineStr">
        <is>
          <t>5865</t>
        </is>
      </c>
      <c r="B5896" s="4" t="s">
        <f>=HYPERLINK("http://anyluxury.ru/shop/odezhda/detskaya-odezhda/varezhki-life-explorer-fioletovie-1618677/" , "16186.77 Варежки Life Explorer, фиолетовые, размер L/XL")</f>
      </c>
      <c r="C5896" s="4" t="n">
        <v>840.00</v>
      </c>
      <c r="D5896" s="4"/>
    </row>
    <row collapsed="" customFormat="false" customHeight="1" hidden="" ht="14" outlineLevel="0" r="5897">
      <c r="A5897" s="3" t="inlineStr">
        <is>
          <t>5866</t>
        </is>
      </c>
      <c r="B5897" s="4" t="s">
        <f>=HYPERLINK("http://anyluxury.ru/shop/odezhda/detskaya-odezhda/varezhki-life-explorer-zelenie-salatovie-1618695/" , "16186.95 Варежки Life Explorer, зеленые (мятные), размер S/M")</f>
      </c>
      <c r="C5897" s="4" t="n">
        <v>840.00</v>
      </c>
      <c r="D5897" s="4"/>
    </row>
    <row collapsed="" customFormat="false" customHeight="1" hidden="" ht="14" outlineLevel="0" r="5898">
      <c r="A5898" s="3" t="inlineStr">
        <is>
          <t>5867</t>
        </is>
      </c>
      <c r="B5898" s="4" t="s">
        <f>=HYPERLINK("http://anyluxury.ru/shop/odezhda/detskaya-odezhda/varezhki-life-explorer-zelenie-salatovie-1618695/" , "16186.95 Варежки Life Explorer, зеленые (мятные), размер L/XL")</f>
      </c>
      <c r="C5898" s="4" t="n">
        <v>840.00</v>
      </c>
      <c r="D5898" s="4"/>
    </row>
    <row collapsed="" customFormat="false" customHeight="1" hidden="" ht="14" outlineLevel="0" r="5899">
      <c r="A5899" s="3" t="inlineStr">
        <is>
          <t>5868</t>
        </is>
      </c>
      <c r="B5899" s="4" t="s">
        <f>=HYPERLINK("http://anyluxury.ru/shop/odezhda/detskaya-odezhda/leybl-iz-pvh-na-zakaz-dzeta-round-l-1535401/" , "15354.01 Лейбл из ПВХ на заказ Dzeta Round, L")</f>
      </c>
      <c r="C5899" s="4" t="n">
        <v>111.00</v>
      </c>
      <c r="D5899" s="4"/>
    </row>
    <row collapsed="" customFormat="false" customHeight="1" hidden="" ht="14" outlineLevel="0" r="5900">
      <c r="A5900" s="3" t="inlineStr">
        <is>
          <t>5869</t>
        </is>
      </c>
      <c r="B5900" s="4" t="s">
        <f>=HYPERLINK("http://anyluxury.ru/shop/odezhda/detskaya-odezhda/leybl-iz-pvh-na-zakaz-dzeta-l-1535501/" , "15355.01 Лейбл из ПВХ на заказ Dzeta, XL")</f>
      </c>
      <c r="C5900" s="4" t="n">
        <v>141.00</v>
      </c>
      <c r="D5900" s="4"/>
    </row>
    <row collapsed="" customFormat="false" customHeight="1" hidden="" ht="14" outlineLevel="0" r="5901">
      <c r="A5901" s="3" t="inlineStr">
        <is>
          <t>5870</t>
        </is>
      </c>
      <c r="B5901" s="4" t="s">
        <f>=HYPERLINK("http://anyluxury.ru/shop/odezhda/detskaya-odezhda/puller-iz-pvh-na-zakaz-phita-1535601/" , "15356.01 Пуллер на заказ Phita")</f>
      </c>
      <c r="C5901" s="4" t="n">
        <v>81.00</v>
      </c>
      <c r="D5901" s="4"/>
    </row>
    <row collapsed="" customFormat="false" customHeight="1" hidden="" ht="14" outlineLevel="0" r="5902">
      <c r="A5902" s="3" t="inlineStr">
        <is>
          <t>5871</t>
        </is>
      </c>
      <c r="B5902" s="4" t="s">
        <f>=HYPERLINK("http://anyluxury.ru/shop/odezhda/detskaya-odezhda/leybl-iz-pvh-na-zakaz-dzeta-s-1391601/" , "13916.01 Лейбл из ПВХ на заказ Dzeta, S")</f>
      </c>
      <c r="C5902" s="4" t="n">
        <v>81.00</v>
      </c>
      <c r="D5902" s="4"/>
    </row>
    <row collapsed="" customFormat="false" customHeight="1" hidden="" ht="14" outlineLevel="0" r="5903">
      <c r="A5903" s="3" t="inlineStr">
        <is>
          <t>5872</t>
        </is>
      </c>
      <c r="B5903" s="4" t="s">
        <f>=HYPERLINK("http://anyluxury.ru/shop/odezhda/detskaya-odezhda/shevron-na-lipuchke-finansi-na-zakaz-1618810/" , "16188.10 Шеврон на липучке «Финансы» на заказ")</f>
      </c>
      <c r="C5903" s="4" t="n">
        <v>260.00</v>
      </c>
      <c r="D5903" s="4"/>
    </row>
    <row collapsed="" customFormat="false" customHeight="1" hidden="" ht="14" outlineLevel="0" r="5904">
      <c r="A5904" s="3" t="inlineStr">
        <is>
          <t>5873</t>
        </is>
      </c>
      <c r="B5904" s="4" t="s">
        <f>=HYPERLINK("http://anyluxury.ru/shop/odezhda/detskaya-odezhda/shevron-na-lipuchke-energetika-na-zakaz-1619505/" , "16195.05 Шеврон на липучке «Энергетика» на заказ")</f>
      </c>
      <c r="C5904" s="4" t="n">
        <v>226.00</v>
      </c>
      <c r="D5904" s="4"/>
    </row>
    <row collapsed="" customFormat="false" customHeight="1" hidden="" ht="14" outlineLevel="0" r="5905">
      <c r="A5905" s="3" t="inlineStr">
        <is>
          <t>5874</t>
        </is>
      </c>
      <c r="B5905" s="4" t="s">
        <f>=HYPERLINK("http://anyluxury.ru/shop/odezhda/detskaya-odezhda/hudi-oversayz-uniseks-tolla-molochnoe-2111860/" , "21118.60 Худи оверсайз унисекс Tolla, молочное, размер XL/2XL")</f>
      </c>
      <c r="C5905" s="4" t="n">
        <v>3485.00</v>
      </c>
      <c r="D5905" s="4"/>
    </row>
    <row collapsed="" customFormat="false" customHeight="1" hidden="" ht="14" outlineLevel="0" r="5906">
      <c r="A5906" s="3" t="inlineStr">
        <is>
          <t>5875</t>
        </is>
      </c>
      <c r="B5906" s="4" t="s">
        <f>=HYPERLINK("http://anyluxury.ru/shop/odezhda/detskaya-odezhda/hudi-oversayz-uniseks-tolla-chernoe-2111830/" , "21118.30 Худи оверсайз унисекс Tolla, черное, размер XS/S")</f>
      </c>
      <c r="C5906" s="4" t="n">
        <v>3485.00</v>
      </c>
      <c r="D5906" s="4"/>
    </row>
    <row collapsed="" customFormat="false" customHeight="1" hidden="" ht="14" outlineLevel="0" r="5907">
      <c r="A5907" s="3" t="inlineStr">
        <is>
          <t>5876</t>
        </is>
      </c>
      <c r="B5907" s="4" t="s">
        <f>=HYPERLINK("http://anyluxury.ru/shop/odezhda/detskaya-odezhda/shevron-na-lipuchke-shefpovar-1822701/" , "18227.01 Шеврон на липучке «Шеф-повар»")</f>
      </c>
      <c r="C5907" s="4" t="n">
        <v>202.00</v>
      </c>
      <c r="D5907" s="4"/>
    </row>
    <row collapsed="" customFormat="false" customHeight="1" hidden="" ht="14" outlineLevel="0" r="5908">
      <c r="A5908" s="3" t="inlineStr">
        <is>
          <t>5877</t>
        </is>
      </c>
      <c r="B5908" s="4" t="s">
        <f>=HYPERLINK("http://anyluxury.ru/shop/odezhda/detskaya-odezhda/shevron-na-lipuchke-klosh-1822703/" , "18227.03 Шеврон на липучке «Клош»")</f>
      </c>
      <c r="C5908" s="4" t="n">
        <v>202.00</v>
      </c>
      <c r="D5908" s="4"/>
    </row>
    <row collapsed="" customFormat="false" customHeight="1" hidden="" ht="14" outlineLevel="0" r="5909">
      <c r="A5909" s="3" t="inlineStr">
        <is>
          <t>5878</t>
        </is>
      </c>
      <c r="B5909" s="4" t="s">
        <f>=HYPERLINK("http://anyluxury.ru/shop/odezhda/detskaya-odezhda/shevron-na-lipuchke-tochka-a-1823001/" , "18230.01 Шеврон на липучке «Точка А»")</f>
      </c>
      <c r="C5909" s="4" t="n">
        <v>202.00</v>
      </c>
      <c r="D5909" s="4"/>
    </row>
    <row collapsed="" customFormat="false" customHeight="1" hidden="" ht="14" outlineLevel="0" r="5910">
      <c r="A5910" s="3" t="inlineStr">
        <is>
          <t>5879</t>
        </is>
      </c>
      <c r="B5910" s="4" t="s">
        <f>=HYPERLINK("http://anyluxury.ru/shop/odezhda/detskaya-odezhda/shevron-na-lipuchke-tamozhnya-1823004/" , "18230.04 Шеврон на липучке «Таможня»")</f>
      </c>
      <c r="C5910" s="4" t="n">
        <v>202.00</v>
      </c>
      <c r="D5910" s="4"/>
    </row>
    <row collapsed="" customFormat="false" customHeight="1" hidden="" ht="14" outlineLevel="0" r="5911">
      <c r="A5911" s="3" t="inlineStr">
        <is>
          <t>5880</t>
        </is>
      </c>
      <c r="B5911" s="4" t="s">
        <f>=HYPERLINK("http://anyluxury.ru/shop/odezhda/detskaya-odezhda/shevron-na-lipuchke-kolos-1823404/" , "18234.04 Шеврон на липучке «Колос»")</f>
      </c>
      <c r="C5911" s="4" t="n">
        <v>202.00</v>
      </c>
      <c r="D5911" s="4"/>
    </row>
    <row collapsed="" customFormat="false" customHeight="1" hidden="" ht="14" outlineLevel="0" r="5912">
      <c r="A5912" s="3" t="inlineStr">
        <is>
          <t>5881</t>
        </is>
      </c>
      <c r="B5912" s="4" t="s">
        <f>=HYPERLINK("http://anyluxury.ru/shop/odezhda/detskaya-odezhda/hudi-kulonga-oversize-temnosinee-kobalt-1410141/" , "14101.41 Худи Kulonga Oversize, темно-синее (кобальт), размер ХS/S")</f>
      </c>
      <c r="C5912" s="4" t="n">
        <v>3800.00</v>
      </c>
      <c r="D5912" s="4"/>
    </row>
    <row collapsed="" customFormat="false" customHeight="1" hidden="" ht="14" outlineLevel="0" r="5913">
      <c r="A5913" s="3" t="inlineStr">
        <is>
          <t>5882</t>
        </is>
      </c>
      <c r="B5913" s="4" t="s">
        <f>=HYPERLINK("http://anyluxury.ru/shop/odezhda/detskaya-odezhda/hudi-kulonga-oversize-temnosinee-kobalt-1410141/" , "14101.41 Худи Kulonga Oversize, темно-синее (кобальт), размер М/L")</f>
      </c>
      <c r="C5913" s="4" t="n">
        <v>3800.00</v>
      </c>
      <c r="D5913" s="4"/>
    </row>
    <row collapsed="" customFormat="false" customHeight="1" hidden="" ht="14" outlineLevel="0" r="5914">
      <c r="A5914" s="3" t="inlineStr">
        <is>
          <t>5883</t>
        </is>
      </c>
      <c r="B5914" s="4" t="s">
        <f>=HYPERLINK("http://anyluxury.ru/shop/odezhda/detskaya-odezhda/hudi-kulonga-oversize-temnosinee-kobalt-1410141/" , "14101.41 Худи Kulonga Oversize, темно-синее (кобальт), размер ХL/XXL")</f>
      </c>
      <c r="C5914" s="4" t="n">
        <v>3800.00</v>
      </c>
      <c r="D5914" s="4"/>
    </row>
    <row collapsed="" customFormat="false" customHeight="1" hidden="" ht="14" outlineLevel="0" r="5915">
      <c r="A5915" s="3" t="inlineStr">
        <is>
          <t>5884</t>
        </is>
      </c>
      <c r="B5915" s="4" t="s">
        <f>=HYPERLINK("http://anyluxury.ru/shop/odezhda/detskaya-odezhda/hudi-kulonga-oversize-temnosinee-kobalt-1410141/" , "14101.41 Худи Kulonga Oversize, темно-синее (кобальт), размер 3XL/4XL")</f>
      </c>
      <c r="C5915" s="4" t="n">
        <v>3800.00</v>
      </c>
      <c r="D5915" s="4"/>
    </row>
    <row collapsed="" customFormat="false" customHeight="1" hidden="" ht="14" outlineLevel="0" r="5916">
      <c r="A5916" s="3" t="inlineStr">
        <is>
          <t>5885</t>
        </is>
      </c>
      <c r="B5916" s="4" t="s">
        <f>=HYPERLINK("http://anyluxury.ru/shop/odezhda/detskaya-odezhda/futbolka-detskaya-simpler-chernaya-1612330/" , "16123.30 Футболка детская Simpler, черная, 4 года")</f>
      </c>
      <c r="C5916" s="4" t="n">
        <v>200.00</v>
      </c>
      <c r="D5916" s="4"/>
    </row>
    <row collapsed="" customFormat="false" customHeight="1" hidden="" ht="14" outlineLevel="0" r="5917">
      <c r="A5917" s="3" t="inlineStr">
        <is>
          <t>5886</t>
        </is>
      </c>
      <c r="B5917" s="4" t="s">
        <f>=HYPERLINK("http://anyluxury.ru/shop/odezhda/detskaya-odezhda/futbolka-detskaya-simpler-chernaya-1612330/" , "16123.30 Футболка детская Simpler, черная, 10 лет")</f>
      </c>
      <c r="C5917" s="4" t="n">
        <v>260.00</v>
      </c>
      <c r="D5917" s="4"/>
    </row>
    <row collapsed="" customFormat="false" customHeight="1" hidden="" ht="14" outlineLevel="0" r="5918">
      <c r="A5918" s="3" t="inlineStr">
        <is>
          <t>5887</t>
        </is>
      </c>
      <c r="B5918" s="4" t="s">
        <f>=HYPERLINK("http://anyluxury.ru/shop/odezhda/detskaya-odezhda/futbolka-detskaya-simpler-belaya-1612360/" , "16123.60 Футболка детская Simpler, белая, 4 года")</f>
      </c>
      <c r="C5918" s="4" t="n">
        <v>200.00</v>
      </c>
      <c r="D5918" s="4"/>
    </row>
    <row collapsed="" customFormat="false" customHeight="1" hidden="" ht="14" outlineLevel="0" r="5919">
      <c r="A5919" s="3" t="inlineStr">
        <is>
          <t>5888</t>
        </is>
      </c>
      <c r="B5919" s="4" t="s">
        <f>=HYPERLINK("http://anyluxury.ru/shop/odezhda/detskaya-odezhda/futbolka-detskaya-simpler-belaya-1612360/" , "16123.60 Футболка детская Simpler, белая, 6 лет")</f>
      </c>
      <c r="C5919" s="4" t="n">
        <v>200.00</v>
      </c>
      <c r="D5919" s="4"/>
    </row>
    <row collapsed="" customFormat="false" customHeight="1" hidden="" ht="14" outlineLevel="0" r="5920">
      <c r="A5920" s="3" t="inlineStr">
        <is>
          <t>5889</t>
        </is>
      </c>
      <c r="B5920" s="4" t="s">
        <f>=HYPERLINK("http://anyluxury.ru/shop/odezhda/detskaya-odezhda/svitshot-uniseks-simpler-beliy-1612460/" , "16124.60 Свитшот унисекс Simpler, белый, размер XL")</f>
      </c>
      <c r="C5920" s="4" t="n">
        <v>700.00</v>
      </c>
      <c r="D5920" s="4"/>
    </row>
    <row collapsed="" customFormat="false" customHeight="1" hidden="" ht="14" outlineLevel="0" r="5921">
      <c r="A5921" s="3" t="inlineStr">
        <is>
          <t>5890</t>
        </is>
      </c>
      <c r="B5921" s="4" t="s">
        <f>=HYPERLINK("http://anyluxury.ru/shop/odezhda/detskaya-odezhda/svitshot-detskiy-simpler-beliy-1612560/" , "16125.60 Свитшот детский Simpler, белый, 4 года")</f>
      </c>
      <c r="C5921" s="4" t="n">
        <v>600.00</v>
      </c>
      <c r="D5921" s="4"/>
    </row>
    <row collapsed="" customFormat="false" customHeight="1" hidden="" ht="14" outlineLevel="0" r="5922">
      <c r="A5922" s="3" t="inlineStr">
        <is>
          <t>5891</t>
        </is>
      </c>
      <c r="B5922" s="4" t="s">
        <f>=HYPERLINK("http://anyluxury.ru/shop/odezhda/detskaya-odezhda/svitshot-detskiy-simpler-beliy-1612560/" , "16125.60 Свитшот детский Simpler, белый, 6 лет")</f>
      </c>
      <c r="C5922" s="4" t="n">
        <v>600.00</v>
      </c>
      <c r="D5922" s="4"/>
    </row>
    <row collapsed="" customFormat="false" customHeight="1" hidden="" ht="14" outlineLevel="0" r="5923">
      <c r="A5923" s="3" t="inlineStr">
        <is>
          <t>5892</t>
        </is>
      </c>
      <c r="B5923" s="4" t="s">
        <f>=HYPERLINK("http://anyluxury.ru/shop/odezhda/detskaya-odezhda/svitshot-detskiy-simpler-beliy-1612560/" , "16125.60 Свитшот детский Simpler, белый, 8 лет")</f>
      </c>
      <c r="C5923" s="4" t="n">
        <v>600.00</v>
      </c>
      <c r="D5923" s="4"/>
    </row>
    <row collapsed="" customFormat="false" customHeight="1" hidden="" ht="14" outlineLevel="0" r="5924">
      <c r="A5924" s="3" t="inlineStr">
        <is>
          <t>5893</t>
        </is>
      </c>
      <c r="B5924" s="4" t="s">
        <f>=HYPERLINK("http://anyluxury.ru/shop/odezhda/detskaya-odezhda/svitshot-detskiy-simpler-beliy-1612560/" , "16125.60 Свитшот детский Simpler, белый, 10 лет")</f>
      </c>
      <c r="C5924" s="4" t="n">
        <v>600.00</v>
      </c>
      <c r="D5924" s="4"/>
    </row>
    <row collapsed="" customFormat="false" customHeight="1" hidden="" ht="14" outlineLevel="0" r="5925">
      <c r="A5925" s="3" t="inlineStr">
        <is>
          <t>5894</t>
        </is>
      </c>
      <c r="B5925" s="4" t="s">
        <f>=HYPERLINK("http://anyluxury.ru/shop/odezhda/detskaya-odezhda/svitshot-detskiy-simpler-beliy-1612560/" , "16125.60 Свитшот детский Simpler, белый, 12 лет")</f>
      </c>
      <c r="C5925" s="4" t="n">
        <v>600.00</v>
      </c>
      <c r="D5925" s="4"/>
    </row>
    <row collapsed="" customFormat="false" customHeight="1" hidden="" ht="14" outlineLevel="0" r="5926">
      <c r="A5926" s="3" t="inlineStr">
        <is>
          <t>5895</t>
        </is>
      </c>
      <c r="B5926" s="4" t="s">
        <f>=HYPERLINK("http://anyluxury.ru/shop/odezhda/detskaya-odezhda/svitshot-detskiy-simpler-beliy-1612560/" , "16125.60 Свитшот детский Simpler, белый, 14 лет")</f>
      </c>
      <c r="C5926" s="4" t="n">
        <v>600.00</v>
      </c>
      <c r="D5926" s="4"/>
    </row>
    <row collapsed="" customFormat="false" customHeight="1" hidden="" ht="14" outlineLevel="0" r="5927">
      <c r="A5927" s="3" t="inlineStr">
        <is>
          <t>5896</t>
        </is>
      </c>
      <c r="B5927" s="4" t="s">
        <f>=HYPERLINK("http://anyluxury.ru/shop/odezhda/detskaya-odezhda/svitshot-detskiy-simpler-cherniy-1612530/" , "16125.30 Свитшот детский Simpler, черный, 4 года")</f>
      </c>
      <c r="C5927" s="4" t="n">
        <v>600.00</v>
      </c>
      <c r="D5927" s="4"/>
    </row>
    <row collapsed="" customFormat="false" customHeight="1" hidden="" ht="14" outlineLevel="0" r="5928">
      <c r="A5928" s="3" t="inlineStr">
        <is>
          <t>5897</t>
        </is>
      </c>
      <c r="B5928" s="4" t="s">
        <f>=HYPERLINK("http://anyluxury.ru/shop/odezhda/detskaya-odezhda/svitshot-detskiy-simpler-cherniy-1612530/" , "16125.30 Свитшот детский Simpler, черный, 6 лет")</f>
      </c>
      <c r="C5928" s="4" t="n">
        <v>600.00</v>
      </c>
      <c r="D5928" s="4"/>
    </row>
    <row collapsed="" customFormat="false" customHeight="1" hidden="" ht="14" outlineLevel="0" r="5929">
      <c r="A5929" s="3" t="inlineStr">
        <is>
          <t>5898</t>
        </is>
      </c>
      <c r="B5929" s="4" t="s">
        <f>=HYPERLINK("http://anyluxury.ru/shop/odezhda/detskaya-odezhda/svitshot-detskiy-simpler-cherniy-1612530/" , "16125.30 Свитшот детский Simpler, черный, 8 лет")</f>
      </c>
      <c r="C5929" s="4" t="n">
        <v>600.00</v>
      </c>
      <c r="D5929" s="4"/>
    </row>
    <row collapsed="" customFormat="false" customHeight="1" hidden="" ht="14" outlineLevel="0" r="5930">
      <c r="A5930" s="3" t="inlineStr">
        <is>
          <t>5899</t>
        </is>
      </c>
      <c r="B5930" s="4" t="s">
        <f>=HYPERLINK("http://anyluxury.ru/shop/odezhda/detskaya-odezhda/hudi-oversayz-uniseks-outshine-beloe-1502960/" , "15029.60 Худи оверсайз унисекс Outshine, белое, размер XS/S")</f>
      </c>
      <c r="C5930" s="4" t="n">
        <v>2500.00</v>
      </c>
      <c r="D5930" s="4"/>
    </row>
    <row collapsed="" customFormat="false" customHeight="1" hidden="" ht="14" outlineLevel="0" r="5931">
      <c r="A5931" s="3" t="inlineStr">
        <is>
          <t>5900</t>
        </is>
      </c>
      <c r="B5931" s="4" t="s">
        <f>=HYPERLINK("http://anyluxury.ru/shop/odezhda/detskaya-odezhda/hudi-oversayz-uniseks-outshine-beloe-1502960/" , "15029.60 Худи оверсайз унисекс Outshine, белое, размер M/L")</f>
      </c>
      <c r="C5931" s="4" t="n">
        <v>2500.00</v>
      </c>
      <c r="D5931" s="4"/>
    </row>
    <row collapsed="" customFormat="false" customHeight="1" hidden="" ht="14" outlineLevel="0" r="5932">
      <c r="A5932" s="3" t="inlineStr">
        <is>
          <t>5901</t>
        </is>
      </c>
      <c r="B5932" s="4" t="s">
        <f>=HYPERLINK("http://anyluxury.ru/shop/odezhda/detskaya-odezhda/hudi-oversayz-uniseks-outshine-beloe-1502960/" , "15029.60 Худи оверсайз унисекс Outshine, белое, размер XL/2XL")</f>
      </c>
      <c r="C5932" s="4" t="n">
        <v>2500.00</v>
      </c>
      <c r="D5932" s="4"/>
    </row>
    <row collapsed="" customFormat="false" customHeight="1" hidden="" ht="14" outlineLevel="0" r="5933">
      <c r="A5933" s="3" t="inlineStr">
        <is>
          <t>5902</t>
        </is>
      </c>
      <c r="B5933" s="4" t="s">
        <f>=HYPERLINK("http://anyluxury.ru/shop/odezhda/detskaya-odezhda/hudi-oversayz-uniseks-outshine-chernoe-1502930/" , "15029.30 Худи оверсайз унисекс Outshine, черное, размер XS/S")</f>
      </c>
      <c r="C5933" s="4" t="n">
        <v>2500.00</v>
      </c>
      <c r="D5933" s="4"/>
    </row>
    <row collapsed="" customFormat="false" customHeight="1" hidden="" ht="14" outlineLevel="0" r="5934">
      <c r="A5934" s="3" t="inlineStr">
        <is>
          <t>5903</t>
        </is>
      </c>
      <c r="B5934" s="4" t="s">
        <f>=HYPERLINK("http://anyluxury.ru/shop/odezhda/detskaya-odezhda/hudi-oversayz-uniseks-outshine-chernoe-1502930/" , "15029.30 Худи оверсайз унисекс Outshine, черное, размер M/L")</f>
      </c>
      <c r="C5934" s="4" t="n">
        <v>2500.00</v>
      </c>
      <c r="D5934" s="4"/>
    </row>
    <row collapsed="" customFormat="false" customHeight="1" hidden="" ht="14" outlineLevel="0" r="5935">
      <c r="A5935" s="3" t="inlineStr">
        <is>
          <t>5904</t>
        </is>
      </c>
      <c r="B5935" s="4" t="s">
        <f>=HYPERLINK("http://anyluxury.ru/shop/odezhda/detskaya-odezhda/shevron-na-lipuchke-morskoy-na-zakaz-1822805/" , "18228.05 Шеврон на липучке «Морской» на заказ")</f>
      </c>
      <c r="C5935" s="4" t="n">
        <v>226.00</v>
      </c>
      <c r="D5935" s="4"/>
    </row>
    <row collapsed="" customFormat="false" customHeight="1" hidden="" ht="14" outlineLevel="0" r="5936">
      <c r="A5936" s="3" t="inlineStr">
        <is>
          <t>5905</t>
        </is>
      </c>
      <c r="B5936" s="4" t="s">
        <f>=HYPERLINK("http://anyluxury.ru/shop/odezhda/detskaya-odezhda/shevron-na-lipuchke-selskoe-hozyaystvo-na-zakaz-1823405/" , "18234.05 Шеврон на липучке «Сельское хозяйство» на заказ")</f>
      </c>
      <c r="C5936" s="4" t="n">
        <v>226.00</v>
      </c>
      <c r="D5936" s="4"/>
    </row>
    <row collapsed="" customFormat="false" customHeight="1" hidden="" ht="14" outlineLevel="0" r="5937">
      <c r="A5937" s="3" t="inlineStr">
        <is>
          <t>5906</t>
        </is>
      </c>
      <c r="B5937" s="4" t="s">
        <f>=HYPERLINK("http://anyluxury.ru/shop/odezhda/detskaya-odezhda/leybl-iz-pvh-na-lipuchke-na-zakaz-tau-patch-s-1419310/" , "14193.10 Лейбл из ПВХ на липучке на заказ Tau Patch, S")</f>
      </c>
      <c r="C5937" s="4" t="n">
        <v>261.00</v>
      </c>
      <c r="D5937" s="4"/>
    </row>
    <row collapsed="" customFormat="false" customHeight="1" hidden="" ht="14" outlineLevel="0" r="5938">
      <c r="A5938" s="3" t="inlineStr">
        <is>
          <t>5907</t>
        </is>
      </c>
      <c r="B5938" s="4" t="s">
        <f>=HYPERLINK("http://anyluxury.ru/shop/odezhda/detskaya-odezhda/leybl-iz-pvh-na-lipuchke-na-zakaz-tau-patch-m-1419320/" , "14193.20 Лейбл из ПВХ на липучке на заказ Tau Patch, M")</f>
      </c>
      <c r="C5938" s="4" t="n">
        <v>301.00</v>
      </c>
      <c r="D5938" s="4"/>
    </row>
    <row collapsed="" customFormat="false" customHeight="1" hidden="" ht="14" outlineLevel="0" r="5939">
      <c r="A5939" s="3" t="inlineStr">
        <is>
          <t>5908</t>
        </is>
      </c>
      <c r="B5939" s="4" t="s">
        <f>=HYPERLINK("http://anyluxury.ru/shop/odezhda/detskaya-odezhda/hudi-kulonga-oversize-temnozelenoe-1410190/" , "14101.90 Худи Kulonga Oversize, темно-зеленое, размер ХS/S")</f>
      </c>
      <c r="C5939" s="4" t="n">
        <v>3000.00</v>
      </c>
      <c r="D5939" s="4"/>
    </row>
    <row collapsed="" customFormat="false" customHeight="1" hidden="" ht="14" outlineLevel="0" r="5940">
      <c r="A5940" s="3" t="inlineStr">
        <is>
          <t>5909</t>
        </is>
      </c>
      <c r="B5940" s="4" t="s">
        <f>=HYPERLINK("http://anyluxury.ru/shop/odezhda/detskaya-odezhda/dzhoggeri-kulonga-temnozelenie-1295990/" , "12959.90 Джоггеры Kulonga, темно-зеленые, размер ХS/S")</f>
      </c>
      <c r="C5940" s="4" t="n">
        <v>2950.00</v>
      </c>
      <c r="D5940" s="4"/>
    </row>
    <row collapsed="" customFormat="false" customHeight="1" hidden="" ht="14" outlineLevel="0" r="5941">
      <c r="A5941" s="3" t="inlineStr">
        <is>
          <t>5910</t>
        </is>
      </c>
      <c r="B5941" s="4" t="s">
        <f>=HYPERLINK("http://anyluxury.ru/shop/odezhda/detskaya-odezhda/dzhoggeri-kulonga-temnozelenie-1295990/" , "12959.90 Джоггеры Kulonga, темно-зеленые, размер M/L")</f>
      </c>
      <c r="C5941" s="4" t="n">
        <v>2950.00</v>
      </c>
      <c r="D5941" s="4"/>
    </row>
    <row collapsed="" customFormat="false" customHeight="1" hidden="" ht="14" outlineLevel="0" r="5942">
      <c r="A5942" s="3" t="inlineStr">
        <is>
          <t>5911</t>
        </is>
      </c>
      <c r="B5942" s="4" t="s">
        <f>=HYPERLINK("http://anyluxury.ru/shop/odezhda/detskaya-odezhda/dzhoggeri-kulonga-temnozelenie-1295990/" , "12959.90 Джоггеры Kulonga, темно-зеленые, размер ХL/ХХL")</f>
      </c>
      <c r="C5942" s="4" t="n">
        <v>2950.00</v>
      </c>
      <c r="D5942" s="4"/>
    </row>
    <row collapsed="" customFormat="false" customHeight="1" hidden="" ht="14" outlineLevel="0" r="5943">
      <c r="A5943" s="3" t="inlineStr">
        <is>
          <t>5912</t>
        </is>
      </c>
      <c r="B5943" s="4" t="s">
        <f>=HYPERLINK("http://anyluxury.ru/shop/odezhda/detskaya-odezhda/futbolka-uniseks-s-dlinnim-rukavom-pioneer-lsl-zelenaya-03982291/" , "03982291 Футболка унисекс с длинным рукавом Pioneer LSL, зеленая, размер XS")</f>
      </c>
      <c r="C5943" s="4" t="n">
        <v>1796.00</v>
      </c>
      <c r="D5943" s="4"/>
    </row>
    <row collapsed="" customFormat="false" customHeight="1" hidden="" ht="14" outlineLevel="0" r="5944">
      <c r="A5944" s="3" t="inlineStr">
        <is>
          <t>5913</t>
        </is>
      </c>
      <c r="B5944" s="4" t="s">
        <f>=HYPERLINK("http://anyluxury.ru/shop/odezhda/detskaya-odezhda/futbolka-uniseks-s-dlinnim-rukavom-pioneer-lsl-zelenaya-03982291/" , "03982291 Футболка унисекс с длинным рукавом Pioneer LSL, зеленая, размер S")</f>
      </c>
      <c r="C5944" s="4" t="n">
        <v>1796.00</v>
      </c>
      <c r="D5944" s="4"/>
    </row>
    <row collapsed="" customFormat="false" customHeight="1" hidden="" ht="14" outlineLevel="0" r="5945">
      <c r="A5945" s="3" t="inlineStr">
        <is>
          <t>5914</t>
        </is>
      </c>
      <c r="B5945" s="4" t="s">
        <f>=HYPERLINK("http://anyluxury.ru/shop/odezhda/detskaya-odezhda/futbolka-uniseks-s-dlinnim-rukavom-pioneer-lsl-zelenaya-03982291/" , "03982291 Футболка унисекс с длинным рукавом Pioneer LSL, зеленая, размер M")</f>
      </c>
      <c r="C5945" s="4" t="n">
        <v>1796.00</v>
      </c>
      <c r="D5945" s="4"/>
    </row>
    <row collapsed="" customFormat="false" customHeight="1" hidden="" ht="14" outlineLevel="0" r="5946">
      <c r="A5946" s="3" t="inlineStr">
        <is>
          <t>5915</t>
        </is>
      </c>
      <c r="B5946" s="4" t="s">
        <f>=HYPERLINK("http://anyluxury.ru/shop/odezhda/detskaya-odezhda/futbolka-uniseks-s-dlinnim-rukavom-pioneer-lsl-zelenaya-03982291/" , "03982291 Футболка унисекс с длинным рукавом Pioneer LSL, зеленая, размер L")</f>
      </c>
      <c r="C5946" s="4" t="n">
        <v>1796.00</v>
      </c>
      <c r="D5946" s="4"/>
    </row>
    <row collapsed="" customFormat="false" customHeight="1" hidden="" ht="14" outlineLevel="0" r="5947">
      <c r="A5947" s="3" t="inlineStr">
        <is>
          <t>5916</t>
        </is>
      </c>
      <c r="B5947" s="4" t="s">
        <f>=HYPERLINK("http://anyluxury.ru/shop/odezhda/detskaya-odezhda/futbolka-uniseks-s-dlinnim-rukavom-pioneer-lsl-zelenaya-03982291/" , "03982291 Футболка унисекс с длинным рукавом Pioneer LSL, зеленая, размер XL")</f>
      </c>
      <c r="C5947" s="4" t="n">
        <v>1796.00</v>
      </c>
      <c r="D5947" s="4"/>
    </row>
    <row collapsed="" customFormat="false" customHeight="1" hidden="" ht="14" outlineLevel="0" r="5948">
      <c r="A5948" s="3" t="inlineStr">
        <is>
          <t>5917</t>
        </is>
      </c>
      <c r="B5948" s="4" t="s">
        <f>=HYPERLINK("http://anyluxury.ru/shop/odezhda/detskaya-odezhda/futbolka-uniseks-s-dlinnim-rukavom-pioneer-lsl-zelenaya-03982291/" , "03982291 Футболка унисекс с длинным рукавом Pioneer LSL, зеленая, размер XXL")</f>
      </c>
      <c r="C5948" s="4" t="n">
        <v>1796.00</v>
      </c>
      <c r="D5948" s="4"/>
    </row>
    <row collapsed="" customFormat="false" customHeight="1" hidden="" ht="14" outlineLevel="0" r="5949">
      <c r="A5949" s="3" t="inlineStr">
        <is>
          <t>5918</t>
        </is>
      </c>
      <c r="B5949" s="4" t="s">
        <f>=HYPERLINK("http://anyluxury.ru/shop/odezhda/detskaya-odezhda/futbolka-uniseks-s-dlinnim-rukavom-pioneer-lsl-zelenaya-03982291/" , "03982291 Футболка унисекс с длинным рукавом Pioneer LSL, зеленая, размер 3XL")</f>
      </c>
      <c r="C5949" s="4" t="n">
        <v>2069.00</v>
      </c>
      <c r="D5949" s="4"/>
    </row>
    <row collapsed="" customFormat="false" customHeight="1" hidden="" ht="14" outlineLevel="0" r="5950">
      <c r="A5950" s="3" t="inlineStr">
        <is>
          <t>5919</t>
        </is>
      </c>
      <c r="B5950" s="4" t="s">
        <f>=HYPERLINK("http://anyluxury.ru/shop/odezhda/detskaya-odezhda/hudi-oversayz-uniseks-origin-chernoe-03991312/" , "03991312 Худи оверсайз унисекс Origin, черное, размер XS")</f>
      </c>
      <c r="C5950" s="4" t="n">
        <v>6359.00</v>
      </c>
      <c r="D5950" s="4"/>
    </row>
    <row collapsed="" customFormat="false" customHeight="1" hidden="" ht="14" outlineLevel="0" r="5951">
      <c r="A5951" s="3" t="inlineStr">
        <is>
          <t>5920</t>
        </is>
      </c>
      <c r="B5951" s="4" t="s">
        <f>=HYPERLINK("http://anyluxury.ru/shop/odezhda/detskaya-odezhda/hudi-oversayz-uniseks-origin-chernoe-03991312/" , "03991312 Худи оверсайз унисекс Origin, черное, размер S")</f>
      </c>
      <c r="C5951" s="4" t="n">
        <v>6359.00</v>
      </c>
      <c r="D5951" s="4"/>
    </row>
    <row collapsed="" customFormat="false" customHeight="1" hidden="" ht="14" outlineLevel="0" r="5952">
      <c r="A5952" s="3" t="inlineStr">
        <is>
          <t>5921</t>
        </is>
      </c>
      <c r="B5952" s="4" t="s">
        <f>=HYPERLINK("http://anyluxury.ru/shop/odezhda/detskaya-odezhda/hudi-oversayz-uniseks-origin-chernoe-03991312/" , "03991312 Худи оверсайз унисекс Origin, черное, размер M")</f>
      </c>
      <c r="C5952" s="4" t="n">
        <v>6359.00</v>
      </c>
      <c r="D5952" s="4"/>
    </row>
    <row collapsed="" customFormat="false" customHeight="1" hidden="" ht="14" outlineLevel="0" r="5953">
      <c r="A5953" s="3" t="inlineStr">
        <is>
          <t>5922</t>
        </is>
      </c>
      <c r="B5953" s="4" t="s">
        <f>=HYPERLINK("http://anyluxury.ru/shop/odezhda/detskaya-odezhda/hudi-oversayz-uniseks-origin-chernoe-03991312/" , "03991312 Худи оверсайз унисекс Origin, черное, размер L")</f>
      </c>
      <c r="C5953" s="4" t="n">
        <v>6359.00</v>
      </c>
      <c r="D5953" s="4"/>
    </row>
    <row collapsed="" customFormat="false" customHeight="1" hidden="" ht="14" outlineLevel="0" r="5954">
      <c r="A5954" s="3" t="inlineStr">
        <is>
          <t>5923</t>
        </is>
      </c>
      <c r="B5954" s="4" t="s">
        <f>=HYPERLINK("http://anyluxury.ru/shop/odezhda/detskaya-odezhda/hudi-oversayz-uniseks-origin-chernoe-03991312/" , "03991312 Худи оверсайз унисекс Origin, черное, размер XL")</f>
      </c>
      <c r="C5954" s="4" t="n">
        <v>6359.00</v>
      </c>
      <c r="D5954" s="4"/>
    </row>
    <row collapsed="" customFormat="false" customHeight="1" hidden="" ht="14" outlineLevel="0" r="5955">
      <c r="A5955" s="3" t="inlineStr">
        <is>
          <t>5924</t>
        </is>
      </c>
      <c r="B5955" s="4" t="s">
        <f>=HYPERLINK("http://anyluxury.ru/shop/odezhda/detskaya-odezhda/hudi-oversayz-uniseks-origin-chernoe-03991312/" , "03991312 Худи оверсайз унисекс Origin, черное, размер XXL")</f>
      </c>
      <c r="C5955" s="4" t="n">
        <v>6359.00</v>
      </c>
      <c r="D5955" s="4"/>
    </row>
    <row collapsed="" customFormat="false" customHeight="1" hidden="" ht="14" outlineLevel="0" r="5956">
      <c r="A5956" s="3" t="inlineStr">
        <is>
          <t>5925</t>
        </is>
      </c>
      <c r="B5956" s="4" t="s">
        <f>=HYPERLINK("http://anyluxury.ru/shop/odezhda/detskaya-odezhda/hudi-oversayz-uniseks-origin-chernoe-03991312/" , "03991312 Худи оверсайз унисекс Origin, черное, размер 3XL")</f>
      </c>
      <c r="C5956" s="4" t="n">
        <v>7396.00</v>
      </c>
      <c r="D5956" s="4"/>
    </row>
    <row collapsed="" customFormat="false" customHeight="1" hidden="" ht="14" outlineLevel="0" r="5957">
      <c r="A5957" s="3" t="inlineStr">
        <is>
          <t>5926</t>
        </is>
      </c>
      <c r="B5957" s="4" t="s">
        <f>=HYPERLINK("http://anyluxury.ru/shop/odezhda/detskaya-odezhda/hudi-oversayz-uniseks-origin-seriy-melanzh-03991360/" , "03991360 Худи оверсайз унисекс Origin, серый меланж, размер XS")</f>
      </c>
      <c r="C5957" s="4" t="n">
        <v>6359.00</v>
      </c>
      <c r="D5957" s="4"/>
    </row>
    <row collapsed="" customFormat="false" customHeight="1" hidden="" ht="14" outlineLevel="0" r="5958">
      <c r="A5958" s="3" t="inlineStr">
        <is>
          <t>5927</t>
        </is>
      </c>
      <c r="B5958" s="4" t="s">
        <f>=HYPERLINK("http://anyluxury.ru/shop/odezhda/detskaya-odezhda/hudi-oversayz-uniseks-origin-seriy-melanzh-03991360/" , "03991360 Худи оверсайз унисекс Origin, серый меланж, размер S")</f>
      </c>
      <c r="C5958" s="4" t="n">
        <v>6359.00</v>
      </c>
      <c r="D5958" s="4"/>
    </row>
    <row collapsed="" customFormat="false" customHeight="1" hidden="" ht="14" outlineLevel="0" r="5959">
      <c r="A5959" s="3" t="inlineStr">
        <is>
          <t>5928</t>
        </is>
      </c>
      <c r="B5959" s="4" t="s">
        <f>=HYPERLINK("http://anyluxury.ru/shop/odezhda/detskaya-odezhda/hudi-oversayz-uniseks-origin-seriy-melanzh-03991360/" , "03991360 Худи оверсайз унисекс Origin, серый меланж, размер M")</f>
      </c>
      <c r="C5959" s="4" t="n">
        <v>6359.00</v>
      </c>
      <c r="D5959" s="4"/>
    </row>
    <row collapsed="" customFormat="false" customHeight="1" hidden="" ht="14" outlineLevel="0" r="5960">
      <c r="A5960" s="3" t="inlineStr">
        <is>
          <t>5929</t>
        </is>
      </c>
      <c r="B5960" s="4" t="s">
        <f>=HYPERLINK("http://anyluxury.ru/shop/odezhda/detskaya-odezhda/hudi-oversayz-uniseks-origin-seriy-melanzh-03991360/" , "03991360 Худи оверсайз унисекс Origin, серый меланж, размер L")</f>
      </c>
      <c r="C5960" s="4" t="n">
        <v>6359.00</v>
      </c>
      <c r="D5960" s="4"/>
    </row>
    <row collapsed="" customFormat="false" customHeight="1" hidden="" ht="14" outlineLevel="0" r="5961">
      <c r="A5961" s="3" t="inlineStr">
        <is>
          <t>5930</t>
        </is>
      </c>
      <c r="B5961" s="4" t="s">
        <f>=HYPERLINK("http://anyluxury.ru/shop/odezhda/detskaya-odezhda/hudi-oversayz-uniseks-origin-seriy-melanzh-03991360/" , "03991360 Худи оверсайз унисекс Origin, серый меланж, размер XL")</f>
      </c>
      <c r="C5961" s="4" t="n">
        <v>6359.00</v>
      </c>
      <c r="D5961" s="4"/>
    </row>
    <row collapsed="" customFormat="false" customHeight="1" hidden="" ht="14" outlineLevel="0" r="5962">
      <c r="A5962" s="3" t="inlineStr">
        <is>
          <t>5931</t>
        </is>
      </c>
      <c r="B5962" s="4" t="s">
        <f>=HYPERLINK("http://anyluxury.ru/shop/odezhda/detskaya-odezhda/hudi-oversayz-uniseks-origin-seriy-melanzh-03991360/" , "03991360 Худи оверсайз унисекс Origin, серый меланж, размер XXL")</f>
      </c>
      <c r="C5962" s="4" t="n">
        <v>6359.00</v>
      </c>
      <c r="D5962" s="4"/>
    </row>
    <row collapsed="" customFormat="false" customHeight="1" hidden="" ht="14" outlineLevel="0" r="5963">
      <c r="A5963" s="3" t="inlineStr">
        <is>
          <t>5932</t>
        </is>
      </c>
      <c r="B5963" s="4" t="s">
        <f>=HYPERLINK("http://anyluxury.ru/shop/odezhda/detskaya-odezhda/hudi-oversayz-uniseks-origin-seriy-melanzh-03991360/" , "03991360 Худи оверсайз унисекс Origin, серый меланж, размер 3XL")</f>
      </c>
      <c r="C5963" s="4" t="n">
        <v>7396.00</v>
      </c>
      <c r="D5963" s="4"/>
    </row>
    <row collapsed="" customFormat="false" customHeight="1" hidden="" ht="14" outlineLevel="0" r="5964">
      <c r="A5964" s="3" t="inlineStr">
        <is>
          <t>5933</t>
        </is>
      </c>
      <c r="B5964" s="4" t="s">
        <f>=HYPERLINK("http://anyluxury.ru/shop/odezhda/detskaya-odezhda/dzhoggeri-uniseks-century-chernie-03992312/" , "03992312 Джоггеры унисекс Century, черные, размер XS")</f>
      </c>
      <c r="C5964" s="4" t="n">
        <v>5167.00</v>
      </c>
      <c r="D5964" s="4"/>
    </row>
    <row collapsed="" customFormat="false" customHeight="1" hidden="" ht="14" outlineLevel="0" r="5965">
      <c r="A5965" s="3" t="inlineStr">
        <is>
          <t>5934</t>
        </is>
      </c>
      <c r="B5965" s="4" t="s">
        <f>=HYPERLINK("http://anyluxury.ru/shop/odezhda/detskaya-odezhda/dzhoggeri-uniseks-century-chernie-03992312/" , "03992312 Джоггеры унисекс Century, черные, размер S")</f>
      </c>
      <c r="C5965" s="4" t="n">
        <v>5167.00</v>
      </c>
      <c r="D5965" s="4"/>
    </row>
    <row collapsed="" customFormat="false" customHeight="1" hidden="" ht="14" outlineLevel="0" r="5966">
      <c r="A5966" s="3" t="inlineStr">
        <is>
          <t>5935</t>
        </is>
      </c>
      <c r="B5966" s="4" t="s">
        <f>=HYPERLINK("http://anyluxury.ru/shop/odezhda/detskaya-odezhda/dzhoggeri-uniseks-century-chernie-03992312/" , "03992312 Джоггеры унисекс Century, черные, размер M")</f>
      </c>
      <c r="C5966" s="4" t="n">
        <v>5167.00</v>
      </c>
      <c r="D5966" s="4"/>
    </row>
    <row collapsed="" customFormat="false" customHeight="1" hidden="" ht="14" outlineLevel="0" r="5967">
      <c r="A5967" s="3" t="inlineStr">
        <is>
          <t>5936</t>
        </is>
      </c>
      <c r="B5967" s="4" t="s">
        <f>=HYPERLINK("http://anyluxury.ru/shop/odezhda/detskaya-odezhda/dzhoggeri-uniseks-century-chernie-03992312/" , "03992312 Джоггеры унисекс Century, черные, размер L")</f>
      </c>
      <c r="C5967" s="4" t="n">
        <v>5167.00</v>
      </c>
      <c r="D5967" s="4"/>
    </row>
    <row collapsed="" customFormat="false" customHeight="1" hidden="" ht="14" outlineLevel="0" r="5968">
      <c r="A5968" s="3" t="inlineStr">
        <is>
          <t>5937</t>
        </is>
      </c>
      <c r="B5968" s="4" t="s">
        <f>=HYPERLINK("http://anyluxury.ru/shop/odezhda/detskaya-odezhda/dzhoggeri-uniseks-century-chernie-03992312/" , "03992312 Джоггеры унисекс Century, черные, размер XL")</f>
      </c>
      <c r="C5968" s="4" t="n">
        <v>5167.00</v>
      </c>
      <c r="D5968" s="4"/>
    </row>
    <row collapsed="" customFormat="false" customHeight="1" hidden="" ht="14" outlineLevel="0" r="5969">
      <c r="A5969" s="3" t="inlineStr">
        <is>
          <t>5938</t>
        </is>
      </c>
      <c r="B5969" s="4" t="s">
        <f>=HYPERLINK("http://anyluxury.ru/shop/odezhda/detskaya-odezhda/dzhoggeri-uniseks-century-chernie-03992312/" , "03992312 Джоггеры унисекс Century, черные, размер XXL")</f>
      </c>
      <c r="C5969" s="4" t="n">
        <v>5167.00</v>
      </c>
      <c r="D5969" s="4"/>
    </row>
    <row collapsed="" customFormat="false" customHeight="1" hidden="" ht="14" outlineLevel="0" r="5970">
      <c r="A5970" s="3" t="inlineStr">
        <is>
          <t>5939</t>
        </is>
      </c>
      <c r="B5970" s="4" t="s">
        <f>=HYPERLINK("http://anyluxury.ru/shop/odezhda/detskaya-odezhda/dzhoggeri-uniseks-century-chernie-03992312/" , "03992312 Джоггеры унисекс Century, черные, размер 3XL")</f>
      </c>
      <c r="C5970" s="4" t="n">
        <v>6003.00</v>
      </c>
      <c r="D5970" s="4"/>
    </row>
    <row collapsed="" customFormat="false" customHeight="1" hidden="" ht="14" outlineLevel="0" r="5971">
      <c r="A5971" s="3" t="inlineStr">
        <is>
          <t>5940</t>
        </is>
      </c>
      <c r="B5971" s="4" t="s">
        <f>=HYPERLINK("http://anyluxury.ru/shop/odezhda/detskaya-odezhda/dzhoggeri-uniseks-century-seriy-melanzh-03992360/" , "03992360 Джоггеры унисекс Century, серый меланж, размер XS")</f>
      </c>
      <c r="C5971" s="4" t="n">
        <v>5167.00</v>
      </c>
      <c r="D5971" s="4"/>
    </row>
    <row collapsed="" customFormat="false" customHeight="1" hidden="" ht="14" outlineLevel="0" r="5972">
      <c r="A5972" s="3" t="inlineStr">
        <is>
          <t>5941</t>
        </is>
      </c>
      <c r="B5972" s="4" t="s">
        <f>=HYPERLINK("http://anyluxury.ru/shop/odezhda/detskaya-odezhda/dzhoggeri-uniseks-century-seriy-melanzh-03992360/" , "03992360 Джоггеры унисекс Century, серый меланж, размер S")</f>
      </c>
      <c r="C5972" s="4" t="n">
        <v>5167.00</v>
      </c>
      <c r="D5972" s="4"/>
    </row>
    <row collapsed="" customFormat="false" customHeight="1" hidden="" ht="14" outlineLevel="0" r="5973">
      <c r="A5973" s="3" t="inlineStr">
        <is>
          <t>5942</t>
        </is>
      </c>
      <c r="B5973" s="4" t="s">
        <f>=HYPERLINK("http://anyluxury.ru/shop/odezhda/detskaya-odezhda/dzhoggeri-uniseks-century-seriy-melanzh-03992360/" , "03992360 Джоггеры унисекс Century, серый меланж, размер M")</f>
      </c>
      <c r="C5973" s="4" t="n">
        <v>5167.00</v>
      </c>
      <c r="D5973" s="4"/>
    </row>
    <row collapsed="" customFormat="false" customHeight="1" hidden="" ht="14" outlineLevel="0" r="5974">
      <c r="A5974" s="3" t="inlineStr">
        <is>
          <t>5943</t>
        </is>
      </c>
      <c r="B5974" s="4" t="s">
        <f>=HYPERLINK("http://anyluxury.ru/shop/odezhda/detskaya-odezhda/dzhoggeri-uniseks-century-seriy-melanzh-03992360/" , "03992360 Джоггеры унисекс Century, серый меланж, размер L")</f>
      </c>
      <c r="C5974" s="4" t="n">
        <v>5167.00</v>
      </c>
      <c r="D5974" s="4"/>
    </row>
    <row collapsed="" customFormat="false" customHeight="1" hidden="" ht="14" outlineLevel="0" r="5975">
      <c r="A5975" s="3" t="inlineStr">
        <is>
          <t>5944</t>
        </is>
      </c>
      <c r="B5975" s="4" t="s">
        <f>=HYPERLINK("http://anyluxury.ru/shop/odezhda/detskaya-odezhda/dzhoggeri-uniseks-century-seriy-melanzh-03992360/" , "03992360 Джоггеры унисекс Century, серый меланж, размер XL")</f>
      </c>
      <c r="C5975" s="4" t="n">
        <v>5167.00</v>
      </c>
      <c r="D5975" s="4"/>
    </row>
    <row collapsed="" customFormat="false" customHeight="1" hidden="" ht="14" outlineLevel="0" r="5976">
      <c r="A5976" s="3" t="inlineStr">
        <is>
          <t>5945</t>
        </is>
      </c>
      <c r="B5976" s="4" t="s">
        <f>=HYPERLINK("http://anyluxury.ru/shop/odezhda/detskaya-odezhda/dzhoggeri-uniseks-century-seriy-melanzh-03992360/" , "03992360 Джоггеры унисекс Century, серый меланж, размер XXL")</f>
      </c>
      <c r="C5976" s="4" t="n">
        <v>5167.00</v>
      </c>
      <c r="D5976" s="4"/>
    </row>
    <row collapsed="" customFormat="false" customHeight="1" hidden="" ht="14" outlineLevel="0" r="5977">
      <c r="A5977" s="3" t="inlineStr">
        <is>
          <t>5946</t>
        </is>
      </c>
      <c r="B5977" s="4" t="s">
        <f>=HYPERLINK("http://anyluxury.ru/shop/odezhda/detskaya-odezhda/dzhoggeri-uniseks-century-seriy-melanzh-03992360/" , "03992360 Джоггеры унисекс Century, серый меланж, размер 3XL")</f>
      </c>
      <c r="C5977" s="4" t="n">
        <v>6003.00</v>
      </c>
      <c r="D5977" s="4"/>
    </row>
    <row collapsed="" customFormat="false" customHeight="1" hidden="" ht="14" outlineLevel="0" r="5978">
      <c r="A5978" s="3" t="inlineStr">
        <is>
          <t>5947</t>
        </is>
      </c>
      <c r="B5978" s="4" t="s">
        <f>=HYPERLINK("http://anyluxury.ru/shop/odezhda/detskaya-odezhda/kurtka-uniseks-fury-temnoseraya-grafit-04042869/" , "04042869 Куртка унисекс Fury, темно-серая (графит), размер XS")</f>
      </c>
      <c r="C5978" s="4" t="n">
        <v>6199.00</v>
      </c>
      <c r="D5978" s="4"/>
    </row>
    <row collapsed="" customFormat="false" customHeight="1" hidden="" ht="14" outlineLevel="0" r="5979">
      <c r="A5979" s="3" t="inlineStr">
        <is>
          <t>5948</t>
        </is>
      </c>
      <c r="B5979" s="4" t="s">
        <f>=HYPERLINK("http://anyluxury.ru/shop/odezhda/detskaya-odezhda/kurtka-uniseks-fury-temnoseraya-grafit-04042869/" , "04042869 Куртка унисекс Fury, темно-серая (графит), размер S")</f>
      </c>
      <c r="C5979" s="4" t="n">
        <v>6199.00</v>
      </c>
      <c r="D5979" s="4"/>
    </row>
    <row collapsed="" customFormat="false" customHeight="1" hidden="" ht="14" outlineLevel="0" r="5980">
      <c r="A5980" s="3" t="inlineStr">
        <is>
          <t>5949</t>
        </is>
      </c>
      <c r="B5980" s="4" t="s">
        <f>=HYPERLINK("http://anyluxury.ru/shop/odezhda/detskaya-odezhda/kurtka-uniseks-fury-temnoseraya-grafit-04042869/" , "04042869 Куртка унисекс Fury, темно-серая (графит), размер M")</f>
      </c>
      <c r="C5980" s="4" t="n">
        <v>6199.00</v>
      </c>
      <c r="D5980" s="4"/>
    </row>
    <row collapsed="" customFormat="false" customHeight="1" hidden="" ht="14" outlineLevel="0" r="5981">
      <c r="A5981" s="3" t="inlineStr">
        <is>
          <t>5950</t>
        </is>
      </c>
      <c r="B5981" s="4" t="s">
        <f>=HYPERLINK("http://anyluxury.ru/shop/odezhda/detskaya-odezhda/kurtka-uniseks-fury-temnoseraya-grafit-04042869/" , "04042869 Куртка унисекс Fury, темно-серая (графит), размер L")</f>
      </c>
      <c r="C5981" s="4" t="n">
        <v>6199.00</v>
      </c>
      <c r="D5981" s="4"/>
    </row>
    <row collapsed="" customFormat="false" customHeight="1" hidden="" ht="14" outlineLevel="0" r="5982">
      <c r="A5982" s="3" t="inlineStr">
        <is>
          <t>5951</t>
        </is>
      </c>
      <c r="B5982" s="4" t="s">
        <f>=HYPERLINK("http://anyluxury.ru/shop/odezhda/detskaya-odezhda/kurtka-uniseks-fury-temnoseraya-grafit-04042869/" , "04042869 Куртка унисекс Fury, темно-серая (графит), размер XL")</f>
      </c>
      <c r="C5982" s="4" t="n">
        <v>6199.00</v>
      </c>
      <c r="D5982" s="4"/>
    </row>
    <row collapsed="" customFormat="false" customHeight="1" hidden="" ht="14" outlineLevel="0" r="5983">
      <c r="A5983" s="3" t="inlineStr">
        <is>
          <t>5952</t>
        </is>
      </c>
      <c r="B5983" s="4" t="s">
        <f>=HYPERLINK("http://anyluxury.ru/shop/odezhda/detskaya-odezhda/kurtka-uniseks-fury-temnoseraya-grafit-04042869/" , "04042869 Куртка унисекс Fury, темно-серая (графит), размер XXL")</f>
      </c>
      <c r="C5983" s="4" t="n">
        <v>6199.00</v>
      </c>
      <c r="D5983" s="4"/>
    </row>
    <row collapsed="" customFormat="false" customHeight="1" hidden="" ht="14" outlineLevel="0" r="5984">
      <c r="A5984" s="3" t="inlineStr">
        <is>
          <t>5953</t>
        </is>
      </c>
      <c r="B5984" s="4" t="s">
        <f>=HYPERLINK("http://anyluxury.ru/shop/odezhda/detskaya-odezhda/kurtka-uniseks-fury-temnoseraya-grafit-04042869/" , "04042869 Куртка унисекс Fury, темно-серая (графит), размер 3XL")</f>
      </c>
      <c r="C5984" s="4" t="n">
        <v>7201.00</v>
      </c>
      <c r="D5984" s="4"/>
    </row>
    <row collapsed="" customFormat="false" customHeight="1" hidden="" ht="14" outlineLevel="0" r="5985">
      <c r="A5985" s="3" t="inlineStr">
        <is>
          <t>5954</t>
        </is>
      </c>
      <c r="B5985" s="4" t="s">
        <f>=HYPERLINK("http://anyluxury.ru/shop/odezhda/detskaya-odezhda/kurtka-uniseks-fury-bezhevaya-04042871/" , "04042871 Куртка унисекс Fury, бежевая, размер XS")</f>
      </c>
      <c r="C5985" s="4" t="n">
        <v>6199.00</v>
      </c>
      <c r="D5985" s="4"/>
    </row>
    <row collapsed="" customFormat="false" customHeight="1" hidden="" ht="14" outlineLevel="0" r="5986">
      <c r="A5986" s="3" t="inlineStr">
        <is>
          <t>5955</t>
        </is>
      </c>
      <c r="B5986" s="4" t="s">
        <f>=HYPERLINK("http://anyluxury.ru/shop/odezhda/detskaya-odezhda/kurtka-uniseks-fury-bezhevaya-04042871/" , "04042871 Куртка унисекс Fury, бежевая, размер S")</f>
      </c>
      <c r="C5986" s="4" t="n">
        <v>6199.00</v>
      </c>
      <c r="D5986" s="4"/>
    </row>
    <row collapsed="" customFormat="false" customHeight="1" hidden="" ht="14" outlineLevel="0" r="5987">
      <c r="A5987" s="3" t="inlineStr">
        <is>
          <t>5956</t>
        </is>
      </c>
      <c r="B5987" s="4" t="s">
        <f>=HYPERLINK("http://anyluxury.ru/shop/odezhda/detskaya-odezhda/kurtka-uniseks-fury-bezhevaya-04042871/" , "04042871 Куртка унисекс Fury, бежевая, размер M")</f>
      </c>
      <c r="C5987" s="4" t="n">
        <v>6199.00</v>
      </c>
      <c r="D5987" s="4"/>
    </row>
    <row collapsed="" customFormat="false" customHeight="1" hidden="" ht="14" outlineLevel="0" r="5988">
      <c r="A5988" s="3" t="inlineStr">
        <is>
          <t>5957</t>
        </is>
      </c>
      <c r="B5988" s="4" t="s">
        <f>=HYPERLINK("http://anyluxury.ru/shop/odezhda/detskaya-odezhda/kurtka-uniseks-fury-bezhevaya-04042871/" , "04042871 Куртка унисекс Fury, бежевая, размер L")</f>
      </c>
      <c r="C5988" s="4" t="n">
        <v>6199.00</v>
      </c>
      <c r="D5988" s="4"/>
    </row>
    <row collapsed="" customFormat="false" customHeight="1" hidden="" ht="14" outlineLevel="0" r="5989">
      <c r="A5989" s="3" t="inlineStr">
        <is>
          <t>5958</t>
        </is>
      </c>
      <c r="B5989" s="4" t="s">
        <f>=HYPERLINK("http://anyluxury.ru/shop/odezhda/detskaya-odezhda/kurtka-uniseks-fury-bezhevaya-04042871/" , "04042871 Куртка унисекс Fury, бежевая, размер XL")</f>
      </c>
      <c r="C5989" s="4" t="n">
        <v>6199.00</v>
      </c>
      <c r="D5989" s="4"/>
    </row>
    <row collapsed="" customFormat="false" customHeight="1" hidden="" ht="14" outlineLevel="0" r="5990">
      <c r="A5990" s="3" t="inlineStr">
        <is>
          <t>5959</t>
        </is>
      </c>
      <c r="B5990" s="4" t="s">
        <f>=HYPERLINK("http://anyluxury.ru/shop/odezhda/detskaya-odezhda/kurtka-uniseks-fury-bezhevaya-04042871/" , "04042871 Куртка унисекс Fury, бежевая, размер XXL")</f>
      </c>
      <c r="C5990" s="4" t="n">
        <v>6199.00</v>
      </c>
      <c r="D5990" s="4"/>
    </row>
    <row collapsed="" customFormat="false" customHeight="1" hidden="" ht="14" outlineLevel="0" r="5991">
      <c r="A5991" s="3" t="inlineStr">
        <is>
          <t>5960</t>
        </is>
      </c>
      <c r="B5991" s="4" t="s">
        <f>=HYPERLINK("http://anyluxury.ru/shop/odezhda/detskaya-odezhda/kurtka-uniseks-fury-bezhevaya-04042871/" , "04042871 Куртка унисекс Fury, бежевая, размер 3XL")</f>
      </c>
      <c r="C5991" s="4" t="n">
        <v>7201.00</v>
      </c>
      <c r="D5991" s="4"/>
    </row>
    <row collapsed="" customFormat="false" customHeight="1" hidden="" ht="14" outlineLevel="0" r="5992">
      <c r="A5992" s="3" t="inlineStr">
        <is>
          <t>5961</t>
        </is>
      </c>
      <c r="B5992" s="4" t="s">
        <f>=HYPERLINK("http://anyluxury.ru/shop/odezhda/detskaya-odezhda/svitshot-uniseks-authentic-seriy-melanzh-04043360/" , "04043360 Свитшот унисекс Authentic, серый меланж, размер XS")</f>
      </c>
      <c r="C5992" s="4" t="n">
        <v>4832.00</v>
      </c>
      <c r="D5992" s="4"/>
    </row>
    <row collapsed="" customFormat="false" customHeight="1" hidden="" ht="14" outlineLevel="0" r="5993">
      <c r="A5993" s="3" t="inlineStr">
        <is>
          <t>5962</t>
        </is>
      </c>
      <c r="B5993" s="4" t="s">
        <f>=HYPERLINK("http://anyluxury.ru/shop/odezhda/detskaya-odezhda/svitshot-uniseks-authentic-seriy-melanzh-04043360/" , "04043360 Свитшот унисекс Authentic, серый меланж, размер S")</f>
      </c>
      <c r="C5993" s="4" t="n">
        <v>4832.00</v>
      </c>
      <c r="D5993" s="4"/>
    </row>
    <row collapsed="" customFormat="false" customHeight="1" hidden="" ht="14" outlineLevel="0" r="5994">
      <c r="A5994" s="3" t="inlineStr">
        <is>
          <t>5963</t>
        </is>
      </c>
      <c r="B5994" s="4" t="s">
        <f>=HYPERLINK("http://anyluxury.ru/shop/odezhda/detskaya-odezhda/svitshot-uniseks-authentic-seriy-melanzh-04043360/" , "04043360 Свитшот унисекс Authentic, серый меланж, размер M")</f>
      </c>
      <c r="C5994" s="4" t="n">
        <v>4832.00</v>
      </c>
      <c r="D5994" s="4"/>
    </row>
    <row collapsed="" customFormat="false" customHeight="1" hidden="" ht="14" outlineLevel="0" r="5995">
      <c r="A5995" s="3" t="inlineStr">
        <is>
          <t>5964</t>
        </is>
      </c>
      <c r="B5995" s="4" t="s">
        <f>=HYPERLINK("http://anyluxury.ru/shop/odezhda/detskaya-odezhda/svitshot-uniseks-authentic-seriy-melanzh-04043360/" , "04043360 Свитшот унисекс Authentic, серый меланж, размер L")</f>
      </c>
      <c r="C5995" s="4" t="n">
        <v>4832.00</v>
      </c>
      <c r="D5995" s="4"/>
    </row>
    <row collapsed="" customFormat="false" customHeight="1" hidden="" ht="14" outlineLevel="0" r="5996">
      <c r="A5996" s="3" t="inlineStr">
        <is>
          <t>5965</t>
        </is>
      </c>
      <c r="B5996" s="4" t="s">
        <f>=HYPERLINK("http://anyluxury.ru/shop/odezhda/detskaya-odezhda/svitshot-uniseks-authentic-seriy-melanzh-04043360/" , "04043360 Свитшот унисекс Authentic, серый меланж, размер XL")</f>
      </c>
      <c r="C5996" s="4" t="n">
        <v>4832.00</v>
      </c>
      <c r="D5996" s="4"/>
    </row>
    <row collapsed="" customFormat="false" customHeight="1" hidden="" ht="14" outlineLevel="0" r="5997">
      <c r="A5997" s="3" t="inlineStr">
        <is>
          <t>5966</t>
        </is>
      </c>
      <c r="B5997" s="4" t="s">
        <f>=HYPERLINK("http://anyluxury.ru/shop/odezhda/detskaya-odezhda/svitshot-uniseks-authentic-seriy-melanzh-04043360/" , "04043360 Свитшот унисекс Authentic, серый меланж, размер XXL")</f>
      </c>
      <c r="C5997" s="4" t="n">
        <v>4832.00</v>
      </c>
      <c r="D5997" s="4"/>
    </row>
    <row collapsed="" customFormat="false" customHeight="1" hidden="" ht="14" outlineLevel="0" r="5998">
      <c r="A5998" s="3" t="inlineStr">
        <is>
          <t>5967</t>
        </is>
      </c>
      <c r="B5998" s="4" t="s">
        <f>=HYPERLINK("http://anyluxury.ru/shop/odezhda/detskaya-odezhda/svitshot-uniseks-authentic-seriy-melanzh-04043360/" , "04043360 Свитшот унисекс Authentic, серый меланж, размер 3XL")</f>
      </c>
      <c r="C5998" s="4" t="n">
        <v>5518.00</v>
      </c>
      <c r="D5998" s="4"/>
    </row>
    <row collapsed="" customFormat="false" customHeight="1" hidden="" ht="14" outlineLevel="0" r="5999">
      <c r="A5999" s="3" t="inlineStr">
        <is>
          <t>5968</t>
        </is>
      </c>
      <c r="B5999" s="4" t="s">
        <f>=HYPERLINK("http://anyluxury.ru/shop/odezhda/detskaya-odezhda/svitshot-uniseks-authentic-cherniy-04043312/" , "04043312 Свитшот унисекс Authentic, черный, размер XS")</f>
      </c>
      <c r="C5999" s="4" t="n">
        <v>4832.00</v>
      </c>
      <c r="D5999" s="4"/>
    </row>
    <row collapsed="" customFormat="false" customHeight="1" hidden="" ht="14" outlineLevel="0" r="6000">
      <c r="A6000" s="3" t="inlineStr">
        <is>
          <t>5969</t>
        </is>
      </c>
      <c r="B6000" s="4" t="s">
        <f>=HYPERLINK("http://anyluxury.ru/shop/odezhda/detskaya-odezhda/svitshot-uniseks-authentic-cherniy-04043312/" , "04043312 Свитшот унисекс Authentic, черный, размер S")</f>
      </c>
      <c r="C6000" s="4" t="n">
        <v>4832.00</v>
      </c>
      <c r="D6000" s="4"/>
    </row>
    <row collapsed="" customFormat="false" customHeight="1" hidden="" ht="14" outlineLevel="0" r="6001">
      <c r="A6001" s="3" t="inlineStr">
        <is>
          <t>5970</t>
        </is>
      </c>
      <c r="B6001" s="4" t="s">
        <f>=HYPERLINK("http://anyluxury.ru/shop/odezhda/detskaya-odezhda/svitshot-uniseks-authentic-cherniy-04043312/" , "04043312 Свитшот унисекс Authentic, черный, размер M")</f>
      </c>
      <c r="C6001" s="4" t="n">
        <v>4832.00</v>
      </c>
      <c r="D6001" s="4"/>
    </row>
    <row collapsed="" customFormat="false" customHeight="1" hidden="" ht="14" outlineLevel="0" r="6002">
      <c r="A6002" s="3" t="inlineStr">
        <is>
          <t>5971</t>
        </is>
      </c>
      <c r="B6002" s="4" t="s">
        <f>=HYPERLINK("http://anyluxury.ru/shop/odezhda/detskaya-odezhda/svitshot-uniseks-authentic-cherniy-04043312/" , "04043312 Свитшот унисекс Authentic, черный, размер L")</f>
      </c>
      <c r="C6002" s="4" t="n">
        <v>4832.00</v>
      </c>
      <c r="D6002" s="4"/>
    </row>
    <row collapsed="" customFormat="false" customHeight="1" hidden="" ht="14" outlineLevel="0" r="6003">
      <c r="A6003" s="3" t="inlineStr">
        <is>
          <t>5972</t>
        </is>
      </c>
      <c r="B6003" s="4" t="s">
        <f>=HYPERLINK("http://anyluxury.ru/shop/odezhda/detskaya-odezhda/svitshot-uniseks-authentic-cherniy-04043312/" , "04043312 Свитшот тунисекс Authentic, черный, размер XL")</f>
      </c>
      <c r="C6003" s="4" t="n">
        <v>4832.00</v>
      </c>
      <c r="D6003" s="4"/>
    </row>
    <row collapsed="" customFormat="false" customHeight="1" hidden="" ht="14" outlineLevel="0" r="6004">
      <c r="A6004" s="3" t="inlineStr">
        <is>
          <t>5973</t>
        </is>
      </c>
      <c r="B6004" s="4" t="s">
        <f>=HYPERLINK("http://anyluxury.ru/shop/odezhda/detskaya-odezhda/svitshot-uniseks-authentic-cherniy-04043312/" , "04043312 Свитшот унисекс Authentic, черный, размер XXL")</f>
      </c>
      <c r="C6004" s="4" t="n">
        <v>4832.00</v>
      </c>
      <c r="D6004" s="4"/>
    </row>
    <row collapsed="" customFormat="false" customHeight="1" hidden="" ht="14" outlineLevel="0" r="6005">
      <c r="A6005" s="3" t="inlineStr">
        <is>
          <t>5974</t>
        </is>
      </c>
      <c r="B6005" s="4" t="s">
        <f>=HYPERLINK("http://anyluxury.ru/shop/odezhda/detskaya-odezhda/svitshot-uniseks-authentic-cherniy-04043312/" , "04043312 Свитшот унисекс Authentic, черный, размер 3XL")</f>
      </c>
      <c r="C6005" s="4" t="n">
        <v>5518.00</v>
      </c>
      <c r="D6005" s="4"/>
    </row>
    <row collapsed="" customFormat="false" customHeight="1" hidden="" ht="14" outlineLevel="0" r="6006">
      <c r="A6006" s="3" t="inlineStr">
        <is>
          <t>5975</t>
        </is>
      </c>
      <c r="B6006" s="4" t="s">
        <f>=HYPERLINK("http://anyluxury.ru/shop/odezhda/detskaya-odezhda/kurtka-uniseks-finch-chernaya-04022312/" , "04022312 Куртка унисекс Finch, черная, размер XXS")</f>
      </c>
      <c r="C6006" s="4" t="n">
        <v>4402.00</v>
      </c>
      <c r="D6006" s="4"/>
    </row>
    <row collapsed="" customFormat="false" customHeight="1" hidden="" ht="14" outlineLevel="0" r="6007">
      <c r="A6007" s="3" t="inlineStr">
        <is>
          <t>5976</t>
        </is>
      </c>
      <c r="B6007" s="4" t="s">
        <f>=HYPERLINK("http://anyluxury.ru/shop/odezhda/detskaya-odezhda/kurtka-uniseks-finch-chernaya-04022312/" , "04022312 Куртка унисекс Finch, черная, размер XS")</f>
      </c>
      <c r="C6007" s="4" t="n">
        <v>4402.00</v>
      </c>
      <c r="D6007" s="4"/>
    </row>
    <row collapsed="" customFormat="false" customHeight="1" hidden="" ht="14" outlineLevel="0" r="6008">
      <c r="A6008" s="3" t="inlineStr">
        <is>
          <t>5977</t>
        </is>
      </c>
      <c r="B6008" s="4" t="s">
        <f>=HYPERLINK("http://anyluxury.ru/shop/odezhda/detskaya-odezhda/kurtka-uniseks-finch-chernaya-04022312/" , "04022312 Куртка унисекс Finch, черная, размер S")</f>
      </c>
      <c r="C6008" s="4" t="n">
        <v>4402.00</v>
      </c>
      <c r="D6008" s="4"/>
    </row>
    <row collapsed="" customFormat="false" customHeight="1" hidden="" ht="14" outlineLevel="0" r="6009">
      <c r="A6009" s="3" t="inlineStr">
        <is>
          <t>5978</t>
        </is>
      </c>
      <c r="B6009" s="4" t="s">
        <f>=HYPERLINK("http://anyluxury.ru/shop/odezhda/detskaya-odezhda/kurtka-uniseks-finch-chernaya-04022312/" , "04022312 Куртка унисекс Finch, черная, размер M")</f>
      </c>
      <c r="C6009" s="4" t="n">
        <v>4402.00</v>
      </c>
      <c r="D6009" s="4"/>
    </row>
    <row collapsed="" customFormat="false" customHeight="1" hidden="" ht="14" outlineLevel="0" r="6010">
      <c r="A6010" s="3" t="inlineStr">
        <is>
          <t>5979</t>
        </is>
      </c>
      <c r="B6010" s="4" t="s">
        <f>=HYPERLINK("http://anyluxury.ru/shop/odezhda/detskaya-odezhda/kurtka-uniseks-finch-chernaya-04022312/" , "04022312 Куртка унисекс Finch, черная, размер L")</f>
      </c>
      <c r="C6010" s="4" t="n">
        <v>4402.00</v>
      </c>
      <c r="D6010" s="4"/>
    </row>
    <row collapsed="" customFormat="false" customHeight="1" hidden="" ht="14" outlineLevel="0" r="6011">
      <c r="A6011" s="3" t="inlineStr">
        <is>
          <t>5980</t>
        </is>
      </c>
      <c r="B6011" s="4" t="s">
        <f>=HYPERLINK("http://anyluxury.ru/shop/odezhda/detskaya-odezhda/kurtka-uniseks-finch-chernaya-04022312/" , "04022312 Куртка унисекс Finch, черная, размер XL")</f>
      </c>
      <c r="C6011" s="4" t="n">
        <v>4402.00</v>
      </c>
      <c r="D6011" s="4"/>
    </row>
    <row collapsed="" customFormat="false" customHeight="1" hidden="" ht="14" outlineLevel="0" r="6012">
      <c r="A6012" s="3" t="inlineStr">
        <is>
          <t>5981</t>
        </is>
      </c>
      <c r="B6012" s="4" t="s">
        <f>=HYPERLINK("http://anyluxury.ru/shop/odezhda/detskaya-odezhda/kurtka-uniseks-finch-chernaya-04022312/" , "04022312 Куртка унисекс Finch, черная, размер XXL")</f>
      </c>
      <c r="C6012" s="4" t="n">
        <v>4402.00</v>
      </c>
      <c r="D6012" s="4"/>
    </row>
    <row collapsed="" customFormat="false" customHeight="1" hidden="" ht="14" outlineLevel="0" r="6013">
      <c r="A6013" s="3" t="inlineStr">
        <is>
          <t>5982</t>
        </is>
      </c>
      <c r="B6013" s="4" t="s">
        <f>=HYPERLINK("http://anyluxury.ru/shop/odezhda/detskaya-odezhda/kurtka-uniseks-finch-chernaya-04022312/" , "04022312 Куртка унисекс Finch, черная, размер 3XL")</f>
      </c>
      <c r="C6013" s="4" t="n">
        <v>5088.00</v>
      </c>
      <c r="D6013" s="4"/>
    </row>
    <row collapsed="" customFormat="false" customHeight="1" hidden="" ht="14" outlineLevel="0" r="6014">
      <c r="A6014" s="3" t="inlineStr">
        <is>
          <t>5983</t>
        </is>
      </c>
      <c r="B6014" s="4" t="s">
        <f>=HYPERLINK("http://anyluxury.ru/shop/odezhda/detskaya-odezhda/kurtka-uniseks-finch-chernaya-04022312/" , "04022312 Куртка унисекс Finch, черная, размер 4XL")</f>
      </c>
      <c r="C6014" s="4" t="n">
        <v>5900.00</v>
      </c>
      <c r="D6014" s="4"/>
    </row>
    <row collapsed="" customFormat="false" customHeight="1" hidden="" ht="14" outlineLevel="0" r="6015">
      <c r="A6015" s="3" t="inlineStr">
        <is>
          <t>5984</t>
        </is>
      </c>
      <c r="B6015" s="4" t="s">
        <f>=HYPERLINK("http://anyluxury.ru/shop/odezhda/detskaya-odezhda/kurtka-uniseks-finch-temnoseraya-grafit-04022374/" , "04022374 Куртка унисекс Finch, темно серая (графит), размер XXS")</f>
      </c>
      <c r="C6015" s="4" t="n">
        <v>4402.00</v>
      </c>
      <c r="D6015" s="4"/>
    </row>
    <row collapsed="" customFormat="false" customHeight="1" hidden="" ht="14" outlineLevel="0" r="6016">
      <c r="A6016" s="3" t="inlineStr">
        <is>
          <t>5985</t>
        </is>
      </c>
      <c r="B6016" s="4" t="s">
        <f>=HYPERLINK("http://anyluxury.ru/shop/odezhda/detskaya-odezhda/kurtka-uniseks-finch-temnoseraya-grafit-04022374/" , "04022374 Куртка унисекс Finch, темно-серая (графит), размер XS")</f>
      </c>
      <c r="C6016" s="4" t="n">
        <v>4402.00</v>
      </c>
      <c r="D6016" s="4"/>
    </row>
    <row collapsed="" customFormat="false" customHeight="1" hidden="" ht="14" outlineLevel="0" r="6017">
      <c r="A6017" s="3" t="inlineStr">
        <is>
          <t>5986</t>
        </is>
      </c>
      <c r="B6017" s="4" t="s">
        <f>=HYPERLINK("http://anyluxury.ru/shop/odezhda/detskaya-odezhda/kurtka-uniseks-finch-temnoseraya-grafit-04022374/" , "04022374 Куртка унисекс Finch, темно-серая (графит), размер S")</f>
      </c>
      <c r="C6017" s="4" t="n">
        <v>4402.00</v>
      </c>
      <c r="D6017" s="4"/>
    </row>
    <row collapsed="" customFormat="false" customHeight="1" hidden="" ht="14" outlineLevel="0" r="6018">
      <c r="A6018" s="3" t="inlineStr">
        <is>
          <t>5987</t>
        </is>
      </c>
      <c r="B6018" s="4" t="s">
        <f>=HYPERLINK("http://anyluxury.ru/shop/odezhda/detskaya-odezhda/kurtka-uniseks-finch-temnoseraya-grafit-04022374/" , "04022374 Куртка унисекс Finch, темно-серая (графит), размер M")</f>
      </c>
      <c r="C6018" s="4" t="n">
        <v>4402.00</v>
      </c>
      <c r="D6018" s="4"/>
    </row>
    <row collapsed="" customFormat="false" customHeight="1" hidden="" ht="14" outlineLevel="0" r="6019">
      <c r="A6019" s="3" t="inlineStr">
        <is>
          <t>5988</t>
        </is>
      </c>
      <c r="B6019" s="4" t="s">
        <f>=HYPERLINK("http://anyluxury.ru/shop/odezhda/detskaya-odezhda/kurtka-uniseks-finch-temnoseraya-grafit-04022374/" , "04022374 Куртка унисекс Finch, темно-серая (графит), размер L")</f>
      </c>
      <c r="C6019" s="4" t="n">
        <v>4402.00</v>
      </c>
      <c r="D6019" s="4"/>
    </row>
    <row collapsed="" customFormat="false" customHeight="1" hidden="" ht="14" outlineLevel="0" r="6020">
      <c r="A6020" s="3" t="inlineStr">
        <is>
          <t>5989</t>
        </is>
      </c>
      <c r="B6020" s="4" t="s">
        <f>=HYPERLINK("http://anyluxury.ru/shop/odezhda/detskaya-odezhda/kurtka-uniseks-finch-temnoseraya-grafit-04022374/" , "04022374 Куртка унисекс Finch, темно-серая (графит), размер XL")</f>
      </c>
      <c r="C6020" s="4" t="n">
        <v>4402.00</v>
      </c>
      <c r="D6020" s="4"/>
    </row>
    <row collapsed="" customFormat="false" customHeight="1" hidden="" ht="14" outlineLevel="0" r="6021">
      <c r="A6021" s="3" t="inlineStr">
        <is>
          <t>5990</t>
        </is>
      </c>
      <c r="B6021" s="4" t="s">
        <f>=HYPERLINK("http://anyluxury.ru/shop/odezhda/detskaya-odezhda/kurtka-uniseks-finch-temnoseraya-grafit-04022374/" , "04022374 Куртка унисекс Finch, темно-серая (графит), размер XXL")</f>
      </c>
      <c r="C6021" s="4" t="n">
        <v>4402.00</v>
      </c>
      <c r="D6021" s="4"/>
    </row>
    <row collapsed="" customFormat="false" customHeight="1" hidden="" ht="14" outlineLevel="0" r="6022">
      <c r="A6022" s="3" t="inlineStr">
        <is>
          <t>5991</t>
        </is>
      </c>
      <c r="B6022" s="4" t="s">
        <f>=HYPERLINK("http://anyluxury.ru/shop/odezhda/detskaya-odezhda/kurtka-uniseks-finch-temnoseraya-grafit-04022374/" , "04022374 Куртка унисекс Finch, темно-серая (графит), размер 3XL")</f>
      </c>
      <c r="C6022" s="4" t="n">
        <v>5088.00</v>
      </c>
      <c r="D6022" s="4"/>
    </row>
    <row collapsed="" customFormat="false" customHeight="1" hidden="" ht="14" outlineLevel="0" r="6023">
      <c r="A6023" s="3" t="inlineStr">
        <is>
          <t>5992</t>
        </is>
      </c>
      <c r="B6023" s="4" t="s">
        <f>=HYPERLINK("http://anyluxury.ru/shop/odezhda/detskaya-odezhda/kurtka-uniseks-finch-temnoseraya-grafit-04022374/" , "04022374 Куртка унисекс Finch, темно-серая (графит), размер 4XL")</f>
      </c>
      <c r="C6023" s="4" t="n">
        <v>5900.00</v>
      </c>
      <c r="D6023" s="4"/>
    </row>
    <row collapsed="" customFormat="false" customHeight="1" hidden="" ht="14" outlineLevel="0" r="6024">
      <c r="A6024" s="3" t="inlineStr">
        <is>
          <t>5993</t>
        </is>
      </c>
      <c r="B6024" s="4" t="s">
        <f>=HYPERLINK("http://anyluxury.ru/shop/odezhda/detskaya-odezhda/kurtka-uniseks-finch-temnosinyaya-navy-04022318/" , "04022318 Куртка унисекс Finch, темно-синяя (navy), размер XXS")</f>
      </c>
      <c r="C6024" s="4" t="n">
        <v>4402.00</v>
      </c>
      <c r="D6024" s="4"/>
    </row>
    <row collapsed="" customFormat="false" customHeight="1" hidden="" ht="14" outlineLevel="0" r="6025">
      <c r="A6025" s="3" t="inlineStr">
        <is>
          <t>5994</t>
        </is>
      </c>
      <c r="B6025" s="4" t="s">
        <f>=HYPERLINK("http://anyluxury.ru/shop/odezhda/detskaya-odezhda/kurtka-uniseks-finch-temnosinyaya-navy-04022318/" , "04022318 Куртка унисекс Finch, темно-синяя (navy), размер XS")</f>
      </c>
      <c r="C6025" s="4" t="n">
        <v>4402.00</v>
      </c>
      <c r="D6025" s="4"/>
    </row>
    <row collapsed="" customFormat="false" customHeight="1" hidden="" ht="14" outlineLevel="0" r="6026">
      <c r="A6026" s="3" t="inlineStr">
        <is>
          <t>5995</t>
        </is>
      </c>
      <c r="B6026" s="4" t="s">
        <f>=HYPERLINK("http://anyluxury.ru/shop/odezhda/detskaya-odezhda/kurtka-uniseks-finch-temnosinyaya-navy-04022318/" , "04022318 Куртка унисекс Finch, темно-синяя (navy), размер S")</f>
      </c>
      <c r="C6026" s="4" t="n">
        <v>4402.00</v>
      </c>
      <c r="D6026" s="4"/>
    </row>
    <row collapsed="" customFormat="false" customHeight="1" hidden="" ht="14" outlineLevel="0" r="6027">
      <c r="A6027" s="3" t="inlineStr">
        <is>
          <t>5996</t>
        </is>
      </c>
      <c r="B6027" s="4" t="s">
        <f>=HYPERLINK("http://anyluxury.ru/shop/odezhda/detskaya-odezhda/kurtka-uniseks-finch-temnosinyaya-navy-04022318/" , "04022318 Куртка унисекс Finch, темно-синяя (navy), размер M")</f>
      </c>
      <c r="C6027" s="4" t="n">
        <v>4402.00</v>
      </c>
      <c r="D6027" s="4"/>
    </row>
    <row collapsed="" customFormat="false" customHeight="1" hidden="" ht="14" outlineLevel="0" r="6028">
      <c r="A6028" s="3" t="inlineStr">
        <is>
          <t>5997</t>
        </is>
      </c>
      <c r="B6028" s="4" t="s">
        <f>=HYPERLINK("http://anyluxury.ru/shop/odezhda/detskaya-odezhda/kurtka-uniseks-finch-temnosinyaya-navy-04022318/" , "04022318 Куртка унисекс Finch, темно-синяя (navy), размер L")</f>
      </c>
      <c r="C6028" s="4" t="n">
        <v>4402.00</v>
      </c>
      <c r="D6028" s="4"/>
    </row>
    <row collapsed="" customFormat="false" customHeight="1" hidden="" ht="14" outlineLevel="0" r="6029">
      <c r="A6029" s="3" t="inlineStr">
        <is>
          <t>5998</t>
        </is>
      </c>
      <c r="B6029" s="4" t="s">
        <f>=HYPERLINK("http://anyluxury.ru/shop/odezhda/detskaya-odezhda/kurtka-uniseks-finch-temnosinyaya-navy-04022318/" , "04022318 Куртка унисекс Finch, темно-синяя (navy), размер XL")</f>
      </c>
      <c r="C6029" s="4" t="n">
        <v>4402.00</v>
      </c>
      <c r="D6029" s="4"/>
    </row>
    <row collapsed="" customFormat="false" customHeight="1" hidden="" ht="14" outlineLevel="0" r="6030">
      <c r="A6030" s="3" t="inlineStr">
        <is>
          <t>5999</t>
        </is>
      </c>
      <c r="B6030" s="4" t="s">
        <f>=HYPERLINK("http://anyluxury.ru/shop/odezhda/detskaya-odezhda/kurtka-uniseks-finch-temnosinyaya-navy-04022318/" , "04022318 Куртка унисекс Finch, темно-синяя (navy), размер XXL")</f>
      </c>
      <c r="C6030" s="4" t="n">
        <v>4402.00</v>
      </c>
      <c r="D6030" s="4"/>
    </row>
    <row collapsed="" customFormat="false" customHeight="1" hidden="" ht="14" outlineLevel="0" r="6031">
      <c r="A6031" s="3" t="inlineStr">
        <is>
          <t>6000</t>
        </is>
      </c>
      <c r="B6031" s="4" t="s">
        <f>=HYPERLINK("http://anyluxury.ru/shop/odezhda/detskaya-odezhda/kurtka-uniseks-finch-temnosinyaya-navy-04022318/" , "04022318 Куртка унисекс Finch, темно-синяя (navy), размер 3XL")</f>
      </c>
      <c r="C6031" s="4" t="n">
        <v>5088.00</v>
      </c>
      <c r="D6031" s="4"/>
    </row>
    <row collapsed="" customFormat="false" customHeight="1" hidden="" ht="14" outlineLevel="0" r="6032">
      <c r="A6032" s="3" t="inlineStr">
        <is>
          <t>6001</t>
        </is>
      </c>
      <c r="B6032" s="4" t="s">
        <f>=HYPERLINK("http://anyluxury.ru/shop/odezhda/detskaya-odezhda/kurtka-uniseks-finch-temnosinyaya-navy-04022318/" , "04022318 Куртка унисекс Finch, темно-синяя (navy), размер 4XL")</f>
      </c>
      <c r="C6032" s="4" t="n">
        <v>5900.00</v>
      </c>
      <c r="D6032" s="4"/>
    </row>
    <row collapsed="" customFormat="false" customHeight="1" hidden="" ht="14" outlineLevel="0" r="6033">
      <c r="A6033" s="3" t="inlineStr">
        <is>
          <t>6002</t>
        </is>
      </c>
      <c r="B6033" s="4" t="s">
        <f>=HYPERLINK("http://anyluxury.ru/shop/odezhda/detskaya-odezhda/kurtka-uniseks-fury-haki-04042870/" , "04042870 Куртка унисекс Fury, хаки, размер XS")</f>
      </c>
      <c r="C6033" s="4" t="n">
        <v>6199.00</v>
      </c>
      <c r="D6033" s="4"/>
    </row>
    <row collapsed="" customFormat="false" customHeight="1" hidden="" ht="14" outlineLevel="0" r="6034">
      <c r="A6034" s="3" t="inlineStr">
        <is>
          <t>6003</t>
        </is>
      </c>
      <c r="B6034" s="4" t="s">
        <f>=HYPERLINK("http://anyluxury.ru/shop/odezhda/detskaya-odezhda/kurtka-uniseks-fury-haki-04042870/" , "04042870 Куртка унисекс Fury, хаки, размер S")</f>
      </c>
      <c r="C6034" s="4" t="n">
        <v>6199.00</v>
      </c>
      <c r="D6034" s="4"/>
    </row>
    <row collapsed="" customFormat="false" customHeight="1" hidden="" ht="14" outlineLevel="0" r="6035">
      <c r="A6035" s="3" t="inlineStr">
        <is>
          <t>6004</t>
        </is>
      </c>
      <c r="B6035" s="4" t="s">
        <f>=HYPERLINK("http://anyluxury.ru/shop/odezhda/detskaya-odezhda/kurtka-uniseks-fury-haki-04042870/" , "04042870 Куртка унисекс Fury, хаки, размер M")</f>
      </c>
      <c r="C6035" s="4" t="n">
        <v>6199.00</v>
      </c>
      <c r="D6035" s="4"/>
    </row>
    <row collapsed="" customFormat="false" customHeight="1" hidden="" ht="14" outlineLevel="0" r="6036">
      <c r="A6036" s="3" t="inlineStr">
        <is>
          <t>6005</t>
        </is>
      </c>
      <c r="B6036" s="4" t="s">
        <f>=HYPERLINK("http://anyluxury.ru/shop/odezhda/detskaya-odezhda/kurtka-uniseks-fury-haki-04042870/" , "04042870 Куртка унисекс Fury, хаки, размер L")</f>
      </c>
      <c r="C6036" s="4" t="n">
        <v>6199.00</v>
      </c>
      <c r="D6036" s="4"/>
    </row>
    <row collapsed="" customFormat="false" customHeight="1" hidden="" ht="14" outlineLevel="0" r="6037">
      <c r="A6037" s="3" t="inlineStr">
        <is>
          <t>6006</t>
        </is>
      </c>
      <c r="B6037" s="4" t="s">
        <f>=HYPERLINK("http://anyluxury.ru/shop/odezhda/detskaya-odezhda/kurtka-uniseks-fury-haki-04042870/" , "04042870 Куртка унисекс Fury, хаки, размер XL")</f>
      </c>
      <c r="C6037" s="4" t="n">
        <v>6199.00</v>
      </c>
      <c r="D6037" s="4"/>
    </row>
    <row collapsed="" customFormat="false" customHeight="1" hidden="" ht="14" outlineLevel="0" r="6038">
      <c r="A6038" s="3" t="inlineStr">
        <is>
          <t>6007</t>
        </is>
      </c>
      <c r="B6038" s="4" t="s">
        <f>=HYPERLINK("http://anyluxury.ru/shop/odezhda/detskaya-odezhda/kurtka-uniseks-fury-haki-04042870/" , "04042870 Куртка унисекс Fury, хаки, размер XXL")</f>
      </c>
      <c r="C6038" s="4" t="n">
        <v>6199.00</v>
      </c>
      <c r="D6038" s="4"/>
    </row>
    <row collapsed="" customFormat="false" customHeight="1" hidden="" ht="14" outlineLevel="0" r="6039">
      <c r="A6039" s="3" t="inlineStr">
        <is>
          <t>6008</t>
        </is>
      </c>
      <c r="B6039" s="4" t="s">
        <f>=HYPERLINK("http://anyluxury.ru/shop/odezhda/detskaya-odezhda/kurtka-uniseks-fury-haki-04042870/" , "04042870 Куртка унисекс Fury, хаки, размер 3XL")</f>
      </c>
      <c r="C6039" s="4" t="n">
        <v>7201.00</v>
      </c>
      <c r="D6039" s="4"/>
    </row>
    <row collapsed="" customFormat="false" customHeight="1" hidden="" ht="14" outlineLevel="0" r="6040">
      <c r="A6040" s="3" t="inlineStr">
        <is>
          <t>6009</t>
        </is>
      </c>
      <c r="B6040" s="4" t="s">
        <f>=HYPERLINK("http://anyluxury.ru/shop/odezhda/detskaya-odezhda/kurtka-uniseks-finch-haki-04022269/" , "04022269 Куртка унисекс Finch, хаки, размер XXS")</f>
      </c>
      <c r="C6040" s="4" t="n">
        <v>4402.00</v>
      </c>
      <c r="D6040" s="4"/>
    </row>
    <row collapsed="" customFormat="false" customHeight="1" hidden="" ht="14" outlineLevel="0" r="6041">
      <c r="A6041" s="3" t="inlineStr">
        <is>
          <t>6010</t>
        </is>
      </c>
      <c r="B6041" s="4" t="s">
        <f>=HYPERLINK("http://anyluxury.ru/shop/odezhda/detskaya-odezhda/kurtka-uniseks-finch-haki-04022269/" , "04022269 Куртка унисекс Finch, хаки, размер XS")</f>
      </c>
      <c r="C6041" s="4" t="n">
        <v>4402.00</v>
      </c>
      <c r="D6041" s="4"/>
    </row>
    <row collapsed="" customFormat="false" customHeight="1" hidden="" ht="14" outlineLevel="0" r="6042">
      <c r="A6042" s="3" t="inlineStr">
        <is>
          <t>6011</t>
        </is>
      </c>
      <c r="B6042" s="4" t="s">
        <f>=HYPERLINK("http://anyluxury.ru/shop/odezhda/detskaya-odezhda/kurtka-uniseks-finch-haki-04022269/" , "04022269 Куртка унисекс Finch, хаки, размер S")</f>
      </c>
      <c r="C6042" s="4" t="n">
        <v>4402.00</v>
      </c>
      <c r="D6042" s="4"/>
    </row>
    <row collapsed="" customFormat="false" customHeight="1" hidden="" ht="14" outlineLevel="0" r="6043">
      <c r="A6043" s="3" t="inlineStr">
        <is>
          <t>6012</t>
        </is>
      </c>
      <c r="B6043" s="4" t="s">
        <f>=HYPERLINK("http://anyluxury.ru/shop/odezhda/detskaya-odezhda/kurtka-uniseks-finch-haki-04022269/" , "04022269 Куртка унисекс Finch, хаки, размер M")</f>
      </c>
      <c r="C6043" s="4" t="n">
        <v>4402.00</v>
      </c>
      <c r="D6043" s="4"/>
    </row>
    <row collapsed="" customFormat="false" customHeight="1" hidden="" ht="14" outlineLevel="0" r="6044">
      <c r="A6044" s="3" t="inlineStr">
        <is>
          <t>6013</t>
        </is>
      </c>
      <c r="B6044" s="4" t="s">
        <f>=HYPERLINK("http://anyluxury.ru/shop/odezhda/detskaya-odezhda/kurtka-uniseks-finch-haki-04022269/" , "04022269 Куртка унисекс Finch, хаки, размер L")</f>
      </c>
      <c r="C6044" s="4" t="n">
        <v>4402.00</v>
      </c>
      <c r="D6044" s="4"/>
    </row>
    <row collapsed="" customFormat="false" customHeight="1" hidden="" ht="14" outlineLevel="0" r="6045">
      <c r="A6045" s="3" t="inlineStr">
        <is>
          <t>6014</t>
        </is>
      </c>
      <c r="B6045" s="4" t="s">
        <f>=HYPERLINK("http://anyluxury.ru/shop/odezhda/detskaya-odezhda/kurtka-uniseks-finch-haki-04022269/" , "04022269 Куртка унисекс Finch, хаки, размер XL")</f>
      </c>
      <c r="C6045" s="4" t="n">
        <v>4402.00</v>
      </c>
      <c r="D6045" s="4"/>
    </row>
    <row collapsed="" customFormat="false" customHeight="1" hidden="" ht="14" outlineLevel="0" r="6046">
      <c r="A6046" s="3" t="inlineStr">
        <is>
          <t>6015</t>
        </is>
      </c>
      <c r="B6046" s="4" t="s">
        <f>=HYPERLINK("http://anyluxury.ru/shop/odezhda/detskaya-odezhda/kurtka-uniseks-finch-haki-04022269/" , "04022269 Куртка унисекс Finch, хаки, размер XXL")</f>
      </c>
      <c r="C6046" s="4" t="n">
        <v>4402.00</v>
      </c>
      <c r="D6046" s="4"/>
    </row>
    <row collapsed="" customFormat="false" customHeight="1" hidden="" ht="14" outlineLevel="0" r="6047">
      <c r="A6047" s="3" t="inlineStr">
        <is>
          <t>6016</t>
        </is>
      </c>
      <c r="B6047" s="4" t="s">
        <f>=HYPERLINK("http://anyluxury.ru/shop/odezhda/detskaya-odezhda/kurtka-uniseks-finch-haki-04022269/" , "04022269 Куртка унисекс Finch, хаки, размер 3XL")</f>
      </c>
      <c r="C6047" s="4" t="n">
        <v>5088.00</v>
      </c>
      <c r="D6047" s="4"/>
    </row>
    <row collapsed="" customFormat="false" customHeight="1" hidden="" ht="14" outlineLevel="0" r="6048">
      <c r="A6048" s="3" t="inlineStr">
        <is>
          <t>6017</t>
        </is>
      </c>
      <c r="B6048" s="4" t="s">
        <f>=HYPERLINK("http://anyluxury.ru/shop/odezhda/detskaya-odezhda/kurtka-uniseks-finch-haki-04022269/" , "04022269 Куртка унисекс Finch, хаки, размер 4XL")</f>
      </c>
      <c r="C6048" s="4" t="n">
        <v>5900.00</v>
      </c>
      <c r="D6048" s="4"/>
    </row>
    <row collapsed="" customFormat="false" customHeight="1" hidden="" ht="14" outlineLevel="0" r="6049">
      <c r="A6049" s="3" t="inlineStr">
        <is>
          <t>6018</t>
        </is>
      </c>
      <c r="B6049" s="4" t="s">
        <f>=HYPERLINK("http://anyluxury.ru/shop/odezhda/detskaya-odezhda/futbolka-uniseks-s-dlinnim-rukavom-pioneer-lsl-krasnaya-03982161/" , "03982161 Футболка унисекс с длинным рукавом Pioneer LSL, красная, размер XS")</f>
      </c>
      <c r="C6049" s="4" t="n">
        <v>1796.00</v>
      </c>
      <c r="D6049" s="4"/>
    </row>
    <row collapsed="" customFormat="false" customHeight="1" hidden="" ht="14" outlineLevel="0" r="6050">
      <c r="A6050" s="3" t="inlineStr">
        <is>
          <t>6019</t>
        </is>
      </c>
      <c r="B6050" s="4" t="s">
        <f>=HYPERLINK("http://anyluxury.ru/shop/odezhda/detskaya-odezhda/futbolka-uniseks-s-dlinnim-rukavom-pioneer-lsl-krasnaya-03982161/" , "03982161 Футболка унисекс с длинным рукавом Pioneer LSL, красная, размер S")</f>
      </c>
      <c r="C6050" s="4" t="n">
        <v>1796.00</v>
      </c>
      <c r="D6050" s="4"/>
    </row>
    <row collapsed="" customFormat="false" customHeight="1" hidden="" ht="14" outlineLevel="0" r="6051">
      <c r="A6051" s="3" t="inlineStr">
        <is>
          <t>6020</t>
        </is>
      </c>
      <c r="B6051" s="4" t="s">
        <f>=HYPERLINK("http://anyluxury.ru/shop/odezhda/detskaya-odezhda/futbolka-uniseks-s-dlinnim-rukavom-pioneer-lsl-krasnaya-03982161/" , "03982161 Футболка унисекс с длинным рукавом Pioneer LSL, красная, размер M")</f>
      </c>
      <c r="C6051" s="4" t="n">
        <v>1796.00</v>
      </c>
      <c r="D6051" s="4"/>
    </row>
    <row collapsed="" customFormat="false" customHeight="1" hidden="" ht="14" outlineLevel="0" r="6052">
      <c r="A6052" s="3" t="inlineStr">
        <is>
          <t>6021</t>
        </is>
      </c>
      <c r="B6052" s="4" t="s">
        <f>=HYPERLINK("http://anyluxury.ru/shop/odezhda/detskaya-odezhda/futbolka-uniseks-s-dlinnim-rukavom-pioneer-lsl-krasnaya-03982161/" , "03982161 Футболка унисекс с длинным рукавом Pioneer LSL, красная, размер L")</f>
      </c>
      <c r="C6052" s="4" t="n">
        <v>1796.00</v>
      </c>
      <c r="D6052" s="4"/>
    </row>
    <row collapsed="" customFormat="false" customHeight="1" hidden="" ht="14" outlineLevel="0" r="6053">
      <c r="A6053" s="3" t="inlineStr">
        <is>
          <t>6022</t>
        </is>
      </c>
      <c r="B6053" s="4" t="s">
        <f>=HYPERLINK("http://anyluxury.ru/shop/odezhda/detskaya-odezhda/futbolka-uniseks-s-dlinnim-rukavom-pioneer-lsl-krasnaya-03982161/" , "03982161 Футболка унисекс с длинным рукавом Pioneer LSL, красная, размер XL")</f>
      </c>
      <c r="C6053" s="4" t="n">
        <v>1796.00</v>
      </c>
      <c r="D6053" s="4"/>
    </row>
    <row collapsed="" customFormat="false" customHeight="1" hidden="" ht="14" outlineLevel="0" r="6054">
      <c r="A6054" s="3" t="inlineStr">
        <is>
          <t>6023</t>
        </is>
      </c>
      <c r="B6054" s="4" t="s">
        <f>=HYPERLINK("http://anyluxury.ru/shop/odezhda/detskaya-odezhda/futbolka-uniseks-s-dlinnim-rukavom-pioneer-lsl-krasnaya-03982161/" , "03982161 Футболка унисекс с длинным рукавом Pioneer LSL, красная, размер XXL")</f>
      </c>
      <c r="C6054" s="4" t="n">
        <v>1796.00</v>
      </c>
      <c r="D6054" s="4"/>
    </row>
    <row collapsed="" customFormat="false" customHeight="1" hidden="" ht="14" outlineLevel="0" r="6055">
      <c r="A6055" s="3" t="inlineStr">
        <is>
          <t>6024</t>
        </is>
      </c>
      <c r="B6055" s="4" t="s">
        <f>=HYPERLINK("http://anyluxury.ru/shop/odezhda/detskaya-odezhda/futbolka-uniseks-s-dlinnim-rukavom-pioneer-lsl-krasnaya-03982161/" , "03982161 Футболка унисекс с длинным рукавом Pioneer LSL, красная, размер 3XL")</f>
      </c>
      <c r="C6055" s="4" t="n">
        <v>2069.00</v>
      </c>
      <c r="D6055" s="4"/>
    </row>
    <row collapsed="" customFormat="false" customHeight="1" hidden="" ht="14" outlineLevel="0" r="6056">
      <c r="A6056" s="3" t="inlineStr">
        <is>
          <t>6025</t>
        </is>
      </c>
      <c r="B6056" s="4" t="s">
        <f>=HYPERLINK("http://anyluxury.ru/shop/odezhda/detskaya-odezhda/futbolka-uniseks-s-dlinnim-rukavom-pioneer-lsl-bezhevaya-03982126/" , "03982126 Футболка унисекс с длинным рукавом Pioneer LSL, бежевая, размер XS")</f>
      </c>
      <c r="C6056" s="4" t="n">
        <v>1796.00</v>
      </c>
      <c r="D6056" s="4"/>
    </row>
    <row collapsed="" customFormat="false" customHeight="1" hidden="" ht="14" outlineLevel="0" r="6057">
      <c r="A6057" s="3" t="inlineStr">
        <is>
          <t>6026</t>
        </is>
      </c>
      <c r="B6057" s="4" t="s">
        <f>=HYPERLINK("http://anyluxury.ru/shop/odezhda/detskaya-odezhda/futbolka-uniseks-s-dlinnim-rukavom-pioneer-lsl-bezhevaya-03982126/" , "03982126 Футболка унисекс с длинным рукавом Pioneer LSL, бежевая, размер S")</f>
      </c>
      <c r="C6057" s="4" t="n">
        <v>1796.00</v>
      </c>
      <c r="D6057" s="4"/>
    </row>
    <row collapsed="" customFormat="false" customHeight="1" hidden="" ht="14" outlineLevel="0" r="6058">
      <c r="A6058" s="3" t="inlineStr">
        <is>
          <t>6027</t>
        </is>
      </c>
      <c r="B6058" s="4" t="s">
        <f>=HYPERLINK("http://anyluxury.ru/shop/odezhda/detskaya-odezhda/futbolka-uniseks-s-dlinnim-rukavom-pioneer-lsl-bezhevaya-03982126/" , "03982126 Футболка унисекс с длинным рукавом Pioneer LSL, бежевая, размер M")</f>
      </c>
      <c r="C6058" s="4" t="n">
        <v>1796.00</v>
      </c>
      <c r="D6058" s="4"/>
    </row>
    <row collapsed="" customFormat="false" customHeight="1" hidden="" ht="14" outlineLevel="0" r="6059">
      <c r="A6059" s="3" t="inlineStr">
        <is>
          <t>6028</t>
        </is>
      </c>
      <c r="B6059" s="4" t="s">
        <f>=HYPERLINK("http://anyluxury.ru/shop/odezhda/detskaya-odezhda/futbolka-uniseks-s-dlinnim-rukavom-pioneer-lsl-bezhevaya-03982126/" , "03982126 Футболка унисекс с длинным рукавом Pioneer LSL, бежевая, размер L")</f>
      </c>
      <c r="C6059" s="4" t="n">
        <v>1796.00</v>
      </c>
      <c r="D6059" s="4"/>
    </row>
    <row collapsed="" customFormat="false" customHeight="1" hidden="" ht="14" outlineLevel="0" r="6060">
      <c r="A6060" s="3" t="inlineStr">
        <is>
          <t>6029</t>
        </is>
      </c>
      <c r="B6060" s="4" t="s">
        <f>=HYPERLINK("http://anyluxury.ru/shop/odezhda/detskaya-odezhda/futbolka-uniseks-s-dlinnim-rukavom-pioneer-lsl-bezhevaya-03982126/" , "03982126 Футболка унисекс с длинным рукавом Pioneer LSL, бежевая, размер XL")</f>
      </c>
      <c r="C6060" s="4" t="n">
        <v>1796.00</v>
      </c>
      <c r="D6060" s="4"/>
    </row>
    <row collapsed="" customFormat="false" customHeight="1" hidden="" ht="14" outlineLevel="0" r="6061">
      <c r="A6061" s="3" t="inlineStr">
        <is>
          <t>6030</t>
        </is>
      </c>
      <c r="B6061" s="4" t="s">
        <f>=HYPERLINK("http://anyluxury.ru/shop/odezhda/detskaya-odezhda/futbolka-uniseks-s-dlinnim-rukavom-pioneer-lsl-bezhevaya-03982126/" , "03982126 Футболка унисекс с длинным рукавом Pioneer LSL, бежевая, размер XXL")</f>
      </c>
      <c r="C6061" s="4" t="n">
        <v>1796.00</v>
      </c>
      <c r="D6061" s="4"/>
    </row>
    <row collapsed="" customFormat="false" customHeight="1" hidden="" ht="14" outlineLevel="0" r="6062">
      <c r="A6062" s="3" t="inlineStr">
        <is>
          <t>6031</t>
        </is>
      </c>
      <c r="B6062" s="4" t="s">
        <f>=HYPERLINK("http://anyluxury.ru/shop/odezhda/detskaya-odezhda/futbolka-uniseks-s-dlinnim-rukavom-pioneer-lsl-bezhevaya-03982126/" , "03982126 Футболка унисекс с длинным рукавом Pioneer LSL, бежевая, размер 3XL")</f>
      </c>
      <c r="C6062" s="4" t="n">
        <v>2069.00</v>
      </c>
      <c r="D6062" s="4"/>
    </row>
    <row collapsed="" customFormat="false" customHeight="1" hidden="" ht="14" outlineLevel="0" r="6063">
      <c r="A6063" s="3" t="inlineStr">
        <is>
          <t>6032</t>
        </is>
      </c>
      <c r="B6063" s="4" t="s">
        <f>=HYPERLINK("http://anyluxury.ru/shop/odezhda/detskaya-odezhda/futbolka-uniseks-s-dlinnim-rukavom-pioneer-lsl-chernaya-03982309/" , "03982309 Футболка унисекс с длинным рукавом Pioneer LSL, черная, размер XS")</f>
      </c>
      <c r="C6063" s="4" t="n">
        <v>1796.00</v>
      </c>
      <c r="D6063" s="4"/>
    </row>
    <row collapsed="" customFormat="false" customHeight="1" hidden="" ht="14" outlineLevel="0" r="6064">
      <c r="A6064" s="3" t="inlineStr">
        <is>
          <t>6033</t>
        </is>
      </c>
      <c r="B6064" s="4" t="s">
        <f>=HYPERLINK("http://anyluxury.ru/shop/odezhda/detskaya-odezhda/futbolka-uniseks-s-dlinnim-rukavom-pioneer-lsl-chernaya-03982309/" , "03982309 Футболка унисекс с длинным рукавом Pioneer LSL, черная, размер S")</f>
      </c>
      <c r="C6064" s="4" t="n">
        <v>1796.00</v>
      </c>
      <c r="D6064" s="4"/>
    </row>
    <row collapsed="" customFormat="false" customHeight="1" hidden="" ht="14" outlineLevel="0" r="6065">
      <c r="A6065" s="3" t="inlineStr">
        <is>
          <t>6034</t>
        </is>
      </c>
      <c r="B6065" s="4" t="s">
        <f>=HYPERLINK("http://anyluxury.ru/shop/odezhda/detskaya-odezhda/futbolka-uniseks-s-dlinnim-rukavom-pioneer-lsl-chernaya-03982309/" , "03982309 Футболка унисекс с длинным рукавом Pioneer LSL, черная, размер M")</f>
      </c>
      <c r="C6065" s="4" t="n">
        <v>1796.00</v>
      </c>
      <c r="D6065" s="4"/>
    </row>
    <row collapsed="" customFormat="false" customHeight="1" hidden="" ht="14" outlineLevel="0" r="6066">
      <c r="A6066" s="3" t="inlineStr">
        <is>
          <t>6035</t>
        </is>
      </c>
      <c r="B6066" s="4" t="s">
        <f>=HYPERLINK("http://anyluxury.ru/shop/odezhda/detskaya-odezhda/futbolka-uniseks-s-dlinnim-rukavom-pioneer-lsl-chernaya-03982309/" , "03982309 Футболка унисекс с длинным рукавом Pioneer LSL, черная, размер L")</f>
      </c>
      <c r="C6066" s="4" t="n">
        <v>1796.00</v>
      </c>
      <c r="D6066" s="4"/>
    </row>
    <row collapsed="" customFormat="false" customHeight="1" hidden="" ht="14" outlineLevel="0" r="6067">
      <c r="A6067" s="3" t="inlineStr">
        <is>
          <t>6036</t>
        </is>
      </c>
      <c r="B6067" s="4" t="s">
        <f>=HYPERLINK("http://anyluxury.ru/shop/odezhda/detskaya-odezhda/futbolka-uniseks-s-dlinnim-rukavom-pioneer-lsl-chernaya-03982309/" , "03982309 Футболка унисекс с длинным рукавом Pioneer LSL, черная, размер XL")</f>
      </c>
      <c r="C6067" s="4" t="n">
        <v>1796.00</v>
      </c>
      <c r="D6067" s="4"/>
    </row>
    <row collapsed="" customFormat="false" customHeight="1" hidden="" ht="14" outlineLevel="0" r="6068">
      <c r="A6068" s="3" t="inlineStr">
        <is>
          <t>6037</t>
        </is>
      </c>
      <c r="B6068" s="4" t="s">
        <f>=HYPERLINK("http://anyluxury.ru/shop/odezhda/detskaya-odezhda/futbolka-uniseks-s-dlinnim-rukavom-pioneer-lsl-chernaya-03982309/" , "03982309 Футболка унисекс с длинным рукавом Pioneer LSL, черная, размер XXL")</f>
      </c>
      <c r="C6068" s="4" t="n">
        <v>1796.00</v>
      </c>
      <c r="D6068" s="4"/>
    </row>
    <row collapsed="" customFormat="false" customHeight="1" hidden="" ht="14" outlineLevel="0" r="6069">
      <c r="A6069" s="3" t="inlineStr">
        <is>
          <t>6038</t>
        </is>
      </c>
      <c r="B6069" s="4" t="s">
        <f>=HYPERLINK("http://anyluxury.ru/shop/odezhda/detskaya-odezhda/futbolka-uniseks-s-dlinnim-rukavom-pioneer-lsl-chernaya-03982309/" , "03982309 Футболка унисекс с длинным рукавом Pioneer LSL, черная, размер 3XL")</f>
      </c>
      <c r="C6069" s="4" t="n">
        <v>2069.00</v>
      </c>
      <c r="D6069" s="4"/>
    </row>
    <row collapsed="" customFormat="false" customHeight="1" hidden="" ht="14" outlineLevel="0" r="6070">
      <c r="A6070" s="3" t="inlineStr">
        <is>
          <t>6039</t>
        </is>
      </c>
      <c r="B6070" s="4" t="s">
        <f>=HYPERLINK("http://anyluxury.ru/shop/odezhda/detskaya-odezhda/futbolka-uniseks-s-dlinnim-rukavom-pioneer-lsl-chernaya-03982309/" , "03982309 Футболка унисекс с длинным рукавом Pioneer LSL, черная, размер 4XL")</f>
      </c>
      <c r="C6070" s="4" t="n">
        <v>2069.00</v>
      </c>
      <c r="D6070" s="4"/>
    </row>
    <row collapsed="" customFormat="false" customHeight="1" hidden="" ht="14" outlineLevel="0" r="6071">
      <c r="A6071" s="3" t="inlineStr">
        <is>
          <t>6040</t>
        </is>
      </c>
      <c r="B6071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XS")</f>
      </c>
      <c r="C6071" s="4" t="n">
        <v>1796.00</v>
      </c>
      <c r="D6071" s="4"/>
    </row>
    <row collapsed="" customFormat="false" customHeight="1" hidden="" ht="14" outlineLevel="0" r="6072">
      <c r="A6072" s="3" t="inlineStr">
        <is>
          <t>6041</t>
        </is>
      </c>
      <c r="B6072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S")</f>
      </c>
      <c r="C6072" s="4" t="n">
        <v>1796.00</v>
      </c>
      <c r="D6072" s="4"/>
    </row>
    <row collapsed="" customFormat="false" customHeight="1" hidden="" ht="14" outlineLevel="0" r="6073">
      <c r="A6073" s="3" t="inlineStr">
        <is>
          <t>6042</t>
        </is>
      </c>
      <c r="B6073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M")</f>
      </c>
      <c r="C6073" s="4" t="n">
        <v>1796.00</v>
      </c>
      <c r="D6073" s="4"/>
    </row>
    <row collapsed="" customFormat="false" customHeight="1" hidden="" ht="14" outlineLevel="0" r="6074">
      <c r="A6074" s="3" t="inlineStr">
        <is>
          <t>6043</t>
        </is>
      </c>
      <c r="B6074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L")</f>
      </c>
      <c r="C6074" s="4" t="n">
        <v>1796.00</v>
      </c>
      <c r="D6074" s="4"/>
    </row>
    <row collapsed="" customFormat="false" customHeight="1" hidden="" ht="14" outlineLevel="0" r="6075">
      <c r="A6075" s="3" t="inlineStr">
        <is>
          <t>6044</t>
        </is>
      </c>
      <c r="B6075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XL")</f>
      </c>
      <c r="C6075" s="4" t="n">
        <v>1796.00</v>
      </c>
      <c r="D6075" s="4"/>
    </row>
    <row collapsed="" customFormat="false" customHeight="1" hidden="" ht="14" outlineLevel="0" r="6076">
      <c r="A6076" s="3" t="inlineStr">
        <is>
          <t>6045</t>
        </is>
      </c>
      <c r="B6076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XXL")</f>
      </c>
      <c r="C6076" s="4" t="n">
        <v>1796.00</v>
      </c>
      <c r="D6076" s="4"/>
    </row>
    <row collapsed="" customFormat="false" customHeight="1" hidden="" ht="14" outlineLevel="0" r="6077">
      <c r="A6077" s="3" t="inlineStr">
        <is>
          <t>6046</t>
        </is>
      </c>
      <c r="B6077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3XL")</f>
      </c>
      <c r="C6077" s="4" t="n">
        <v>2069.00</v>
      </c>
      <c r="D6077" s="4"/>
    </row>
    <row collapsed="" customFormat="false" customHeight="1" hidden="" ht="14" outlineLevel="0" r="6078">
      <c r="A6078" s="3" t="inlineStr">
        <is>
          <t>6047</t>
        </is>
      </c>
      <c r="B6078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4XL")</f>
      </c>
      <c r="C6078" s="4" t="n">
        <v>2069.00</v>
      </c>
      <c r="D6078" s="4"/>
    </row>
    <row collapsed="" customFormat="false" customHeight="1" hidden="" ht="14" outlineLevel="0" r="6079">
      <c r="A6079" s="3" t="inlineStr">
        <is>
          <t>6048</t>
        </is>
      </c>
      <c r="B6079" s="4" t="s">
        <f>=HYPERLINK("http://anyluxury.ru/shop/odezhda/detskaya-odezhda/futbolka-uniseks-s-dlinnim-rukavom-pioneer-lsl-molochnaya-03982104/" , "03982104 Футболка унисекс с длинным рукавом Pioneer LSL, молочная, размер XS")</f>
      </c>
      <c r="C6079" s="4" t="n">
        <v>1796.00</v>
      </c>
      <c r="D6079" s="4"/>
    </row>
    <row collapsed="" customFormat="false" customHeight="1" hidden="" ht="14" outlineLevel="0" r="6080">
      <c r="A6080" s="3" t="inlineStr">
        <is>
          <t>6049</t>
        </is>
      </c>
      <c r="B6080" s="4" t="s">
        <f>=HYPERLINK("http://anyluxury.ru/shop/odezhda/detskaya-odezhda/futbolka-uniseks-s-dlinnim-rukavom-pioneer-lsl-molochnaya-03982104/" , "03982104 Футболка унисекс с длинным рукавом Pioneer LSL, молочная, размер S")</f>
      </c>
      <c r="C6080" s="4" t="n">
        <v>1796.00</v>
      </c>
      <c r="D6080" s="4"/>
    </row>
    <row collapsed="" customFormat="false" customHeight="1" hidden="" ht="14" outlineLevel="0" r="6081">
      <c r="A6081" s="3" t="inlineStr">
        <is>
          <t>6050</t>
        </is>
      </c>
      <c r="B6081" s="4" t="s">
        <f>=HYPERLINK("http://anyluxury.ru/shop/odezhda/detskaya-odezhda/futbolka-uniseks-s-dlinnim-rukavom-pioneer-lsl-molochnaya-03982104/" , "03982104 Футболка унисекс с длинным рукавом Pioneer LSL, молочная, размер M")</f>
      </c>
      <c r="C6081" s="4" t="n">
        <v>1796.00</v>
      </c>
      <c r="D6081" s="4"/>
    </row>
    <row collapsed="" customFormat="false" customHeight="1" hidden="" ht="14" outlineLevel="0" r="6082">
      <c r="A6082" s="3" t="inlineStr">
        <is>
          <t>6051</t>
        </is>
      </c>
      <c r="B6082" s="4" t="s">
        <f>=HYPERLINK("http://anyluxury.ru/shop/odezhda/detskaya-odezhda/futbolka-uniseks-s-dlinnim-rukavom-pioneer-lsl-molochnaya-03982104/" , "03982104 Футболка унисекс с длинным рукавом Pioneer LSL, молочная, размер L")</f>
      </c>
      <c r="C6082" s="4" t="n">
        <v>1796.00</v>
      </c>
      <c r="D6082" s="4"/>
    </row>
    <row collapsed="" customFormat="false" customHeight="1" hidden="" ht="14" outlineLevel="0" r="6083">
      <c r="A6083" s="3" t="inlineStr">
        <is>
          <t>6052</t>
        </is>
      </c>
      <c r="B6083" s="4" t="s">
        <f>=HYPERLINK("http://anyluxury.ru/shop/odezhda/detskaya-odezhda/futbolka-uniseks-s-dlinnim-rukavom-pioneer-lsl-molochnaya-03982104/" , "03982104 Футболка унисекс с длинным рукавом Pioneer LSL, молочная, размер XL")</f>
      </c>
      <c r="C6083" s="4" t="n">
        <v>1796.00</v>
      </c>
      <c r="D6083" s="4"/>
    </row>
    <row collapsed="" customFormat="false" customHeight="1" hidden="" ht="14" outlineLevel="0" r="6084">
      <c r="A6084" s="3" t="inlineStr">
        <is>
          <t>6053</t>
        </is>
      </c>
      <c r="B6084" s="4" t="s">
        <f>=HYPERLINK("http://anyluxury.ru/shop/odezhda/detskaya-odezhda/futbolka-uniseks-s-dlinnim-rukavom-pioneer-lsl-molochnaya-03982104/" , "03982104 Футболка унисекс с длинным рукавом Pioneer LSL, молочная, размер XXL")</f>
      </c>
      <c r="C6084" s="4" t="n">
        <v>1796.00</v>
      </c>
      <c r="D6084" s="4"/>
    </row>
    <row collapsed="" customFormat="false" customHeight="1" hidden="" ht="14" outlineLevel="0" r="6085">
      <c r="A6085" s="3" t="inlineStr">
        <is>
          <t>6054</t>
        </is>
      </c>
      <c r="B6085" s="4" t="s">
        <f>=HYPERLINK("http://anyluxury.ru/shop/odezhda/detskaya-odezhda/futbolka-uniseks-s-dlinnim-rukavom-pioneer-lsl-molochnaya-03982104/" , "03982104 Футболка унисекс с длинным рукавом Pioneer LSL, молочная, размер 3XL")</f>
      </c>
      <c r="C6085" s="4" t="n">
        <v>2069.00</v>
      </c>
      <c r="D6085" s="4"/>
    </row>
    <row collapsed="" customFormat="false" customHeight="1" hidden="" ht="14" outlineLevel="0" r="6086">
      <c r="A6086" s="3" t="inlineStr">
        <is>
          <t>6055</t>
        </is>
      </c>
      <c r="B6086" s="4" t="s">
        <f>=HYPERLINK("http://anyluxury.ru/shop/odezhda/detskaya-odezhda/futbolka-uniseks-s-dlinnim-rukavom-pioneer-lsl-belaya-03982102/" , "03982102 Футболка унисекс с длинным рукавом Pioneer LSL, белая, размер XS")</f>
      </c>
      <c r="C6086" s="4" t="n">
        <v>1619.00</v>
      </c>
      <c r="D6086" s="4"/>
    </row>
    <row collapsed="" customFormat="false" customHeight="1" hidden="" ht="14" outlineLevel="0" r="6087">
      <c r="A6087" s="3" t="inlineStr">
        <is>
          <t>6056</t>
        </is>
      </c>
      <c r="B6087" s="4" t="s">
        <f>=HYPERLINK("http://anyluxury.ru/shop/odezhda/detskaya-odezhda/futbolka-uniseks-s-dlinnim-rukavom-pioneer-lsl-belaya-03982102/" , "03982102 Футболка унисекс с длинным рукавом Pioneer LSL, белая, размер S")</f>
      </c>
      <c r="C6087" s="4" t="n">
        <v>1619.00</v>
      </c>
      <c r="D6087" s="4"/>
    </row>
    <row collapsed="" customFormat="false" customHeight="1" hidden="" ht="14" outlineLevel="0" r="6088">
      <c r="A6088" s="3" t="inlineStr">
        <is>
          <t>6057</t>
        </is>
      </c>
      <c r="B6088" s="4" t="s">
        <f>=HYPERLINK("http://anyluxury.ru/shop/odezhda/detskaya-odezhda/futbolka-uniseks-s-dlinnim-rukavom-pioneer-lsl-belaya-03982102/" , "03982102 Футболка унисекс с длинным рукавом Pioneer LSL, белая, размер M")</f>
      </c>
      <c r="C6088" s="4" t="n">
        <v>1619.00</v>
      </c>
      <c r="D6088" s="4"/>
    </row>
    <row collapsed="" customFormat="false" customHeight="1" hidden="" ht="14" outlineLevel="0" r="6089">
      <c r="A6089" s="3" t="inlineStr">
        <is>
          <t>6058</t>
        </is>
      </c>
      <c r="B6089" s="4" t="s">
        <f>=HYPERLINK("http://anyluxury.ru/shop/odezhda/detskaya-odezhda/futbolka-uniseks-s-dlinnim-rukavom-pioneer-lsl-belaya-03982102/" , "03982102 Футболка унисекс с длинным рукавом Pioneer LSL, белая, размер L")</f>
      </c>
      <c r="C6089" s="4" t="n">
        <v>1619.00</v>
      </c>
      <c r="D6089" s="4"/>
    </row>
    <row collapsed="" customFormat="false" customHeight="1" hidden="" ht="14" outlineLevel="0" r="6090">
      <c r="A6090" s="3" t="inlineStr">
        <is>
          <t>6059</t>
        </is>
      </c>
      <c r="B6090" s="4" t="s">
        <f>=HYPERLINK("http://anyluxury.ru/shop/odezhda/detskaya-odezhda/futbolka-uniseks-s-dlinnim-rukavom-pioneer-lsl-belaya-03982102/" , "03982102 Футболка унисекс с длинным рукавом Pioneer LSL, белая, размер XL")</f>
      </c>
      <c r="C6090" s="4" t="n">
        <v>1619.00</v>
      </c>
      <c r="D6090" s="4"/>
    </row>
    <row collapsed="" customFormat="false" customHeight="1" hidden="" ht="14" outlineLevel="0" r="6091">
      <c r="A6091" s="3" t="inlineStr">
        <is>
          <t>6060</t>
        </is>
      </c>
      <c r="B6091" s="4" t="s">
        <f>=HYPERLINK("http://anyluxury.ru/shop/odezhda/detskaya-odezhda/futbolka-uniseks-s-dlinnim-rukavom-pioneer-lsl-belaya-03982102/" , "03982102 Футболка унисекс с длинным рукавом Pioneer LSL, белая, размер XXL")</f>
      </c>
      <c r="C6091" s="4" t="n">
        <v>1619.00</v>
      </c>
      <c r="D6091" s="4"/>
    </row>
    <row collapsed="" customFormat="false" customHeight="1" hidden="" ht="14" outlineLevel="0" r="6092">
      <c r="A6092" s="3" t="inlineStr">
        <is>
          <t>6061</t>
        </is>
      </c>
      <c r="B6092" s="4" t="s">
        <f>=HYPERLINK("http://anyluxury.ru/shop/odezhda/detskaya-odezhda/futbolka-uniseks-s-dlinnim-rukavom-pioneer-lsl-belaya-03982102/" , "03982102 Футболка унисекс с длинным рукавом Pioneer LSL, белая, размер 3XL")</f>
      </c>
      <c r="C6092" s="4" t="n">
        <v>1863.00</v>
      </c>
      <c r="D6092" s="4"/>
    </row>
    <row collapsed="" customFormat="false" customHeight="1" hidden="" ht="14" outlineLevel="0" r="6093">
      <c r="A6093" s="3" t="inlineStr">
        <is>
          <t>6062</t>
        </is>
      </c>
      <c r="B6093" s="4" t="s">
        <f>=HYPERLINK("http://anyluxury.ru/shop/odezhda/detskaya-odezhda/futbolka-uniseks-s-dlinnim-rukavom-pioneer-lsl-belaya-03982102/" , "03982102 Футболка унисекс с длинным рукавом Pioneer LSL, белая, размер 4XL")</f>
      </c>
      <c r="C6093" s="4" t="n">
        <v>1863.00</v>
      </c>
      <c r="D6093" s="4"/>
    </row>
    <row collapsed="" customFormat="false" customHeight="1" hidden="" ht="14" outlineLevel="0" r="6094">
      <c r="A6094" s="3" t="inlineStr">
        <is>
          <t>6063</t>
        </is>
      </c>
      <c r="B6094" s="4" t="s">
        <f>=HYPERLINK("http://anyluxury.ru/shop/odezhda/detskaya-odezhda/beysbolka-detskaya-capture-kids-golubaya-1514814/" , "15148.14 Бейсболка детская Capture Kids, голубая")</f>
      </c>
      <c r="C6094" s="4" t="n">
        <v>480.00</v>
      </c>
      <c r="D6094" s="4"/>
    </row>
    <row collapsed="" customFormat="false" customHeight="1" hidden="" ht="14" outlineLevel="0" r="6095">
      <c r="A6095" s="3" t="inlineStr">
        <is>
          <t>6064</t>
        </is>
      </c>
      <c r="B6095" s="4" t="s">
        <f>=HYPERLINK("http://anyluxury.ru/shop/odezhda/detskaya-odezhda/beysbolka-detskaya-capture-kids-chernaya-1514830/" , "15148.30 Бейсболка детская Capture Kids, черная")</f>
      </c>
      <c r="C6095" s="4" t="n">
        <v>480.00</v>
      </c>
      <c r="D6095" s="4"/>
    </row>
    <row collapsed="" customFormat="false" customHeight="1" hidden="" ht="14" outlineLevel="0" r="6096">
      <c r="A6096" s="3" t="inlineStr">
        <is>
          <t>6065</t>
        </is>
      </c>
      <c r="B6096" s="4" t="s">
        <f>=HYPERLINK("http://anyluxury.ru/shop/odezhda/detskaya-odezhda/beysbolka-detskaya-capture-kids-yarkosinyaya-1514844/" , "15148.44 Бейсболка детская Capture Kids, ярко-синяя")</f>
      </c>
      <c r="C6096" s="4" t="n">
        <v>480.00</v>
      </c>
      <c r="D6096" s="4"/>
    </row>
    <row collapsed="" customFormat="false" customHeight="1" hidden="" ht="14" outlineLevel="0" r="6097">
      <c r="A6097" s="3" t="inlineStr">
        <is>
          <t>6066</t>
        </is>
      </c>
      <c r="B6097" s="4" t="s">
        <f>=HYPERLINK("http://anyluxury.ru/shop/odezhda/detskaya-odezhda/beysbolka-detskaya-capture-kids-krasnaya-1514850/" , "15148.50 Бейсболка детская Capture Kids, красная")</f>
      </c>
      <c r="C6097" s="4" t="n">
        <v>480.00</v>
      </c>
      <c r="D6097" s="4"/>
    </row>
    <row collapsed="" customFormat="false" customHeight="1" hidden="" ht="14" outlineLevel="0" r="6098">
      <c r="A6098" s="3" t="inlineStr">
        <is>
          <t>6067</t>
        </is>
      </c>
      <c r="B6098" s="4" t="s">
        <f>=HYPERLINK("http://anyluxury.ru/shop/odezhda/detskaya-odezhda/beysbolka-detskaya-capture-kids-belaya-1514860/" , "15148.60 Бейсболка детская Capture Kids, белая")</f>
      </c>
      <c r="C6098" s="4" t="n">
        <v>480.00</v>
      </c>
      <c r="D6098" s="4"/>
    </row>
    <row collapsed="" customFormat="false" customHeight="1" hidden="" ht="14" outlineLevel="0" r="6099">
      <c r="A6099" s="3" t="inlineStr">
        <is>
          <t>6068</t>
        </is>
      </c>
      <c r="B6099" s="4" t="s">
        <f>=HYPERLINK("http://anyluxury.ru/shop/odezhda/detskaya-odezhda/beysbolka-detskaya-capture-kids-oranzhevaya-1514820/" , "15148.20 Бейсболка детская Capture Kids, оранжевая")</f>
      </c>
      <c r="C6099" s="4" t="n">
        <v>480.00</v>
      </c>
      <c r="D6099" s="4"/>
    </row>
    <row collapsed="" customFormat="false" customHeight="1" hidden="" ht="14" outlineLevel="0" r="6100">
      <c r="A6100" s="3" t="inlineStr">
        <is>
          <t>6069</t>
        </is>
      </c>
      <c r="B6100" s="4" t="s">
        <f>=HYPERLINK("http://anyluxury.ru/shop/odezhda/detskaya-odezhda/svitshot-neofit-cherniy-1461430/" , "14614.30 Свитшот Neofit, черный, размер XS/S")</f>
      </c>
      <c r="C6100" s="4" t="n">
        <v>2225.00</v>
      </c>
      <c r="D6100" s="4"/>
    </row>
    <row collapsed="" customFormat="false" customHeight="1" hidden="" ht="14" outlineLevel="0" r="6101">
      <c r="A6101" s="3" t="inlineStr">
        <is>
          <t>6070</t>
        </is>
      </c>
      <c r="B6101" s="4" t="s">
        <f>=HYPERLINK("http://anyluxury.ru/shop/odezhda/detskaya-odezhda/svitshot-neofit-cherniy-1461430/" , "14614.30 Свитшот Neofit, черный, размер M/L")</f>
      </c>
      <c r="C6101" s="4" t="n">
        <v>2225.00</v>
      </c>
      <c r="D6101" s="4"/>
    </row>
    <row collapsed="" customFormat="false" customHeight="1" hidden="" ht="14" outlineLevel="0" r="6102">
      <c r="A6102" s="3" t="inlineStr">
        <is>
          <t>6071</t>
        </is>
      </c>
      <c r="B6102" s="4" t="s">
        <f>=HYPERLINK("http://anyluxury.ru/shop/odezhda/detskaya-odezhda/varezhki-life-explorer-sinie-1618640/" , "16186.40 Варежки Life Explorer, синие, размер S/M")</f>
      </c>
      <c r="C6102" s="4" t="n">
        <v>840.00</v>
      </c>
      <c r="D6102" s="4"/>
    </row>
    <row collapsed="" customFormat="false" customHeight="1" hidden="" ht="14" outlineLevel="0" r="6103">
      <c r="A6103" s="3" t="inlineStr">
        <is>
          <t>6072</t>
        </is>
      </c>
      <c r="B6103" s="4" t="s">
        <f>=HYPERLINK("http://anyluxury.ru/shop/odezhda/detskaya-odezhda/beysbolka-detskaya-standard-kids-sinyaya-1622040/" , "16220.40 Бейсболка детская Standard Kids, синяя")</f>
      </c>
      <c r="C6103" s="4" t="n">
        <v>367.00</v>
      </c>
      <c r="D6103" s="4"/>
    </row>
    <row collapsed="" customFormat="false" customHeight="1" hidden="" ht="14" outlineLevel="0" r="6104">
      <c r="A6104" s="3" t="inlineStr">
        <is>
          <t>6073</t>
        </is>
      </c>
      <c r="B6104" s="4" t="s">
        <f>=HYPERLINK("http://anyluxury.ru/shop/odezhda/detskaya-odezhda/beysbolka-detskaya-standard-kids-krasnaya-1622050/" , "16220.50 Бейсболка детская Standard Kids, красная")</f>
      </c>
      <c r="C6104" s="4" t="n">
        <v>367.00</v>
      </c>
      <c r="D6104" s="4"/>
    </row>
    <row collapsed="" customFormat="false" customHeight="1" hidden="" ht="14" outlineLevel="0" r="6105">
      <c r="A6105" s="3" t="inlineStr">
        <is>
          <t>6074</t>
        </is>
      </c>
      <c r="B6105" s="4" t="s">
        <f>=HYPERLINK("http://anyluxury.ru/shop/odezhda/detskaya-odezhda/beysbolka-detskaya-standard-kids-belaya-1622060/" , "16220.60 Бейсболка детская Standard Kids, белая")</f>
      </c>
      <c r="C6105" s="4" t="n">
        <v>367.00</v>
      </c>
      <c r="D6105" s="4"/>
    </row>
    <row collapsed="" customFormat="false" customHeight="1" hidden="" ht="14" outlineLevel="0" r="6106">
      <c r="A6106" s="3" t="inlineStr">
        <is>
          <t>6075</t>
        </is>
      </c>
      <c r="B6106" s="4" t="s">
        <f>=HYPERLINK("http://anyluxury.ru/shop/odezhda/detskaya-odezhda/beysbolka-detskaya-standard-kids-zheltaya-1622080/" , "16220.80 Бейсболка детская Standard Kids, желтая")</f>
      </c>
      <c r="C6106" s="4" t="n">
        <v>367.00</v>
      </c>
      <c r="D6106" s="4"/>
    </row>
    <row collapsed="" customFormat="false" customHeight="1" hidden="" ht="14" outlineLevel="0" r="6107">
      <c r="A6107" s="3" t="inlineStr">
        <is>
          <t>6076</t>
        </is>
      </c>
      <c r="B6107" s="4" t="s">
        <f>=HYPERLINK("http://anyluxury.ru/shop/odezhda/detskaya-odezhda/beysbolka-detskaya-standard-kids-zelenaya-1622090/" , "16220.90 Бейсболка детская Standard Kids, зеленая")</f>
      </c>
      <c r="C6107" s="4" t="n">
        <v>367.00</v>
      </c>
      <c r="D6107" s="4"/>
    </row>
    <row collapsed="" customFormat="false" customHeight="1" hidden="" ht="14" outlineLevel="0" r="6108">
      <c r="A6108" s="3" t="inlineStr">
        <is>
          <t>6077</t>
        </is>
      </c>
      <c r="B6108" s="4" t="s">
        <f>=HYPERLINK("http://anyluxury.ru/shop/odezhda/detskaya-odezhda/beysbolka-detskaya-standard-kids-chernaya-1622030/" , "16220.30 Бейсболка детская Standard Kids, черная")</f>
      </c>
      <c r="C6108" s="4" t="n">
        <v>367.00</v>
      </c>
      <c r="D6108" s="4"/>
    </row>
    <row collapsed="" customFormat="false" customHeight="1" hidden="" ht="14" outlineLevel="0" r="6109">
      <c r="A6109" s="3" t="inlineStr">
        <is>
          <t>6078</t>
        </is>
      </c>
      <c r="B6109" s="4" t="s">
        <f>=HYPERLINK("http://anyluxury.ru/shop/odezhda/detskaya-odezhda/hudi-oversayz-uniseks-tolla-sinee-dzhins-2111848/" , "21118.48 Худи оверсайз унисекс Tolla, синее (джинс), размер XS/S")</f>
      </c>
      <c r="C6109" s="4" t="n">
        <v>3485.00</v>
      </c>
      <c r="D6109" s="4"/>
    </row>
    <row collapsed="" customFormat="false" customHeight="1" hidden="" ht="14" outlineLevel="0" r="6110">
      <c r="A6110" s="3" t="inlineStr">
        <is>
          <t>6079</t>
        </is>
      </c>
      <c r="B6110" s="4" t="s">
        <f>=HYPERLINK("http://anyluxury.ru/shop/odezhda/detskaya-odezhda/hudi-oversayz-uniseks-tolla-sinee-dzhins-2111848/" , "21118.48 Худи оверсайз унисекс Tolla, синее (джинс), размер M/L")</f>
      </c>
      <c r="C6110" s="4" t="n">
        <v>3485.00</v>
      </c>
      <c r="D6110" s="4"/>
    </row>
    <row collapsed="" customFormat="false" customHeight="1" hidden="" ht="14" outlineLevel="0" r="6111">
      <c r="A6111" s="3" t="inlineStr">
        <is>
          <t>6080</t>
        </is>
      </c>
      <c r="B6111" s="4" t="s">
        <f>=HYPERLINK("http://anyluxury.ru/shop/odezhda/detskaya-odezhda/hudi-oversayz-uniseks-tolla-sinee-dzhins-2111848/" , "21118.48 Худи оверсайз унисекс Tolla, синее (джинс), размер XL/2XL")</f>
      </c>
      <c r="C6111" s="4" t="n">
        <v>3485.00</v>
      </c>
      <c r="D6111" s="4"/>
    </row>
    <row collapsed="" customFormat="false" customHeight="1" hidden="" ht="14" outlineLevel="0" r="6112">
      <c r="A6112" s="3" t="inlineStr">
        <is>
          <t>6081</t>
        </is>
      </c>
      <c r="B6112" s="4" t="s">
        <f>=HYPERLINK("http://anyluxury.ru/shop/odezhda/detskaya-odezhda/hudi-oversayz-uniseks-tolla-zelenoe-2111890/" , "21118.90 Худи оверсайз унисекс Tolla, зеленое, размер XS/S")</f>
      </c>
      <c r="C6112" s="4" t="n">
        <v>3485.00</v>
      </c>
      <c r="D6112" s="4"/>
    </row>
    <row collapsed="" customFormat="false" customHeight="1" hidden="" ht="14" outlineLevel="0" r="6113">
      <c r="A6113" s="3" t="inlineStr">
        <is>
          <t>6082</t>
        </is>
      </c>
      <c r="B6113" s="4" t="s">
        <f>=HYPERLINK("http://anyluxury.ru/shop/odezhda/detskaya-odezhda/hudi-oversayz-uniseks-tolla-zelenoe-2111890/" , "21118.90 Худи оверсайз унисекс Tolla, зеленое, размер M/L")</f>
      </c>
      <c r="C6113" s="4" t="n">
        <v>3485.00</v>
      </c>
      <c r="D6113" s="4"/>
    </row>
    <row collapsed="" customFormat="false" customHeight="1" hidden="" ht="14" outlineLevel="0" r="6114">
      <c r="A6114" s="3" t="inlineStr">
        <is>
          <t>6083</t>
        </is>
      </c>
      <c r="B6114" s="4" t="s">
        <f>=HYPERLINK("http://anyluxury.ru/shop/odezhda/detskaya-odezhda/hudi-oversayz-uniseks-tolla-zelenoe-2111890/" , "21118.90 Худи оверсайз унисекс Tolla, зеленое, размер XL/2XL")</f>
      </c>
      <c r="C6114" s="4" t="n">
        <v>3485.00</v>
      </c>
      <c r="D6114" s="4"/>
    </row>
    <row collapsed="" customFormat="false" customHeight="1" hidden="" ht="14" outlineLevel="0" r="6115">
      <c r="A6115" s="3" t="inlineStr">
        <is>
          <t>6084</t>
        </is>
      </c>
      <c r="B6115" s="4" t="s">
        <f>=HYPERLINK("http://anyluxury.ru/shop/odezhda/detskaya-odezhda/hudi-oversayz-uniseks-outshine-seroe-1502911/" , "15029.11 Худи оверсайз унисекс Outshine, серое, размер XS/S")</f>
      </c>
      <c r="C6115" s="4" t="n">
        <v>2500.00</v>
      </c>
      <c r="D6115" s="4"/>
    </row>
    <row collapsed="" customFormat="false" customHeight="1" hidden="" ht="14" outlineLevel="0" r="6116">
      <c r="A6116" s="3" t="inlineStr">
        <is>
          <t>6085</t>
        </is>
      </c>
      <c r="B6116" s="4" t="s">
        <f>=HYPERLINK("http://anyluxury.ru/shop/odezhda/detskaya-odezhda/hudi-oversayz-uniseks-outshine-seroe-1502911/" , "15029.11 Худи оверсайз унисекс Outshine, серое, размер M/L")</f>
      </c>
      <c r="C6116" s="4" t="n">
        <v>2500.00</v>
      </c>
      <c r="D6116" s="4"/>
    </row>
    <row collapsed="" customFormat="false" customHeight="1" hidden="" ht="14" outlineLevel="0" r="6117">
      <c r="A6117" s="3" t="inlineStr">
        <is>
          <t>6086</t>
        </is>
      </c>
      <c r="B6117" s="4" t="s">
        <f>=HYPERLINK("http://anyluxury.ru/shop/odezhda/detskaya-odezhda/hudi-oversayz-uniseks-outshine-yarkosinee-1502940/" , "15029.40 Худи оверсайз унисекс Outshine, ярко-синее, размер XS/S")</f>
      </c>
      <c r="C6117" s="4" t="n">
        <v>2500.00</v>
      </c>
      <c r="D6117" s="4"/>
    </row>
    <row collapsed="" customFormat="false" customHeight="1" hidden="" ht="14" outlineLevel="0" r="6118">
      <c r="A6118" s="3" t="inlineStr">
        <is>
          <t>6087</t>
        </is>
      </c>
      <c r="B6118" s="4" t="s">
        <f>=HYPERLINK("http://anyluxury.ru/shop/odezhda/detskaya-odezhda/hudi-oversayz-uniseks-outshine-yarkosinee-1502940/" , "15029.40 Худи оверсайз унисекс Outshine, ярко-синее, размер M/L")</f>
      </c>
      <c r="C6118" s="4" t="n">
        <v>2500.00</v>
      </c>
      <c r="D6118" s="4"/>
    </row>
    <row collapsed="" customFormat="false" customHeight="1" hidden="" ht="14" outlineLevel="0" r="6119">
      <c r="A6119" s="3" t="inlineStr">
        <is>
          <t>6088</t>
        </is>
      </c>
      <c r="B6119" s="4" t="s">
        <f>=HYPERLINK("http://anyluxury.ru/shop/odezhda/detskaya-odezhda/hudi-oversayz-uniseks-outshine-temnosinee-1502944/" , "15029.44 Худи оверсайз унисекс Outshine, темно-синее, размер XS/S")</f>
      </c>
      <c r="C6119" s="4" t="n">
        <v>2500.00</v>
      </c>
      <c r="D6119" s="4"/>
    </row>
    <row collapsed="" customFormat="false" customHeight="1" hidden="" ht="14" outlineLevel="0" r="6120">
      <c r="A6120" s="3" t="inlineStr">
        <is>
          <t>6089</t>
        </is>
      </c>
      <c r="B6120" s="4" t="s">
        <f>=HYPERLINK("http://anyluxury.ru/shop/odezhda/detskaya-odezhda/hudi-oversayz-uniseks-outshine-temnosinee-1502944/" , "15029.44 Худи оверсайз унисекс Outshine, темно-синее, размер M/L")</f>
      </c>
      <c r="C6120" s="4" t="n">
        <v>2500.00</v>
      </c>
      <c r="D6120" s="4"/>
    </row>
    <row collapsed="" customFormat="false" customHeight="1" hidden="" ht="14" outlineLevel="0" r="6121">
      <c r="A6121" s="3" t="inlineStr">
        <is>
          <t>6090</t>
        </is>
      </c>
      <c r="B6121" s="4" t="s">
        <f>=HYPERLINK("http://anyluxury.ru/shop/odezhda/detskaya-odezhda/hudi-oversayz-uniseks-outshine-krasnoe-1502950/" , "15029.50 Худи оверсайз унисекс Outshine, красное, размер XS/S")</f>
      </c>
      <c r="C6121" s="4" t="n">
        <v>2500.00</v>
      </c>
      <c r="D6121" s="4"/>
    </row>
    <row collapsed="" customFormat="false" customHeight="1" hidden="" ht="14" outlineLevel="0" r="6122">
      <c r="A6122" s="3" t="inlineStr">
        <is>
          <t>6091</t>
        </is>
      </c>
      <c r="B6122" s="4" t="s">
        <f>=HYPERLINK("http://anyluxury.ru/shop/odezhda/detskaya-odezhda/hudi-oversayz-uniseks-outshine-krasnoe-1502950/" , "15029.50 Худи оверсайз унисекс Outshine, красное, размер M/L")</f>
      </c>
      <c r="C6122" s="4" t="n">
        <v>2500.00</v>
      </c>
      <c r="D6122" s="4"/>
    </row>
    <row collapsed="" customFormat="false" customHeight="1" hidden="" ht="14" outlineLevel="0" r="6123">
      <c r="A6123" s="3" t="inlineStr">
        <is>
          <t>6092</t>
        </is>
      </c>
      <c r="B6123" s="4" t="s">
        <f>=HYPERLINK("http://anyluxury.ru/shop/odezhda/detskaya-odezhda/hudi-oversayz-uniseks-outshine-krasnoe-1502950/" , "15029.50 Худи оверсайз унисекс Outshine, красное, размер XL/2XL")</f>
      </c>
      <c r="C6123" s="4" t="n">
        <v>2500.00</v>
      </c>
      <c r="D6123" s="4"/>
    </row>
    <row collapsed="" customFormat="false" customHeight="1" hidden="" ht="14" outlineLevel="0" r="6124">
      <c r="A6124" s="3" t="inlineStr">
        <is>
          <t>6093</t>
        </is>
      </c>
      <c r="B6124" s="4" t="s">
        <f>=HYPERLINK("http://anyluxury.ru/shop/odezhda/detskaya-odezhda/dozhdevik-detskiy-rainman-kids-oranzheviy-neon-1172920/" , "11729.20 Дождевик детский Rainman Kids, оранжевый неон, 7-9 лет")</f>
      </c>
      <c r="C6124" s="4" t="n">
        <v>1204.00</v>
      </c>
      <c r="D6124" s="4"/>
    </row>
    <row collapsed="" customFormat="false" customHeight="1" hidden="" ht="14" outlineLevel="0" r="6125">
      <c r="A6125" s="3" t="inlineStr">
        <is>
          <t>6094</t>
        </is>
      </c>
      <c r="B6125" s="4" t="s">
        <f>=HYPERLINK("http://anyluxury.ru/shop/odezhda/detskaya-odezhda/dozhdevik-detskiy-rainman-kids-oranzheviy-neon-1172920/" , "11729.20 Дождевик детский Rainman Kids, оранжевый неон, 10-12 лет")</f>
      </c>
      <c r="C6125" s="4" t="n">
        <v>1204.00</v>
      </c>
      <c r="D6125" s="4"/>
    </row>
    <row collapsed="" customFormat="false" customHeight="1" hidden="" ht="14" outlineLevel="0" r="6126">
      <c r="A6126" s="3" t="inlineStr">
        <is>
          <t>6095</t>
        </is>
      </c>
      <c r="B6126" s="4" t="s">
        <f>=HYPERLINK("http://anyluxury.ru/shop/odezhda/detskaya-odezhda/dozhdevik-detskiy-rainman-kids-zheltiy-1172981/" , "11729.81 Дождевик детский Rainman Kids, желтый, 7-9 лет")</f>
      </c>
      <c r="C6126" s="4" t="n">
        <v>1204.00</v>
      </c>
      <c r="D6126" s="4"/>
    </row>
    <row collapsed="" customFormat="false" customHeight="1" hidden="" ht="14" outlineLevel="0" r="6127">
      <c r="A6127" s="3" t="inlineStr">
        <is>
          <t>6096</t>
        </is>
      </c>
      <c r="B6127" s="4" t="s">
        <f>=HYPERLINK("http://anyluxury.ru/shop/odezhda/detskaya-odezhda/dozhdevik-detskiy-rainman-kids-zheltiy-1172981/" , "11729.81 Дождевик детский Rainman Kids, желтый, 10-12 лет")</f>
      </c>
      <c r="C6127" s="4" t="n">
        <v>1204.00</v>
      </c>
      <c r="D6127" s="4"/>
    </row>
    <row collapsed="" customFormat="false" customHeight="1" hidden="" ht="14" outlineLevel="0" r="6128">
      <c r="A6128" s="3" t="inlineStr">
        <is>
          <t>6097</t>
        </is>
      </c>
      <c r="B6128" s="4" t="s">
        <f>=HYPERLINK("http://anyluxury.ru/shop/odezhda/detskaya-odezhda/dozhdevik-detskiy-rainman-kids-zelenoe-yabloko-1172994/" , "11729.94 Дождевик детский Rainman Kids, зеленое яблоко, 7-9 лет")</f>
      </c>
      <c r="C6128" s="4" t="n">
        <v>1204.00</v>
      </c>
      <c r="D6128" s="4"/>
    </row>
    <row collapsed="" customFormat="false" customHeight="1" hidden="" ht="14" outlineLevel="0" r="6129">
      <c r="A6129" s="3" t="inlineStr">
        <is>
          <t>6098</t>
        </is>
      </c>
      <c r="B6129" s="4" t="s">
        <f>=HYPERLINK("http://anyluxury.ru/shop/odezhda/detskaya-odezhda/dozhdevik-detskiy-rainman-kids-zelenoe-yabloko-1172994/" , "11729.94 Дождевик детский Rainman Kids, зеленое яблоко, 10-12 лет")</f>
      </c>
      <c r="C6129" s="4" t="n">
        <v>1204.00</v>
      </c>
      <c r="D6129" s="4"/>
    </row>
    <row collapsed="" customFormat="false" customHeight="1" hidden="" ht="14" outlineLevel="0" r="6130">
      <c r="A6130" s="3" t="inlineStr">
        <is>
          <t>6099</t>
        </is>
      </c>
      <c r="B6130" s="4" t="s">
        <f>=HYPERLINK("http://anyluxury.ru/shop/odezhda/detskaya-odezhda/svitshot-neofit-siniy-1461440/" , "14614.40 Свитшот Neofit, синий, размер M/L")</f>
      </c>
      <c r="C6130" s="4" t="n">
        <v>2225.00</v>
      </c>
      <c r="D6130" s="4"/>
    </row>
    <row collapsed="" customFormat="false" customHeight="1" hidden="" ht="14" outlineLevel="0" r="6131">
      <c r="A6131" s="3" t="inlineStr">
        <is>
          <t>6100</t>
        </is>
      </c>
      <c r="B6131" s="4" t="s">
        <f>=HYPERLINK("http://anyluxury.ru/shop/odezhda/detskaya-odezhda/svitshot-neofit-siniy-1461440/" , "14614.40 Свитшот Neofit, синий, размер XS/S")</f>
      </c>
      <c r="C6131" s="4" t="n">
        <v>2225.00</v>
      </c>
      <c r="D6131" s="4"/>
    </row>
    <row collapsed="" customFormat="false" customHeight="1" hidden="" ht="14" outlineLevel="0" r="6132">
      <c r="A6132" s="3" t="inlineStr">
        <is>
          <t>6101</t>
        </is>
      </c>
      <c r="B6132" s="4" t="s">
        <f>=HYPERLINK("http://anyluxury.ru/shop/odezhda/detskaya-odezhda/svitshot-neofit-siniy-1461440/" , "14614.40 Свитшот Neofit, синий, размер XL/XXL")</f>
      </c>
      <c r="C6132" s="4" t="n">
        <v>2225.00</v>
      </c>
      <c r="D6132" s="4"/>
    </row>
    <row collapsed="" customFormat="false" customHeight="1" hidden="" ht="14" outlineLevel="0" r="6133">
      <c r="A6133" s="3" t="inlineStr">
        <is>
          <t>6102</t>
        </is>
      </c>
      <c r="B6133" s="4" t="s">
        <f>=HYPERLINK("http://anyluxury.ru/shop/odezhda/detskaya-odezhda/hudi-uniseks-s-karmanom-na-grudi-chest-pocket-chernoe-1550130/" , "15501.30 Худи унисекс с карманом на груди Chest Pocket, черное, размер XS/S")</f>
      </c>
      <c r="C6133" s="4" t="n">
        <v>3600.00</v>
      </c>
      <c r="D6133" s="4"/>
    </row>
    <row collapsed="" customFormat="false" customHeight="1" hidden="" ht="14" outlineLevel="0" r="6134">
      <c r="A6134" s="3" t="inlineStr">
        <is>
          <t>6103</t>
        </is>
      </c>
      <c r="B6134" s="4" t="s">
        <f>=HYPERLINK("http://anyluxury.ru/shop/odezhda/detskaya-odezhda/hudi-uniseks-s-karmanom-na-grudi-chest-pocket-chernoe-1550130/" , "15501.30 Худи унисекс с карманом на груди Chest Pocket, черное, размер M/L")</f>
      </c>
      <c r="C6134" s="4" t="n">
        <v>3600.00</v>
      </c>
      <c r="D6134" s="4"/>
    </row>
    <row collapsed="" customFormat="false" customHeight="1" hidden="" ht="14" outlineLevel="0" r="6135">
      <c r="A6135" s="3" t="inlineStr">
        <is>
          <t>6104</t>
        </is>
      </c>
      <c r="B6135" s="4" t="s">
        <f>=HYPERLINK("http://anyluxury.ru/shop/odezhda/detskaya-odezhda/hudi-uniseks-s-karmanom-na-grudi-chest-pocket-chernoe-1550130/" , "15501.30 Худи унисекс с карманом на груди Chest Pocket, черное, размер XL/2XL")</f>
      </c>
      <c r="C6135" s="4" t="n">
        <v>3600.00</v>
      </c>
      <c r="D6135" s="4"/>
    </row>
    <row collapsed="" customFormat="false" customHeight="1" hidden="" ht="14" outlineLevel="0" r="6136">
      <c r="A6136" s="3" t="inlineStr">
        <is>
          <t>6105</t>
        </is>
      </c>
      <c r="B6136" s="4" t="s">
        <f>=HYPERLINK("http://anyluxury.ru/shop/odezhda/detskaya-odezhda/hudi-uniseks-hand-some-chernoe-1550230/" , "15502.30 Худи унисекс Hand Some, черное, размер XS/S")</f>
      </c>
      <c r="C6136" s="4" t="n">
        <v>3650.00</v>
      </c>
      <c r="D6136" s="4"/>
    </row>
    <row collapsed="" customFormat="false" customHeight="1" hidden="" ht="14" outlineLevel="0" r="6137">
      <c r="A6137" s="3" t="inlineStr">
        <is>
          <t>6106</t>
        </is>
      </c>
      <c r="B6137" s="4" t="s">
        <f>=HYPERLINK("http://anyluxury.ru/shop/odezhda/detskaya-odezhda/hudi-uniseks-hand-some-chernoe-1550230/" , "15502.30 Худи унисекс Hand Some, черное, размер M/L")</f>
      </c>
      <c r="C6137" s="4" t="n">
        <v>3650.00</v>
      </c>
      <c r="D6137" s="4"/>
    </row>
    <row collapsed="" customFormat="false" customHeight="1" hidden="" ht="14" outlineLevel="0" r="6138">
      <c r="A6138" s="3" t="inlineStr">
        <is>
          <t>6107</t>
        </is>
      </c>
      <c r="B6138" s="4" t="s">
        <f>=HYPERLINK("http://anyluxury.ru/shop/odezhda/detskaya-odezhda/svitshot-uniseks-delta-beliy-1627560/" , "16275.60 Свитшот унисекс Delta, белый, размер S")</f>
      </c>
      <c r="C6138" s="4" t="n">
        <v>1849.00</v>
      </c>
      <c r="D6138" s="4"/>
    </row>
    <row collapsed="" customFormat="false" customHeight="1" hidden="" ht="14" outlineLevel="0" r="6139">
      <c r="A6139" s="3" t="inlineStr">
        <is>
          <t>6108</t>
        </is>
      </c>
      <c r="B6139" s="4" t="s">
        <f>=HYPERLINK("http://anyluxury.ru/shop/odezhda/detskaya-odezhda/svitshot-uniseks-delta-beliy-1627560/" , "16275.60 Свитшот унисекс Delta, белый, размер M")</f>
      </c>
      <c r="C6139" s="4" t="n">
        <v>1849.00</v>
      </c>
      <c r="D6139" s="4"/>
    </row>
    <row collapsed="" customFormat="false" customHeight="1" hidden="" ht="14" outlineLevel="0" r="6140">
      <c r="A6140" s="3" t="inlineStr">
        <is>
          <t>6109</t>
        </is>
      </c>
      <c r="B6140" s="4" t="s">
        <f>=HYPERLINK("http://anyluxury.ru/shop/odezhda/detskaya-odezhda/svitshot-uniseks-delta-beliy-1627560/" , "16275.60 Свитшот унисекс Delta, белый, размер L")</f>
      </c>
      <c r="C6140" s="4" t="n">
        <v>1849.00</v>
      </c>
      <c r="D6140" s="4"/>
    </row>
    <row collapsed="" customFormat="false" customHeight="1" hidden="" ht="14" outlineLevel="0" r="6141">
      <c r="A6141" s="3" t="inlineStr">
        <is>
          <t>6110</t>
        </is>
      </c>
      <c r="B6141" s="4" t="s">
        <f>=HYPERLINK("http://anyluxury.ru/shop/odezhda/detskaya-odezhda/svitshot-uniseks-delta-beliy-1627560/" , "16275.60 Свитшот унисекс Delta, белый, размер XL")</f>
      </c>
      <c r="C6141" s="4" t="n">
        <v>1849.00</v>
      </c>
      <c r="D6141" s="4"/>
    </row>
    <row collapsed="" customFormat="false" customHeight="1" hidden="" ht="14" outlineLevel="0" r="6142">
      <c r="A6142" s="3" t="inlineStr">
        <is>
          <t>6111</t>
        </is>
      </c>
      <c r="B6142" s="4" t="s">
        <f>=HYPERLINK("http://anyluxury.ru/shop/odezhda/detskaya-odezhda/svitshot-uniseks-delta-beliy-1627560/" , "16275.60 Свитшот унисекс Delta, белый, размерXXL")</f>
      </c>
      <c r="C6142" s="4" t="n">
        <v>1849.00</v>
      </c>
      <c r="D6142" s="4"/>
    </row>
    <row collapsed="" customFormat="false" customHeight="1" hidden="" ht="14" outlineLevel="0" r="6143">
      <c r="A6143" s="3" t="inlineStr">
        <is>
          <t>6112</t>
        </is>
      </c>
      <c r="B6143" s="4" t="s">
        <f>=HYPERLINK("http://anyluxury.ru/shop/odezhda/detskaya-odezhda/svitshot-uniseks-delta-seriy-melanzh-1627511/" , "16275.11 Свитшот унисекс Delta, серый меланж, размер S")</f>
      </c>
      <c r="C6143" s="4" t="n">
        <v>2750.00</v>
      </c>
      <c r="D6143" s="4"/>
    </row>
    <row collapsed="" customFormat="false" customHeight="1" hidden="" ht="14" outlineLevel="0" r="6144">
      <c r="A6144" s="3" t="inlineStr">
        <is>
          <t>6113</t>
        </is>
      </c>
      <c r="B6144" s="4" t="s">
        <f>=HYPERLINK("http://anyluxury.ru/shop/odezhda/detskaya-odezhda/svitshot-uniseks-delta-seriy-melanzh-1627511/" , "16275.11 Свитшот унисекс Delta, серый меланж, размер L")</f>
      </c>
      <c r="C6144" s="4" t="n">
        <v>2750.00</v>
      </c>
      <c r="D6144" s="4"/>
    </row>
    <row collapsed="" customFormat="false" customHeight="1" hidden="" ht="14" outlineLevel="0" r="6145">
      <c r="A6145" s="3" t="inlineStr">
        <is>
          <t>6114</t>
        </is>
      </c>
      <c r="B6145" s="4" t="s">
        <f>=HYPERLINK("http://anyluxury.ru/shop/odezhda/detskaya-odezhda/svitshot-uniseks-delta-seriy-melanzh-1627511/" , "16275.11 Свитшот унисекс Delta, серый меланж, размер XL")</f>
      </c>
      <c r="C6145" s="4" t="n">
        <v>2750.00</v>
      </c>
      <c r="D6145" s="4"/>
    </row>
    <row collapsed="" customFormat="false" customHeight="1" hidden="" ht="14" outlineLevel="0" r="6146">
      <c r="A6146" s="3" t="inlineStr">
        <is>
          <t>6115</t>
        </is>
      </c>
      <c r="B6146" s="4" t="s">
        <f>=HYPERLINK("http://anyluxury.ru/shop/odezhda/detskaya-odezhda/svitshot-uniseks-delta-seriy-melanzh-1627511/" , "16275.11 Свитшот унисекс Delta, серый меланж, размер XXL")</f>
      </c>
      <c r="C6146" s="4" t="n">
        <v>2750.00</v>
      </c>
      <c r="D6146" s="4"/>
    </row>
    <row collapsed="" customFormat="false" customHeight="1" hidden="" ht="14" outlineLevel="0" r="6147">
      <c r="A6147" s="3" t="inlineStr">
        <is>
          <t>6116</t>
        </is>
      </c>
      <c r="B6147" s="4" t="s">
        <f>=HYPERLINK("http://anyluxury.ru/shop/odezhda/detskaya-odezhda/svitshot-uniseks-delta-cherniy-1627530/" , "16275.30 Свитшот унисекс Delta, черный, размер S")</f>
      </c>
      <c r="C6147" s="4" t="n">
        <v>2750.00</v>
      </c>
      <c r="D6147" s="4"/>
    </row>
    <row collapsed="" customFormat="false" customHeight="1" hidden="" ht="14" outlineLevel="0" r="6148">
      <c r="A6148" s="3" t="inlineStr">
        <is>
          <t>6117</t>
        </is>
      </c>
      <c r="B6148" s="4" t="s">
        <f>=HYPERLINK("http://anyluxury.ru/shop/odezhda/detskaya-odezhda/svitshot-uniseks-delta-cherniy-1627530/" , "16275.30 Свитшот унисекс Delta, черный, размер M")</f>
      </c>
      <c r="C6148" s="4" t="n">
        <v>2750.00</v>
      </c>
      <c r="D6148" s="4"/>
    </row>
    <row collapsed="" customFormat="false" customHeight="1" hidden="" ht="14" outlineLevel="0" r="6149">
      <c r="A6149" s="3" t="inlineStr">
        <is>
          <t>6118</t>
        </is>
      </c>
      <c r="B6149" s="4" t="s">
        <f>=HYPERLINK("http://anyluxury.ru/shop/odezhda/detskaya-odezhda/svitshot-uniseks-delta-cherniy-1627530/" , "16275.30 Свитшот унисекс Delta, черный, размер L")</f>
      </c>
      <c r="C6149" s="4" t="n">
        <v>2750.00</v>
      </c>
      <c r="D6149" s="4"/>
    </row>
    <row collapsed="" customFormat="false" customHeight="1" hidden="" ht="14" outlineLevel="0" r="6150">
      <c r="A6150" s="3" t="inlineStr">
        <is>
          <t>6119</t>
        </is>
      </c>
      <c r="B6150" s="4" t="s">
        <f>=HYPERLINK("http://anyluxury.ru/shop/odezhda/detskaya-odezhda/svitshot-uniseks-delta-cherniy-1627530/" , "16275.30 Свитшот унисекс Delta, черный, размер XL")</f>
      </c>
      <c r="C6150" s="4" t="n">
        <v>2750.00</v>
      </c>
      <c r="D6150" s="4"/>
    </row>
    <row collapsed="" customFormat="false" customHeight="1" hidden="" ht="14" outlineLevel="0" r="6151">
      <c r="A6151" s="3" t="inlineStr">
        <is>
          <t>6120</t>
        </is>
      </c>
      <c r="B6151" s="4" t="s">
        <f>=HYPERLINK("http://anyluxury.ru/shop/odezhda/detskaya-odezhda/svitshot-uniseks-delta-cherniy-1627530/" , "16275.30 Свитшот унисекс Delta, черный, размер XXL")</f>
      </c>
      <c r="C6151" s="4" t="n">
        <v>2750.00</v>
      </c>
      <c r="D6151" s="4"/>
    </row>
    <row collapsed="" customFormat="false" customHeight="1" hidden="" ht="14" outlineLevel="0" r="6152">
      <c r="A6152" s="3" t="inlineStr">
        <is>
          <t>6121</t>
        </is>
      </c>
      <c r="B6152" s="4" t="s">
        <f>=HYPERLINK("http://anyluxury.ru/shop/odezhda/detskaya-odezhda/svitshot-uniseks-delta-cherniy-1627530/" , "16275.30 Свитшот унисекс Delta, черный, размер 3XL")</f>
      </c>
      <c r="C6152" s="4" t="n">
        <v>2750.00</v>
      </c>
      <c r="D6152" s="4"/>
    </row>
    <row collapsed="" customFormat="false" customHeight="1" hidden="" ht="14" outlineLevel="0" r="6153">
      <c r="A6153" s="3" t="inlineStr">
        <is>
          <t>6122</t>
        </is>
      </c>
      <c r="B6153" s="4" t="s">
        <f>=HYPERLINK("http://anyluxury.ru/shop/odezhda/detskaya-odezhda/svitshot-uniseks-delta-yarkosiniy-1627544/" , "16275.44 Свитшот унисекс Delta, ярко-синий, размер S")</f>
      </c>
      <c r="C6153" s="4" t="n">
        <v>2750.00</v>
      </c>
      <c r="D6153" s="4"/>
    </row>
    <row collapsed="" customFormat="false" customHeight="1" hidden="" ht="14" outlineLevel="0" r="6154">
      <c r="A6154" s="3" t="inlineStr">
        <is>
          <t>6123</t>
        </is>
      </c>
      <c r="B6154" s="4" t="s">
        <f>=HYPERLINK("http://anyluxury.ru/shop/odezhda/detskaya-odezhda/svitshot-uniseks-delta-yarkosiniy-1627544/" , "16275.44 Свитшот унисекс Delta, ярко-синий, размер M")</f>
      </c>
      <c r="C6154" s="4" t="n">
        <v>2750.00</v>
      </c>
      <c r="D6154" s="4"/>
    </row>
    <row collapsed="" customFormat="false" customHeight="1" hidden="" ht="14" outlineLevel="0" r="6155">
      <c r="A6155" s="3" t="inlineStr">
        <is>
          <t>6124</t>
        </is>
      </c>
      <c r="B6155" s="4" t="s">
        <f>=HYPERLINK("http://anyluxury.ru/shop/odezhda/detskaya-odezhda/svitshot-uniseks-delta-yarkosiniy-1627544/" , "16275.44 Свитшот унисекс Delta, ярко-синий, размер L")</f>
      </c>
      <c r="C6155" s="4" t="n">
        <v>2750.00</v>
      </c>
      <c r="D6155" s="4"/>
    </row>
    <row collapsed="" customFormat="false" customHeight="1" hidden="" ht="14" outlineLevel="0" r="6156">
      <c r="A6156" s="3" t="inlineStr">
        <is>
          <t>6125</t>
        </is>
      </c>
      <c r="B6156" s="4" t="s">
        <f>=HYPERLINK("http://anyluxury.ru/shop/odezhda/detskaya-odezhda/svitshot-uniseks-delta-yarkosiniy-1627544/" , "16275.44 Свитшот унисекс Delta, ярко-синий, размер XL")</f>
      </c>
      <c r="C6156" s="4" t="n">
        <v>2750.00</v>
      </c>
      <c r="D6156" s="4"/>
    </row>
    <row collapsed="" customFormat="false" customHeight="1" hidden="" ht="14" outlineLevel="0" r="6157">
      <c r="A6157" s="3" t="inlineStr">
        <is>
          <t>6126</t>
        </is>
      </c>
      <c r="B6157" s="4" t="s">
        <f>=HYPERLINK("http://anyluxury.ru/shop/odezhda/detskaya-odezhda/svitshot-uniseks-delta-yarkosiniy-1627544/" , "16275.44 Свитшот унисекс Delta, ярко-синий, размер XXL")</f>
      </c>
      <c r="C6157" s="4" t="n">
        <v>2750.00</v>
      </c>
      <c r="D6157" s="4"/>
    </row>
    <row collapsed="" customFormat="false" customHeight="1" hidden="" ht="14" outlineLevel="0" r="6158">
      <c r="A6158" s="3" t="inlineStr">
        <is>
          <t>6127</t>
        </is>
      </c>
      <c r="B6158" s="4" t="s">
        <f>=HYPERLINK("http://anyluxury.ru/shop/odezhda/detskaya-odezhda/hudi-uniseks-phoenix-beloe-1627660/" , "16276.60 Худи унисекс Phoenix, белое, размер XS")</f>
      </c>
      <c r="C6158" s="4" t="n">
        <v>2851.00</v>
      </c>
      <c r="D6158" s="4"/>
    </row>
    <row collapsed="" customFormat="false" customHeight="1" hidden="" ht="14" outlineLevel="0" r="6159">
      <c r="A6159" s="3" t="inlineStr">
        <is>
          <t>6128</t>
        </is>
      </c>
      <c r="B6159" s="4" t="s">
        <f>=HYPERLINK("http://anyluxury.ru/shop/odezhda/detskaya-odezhda/hudi-uniseks-phoenix-beloe-1627660/" , "16276.60 Худи унисекс Phoenix, белое, размер XXL")</f>
      </c>
      <c r="C6159" s="4" t="n">
        <v>2851.00</v>
      </c>
      <c r="D6159" s="4"/>
    </row>
    <row collapsed="" customFormat="false" customHeight="1" hidden="" ht="14" outlineLevel="0" r="6160">
      <c r="A6160" s="3" t="inlineStr">
        <is>
          <t>6129</t>
        </is>
      </c>
      <c r="B6160" s="4" t="s">
        <f>=HYPERLINK("http://anyluxury.ru/shop/odezhda/detskaya-odezhda/hudi-uniseks-phoenix-goluboe-1627614/" , "16276.14 Худи унисекс Phoenix, голубое, размер XS")</f>
      </c>
      <c r="C6160" s="4" t="n">
        <v>3592.00</v>
      </c>
      <c r="D6160" s="4"/>
    </row>
    <row collapsed="" customFormat="false" customHeight="1" hidden="" ht="14" outlineLevel="0" r="6161">
      <c r="A6161" s="3" t="inlineStr">
        <is>
          <t>6130</t>
        </is>
      </c>
      <c r="B6161" s="4" t="s">
        <f>=HYPERLINK("http://anyluxury.ru/shop/odezhda/detskaya-odezhda/hudi-uniseks-phoenix-goluboe-1627614/" , "16276.14 Худи унисекс Phoenix, голубое, размер S")</f>
      </c>
      <c r="C6161" s="4" t="n">
        <v>3592.00</v>
      </c>
      <c r="D6161" s="4"/>
    </row>
    <row collapsed="" customFormat="false" customHeight="1" hidden="" ht="14" outlineLevel="0" r="6162">
      <c r="A6162" s="3" t="inlineStr">
        <is>
          <t>6131</t>
        </is>
      </c>
      <c r="B6162" s="4" t="s">
        <f>=HYPERLINK("http://anyluxury.ru/shop/odezhda/detskaya-odezhda/hudi-uniseks-phoenix-goluboe-1627614/" , "16276.14 Худи унисекс Phoenix, голубое, размер M")</f>
      </c>
      <c r="C6162" s="4" t="n">
        <v>3592.00</v>
      </c>
      <c r="D6162" s="4"/>
    </row>
    <row collapsed="" customFormat="false" customHeight="1" hidden="" ht="14" outlineLevel="0" r="6163">
      <c r="A6163" s="3" t="inlineStr">
        <is>
          <t>6132</t>
        </is>
      </c>
      <c r="B6163" s="4" t="s">
        <f>=HYPERLINK("http://anyluxury.ru/shop/odezhda/detskaya-odezhda/hudi-uniseks-phoenix-goluboe-1627614/" , "16276.14 Худи унисекс Phoenix, голубое, размер L")</f>
      </c>
      <c r="C6163" s="4" t="n">
        <v>3592.00</v>
      </c>
      <c r="D6163" s="4"/>
    </row>
    <row collapsed="" customFormat="false" customHeight="1" hidden="" ht="14" outlineLevel="0" r="6164">
      <c r="A6164" s="3" t="inlineStr">
        <is>
          <t>6133</t>
        </is>
      </c>
      <c r="B6164" s="4" t="s">
        <f>=HYPERLINK("http://anyluxury.ru/shop/odezhda/detskaya-odezhda/hudi-uniseks-phoenix-goluboe-1627614/" , "16276.14 Худи унисекс Phoenix, голубое, размер XL")</f>
      </c>
      <c r="C6164" s="4" t="n">
        <v>3592.00</v>
      </c>
      <c r="D6164" s="4"/>
    </row>
    <row collapsed="" customFormat="false" customHeight="1" hidden="" ht="14" outlineLevel="0" r="6165">
      <c r="A6165" s="3" t="inlineStr">
        <is>
          <t>6134</t>
        </is>
      </c>
      <c r="B6165" s="4" t="s">
        <f>=HYPERLINK("http://anyluxury.ru/shop/odezhda/detskaya-odezhda/hudi-uniseks-phoenix-goluboe-1627614/" , "16276.14 Худи унисекс Phoenix, голубое, размер XXL")</f>
      </c>
      <c r="C6165" s="4" t="n">
        <v>3592.00</v>
      </c>
      <c r="D6165" s="4"/>
    </row>
    <row collapsed="" customFormat="false" customHeight="1" hidden="" ht="14" outlineLevel="0" r="6166">
      <c r="A6166" s="3" t="inlineStr">
        <is>
          <t>6135</t>
        </is>
      </c>
      <c r="B6166" s="4" t="s">
        <f>=HYPERLINK("http://anyluxury.ru/shop/odezhda/detskaya-odezhda/hudi-uniseks-phoenix-krasnoe-1627650/" , "16276.50 Худи унисекс Phoenix, красное, размер XS")</f>
      </c>
      <c r="C6166" s="4" t="n">
        <v>3592.00</v>
      </c>
      <c r="D6166" s="4"/>
    </row>
    <row collapsed="" customFormat="false" customHeight="1" hidden="" ht="14" outlineLevel="0" r="6167">
      <c r="A6167" s="3" t="inlineStr">
        <is>
          <t>6136</t>
        </is>
      </c>
      <c r="B6167" s="4" t="s">
        <f>=HYPERLINK("http://anyluxury.ru/shop/odezhda/detskaya-odezhda/hudi-uniseks-phoenix-krasnoe-1627650/" , "16276.50 Худи унисекс Phoenix, красное, размер S")</f>
      </c>
      <c r="C6167" s="4" t="n">
        <v>3592.00</v>
      </c>
      <c r="D6167" s="4"/>
    </row>
    <row collapsed="" customFormat="false" customHeight="1" hidden="" ht="14" outlineLevel="0" r="6168">
      <c r="A6168" s="3" t="inlineStr">
        <is>
          <t>6137</t>
        </is>
      </c>
      <c r="B6168" s="4" t="s">
        <f>=HYPERLINK("http://anyluxury.ru/shop/odezhda/detskaya-odezhda/hudi-uniseks-phoenix-krasnoe-1627650/" , "16276.50 Худи унисекс Phoenix, красное, размер M")</f>
      </c>
      <c r="C6168" s="4" t="n">
        <v>3592.00</v>
      </c>
      <c r="D6168" s="4"/>
    </row>
    <row collapsed="" customFormat="false" customHeight="1" hidden="" ht="14" outlineLevel="0" r="6169">
      <c r="A6169" s="3" t="inlineStr">
        <is>
          <t>6138</t>
        </is>
      </c>
      <c r="B6169" s="4" t="s">
        <f>=HYPERLINK("http://anyluxury.ru/shop/odezhda/detskaya-odezhda/hudi-uniseks-phoenix-krasnoe-1627650/" , "16276.50 Худи унисекс Phoenix, красное, размер L")</f>
      </c>
      <c r="C6169" s="4" t="n">
        <v>3592.00</v>
      </c>
      <c r="D6169" s="4"/>
    </row>
    <row collapsed="" customFormat="false" customHeight="1" hidden="" ht="14" outlineLevel="0" r="6170">
      <c r="A6170" s="3" t="inlineStr">
        <is>
          <t>6139</t>
        </is>
      </c>
      <c r="B6170" s="4" t="s">
        <f>=HYPERLINK("http://anyluxury.ru/shop/odezhda/detskaya-odezhda/hudi-uniseks-phoenix-krasnoe-1627650/" , "16276.50 Худи унисекс Phoenix, красное, размер XL")</f>
      </c>
      <c r="C6170" s="4" t="n">
        <v>3592.00</v>
      </c>
      <c r="D6170" s="4"/>
    </row>
    <row collapsed="" customFormat="false" customHeight="1" hidden="" ht="14" outlineLevel="0" r="6171">
      <c r="A6171" s="3" t="inlineStr">
        <is>
          <t>6140</t>
        </is>
      </c>
      <c r="B6171" s="4" t="s">
        <f>=HYPERLINK("http://anyluxury.ru/shop/odezhda/detskaya-odezhda/hudi-uniseks-phoenix-krasnoe-1627650/" , "16276.50 Худи унисекс Phoenix, красное, размер XXL")</f>
      </c>
      <c r="C6171" s="4" t="n">
        <v>3592.00</v>
      </c>
      <c r="D6171" s="4"/>
    </row>
    <row collapsed="" customFormat="false" customHeight="1" hidden="" ht="14" outlineLevel="0" r="6172">
      <c r="A6172" s="3" t="inlineStr">
        <is>
          <t>6141</t>
        </is>
      </c>
      <c r="B6172" s="4" t="s">
        <f>=HYPERLINK("http://anyluxury.ru/shop/odezhda/detskaya-odezhda/hudi-uniseks-phoenix-seriy-melanzh-1627611/" , "16276.11 Худи унисекс Phoenix, серый меланж, размер XS")</f>
      </c>
      <c r="C6172" s="4" t="n">
        <v>3592.00</v>
      </c>
      <c r="D6172" s="4"/>
    </row>
    <row collapsed="" customFormat="false" customHeight="1" hidden="" ht="14" outlineLevel="0" r="6173">
      <c r="A6173" s="3" t="inlineStr">
        <is>
          <t>6142</t>
        </is>
      </c>
      <c r="B6173" s="4" t="s">
        <f>=HYPERLINK("http://anyluxury.ru/shop/odezhda/detskaya-odezhda/hudi-uniseks-phoenix-seriy-melanzh-1627611/" , "16276.11 Худи унисекс Phoenix, серый меланж, размер S")</f>
      </c>
      <c r="C6173" s="4" t="n">
        <v>3592.00</v>
      </c>
      <c r="D6173" s="4"/>
    </row>
    <row collapsed="" customFormat="false" customHeight="1" hidden="" ht="14" outlineLevel="0" r="6174">
      <c r="A6174" s="3" t="inlineStr">
        <is>
          <t>6143</t>
        </is>
      </c>
      <c r="B6174" s="4" t="s">
        <f>=HYPERLINK("http://anyluxury.ru/shop/odezhda/detskaya-odezhda/hudi-uniseks-phoenix-seriy-melanzh-1627611/" , "16276.11 Худи унисекс Phoenix, серый меланж, размер M")</f>
      </c>
      <c r="C6174" s="4" t="n">
        <v>3592.00</v>
      </c>
      <c r="D6174" s="4"/>
    </row>
    <row collapsed="" customFormat="false" customHeight="1" hidden="" ht="14" outlineLevel="0" r="6175">
      <c r="A6175" s="3" t="inlineStr">
        <is>
          <t>6144</t>
        </is>
      </c>
      <c r="B6175" s="4" t="s">
        <f>=HYPERLINK("http://anyluxury.ru/shop/odezhda/detskaya-odezhda/hudi-uniseks-phoenix-seriy-melanzh-1627611/" , "16276.11 Худи унисекс Phoenix, серый меланж, размер L")</f>
      </c>
      <c r="C6175" s="4" t="n">
        <v>3592.00</v>
      </c>
      <c r="D6175" s="4"/>
    </row>
    <row collapsed="" customFormat="false" customHeight="1" hidden="" ht="14" outlineLevel="0" r="6176">
      <c r="A6176" s="3" t="inlineStr">
        <is>
          <t>6145</t>
        </is>
      </c>
      <c r="B6176" s="4" t="s">
        <f>=HYPERLINK("http://anyluxury.ru/shop/odezhda/detskaya-odezhda/hudi-uniseks-phoenix-seriy-melanzh-1627611/" , "16276.11 Худи унисекс Phoenix, серый меланж, размер XL")</f>
      </c>
      <c r="C6176" s="4" t="n">
        <v>3592.00</v>
      </c>
      <c r="D6176" s="4"/>
    </row>
    <row collapsed="" customFormat="false" customHeight="1" hidden="" ht="14" outlineLevel="0" r="6177">
      <c r="A6177" s="3" t="inlineStr">
        <is>
          <t>6146</t>
        </is>
      </c>
      <c r="B6177" s="4" t="s">
        <f>=HYPERLINK("http://anyluxury.ru/shop/odezhda/detskaya-odezhda/hudi-uniseks-phoenix-seriy-melanzh-1627611/" , "16276.11 Худи унисекс Phoenix, серый меланж, размер XXL")</f>
      </c>
      <c r="C6177" s="4" t="n">
        <v>3592.00</v>
      </c>
      <c r="D6177" s="4"/>
    </row>
    <row collapsed="" customFormat="false" customHeight="1" hidden="" ht="14" outlineLevel="0" r="6178">
      <c r="A6178" s="3" t="inlineStr">
        <is>
          <t>6147</t>
        </is>
      </c>
      <c r="B6178" s="4" t="s">
        <f>=HYPERLINK("http://anyluxury.ru/shop/odezhda/detskaya-odezhda/hudi-uniseks-phoenix-temnosinee-1627640/" , "16276.40 Худи унисекс Phoenix, темно-синее, размер XS")</f>
      </c>
      <c r="C6178" s="4" t="n">
        <v>3592.00</v>
      </c>
      <c r="D6178" s="4"/>
    </row>
    <row collapsed="" customFormat="false" customHeight="1" hidden="" ht="14" outlineLevel="0" r="6179">
      <c r="A6179" s="3" t="inlineStr">
        <is>
          <t>6148</t>
        </is>
      </c>
      <c r="B6179" s="4" t="s">
        <f>=HYPERLINK("http://anyluxury.ru/shop/odezhda/detskaya-odezhda/hudi-uniseks-phoenix-temnosinee-1627640/" , "16276.40 Худи унисекс Phoenix, темно-синее, размер S")</f>
      </c>
      <c r="C6179" s="4" t="n">
        <v>3592.00</v>
      </c>
      <c r="D6179" s="4"/>
    </row>
    <row collapsed="" customFormat="false" customHeight="1" hidden="" ht="14" outlineLevel="0" r="6180">
      <c r="A6180" s="3" t="inlineStr">
        <is>
          <t>6149</t>
        </is>
      </c>
      <c r="B6180" s="4" t="s">
        <f>=HYPERLINK("http://anyluxury.ru/shop/odezhda/detskaya-odezhda/hudi-uniseks-phoenix-temnosinee-1627640/" , "16276.40 Худи унисекс Phoenix, темно-синее, размер M")</f>
      </c>
      <c r="C6180" s="4" t="n">
        <v>3592.00</v>
      </c>
      <c r="D6180" s="4"/>
    </row>
    <row collapsed="" customFormat="false" customHeight="1" hidden="" ht="14" outlineLevel="0" r="6181">
      <c r="A6181" s="3" t="inlineStr">
        <is>
          <t>6150</t>
        </is>
      </c>
      <c r="B6181" s="4" t="s">
        <f>=HYPERLINK("http://anyluxury.ru/shop/odezhda/detskaya-odezhda/hudi-uniseks-phoenix-temnosinee-1627640/" , "16276.40 Худи унисекс Phoenix, темно-синее, размер L")</f>
      </c>
      <c r="C6181" s="4" t="n">
        <v>3592.00</v>
      </c>
      <c r="D6181" s="4"/>
    </row>
    <row collapsed="" customFormat="false" customHeight="1" hidden="" ht="14" outlineLevel="0" r="6182">
      <c r="A6182" s="3" t="inlineStr">
        <is>
          <t>6151</t>
        </is>
      </c>
      <c r="B6182" s="4" t="s">
        <f>=HYPERLINK("http://anyluxury.ru/shop/odezhda/detskaya-odezhda/hudi-uniseks-phoenix-temnosinee-1627640/" , "16276.40 Худи унисекс Phoenix, темно-синее, размер XL")</f>
      </c>
      <c r="C6182" s="4" t="n">
        <v>3592.00</v>
      </c>
      <c r="D6182" s="4"/>
    </row>
    <row collapsed="" customFormat="false" customHeight="1" hidden="" ht="14" outlineLevel="0" r="6183">
      <c r="A6183" s="3" t="inlineStr">
        <is>
          <t>6152</t>
        </is>
      </c>
      <c r="B6183" s="4" t="s">
        <f>=HYPERLINK("http://anyluxury.ru/shop/odezhda/detskaya-odezhda/hudi-uniseks-phoenix-temnosinee-1627640/" , "16276.40 Худи унисекс Phoenix, темно-синее, размер XXL")</f>
      </c>
      <c r="C6183" s="4" t="n">
        <v>3592.00</v>
      </c>
      <c r="D6183" s="4"/>
    </row>
    <row collapsed="" customFormat="false" customHeight="1" hidden="" ht="14" outlineLevel="0" r="6184">
      <c r="A6184" s="3" t="inlineStr">
        <is>
          <t>6153</t>
        </is>
      </c>
      <c r="B6184" s="4" t="s">
        <f>=HYPERLINK("http://anyluxury.ru/shop/odezhda/detskaya-odezhda/hudi-uniseks-phoenix-chernoe-1627630/" , "16276.30 Худи унисекс Phoenix, черное, размер XS")</f>
      </c>
      <c r="C6184" s="4" t="n">
        <v>3592.00</v>
      </c>
      <c r="D6184" s="4"/>
    </row>
    <row collapsed="" customFormat="false" customHeight="1" hidden="" ht="14" outlineLevel="0" r="6185">
      <c r="A6185" s="3" t="inlineStr">
        <is>
          <t>6154</t>
        </is>
      </c>
      <c r="B6185" s="4" t="s">
        <f>=HYPERLINK("http://anyluxury.ru/shop/odezhda/detskaya-odezhda/hudi-uniseks-phoenix-chernoe-1627630/" , "16276.30 Худи унисекс Phoenix, черное, размер S")</f>
      </c>
      <c r="C6185" s="4" t="n">
        <v>3592.00</v>
      </c>
      <c r="D6185" s="4"/>
    </row>
    <row collapsed="" customFormat="false" customHeight="1" hidden="" ht="14" outlineLevel="0" r="6186">
      <c r="A6186" s="3" t="inlineStr">
        <is>
          <t>6155</t>
        </is>
      </c>
      <c r="B6186" s="4" t="s">
        <f>=HYPERLINK("http://anyluxury.ru/shop/odezhda/detskaya-odezhda/hudi-uniseks-phoenix-chernoe-1627630/" , "16276.30 Худи унисекс Phoenix, черное, размер M")</f>
      </c>
      <c r="C6186" s="4" t="n">
        <v>3592.00</v>
      </c>
      <c r="D6186" s="4"/>
    </row>
    <row collapsed="" customFormat="false" customHeight="1" hidden="" ht="14" outlineLevel="0" r="6187">
      <c r="A6187" s="3" t="inlineStr">
        <is>
          <t>6156</t>
        </is>
      </c>
      <c r="B6187" s="4" t="s">
        <f>=HYPERLINK("http://anyluxury.ru/shop/odezhda/detskaya-odezhda/hudi-uniseks-phoenix-chernoe-1627630/" , "16276.30 Худи унисекс Phoenix, черное, размер L")</f>
      </c>
      <c r="C6187" s="4" t="n">
        <v>3592.00</v>
      </c>
      <c r="D6187" s="4"/>
    </row>
    <row collapsed="" customFormat="false" customHeight="1" hidden="" ht="14" outlineLevel="0" r="6188">
      <c r="A6188" s="3" t="inlineStr">
        <is>
          <t>6157</t>
        </is>
      </c>
      <c r="B6188" s="4" t="s">
        <f>=HYPERLINK("http://anyluxury.ru/shop/odezhda/detskaya-odezhda/hudi-uniseks-phoenix-chernoe-1627630/" , "16276.30 Худи унисекс Phoenix, черное, размер XL")</f>
      </c>
      <c r="C6188" s="4" t="n">
        <v>3592.00</v>
      </c>
      <c r="D6188" s="4"/>
    </row>
    <row collapsed="" customFormat="false" customHeight="1" hidden="" ht="14" outlineLevel="0" r="6189">
      <c r="A6189" s="3" t="inlineStr">
        <is>
          <t>6158</t>
        </is>
      </c>
      <c r="B6189" s="4" t="s">
        <f>=HYPERLINK("http://anyluxury.ru/shop/odezhda/detskaya-odezhda/hudi-uniseks-phoenix-chernoe-1627630/" , "16276.30 Худи унисекс Phoenix, черное, размер XXL")</f>
      </c>
      <c r="C6189" s="4" t="n">
        <v>3592.00</v>
      </c>
      <c r="D6189" s="4"/>
    </row>
    <row collapsed="" customFormat="false" customHeight="1" hidden="" ht="14" outlineLevel="0" r="6190">
      <c r="A6190" s="3" t="inlineStr">
        <is>
          <t>6159</t>
        </is>
      </c>
      <c r="B6190" s="4" t="s">
        <f>=HYPERLINK("http://anyluxury.ru/shop/odezhda/detskaya-odezhda/hudi-uniseks-phoenix-yarkosinee-1627644/" , "16276.44 Худи унисекс Phoenix, ярко-синее, размер XS")</f>
      </c>
      <c r="C6190" s="4" t="n">
        <v>3592.00</v>
      </c>
      <c r="D6190" s="4"/>
    </row>
    <row collapsed="" customFormat="false" customHeight="1" hidden="" ht="14" outlineLevel="0" r="6191">
      <c r="A6191" s="3" t="inlineStr">
        <is>
          <t>6160</t>
        </is>
      </c>
      <c r="B6191" s="4" t="s">
        <f>=HYPERLINK("http://anyluxury.ru/shop/odezhda/detskaya-odezhda/hudi-uniseks-phoenix-yarkosinee-1627644/" , "16276.44 Худи унисекс Phoenix, ярко-синее, размер S")</f>
      </c>
      <c r="C6191" s="4" t="n">
        <v>3592.00</v>
      </c>
      <c r="D6191" s="4"/>
    </row>
    <row collapsed="" customFormat="false" customHeight="1" hidden="" ht="14" outlineLevel="0" r="6192">
      <c r="A6192" s="3" t="inlineStr">
        <is>
          <t>6161</t>
        </is>
      </c>
      <c r="B6192" s="4" t="s">
        <f>=HYPERLINK("http://anyluxury.ru/shop/odezhda/detskaya-odezhda/hudi-uniseks-phoenix-yarkosinee-1627644/" , "16276.44 Худи унисекс Phoenix, ярко-синее, размер M")</f>
      </c>
      <c r="C6192" s="4" t="n">
        <v>3592.00</v>
      </c>
      <c r="D6192" s="4"/>
    </row>
    <row collapsed="" customFormat="false" customHeight="1" hidden="" ht="14" outlineLevel="0" r="6193">
      <c r="A6193" s="3" t="inlineStr">
        <is>
          <t>6162</t>
        </is>
      </c>
      <c r="B6193" s="4" t="s">
        <f>=HYPERLINK("http://anyluxury.ru/shop/odezhda/detskaya-odezhda/hudi-uniseks-phoenix-yarkosinee-1627644/" , "16276.44 Худи унисекс Phoenix, ярко-синее, размер L")</f>
      </c>
      <c r="C6193" s="4" t="n">
        <v>3592.00</v>
      </c>
      <c r="D6193" s="4"/>
    </row>
    <row collapsed="" customFormat="false" customHeight="1" hidden="" ht="14" outlineLevel="0" r="6194">
      <c r="A6194" s="3" t="inlineStr">
        <is>
          <t>6163</t>
        </is>
      </c>
      <c r="B6194" s="4" t="s">
        <f>=HYPERLINK("http://anyluxury.ru/shop/odezhda/detskaya-odezhda/hudi-uniseks-phoenix-yarkosinee-1627644/" , "16276.44 Худи унисекс Phoenix, ярко-синее, размер XL")</f>
      </c>
      <c r="C6194" s="4" t="n">
        <v>3592.00</v>
      </c>
      <c r="D6194" s="4"/>
    </row>
    <row collapsed="" customFormat="false" customHeight="1" hidden="" ht="14" outlineLevel="0" r="6195">
      <c r="A6195" s="3" t="inlineStr">
        <is>
          <t>6164</t>
        </is>
      </c>
      <c r="B6195" s="4" t="s">
        <f>=HYPERLINK("http://anyluxury.ru/shop/odezhda/detskaya-odezhda/hudi-uniseks-phoenix-yarkosinee-1627644/" , "16276.44 Худи унисекс Phoenix, ярко-синее, размер XXL")</f>
      </c>
      <c r="C6195" s="4" t="n">
        <v>3592.00</v>
      </c>
      <c r="D6195" s="4"/>
    </row>
    <row collapsed="" customFormat="false" customHeight="1" hidden="" ht="14" outlineLevel="0" r="6196">
      <c r="A6196" s="3" t="inlineStr">
        <is>
          <t>6165</t>
        </is>
      </c>
      <c r="B6196" s="4" t="s">
        <f>=HYPERLINK("http://anyluxury.ru/shop/odezhda/detskaya-odezhda/hudi-uniseks-full-swing-chernoe-1554130/" , "15541.30 Худи унисекс Full Swing, черное, размер XS/S")</f>
      </c>
      <c r="C6196" s="4" t="n">
        <v>3300.00</v>
      </c>
      <c r="D6196" s="4"/>
    </row>
    <row collapsed="" customFormat="false" customHeight="1" hidden="" ht="14" outlineLevel="0" r="6197">
      <c r="A6197" s="3" t="inlineStr">
        <is>
          <t>6166</t>
        </is>
      </c>
      <c r="B6197" s="4" t="s">
        <f>=HYPERLINK("http://anyluxury.ru/shop/odezhda/detskaya-odezhda/hudi-uniseks-full-swing-chernoe-1554130/" , "15541.30 Худи унисекс Full Swing, черное, размер M/L")</f>
      </c>
      <c r="C6197" s="4" t="n">
        <v>3300.00</v>
      </c>
      <c r="D6197" s="4"/>
    </row>
    <row collapsed="" customFormat="false" customHeight="1" hidden="" ht="14" outlineLevel="0" r="6198">
      <c r="A6198" s="3" t="inlineStr">
        <is>
          <t>6167</t>
        </is>
      </c>
      <c r="B6198" s="4" t="s">
        <f>=HYPERLINK("http://anyluxury.ru/shop/odezhda/detskaya-odezhda/hudi-uniseks-full-swing-chernoe-1554130/" , "15541.30 Худи унисекс Full Swing, черное, размер XL/XXL")</f>
      </c>
      <c r="C6198" s="4" t="n">
        <v>3300.00</v>
      </c>
      <c r="D6198" s="4"/>
    </row>
    <row collapsed="" customFormat="false" customHeight="1" hidden="" ht="14" outlineLevel="0" r="6199">
      <c r="A6199" s="3" t="inlineStr">
        <is>
          <t>6168</t>
        </is>
      </c>
      <c r="B6199" s="4" t="s">
        <f>=HYPERLINK("http://anyluxury.ru/shop/odezhda/detskaya-odezhda/hudi-uniseks-seamark-temnosinee-1571644/" , "15716.44 Худи унисекс Seamark, темно-синее, размер XS/S")</f>
      </c>
      <c r="C6199" s="4" t="n">
        <v>4800.00</v>
      </c>
      <c r="D6199" s="4"/>
    </row>
    <row collapsed="" customFormat="false" customHeight="1" hidden="" ht="14" outlineLevel="0" r="6200">
      <c r="A6200" s="3" t="inlineStr">
        <is>
          <t>6169</t>
        </is>
      </c>
      <c r="B6200" s="4" t="s">
        <f>=HYPERLINK("http://anyluxury.ru/shop/odezhda/detskaya-odezhda/hudi-uniseks-seamark-temnosinee-1571644/" , "15716.44 Худи унисекс Seamark, темно-синее, размер M/L")</f>
      </c>
      <c r="C6200" s="4" t="n">
        <v>4800.00</v>
      </c>
      <c r="D6200" s="4"/>
    </row>
    <row collapsed="" customFormat="false" customHeight="1" hidden="" ht="14" outlineLevel="0" r="6201">
      <c r="A6201" s="3" t="inlineStr">
        <is>
          <t>6170</t>
        </is>
      </c>
      <c r="B6201" s="4" t="s">
        <f>=HYPERLINK("http://anyluxury.ru/shop/odezhda/detskaya-odezhda/hudi-uniseks-seamark-temnosinee-1571644/" , "15716.44 Худи унисекс Seamark, темно-синее, размер XL/XXL")</f>
      </c>
      <c r="C6201" s="4" t="n">
        <v>4800.00</v>
      </c>
      <c r="D6201" s="4"/>
    </row>
    <row collapsed="" customFormat="false" customHeight="1" hidden="" ht="14" outlineLevel="0" r="6202">
      <c r="A6202" s="3" t="inlineStr">
        <is>
          <t>6171</t>
        </is>
      </c>
      <c r="B6202" s="4" t="s">
        <f>=HYPERLINK("http://anyluxury.ru/shop/odezhda/detskaya-odezhda/varezhki-joyful-na-zakaz-akril-1808201/" , "18082.01 Варежки Joyful на заказ, акрил")</f>
      </c>
      <c r="C6202" s="4" t="n">
        <v>959.00</v>
      </c>
      <c r="D6202" s="4"/>
    </row>
    <row collapsed="" customFormat="false" customHeight="1" hidden="" ht="14" outlineLevel="0" r="6203">
      <c r="A6203" s="3" t="inlineStr">
        <is>
          <t>6172</t>
        </is>
      </c>
      <c r="B6203" s="4" t="s">
        <f>=HYPERLINK("http://anyluxury.ru/shop/odezhda/detskaya-odezhda/varezhki-joyful-na-zakaz-polusherst-1808202/" , "18082.02 Варежки Joyful на заказ, полушерсть")</f>
      </c>
      <c r="C6203" s="4" t="n">
        <v>1293.00</v>
      </c>
      <c r="D6203" s="4"/>
    </row>
    <row collapsed="" customFormat="false" customHeight="1" hidden="" ht="14" outlineLevel="0" r="6204">
      <c r="A6204" s="3" t="inlineStr">
        <is>
          <t>6173</t>
        </is>
      </c>
      <c r="B6204" s="4" t="s">
        <f>=HYPERLINK("http://anyluxury.ru/shop/odezhda/detskaya-odezhda/tolstovka-s-kapyushonom-kirenga-biryuzovaya-689414/" , "6894.14 Толстовка с капюшоном Kirenga, бирюзовая, размер XS")</f>
      </c>
      <c r="C6204" s="4" t="n">
        <v>1487.00</v>
      </c>
      <c r="D6204" s="4"/>
    </row>
    <row collapsed="" customFormat="false" customHeight="1" hidden="" ht="14" outlineLevel="0" r="6205">
      <c r="A6205" s="3" t="inlineStr">
        <is>
          <t>6174</t>
        </is>
      </c>
      <c r="B6205" s="4" t="s">
        <f>=HYPERLINK("http://anyluxury.ru/shop/odezhda/detskaya-odezhda/tolstovka-s-kapyushonom-kirenga-biryuzovaya-689414/" , "6894.14 Толстовка с капюшоном Kirenga, бирюзовая, размер XL")</f>
      </c>
      <c r="C6205" s="4" t="n">
        <v>1487.00</v>
      </c>
      <c r="D6205" s="4"/>
    </row>
    <row collapsed="" customFormat="false" customHeight="1" hidden="" ht="14" outlineLevel="0" r="6206">
      <c r="A6206" s="3" t="inlineStr">
        <is>
          <t>6175</t>
        </is>
      </c>
      <c r="B6206" s="4" t="s">
        <f>=HYPERLINK("http://anyluxury.ru/shop/odezhda/detskaya-odezhda/tolstovka-s-kapyushonom-kirenga-biryuzovaya-689414/" , "6894.14 Толстовка с капюшоном Kirenga, бирюзовая, размер 4XL")</f>
      </c>
      <c r="C6206" s="4" t="n">
        <v>1487.00</v>
      </c>
      <c r="D6206" s="4"/>
    </row>
    <row collapsed="" customFormat="false" customHeight="1" hidden="" ht="14" outlineLevel="0" r="6207">
      <c r="A6207" s="3" t="inlineStr">
        <is>
          <t>6176</t>
        </is>
      </c>
      <c r="B6207" s="4" t="s">
        <f>=HYPERLINK("http://anyluxury.ru/shop/odezhda/detskaya-odezhda/tolstovka-s-kapyushonom-kirenga-oranzhevaya-689420/" , "6894.20 Толстовка с капюшоном Kirenga, оранжевая, размер XS")</f>
      </c>
      <c r="C6207" s="4" t="n">
        <v>1487.00</v>
      </c>
      <c r="D6207" s="4"/>
    </row>
    <row collapsed="" customFormat="false" customHeight="1" hidden="" ht="14" outlineLevel="0" r="6208">
      <c r="A6208" s="3" t="inlineStr">
        <is>
          <t>6177</t>
        </is>
      </c>
      <c r="B6208" s="4" t="s">
        <f>=HYPERLINK("http://anyluxury.ru/shop/odezhda/detskaya-odezhda/tolstovka-s-kapyushonom-kirenga-oranzhevaya-689420/" , "6894.20 Толстовка с капюшоном Kirenga, оранжевая, размер S")</f>
      </c>
      <c r="C6208" s="4" t="n">
        <v>1487.00</v>
      </c>
      <c r="D6208" s="4"/>
    </row>
    <row collapsed="" customFormat="false" customHeight="1" hidden="" ht="14" outlineLevel="0" r="6209">
      <c r="A6209" s="3" t="inlineStr">
        <is>
          <t>6178</t>
        </is>
      </c>
      <c r="B6209" s="4" t="s">
        <f>=HYPERLINK("http://anyluxury.ru/shop/odezhda/detskaya-odezhda/tolstovka-s-kapyushonom-kirenga-oranzhevaya-689420/" , "6894.20 Толстовка с капюшоном Kirenga, оранжевая, размер M")</f>
      </c>
      <c r="C6209" s="4" t="n">
        <v>1487.00</v>
      </c>
      <c r="D6209" s="4"/>
    </row>
    <row collapsed="" customFormat="false" customHeight="1" hidden="" ht="14" outlineLevel="0" r="6210">
      <c r="A6210" s="3" t="inlineStr">
        <is>
          <t>6179</t>
        </is>
      </c>
      <c r="B6210" s="4" t="s">
        <f>=HYPERLINK("http://anyluxury.ru/shop/odezhda/detskaya-odezhda/tolstovka-s-kapyushonom-kirenga-oranzhevaya-689420/" , "6894.20 Толстовка с капюшоном Kirenga, оранжевая, размер L")</f>
      </c>
      <c r="C6210" s="4" t="n">
        <v>1487.00</v>
      </c>
      <c r="D6210" s="4"/>
    </row>
    <row collapsed="" customFormat="false" customHeight="1" hidden="" ht="14" outlineLevel="0" r="6211">
      <c r="A6211" s="3" t="inlineStr">
        <is>
          <t>6180</t>
        </is>
      </c>
      <c r="B6211" s="4" t="s">
        <f>=HYPERLINK("http://anyluxury.ru/shop/odezhda/detskaya-odezhda/tolstovka-s-kapyushonom-kirenga-oranzhevaya-689420/" , "6894.20 Толстовка с капюшоном Kirenga, оранжевая, размер 4XL")</f>
      </c>
      <c r="C6211" s="4" t="n">
        <v>1487.00</v>
      </c>
      <c r="D6211" s="4"/>
    </row>
    <row collapsed="" customFormat="false" customHeight="1" hidden="" ht="14" outlineLevel="0" r="6212">
      <c r="A6212" s="3" t="inlineStr">
        <is>
          <t>6181</t>
        </is>
      </c>
      <c r="B6212" s="4" t="s">
        <f>=HYPERLINK("http://anyluxury.ru/shop/odezhda/detskaya-odezhda/tolstovka-toima-biryuzovaya-689614/" , "6896.14 Толстовка Toima, бирюзовая, размер XS")</f>
      </c>
      <c r="C6212" s="4" t="n">
        <v>1191.00</v>
      </c>
      <c r="D6212" s="4"/>
    </row>
    <row collapsed="" customFormat="false" customHeight="1" hidden="" ht="14" outlineLevel="0" r="6213">
      <c r="A6213" s="3" t="inlineStr">
        <is>
          <t>6182</t>
        </is>
      </c>
      <c r="B6213" s="4" t="s">
        <f>=HYPERLINK("http://anyluxury.ru/shop/odezhda/detskaya-odezhda/tolstovka-toima-biryuzovaya-689614/" , "6896.14 Толстовка Toima, бирюзовая, размер S")</f>
      </c>
      <c r="C6213" s="4" t="n">
        <v>1191.00</v>
      </c>
      <c r="D6213" s="4"/>
    </row>
    <row collapsed="" customFormat="false" customHeight="1" hidden="" ht="14" outlineLevel="0" r="6214">
      <c r="A6214" s="3" t="inlineStr">
        <is>
          <t>6183</t>
        </is>
      </c>
      <c r="B6214" s="4" t="s">
        <f>=HYPERLINK("http://anyluxury.ru/shop/odezhda/detskaya-odezhda/tolstovka-toima-biryuzovaya-689614/" , "6896.14 Толстовка Toima, бирюзовая, размер M")</f>
      </c>
      <c r="C6214" s="4" t="n">
        <v>1191.00</v>
      </c>
      <c r="D6214" s="4"/>
    </row>
    <row collapsed="" customFormat="false" customHeight="1" hidden="" ht="14" outlineLevel="0" r="6215">
      <c r="A6215" s="3" t="inlineStr">
        <is>
          <t>6184</t>
        </is>
      </c>
      <c r="B6215" s="4" t="s">
        <f>=HYPERLINK("http://anyluxury.ru/shop/odezhda/detskaya-odezhda/tolstovka-toima-biryuzovaya-689614/" , "6896.14 Толстовка Toima, бирюзовая, размер L")</f>
      </c>
      <c r="C6215" s="4" t="n">
        <v>1191.00</v>
      </c>
      <c r="D6215" s="4"/>
    </row>
    <row collapsed="" customFormat="false" customHeight="1" hidden="" ht="14" outlineLevel="0" r="6216">
      <c r="A6216" s="3" t="inlineStr">
        <is>
          <t>6185</t>
        </is>
      </c>
      <c r="B6216" s="4" t="s">
        <f>=HYPERLINK("http://anyluxury.ru/shop/odezhda/detskaya-odezhda/tolstovka-toima-biryuzovaya-689614/" , "6896.14 Толстовка Toima, бирюзовая, размер XXL")</f>
      </c>
      <c r="C6216" s="4" t="n">
        <v>1191.00</v>
      </c>
      <c r="D6216" s="4"/>
    </row>
    <row collapsed="" customFormat="false" customHeight="1" hidden="" ht="14" outlineLevel="0" r="6217">
      <c r="A6217" s="3" t="inlineStr">
        <is>
          <t>6186</t>
        </is>
      </c>
      <c r="B6217" s="4" t="s">
        <f>=HYPERLINK("http://anyluxury.ru/shop/odezhda/detskaya-odezhda/tolstovka-toima-biryuzovaya-689614/" , "6896.14 Толстовка Toima, бирюзовая, размер 3XL")</f>
      </c>
      <c r="C6217" s="4" t="n">
        <v>1191.00</v>
      </c>
      <c r="D6217" s="4"/>
    </row>
    <row collapsed="" customFormat="false" customHeight="1" hidden="" ht="14" outlineLevel="0" r="6218">
      <c r="A6218" s="3" t="inlineStr">
        <is>
          <t>6187</t>
        </is>
      </c>
      <c r="B6218" s="4" t="s">
        <f>=HYPERLINK("http://anyluxury.ru/shop/odezhda/detskaya-odezhda/tolstovka-toima-biryuzovaya-689614/" , "6896.14 Толстовка Toima, бирюзовая, размер 4XL")</f>
      </c>
      <c r="C6218" s="4" t="n">
        <v>1191.00</v>
      </c>
      <c r="D6218" s="4"/>
    </row>
    <row collapsed="" customFormat="false" customHeight="1" hidden="" ht="14" outlineLevel="0" r="6219">
      <c r="A6219" s="3" t="inlineStr">
        <is>
          <t>6188</t>
        </is>
      </c>
      <c r="B6219" s="4" t="s">
        <f>=HYPERLINK("http://anyluxury.ru/shop/odezhda/detskaya-odezhda/tolstovka-s-kapyushonom-kirenga-heavy-fioletovaya-692678/" , "6926.78 Толстовка с капюшоном Kirenga Heavy, фиолетовая, размер L")</f>
      </c>
      <c r="C6219" s="4" t="n">
        <v>2050.00</v>
      </c>
      <c r="D6219" s="4"/>
    </row>
    <row collapsed="" customFormat="false" customHeight="1" hidden="" ht="14" outlineLevel="0" r="6220">
      <c r="A6220" s="3" t="inlineStr">
        <is>
          <t>6189</t>
        </is>
      </c>
      <c r="B6220" s="4" t="s">
        <f>=HYPERLINK("http://anyluxury.ru/shop/odezhda/detskaya-odezhda/tolstovka-s-kapyushonom-kirenga-heavy-fioletovaya-692678/" , "6926.78 Толстовка с капюшоном Kirenga Heavy, фиолетовая, размер XL")</f>
      </c>
      <c r="C6220" s="4" t="n">
        <v>2050.00</v>
      </c>
      <c r="D6220" s="4"/>
    </row>
    <row collapsed="" customFormat="false" customHeight="1" hidden="" ht="14" outlineLevel="0" r="6221">
      <c r="A6221" s="3" t="inlineStr">
        <is>
          <t>6190</t>
        </is>
      </c>
      <c r="B6221" s="4" t="s">
        <f>=HYPERLINK("http://anyluxury.ru/shop/odezhda/detskaya-odezhda/tolstovka-s-kapyushonom-kirenga-heavy-fioletovaya-692678/" , "6926.78 Толстовка с капюшоном Kirenga Heavy, фиолетовая, размер 4XL")</f>
      </c>
      <c r="C6221" s="4" t="n">
        <v>2050.00</v>
      </c>
      <c r="D6221" s="4"/>
    </row>
    <row collapsed="" customFormat="false" customHeight="1" hidden="" ht="14" outlineLevel="0" r="6222">
      <c r="A6222" s="3" t="inlineStr">
        <is>
          <t>6191</t>
        </is>
      </c>
      <c r="B6222" s="4" t="s">
        <f>=HYPERLINK("http://anyluxury.ru/shop/odezhda/detskaya-odezhda/tolstovka-s-kapyushonom-kirenga-heavy-belaya-belosnezhnaya-692661/" , "6926.61 Толстовка с капюшоном Kirenga Heavy, белая (белоснежная), размер XS")</f>
      </c>
      <c r="C6222" s="4" t="n">
        <v>2050.00</v>
      </c>
      <c r="D6222" s="4"/>
    </row>
    <row collapsed="" customFormat="false" customHeight="1" hidden="" ht="14" outlineLevel="0" r="6223">
      <c r="A6223" s="3" t="inlineStr">
        <is>
          <t>6192</t>
        </is>
      </c>
      <c r="B6223" s="4" t="s">
        <f>=HYPERLINK("http://anyluxury.ru/shop/odezhda/detskaya-odezhda/tolstovka-s-kapyushonom-kirenga-heavy-belaya-belosnezhnaya-692661/" , "6926.61 Толстовка с капюшоном Kirenga Heavy, белая (белоснежная), размер S")</f>
      </c>
      <c r="C6223" s="4" t="n">
        <v>2050.00</v>
      </c>
      <c r="D6223" s="4"/>
    </row>
    <row collapsed="" customFormat="false" customHeight="1" hidden="" ht="14" outlineLevel="0" r="6224">
      <c r="A6224" s="3" t="inlineStr">
        <is>
          <t>6193</t>
        </is>
      </c>
      <c r="B6224" s="4" t="s">
        <f>=HYPERLINK("http://anyluxury.ru/shop/odezhda/detskaya-odezhda/tolstovka-s-kapyushonom-kirenga-heavy-belaya-belosnezhnaya-692661/" , "6926.61 Толстовка с капюшоном Kirenga Heavy, белая (белоснежная), размер 3XL")</f>
      </c>
      <c r="C6224" s="4" t="n">
        <v>2050.00</v>
      </c>
      <c r="D6224" s="4"/>
    </row>
    <row collapsed="" customFormat="false" customHeight="1" hidden="" ht="14" outlineLevel="0" r="6225">
      <c r="A6225" s="3" t="inlineStr">
        <is>
          <t>6194</t>
        </is>
      </c>
      <c r="B6225" s="4" t="s">
        <f>=HYPERLINK("http://anyluxury.ru/shop/odezhda/detskaya-odezhda/tolstovka-s-kapyushonom-kirenga-heavy-belaya-belosnezhnaya-692661/" , "6926.61 Толстовка с капюшоном Kirenga Heavy, белая (белоснежная), размер 4XL")</f>
      </c>
      <c r="C6225" s="4" t="n">
        <v>2050.00</v>
      </c>
      <c r="D6225" s="4"/>
    </row>
    <row collapsed="" customFormat="false" customHeight="1" hidden="" ht="14" outlineLevel="0" r="6226">
      <c r="A6226" s="3" t="inlineStr">
        <is>
          <t>6195</t>
        </is>
      </c>
      <c r="B6226" s="4" t="s">
        <f>=HYPERLINK("http://anyluxury.ru/shop/odezhda/detskaya-odezhda/tolstovka-s-kapyushonom-kirenga-heavy-belaya-belosnezhnaya-692661/" , "6926.61 Толстовка с капюшоном Kirenga Heavy, белая (белоснежная), размер 5XL")</f>
      </c>
      <c r="C6226" s="4" t="n">
        <v>2050.00</v>
      </c>
      <c r="D6226" s="4"/>
    </row>
    <row collapsed="" customFormat="false" customHeight="1" hidden="" ht="14" outlineLevel="0" r="6227">
      <c r="A6227" s="3" t="inlineStr">
        <is>
          <t>6196</t>
        </is>
      </c>
      <c r="B6227" s="4" t="s">
        <f>=HYPERLINK("http://anyluxury.ru/shop/odezhda/detskaya-odezhda/tolstovka-s-kapyushonom-kirenga-belaya-belosnezhnaya-689461/" , "6894.61 Толстовка с капюшоном Kirenga, белая (белоснежная), размер XS")</f>
      </c>
      <c r="C6227" s="4" t="n">
        <v>1487.00</v>
      </c>
      <c r="D6227" s="4"/>
    </row>
    <row collapsed="" customFormat="false" customHeight="1" hidden="" ht="14" outlineLevel="0" r="6228">
      <c r="A6228" s="3" t="inlineStr">
        <is>
          <t>6197</t>
        </is>
      </c>
      <c r="B6228" s="4" t="s">
        <f>=HYPERLINK("http://anyluxury.ru/shop/odezhda/detskaya-odezhda/tolstovka-s-kapyushonom-kirenga-belaya-belosnezhnaya-689461/" , "6894.61 Толстовка с капюшоном Kirenga, белая (белоснежная), размер S")</f>
      </c>
      <c r="C6228" s="4" t="n">
        <v>1487.00</v>
      </c>
      <c r="D6228" s="4"/>
    </row>
    <row collapsed="" customFormat="false" customHeight="1" hidden="" ht="14" outlineLevel="0" r="6229">
      <c r="A6229" s="3" t="inlineStr">
        <is>
          <t>6198</t>
        </is>
      </c>
      <c r="B6229" s="4" t="s">
        <f>=HYPERLINK("http://anyluxury.ru/shop/odezhda/detskaya-odezhda/tolstovka-s-kapyushonom-kirenga-belaya-belosnezhnaya-689461/" , "6894.61 Толстовка с капюшоном Kirenga, белая (белоснежная), размер M")</f>
      </c>
      <c r="C6229" s="4" t="n">
        <v>1487.00</v>
      </c>
      <c r="D6229" s="4"/>
    </row>
    <row collapsed="" customFormat="false" customHeight="1" hidden="" ht="14" outlineLevel="0" r="6230">
      <c r="A6230" s="3" t="inlineStr">
        <is>
          <t>6199</t>
        </is>
      </c>
      <c r="B6230" s="4" t="s">
        <f>=HYPERLINK("http://anyluxury.ru/shop/odezhda/detskaya-odezhda/tolstovka-s-kapyushonom-kirenga-belaya-belosnezhnaya-689461/" , "6894.61 Толстовка с капюшоном Kirenga, белая (белоснежная), размер XXL")</f>
      </c>
      <c r="C6230" s="4" t="n">
        <v>1487.00</v>
      </c>
      <c r="D6230" s="4"/>
    </row>
    <row collapsed="" customFormat="false" customHeight="1" hidden="" ht="14" outlineLevel="0" r="6231">
      <c r="A6231" s="3" t="inlineStr">
        <is>
          <t>6200</t>
        </is>
      </c>
      <c r="B6231" s="4" t="s">
        <f>=HYPERLINK("http://anyluxury.ru/shop/odezhda/detskaya-odezhda/tolstovka-s-kapyushonom-kirenga-belaya-belosnezhnaya-689461/" , "6894.61 Толстовка с капюшоном Kirenga, белая (белоснежная), размер 3XL")</f>
      </c>
      <c r="C6231" s="4" t="n">
        <v>1487.00</v>
      </c>
      <c r="D6231" s="4"/>
    </row>
    <row collapsed="" customFormat="false" customHeight="1" hidden="" ht="14" outlineLevel="0" r="6232">
      <c r="A6232" s="3" t="inlineStr">
        <is>
          <t>6201</t>
        </is>
      </c>
      <c r="B6232" s="4" t="s">
        <f>=HYPERLINK("http://anyluxury.ru/shop/odezhda/detskaya-odezhda/tolstovka-s-kapyushonom-kirenga-belaya-belosnezhnaya-689461/" , "6894.61 Толстовка с капюшоном Kirenga, белая (белоснежная), размер 4XL")</f>
      </c>
      <c r="C6232" s="4" t="n">
        <v>1487.00</v>
      </c>
      <c r="D6232" s="4"/>
    </row>
    <row collapsed="" customFormat="false" customHeight="1" hidden="" ht="14" outlineLevel="0" r="6233">
      <c r="A6233" s="3" t="inlineStr">
        <is>
          <t>6202</t>
        </is>
      </c>
      <c r="B6233" s="4" t="s">
        <f>=HYPERLINK("http://anyluxury.ru/shop/odezhda/detskaya-odezhda/tolstovka-s-kapyushonom-kirenga-heavy-zelenoe-yabloko-692694/" , "6926.94 Толстовка с капюшоном Kirenga Heavy, зеленое яблоко, размер XS")</f>
      </c>
      <c r="C6233" s="4" t="n">
        <v>2050.00</v>
      </c>
      <c r="D6233" s="4"/>
    </row>
    <row collapsed="" customFormat="false" customHeight="1" hidden="" ht="14" outlineLevel="0" r="6234">
      <c r="A6234" s="3" t="inlineStr">
        <is>
          <t>6203</t>
        </is>
      </c>
      <c r="B6234" s="4" t="s">
        <f>=HYPERLINK("http://anyluxury.ru/shop/odezhda/detskaya-odezhda/tolstovka-s-kapyushonom-kirenga-heavy-zelenoe-yabloko-692694/" , "6926.94 Толстовка с капюшоном Kirenga Heavy, зеленое яблоко, размер S")</f>
      </c>
      <c r="C6234" s="4" t="n">
        <v>2050.00</v>
      </c>
      <c r="D6234" s="4"/>
    </row>
    <row collapsed="" customFormat="false" customHeight="1" hidden="" ht="14" outlineLevel="0" r="6235">
      <c r="A6235" s="3" t="inlineStr">
        <is>
          <t>6204</t>
        </is>
      </c>
      <c r="B6235" s="4" t="s">
        <f>=HYPERLINK("http://anyluxury.ru/shop/odezhda/detskaya-odezhda/tolstovka-s-kapyushonom-kirenga-heavy-zelenoe-yabloko-692694/" , "6926.94 Толстовка с капюшоном Kirenga Heavy, зеленое яблоко, размер L")</f>
      </c>
      <c r="C6235" s="4" t="n">
        <v>2050.00</v>
      </c>
      <c r="D6235" s="4"/>
    </row>
    <row collapsed="" customFormat="false" customHeight="1" hidden="" ht="14" outlineLevel="0" r="6236">
      <c r="A6236" s="3" t="inlineStr">
        <is>
          <t>6205</t>
        </is>
      </c>
      <c r="B6236" s="4" t="s">
        <f>=HYPERLINK("http://anyluxury.ru/shop/odezhda/detskaya-odezhda/tolstovka-s-kapyushonom-kirenga-heavy-zelenoe-yabloko-692694/" , "6926.94 Толстовка с капюшоном Kirenga Heavy, зеленое яблоко, размер XXL")</f>
      </c>
      <c r="C6236" s="4" t="n">
        <v>2050.00</v>
      </c>
      <c r="D6236" s="4"/>
    </row>
    <row collapsed="" customFormat="false" customHeight="1" hidden="" ht="14" outlineLevel="0" r="6237">
      <c r="A6237" s="3" t="inlineStr">
        <is>
          <t>6206</t>
        </is>
      </c>
      <c r="B6237" s="4" t="s">
        <f>=HYPERLINK("http://anyluxury.ru/shop/odezhda/detskaya-odezhda/tolstovka-s-kapyushonom-kirenga-heavy-zelenoe-yabloko-692694/" , "6926.94 Толстовка с капюшоном Kirenga Heavy, зеленое яблоко, размер 3XL")</f>
      </c>
      <c r="C6237" s="4" t="n">
        <v>2050.00</v>
      </c>
      <c r="D6237" s="4"/>
    </row>
    <row collapsed="" customFormat="false" customHeight="1" hidden="" ht="14" outlineLevel="0" r="6238">
      <c r="A6238" s="3" t="inlineStr">
        <is>
          <t>6207</t>
        </is>
      </c>
      <c r="B6238" s="4" t="s">
        <f>=HYPERLINK("http://anyluxury.ru/shop/odezhda/detskaya-odezhda/tolstovka-s-kapyushonom-kirenga-heavy-zelenoe-yabloko-692694/" , "6926.94 Толстовка с капюшоном Kirenga Heavy, зеленое яблоко, размер 4XL")</f>
      </c>
      <c r="C6238" s="4" t="n">
        <v>2050.00</v>
      </c>
      <c r="D6238" s="4"/>
    </row>
    <row collapsed="" customFormat="false" customHeight="1" hidden="" ht="14" outlineLevel="0" r="6239">
      <c r="A6239" s="3" t="inlineStr">
        <is>
          <t>6208</t>
        </is>
      </c>
      <c r="B6239" s="4" t="s">
        <f>=HYPERLINK("http://anyluxury.ru/shop/odezhda/detskaya-odezhda/varezhki-life-explorer-oranzhevie-kirpichnie-1618621/" , "16186.21 Варежки Life Explorer, оранжевые (кирпичные), размер S/M")</f>
      </c>
      <c r="C6239" s="4" t="n">
        <v>840.00</v>
      </c>
      <c r="D6239" s="4"/>
    </row>
    <row collapsed="" customFormat="false" customHeight="1" hidden="" ht="14" outlineLevel="0" r="6240">
      <c r="A6240" s="3" t="inlineStr">
        <is>
          <t>6209</t>
        </is>
      </c>
      <c r="B6240" s="4" t="s">
        <f>=HYPERLINK("http://anyluxury.ru/shop/odezhda/detskaya-odezhda/svitshot-uniseks-columbia-cherniy-03814312/" , "03814312 Свитшот унисекс Columbia, черный, размер M")</f>
      </c>
      <c r="C6240" s="4" t="n">
        <v>1987.00</v>
      </c>
      <c r="D6240" s="4"/>
    </row>
    <row collapsed="" customFormat="false" customHeight="1" hidden="" ht="14" outlineLevel="0" r="6241">
      <c r="A6241" s="3" t="inlineStr">
        <is>
          <t>6210</t>
        </is>
      </c>
      <c r="B6241" s="4" t="s">
        <f>=HYPERLINK("http://anyluxury.ru/shop/odezhda/detskaya-odezhda/svitshot-uniseks-columbia-cherniy-03814312/" , "03814312 Свитшот унисекс Columbia, черный, размер L")</f>
      </c>
      <c r="C6241" s="4" t="n">
        <v>1987.00</v>
      </c>
      <c r="D6241" s="4"/>
    </row>
    <row collapsed="" customFormat="false" customHeight="1" hidden="" ht="14" outlineLevel="0" r="6242">
      <c r="A6242" s="3" t="inlineStr">
        <is>
          <t>6211</t>
        </is>
      </c>
      <c r="B6242" s="4" t="s">
        <f>=HYPERLINK("http://anyluxury.ru/shop/odezhda/detskaya-odezhda/svitshot-uniseks-columbia-cherniy-03814312/" , "03814312 Свитшот унисекс Columbia, черный, размер XL")</f>
      </c>
      <c r="C6242" s="4" t="n">
        <v>1987.00</v>
      </c>
      <c r="D6242" s="4"/>
    </row>
    <row collapsed="" customFormat="false" customHeight="1" hidden="" ht="14" outlineLevel="0" r="6243">
      <c r="A6243" s="3" t="inlineStr">
        <is>
          <t>6212</t>
        </is>
      </c>
      <c r="B6243" s="4" t="s">
        <f>=HYPERLINK("http://anyluxury.ru/shop/odezhda/detskaya-odezhda/svitshot-uniseks-columbia-cherniy-03814312/" , "03814312 Свитшот унисекс Columbia, черный, размер XXL")</f>
      </c>
      <c r="C6243" s="4" t="n">
        <v>1987.00</v>
      </c>
      <c r="D6243" s="4"/>
    </row>
    <row collapsed="" customFormat="false" customHeight="1" hidden="" ht="14" outlineLevel="0" r="6244">
      <c r="A6244" s="3" t="inlineStr">
        <is>
          <t>6213</t>
        </is>
      </c>
      <c r="B6244" s="4" t="s">
        <f>=HYPERLINK("http://anyluxury.ru/shop/odezhda/detskaya-odezhda/svitshot-uniseks-columbia-cherniy-03814312/" , "03814312 Свитшот унисекс Columbia, черный, размер 3XL")</f>
      </c>
      <c r="C6244" s="4" t="n">
        <v>2279.00</v>
      </c>
      <c r="D6244" s="4"/>
    </row>
    <row collapsed="" customFormat="false" customHeight="1" hidden="" ht="14" outlineLevel="0" r="6245">
      <c r="A6245" s="3" t="inlineStr">
        <is>
          <t>6214</t>
        </is>
      </c>
      <c r="B6245" s="4" t="s">
        <f>=HYPERLINK("http://anyluxury.ru/shop/odezhda/detskaya-odezhda/svitshot-uniseks-columbia-cherniy-03814312/" , "03814312 Свитшот унисекс Columbia, черный, размер 4XL")</f>
      </c>
      <c r="C6245" s="4" t="n">
        <v>2617.00</v>
      </c>
      <c r="D6245" s="4"/>
    </row>
    <row collapsed="" customFormat="false" customHeight="1" hidden="" ht="14" outlineLevel="0" r="6246">
      <c r="A6246" s="3" t="inlineStr">
        <is>
          <t>6215</t>
        </is>
      </c>
      <c r="B6246" s="4" t="s">
        <f>=HYPERLINK("http://anyluxury.ru/shop/odezhda/detskaya-odezhda/svitshot-uniseks-columbia-cherniy-03814312/" , "03814312 Свитшот унисекс Columbia, черный, размер 5XL")</f>
      </c>
      <c r="C6246" s="4" t="n">
        <v>2617.00</v>
      </c>
      <c r="D6246" s="4"/>
    </row>
    <row collapsed="" customFormat="false" customHeight="1" hidden="" ht="14" outlineLevel="0" r="6247">
      <c r="A6247" s="3" t="inlineStr">
        <is>
          <t>6216</t>
        </is>
      </c>
      <c r="B6247" s="4" t="s">
        <f>=HYPERLINK("http://anyluxury.ru/shop/odezhda/detskaya-odezhda/svitshot-uniseks-columbia-temnozeleniy-03814264/" , "03814264 Свитшот унисекс Columbia, темно-зеленый, размер XS")</f>
      </c>
      <c r="C6247" s="4" t="n">
        <v>1987.00</v>
      </c>
      <c r="D6247" s="4"/>
    </row>
    <row collapsed="" customFormat="false" customHeight="1" hidden="" ht="14" outlineLevel="0" r="6248">
      <c r="A6248" s="3" t="inlineStr">
        <is>
          <t>6217</t>
        </is>
      </c>
      <c r="B6248" s="4" t="s">
        <f>=HYPERLINK("http://anyluxury.ru/shop/odezhda/detskaya-odezhda/svitshot-uniseks-columbia-temnozeleniy-03814264/" , "03814264 Свитшот унисекс Columbia, темно-зеленый, размер S")</f>
      </c>
      <c r="C6248" s="4" t="n">
        <v>1987.00</v>
      </c>
      <c r="D6248" s="4"/>
    </row>
    <row collapsed="" customFormat="false" customHeight="1" hidden="" ht="14" outlineLevel="0" r="6249">
      <c r="A6249" s="3" t="inlineStr">
        <is>
          <t>6218</t>
        </is>
      </c>
      <c r="B6249" s="4" t="s">
        <f>=HYPERLINK("http://anyluxury.ru/shop/odezhda/detskaya-odezhda/svitshot-uniseks-columbia-temnozeleniy-03814264/" , "03814264 Свитшот унисекс Columbia, темно-зеленый, размер M")</f>
      </c>
      <c r="C6249" s="4" t="n">
        <v>1987.00</v>
      </c>
      <c r="D6249" s="4"/>
    </row>
    <row collapsed="" customFormat="false" customHeight="1" hidden="" ht="14" outlineLevel="0" r="6250">
      <c r="A6250" s="3" t="inlineStr">
        <is>
          <t>6219</t>
        </is>
      </c>
      <c r="B6250" s="4" t="s">
        <f>=HYPERLINK("http://anyluxury.ru/shop/odezhda/detskaya-odezhda/svitshot-uniseks-columbia-temnozeleniy-03814264/" , "03814264 Свитшот унисекс Columbia, темно-зеленый, размер L")</f>
      </c>
      <c r="C6250" s="4" t="n">
        <v>1987.00</v>
      </c>
      <c r="D6250" s="4"/>
    </row>
    <row collapsed="" customFormat="false" customHeight="1" hidden="" ht="14" outlineLevel="0" r="6251">
      <c r="A6251" s="3" t="inlineStr">
        <is>
          <t>6220</t>
        </is>
      </c>
      <c r="B6251" s="4" t="s">
        <f>=HYPERLINK("http://anyluxury.ru/shop/odezhda/detskaya-odezhda/svitshot-uniseks-columbia-temnozeleniy-03814264/" , "03814264 Свитшот унисекс Columbia, темно-зеленый, размер XL")</f>
      </c>
      <c r="C6251" s="4" t="n">
        <v>1987.00</v>
      </c>
      <c r="D6251" s="4"/>
    </row>
    <row collapsed="" customFormat="false" customHeight="1" hidden="" ht="14" outlineLevel="0" r="6252">
      <c r="A6252" s="3" t="inlineStr">
        <is>
          <t>6221</t>
        </is>
      </c>
      <c r="B6252" s="4" t="s">
        <f>=HYPERLINK("http://anyluxury.ru/shop/odezhda/detskaya-odezhda/svitshot-uniseks-columbia-temnozeleniy-03814264/" , "03814264 Свитшот унисекс Columbia, темно-зеленый, размер XXL")</f>
      </c>
      <c r="C6252" s="4" t="n">
        <v>1987.00</v>
      </c>
      <c r="D6252" s="4"/>
    </row>
    <row collapsed="" customFormat="false" customHeight="1" hidden="" ht="14" outlineLevel="0" r="6253">
      <c r="A6253" s="3" t="inlineStr">
        <is>
          <t>6222</t>
        </is>
      </c>
      <c r="B6253" s="4" t="s">
        <f>=HYPERLINK("http://anyluxury.ru/shop/odezhda/detskaya-odezhda/svitshot-uniseks-columbia-temnozeleniy-03814264/" , "03814264 Свитшот унисекс Columbia, темно-зеленый, размер 3XL")</f>
      </c>
      <c r="C6253" s="4" t="n">
        <v>2279.00</v>
      </c>
      <c r="D6253" s="4"/>
    </row>
    <row collapsed="" customFormat="false" customHeight="1" hidden="" ht="14" outlineLevel="0" r="6254">
      <c r="A6254" s="3" t="inlineStr">
        <is>
          <t>6223</t>
        </is>
      </c>
      <c r="B6254" s="4" t="s">
        <f>=HYPERLINK("http://anyluxury.ru/shop/odezhda/detskaya-odezhda/svitshot-uniseks-columbia-temnozeleniy-03814264/" , "03814264 Свитшот унисекс Columbia, темно-зеленый, размер 4XL")</f>
      </c>
      <c r="C6254" s="4" t="n">
        <v>2617.00</v>
      </c>
      <c r="D6254" s="4"/>
    </row>
    <row collapsed="" customFormat="false" customHeight="1" hidden="" ht="14" outlineLevel="0" r="6255">
      <c r="A6255" s="3" t="inlineStr">
        <is>
          <t>6224</t>
        </is>
      </c>
      <c r="B6255" s="4" t="s">
        <f>=HYPERLINK("http://anyluxury.ru/shop/odezhda/detskaya-odezhda/svitshot-uniseks-columbia-temnozeleniy-03814264/" , "03814264 Свитшот унисекс Columbia, темно-зеленый, размер 5XL")</f>
      </c>
      <c r="C6255" s="4" t="n">
        <v>2617.00</v>
      </c>
      <c r="D6255" s="4"/>
    </row>
    <row collapsed="" customFormat="false" customHeight="1" hidden="" ht="14" outlineLevel="0" r="6256">
      <c r="A6256" s="3" t="inlineStr">
        <is>
          <t>6225</t>
        </is>
      </c>
      <c r="B6256" s="4" t="s">
        <f>=HYPERLINK("http://anyluxury.ru/shop/odezhda/detskaya-odezhda/svitshot-uniseks-columbia-krasniy-03814161/" , "03814161 Свитшот унисекс Columbia, красный, размер XS")</f>
      </c>
      <c r="C6256" s="4" t="n">
        <v>1987.00</v>
      </c>
      <c r="D6256" s="4"/>
    </row>
    <row collapsed="" customFormat="false" customHeight="1" hidden="" ht="14" outlineLevel="0" r="6257">
      <c r="A6257" s="3" t="inlineStr">
        <is>
          <t>6226</t>
        </is>
      </c>
      <c r="B6257" s="4" t="s">
        <f>=HYPERLINK("http://anyluxury.ru/shop/odezhda/detskaya-odezhda/svitshot-uniseks-columbia-krasniy-03814161/" , "03814161 Свитшот унисекс Columbia, красный, размер S")</f>
      </c>
      <c r="C6257" s="4" t="n">
        <v>1987.00</v>
      </c>
      <c r="D6257" s="4"/>
    </row>
    <row collapsed="" customFormat="false" customHeight="1" hidden="" ht="14" outlineLevel="0" r="6258">
      <c r="A6258" s="3" t="inlineStr">
        <is>
          <t>6227</t>
        </is>
      </c>
      <c r="B6258" s="4" t="s">
        <f>=HYPERLINK("http://anyluxury.ru/shop/odezhda/detskaya-odezhda/svitshot-uniseks-columbia-krasniy-03814161/" , "03814161 Свитшот унисекс Columbia, красный, размер L")</f>
      </c>
      <c r="C6258" s="4" t="n">
        <v>1987.00</v>
      </c>
      <c r="D6258" s="4"/>
    </row>
    <row collapsed="" customFormat="false" customHeight="1" hidden="" ht="14" outlineLevel="0" r="6259">
      <c r="A6259" s="3" t="inlineStr">
        <is>
          <t>6228</t>
        </is>
      </c>
      <c r="B6259" s="4" t="s">
        <f>=HYPERLINK("http://anyluxury.ru/shop/odezhda/detskaya-odezhda/svitshot-uniseks-columbia-krasniy-03814161/" , "03814161 Свитшот унисекс Columbia, красный, размер XXL")</f>
      </c>
      <c r="C6259" s="4" t="n">
        <v>1987.00</v>
      </c>
      <c r="D6259" s="4"/>
    </row>
    <row collapsed="" customFormat="false" customHeight="1" hidden="" ht="14" outlineLevel="0" r="6260">
      <c r="A6260" s="3" t="inlineStr">
        <is>
          <t>6229</t>
        </is>
      </c>
      <c r="B6260" s="4" t="s">
        <f>=HYPERLINK("http://anyluxury.ru/shop/odezhda/detskaya-odezhda/svitshot-uniseks-columbia-krasniy-03814161/" , "03814161 Свитшот унисекс Columbia, красный, размер 3XL")</f>
      </c>
      <c r="C6260" s="4" t="n">
        <v>2279.00</v>
      </c>
      <c r="D6260" s="4"/>
    </row>
    <row collapsed="" customFormat="false" customHeight="1" hidden="" ht="14" outlineLevel="0" r="6261">
      <c r="A6261" s="3" t="inlineStr">
        <is>
          <t>6230</t>
        </is>
      </c>
      <c r="B6261" s="4" t="s">
        <f>=HYPERLINK("http://anyluxury.ru/shop/odezhda/detskaya-odezhda/svitshot-uniseks-columbia-bordoviy-03814146/" , "03814146 Свитшот унисекс Columbia, бордовый, размер XS")</f>
      </c>
      <c r="C6261" s="4" t="n">
        <v>1987.00</v>
      </c>
      <c r="D6261" s="4"/>
    </row>
    <row collapsed="" customFormat="false" customHeight="1" hidden="" ht="14" outlineLevel="0" r="6262">
      <c r="A6262" s="3" t="inlineStr">
        <is>
          <t>6231</t>
        </is>
      </c>
      <c r="B6262" s="4" t="s">
        <f>=HYPERLINK("http://anyluxury.ru/shop/odezhda/detskaya-odezhda/svitshot-uniseks-columbia-bordoviy-03814146/" , "03814146 Свитшот унисекс Columbia, бордовый, размер")</f>
      </c>
      <c r="C6262" s="4" t="n">
        <v>1987.00</v>
      </c>
      <c r="D6262" s="4"/>
    </row>
    <row collapsed="" customFormat="false" customHeight="1" hidden="" ht="14" outlineLevel="0" r="6263">
      <c r="A6263" s="3" t="inlineStr">
        <is>
          <t>6232</t>
        </is>
      </c>
      <c r="B6263" s="4" t="s">
        <f>=HYPERLINK("http://anyluxury.ru/shop/odezhda/detskaya-odezhda/svitshot-uniseks-columbia-bordoviy-03814146/" , "03814146 Свитшот унисекс Columbia, бордовый, размер M")</f>
      </c>
      <c r="C6263" s="4" t="n">
        <v>1987.00</v>
      </c>
      <c r="D6263" s="4"/>
    </row>
    <row collapsed="" customFormat="false" customHeight="1" hidden="" ht="14" outlineLevel="0" r="6264">
      <c r="A6264" s="3" t="inlineStr">
        <is>
          <t>6233</t>
        </is>
      </c>
      <c r="B6264" s="4" t="s">
        <f>=HYPERLINK("http://anyluxury.ru/shop/odezhda/detskaya-odezhda/svitshot-uniseks-columbia-bordoviy-03814146/" , "03814146 Свитшот унисекс Columbia, бордовый, размер L")</f>
      </c>
      <c r="C6264" s="4" t="n">
        <v>1987.00</v>
      </c>
      <c r="D6264" s="4"/>
    </row>
    <row collapsed="" customFormat="false" customHeight="1" hidden="" ht="14" outlineLevel="0" r="6265">
      <c r="A6265" s="3" t="inlineStr">
        <is>
          <t>6234</t>
        </is>
      </c>
      <c r="B6265" s="4" t="s">
        <f>=HYPERLINK("http://anyluxury.ru/shop/odezhda/detskaya-odezhda/svitshot-uniseks-columbia-bordoviy-03814146/" , "03814146 Свитшот унисекс Columbia, бордовый, размер XL")</f>
      </c>
      <c r="C6265" s="4" t="n">
        <v>1987.00</v>
      </c>
      <c r="D6265" s="4"/>
    </row>
    <row collapsed="" customFormat="false" customHeight="1" hidden="" ht="14" outlineLevel="0" r="6266">
      <c r="A6266" s="3" t="inlineStr">
        <is>
          <t>6235</t>
        </is>
      </c>
      <c r="B6266" s="4" t="s">
        <f>=HYPERLINK("http://anyluxury.ru/shop/odezhda/detskaya-odezhda/svitshot-uniseks-columbia-bordoviy-03814146/" , "03814146 Свитшот унисекс Columbia, бордовый, размер XXL")</f>
      </c>
      <c r="C6266" s="4" t="n">
        <v>1987.00</v>
      </c>
      <c r="D6266" s="4"/>
    </row>
    <row collapsed="" customFormat="false" customHeight="1" hidden="" ht="14" outlineLevel="0" r="6267">
      <c r="A6267" s="3" t="inlineStr">
        <is>
          <t>6236</t>
        </is>
      </c>
      <c r="B6267" s="4" t="s">
        <f>=HYPERLINK("http://anyluxury.ru/shop/odezhda/detskaya-odezhda/svitshot-uniseks-columbia-bordoviy-03814146/" , "03814146 Свитшот унисекс Columbia, бордовый, размер 3XL")</f>
      </c>
      <c r="C6267" s="4" t="n">
        <v>2279.00</v>
      </c>
      <c r="D6267" s="4"/>
    </row>
    <row collapsed="" customFormat="false" customHeight="1" hidden="" ht="14" outlineLevel="0" r="6268">
      <c r="A6268" s="3" t="inlineStr">
        <is>
          <t>6237</t>
        </is>
      </c>
      <c r="B6268" s="4" t="s">
        <f>=HYPERLINK("http://anyluxury.ru/shop/odezhda/detskaya-odezhda/svitshot-uniseks-columbia-cherniy-melanzh-03814348/" , "03814348 Свитшот унисекс Columbia, черный меланж, размер XS")</f>
      </c>
      <c r="C6268" s="4" t="n">
        <v>1987.00</v>
      </c>
      <c r="D6268" s="4"/>
    </row>
    <row collapsed="" customFormat="false" customHeight="1" hidden="" ht="14" outlineLevel="0" r="6269">
      <c r="A6269" s="3" t="inlineStr">
        <is>
          <t>6238</t>
        </is>
      </c>
      <c r="B6269" s="4" t="s">
        <f>=HYPERLINK("http://anyluxury.ru/shop/odezhda/detskaya-odezhda/svitshot-uniseks-columbia-cherniy-melanzh-03814348/" , "03814348 Свитшот унисекс Columbia, черный меланж, размер S")</f>
      </c>
      <c r="C6269" s="4" t="n">
        <v>1987.00</v>
      </c>
      <c r="D6269" s="4"/>
    </row>
    <row collapsed="" customFormat="false" customHeight="1" hidden="" ht="14" outlineLevel="0" r="6270">
      <c r="A6270" s="3" t="inlineStr">
        <is>
          <t>6239</t>
        </is>
      </c>
      <c r="B6270" s="4" t="s">
        <f>=HYPERLINK("http://anyluxury.ru/shop/odezhda/detskaya-odezhda/svitshot-uniseks-columbia-cherniy-melanzh-03814348/" , "03814348 Свитшот унисекс Columbia, черный меланж, размер M")</f>
      </c>
      <c r="C6270" s="4" t="n">
        <v>1987.00</v>
      </c>
      <c r="D6270" s="4"/>
    </row>
    <row collapsed="" customFormat="false" customHeight="1" hidden="" ht="14" outlineLevel="0" r="6271">
      <c r="A6271" s="3" t="inlineStr">
        <is>
          <t>6240</t>
        </is>
      </c>
      <c r="B6271" s="4" t="s">
        <f>=HYPERLINK("http://anyluxury.ru/shop/odezhda/detskaya-odezhda/svitshot-uniseks-columbia-cherniy-melanzh-03814348/" , "03814348 Свитшот унисекс Columbia, черный меланж, размер L")</f>
      </c>
      <c r="C6271" s="4" t="n">
        <v>1987.00</v>
      </c>
      <c r="D6271" s="4"/>
    </row>
    <row collapsed="" customFormat="false" customHeight="1" hidden="" ht="14" outlineLevel="0" r="6272">
      <c r="A6272" s="3" t="inlineStr">
        <is>
          <t>6241</t>
        </is>
      </c>
      <c r="B6272" s="4" t="s">
        <f>=HYPERLINK("http://anyluxury.ru/shop/odezhda/detskaya-odezhda/svitshot-uniseks-columbia-cherniy-melanzh-03814348/" , "03814348 Свитшот унисекс Columbia, черный меланж, размер XL")</f>
      </c>
      <c r="C6272" s="4" t="n">
        <v>1987.00</v>
      </c>
      <c r="D6272" s="4"/>
    </row>
    <row collapsed="" customFormat="false" customHeight="1" hidden="" ht="14" outlineLevel="0" r="6273">
      <c r="A6273" s="3" t="inlineStr">
        <is>
          <t>6242</t>
        </is>
      </c>
      <c r="B6273" s="4" t="s">
        <f>=HYPERLINK("http://anyluxury.ru/shop/odezhda/detskaya-odezhda/svitshot-uniseks-columbia-cherniy-melanzh-03814348/" , "03814348 Свитшот унисекс Columbia, черный меланж, размер XXL")</f>
      </c>
      <c r="C6273" s="4" t="n">
        <v>1987.00</v>
      </c>
      <c r="D6273" s="4"/>
    </row>
    <row collapsed="" customFormat="false" customHeight="1" hidden="" ht="14" outlineLevel="0" r="6274">
      <c r="A6274" s="3" t="inlineStr">
        <is>
          <t>6243</t>
        </is>
      </c>
      <c r="B6274" s="4" t="s">
        <f>=HYPERLINK("http://anyluxury.ru/shop/odezhda/detskaya-odezhda/svitshot-uniseks-columbia-cherniy-melanzh-03814348/" , "03814348 Свитшот унисекс Columbia, черный меланж, размер 3XL")</f>
      </c>
      <c r="C6274" s="4" t="n">
        <v>2279.00</v>
      </c>
      <c r="D6274" s="4"/>
    </row>
    <row collapsed="" customFormat="false" customHeight="1" hidden="" ht="14" outlineLevel="0" r="6275">
      <c r="A6275" s="3" t="inlineStr">
        <is>
          <t>6244</t>
        </is>
      </c>
      <c r="B6275" s="4" t="s">
        <f>=HYPERLINK("http://anyluxury.ru/shop/odezhda/detskaya-odezhda/svitshot-uniseks-columbia-goluboy-03814251/" , "03814251 Свитшот унисекс Columbia, голубой, размер XS")</f>
      </c>
      <c r="C6275" s="4" t="n">
        <v>1987.00</v>
      </c>
      <c r="D6275" s="4"/>
    </row>
    <row collapsed="" customFormat="false" customHeight="1" hidden="" ht="14" outlineLevel="0" r="6276">
      <c r="A6276" s="3" t="inlineStr">
        <is>
          <t>6245</t>
        </is>
      </c>
      <c r="B6276" s="4" t="s">
        <f>=HYPERLINK("http://anyluxury.ru/shop/odezhda/detskaya-odezhda/svitshot-uniseks-columbia-goluboy-03814251/" , "03814251 Свитшот унисекс Columbia, голубой, размер S")</f>
      </c>
      <c r="C6276" s="4" t="n">
        <v>1987.00</v>
      </c>
      <c r="D6276" s="4"/>
    </row>
    <row collapsed="" customFormat="false" customHeight="1" hidden="" ht="14" outlineLevel="0" r="6277">
      <c r="A6277" s="3" t="inlineStr">
        <is>
          <t>6246</t>
        </is>
      </c>
      <c r="B6277" s="4" t="s">
        <f>=HYPERLINK("http://anyluxury.ru/shop/odezhda/detskaya-odezhda/svitshot-uniseks-columbia-goluboy-03814251/" , "03814251 Свитшот унисекс Columbia, голубой, размер M")</f>
      </c>
      <c r="C6277" s="4" t="n">
        <v>1987.00</v>
      </c>
      <c r="D6277" s="4"/>
    </row>
    <row collapsed="" customFormat="false" customHeight="1" hidden="" ht="14" outlineLevel="0" r="6278">
      <c r="A6278" s="3" t="inlineStr">
        <is>
          <t>6247</t>
        </is>
      </c>
      <c r="B6278" s="4" t="s">
        <f>=HYPERLINK("http://anyluxury.ru/shop/odezhda/detskaya-odezhda/svitshot-uniseks-columbia-goluboy-03814251/" , "03814251 Свитшот унисекс Columbia, голубой, размер L")</f>
      </c>
      <c r="C6278" s="4" t="n">
        <v>1987.00</v>
      </c>
      <c r="D6278" s="4"/>
    </row>
    <row collapsed="" customFormat="false" customHeight="1" hidden="" ht="14" outlineLevel="0" r="6279">
      <c r="A6279" s="3" t="inlineStr">
        <is>
          <t>6248</t>
        </is>
      </c>
      <c r="B6279" s="4" t="s">
        <f>=HYPERLINK("http://anyluxury.ru/shop/odezhda/detskaya-odezhda/svitshot-uniseks-columbia-goluboy-03814251/" , "03814251 Свитшот унисекс Columbia, голубой, размер XL")</f>
      </c>
      <c r="C6279" s="4" t="n">
        <v>1987.00</v>
      </c>
      <c r="D6279" s="4"/>
    </row>
    <row collapsed="" customFormat="false" customHeight="1" hidden="" ht="14" outlineLevel="0" r="6280">
      <c r="A6280" s="3" t="inlineStr">
        <is>
          <t>6249</t>
        </is>
      </c>
      <c r="B6280" s="4" t="s">
        <f>=HYPERLINK("http://anyluxury.ru/shop/odezhda/detskaya-odezhda/svitshot-uniseks-columbia-goluboy-03814251/" , "03814251 Свитшот унисекс Columbia, голубой, размер XXL")</f>
      </c>
      <c r="C6280" s="4" t="n">
        <v>1987.00</v>
      </c>
      <c r="D6280" s="4"/>
    </row>
    <row collapsed="" customFormat="false" customHeight="1" hidden="" ht="14" outlineLevel="0" r="6281">
      <c r="A6281" s="3" t="inlineStr">
        <is>
          <t>6250</t>
        </is>
      </c>
      <c r="B6281" s="4" t="s">
        <f>=HYPERLINK("http://anyluxury.ru/shop/odezhda/detskaya-odezhda/svitshot-uniseks-columbia-goluboy-03814251/" , "03814251 Свитшот унисекс Columbia, голубой, размер 3XL")</f>
      </c>
      <c r="C6281" s="4" t="n">
        <v>2279.00</v>
      </c>
      <c r="D6281" s="4"/>
    </row>
    <row collapsed="" customFormat="false" customHeight="1" hidden="" ht="14" outlineLevel="0" r="6282">
      <c r="A6282" s="3" t="inlineStr">
        <is>
          <t>6251</t>
        </is>
      </c>
      <c r="B6282" s="4" t="s">
        <f>=HYPERLINK("http://anyluxury.ru/shop/odezhda/detskaya-odezhda/svitshot-uniseks-columbia-svetlozeleniy-03814323/" , "03814323 Свитшот унисекс Columbia, светло-зеленый, размер XS")</f>
      </c>
      <c r="C6282" s="4" t="n">
        <v>1987.00</v>
      </c>
      <c r="D6282" s="4"/>
    </row>
    <row collapsed="" customFormat="false" customHeight="1" hidden="" ht="14" outlineLevel="0" r="6283">
      <c r="A6283" s="3" t="inlineStr">
        <is>
          <t>6252</t>
        </is>
      </c>
      <c r="B6283" s="4" t="s">
        <f>=HYPERLINK("http://anyluxury.ru/shop/odezhda/detskaya-odezhda/svitshot-uniseks-columbia-svetlozeleniy-03814323/" , "03814323 Свитшот унисекс Columbia, светло-зеленый, размер S")</f>
      </c>
      <c r="C6283" s="4" t="n">
        <v>1987.00</v>
      </c>
      <c r="D6283" s="4"/>
    </row>
    <row collapsed="" customFormat="false" customHeight="1" hidden="" ht="14" outlineLevel="0" r="6284">
      <c r="A6284" s="3" t="inlineStr">
        <is>
          <t>6253</t>
        </is>
      </c>
      <c r="B6284" s="4" t="s">
        <f>=HYPERLINK("http://anyluxury.ru/shop/odezhda/detskaya-odezhda/svitshot-uniseks-columbia-svetlozeleniy-03814323/" , "03814323 Свитшот унисекс Columbia, светло-зеленый, размер M")</f>
      </c>
      <c r="C6284" s="4" t="n">
        <v>1987.00</v>
      </c>
      <c r="D6284" s="4"/>
    </row>
    <row collapsed="" customFormat="false" customHeight="1" hidden="" ht="14" outlineLevel="0" r="6285">
      <c r="A6285" s="3" t="inlineStr">
        <is>
          <t>6254</t>
        </is>
      </c>
      <c r="B6285" s="4" t="s">
        <f>=HYPERLINK("http://anyluxury.ru/shop/odezhda/detskaya-odezhda/svitshot-uniseks-columbia-svetlozeleniy-03814323/" , "03814323 Свитшот унисекс Columbia, светло-зеленый, размер L")</f>
      </c>
      <c r="C6285" s="4" t="n">
        <v>1987.00</v>
      </c>
      <c r="D6285" s="4"/>
    </row>
    <row collapsed="" customFormat="false" customHeight="1" hidden="" ht="14" outlineLevel="0" r="6286">
      <c r="A6286" s="3" t="inlineStr">
        <is>
          <t>6255</t>
        </is>
      </c>
      <c r="B6286" s="4" t="s">
        <f>=HYPERLINK("http://anyluxury.ru/shop/odezhda/detskaya-odezhda/svitshot-uniseks-columbia-svetlozeleniy-03814323/" , "03814323 Свитшот унисекс Columbia, светло-зеленый, размер XL")</f>
      </c>
      <c r="C6286" s="4" t="n">
        <v>1987.00</v>
      </c>
      <c r="D6286" s="4"/>
    </row>
    <row collapsed="" customFormat="false" customHeight="1" hidden="" ht="14" outlineLevel="0" r="6287">
      <c r="A6287" s="3" t="inlineStr">
        <is>
          <t>6256</t>
        </is>
      </c>
      <c r="B6287" s="4" t="s">
        <f>=HYPERLINK("http://anyluxury.ru/shop/odezhda/detskaya-odezhda/svitshot-uniseks-columbia-svetlozeleniy-03814323/" , "03814323 Свитшот унисекс Columbia, светло-зеленый, размер XXL")</f>
      </c>
      <c r="C6287" s="4" t="n">
        <v>1987.00</v>
      </c>
      <c r="D6287" s="4"/>
    </row>
    <row collapsed="" customFormat="false" customHeight="1" hidden="" ht="14" outlineLevel="0" r="6288">
      <c r="A6288" s="3" t="inlineStr">
        <is>
          <t>6257</t>
        </is>
      </c>
      <c r="B6288" s="4" t="s">
        <f>=HYPERLINK("http://anyluxury.ru/shop/odezhda/detskaya-odezhda/svitshot-uniseks-columbia-svetlozeleniy-03814323/" , "03814323 Свитшот унисекс Columbia, светло-зеленый, размер 3XL")</f>
      </c>
      <c r="C6288" s="4" t="n">
        <v>2279.00</v>
      </c>
      <c r="D6288" s="4"/>
    </row>
    <row collapsed="" customFormat="false" customHeight="1" hidden="" ht="14" outlineLevel="0" r="6289">
      <c r="A6289" s="3" t="inlineStr">
        <is>
          <t>6258</t>
        </is>
      </c>
      <c r="B6289" s="4" t="s">
        <f>=HYPERLINK("http://anyluxury.ru/shop/odezhda/detskaya-odezhda/svitshot-uniseks-columbia-rozoviy-03814143/" , "03814143 Свитшот унисекс Columbia, розовый, размер XS")</f>
      </c>
      <c r="C6289" s="4" t="n">
        <v>1987.00</v>
      </c>
      <c r="D6289" s="4"/>
    </row>
    <row collapsed="" customFormat="false" customHeight="1" hidden="" ht="14" outlineLevel="0" r="6290">
      <c r="A6290" s="3" t="inlineStr">
        <is>
          <t>6259</t>
        </is>
      </c>
      <c r="B6290" s="4" t="s">
        <f>=HYPERLINK("http://anyluxury.ru/shop/odezhda/detskaya-odezhda/svitshot-uniseks-columbia-rozoviy-03814143/" , "03814143 Свитшот унисекс Columbia, розовый, размер S")</f>
      </c>
      <c r="C6290" s="4" t="n">
        <v>1987.00</v>
      </c>
      <c r="D6290" s="4"/>
    </row>
    <row collapsed="" customFormat="false" customHeight="1" hidden="" ht="14" outlineLevel="0" r="6291">
      <c r="A6291" s="3" t="inlineStr">
        <is>
          <t>6260</t>
        </is>
      </c>
      <c r="B6291" s="4" t="s">
        <f>=HYPERLINK("http://anyluxury.ru/shop/odezhda/detskaya-odezhda/svitshot-uniseks-columbia-rozoviy-03814143/" , "03814143 Свитшот унисекс Columbia, розовый, размер M")</f>
      </c>
      <c r="C6291" s="4" t="n">
        <v>1987.00</v>
      </c>
      <c r="D6291" s="4"/>
    </row>
    <row collapsed="" customFormat="false" customHeight="1" hidden="" ht="14" outlineLevel="0" r="6292">
      <c r="A6292" s="3" t="inlineStr">
        <is>
          <t>6261</t>
        </is>
      </c>
      <c r="B6292" s="4" t="s">
        <f>=HYPERLINK("http://anyluxury.ru/shop/odezhda/detskaya-odezhda/svitshot-uniseks-columbia-rozoviy-03814143/" , "03814143 Свитшот унисекс Columbia, розовый, размер L")</f>
      </c>
      <c r="C6292" s="4" t="n">
        <v>1987.00</v>
      </c>
      <c r="D6292" s="4"/>
    </row>
    <row collapsed="" customFormat="false" customHeight="1" hidden="" ht="14" outlineLevel="0" r="6293">
      <c r="A6293" s="3" t="inlineStr">
        <is>
          <t>6262</t>
        </is>
      </c>
      <c r="B6293" s="4" t="s">
        <f>=HYPERLINK("http://anyluxury.ru/shop/odezhda/detskaya-odezhda/svitshot-uniseks-columbia-rozoviy-03814143/" , "03814143 Свитшот унисекс Columbia, розовый, размер XL")</f>
      </c>
      <c r="C6293" s="4" t="n">
        <v>1987.00</v>
      </c>
      <c r="D6293" s="4"/>
    </row>
    <row collapsed="" customFormat="false" customHeight="1" hidden="" ht="14" outlineLevel="0" r="6294">
      <c r="A6294" s="3" t="inlineStr">
        <is>
          <t>6263</t>
        </is>
      </c>
      <c r="B6294" s="4" t="s">
        <f>=HYPERLINK("http://anyluxury.ru/shop/odezhda/detskaya-odezhda/svitshot-uniseks-columbia-rozoviy-03814143/" , "03814143 Свитшот унисекс Columbia, розовый, размер XXL")</f>
      </c>
      <c r="C6294" s="4" t="n">
        <v>1987.00</v>
      </c>
      <c r="D6294" s="4"/>
    </row>
    <row collapsed="" customFormat="false" customHeight="1" hidden="" ht="14" outlineLevel="0" r="6295">
      <c r="A6295" s="3" t="inlineStr">
        <is>
          <t>6264</t>
        </is>
      </c>
      <c r="B6295" s="4" t="s">
        <f>=HYPERLINK("http://anyluxury.ru/shop/odezhda/detskaya-odezhda/svitshot-uniseks-columbia-rozoviy-03814143/" , "03814143 Свитшот унисекс Columbia, розовый, размер 3XL")</f>
      </c>
      <c r="C6295" s="4" t="n">
        <v>2279.00</v>
      </c>
      <c r="D6295" s="4"/>
    </row>
    <row collapsed="" customFormat="false" customHeight="1" hidden="" ht="14" outlineLevel="0" r="6296">
      <c r="A6296" s="3" t="inlineStr">
        <is>
          <t>6265</t>
        </is>
      </c>
      <c r="B6296" s="4" t="s">
        <f>=HYPERLINK("http://anyluxury.ru/shop/odezhda/detskaya-odezhda/svitshot-uniseks-columbia-temnosiniy-03814319/" , "03814319 Свитшот унисекс Columbia, темно-синий, размер XS")</f>
      </c>
      <c r="C6296" s="4" t="n">
        <v>1987.00</v>
      </c>
      <c r="D6296" s="4"/>
    </row>
    <row collapsed="" customFormat="false" customHeight="1" hidden="" ht="14" outlineLevel="0" r="6297">
      <c r="A6297" s="3" t="inlineStr">
        <is>
          <t>6266</t>
        </is>
      </c>
      <c r="B6297" s="4" t="s">
        <f>=HYPERLINK("http://anyluxury.ru/shop/odezhda/detskaya-odezhda/svitshot-uniseks-columbia-temnosiniy-03814319/" , "03814319 Свитшот унисекс Columbia, темно-синий, размер S")</f>
      </c>
      <c r="C6297" s="4" t="n">
        <v>1987.00</v>
      </c>
      <c r="D6297" s="4"/>
    </row>
    <row collapsed="" customFormat="false" customHeight="1" hidden="" ht="14" outlineLevel="0" r="6298">
      <c r="A6298" s="3" t="inlineStr">
        <is>
          <t>6267</t>
        </is>
      </c>
      <c r="B6298" s="4" t="s">
        <f>=HYPERLINK("http://anyluxury.ru/shop/odezhda/detskaya-odezhda/svitshot-uniseks-columbia-temnosiniy-03814319/" , "03814319 Свитшот унисекс Columbia, темно-синий, размер M")</f>
      </c>
      <c r="C6298" s="4" t="n">
        <v>1987.00</v>
      </c>
      <c r="D6298" s="4"/>
    </row>
    <row collapsed="" customFormat="false" customHeight="1" hidden="" ht="14" outlineLevel="0" r="6299">
      <c r="A6299" s="3" t="inlineStr">
        <is>
          <t>6268</t>
        </is>
      </c>
      <c r="B6299" s="4" t="s">
        <f>=HYPERLINK("http://anyluxury.ru/shop/odezhda/detskaya-odezhda/svitshot-uniseks-columbia-temnosiniy-03814319/" , "03814319 Свитшот унисекс Columbia, темно-синий, размер L")</f>
      </c>
      <c r="C6299" s="4" t="n">
        <v>1987.00</v>
      </c>
      <c r="D6299" s="4"/>
    </row>
    <row collapsed="" customFormat="false" customHeight="1" hidden="" ht="14" outlineLevel="0" r="6300">
      <c r="A6300" s="3" t="inlineStr">
        <is>
          <t>6269</t>
        </is>
      </c>
      <c r="B6300" s="4" t="s">
        <f>=HYPERLINK("http://anyluxury.ru/shop/odezhda/detskaya-odezhda/svitshot-uniseks-columbia-temnosiniy-03814319/" , "03814319 Свитшот унисекс Columbia, темно-синий, размер XL")</f>
      </c>
      <c r="C6300" s="4" t="n">
        <v>1987.00</v>
      </c>
      <c r="D6300" s="4"/>
    </row>
    <row collapsed="" customFormat="false" customHeight="1" hidden="" ht="14" outlineLevel="0" r="6301">
      <c r="A6301" s="3" t="inlineStr">
        <is>
          <t>6270</t>
        </is>
      </c>
      <c r="B6301" s="4" t="s">
        <f>=HYPERLINK("http://anyluxury.ru/shop/odezhda/detskaya-odezhda/svitshot-uniseks-columbia-temnosiniy-03814319/" , "03814319 Свитшот унисекс Columbia, темно-синий, размер XXL")</f>
      </c>
      <c r="C6301" s="4" t="n">
        <v>1987.00</v>
      </c>
      <c r="D6301" s="4"/>
    </row>
    <row collapsed="" customFormat="false" customHeight="1" hidden="" ht="14" outlineLevel="0" r="6302">
      <c r="A6302" s="3" t="inlineStr">
        <is>
          <t>6271</t>
        </is>
      </c>
      <c r="B6302" s="4" t="s">
        <f>=HYPERLINK("http://anyluxury.ru/shop/odezhda/detskaya-odezhda/svitshot-uniseks-columbia-temnosiniy-03814319/" , "03814319 Свитшот унисекс Columbia, темно-синий, размер 3XL")</f>
      </c>
      <c r="C6302" s="4" t="n">
        <v>2279.00</v>
      </c>
      <c r="D6302" s="4"/>
    </row>
    <row collapsed="" customFormat="false" customHeight="1" hidden="" ht="14" outlineLevel="0" r="6303">
      <c r="A6303" s="3" t="inlineStr">
        <is>
          <t>6272</t>
        </is>
      </c>
      <c r="B6303" s="4" t="s">
        <f>=HYPERLINK("http://anyluxury.ru/shop/odezhda/detskaya-odezhda/svitshot-uniseks-columbia-temnosiniy-03814319/" , "03814319 Свитшот унисекс Columbia, темно-синий, размер 4XL")</f>
      </c>
      <c r="C6303" s="4" t="n">
        <v>2617.00</v>
      </c>
      <c r="D6303" s="4"/>
    </row>
    <row collapsed="" customFormat="false" customHeight="1" hidden="" ht="14" outlineLevel="0" r="6304">
      <c r="A6304" s="3" t="inlineStr">
        <is>
          <t>6273</t>
        </is>
      </c>
      <c r="B6304" s="4" t="s">
        <f>=HYPERLINK("http://anyluxury.ru/shop/odezhda/detskaya-odezhda/svitshot-uniseks-columbia-temnosiniy-03814319/" , "03814319 Свитшот унисекс Columbia, темно-синий, размер 5XL")</f>
      </c>
      <c r="C6304" s="4" t="n">
        <v>2617.00</v>
      </c>
      <c r="D6304" s="4"/>
    </row>
    <row collapsed="" customFormat="false" customHeight="1" hidden="" ht="14" outlineLevel="0" r="6305">
      <c r="A6305" s="3" t="inlineStr">
        <is>
          <t>6274</t>
        </is>
      </c>
      <c r="B6305" s="4" t="s">
        <f>=HYPERLINK("http://anyluxury.ru/shop/odezhda/detskaya-odezhda/svitshot-uniseks-columbia-yarkozeleniy-03814272/" , "03814272 Свитшот унисекс Columbia, ярко-зеленый, размер XS")</f>
      </c>
      <c r="C6305" s="4" t="n">
        <v>1987.00</v>
      </c>
      <c r="D6305" s="4"/>
    </row>
    <row collapsed="" customFormat="false" customHeight="1" hidden="" ht="14" outlineLevel="0" r="6306">
      <c r="A6306" s="3" t="inlineStr">
        <is>
          <t>6275</t>
        </is>
      </c>
      <c r="B6306" s="4" t="s">
        <f>=HYPERLINK("http://anyluxury.ru/shop/odezhda/detskaya-odezhda/svitshot-uniseks-columbia-yarkozeleniy-03814272/" , "03814272 Свитшот унисекс Columbia, ярко-зеленый, размер S")</f>
      </c>
      <c r="C6306" s="4" t="n">
        <v>1987.00</v>
      </c>
      <c r="D6306" s="4"/>
    </row>
    <row collapsed="" customFormat="false" customHeight="1" hidden="" ht="14" outlineLevel="0" r="6307">
      <c r="A6307" s="3" t="inlineStr">
        <is>
          <t>6276</t>
        </is>
      </c>
      <c r="B6307" s="4" t="s">
        <f>=HYPERLINK("http://anyluxury.ru/shop/odezhda/detskaya-odezhda/svitshot-uniseks-columbia-yarkozeleniy-03814272/" , "03814272 Свитшот унисекс Columbia, ярко-зеленый, размер M")</f>
      </c>
      <c r="C6307" s="4" t="n">
        <v>1987.00</v>
      </c>
      <c r="D6307" s="4"/>
    </row>
    <row collapsed="" customFormat="false" customHeight="1" hidden="" ht="14" outlineLevel="0" r="6308">
      <c r="A6308" s="3" t="inlineStr">
        <is>
          <t>6277</t>
        </is>
      </c>
      <c r="B6308" s="4" t="s">
        <f>=HYPERLINK("http://anyluxury.ru/shop/odezhda/detskaya-odezhda/svitshot-uniseks-columbia-yarkozeleniy-03814272/" , "03814272 Свитшот унисекс Columbia, ярко-зеленый, размер XL")</f>
      </c>
      <c r="C6308" s="4" t="n">
        <v>1987.00</v>
      </c>
      <c r="D6308" s="4"/>
    </row>
    <row collapsed="" customFormat="false" customHeight="1" hidden="" ht="14" outlineLevel="0" r="6309">
      <c r="A6309" s="3" t="inlineStr">
        <is>
          <t>6278</t>
        </is>
      </c>
      <c r="B6309" s="4" t="s">
        <f>=HYPERLINK("http://anyluxury.ru/shop/odezhda/detskaya-odezhda/svitshot-uniseks-columbia-yarkozeleniy-03814272/" , "03814272 Свитшот унисекс Columbia, ярко-зеленый, размер XXL")</f>
      </c>
      <c r="C6309" s="4" t="n">
        <v>1987.00</v>
      </c>
      <c r="D6309" s="4"/>
    </row>
    <row collapsed="" customFormat="false" customHeight="1" hidden="" ht="14" outlineLevel="0" r="6310">
      <c r="A6310" s="3" t="inlineStr">
        <is>
          <t>6279</t>
        </is>
      </c>
      <c r="B6310" s="4" t="s">
        <f>=HYPERLINK("http://anyluxury.ru/shop/odezhda/detskaya-odezhda/svitshot-uniseks-columbia-yarkozeleniy-03814272/" , "03814272 Свитшот унисекс Columbia, ярко-зеленый, размер 3XL")</f>
      </c>
      <c r="C6310" s="4" t="n">
        <v>2279.00</v>
      </c>
      <c r="D6310" s="4"/>
    </row>
    <row collapsed="" customFormat="false" customHeight="1" hidden="" ht="14" outlineLevel="0" r="6311">
      <c r="A6311" s="3" t="inlineStr">
        <is>
          <t>6280</t>
        </is>
      </c>
      <c r="B6311" s="4" t="s">
        <f>=HYPERLINK("http://anyluxury.ru/shop/odezhda/detskaya-odezhda/svitshot-uniseks-columbia-svetlozheltiy-03814260/" , "03814260 Свитшот унисекс Columbia, светло-желтый, размер XS")</f>
      </c>
      <c r="C6311" s="4" t="n">
        <v>1987.00</v>
      </c>
      <c r="D6311" s="4"/>
    </row>
    <row collapsed="" customFormat="false" customHeight="1" hidden="" ht="14" outlineLevel="0" r="6312">
      <c r="A6312" s="3" t="inlineStr">
        <is>
          <t>6281</t>
        </is>
      </c>
      <c r="B6312" s="4" t="s">
        <f>=HYPERLINK("http://anyluxury.ru/shop/odezhda/detskaya-odezhda/svitshot-uniseks-columbia-svetlozheltiy-03814260/" , "03814260 Свитшот унисекс Columbia, светло-желтый, размер S")</f>
      </c>
      <c r="C6312" s="4" t="n">
        <v>1987.00</v>
      </c>
      <c r="D6312" s="4"/>
    </row>
    <row collapsed="" customFormat="false" customHeight="1" hidden="" ht="14" outlineLevel="0" r="6313">
      <c r="A6313" s="3" t="inlineStr">
        <is>
          <t>6282</t>
        </is>
      </c>
      <c r="B6313" s="4" t="s">
        <f>=HYPERLINK("http://anyluxury.ru/shop/odezhda/detskaya-odezhda/svitshot-uniseks-columbia-svetlozheltiy-03814260/" , "03814260 Свитшот унисекс Columbia, светло-желтый, размер M")</f>
      </c>
      <c r="C6313" s="4" t="n">
        <v>1987.00</v>
      </c>
      <c r="D6313" s="4"/>
    </row>
    <row collapsed="" customFormat="false" customHeight="1" hidden="" ht="14" outlineLevel="0" r="6314">
      <c r="A6314" s="3" t="inlineStr">
        <is>
          <t>6283</t>
        </is>
      </c>
      <c r="B6314" s="4" t="s">
        <f>=HYPERLINK("http://anyluxury.ru/shop/odezhda/detskaya-odezhda/svitshot-uniseks-columbia-svetlozheltiy-03814260/" , "03814260 Свитшот унисекс Columbia, светло-желтый, размер L")</f>
      </c>
      <c r="C6314" s="4" t="n">
        <v>1987.00</v>
      </c>
      <c r="D6314" s="4"/>
    </row>
    <row collapsed="" customFormat="false" customHeight="1" hidden="" ht="14" outlineLevel="0" r="6315">
      <c r="A6315" s="3" t="inlineStr">
        <is>
          <t>6284</t>
        </is>
      </c>
      <c r="B6315" s="4" t="s">
        <f>=HYPERLINK("http://anyluxury.ru/shop/odezhda/detskaya-odezhda/svitshot-uniseks-columbia-svetlozheltiy-03814260/" , "03814260 Свитшот унисекс Columbia, светло-желтый, размер XL")</f>
      </c>
      <c r="C6315" s="4" t="n">
        <v>1987.00</v>
      </c>
      <c r="D6315" s="4"/>
    </row>
    <row collapsed="" customFormat="false" customHeight="1" hidden="" ht="14" outlineLevel="0" r="6316">
      <c r="A6316" s="3" t="inlineStr">
        <is>
          <t>6285</t>
        </is>
      </c>
      <c r="B6316" s="4" t="s">
        <f>=HYPERLINK("http://anyluxury.ru/shop/odezhda/detskaya-odezhda/svitshot-uniseks-columbia-svetlozheltiy-03814260/" , "03814260 Свитшот унисекс Columbia, светло-желтый, размер XXL")</f>
      </c>
      <c r="C6316" s="4" t="n">
        <v>1987.00</v>
      </c>
      <c r="D6316" s="4"/>
    </row>
    <row collapsed="" customFormat="false" customHeight="1" hidden="" ht="14" outlineLevel="0" r="6317">
      <c r="A6317" s="3" t="inlineStr">
        <is>
          <t>6286</t>
        </is>
      </c>
      <c r="B6317" s="4" t="s">
        <f>=HYPERLINK("http://anyluxury.ru/shop/odezhda/detskaya-odezhda/svitshot-uniseks-columbia-svetlozheltiy-03814260/" , "03814260 Свитшот унисекс Columbia, светло-желтый, размер 3XL")</f>
      </c>
      <c r="C6317" s="4" t="n">
        <v>2279.00</v>
      </c>
      <c r="D6317" s="4"/>
    </row>
    <row collapsed="" customFormat="false" customHeight="1" hidden="" ht="14" outlineLevel="0" r="6318">
      <c r="A6318" s="3" t="inlineStr">
        <is>
          <t>6287</t>
        </is>
      </c>
      <c r="B6318" s="4" t="s">
        <f>=HYPERLINK("http://anyluxury.ru/shop/odezhda/detskaya-odezhda/svitshot-uniseks-columbia-sireneviy-03814701/" , "03814701 Свитшот унисекс Columbia, сиреневый, размер XS")</f>
      </c>
      <c r="C6318" s="4" t="n">
        <v>1987.00</v>
      </c>
      <c r="D6318" s="4"/>
    </row>
    <row collapsed="" customFormat="false" customHeight="1" hidden="" ht="14" outlineLevel="0" r="6319">
      <c r="A6319" s="3" t="inlineStr">
        <is>
          <t>6288</t>
        </is>
      </c>
      <c r="B6319" s="4" t="s">
        <f>=HYPERLINK("http://anyluxury.ru/shop/odezhda/detskaya-odezhda/svitshot-uniseks-columbia-sireneviy-03814701/" , "03814701 Свитшот унисекс Columbia, сиреневый, размер S")</f>
      </c>
      <c r="C6319" s="4" t="n">
        <v>1987.00</v>
      </c>
      <c r="D6319" s="4"/>
    </row>
    <row collapsed="" customFormat="false" customHeight="1" hidden="" ht="14" outlineLevel="0" r="6320">
      <c r="A6320" s="3" t="inlineStr">
        <is>
          <t>6289</t>
        </is>
      </c>
      <c r="B6320" s="4" t="s">
        <f>=HYPERLINK("http://anyluxury.ru/shop/odezhda/detskaya-odezhda/svitshot-uniseks-columbia-sireneviy-03814701/" , "03814701 Свитшот унисекс Columbia, сиреневый, размер M")</f>
      </c>
      <c r="C6320" s="4" t="n">
        <v>1987.00</v>
      </c>
      <c r="D6320" s="4"/>
    </row>
    <row collapsed="" customFormat="false" customHeight="1" hidden="" ht="14" outlineLevel="0" r="6321">
      <c r="A6321" s="3" t="inlineStr">
        <is>
          <t>6290</t>
        </is>
      </c>
      <c r="B6321" s="4" t="s">
        <f>=HYPERLINK("http://anyluxury.ru/shop/odezhda/detskaya-odezhda/svitshot-uniseks-columbia-sireneviy-03814701/" , "03814701 Свитшот унисекс Columbia, сиреневый, размер L")</f>
      </c>
      <c r="C6321" s="4" t="n">
        <v>1987.00</v>
      </c>
      <c r="D6321" s="4"/>
    </row>
    <row collapsed="" customFormat="false" customHeight="1" hidden="" ht="14" outlineLevel="0" r="6322">
      <c r="A6322" s="3" t="inlineStr">
        <is>
          <t>6291</t>
        </is>
      </c>
      <c r="B6322" s="4" t="s">
        <f>=HYPERLINK("http://anyluxury.ru/shop/odezhda/detskaya-odezhda/svitshot-uniseks-columbia-sireneviy-03814701/" , "03814701 Свитшот унисекс Columbia, сиреневый, размер XL")</f>
      </c>
      <c r="C6322" s="4" t="n">
        <v>1987.00</v>
      </c>
      <c r="D6322" s="4"/>
    </row>
    <row collapsed="" customFormat="false" customHeight="1" hidden="" ht="14" outlineLevel="0" r="6323">
      <c r="A6323" s="3" t="inlineStr">
        <is>
          <t>6292</t>
        </is>
      </c>
      <c r="B6323" s="4" t="s">
        <f>=HYPERLINK("http://anyluxury.ru/shop/odezhda/detskaya-odezhda/svitshot-uniseks-columbia-sireneviy-03814701/" , "03814701 Свитшот унисекс Columbia, сиреневый, размер XXL")</f>
      </c>
      <c r="C6323" s="4" t="n">
        <v>1987.00</v>
      </c>
      <c r="D6323" s="4"/>
    </row>
    <row collapsed="" customFormat="false" customHeight="1" hidden="" ht="14" outlineLevel="0" r="6324">
      <c r="A6324" s="3" t="inlineStr">
        <is>
          <t>6293</t>
        </is>
      </c>
      <c r="B6324" s="4" t="s">
        <f>=HYPERLINK("http://anyluxury.ru/shop/odezhda/detskaya-odezhda/svitshot-uniseks-columbia-sireneviy-03814701/" , "03814701 Свитшот унисекс Columbia, сиреневый, размер 3XL")</f>
      </c>
      <c r="C6324" s="4" t="n">
        <v>2279.00</v>
      </c>
      <c r="D6324" s="4"/>
    </row>
    <row collapsed="" customFormat="false" customHeight="1" hidden="" ht="14" outlineLevel="0" r="6325">
      <c r="A6325" s="3" t="inlineStr">
        <is>
          <t>6294</t>
        </is>
      </c>
      <c r="B6325" s="4" t="s">
        <f>=HYPERLINK("http://anyluxury.ru/shop/odezhda/detskaya-odezhda/svitshot-uniseks-columbia-oranzheviy-03814400/" , "03814400 Свитшот унисекс Columbia, оранжевый, размер XS")</f>
      </c>
      <c r="C6325" s="4" t="n">
        <v>1987.00</v>
      </c>
      <c r="D6325" s="4"/>
    </row>
    <row collapsed="" customFormat="false" customHeight="1" hidden="" ht="14" outlineLevel="0" r="6326">
      <c r="A6326" s="3" t="inlineStr">
        <is>
          <t>6295</t>
        </is>
      </c>
      <c r="B6326" s="4" t="s">
        <f>=HYPERLINK("http://anyluxury.ru/shop/odezhda/detskaya-odezhda/svitshot-uniseks-columbia-oranzheviy-03814400/" , "03814400 Свитшот унисекс Columbia, оранжевый, размер S")</f>
      </c>
      <c r="C6326" s="4" t="n">
        <v>1987.00</v>
      </c>
      <c r="D6326" s="4"/>
    </row>
    <row collapsed="" customFormat="false" customHeight="1" hidden="" ht="14" outlineLevel="0" r="6327">
      <c r="A6327" s="3" t="inlineStr">
        <is>
          <t>6296</t>
        </is>
      </c>
      <c r="B6327" s="4" t="s">
        <f>=HYPERLINK("http://anyluxury.ru/shop/odezhda/detskaya-odezhda/svitshot-uniseks-columbia-oranzheviy-03814400/" , "03814400 Свитшот унисекс Columbia, оранжевый, размер M")</f>
      </c>
      <c r="C6327" s="4" t="n">
        <v>1987.00</v>
      </c>
      <c r="D6327" s="4"/>
    </row>
    <row collapsed="" customFormat="false" customHeight="1" hidden="" ht="14" outlineLevel="0" r="6328">
      <c r="A6328" s="3" t="inlineStr">
        <is>
          <t>6297</t>
        </is>
      </c>
      <c r="B6328" s="4" t="s">
        <f>=HYPERLINK("http://anyluxury.ru/shop/odezhda/detskaya-odezhda/svitshot-uniseks-columbia-oranzheviy-03814400/" , "03814400 Свитшот унисекс Columbia, оранжевый, размер L")</f>
      </c>
      <c r="C6328" s="4" t="n">
        <v>1987.00</v>
      </c>
      <c r="D6328" s="4"/>
    </row>
    <row collapsed="" customFormat="false" customHeight="1" hidden="" ht="14" outlineLevel="0" r="6329">
      <c r="A6329" s="3" t="inlineStr">
        <is>
          <t>6298</t>
        </is>
      </c>
      <c r="B6329" s="4" t="s">
        <f>=HYPERLINK("http://anyluxury.ru/shop/odezhda/detskaya-odezhda/svitshot-uniseks-columbia-oranzheviy-03814400/" , "03814400 Свитшот унисекс Columbia, оранжевый, размер XL")</f>
      </c>
      <c r="C6329" s="4" t="n">
        <v>1987.00</v>
      </c>
      <c r="D6329" s="4"/>
    </row>
    <row collapsed="" customFormat="false" customHeight="1" hidden="" ht="14" outlineLevel="0" r="6330">
      <c r="A6330" s="3" t="inlineStr">
        <is>
          <t>6299</t>
        </is>
      </c>
      <c r="B6330" s="4" t="s">
        <f>=HYPERLINK("http://anyluxury.ru/shop/odezhda/detskaya-odezhda/svitshot-uniseks-columbia-oranzheviy-03814400/" , "03814400 Свитшот унисекс Columbia, оранжевый, размер XXL")</f>
      </c>
      <c r="C6330" s="4" t="n">
        <v>1987.00</v>
      </c>
      <c r="D6330" s="4"/>
    </row>
    <row collapsed="" customFormat="false" customHeight="1" hidden="" ht="14" outlineLevel="0" r="6331">
      <c r="A6331" s="3" t="inlineStr">
        <is>
          <t>6300</t>
        </is>
      </c>
      <c r="B6331" s="4" t="s">
        <f>=HYPERLINK("http://anyluxury.ru/shop/odezhda/detskaya-odezhda/svitshot-uniseks-columbia-oranzheviy-03814400/" , "03814400 Свитшот унисекс Columbia, оранжевый, размер 3XL")</f>
      </c>
      <c r="C6331" s="4" t="n">
        <v>2279.00</v>
      </c>
      <c r="D6331" s="4"/>
    </row>
    <row collapsed="" customFormat="false" customHeight="1" hidden="" ht="14" outlineLevel="0" r="6332">
      <c r="A6332" s="3" t="inlineStr">
        <is>
          <t>6301</t>
        </is>
      </c>
      <c r="B6332" s="4" t="s">
        <f>=HYPERLINK("http://anyluxury.ru/shop/odezhda/detskaya-odezhda/svitshot-uniseks-columbia-yarkosiniy-03814241/" , "03814241 Свитшот унисекс Columbia, ярко-синий, размер XS")</f>
      </c>
      <c r="C6332" s="4" t="n">
        <v>1987.00</v>
      </c>
      <c r="D6332" s="4"/>
    </row>
    <row collapsed="" customFormat="false" customHeight="1" hidden="" ht="14" outlineLevel="0" r="6333">
      <c r="A6333" s="3" t="inlineStr">
        <is>
          <t>6302</t>
        </is>
      </c>
      <c r="B6333" s="4" t="s">
        <f>=HYPERLINK("http://anyluxury.ru/shop/odezhda/detskaya-odezhda/svitshot-uniseks-columbia-yarkosiniy-03814241/" , "03814241 Свитшот унисекс Columbia, ярко-синий, размер L")</f>
      </c>
      <c r="C6333" s="4" t="n">
        <v>1987.00</v>
      </c>
      <c r="D6333" s="4"/>
    </row>
    <row collapsed="" customFormat="false" customHeight="1" hidden="" ht="14" outlineLevel="0" r="6334">
      <c r="A6334" s="3" t="inlineStr">
        <is>
          <t>6303</t>
        </is>
      </c>
      <c r="B6334" s="4" t="s">
        <f>=HYPERLINK("http://anyluxury.ru/shop/odezhda/detskaya-odezhda/svitshot-uniseks-columbia-yarkosiniy-03814241/" , "03814241 Свитшот унисекс Columbia, ярко-синий, размер XL")</f>
      </c>
      <c r="C6334" s="4" t="n">
        <v>1987.00</v>
      </c>
      <c r="D6334" s="4"/>
    </row>
    <row collapsed="" customFormat="false" customHeight="1" hidden="" ht="14" outlineLevel="0" r="6335">
      <c r="A6335" s="3" t="inlineStr">
        <is>
          <t>6304</t>
        </is>
      </c>
      <c r="B6335" s="4" t="s">
        <f>=HYPERLINK("http://anyluxury.ru/shop/odezhda/detskaya-odezhda/svitshot-uniseks-columbia-yarkosiniy-03814241/" , "03814241 Свитшот унисекс Columbia, ярко-синий, размер 4XL")</f>
      </c>
      <c r="C6335" s="4" t="n">
        <v>2617.00</v>
      </c>
      <c r="D6335" s="4"/>
    </row>
    <row collapsed="" customFormat="false" customHeight="1" hidden="" ht="14" outlineLevel="0" r="6336">
      <c r="A6336" s="3" t="inlineStr">
        <is>
          <t>6305</t>
        </is>
      </c>
      <c r="B6336" s="4" t="s">
        <f>=HYPERLINK("http://anyluxury.ru/shop/odezhda/detskaya-odezhda/svitshot-uniseks-columbia-yarkosiniy-03814241/" , "03814241 Свитшот унисекс Columbia, ярко-синий, размер 5XL")</f>
      </c>
      <c r="C6336" s="4" t="n">
        <v>2617.00</v>
      </c>
      <c r="D6336" s="4"/>
    </row>
    <row collapsed="" customFormat="false" customHeight="1" hidden="" ht="14" outlineLevel="0" r="6337">
      <c r="A6337" s="3" t="inlineStr">
        <is>
          <t>6306</t>
        </is>
      </c>
      <c r="B6337" s="4" t="s">
        <f>=HYPERLINK("http://anyluxury.ru/shop/odezhda/detskaya-odezhda/hudi-uniseks-condor-temniy-haki-03815269/" , "03815269 Худи унисекс Condor, темный хаки, размер XS")</f>
      </c>
      <c r="C6337" s="4" t="n">
        <v>2598.00</v>
      </c>
      <c r="D6337" s="4"/>
    </row>
    <row collapsed="" customFormat="false" customHeight="1" hidden="" ht="14" outlineLevel="0" r="6338">
      <c r="A6338" s="3" t="inlineStr">
        <is>
          <t>6307</t>
        </is>
      </c>
      <c r="B6338" s="4" t="s">
        <f>=HYPERLINK("http://anyluxury.ru/shop/odezhda/detskaya-odezhda/hudi-uniseks-condor-temniy-haki-03815269/" , "03815269 Худи унисекс Condor, темный хаки, размер S")</f>
      </c>
      <c r="C6338" s="4" t="n">
        <v>2598.00</v>
      </c>
      <c r="D6338" s="4"/>
    </row>
    <row collapsed="" customFormat="false" customHeight="1" hidden="" ht="14" outlineLevel="0" r="6339">
      <c r="A6339" s="3" t="inlineStr">
        <is>
          <t>6308</t>
        </is>
      </c>
      <c r="B6339" s="4" t="s">
        <f>=HYPERLINK("http://anyluxury.ru/shop/odezhda/detskaya-odezhda/hudi-uniseks-condor-temniy-haki-03815269/" , "03815269 Худи унисекс Condor, темный хаки, размер M")</f>
      </c>
      <c r="C6339" s="4" t="n">
        <v>2598.00</v>
      </c>
      <c r="D6339" s="4"/>
    </row>
    <row collapsed="" customFormat="false" customHeight="1" hidden="" ht="14" outlineLevel="0" r="6340">
      <c r="A6340" s="3" t="inlineStr">
        <is>
          <t>6309</t>
        </is>
      </c>
      <c r="B6340" s="4" t="s">
        <f>=HYPERLINK("http://anyluxury.ru/shop/odezhda/detskaya-odezhda/hudi-uniseks-condor-temniy-haki-03815269/" , "03815269 Худи унисекс Condor, темный хаки, размер L")</f>
      </c>
      <c r="C6340" s="4" t="n">
        <v>2598.00</v>
      </c>
      <c r="D6340" s="4"/>
    </row>
    <row collapsed="" customFormat="false" customHeight="1" hidden="" ht="14" outlineLevel="0" r="6341">
      <c r="A6341" s="3" t="inlineStr">
        <is>
          <t>6310</t>
        </is>
      </c>
      <c r="B6341" s="4" t="s">
        <f>=HYPERLINK("http://anyluxury.ru/shop/odezhda/detskaya-odezhda/hudi-uniseks-condor-temniy-haki-03815269/" , "03815269 Худи унисекс Condor, темный хаки, размер XL")</f>
      </c>
      <c r="C6341" s="4" t="n">
        <v>2598.00</v>
      </c>
      <c r="D6341" s="4"/>
    </row>
    <row collapsed="" customFormat="false" customHeight="1" hidden="" ht="14" outlineLevel="0" r="6342">
      <c r="A6342" s="3" t="inlineStr">
        <is>
          <t>6311</t>
        </is>
      </c>
      <c r="B6342" s="4" t="s">
        <f>=HYPERLINK("http://anyluxury.ru/shop/odezhda/detskaya-odezhda/hudi-uniseks-condor-temniy-haki-03815269/" , "03815269 Худи унисекс Condor, темный хаки, размер XXL")</f>
      </c>
      <c r="C6342" s="4" t="n">
        <v>2598.00</v>
      </c>
      <c r="D6342" s="4"/>
    </row>
    <row collapsed="" customFormat="false" customHeight="1" hidden="" ht="14" outlineLevel="0" r="6343">
      <c r="A6343" s="3" t="inlineStr">
        <is>
          <t>6312</t>
        </is>
      </c>
      <c r="B6343" s="4" t="s">
        <f>=HYPERLINK("http://anyluxury.ru/shop/odezhda/detskaya-odezhda/hudi-uniseks-condor-temniy-haki-03815269/" , "03815269 Худи унисекс Condor, темный хаки, размер 3XL")</f>
      </c>
      <c r="C6343" s="4" t="n">
        <v>3065.00</v>
      </c>
      <c r="D6343" s="4"/>
    </row>
    <row collapsed="" customFormat="false" customHeight="1" hidden="" ht="14" outlineLevel="0" r="6344">
      <c r="A6344" s="3" t="inlineStr">
        <is>
          <t>6313</t>
        </is>
      </c>
      <c r="B6344" s="4" t="s">
        <f>=HYPERLINK("http://anyluxury.ru/shop/odezhda/detskaya-odezhda/hudi-uniseks-condor-chernoe-03815312/" , "03815312 Худи унисекс Condor, черное, размер XS")</f>
      </c>
      <c r="C6344" s="4" t="n">
        <v>2598.00</v>
      </c>
      <c r="D6344" s="4"/>
    </row>
    <row collapsed="" customFormat="false" customHeight="1" hidden="" ht="14" outlineLevel="0" r="6345">
      <c r="A6345" s="3" t="inlineStr">
        <is>
          <t>6314</t>
        </is>
      </c>
      <c r="B6345" s="4" t="s">
        <f>=HYPERLINK("http://anyluxury.ru/shop/odezhda/detskaya-odezhda/hudi-uniseks-condor-chernoe-03815312/" , "03815312 Худи унисекс Condor, черное, размер S")</f>
      </c>
      <c r="C6345" s="4" t="n">
        <v>2598.00</v>
      </c>
      <c r="D6345" s="4"/>
    </row>
    <row collapsed="" customFormat="false" customHeight="1" hidden="" ht="14" outlineLevel="0" r="6346">
      <c r="A6346" s="3" t="inlineStr">
        <is>
          <t>6315</t>
        </is>
      </c>
      <c r="B6346" s="4" t="s">
        <f>=HYPERLINK("http://anyluxury.ru/shop/odezhda/detskaya-odezhda/hudi-uniseks-condor-chernoe-03815312/" , "03815312 Худи унисекс Condor, черное, размер M")</f>
      </c>
      <c r="C6346" s="4" t="n">
        <v>2598.00</v>
      </c>
      <c r="D6346" s="4"/>
    </row>
    <row collapsed="" customFormat="false" customHeight="1" hidden="" ht="14" outlineLevel="0" r="6347">
      <c r="A6347" s="3" t="inlineStr">
        <is>
          <t>6316</t>
        </is>
      </c>
      <c r="B6347" s="4" t="s">
        <f>=HYPERLINK("http://anyluxury.ru/shop/odezhda/detskaya-odezhda/hudi-uniseks-condor-chernoe-03815312/" , "03815312 Худи унисекс Condor, черное, размер L")</f>
      </c>
      <c r="C6347" s="4" t="n">
        <v>2598.00</v>
      </c>
      <c r="D6347" s="4"/>
    </row>
    <row collapsed="" customFormat="false" customHeight="1" hidden="" ht="14" outlineLevel="0" r="6348">
      <c r="A6348" s="3" t="inlineStr">
        <is>
          <t>6317</t>
        </is>
      </c>
      <c r="B6348" s="4" t="s">
        <f>=HYPERLINK("http://anyluxury.ru/shop/odezhda/detskaya-odezhda/hudi-uniseks-condor-chernoe-03815312/" , "03815312 Худи унисекс Condor, черное, размер XL")</f>
      </c>
      <c r="C6348" s="4" t="n">
        <v>2598.00</v>
      </c>
      <c r="D6348" s="4"/>
    </row>
    <row collapsed="" customFormat="false" customHeight="1" hidden="" ht="14" outlineLevel="0" r="6349">
      <c r="A6349" s="3" t="inlineStr">
        <is>
          <t>6318</t>
        </is>
      </c>
      <c r="B6349" s="4" t="s">
        <f>=HYPERLINK("http://anyluxury.ru/shop/odezhda/detskaya-odezhda/hudi-uniseks-condor-chernoe-03815312/" , "03815312 Худи унисекс Condor, черное, размер XXL")</f>
      </c>
      <c r="C6349" s="4" t="n">
        <v>2598.00</v>
      </c>
      <c r="D6349" s="4"/>
    </row>
    <row collapsed="" customFormat="false" customHeight="1" hidden="" ht="14" outlineLevel="0" r="6350">
      <c r="A6350" s="3" t="inlineStr">
        <is>
          <t>6319</t>
        </is>
      </c>
      <c r="B6350" s="4" t="s">
        <f>=HYPERLINK("http://anyluxury.ru/shop/odezhda/detskaya-odezhda/hudi-uniseks-condor-chernoe-03815312/" , "03815312 Худи унисекс Condor, черное, размер 3XL")</f>
      </c>
      <c r="C6350" s="4" t="n">
        <v>3065.00</v>
      </c>
      <c r="D6350" s="4"/>
    </row>
    <row collapsed="" customFormat="false" customHeight="1" hidden="" ht="14" outlineLevel="0" r="6351">
      <c r="A6351" s="3" t="inlineStr">
        <is>
          <t>6320</t>
        </is>
      </c>
      <c r="B6351" s="4" t="s">
        <f>=HYPERLINK("http://anyluxury.ru/shop/odezhda/detskaya-odezhda/hudi-uniseks-condor-chernoe-03815312/" , "03815312 Худи унисекс Condor, черное, размер 4XL")</f>
      </c>
      <c r="C6351" s="4" t="n">
        <v>3609.00</v>
      </c>
      <c r="D6351" s="4"/>
    </row>
    <row collapsed="" customFormat="false" customHeight="1" hidden="" ht="14" outlineLevel="0" r="6352">
      <c r="A6352" s="3" t="inlineStr">
        <is>
          <t>6321</t>
        </is>
      </c>
      <c r="B6352" s="4" t="s">
        <f>=HYPERLINK("http://anyluxury.ru/shop/odezhda/detskaya-odezhda/hudi-uniseks-condor-chernoe-03815312/" , "03815312 Худи унисекс Condor, черное, размер 5XL")</f>
      </c>
      <c r="C6352" s="4" t="n">
        <v>3609.00</v>
      </c>
      <c r="D6352" s="4"/>
    </row>
    <row collapsed="" customFormat="false" customHeight="1" hidden="" ht="14" outlineLevel="0" r="6353">
      <c r="A6353" s="3" t="inlineStr">
        <is>
          <t>6322</t>
        </is>
      </c>
      <c r="B6353" s="4" t="s">
        <f>=HYPERLINK("http://anyluxury.ru/shop/odezhda/detskaya-odezhda/hudi-uniseks-condor-temnozelenoe-03815264/" , "03815264 Худи унисекс Condor, темно-зеленое, размер XS")</f>
      </c>
      <c r="C6353" s="4" t="n">
        <v>2598.00</v>
      </c>
      <c r="D6353" s="4"/>
    </row>
    <row collapsed="" customFormat="false" customHeight="1" hidden="" ht="14" outlineLevel="0" r="6354">
      <c r="A6354" s="3" t="inlineStr">
        <is>
          <t>6323</t>
        </is>
      </c>
      <c r="B6354" s="4" t="s">
        <f>=HYPERLINK("http://anyluxury.ru/shop/odezhda/detskaya-odezhda/hudi-uniseks-condor-temnozelenoe-03815264/" , "03815264 Худи унисекс Condor, темно-зеленое, размер S")</f>
      </c>
      <c r="C6354" s="4" t="n">
        <v>2598.00</v>
      </c>
      <c r="D6354" s="4"/>
    </row>
    <row collapsed="" customFormat="false" customHeight="1" hidden="" ht="14" outlineLevel="0" r="6355">
      <c r="A6355" s="3" t="inlineStr">
        <is>
          <t>6324</t>
        </is>
      </c>
      <c r="B6355" s="4" t="s">
        <f>=HYPERLINK("http://anyluxury.ru/shop/odezhda/detskaya-odezhda/hudi-uniseks-condor-temnozelenoe-03815264/" , "03815264 Худи унисекс Condor, темно-зеленое, размер M")</f>
      </c>
      <c r="C6355" s="4" t="n">
        <v>2598.00</v>
      </c>
      <c r="D6355" s="4"/>
    </row>
    <row collapsed="" customFormat="false" customHeight="1" hidden="" ht="14" outlineLevel="0" r="6356">
      <c r="A6356" s="3" t="inlineStr">
        <is>
          <t>6325</t>
        </is>
      </c>
      <c r="B6356" s="4" t="s">
        <f>=HYPERLINK("http://anyluxury.ru/shop/odezhda/detskaya-odezhda/hudi-uniseks-condor-temnozelenoe-03815264/" , "03815264 Худи унисекс Condor, темно-зеленое, размер L")</f>
      </c>
      <c r="C6356" s="4" t="n">
        <v>2598.00</v>
      </c>
      <c r="D6356" s="4"/>
    </row>
    <row collapsed="" customFormat="false" customHeight="1" hidden="" ht="14" outlineLevel="0" r="6357">
      <c r="A6357" s="3" t="inlineStr">
        <is>
          <t>6326</t>
        </is>
      </c>
      <c r="B6357" s="4" t="s">
        <f>=HYPERLINK("http://anyluxury.ru/shop/odezhda/detskaya-odezhda/hudi-uniseks-condor-temnozelenoe-03815264/" , "03815264 Худи унисекс Condor, темно-зеленое, размер XL")</f>
      </c>
      <c r="C6357" s="4" t="n">
        <v>2598.00</v>
      </c>
      <c r="D6357" s="4"/>
    </row>
    <row collapsed="" customFormat="false" customHeight="1" hidden="" ht="14" outlineLevel="0" r="6358">
      <c r="A6358" s="3" t="inlineStr">
        <is>
          <t>6327</t>
        </is>
      </c>
      <c r="B6358" s="4" t="s">
        <f>=HYPERLINK("http://anyluxury.ru/shop/odezhda/detskaya-odezhda/hudi-uniseks-condor-temnozelenoe-03815264/" , "03815264 Худи унисекс Condor, темно-зеленое, размер XXL")</f>
      </c>
      <c r="C6358" s="4" t="n">
        <v>2598.00</v>
      </c>
      <c r="D6358" s="4"/>
    </row>
    <row collapsed="" customFormat="false" customHeight="1" hidden="" ht="14" outlineLevel="0" r="6359">
      <c r="A6359" s="3" t="inlineStr">
        <is>
          <t>6328</t>
        </is>
      </c>
      <c r="B6359" s="4" t="s">
        <f>=HYPERLINK("http://anyluxury.ru/shop/odezhda/detskaya-odezhda/hudi-uniseks-condor-temnozelenoe-03815264/" , "03815264 Худи унисекс Condor, темно-зеленое, размер 3XL")</f>
      </c>
      <c r="C6359" s="4" t="n">
        <v>3065.00</v>
      </c>
      <c r="D6359" s="4"/>
    </row>
    <row collapsed="" customFormat="false" customHeight="1" hidden="" ht="14" outlineLevel="0" r="6360">
      <c r="A6360" s="3" t="inlineStr">
        <is>
          <t>6329</t>
        </is>
      </c>
      <c r="B6360" s="4" t="s">
        <f>=HYPERLINK("http://anyluxury.ru/shop/odezhda/detskaya-odezhda/hudi-uniseks-condor-temnozelenoe-03815264/" , "03815264 Худи унисекс Condor, темно-зеленое, размер 4XL")</f>
      </c>
      <c r="C6360" s="4" t="n">
        <v>3609.00</v>
      </c>
      <c r="D6360" s="4"/>
    </row>
    <row collapsed="" customFormat="false" customHeight="1" hidden="" ht="14" outlineLevel="0" r="6361">
      <c r="A6361" s="3" t="inlineStr">
        <is>
          <t>6330</t>
        </is>
      </c>
      <c r="B6361" s="4" t="s">
        <f>=HYPERLINK("http://anyluxury.ru/shop/odezhda/detskaya-odezhda/hudi-uniseks-condor-temnozelenoe-03815264/" , "03815264 Худи унисекс Condor, темно-зеленое, размер 5XL")</f>
      </c>
      <c r="C6361" s="4" t="n">
        <v>3609.00</v>
      </c>
      <c r="D6361" s="4"/>
    </row>
    <row collapsed="" customFormat="false" customHeight="1" hidden="" ht="14" outlineLevel="0" r="6362">
      <c r="A6362" s="3" t="inlineStr">
        <is>
          <t>6331</t>
        </is>
      </c>
      <c r="B6362" s="4" t="s">
        <f>=HYPERLINK("http://anyluxury.ru/shop/odezhda/detskaya-odezhda/hudi-uniseks-condor-krasnoe-03815161/" , "03815161 Худи унисекс Condor, красное, размер XS")</f>
      </c>
      <c r="C6362" s="4" t="n">
        <v>2598.00</v>
      </c>
      <c r="D6362" s="4"/>
    </row>
    <row collapsed="" customFormat="false" customHeight="1" hidden="" ht="14" outlineLevel="0" r="6363">
      <c r="A6363" s="3" t="inlineStr">
        <is>
          <t>6332</t>
        </is>
      </c>
      <c r="B6363" s="4" t="s">
        <f>=HYPERLINK("http://anyluxury.ru/shop/odezhda/detskaya-odezhda/hudi-uniseks-condor-krasnoe-03815161/" , "03815161 Худи унисекс Condor, красное, размер S")</f>
      </c>
      <c r="C6363" s="4" t="n">
        <v>2598.00</v>
      </c>
      <c r="D6363" s="4"/>
    </row>
    <row collapsed="" customFormat="false" customHeight="1" hidden="" ht="14" outlineLevel="0" r="6364">
      <c r="A6364" s="3" t="inlineStr">
        <is>
          <t>6333</t>
        </is>
      </c>
      <c r="B6364" s="4" t="s">
        <f>=HYPERLINK("http://anyluxury.ru/shop/odezhda/detskaya-odezhda/hudi-uniseks-condor-krasnoe-03815161/" , "03815161 Худи унисекс Condor, красное, размер M")</f>
      </c>
      <c r="C6364" s="4" t="n">
        <v>2598.00</v>
      </c>
      <c r="D6364" s="4"/>
    </row>
    <row collapsed="" customFormat="false" customHeight="1" hidden="" ht="14" outlineLevel="0" r="6365">
      <c r="A6365" s="3" t="inlineStr">
        <is>
          <t>6334</t>
        </is>
      </c>
      <c r="B6365" s="4" t="s">
        <f>=HYPERLINK("http://anyluxury.ru/shop/odezhda/detskaya-odezhda/hudi-uniseks-condor-krasnoe-03815161/" , "03815161 Худи унисекс Condor, красное, размер L")</f>
      </c>
      <c r="C6365" s="4" t="n">
        <v>2598.00</v>
      </c>
      <c r="D6365" s="4"/>
    </row>
    <row collapsed="" customFormat="false" customHeight="1" hidden="" ht="14" outlineLevel="0" r="6366">
      <c r="A6366" s="3" t="inlineStr">
        <is>
          <t>6335</t>
        </is>
      </c>
      <c r="B6366" s="4" t="s">
        <f>=HYPERLINK("http://anyluxury.ru/shop/odezhda/detskaya-odezhda/hudi-uniseks-condor-krasnoe-03815161/" , "03815161 Худи унисекс Condor, красное, размер XL")</f>
      </c>
      <c r="C6366" s="4" t="n">
        <v>2598.00</v>
      </c>
      <c r="D6366" s="4"/>
    </row>
    <row collapsed="" customFormat="false" customHeight="1" hidden="" ht="14" outlineLevel="0" r="6367">
      <c r="A6367" s="3" t="inlineStr">
        <is>
          <t>6336</t>
        </is>
      </c>
      <c r="B6367" s="4" t="s">
        <f>=HYPERLINK("http://anyluxury.ru/shop/odezhda/detskaya-odezhda/hudi-uniseks-condor-krasnoe-03815161/" , "03815161 Худи унисекс Condor, красное, размер XXL")</f>
      </c>
      <c r="C6367" s="4" t="n">
        <v>2598.00</v>
      </c>
      <c r="D6367" s="4"/>
    </row>
    <row collapsed="" customFormat="false" customHeight="1" hidden="" ht="14" outlineLevel="0" r="6368">
      <c r="A6368" s="3" t="inlineStr">
        <is>
          <t>6337</t>
        </is>
      </c>
      <c r="B6368" s="4" t="s">
        <f>=HYPERLINK("http://anyluxury.ru/shop/odezhda/detskaya-odezhda/hudi-uniseks-condor-krasnoe-03815161/" , "03815161 Худи унисекс Condor, красное, размер 3XL")</f>
      </c>
      <c r="C6368" s="4" t="n">
        <v>3065.00</v>
      </c>
      <c r="D6368" s="4"/>
    </row>
    <row collapsed="" customFormat="false" customHeight="1" hidden="" ht="14" outlineLevel="0" r="6369">
      <c r="A6369" s="3" t="inlineStr">
        <is>
          <t>6338</t>
        </is>
      </c>
      <c r="B6369" s="4" t="s">
        <f>=HYPERLINK("http://anyluxury.ru/shop/odezhda/detskaya-odezhda/hudi-uniseks-condor-cherniy-melanzh-03815348/" , "03815348 Худи унисекс Condor, черный меланж, размер XS")</f>
      </c>
      <c r="C6369" s="4" t="n">
        <v>2598.00</v>
      </c>
      <c r="D6369" s="4"/>
    </row>
    <row collapsed="" customFormat="false" customHeight="1" hidden="" ht="14" outlineLevel="0" r="6370">
      <c r="A6370" s="3" t="inlineStr">
        <is>
          <t>6339</t>
        </is>
      </c>
      <c r="B6370" s="4" t="s">
        <f>=HYPERLINK("http://anyluxury.ru/shop/odezhda/detskaya-odezhda/hudi-uniseks-condor-cherniy-melanzh-03815348/" , "03815348 Худи унисекс Condor, черный меланж, размер S")</f>
      </c>
      <c r="C6370" s="4" t="n">
        <v>2598.00</v>
      </c>
      <c r="D6370" s="4"/>
    </row>
    <row collapsed="" customFormat="false" customHeight="1" hidden="" ht="14" outlineLevel="0" r="6371">
      <c r="A6371" s="3" t="inlineStr">
        <is>
          <t>6340</t>
        </is>
      </c>
      <c r="B6371" s="4" t="s">
        <f>=HYPERLINK("http://anyluxury.ru/shop/odezhda/detskaya-odezhda/hudi-uniseks-condor-cherniy-melanzh-03815348/" , "03815348 Худи унисекс Condor, черный меланж, размер M")</f>
      </c>
      <c r="C6371" s="4" t="n">
        <v>2598.00</v>
      </c>
      <c r="D6371" s="4"/>
    </row>
    <row collapsed="" customFormat="false" customHeight="1" hidden="" ht="14" outlineLevel="0" r="6372">
      <c r="A6372" s="3" t="inlineStr">
        <is>
          <t>6341</t>
        </is>
      </c>
      <c r="B6372" s="4" t="s">
        <f>=HYPERLINK("http://anyluxury.ru/shop/odezhda/detskaya-odezhda/hudi-uniseks-condor-cherniy-melanzh-03815348/" , "03815348 Худи унисекс Condor, черный меланж, размер L")</f>
      </c>
      <c r="C6372" s="4" t="n">
        <v>2598.00</v>
      </c>
      <c r="D6372" s="4"/>
    </row>
    <row collapsed="" customFormat="false" customHeight="1" hidden="" ht="14" outlineLevel="0" r="6373">
      <c r="A6373" s="3" t="inlineStr">
        <is>
          <t>6342</t>
        </is>
      </c>
      <c r="B6373" s="4" t="s">
        <f>=HYPERLINK("http://anyluxury.ru/shop/odezhda/detskaya-odezhda/hudi-uniseks-condor-cherniy-melanzh-03815348/" , "03815348 Худи унисекс Condor, черный меланж, размер XL")</f>
      </c>
      <c r="C6373" s="4" t="n">
        <v>2598.00</v>
      </c>
      <c r="D6373" s="4"/>
    </row>
    <row collapsed="" customFormat="false" customHeight="1" hidden="" ht="14" outlineLevel="0" r="6374">
      <c r="A6374" s="3" t="inlineStr">
        <is>
          <t>6343</t>
        </is>
      </c>
      <c r="B6374" s="4" t="s">
        <f>=HYPERLINK("http://anyluxury.ru/shop/odezhda/detskaya-odezhda/hudi-uniseks-condor-cherniy-melanzh-03815348/" , "03815348 Худи унисекс Condor, черный меланж, размер XXL")</f>
      </c>
      <c r="C6374" s="4" t="n">
        <v>2598.00</v>
      </c>
      <c r="D6374" s="4"/>
    </row>
    <row collapsed="" customFormat="false" customHeight="1" hidden="" ht="14" outlineLevel="0" r="6375">
      <c r="A6375" s="3" t="inlineStr">
        <is>
          <t>6344</t>
        </is>
      </c>
      <c r="B6375" s="4" t="s">
        <f>=HYPERLINK("http://anyluxury.ru/shop/odezhda/detskaya-odezhda/hudi-uniseks-condor-cherniy-melanzh-03815348/" , "03815348 Худи унисекс Condor, черный меланж, размер 3XL")</f>
      </c>
      <c r="C6375" s="4" t="n">
        <v>3065.00</v>
      </c>
      <c r="D6375" s="4"/>
    </row>
    <row collapsed="" customFormat="false" customHeight="1" hidden="" ht="14" outlineLevel="0" r="6376">
      <c r="A6376" s="3" t="inlineStr">
        <is>
          <t>6345</t>
        </is>
      </c>
      <c r="B6376" s="4" t="s">
        <f>=HYPERLINK("http://anyluxury.ru/shop/odezhda/detskaya-odezhda/hudi-uniseks-condor-goluboe-03815251/" , "03815251 Худи унисекс Condor, голубое, размер XS")</f>
      </c>
      <c r="C6376" s="4" t="n">
        <v>2598.00</v>
      </c>
      <c r="D6376" s="4"/>
    </row>
    <row collapsed="" customFormat="false" customHeight="1" hidden="" ht="14" outlineLevel="0" r="6377">
      <c r="A6377" s="3" t="inlineStr">
        <is>
          <t>6346</t>
        </is>
      </c>
      <c r="B6377" s="4" t="s">
        <f>=HYPERLINK("http://anyluxury.ru/shop/odezhda/detskaya-odezhda/hudi-uniseks-condor-goluboe-03815251/" , "03815251 Худи унисекс Condor, голубое, размер S")</f>
      </c>
      <c r="C6377" s="4" t="n">
        <v>2598.00</v>
      </c>
      <c r="D6377" s="4"/>
    </row>
    <row collapsed="" customFormat="false" customHeight="1" hidden="" ht="14" outlineLevel="0" r="6378">
      <c r="A6378" s="3" t="inlineStr">
        <is>
          <t>6347</t>
        </is>
      </c>
      <c r="B6378" s="4" t="s">
        <f>=HYPERLINK("http://anyluxury.ru/shop/odezhda/detskaya-odezhda/hudi-uniseks-condor-goluboe-03815251/" , "03815251 Худи унисекс Condor, голубое, размер M")</f>
      </c>
      <c r="C6378" s="4" t="n">
        <v>2598.00</v>
      </c>
      <c r="D6378" s="4"/>
    </row>
    <row collapsed="" customFormat="false" customHeight="1" hidden="" ht="14" outlineLevel="0" r="6379">
      <c r="A6379" s="3" t="inlineStr">
        <is>
          <t>6348</t>
        </is>
      </c>
      <c r="B6379" s="4" t="s">
        <f>=HYPERLINK("http://anyluxury.ru/shop/odezhda/detskaya-odezhda/hudi-uniseks-condor-goluboe-03815251/" , "03815251 Худи унисекс Condor, голубое, размер L")</f>
      </c>
      <c r="C6379" s="4" t="n">
        <v>2598.00</v>
      </c>
      <c r="D6379" s="4"/>
    </row>
    <row collapsed="" customFormat="false" customHeight="1" hidden="" ht="14" outlineLevel="0" r="6380">
      <c r="A6380" s="3" t="inlineStr">
        <is>
          <t>6349</t>
        </is>
      </c>
      <c r="B6380" s="4" t="s">
        <f>=HYPERLINK("http://anyluxury.ru/shop/odezhda/detskaya-odezhda/hudi-uniseks-condor-goluboe-03815251/" , "03815251 Худи унисекс Condor, голубое, размер XL")</f>
      </c>
      <c r="C6380" s="4" t="n">
        <v>2598.00</v>
      </c>
      <c r="D6380" s="4"/>
    </row>
    <row collapsed="" customFormat="false" customHeight="1" hidden="" ht="14" outlineLevel="0" r="6381">
      <c r="A6381" s="3" t="inlineStr">
        <is>
          <t>6350</t>
        </is>
      </c>
      <c r="B6381" s="4" t="s">
        <f>=HYPERLINK("http://anyluxury.ru/shop/odezhda/detskaya-odezhda/hudi-uniseks-condor-goluboe-03815251/" , "03815251 Худи унисекс Condor, голубое, размер XXL")</f>
      </c>
      <c r="C6381" s="4" t="n">
        <v>2598.00</v>
      </c>
      <c r="D6381" s="4"/>
    </row>
    <row collapsed="" customFormat="false" customHeight="1" hidden="" ht="14" outlineLevel="0" r="6382">
      <c r="A6382" s="3" t="inlineStr">
        <is>
          <t>6351</t>
        </is>
      </c>
      <c r="B6382" s="4" t="s">
        <f>=HYPERLINK("http://anyluxury.ru/shop/odezhda/detskaya-odezhda/hudi-uniseks-condor-goluboe-03815251/" , "03815251 Худи унисекс Condor, голубое, размер 3XL")</f>
      </c>
      <c r="C6382" s="4" t="n">
        <v>3065.00</v>
      </c>
      <c r="D6382" s="4"/>
    </row>
    <row collapsed="" customFormat="false" customHeight="1" hidden="" ht="14" outlineLevel="0" r="6383">
      <c r="A6383" s="3" t="inlineStr">
        <is>
          <t>6352</t>
        </is>
      </c>
      <c r="B6383" s="4" t="s">
        <f>=HYPERLINK("http://anyluxury.ru/shop/odezhda/detskaya-odezhda/hudi-uniseks-condor-svetlozelenoe-03815323/" , "03815323 Худи унисекс Condor, светло-зеленое, размер XS")</f>
      </c>
      <c r="C6383" s="4" t="n">
        <v>2598.00</v>
      </c>
      <c r="D6383" s="4"/>
    </row>
    <row collapsed="" customFormat="false" customHeight="1" hidden="" ht="14" outlineLevel="0" r="6384">
      <c r="A6384" s="3" t="inlineStr">
        <is>
          <t>6353</t>
        </is>
      </c>
      <c r="B6384" s="4" t="s">
        <f>=HYPERLINK("http://anyluxury.ru/shop/odezhda/detskaya-odezhda/hudi-uniseks-condor-svetlozelenoe-03815323/" , "03815323 Худи унисекс Condor, светло-зеленое, размер S")</f>
      </c>
      <c r="C6384" s="4" t="n">
        <v>2598.00</v>
      </c>
      <c r="D6384" s="4"/>
    </row>
    <row collapsed="" customFormat="false" customHeight="1" hidden="" ht="14" outlineLevel="0" r="6385">
      <c r="A6385" s="3" t="inlineStr">
        <is>
          <t>6354</t>
        </is>
      </c>
      <c r="B6385" s="4" t="s">
        <f>=HYPERLINK("http://anyluxury.ru/shop/odezhda/detskaya-odezhda/hudi-uniseks-condor-svetlozelenoe-03815323/" , "03815323 Худи унисекс Condor, светло-зеленое, размер M")</f>
      </c>
      <c r="C6385" s="4" t="n">
        <v>2598.00</v>
      </c>
      <c r="D6385" s="4"/>
    </row>
    <row collapsed="" customFormat="false" customHeight="1" hidden="" ht="14" outlineLevel="0" r="6386">
      <c r="A6386" s="3" t="inlineStr">
        <is>
          <t>6355</t>
        </is>
      </c>
      <c r="B6386" s="4" t="s">
        <f>=HYPERLINK("http://anyluxury.ru/shop/odezhda/detskaya-odezhda/hudi-uniseks-condor-svetlozelenoe-03815323/" , "03815323 Худи унисекс Condor, светло-зеленое, размер L")</f>
      </c>
      <c r="C6386" s="4" t="n">
        <v>2598.00</v>
      </c>
      <c r="D6386" s="4"/>
    </row>
    <row collapsed="" customFormat="false" customHeight="1" hidden="" ht="14" outlineLevel="0" r="6387">
      <c r="A6387" s="3" t="inlineStr">
        <is>
          <t>6356</t>
        </is>
      </c>
      <c r="B6387" s="4" t="s">
        <f>=HYPERLINK("http://anyluxury.ru/shop/odezhda/detskaya-odezhda/hudi-uniseks-condor-svetlozelenoe-03815323/" , "03815323 Худи унисекс Condor, светло-зеленое, размер XL")</f>
      </c>
      <c r="C6387" s="4" t="n">
        <v>2598.00</v>
      </c>
      <c r="D6387" s="4"/>
    </row>
    <row collapsed="" customFormat="false" customHeight="1" hidden="" ht="14" outlineLevel="0" r="6388">
      <c r="A6388" s="3" t="inlineStr">
        <is>
          <t>6357</t>
        </is>
      </c>
      <c r="B6388" s="4" t="s">
        <f>=HYPERLINK("http://anyluxury.ru/shop/odezhda/detskaya-odezhda/hudi-uniseks-condor-svetlozelenoe-03815323/" , "03815323 Худи унисекс Condor, светло-зеленое, размер XXL")</f>
      </c>
      <c r="C6388" s="4" t="n">
        <v>2598.00</v>
      </c>
      <c r="D6388" s="4"/>
    </row>
    <row collapsed="" customFormat="false" customHeight="1" hidden="" ht="14" outlineLevel="0" r="6389">
      <c r="A6389" s="3" t="inlineStr">
        <is>
          <t>6358</t>
        </is>
      </c>
      <c r="B6389" s="4" t="s">
        <f>=HYPERLINK("http://anyluxury.ru/shop/odezhda/detskaya-odezhda/hudi-uniseks-condor-svetlozelenoe-03815323/" , "03815323 Худи унисекс Condor, светло-зеленое, размер 3XL")</f>
      </c>
      <c r="C6389" s="4" t="n">
        <v>3065.00</v>
      </c>
      <c r="D6389" s="4"/>
    </row>
    <row collapsed="" customFormat="false" customHeight="1" hidden="" ht="14" outlineLevel="0" r="6390">
      <c r="A6390" s="3" t="inlineStr">
        <is>
          <t>6359</t>
        </is>
      </c>
      <c r="B6390" s="4" t="s">
        <f>=HYPERLINK("http://anyluxury.ru/shop/odezhda/detskaya-odezhda/hudi-uniseks-condor-rozovoe-03815143/" , "03815143 Худи унисекс Condor, розовое, размер XS")</f>
      </c>
      <c r="C6390" s="4" t="n">
        <v>2598.00</v>
      </c>
      <c r="D6390" s="4"/>
    </row>
    <row collapsed="" customFormat="false" customHeight="1" hidden="" ht="14" outlineLevel="0" r="6391">
      <c r="A6391" s="3" t="inlineStr">
        <is>
          <t>6360</t>
        </is>
      </c>
      <c r="B6391" s="4" t="s">
        <f>=HYPERLINK("http://anyluxury.ru/shop/odezhda/detskaya-odezhda/hudi-uniseks-condor-rozovoe-03815143/" , "03815143 Худи унисекс Condor, розовое, размер S")</f>
      </c>
      <c r="C6391" s="4" t="n">
        <v>2598.00</v>
      </c>
      <c r="D6391" s="4"/>
    </row>
    <row collapsed="" customFormat="false" customHeight="1" hidden="" ht="14" outlineLevel="0" r="6392">
      <c r="A6392" s="3" t="inlineStr">
        <is>
          <t>6361</t>
        </is>
      </c>
      <c r="B6392" s="4" t="s">
        <f>=HYPERLINK("http://anyluxury.ru/shop/odezhda/detskaya-odezhda/hudi-uniseks-condor-rozovoe-03815143/" , "03815143 Худи унисекс Condor, розовое, размер M")</f>
      </c>
      <c r="C6392" s="4" t="n">
        <v>2598.00</v>
      </c>
      <c r="D6392" s="4"/>
    </row>
    <row collapsed="" customFormat="false" customHeight="1" hidden="" ht="14" outlineLevel="0" r="6393">
      <c r="A6393" s="3" t="inlineStr">
        <is>
          <t>6362</t>
        </is>
      </c>
      <c r="B6393" s="4" t="s">
        <f>=HYPERLINK("http://anyluxury.ru/shop/odezhda/detskaya-odezhda/hudi-uniseks-condor-rozovoe-03815143/" , "03815143 Худи унисекс Condor, розовое, размер L")</f>
      </c>
      <c r="C6393" s="4" t="n">
        <v>2598.00</v>
      </c>
      <c r="D6393" s="4"/>
    </row>
    <row collapsed="" customFormat="false" customHeight="1" hidden="" ht="14" outlineLevel="0" r="6394">
      <c r="A6394" s="3" t="inlineStr">
        <is>
          <t>6363</t>
        </is>
      </c>
      <c r="B6394" s="4" t="s">
        <f>=HYPERLINK("http://anyluxury.ru/shop/odezhda/detskaya-odezhda/hudi-uniseks-condor-rozovoe-03815143/" , "03815143 Худи унисекс Condor, розовое, размер XL")</f>
      </c>
      <c r="C6394" s="4" t="n">
        <v>2598.00</v>
      </c>
      <c r="D6394" s="4"/>
    </row>
    <row collapsed="" customFormat="false" customHeight="1" hidden="" ht="14" outlineLevel="0" r="6395">
      <c r="A6395" s="3" t="inlineStr">
        <is>
          <t>6364</t>
        </is>
      </c>
      <c r="B6395" s="4" t="s">
        <f>=HYPERLINK("http://anyluxury.ru/shop/odezhda/detskaya-odezhda/hudi-uniseks-condor-rozovoe-03815143/" , "03815143 Худи унисекс Condor, розовое, размер XXL")</f>
      </c>
      <c r="C6395" s="4" t="n">
        <v>2598.00</v>
      </c>
      <c r="D6395" s="4"/>
    </row>
    <row collapsed="" customFormat="false" customHeight="1" hidden="" ht="14" outlineLevel="0" r="6396">
      <c r="A6396" s="3" t="inlineStr">
        <is>
          <t>6365</t>
        </is>
      </c>
      <c r="B6396" s="4" t="s">
        <f>=HYPERLINK("http://anyluxury.ru/shop/odezhda/detskaya-odezhda/hudi-uniseks-condor-rozovoe-03815143/" , "03815143 Худи унисекс Condor, розовое, размер 3XL")</f>
      </c>
      <c r="C6396" s="4" t="n">
        <v>3065.00</v>
      </c>
      <c r="D6396" s="4"/>
    </row>
    <row collapsed="" customFormat="false" customHeight="1" hidden="" ht="14" outlineLevel="0" r="6397">
      <c r="A6397" s="3" t="inlineStr">
        <is>
          <t>6366</t>
        </is>
      </c>
      <c r="B6397" s="4" t="s">
        <f>=HYPERLINK("http://anyluxury.ru/shop/odezhda/detskaya-odezhda/hudi-uniseks-condor-temnosinee-03815319/" , "03815319 Худи унисекс Condor, темно-синее, размер XS")</f>
      </c>
      <c r="C6397" s="4" t="n">
        <v>2598.00</v>
      </c>
      <c r="D6397" s="4"/>
    </row>
    <row collapsed="" customFormat="false" customHeight="1" hidden="" ht="14" outlineLevel="0" r="6398">
      <c r="A6398" s="3" t="inlineStr">
        <is>
          <t>6367</t>
        </is>
      </c>
      <c r="B6398" s="4" t="s">
        <f>=HYPERLINK("http://anyluxury.ru/shop/odezhda/detskaya-odezhda/hudi-uniseks-condor-temnosinee-03815319/" , "03815319 Худи унисекс Condor, темно-синее, размер S")</f>
      </c>
      <c r="C6398" s="4" t="n">
        <v>2598.00</v>
      </c>
      <c r="D6398" s="4"/>
    </row>
    <row collapsed="" customFormat="false" customHeight="1" hidden="" ht="14" outlineLevel="0" r="6399">
      <c r="A6399" s="3" t="inlineStr">
        <is>
          <t>6368</t>
        </is>
      </c>
      <c r="B6399" s="4" t="s">
        <f>=HYPERLINK("http://anyluxury.ru/shop/odezhda/detskaya-odezhda/hudi-uniseks-condor-temnosinee-03815319/" , "03815319 Худи унисекс Condor, темно-синее, размер M")</f>
      </c>
      <c r="C6399" s="4" t="n">
        <v>2598.00</v>
      </c>
      <c r="D6399" s="4"/>
    </row>
    <row collapsed="" customFormat="false" customHeight="1" hidden="" ht="14" outlineLevel="0" r="6400">
      <c r="A6400" s="3" t="inlineStr">
        <is>
          <t>6369</t>
        </is>
      </c>
      <c r="B6400" s="4" t="s">
        <f>=HYPERLINK("http://anyluxury.ru/shop/odezhda/detskaya-odezhda/hudi-uniseks-condor-temnosinee-03815319/" , "03815319 Худи унисекс Condor, темно-синее, размер L")</f>
      </c>
      <c r="C6400" s="4" t="n">
        <v>2598.00</v>
      </c>
      <c r="D6400" s="4"/>
    </row>
    <row collapsed="" customFormat="false" customHeight="1" hidden="" ht="14" outlineLevel="0" r="6401">
      <c r="A6401" s="3" t="inlineStr">
        <is>
          <t>6370</t>
        </is>
      </c>
      <c r="B6401" s="4" t="s">
        <f>=HYPERLINK("http://anyluxury.ru/shop/odezhda/detskaya-odezhda/hudi-uniseks-condor-temnosinee-03815319/" , "03815319 Худи унисекс Condor, темно-синее, размер XL")</f>
      </c>
      <c r="C6401" s="4" t="n">
        <v>2598.00</v>
      </c>
      <c r="D6401" s="4"/>
    </row>
    <row collapsed="" customFormat="false" customHeight="1" hidden="" ht="14" outlineLevel="0" r="6402">
      <c r="A6402" s="3" t="inlineStr">
        <is>
          <t>6371</t>
        </is>
      </c>
      <c r="B6402" s="4" t="s">
        <f>=HYPERLINK("http://anyluxury.ru/shop/odezhda/detskaya-odezhda/hudi-uniseks-condor-temnosinee-03815319/" , "03815319 Худи унисекс Condor, темно-синее, размер XXL")</f>
      </c>
      <c r="C6402" s="4" t="n">
        <v>2598.00</v>
      </c>
      <c r="D6402" s="4"/>
    </row>
    <row collapsed="" customFormat="false" customHeight="1" hidden="" ht="14" outlineLevel="0" r="6403">
      <c r="A6403" s="3" t="inlineStr">
        <is>
          <t>6372</t>
        </is>
      </c>
      <c r="B6403" s="4" t="s">
        <f>=HYPERLINK("http://anyluxury.ru/shop/odezhda/detskaya-odezhda/hudi-uniseks-condor-temnosinee-03815319/" , "03815319 Худи унисекс Condor, темно-синее, размер 3XL")</f>
      </c>
      <c r="C6403" s="4" t="n">
        <v>3065.00</v>
      </c>
      <c r="D6403" s="4"/>
    </row>
    <row collapsed="" customFormat="false" customHeight="1" hidden="" ht="14" outlineLevel="0" r="6404">
      <c r="A6404" s="3" t="inlineStr">
        <is>
          <t>6373</t>
        </is>
      </c>
      <c r="B6404" s="4" t="s">
        <f>=HYPERLINK("http://anyluxury.ru/shop/odezhda/detskaya-odezhda/hudi-uniseks-condor-temnosinee-03815319/" , "03815319 Худи унисекс Condor, темно-синее, размер 4XL")</f>
      </c>
      <c r="C6404" s="4" t="n">
        <v>3609.00</v>
      </c>
      <c r="D6404" s="4"/>
    </row>
    <row collapsed="" customFormat="false" customHeight="1" hidden="" ht="14" outlineLevel="0" r="6405">
      <c r="A6405" s="3" t="inlineStr">
        <is>
          <t>6374</t>
        </is>
      </c>
      <c r="B6405" s="4" t="s">
        <f>=HYPERLINK("http://anyluxury.ru/shop/odezhda/detskaya-odezhda/hudi-uniseks-condor-temnosinee-03815319/" , "03815319 Худи унисекс Condor, темно-синее, размер 5XL")</f>
      </c>
      <c r="C6405" s="4" t="n">
        <v>3609.00</v>
      </c>
      <c r="D6405" s="4"/>
    </row>
    <row collapsed="" customFormat="false" customHeight="1" hidden="" ht="14" outlineLevel="0" r="6406">
      <c r="A6406" s="3" t="inlineStr">
        <is>
          <t>6375</t>
        </is>
      </c>
      <c r="B6406" s="4" t="s">
        <f>=HYPERLINK("http://anyluxury.ru/shop/odezhda/detskaya-odezhda/hudi-uniseks-condor-zheltoe-03815301/" , "03815301 Худи унисекс Condor, желтое, размер XS")</f>
      </c>
      <c r="C6406" s="4" t="n">
        <v>2598.00</v>
      </c>
      <c r="D6406" s="4"/>
    </row>
    <row collapsed="" customFormat="false" customHeight="1" hidden="" ht="14" outlineLevel="0" r="6407">
      <c r="A6407" s="3" t="inlineStr">
        <is>
          <t>6376</t>
        </is>
      </c>
      <c r="B6407" s="4" t="s">
        <f>=HYPERLINK("http://anyluxury.ru/shop/odezhda/detskaya-odezhda/hudi-uniseks-condor-zheltoe-03815301/" , "03815301 Худи унисекс Condor, желтое, размер S")</f>
      </c>
      <c r="C6407" s="4" t="n">
        <v>2598.00</v>
      </c>
      <c r="D6407" s="4"/>
    </row>
    <row collapsed="" customFormat="false" customHeight="1" hidden="" ht="14" outlineLevel="0" r="6408">
      <c r="A6408" s="3" t="inlineStr">
        <is>
          <t>6377</t>
        </is>
      </c>
      <c r="B6408" s="4" t="s">
        <f>=HYPERLINK("http://anyluxury.ru/shop/odezhda/detskaya-odezhda/hudi-uniseks-condor-zheltoe-03815301/" , "03815301 Худи унисекс Condor, желтое, размер M")</f>
      </c>
      <c r="C6408" s="4" t="n">
        <v>2598.00</v>
      </c>
      <c r="D6408" s="4"/>
    </row>
    <row collapsed="" customFormat="false" customHeight="1" hidden="" ht="14" outlineLevel="0" r="6409">
      <c r="A6409" s="3" t="inlineStr">
        <is>
          <t>6378</t>
        </is>
      </c>
      <c r="B6409" s="4" t="s">
        <f>=HYPERLINK("http://anyluxury.ru/shop/odezhda/detskaya-odezhda/hudi-uniseks-condor-zheltoe-03815301/" , "03815301 Худи унисекс Condor, желтое, размер L")</f>
      </c>
      <c r="C6409" s="4" t="n">
        <v>2598.00</v>
      </c>
      <c r="D6409" s="4"/>
    </row>
    <row collapsed="" customFormat="false" customHeight="1" hidden="" ht="14" outlineLevel="0" r="6410">
      <c r="A6410" s="3" t="inlineStr">
        <is>
          <t>6379</t>
        </is>
      </c>
      <c r="B6410" s="4" t="s">
        <f>=HYPERLINK("http://anyluxury.ru/shop/odezhda/detskaya-odezhda/hudi-uniseks-condor-zheltoe-03815301/" , "03815301 Худи унисекс Condor, желтое, размер XL")</f>
      </c>
      <c r="C6410" s="4" t="n">
        <v>2598.00</v>
      </c>
      <c r="D6410" s="4"/>
    </row>
    <row collapsed="" customFormat="false" customHeight="1" hidden="" ht="14" outlineLevel="0" r="6411">
      <c r="A6411" s="3" t="inlineStr">
        <is>
          <t>6380</t>
        </is>
      </c>
      <c r="B6411" s="4" t="s">
        <f>=HYPERLINK("http://anyluxury.ru/shop/odezhda/detskaya-odezhda/hudi-uniseks-condor-zheltoe-03815301/" , "03815301 Худи унисекс Condor, желтое, размер XXL")</f>
      </c>
      <c r="C6411" s="4" t="n">
        <v>2598.00</v>
      </c>
      <c r="D6411" s="4"/>
    </row>
    <row collapsed="" customFormat="false" customHeight="1" hidden="" ht="14" outlineLevel="0" r="6412">
      <c r="A6412" s="3" t="inlineStr">
        <is>
          <t>6381</t>
        </is>
      </c>
      <c r="B6412" s="4" t="s">
        <f>=HYPERLINK("http://anyluxury.ru/shop/odezhda/detskaya-odezhda/hudi-uniseks-condor-zheltoe-03815301/" , "03815301 Худи унисекс Condor, желтое, размер 3XL")</f>
      </c>
      <c r="C6412" s="4" t="n">
        <v>3065.00</v>
      </c>
      <c r="D6412" s="4"/>
    </row>
    <row collapsed="" customFormat="false" customHeight="1" hidden="" ht="14" outlineLevel="0" r="6413">
      <c r="A6413" s="3" t="inlineStr">
        <is>
          <t>6382</t>
        </is>
      </c>
      <c r="B6413" s="4" t="s">
        <f>=HYPERLINK("http://anyluxury.ru/shop/odezhda/detskaya-odezhda/hudi-uniseks-condor-svetlozheltoe-03815260/" , "03815260 Худи унисекс Condor, светло-желтое, размер XS")</f>
      </c>
      <c r="C6413" s="4" t="n">
        <v>2598.00</v>
      </c>
      <c r="D6413" s="4"/>
    </row>
    <row collapsed="" customFormat="false" customHeight="1" hidden="" ht="14" outlineLevel="0" r="6414">
      <c r="A6414" s="3" t="inlineStr">
        <is>
          <t>6383</t>
        </is>
      </c>
      <c r="B6414" s="4" t="s">
        <f>=HYPERLINK("http://anyluxury.ru/shop/odezhda/detskaya-odezhda/hudi-uniseks-condor-svetlozheltoe-03815260/" , "03815260 Худи унисекс Condor, светло-желтое, размер S")</f>
      </c>
      <c r="C6414" s="4" t="n">
        <v>2598.00</v>
      </c>
      <c r="D6414" s="4"/>
    </row>
    <row collapsed="" customFormat="false" customHeight="1" hidden="" ht="14" outlineLevel="0" r="6415">
      <c r="A6415" s="3" t="inlineStr">
        <is>
          <t>6384</t>
        </is>
      </c>
      <c r="B6415" s="4" t="s">
        <f>=HYPERLINK("http://anyluxury.ru/shop/odezhda/detskaya-odezhda/hudi-uniseks-condor-svetlozheltoe-03815260/" , "03815260 Худи унисекс Condor, светло-желтое, размер M")</f>
      </c>
      <c r="C6415" s="4" t="n">
        <v>2598.00</v>
      </c>
      <c r="D6415" s="4"/>
    </row>
    <row collapsed="" customFormat="false" customHeight="1" hidden="" ht="14" outlineLevel="0" r="6416">
      <c r="A6416" s="3" t="inlineStr">
        <is>
          <t>6385</t>
        </is>
      </c>
      <c r="B6416" s="4" t="s">
        <f>=HYPERLINK("http://anyluxury.ru/shop/odezhda/detskaya-odezhda/hudi-uniseks-condor-svetlozheltoe-03815260/" , "03815260 Худи унисекс Condor, светло-желтое, размер L")</f>
      </c>
      <c r="C6416" s="4" t="n">
        <v>2598.00</v>
      </c>
      <c r="D6416" s="4"/>
    </row>
    <row collapsed="" customFormat="false" customHeight="1" hidden="" ht="14" outlineLevel="0" r="6417">
      <c r="A6417" s="3" t="inlineStr">
        <is>
          <t>6386</t>
        </is>
      </c>
      <c r="B6417" s="4" t="s">
        <f>=HYPERLINK("http://anyluxury.ru/shop/odezhda/detskaya-odezhda/hudi-uniseks-condor-svetlozheltoe-03815260/" , "03815260 Худи унисекс Condor, светло-желтое, размер XL")</f>
      </c>
      <c r="C6417" s="4" t="n">
        <v>2598.00</v>
      </c>
      <c r="D6417" s="4"/>
    </row>
    <row collapsed="" customFormat="false" customHeight="1" hidden="" ht="14" outlineLevel="0" r="6418">
      <c r="A6418" s="3" t="inlineStr">
        <is>
          <t>6387</t>
        </is>
      </c>
      <c r="B6418" s="4" t="s">
        <f>=HYPERLINK("http://anyluxury.ru/shop/odezhda/detskaya-odezhda/hudi-uniseks-condor-svetlozheltoe-03815260/" , "03815260 Худи унисекс Condor, светло-желтое, размер XXL")</f>
      </c>
      <c r="C6418" s="4" t="n">
        <v>2598.00</v>
      </c>
      <c r="D6418" s="4"/>
    </row>
    <row collapsed="" customFormat="false" customHeight="1" hidden="" ht="14" outlineLevel="0" r="6419">
      <c r="A6419" s="3" t="inlineStr">
        <is>
          <t>6388</t>
        </is>
      </c>
      <c r="B6419" s="4" t="s">
        <f>=HYPERLINK("http://anyluxury.ru/shop/odezhda/detskaya-odezhda/hudi-uniseks-condor-svetlozheltoe-03815260/" , "03815260 Худи унисекс Condor, светло-желтое, размер 3XL")</f>
      </c>
      <c r="C6419" s="4" t="n">
        <v>3065.00</v>
      </c>
      <c r="D6419" s="4"/>
    </row>
    <row collapsed="" customFormat="false" customHeight="1" hidden="" ht="14" outlineLevel="0" r="6420">
      <c r="A6420" s="3" t="inlineStr">
        <is>
          <t>6389</t>
        </is>
      </c>
      <c r="B6420" s="4" t="s">
        <f>=HYPERLINK("http://anyluxury.ru/shop/odezhda/detskaya-odezhda/hudi-uniseks-condor-sirenevoe-03815701/" , "03815701 Худи унисекс Condor, сиреневое, размер XS")</f>
      </c>
      <c r="C6420" s="4" t="n">
        <v>2598.00</v>
      </c>
      <c r="D6420" s="4"/>
    </row>
    <row collapsed="" customFormat="false" customHeight="1" hidden="" ht="14" outlineLevel="0" r="6421">
      <c r="A6421" s="3" t="inlineStr">
        <is>
          <t>6390</t>
        </is>
      </c>
      <c r="B6421" s="4" t="s">
        <f>=HYPERLINK("http://anyluxury.ru/shop/odezhda/detskaya-odezhda/hudi-uniseks-condor-sirenevoe-03815701/" , "03815701 Худи унисекс Condor, сиреневое, размер S")</f>
      </c>
      <c r="C6421" s="4" t="n">
        <v>2598.00</v>
      </c>
      <c r="D6421" s="4"/>
    </row>
    <row collapsed="" customFormat="false" customHeight="1" hidden="" ht="14" outlineLevel="0" r="6422">
      <c r="A6422" s="3" t="inlineStr">
        <is>
          <t>6391</t>
        </is>
      </c>
      <c r="B6422" s="4" t="s">
        <f>=HYPERLINK("http://anyluxury.ru/shop/odezhda/detskaya-odezhda/hudi-uniseks-condor-sirenevoe-03815701/" , "03815701 Худи унисекс Condor, сиреневое, размер M")</f>
      </c>
      <c r="C6422" s="4" t="n">
        <v>2598.00</v>
      </c>
      <c r="D6422" s="4"/>
    </row>
    <row collapsed="" customFormat="false" customHeight="1" hidden="" ht="14" outlineLevel="0" r="6423">
      <c r="A6423" s="3" t="inlineStr">
        <is>
          <t>6392</t>
        </is>
      </c>
      <c r="B6423" s="4" t="s">
        <f>=HYPERLINK("http://anyluxury.ru/shop/odezhda/detskaya-odezhda/hudi-uniseks-condor-sirenevoe-03815701/" , "03815701 Худи унисекс Condor, сиреневое, размер L")</f>
      </c>
      <c r="C6423" s="4" t="n">
        <v>2598.00</v>
      </c>
      <c r="D6423" s="4"/>
    </row>
    <row collapsed="" customFormat="false" customHeight="1" hidden="" ht="14" outlineLevel="0" r="6424">
      <c r="A6424" s="3" t="inlineStr">
        <is>
          <t>6393</t>
        </is>
      </c>
      <c r="B6424" s="4" t="s">
        <f>=HYPERLINK("http://anyluxury.ru/shop/odezhda/detskaya-odezhda/hudi-uniseks-condor-sirenevoe-03815701/" , "03815701 Худи унисекс Condor, сиреневое, размер XL")</f>
      </c>
      <c r="C6424" s="4" t="n">
        <v>2598.00</v>
      </c>
      <c r="D6424" s="4"/>
    </row>
    <row collapsed="" customFormat="false" customHeight="1" hidden="" ht="14" outlineLevel="0" r="6425">
      <c r="A6425" s="3" t="inlineStr">
        <is>
          <t>6394</t>
        </is>
      </c>
      <c r="B6425" s="4" t="s">
        <f>=HYPERLINK("http://anyluxury.ru/shop/odezhda/detskaya-odezhda/hudi-uniseks-condor-sirenevoe-03815701/" , "03815701 Худи унисекс Condor, сиреневое, размер XXL")</f>
      </c>
      <c r="C6425" s="4" t="n">
        <v>2598.00</v>
      </c>
      <c r="D6425" s="4"/>
    </row>
    <row collapsed="" customFormat="false" customHeight="1" hidden="" ht="14" outlineLevel="0" r="6426">
      <c r="A6426" s="3" t="inlineStr">
        <is>
          <t>6395</t>
        </is>
      </c>
      <c r="B6426" s="4" t="s">
        <f>=HYPERLINK("http://anyluxury.ru/shop/odezhda/detskaya-odezhda/hudi-uniseks-condor-sirenevoe-03815701/" , "03815701 Худи унисекс Condor, сиреневое, размер 3XL")</f>
      </c>
      <c r="C6426" s="4" t="n">
        <v>3065.00</v>
      </c>
      <c r="D6426" s="4"/>
    </row>
    <row collapsed="" customFormat="false" customHeight="1" hidden="" ht="14" outlineLevel="0" r="6427">
      <c r="A6427" s="3" t="inlineStr">
        <is>
          <t>6396</t>
        </is>
      </c>
      <c r="B6427" s="4" t="s">
        <f>=HYPERLINK("http://anyluxury.ru/shop/odezhda/detskaya-odezhda/hudi-uniseks-condor-yarkosinee-03815241/" , "03815241 Худи унисекс Condor, ярко-синее, размер XS")</f>
      </c>
      <c r="C6427" s="4" t="n">
        <v>2598.00</v>
      </c>
      <c r="D6427" s="4"/>
    </row>
    <row collapsed="" customFormat="false" customHeight="1" hidden="" ht="14" outlineLevel="0" r="6428">
      <c r="A6428" s="3" t="inlineStr">
        <is>
          <t>6397</t>
        </is>
      </c>
      <c r="B6428" s="4" t="s">
        <f>=HYPERLINK("http://anyluxury.ru/shop/odezhda/detskaya-odezhda/hudi-uniseks-condor-yarkosinee-03815241/" , "03815241 Худи унисекс Condor, ярко-синее, размер S")</f>
      </c>
      <c r="C6428" s="4" t="n">
        <v>2598.00</v>
      </c>
      <c r="D6428" s="4"/>
    </row>
    <row collapsed="" customFormat="false" customHeight="1" hidden="" ht="14" outlineLevel="0" r="6429">
      <c r="A6429" s="3" t="inlineStr">
        <is>
          <t>6398</t>
        </is>
      </c>
      <c r="B6429" s="4" t="s">
        <f>=HYPERLINK("http://anyluxury.ru/shop/odezhda/detskaya-odezhda/hudi-uniseks-condor-yarkosinee-03815241/" , "03815241 Худи унисекс Condor, ярко-синее, размер M")</f>
      </c>
      <c r="C6429" s="4" t="n">
        <v>2598.00</v>
      </c>
      <c r="D6429" s="4"/>
    </row>
    <row collapsed="" customFormat="false" customHeight="1" hidden="" ht="14" outlineLevel="0" r="6430">
      <c r="A6430" s="3" t="inlineStr">
        <is>
          <t>6399</t>
        </is>
      </c>
      <c r="B6430" s="4" t="s">
        <f>=HYPERLINK("http://anyluxury.ru/shop/odezhda/detskaya-odezhda/hudi-uniseks-condor-yarkosinee-03815241/" , "03815241 Худи унисекс Condor, ярко-синее, размер L")</f>
      </c>
      <c r="C6430" s="4" t="n">
        <v>2598.00</v>
      </c>
      <c r="D6430" s="4"/>
    </row>
    <row collapsed="" customFormat="false" customHeight="1" hidden="" ht="14" outlineLevel="0" r="6431">
      <c r="A6431" s="3" t="inlineStr">
        <is>
          <t>6400</t>
        </is>
      </c>
      <c r="B6431" s="4" t="s">
        <f>=HYPERLINK("http://anyluxury.ru/shop/odezhda/detskaya-odezhda/hudi-uniseks-condor-yarkosinee-03815241/" , "03815241 Худи унисекс Condor, ярко-синее, размер XL")</f>
      </c>
      <c r="C6431" s="4" t="n">
        <v>2598.00</v>
      </c>
      <c r="D6431" s="4"/>
    </row>
    <row collapsed="" customFormat="false" customHeight="1" hidden="" ht="14" outlineLevel="0" r="6432">
      <c r="A6432" s="3" t="inlineStr">
        <is>
          <t>6401</t>
        </is>
      </c>
      <c r="B6432" s="4" t="s">
        <f>=HYPERLINK("http://anyluxury.ru/shop/odezhda/detskaya-odezhda/hudi-uniseks-condor-yarkosinee-03815241/" , "03815241 Худи унисекс Condor, ярко-синее, размер XXL")</f>
      </c>
      <c r="C6432" s="4" t="n">
        <v>2598.00</v>
      </c>
      <c r="D6432" s="4"/>
    </row>
    <row collapsed="" customFormat="false" customHeight="1" hidden="" ht="14" outlineLevel="0" r="6433">
      <c r="A6433" s="3" t="inlineStr">
        <is>
          <t>6402</t>
        </is>
      </c>
      <c r="B6433" s="4" t="s">
        <f>=HYPERLINK("http://anyluxury.ru/shop/odezhda/detskaya-odezhda/hudi-uniseks-condor-yarkosinee-03815241/" , "03815241 Худи унисекс Condor, ярко-синее, размер 3XL")</f>
      </c>
      <c r="C6433" s="4" t="n">
        <v>3065.00</v>
      </c>
      <c r="D6433" s="4"/>
    </row>
    <row collapsed="" customFormat="false" customHeight="1" hidden="" ht="14" outlineLevel="0" r="6434">
      <c r="A6434" s="3" t="inlineStr">
        <is>
          <t>6403</t>
        </is>
      </c>
      <c r="B6434" s="4" t="s">
        <f>=HYPERLINK("http://anyluxury.ru/shop/odezhda/detskaya-odezhda/hudi-uniseks-condor-yarkosinee-03815241/" , "03815241 Худи унисекс Condor, ярко-синее, размер 4XL")</f>
      </c>
      <c r="C6434" s="4" t="n">
        <v>3609.00</v>
      </c>
      <c r="D6434" s="4"/>
    </row>
    <row collapsed="" customFormat="false" customHeight="1" hidden="" ht="14" outlineLevel="0" r="6435">
      <c r="A6435" s="3" t="inlineStr">
        <is>
          <t>6404</t>
        </is>
      </c>
      <c r="B6435" s="4" t="s">
        <f>=HYPERLINK("http://anyluxury.ru/shop/odezhda/detskaya-odezhda/hudi-uniseks-condor-yarkosinee-03815241/" , "03815241 Худи унисекс Condor, ярко-синее, размер 5XL")</f>
      </c>
      <c r="C6435" s="4" t="n">
        <v>3609.00</v>
      </c>
      <c r="D6435" s="4"/>
    </row>
    <row collapsed="" customFormat="false" customHeight="1" hidden="" ht="14" outlineLevel="0" r="6436">
      <c r="A6436" s="3" t="inlineStr">
        <is>
          <t>6405</t>
        </is>
      </c>
      <c r="B6436" s="4" t="s">
        <f>=HYPERLINK("http://anyluxury.ru/shop/odezhda/detskaya-odezhda/hudi-uniseks-connor-chernoe-03813312/" , "03813312 Худи унисекс Connor, черное, размер XS")</f>
      </c>
      <c r="C6436" s="4" t="n">
        <v>4763.00</v>
      </c>
      <c r="D6436" s="4"/>
    </row>
    <row collapsed="" customFormat="false" customHeight="1" hidden="" ht="14" outlineLevel="0" r="6437">
      <c r="A6437" s="3" t="inlineStr">
        <is>
          <t>6406</t>
        </is>
      </c>
      <c r="B6437" s="4" t="s">
        <f>=HYPERLINK("http://anyluxury.ru/shop/odezhda/detskaya-odezhda/hudi-uniseks-connor-chernoe-03813312/" , "03813312 Худи унисекс Connor, черное, размер S")</f>
      </c>
      <c r="C6437" s="4" t="n">
        <v>4763.00</v>
      </c>
      <c r="D6437" s="4"/>
    </row>
    <row collapsed="" customFormat="false" customHeight="1" hidden="" ht="14" outlineLevel="0" r="6438">
      <c r="A6438" s="3" t="inlineStr">
        <is>
          <t>6407</t>
        </is>
      </c>
      <c r="B6438" s="4" t="s">
        <f>=HYPERLINK("http://anyluxury.ru/shop/odezhda/detskaya-odezhda/hudi-uniseks-connor-chernoe-03813312/" , "03813312 Худи унисекс Connor, черное, размер M")</f>
      </c>
      <c r="C6438" s="4" t="n">
        <v>4763.00</v>
      </c>
      <c r="D6438" s="4"/>
    </row>
    <row collapsed="" customFormat="false" customHeight="1" hidden="" ht="14" outlineLevel="0" r="6439">
      <c r="A6439" s="3" t="inlineStr">
        <is>
          <t>6408</t>
        </is>
      </c>
      <c r="B6439" s="4" t="s">
        <f>=HYPERLINK("http://anyluxury.ru/shop/odezhda/detskaya-odezhda/hudi-uniseks-connor-chernoe-03813312/" , "03813312 Худи унисекс Connor, черное, размер L")</f>
      </c>
      <c r="C6439" s="4" t="n">
        <v>4763.00</v>
      </c>
      <c r="D6439" s="4"/>
    </row>
    <row collapsed="" customFormat="false" customHeight="1" hidden="" ht="14" outlineLevel="0" r="6440">
      <c r="A6440" s="3" t="inlineStr">
        <is>
          <t>6409</t>
        </is>
      </c>
      <c r="B6440" s="4" t="s">
        <f>=HYPERLINK("http://anyluxury.ru/shop/odezhda/detskaya-odezhda/hudi-uniseks-connor-chernoe-03813312/" , "03813312 Худи унисекс Connor, черное, размер XL")</f>
      </c>
      <c r="C6440" s="4" t="n">
        <v>4763.00</v>
      </c>
      <c r="D6440" s="4"/>
    </row>
    <row collapsed="" customFormat="false" customHeight="1" hidden="" ht="14" outlineLevel="0" r="6441">
      <c r="A6441" s="3" t="inlineStr">
        <is>
          <t>6410</t>
        </is>
      </c>
      <c r="B6441" s="4" t="s">
        <f>=HYPERLINK("http://anyluxury.ru/shop/odezhda/detskaya-odezhda/hudi-uniseks-connor-chernoe-03813312/" , "03813312 Худи унисекс Connor, черное, размер XXL")</f>
      </c>
      <c r="C6441" s="4" t="n">
        <v>4763.00</v>
      </c>
      <c r="D6441" s="4"/>
    </row>
    <row collapsed="" customFormat="false" customHeight="1" hidden="" ht="14" outlineLevel="0" r="6442">
      <c r="A6442" s="3" t="inlineStr">
        <is>
          <t>6411</t>
        </is>
      </c>
      <c r="B6442" s="4" t="s">
        <f>=HYPERLINK("http://anyluxury.ru/shop/odezhda/detskaya-odezhda/hudi-uniseks-connor-krasnoe-03813161/" , "03813161 Худи унисекс Connor, красное, размер XS")</f>
      </c>
      <c r="C6442" s="4" t="n">
        <v>4763.00</v>
      </c>
      <c r="D6442" s="4"/>
    </row>
    <row collapsed="" customFormat="false" customHeight="1" hidden="" ht="14" outlineLevel="0" r="6443">
      <c r="A6443" s="3" t="inlineStr">
        <is>
          <t>6412</t>
        </is>
      </c>
      <c r="B6443" s="4" t="s">
        <f>=HYPERLINK("http://anyluxury.ru/shop/odezhda/detskaya-odezhda/hudi-uniseks-connor-krasnoe-03813161/" , "03813161 Худи унисекс Connor, красное, размер S")</f>
      </c>
      <c r="C6443" s="4" t="n">
        <v>4763.00</v>
      </c>
      <c r="D6443" s="4"/>
    </row>
    <row collapsed="" customFormat="false" customHeight="1" hidden="" ht="14" outlineLevel="0" r="6444">
      <c r="A6444" s="3" t="inlineStr">
        <is>
          <t>6413</t>
        </is>
      </c>
      <c r="B6444" s="4" t="s">
        <f>=HYPERLINK("http://anyluxury.ru/shop/odezhda/detskaya-odezhda/hudi-uniseks-connor-krasnoe-03813161/" , "03813161 Худи унисекс Connor, красное, размер M")</f>
      </c>
      <c r="C6444" s="4" t="n">
        <v>4763.00</v>
      </c>
      <c r="D6444" s="4"/>
    </row>
    <row collapsed="" customFormat="false" customHeight="1" hidden="" ht="14" outlineLevel="0" r="6445">
      <c r="A6445" s="3" t="inlineStr">
        <is>
          <t>6414</t>
        </is>
      </c>
      <c r="B6445" s="4" t="s">
        <f>=HYPERLINK("http://anyluxury.ru/shop/odezhda/detskaya-odezhda/hudi-uniseks-connor-krasnoe-03813161/" , "03813161 Худи унисекс Connor, красное, размер L")</f>
      </c>
      <c r="C6445" s="4" t="n">
        <v>4763.00</v>
      </c>
      <c r="D6445" s="4"/>
    </row>
    <row collapsed="" customFormat="false" customHeight="1" hidden="" ht="14" outlineLevel="0" r="6446">
      <c r="A6446" s="3" t="inlineStr">
        <is>
          <t>6415</t>
        </is>
      </c>
      <c r="B6446" s="4" t="s">
        <f>=HYPERLINK("http://anyluxury.ru/shop/odezhda/detskaya-odezhda/hudi-uniseks-connor-krasnoe-03813161/" , "03813161 Худи унисекс Connor, красное, размер XL")</f>
      </c>
      <c r="C6446" s="4" t="n">
        <v>4763.00</v>
      </c>
      <c r="D6446" s="4"/>
    </row>
    <row collapsed="" customFormat="false" customHeight="1" hidden="" ht="14" outlineLevel="0" r="6447">
      <c r="A6447" s="3" t="inlineStr">
        <is>
          <t>6416</t>
        </is>
      </c>
      <c r="B6447" s="4" t="s">
        <f>=HYPERLINK("http://anyluxury.ru/shop/odezhda/detskaya-odezhda/hudi-uniseks-connor-krasnoe-03813161/" , "03813161 Худи унисекс Connor, красное, размер XXL")</f>
      </c>
      <c r="C6447" s="4" t="n">
        <v>4763.00</v>
      </c>
      <c r="D6447" s="4"/>
    </row>
    <row collapsed="" customFormat="false" customHeight="1" hidden="" ht="14" outlineLevel="0" r="6448">
      <c r="A6448" s="3" t="inlineStr">
        <is>
          <t>6417</t>
        </is>
      </c>
      <c r="B6448" s="4" t="s">
        <f>=HYPERLINK("http://anyluxury.ru/shop/odezhda/detskaya-odezhda/hudi-uniseks-connor-temnosinee-03813319/" , "03813319 Худи унисекс Connor, темно-синее, размер XS")</f>
      </c>
      <c r="C6448" s="4" t="n">
        <v>4763.00</v>
      </c>
      <c r="D6448" s="4"/>
    </row>
    <row collapsed="" customFormat="false" customHeight="1" hidden="" ht="14" outlineLevel="0" r="6449">
      <c r="A6449" s="3" t="inlineStr">
        <is>
          <t>6418</t>
        </is>
      </c>
      <c r="B6449" s="4" t="s">
        <f>=HYPERLINK("http://anyluxury.ru/shop/odezhda/detskaya-odezhda/hudi-uniseks-connor-temnosinee-03813319/" , "03813319 Худи унисекс Connor, темно-синее, размер S")</f>
      </c>
      <c r="C6449" s="4" t="n">
        <v>4763.00</v>
      </c>
      <c r="D6449" s="4"/>
    </row>
    <row collapsed="" customFormat="false" customHeight="1" hidden="" ht="14" outlineLevel="0" r="6450">
      <c r="A6450" s="3" t="inlineStr">
        <is>
          <t>6419</t>
        </is>
      </c>
      <c r="B6450" s="4" t="s">
        <f>=HYPERLINK("http://anyluxury.ru/shop/odezhda/detskaya-odezhda/hudi-uniseks-connor-temnosinee-03813319/" , "03813319 Худи унисекс Connor, темно-синее, размер M")</f>
      </c>
      <c r="C6450" s="4" t="n">
        <v>4763.00</v>
      </c>
      <c r="D6450" s="4"/>
    </row>
    <row collapsed="" customFormat="false" customHeight="1" hidden="" ht="14" outlineLevel="0" r="6451">
      <c r="A6451" s="3" t="inlineStr">
        <is>
          <t>6420</t>
        </is>
      </c>
      <c r="B6451" s="4" t="s">
        <f>=HYPERLINK("http://anyluxury.ru/shop/odezhda/detskaya-odezhda/hudi-uniseks-connor-temnosinee-03813319/" , "03813319 Худи унисекс Connor, темно-синее, размер L")</f>
      </c>
      <c r="C6451" s="4" t="n">
        <v>4763.00</v>
      </c>
      <c r="D6451" s="4"/>
    </row>
    <row collapsed="" customFormat="false" customHeight="1" hidden="" ht="14" outlineLevel="0" r="6452">
      <c r="A6452" s="3" t="inlineStr">
        <is>
          <t>6421</t>
        </is>
      </c>
      <c r="B6452" s="4" t="s">
        <f>=HYPERLINK("http://anyluxury.ru/shop/odezhda/detskaya-odezhda/hudi-uniseks-connor-temnosinee-03813319/" , "03813319 Худи унисекс Connor, темно-синее, размер XL")</f>
      </c>
      <c r="C6452" s="4" t="n">
        <v>4763.00</v>
      </c>
      <c r="D6452" s="4"/>
    </row>
    <row collapsed="" customFormat="false" customHeight="1" hidden="" ht="14" outlineLevel="0" r="6453">
      <c r="A6453" s="3" t="inlineStr">
        <is>
          <t>6422</t>
        </is>
      </c>
      <c r="B6453" s="4" t="s">
        <f>=HYPERLINK("http://anyluxury.ru/shop/odezhda/detskaya-odezhda/hudi-uniseks-connor-temnosinee-03813319/" , "03813319 Худи унисекс Connor, темно-синее, размер XXL")</f>
      </c>
      <c r="C6453" s="4" t="n">
        <v>4763.00</v>
      </c>
      <c r="D6453" s="4"/>
    </row>
    <row collapsed="" customFormat="false" customHeight="1" hidden="" ht="14" outlineLevel="0" r="6454">
      <c r="A6454" s="3" t="inlineStr">
        <is>
          <t>6423</t>
        </is>
      </c>
      <c r="B6454" s="4" t="s">
        <f>=HYPERLINK("http://anyluxury.ru/shop/odezhda/detskaya-odezhda/hudi-uniseks-connor-haki-03813268/" , "03813268 Худи унисекс Connor, хаки, размер XS")</f>
      </c>
      <c r="C6454" s="4" t="n">
        <v>4763.00</v>
      </c>
      <c r="D6454" s="4"/>
    </row>
    <row collapsed="" customFormat="false" customHeight="1" hidden="" ht="14" outlineLevel="0" r="6455">
      <c r="A6455" s="3" t="inlineStr">
        <is>
          <t>6424</t>
        </is>
      </c>
      <c r="B6455" s="4" t="s">
        <f>=HYPERLINK("http://anyluxury.ru/shop/odezhda/detskaya-odezhda/hudi-uniseks-connor-haki-03813268/" , "03813268 Худи унисекс Connor, хаки, размер S")</f>
      </c>
      <c r="C6455" s="4" t="n">
        <v>4763.00</v>
      </c>
      <c r="D6455" s="4"/>
    </row>
    <row collapsed="" customFormat="false" customHeight="1" hidden="" ht="14" outlineLevel="0" r="6456">
      <c r="A6456" s="3" t="inlineStr">
        <is>
          <t>6425</t>
        </is>
      </c>
      <c r="B6456" s="4" t="s">
        <f>=HYPERLINK("http://anyluxury.ru/shop/odezhda/detskaya-odezhda/hudi-uniseks-connor-haki-03813268/" , "03813268 Худи унисекс Connor, хаки, размер M")</f>
      </c>
      <c r="C6456" s="4" t="n">
        <v>4763.00</v>
      </c>
      <c r="D6456" s="4"/>
    </row>
    <row collapsed="" customFormat="false" customHeight="1" hidden="" ht="14" outlineLevel="0" r="6457">
      <c r="A6457" s="3" t="inlineStr">
        <is>
          <t>6426</t>
        </is>
      </c>
      <c r="B6457" s="4" t="s">
        <f>=HYPERLINK("http://anyluxury.ru/shop/odezhda/detskaya-odezhda/hudi-uniseks-connor-haki-03813268/" , "03813268 Худи унисекс Connor, хаки, размер L")</f>
      </c>
      <c r="C6457" s="4" t="n">
        <v>4763.00</v>
      </c>
      <c r="D6457" s="4"/>
    </row>
    <row collapsed="" customFormat="false" customHeight="1" hidden="" ht="14" outlineLevel="0" r="6458">
      <c r="A6458" s="3" t="inlineStr">
        <is>
          <t>6427</t>
        </is>
      </c>
      <c r="B6458" s="4" t="s">
        <f>=HYPERLINK("http://anyluxury.ru/shop/odezhda/detskaya-odezhda/hudi-uniseks-connor-haki-03813268/" , "03813268 Худи унисекс Connor, хаки, размер XL")</f>
      </c>
      <c r="C6458" s="4" t="n">
        <v>4763.00</v>
      </c>
      <c r="D6458" s="4"/>
    </row>
    <row collapsed="" customFormat="false" customHeight="1" hidden="" ht="14" outlineLevel="0" r="6459">
      <c r="A6459" s="3" t="inlineStr">
        <is>
          <t>6428</t>
        </is>
      </c>
      <c r="B6459" s="4" t="s">
        <f>=HYPERLINK("http://anyluxury.ru/shop/odezhda/detskaya-odezhda/hudi-uniseks-connor-haki-03813268/" , "03813268 Худи унисекс Connor, хаки, размер XXL")</f>
      </c>
      <c r="C6459" s="4" t="n">
        <v>4763.00</v>
      </c>
      <c r="D6459" s="4"/>
    </row>
    <row collapsed="" customFormat="false" customHeight="1" hidden="" ht="14" outlineLevel="0" r="6460">
      <c r="A6460" s="3" t="inlineStr">
        <is>
          <t>6429</t>
        </is>
      </c>
      <c r="B6460" s="4" t="s">
        <f>=HYPERLINK("http://anyluxury.ru/shop/odezhda/detskaya-odezhda/hudi-uniseks-connor-temnoseroe-grafit-03813381/" , "03813381 Худи унисекс Connor, темно-серое (графит), размер XS")</f>
      </c>
      <c r="C6460" s="4" t="n">
        <v>4763.00</v>
      </c>
      <c r="D6460" s="4"/>
    </row>
    <row collapsed="" customFormat="false" customHeight="1" hidden="" ht="14" outlineLevel="0" r="6461">
      <c r="A6461" s="3" t="inlineStr">
        <is>
          <t>6430</t>
        </is>
      </c>
      <c r="B6461" s="4" t="s">
        <f>=HYPERLINK("http://anyluxury.ru/shop/odezhda/detskaya-odezhda/hudi-uniseks-connor-temnoseroe-grafit-03813381/" , "03813381 Худи унисекс Connor, темно-серое (графит), размер S")</f>
      </c>
      <c r="C6461" s="4" t="n">
        <v>4763.00</v>
      </c>
      <c r="D6461" s="4"/>
    </row>
    <row collapsed="" customFormat="false" customHeight="1" hidden="" ht="14" outlineLevel="0" r="6462">
      <c r="A6462" s="3" t="inlineStr">
        <is>
          <t>6431</t>
        </is>
      </c>
      <c r="B6462" s="4" t="s">
        <f>=HYPERLINK("http://anyluxury.ru/shop/odezhda/detskaya-odezhda/hudi-uniseks-connor-temnoseroe-grafit-03813381/" , "03813381 Худи унисекс Connor, темно-серое (графит), размер M")</f>
      </c>
      <c r="C6462" s="4" t="n">
        <v>4763.00</v>
      </c>
      <c r="D6462" s="4"/>
    </row>
    <row collapsed="" customFormat="false" customHeight="1" hidden="" ht="14" outlineLevel="0" r="6463">
      <c r="A6463" s="3" t="inlineStr">
        <is>
          <t>6432</t>
        </is>
      </c>
      <c r="B6463" s="4" t="s">
        <f>=HYPERLINK("http://anyluxury.ru/shop/odezhda/detskaya-odezhda/hudi-uniseks-connor-temnoseroe-grafit-03813381/" , "03813381 Худи унисекс Connor, темно-серое (графит), размер L")</f>
      </c>
      <c r="C6463" s="4" t="n">
        <v>4763.00</v>
      </c>
      <c r="D6463" s="4"/>
    </row>
    <row collapsed="" customFormat="false" customHeight="1" hidden="" ht="14" outlineLevel="0" r="6464">
      <c r="A6464" s="3" t="inlineStr">
        <is>
          <t>6433</t>
        </is>
      </c>
      <c r="B6464" s="4" t="s">
        <f>=HYPERLINK("http://anyluxury.ru/shop/odezhda/detskaya-odezhda/hudi-uniseks-connor-temnoseroe-grafit-03813381/" , "03813381 Худи унисекс Connor, темно-серое (графит), размер XL")</f>
      </c>
      <c r="C6464" s="4" t="n">
        <v>4763.00</v>
      </c>
      <c r="D6464" s="4"/>
    </row>
    <row collapsed="" customFormat="false" customHeight="1" hidden="" ht="14" outlineLevel="0" r="6465">
      <c r="A6465" s="3" t="inlineStr">
        <is>
          <t>6434</t>
        </is>
      </c>
      <c r="B6465" s="4" t="s">
        <f>=HYPERLINK("http://anyluxury.ru/shop/odezhda/detskaya-odezhda/hudi-uniseks-connor-temnoseroe-grafit-03813381/" , "03813381 Худи унисекс Connor, темно-серое (графит), размер XXL")</f>
      </c>
      <c r="C6465" s="4" t="n">
        <v>4763.00</v>
      </c>
      <c r="D6465" s="4"/>
    </row>
    <row collapsed="" customFormat="false" customHeight="1" hidden="" ht="14" outlineLevel="0" r="6466">
      <c r="A6466" s="3" t="inlineStr">
        <is>
          <t>6435</t>
        </is>
      </c>
      <c r="B6466" s="4" t="s">
        <f>=HYPERLINK("http://anyluxury.ru/shop/odezhda/detskaya-odezhda/hudi-uniseks-connor-beloe-03813102/" , "03813102 Худи унисекс Connor, белое, размер XS")</f>
      </c>
      <c r="C6466" s="4" t="n">
        <v>4771.00</v>
      </c>
      <c r="D6466" s="4"/>
    </row>
    <row collapsed="" customFormat="false" customHeight="1" hidden="" ht="14" outlineLevel="0" r="6467">
      <c r="A6467" s="3" t="inlineStr">
        <is>
          <t>6436</t>
        </is>
      </c>
      <c r="B6467" s="4" t="s">
        <f>=HYPERLINK("http://anyluxury.ru/shop/odezhda/detskaya-odezhda/hudi-uniseks-connor-beloe-03813102/" , "03813102 Худи унисекс Connor, белое, размер S")</f>
      </c>
      <c r="C6467" s="4" t="n">
        <v>4771.00</v>
      </c>
      <c r="D6467" s="4"/>
    </row>
    <row collapsed="" customFormat="false" customHeight="1" hidden="" ht="14" outlineLevel="0" r="6468">
      <c r="A6468" s="3" t="inlineStr">
        <is>
          <t>6437</t>
        </is>
      </c>
      <c r="B6468" s="4" t="s">
        <f>=HYPERLINK("http://anyluxury.ru/shop/odezhda/detskaya-odezhda/hudi-uniseks-connor-beloe-03813102/" , "03813102 Худи унисекс Connor, белое, размер M")</f>
      </c>
      <c r="C6468" s="4" t="n">
        <v>4771.00</v>
      </c>
      <c r="D6468" s="4"/>
    </row>
    <row collapsed="" customFormat="false" customHeight="1" hidden="" ht="14" outlineLevel="0" r="6469">
      <c r="A6469" s="3" t="inlineStr">
        <is>
          <t>6438</t>
        </is>
      </c>
      <c r="B6469" s="4" t="s">
        <f>=HYPERLINK("http://anyluxury.ru/shop/odezhda/detskaya-odezhda/hudi-uniseks-connor-beloe-03813102/" , "03813102 Худи унисекс Connor, белое, размер L")</f>
      </c>
      <c r="C6469" s="4" t="n">
        <v>4771.00</v>
      </c>
      <c r="D6469" s="4"/>
    </row>
    <row collapsed="" customFormat="false" customHeight="1" hidden="" ht="14" outlineLevel="0" r="6470">
      <c r="A6470" s="3" t="inlineStr">
        <is>
          <t>6439</t>
        </is>
      </c>
      <c r="B6470" s="4" t="s">
        <f>=HYPERLINK("http://anyluxury.ru/shop/odezhda/detskaya-odezhda/hudi-uniseks-connor-beloe-03813102/" , "03813102 Худи унисекс Connor, белое, размер XL")</f>
      </c>
      <c r="C6470" s="4" t="n">
        <v>4771.00</v>
      </c>
      <c r="D6470" s="4"/>
    </row>
    <row collapsed="" customFormat="false" customHeight="1" hidden="" ht="14" outlineLevel="0" r="6471">
      <c r="A6471" s="3" t="inlineStr">
        <is>
          <t>6440</t>
        </is>
      </c>
      <c r="B6471" s="4" t="s">
        <f>=HYPERLINK("http://anyluxury.ru/shop/odezhda/detskaya-odezhda/hudi-uniseks-connor-beloe-03813102/" , "03813102 Худи унисекс Connor, белое, размер XXL")</f>
      </c>
      <c r="C6471" s="4" t="n">
        <v>4771.00</v>
      </c>
      <c r="D6471" s="4"/>
    </row>
    <row collapsed="" customFormat="false" customHeight="1" hidden="" ht="14" outlineLevel="0" r="6472">
      <c r="A6472" s="3" t="inlineStr">
        <is>
          <t>6441</t>
        </is>
      </c>
      <c r="B6472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6 лет")</f>
      </c>
      <c r="C6472" s="4" t="n">
        <v>988.00</v>
      </c>
      <c r="D6472" s="4"/>
    </row>
    <row collapsed="" customFormat="false" customHeight="1" hidden="" ht="14" outlineLevel="0" r="6473">
      <c r="A6473" s="3" t="inlineStr">
        <is>
          <t>6442</t>
        </is>
      </c>
      <c r="B6473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8 лет")</f>
      </c>
      <c r="C6473" s="4" t="n">
        <v>988.00</v>
      </c>
      <c r="D6473" s="4"/>
    </row>
    <row collapsed="" customFormat="false" customHeight="1" hidden="" ht="14" outlineLevel="0" r="6474">
      <c r="A6474" s="3" t="inlineStr">
        <is>
          <t>6443</t>
        </is>
      </c>
      <c r="B6474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10 лет")</f>
      </c>
      <c r="C6474" s="4" t="n">
        <v>988.00</v>
      </c>
      <c r="D6474" s="4"/>
    </row>
    <row collapsed="" customFormat="false" customHeight="1" hidden="" ht="14" outlineLevel="0" r="6475">
      <c r="A6475" s="3" t="inlineStr">
        <is>
          <t>6444</t>
        </is>
      </c>
      <c r="B6475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12 лет")</f>
      </c>
      <c r="C6475" s="4" t="n">
        <v>988.00</v>
      </c>
      <c r="D6475" s="4"/>
    </row>
    <row collapsed="" customFormat="false" customHeight="1" hidden="" ht="14" outlineLevel="0" r="6476">
      <c r="A6476" s="3" t="inlineStr">
        <is>
          <t>6445</t>
        </is>
      </c>
      <c r="B6476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14 лет")</f>
      </c>
      <c r="C6476" s="4" t="n">
        <v>988.00</v>
      </c>
      <c r="D6476" s="4"/>
    </row>
    <row collapsed="" customFormat="false" customHeight="1" hidden="" ht="14" outlineLevel="0" r="6477">
      <c r="A6477" s="3" t="inlineStr">
        <is>
          <t>6446</t>
        </is>
      </c>
      <c r="B6477" s="4" t="s">
        <f>=HYPERLINK("http://anyluxury.ru/shop/odezhda/detskaya-odezhda/tolstovka-s-kapyushonom-kirenga-temnoseraya-grafit-689410/" , "6894.10 Толстовка с капюшоном Kirenga, темно-серая (графит), размер XS")</f>
      </c>
      <c r="C6477" s="4" t="n">
        <v>1487.00</v>
      </c>
      <c r="D6477" s="4"/>
    </row>
    <row collapsed="" customFormat="false" customHeight="1" hidden="" ht="14" outlineLevel="0" r="6478">
      <c r="A6478" s="3" t="inlineStr">
        <is>
          <t>6447</t>
        </is>
      </c>
      <c r="B6478" s="4" t="s">
        <f>=HYPERLINK("http://anyluxury.ru/shop/odezhda/detskaya-odezhda/tolstovka-s-kapyushonom-kirenga-temnoseraya-grafit-689410/" , "6894.10 Толстовка с капюшоном Kirenga, темно-серая (графит), размер S")</f>
      </c>
      <c r="C6478" s="4" t="n">
        <v>1487.00</v>
      </c>
      <c r="D6478" s="4"/>
    </row>
    <row collapsed="" customFormat="false" customHeight="1" hidden="" ht="14" outlineLevel="0" r="6479">
      <c r="A6479" s="3" t="inlineStr">
        <is>
          <t>6448</t>
        </is>
      </c>
      <c r="B6479" s="4" t="s">
        <f>=HYPERLINK("http://anyluxury.ru/shop/odezhda/detskaya-odezhda/tolstovka-s-kapyushonom-kirenga-temnoseraya-grafit-689410/" , "6894.10 Толстовка с капюшоном Kirenga, темно-серая (графит), размер M")</f>
      </c>
      <c r="C6479" s="4" t="n">
        <v>1487.00</v>
      </c>
      <c r="D6479" s="4"/>
    </row>
    <row collapsed="" customFormat="false" customHeight="1" hidden="" ht="14" outlineLevel="0" r="6480">
      <c r="A6480" s="3" t="inlineStr">
        <is>
          <t>6449</t>
        </is>
      </c>
      <c r="B6480" s="4" t="s">
        <f>=HYPERLINK("http://anyluxury.ru/shop/odezhda/detskaya-odezhda/tolstovka-s-kapyushonom-kirenga-temnoseraya-grafit-689410/" , "6894.10 Толстовка с капюшоном Kirenga, темно-серая (графит), размер 3XL")</f>
      </c>
      <c r="C6480" s="4" t="n">
        <v>1487.00</v>
      </c>
      <c r="D6480" s="4"/>
    </row>
    <row collapsed="" customFormat="false" customHeight="1" hidden="" ht="14" outlineLevel="0" r="6481">
      <c r="A6481" s="3" t="inlineStr">
        <is>
          <t>6450</t>
        </is>
      </c>
      <c r="B6481" s="4" t="s">
        <f>=HYPERLINK("http://anyluxury.ru/shop/odezhda/detskaya-odezhda/tolstovka-s-kapyushonom-kirenga-temnoseraya-grafit-689410/" , "6894.10 Толстовка с капюшоном Kirenga, темно-серая (графит), размер 4XL")</f>
      </c>
      <c r="C6481" s="4" t="n">
        <v>1487.00</v>
      </c>
      <c r="D6481" s="4"/>
    </row>
    <row collapsed="" customFormat="false" customHeight="1" hidden="" ht="14" outlineLevel="0" r="6482">
      <c r="A6482" s="3" t="inlineStr">
        <is>
          <t>6451</t>
        </is>
      </c>
      <c r="B6482" s="4" t="s">
        <f>=HYPERLINK("http://anyluxury.ru/shop/odezhda/detskaya-odezhda/tolstovka-toima-temnoseraya-grafit-689610/" , "6896.10 Толстовка Toima, темно-серая (графит), размер S")</f>
      </c>
      <c r="C6482" s="4" t="n">
        <v>1191.00</v>
      </c>
      <c r="D6482" s="4"/>
    </row>
    <row collapsed="" customFormat="false" customHeight="1" hidden="" ht="14" outlineLevel="0" r="6483">
      <c r="A6483" s="3" t="inlineStr">
        <is>
          <t>6452</t>
        </is>
      </c>
      <c r="B6483" s="4" t="s">
        <f>=HYPERLINK("http://anyluxury.ru/shop/odezhda/detskaya-odezhda/tolstovka-toima-temnoseraya-grafit-689610/" , "6896.10 Толстовка Toima, темно-серая (графит), размер 3XL")</f>
      </c>
      <c r="C6483" s="4" t="n">
        <v>1191.00</v>
      </c>
      <c r="D6483" s="4"/>
    </row>
    <row collapsed="" customFormat="false" customHeight="1" hidden="" ht="14" outlineLevel="0" r="6484">
      <c r="A6484" s="3" t="inlineStr">
        <is>
          <t>6453</t>
        </is>
      </c>
      <c r="B6484" s="4" t="s">
        <f>=HYPERLINK("http://anyluxury.ru/shop/odezhda/detskaya-odezhda/tolstovka-toima-temnoseraya-grafit-689610/" , "6896.10 Толстовка Toima, темно-серая (графит), размер 4XL")</f>
      </c>
      <c r="C6484" s="4" t="n">
        <v>1191.00</v>
      </c>
      <c r="D6484" s="4"/>
    </row>
    <row collapsed="" customFormat="false" customHeight="1" hidden="" ht="14" outlineLevel="0" r="6485">
      <c r="A6485" s="3" t="inlineStr">
        <is>
          <t>6454</t>
        </is>
      </c>
      <c r="B6485" s="4" t="s">
        <f>=HYPERLINK("http://anyluxury.ru/shop/odezhda/detskaya-odezhda/tolstovka-toima-heavy-fioletovaya-692878/" , "6928.78 Толстовка Toima Heavy, фиолетовая, размер S")</f>
      </c>
      <c r="C6485" s="4" t="n">
        <v>1472.00</v>
      </c>
      <c r="D6485" s="4"/>
    </row>
    <row collapsed="" customFormat="false" customHeight="1" hidden="" ht="14" outlineLevel="0" r="6486">
      <c r="A6486" s="3" t="inlineStr">
        <is>
          <t>6455</t>
        </is>
      </c>
      <c r="B6486" s="4" t="s">
        <f>=HYPERLINK("http://anyluxury.ru/shop/odezhda/detskaya-odezhda/tolstovka-toima-heavy-fioletovaya-692878/" , "6928.78 Толстовка Toima Heavy, фиолетовая, размер M")</f>
      </c>
      <c r="C6486" s="4" t="n">
        <v>1472.00</v>
      </c>
      <c r="D6486" s="4"/>
    </row>
    <row collapsed="" customFormat="false" customHeight="1" hidden="" ht="14" outlineLevel="0" r="6487">
      <c r="A6487" s="3" t="inlineStr">
        <is>
          <t>6456</t>
        </is>
      </c>
      <c r="B6487" s="4" t="s">
        <f>=HYPERLINK("http://anyluxury.ru/shop/odezhda/detskaya-odezhda/tolstovka-toima-heavy-fioletovaya-692878/" , "6928.78 Толстовка Toima Heavy, фиолетовая, размер L")</f>
      </c>
      <c r="C6487" s="4" t="n">
        <v>1472.00</v>
      </c>
      <c r="D6487" s="4"/>
    </row>
    <row collapsed="" customFormat="false" customHeight="1" hidden="" ht="14" outlineLevel="0" r="6488">
      <c r="A6488" s="3" t="inlineStr">
        <is>
          <t>6457</t>
        </is>
      </c>
      <c r="B6488" s="4" t="s">
        <f>=HYPERLINK("http://anyluxury.ru/shop/odezhda/detskaya-odezhda/tolstovka-toima-heavy-fioletovaya-692878/" , "6928.78 Толстовка Toima Heavy, фиолетовая, размер XL")</f>
      </c>
      <c r="C6488" s="4" t="n">
        <v>1472.00</v>
      </c>
      <c r="D6488" s="4"/>
    </row>
    <row collapsed="" customFormat="false" customHeight="1" hidden="" ht="14" outlineLevel="0" r="6489">
      <c r="A6489" s="3" t="inlineStr">
        <is>
          <t>6458</t>
        </is>
      </c>
      <c r="B6489" s="4" t="s">
        <f>=HYPERLINK("http://anyluxury.ru/shop/odezhda/detskaya-odezhda/tolstovka-toima-heavy-fioletovaya-692878/" , "6928.78 Толстовка Toima Heavy, фиолетовая, размер XXL")</f>
      </c>
      <c r="C6489" s="4" t="n">
        <v>1472.00</v>
      </c>
      <c r="D6489" s="4"/>
    </row>
    <row collapsed="" customFormat="false" customHeight="1" hidden="" ht="14" outlineLevel="0" r="6490">
      <c r="A6490" s="3" t="inlineStr">
        <is>
          <t>6459</t>
        </is>
      </c>
      <c r="B6490" s="4" t="s">
        <f>=HYPERLINK("http://anyluxury.ru/shop/odezhda/detskaya-odezhda/tolstovka-toima-heavy-fioletovaya-692878/" , "6928.78 Толстовка Toima Heavy, фиолетовая, размер 3XL")</f>
      </c>
      <c r="C6490" s="4" t="n">
        <v>1472.00</v>
      </c>
      <c r="D6490" s="4"/>
    </row>
    <row collapsed="" customFormat="false" customHeight="1" hidden="" ht="14" outlineLevel="0" r="6491">
      <c r="A6491" s="3" t="inlineStr">
        <is>
          <t>6460</t>
        </is>
      </c>
      <c r="B6491" s="4" t="s">
        <f>=HYPERLINK("http://anyluxury.ru/shop/odezhda/detskaya-odezhda/tolstovka-toima-heavy-fioletovaya-692878/" , "6928.78 Толстовка Toima Heavy, фиолетовая, размер 4XL")</f>
      </c>
      <c r="C6491" s="4" t="n">
        <v>1472.00</v>
      </c>
      <c r="D6491" s="4"/>
    </row>
    <row collapsed="" customFormat="false" customHeight="1" hidden="" ht="14" outlineLevel="0" r="6492">
      <c r="A6492" s="3" t="inlineStr">
        <is>
          <t>6461</t>
        </is>
      </c>
      <c r="B6492" s="4" t="s">
        <f>=HYPERLINK("http://anyluxury.ru/shop/odezhda/detskaya-odezhda/tolstovka-toima-heavy-fioletovaya-692878/" , "6928.78 Толстовка Toima Heavy, фиолетовая, размер XS")</f>
      </c>
      <c r="C6492" s="4" t="n">
        <v>1472.00</v>
      </c>
      <c r="D6492" s="4"/>
    </row>
    <row collapsed="" customFormat="false" customHeight="1" hidden="" ht="14" outlineLevel="0" r="6493">
      <c r="A6493" s="3" t="inlineStr">
        <is>
          <t>6462</t>
        </is>
      </c>
      <c r="B6493" s="4" t="s">
        <f>=HYPERLINK("http://anyluxury.ru/shop/odezhda/detskaya-odezhda/svitshot-uniseks-sublimatism-beliy-1564160/" , "15641.60 Свитшот унисекс Sublimatism, белый, размер S")</f>
      </c>
      <c r="C6493" s="4" t="n">
        <v>2200.00</v>
      </c>
      <c r="D6493" s="4"/>
    </row>
    <row collapsed="" customFormat="false" customHeight="1" hidden="" ht="14" outlineLevel="0" r="6494">
      <c r="A6494" s="3" t="inlineStr">
        <is>
          <t>6463</t>
        </is>
      </c>
      <c r="B6494" s="4" t="s">
        <f>=HYPERLINK("http://anyluxury.ru/shop/odezhda/detskaya-odezhda/svitshot-uniseks-sublimatism-beliy-1564160/" , "15641.60 Свитшот унисекс Sublimatism, белый, размер M")</f>
      </c>
      <c r="C6494" s="4" t="n">
        <v>2200.00</v>
      </c>
      <c r="D6494" s="4"/>
    </row>
    <row collapsed="" customFormat="false" customHeight="1" hidden="" ht="14" outlineLevel="0" r="6495">
      <c r="A6495" s="3" t="inlineStr">
        <is>
          <t>6464</t>
        </is>
      </c>
      <c r="B6495" s="4" t="s">
        <f>=HYPERLINK("http://anyluxury.ru/shop/odezhda/detskaya-odezhda/svitshot-uniseks-sublimatism-beliy-1564160/" , "15641.60 Свитшот унисекс Sublimatism, белый, размер L")</f>
      </c>
      <c r="C6495" s="4" t="n">
        <v>2200.00</v>
      </c>
      <c r="D6495" s="4"/>
    </row>
    <row collapsed="" customFormat="false" customHeight="1" hidden="" ht="14" outlineLevel="0" r="6496">
      <c r="A6496" s="3" t="inlineStr">
        <is>
          <t>6465</t>
        </is>
      </c>
      <c r="B6496" s="4" t="s">
        <f>=HYPERLINK("http://anyluxury.ru/shop/odezhda/detskaya-odezhda/svitshot-uniseks-sublimatism-beliy-1564160/" , "15641.60 Свитшот унисекс Sublimatism, белый, размер XL")</f>
      </c>
      <c r="C6496" s="4" t="n">
        <v>2200.00</v>
      </c>
      <c r="D6496" s="4"/>
    </row>
    <row collapsed="" customFormat="false" customHeight="1" hidden="" ht="14" outlineLevel="0" r="6497">
      <c r="A6497" s="3" t="inlineStr">
        <is>
          <t>6466</t>
        </is>
      </c>
      <c r="B6497" s="4" t="s">
        <f>=HYPERLINK("http://anyluxury.ru/shop/odezhda/detskaya-odezhda/svitshot-uniseks-sublimatism-beliy-1564160/" , "15641.60 Свитшот унисекс Sublimatism, белый, размер XXL")</f>
      </c>
      <c r="C6497" s="4" t="n">
        <v>2200.00</v>
      </c>
      <c r="D6497" s="4"/>
    </row>
    <row collapsed="" customFormat="false" customHeight="1" hidden="" ht="14" outlineLevel="0" r="6498">
      <c r="A6498" s="3" t="inlineStr">
        <is>
          <t>6467</t>
        </is>
      </c>
      <c r="B6498" s="4" t="s">
        <f>=HYPERLINK("http://anyluxury.ru/shop/odezhda/detskaya-odezhda/hudi-uniseks-sublimatism-beloe-1564260/" , "15642.60 Худи унисекс Sublimatism, белое, размер S")</f>
      </c>
      <c r="C6498" s="4" t="n">
        <v>2700.00</v>
      </c>
      <c r="D6498" s="4"/>
    </row>
    <row collapsed="" customFormat="false" customHeight="1" hidden="" ht="14" outlineLevel="0" r="6499">
      <c r="A6499" s="3" t="inlineStr">
        <is>
          <t>6468</t>
        </is>
      </c>
      <c r="B6499" s="4" t="s">
        <f>=HYPERLINK("http://anyluxury.ru/shop/odezhda/detskaya-odezhda/hudi-uniseks-sublimatism-beloe-1564260/" , "15642.60 Худи унисекс Sublimatism, белое, размер M")</f>
      </c>
      <c r="C6499" s="4" t="n">
        <v>2700.00</v>
      </c>
      <c r="D6499" s="4"/>
    </row>
    <row collapsed="" customFormat="false" customHeight="1" hidden="" ht="14" outlineLevel="0" r="6500">
      <c r="A6500" s="3" t="inlineStr">
        <is>
          <t>6469</t>
        </is>
      </c>
      <c r="B6500" s="4" t="s">
        <f>=HYPERLINK("http://anyluxury.ru/shop/odezhda/detskaya-odezhda/hudi-uniseks-sublimatism-beloe-1564260/" , "15642.60 Худи унисекс Sublimatism, белое, размер L")</f>
      </c>
      <c r="C6500" s="4" t="n">
        <v>2700.00</v>
      </c>
      <c r="D6500" s="4"/>
    </row>
    <row collapsed="" customFormat="false" customHeight="1" hidden="" ht="14" outlineLevel="0" r="6501">
      <c r="A6501" s="3" t="inlineStr">
        <is>
          <t>6470</t>
        </is>
      </c>
      <c r="B6501" s="4" t="s">
        <f>=HYPERLINK("http://anyluxury.ru/shop/odezhda/detskaya-odezhda/hudi-uniseks-sublimatism-beloe-1564260/" , "15642.60 Худи унисекс Sublimatism, белое, размер XL")</f>
      </c>
      <c r="C6501" s="4" t="n">
        <v>2700.00</v>
      </c>
      <c r="D6501" s="4"/>
    </row>
    <row collapsed="" customFormat="false" customHeight="1" hidden="" ht="14" outlineLevel="0" r="6502">
      <c r="A6502" s="3" t="inlineStr">
        <is>
          <t>6471</t>
        </is>
      </c>
      <c r="B6502" s="4" t="s">
        <f>=HYPERLINK("http://anyluxury.ru/shop/odezhda/detskaya-odezhda/hudi-uniseks-sublimatism-beloe-1564260/" , "15642.60 Худи унисекс Sublimatism, белое, размер XXL")</f>
      </c>
      <c r="C6502" s="4" t="n">
        <v>2700.00</v>
      </c>
      <c r="D6502" s="4"/>
    </row>
    <row collapsed="" customFormat="false" customHeight="1" hidden="" ht="14" outlineLevel="0" r="6503">
      <c r="A6503" s="3" t="inlineStr">
        <is>
          <t>6472</t>
        </is>
      </c>
      <c r="B6503" s="4" t="s">
        <f>=HYPERLINK("http://anyluxury.ru/shop/odezhda/detskaya-odezhda/perchatki-alpine-svetloserie-1801312/" , "18013.12 Перчатки Alpine, светло-серые, размер S/M")</f>
      </c>
      <c r="C6503" s="4" t="n">
        <v>1399.00</v>
      </c>
      <c r="D6503" s="4"/>
    </row>
    <row collapsed="" customFormat="false" customHeight="1" hidden="" ht="14" outlineLevel="0" r="6504">
      <c r="A6504" s="3" t="inlineStr">
        <is>
          <t>6473</t>
        </is>
      </c>
      <c r="B6504" s="4" t="s">
        <f>=HYPERLINK("http://anyluxury.ru/shop/odezhda/detskaya-odezhda/perchatki-alpine-svetloserie-1801312/" , "18013.12 Перчатки Alpine, светло-серые, размер L/XL")</f>
      </c>
      <c r="C6504" s="4" t="n">
        <v>1399.00</v>
      </c>
      <c r="D6504" s="4"/>
    </row>
    <row collapsed="" customFormat="false" customHeight="1" hidden="" ht="14" outlineLevel="0" r="6505">
      <c r="A6505" s="3" t="inlineStr">
        <is>
          <t>6474</t>
        </is>
      </c>
      <c r="B6505" s="4" t="s">
        <f>=HYPERLINK("http://anyluxury.ru/shop/odezhda/detskaya-odezhda/ruchki-corda-dlya-paketa-l-chernie-2310130/" , "23101.30 Ручки Corda для пакета L, черные")</f>
      </c>
      <c r="C6505" s="4" t="n">
        <v>110.00</v>
      </c>
      <c r="D6505" s="4"/>
    </row>
    <row collapsed="" customFormat="false" customHeight="1" hidden="" ht="14" outlineLevel="0" r="6506">
      <c r="A6506" s="3" t="inlineStr">
        <is>
          <t>6475</t>
        </is>
      </c>
      <c r="B6506" s="4" t="s">
        <f>=HYPERLINK("http://anyluxury.ru/shop/odezhda/detskaya-odezhda/ruchki-corda-dlya-paketa-l-belie-2310160/" , "23101.60 Ручки Corda для пакета L, белые")</f>
      </c>
      <c r="C6506" s="4" t="n">
        <v>110.00</v>
      </c>
      <c r="D6506" s="4"/>
    </row>
    <row collapsed="" customFormat="false" customHeight="1" hidden="" ht="14" outlineLevel="0" r="6507">
      <c r="A6507" s="3" t="inlineStr">
        <is>
          <t>6476</t>
        </is>
      </c>
      <c r="B6507" s="4" t="s">
        <f>=HYPERLINK("http://anyluxury.ru/shop/odezhda/detskaya-odezhda/ruchki-corda-dlya-paketa-l-bezhevie-2310112/" , "23101.12 Ручки Corda для пакета L, бежевые")</f>
      </c>
      <c r="C6507" s="4" t="n">
        <v>110.00</v>
      </c>
      <c r="D6507" s="4"/>
    </row>
    <row collapsed="" customFormat="false" customHeight="1" hidden="" ht="14" outlineLevel="0" r="6508">
      <c r="A6508" s="3" t="inlineStr">
        <is>
          <t>6477</t>
        </is>
      </c>
      <c r="B6508" s="4" t="s">
        <f>=HYPERLINK("http://anyluxury.ru/shop/odezhda/detskaya-odezhda/ruchki-corda-dlya-paketa-l-temnosinie-2310143/" , "23101.43 Ручки Corda для пакета L, темно-синие")</f>
      </c>
      <c r="C6508" s="4" t="n">
        <v>110.00</v>
      </c>
      <c r="D6508" s="4"/>
    </row>
    <row collapsed="" customFormat="false" customHeight="1" hidden="" ht="14" outlineLevel="0" r="6509">
      <c r="A6509" s="3" t="inlineStr">
        <is>
          <t>6478</t>
        </is>
      </c>
      <c r="B6509" s="4" t="s">
        <f>=HYPERLINK("http://anyluxury.ru/shop/odezhda/detskaya-odezhda/ruchki-corda-dlya-paketa-l-sinie-2310144/" , "23101.44 Ручки Corda для пакета L, синие")</f>
      </c>
      <c r="C6509" s="4" t="n">
        <v>110.00</v>
      </c>
      <c r="D6509" s="4"/>
    </row>
    <row collapsed="" customFormat="false" customHeight="1" hidden="" ht="14" outlineLevel="0" r="6510">
      <c r="A6510" s="3" t="inlineStr">
        <is>
          <t>6479</t>
        </is>
      </c>
      <c r="B6510" s="4" t="s">
        <f>=HYPERLINK("http://anyluxury.ru/shop/odezhda/detskaya-odezhda/ruchki-corda-dlya-paketa-l-golubie-2310114/" , "23101.14 Ручки Corda для пакета L, голубые")</f>
      </c>
      <c r="C6510" s="4" t="n">
        <v>110.00</v>
      </c>
      <c r="D6510" s="4"/>
    </row>
    <row collapsed="" customFormat="false" customHeight="1" hidden="" ht="14" outlineLevel="0" r="6511">
      <c r="A6511" s="3" t="inlineStr">
        <is>
          <t>6480</t>
        </is>
      </c>
      <c r="B6511" s="4" t="s">
        <f>=HYPERLINK("http://anyluxury.ru/shop/odezhda/detskaya-odezhda/ruchki-corda-dlya-paketa-l-yarkokrasnie-alie-2310151/" , "23101.51 Ручки Corda для пакета L, ярко-красные (алые)")</f>
      </c>
      <c r="C6511" s="4" t="n">
        <v>110.00</v>
      </c>
      <c r="D6511" s="4"/>
    </row>
    <row collapsed="" customFormat="false" customHeight="1" hidden="" ht="14" outlineLevel="0" r="6512">
      <c r="A6512" s="3" t="inlineStr">
        <is>
          <t>6481</t>
        </is>
      </c>
      <c r="B6512" s="4" t="s">
        <f>=HYPERLINK("http://anyluxury.ru/shop/odezhda/detskaya-odezhda/ruchki-corda-dlya-paketa-l-rozovie-2310115/" , "23101.15 Ручки Corda для пакета L, розовые")</f>
      </c>
      <c r="C6512" s="4" t="n">
        <v>110.00</v>
      </c>
      <c r="D6512" s="4"/>
    </row>
    <row collapsed="" customFormat="false" customHeight="1" hidden="" ht="14" outlineLevel="0" r="6513">
      <c r="A6513" s="3" t="inlineStr">
        <is>
          <t>6482</t>
        </is>
      </c>
      <c r="B6513" s="4" t="s">
        <f>=HYPERLINK("http://anyluxury.ru/shop/odezhda/detskaya-odezhda/ruchki-corda-dlya-paketa-l-sirenevie-2310176/" , "23101.76 Ручки Corda для пакета L, сиреневые")</f>
      </c>
      <c r="C6513" s="4" t="n">
        <v>110.00</v>
      </c>
      <c r="D6513" s="4"/>
    </row>
    <row collapsed="" customFormat="false" customHeight="1" hidden="" ht="14" outlineLevel="0" r="6514">
      <c r="A6514" s="3" t="inlineStr">
        <is>
          <t>6483</t>
        </is>
      </c>
      <c r="B6514" s="4" t="s">
        <f>=HYPERLINK("http://anyluxury.ru/shop/odezhda/detskaya-odezhda/ruchki-corda-dlya-paketa-l-yarkozelenie-salatovie-2310192/" , "23101.92 Ручки Corda для пакета L, ярко-зеленые (салатовые)")</f>
      </c>
      <c r="C6514" s="4" t="n">
        <v>110.00</v>
      </c>
      <c r="D6514" s="4"/>
    </row>
    <row collapsed="" customFormat="false" customHeight="1" hidden="" ht="14" outlineLevel="0" r="6515">
      <c r="A6515" s="3" t="inlineStr">
        <is>
          <t>6484</t>
        </is>
      </c>
      <c r="B6515" s="4" t="s">
        <f>=HYPERLINK("http://anyluxury.ru/shop/odezhda/detskaya-odezhda/ruchki-corda-dlya-paketa-l-zelenie-2310190/" , "23101.90 Ручки Corda для пакета L, зеленые")</f>
      </c>
      <c r="C6515" s="4" t="n">
        <v>110.00</v>
      </c>
      <c r="D6515" s="4"/>
    </row>
    <row collapsed="" customFormat="false" customHeight="1" hidden="" ht="14" outlineLevel="0" r="6516">
      <c r="A6516" s="3" t="inlineStr">
        <is>
          <t>6485</t>
        </is>
      </c>
      <c r="B6516" s="4" t="s">
        <f>=HYPERLINK("http://anyluxury.ru/shop/odezhda/detskaya-odezhda/ruchki-corda-dlya-paketa-l-zheltie-2310180/" , "23101.80 Ручки Corda для пакета L, желтые")</f>
      </c>
      <c r="C6516" s="4" t="n">
        <v>110.00</v>
      </c>
      <c r="D6516" s="4"/>
    </row>
    <row collapsed="" customFormat="false" customHeight="1" hidden="" ht="14" outlineLevel="0" r="6517">
      <c r="A6517" s="3" t="inlineStr">
        <is>
          <t>6486</t>
        </is>
      </c>
      <c r="B6517" s="4" t="s">
        <f>=HYPERLINK("http://anyluxury.ru/shop/odezhda/detskaya-odezhda/ruchki-corda-dlya-paketa-l-korichnevie-2310155/" , "23101.55 Ручки Corda для пакета L, коричневые")</f>
      </c>
      <c r="C6517" s="4" t="n">
        <v>110.00</v>
      </c>
      <c r="D6517" s="4"/>
    </row>
    <row collapsed="" customFormat="false" customHeight="1" hidden="" ht="14" outlineLevel="0" r="6518">
      <c r="A6518" s="3" t="inlineStr">
        <is>
          <t>6487</t>
        </is>
      </c>
      <c r="B6518" s="4" t="s">
        <f>=HYPERLINK("http://anyluxury.ru/shop/odezhda/detskaya-odezhda/ruchki-corda-dlya-paketa-l-serie-2310110/" , "23101.10 Ручки Corda для пакета L, серые")</f>
      </c>
      <c r="C6518" s="4" t="n">
        <v>110.00</v>
      </c>
      <c r="D6518" s="4"/>
    </row>
    <row collapsed="" customFormat="false" customHeight="1" hidden="" ht="14" outlineLevel="0" r="6519">
      <c r="A6519" s="3" t="inlineStr">
        <is>
          <t>6488</t>
        </is>
      </c>
      <c r="B6519" s="4" t="s">
        <f>=HYPERLINK("http://anyluxury.ru/shop/odezhda/detskaya-odezhda/ruchki-corda-dlya-paketa-l-oranzheviy-neon-2310122/" , "23101.22 Ручки Corda для пакета L, оранжевый неон")</f>
      </c>
      <c r="C6519" s="4" t="n">
        <v>110.00</v>
      </c>
      <c r="D6519" s="4"/>
    </row>
    <row collapsed="" customFormat="false" customHeight="1" hidden="" ht="14" outlineLevel="0" r="6520">
      <c r="A6520" s="3" t="inlineStr">
        <is>
          <t>6489</t>
        </is>
      </c>
      <c r="B6520" s="4" t="s">
        <f>=HYPERLINK("http://anyluxury.ru/shop/odezhda/detskaya-odezhda/ruchka-corda-dlya-korobki-m-chernaya-2310230/" , "23102.30 Ручка Corda для коробки M, черная")</f>
      </c>
      <c r="C6520" s="4" t="n">
        <v>90.00</v>
      </c>
      <c r="D6520" s="4"/>
    </row>
    <row collapsed="" customFormat="false" customHeight="1" hidden="" ht="14" outlineLevel="0" r="6521">
      <c r="A6521" s="3" t="inlineStr">
        <is>
          <t>6490</t>
        </is>
      </c>
      <c r="B6521" s="4" t="s">
        <f>=HYPERLINK("http://anyluxury.ru/shop/odezhda/detskaya-odezhda/ruchka-corda-dlya-korobki-m-belaya-2310260/" , "23102.60 Ручка Corda для коробки M, белая")</f>
      </c>
      <c r="C6521" s="4" t="n">
        <v>90.00</v>
      </c>
      <c r="D6521" s="4"/>
    </row>
    <row collapsed="" customFormat="false" customHeight="1" hidden="" ht="14" outlineLevel="0" r="6522">
      <c r="A6522" s="3" t="inlineStr">
        <is>
          <t>6491</t>
        </is>
      </c>
      <c r="B6522" s="4" t="s">
        <f>=HYPERLINK("http://anyluxury.ru/shop/odezhda/detskaya-odezhda/ruchka-corda-dlya-korobki-m-bezhevaya-2310212/" , "23102.12 Ручка Corda для коробки M, бежевая")</f>
      </c>
      <c r="C6522" s="4" t="n">
        <v>90.00</v>
      </c>
      <c r="D6522" s="4"/>
    </row>
    <row collapsed="" customFormat="false" customHeight="1" hidden="" ht="14" outlineLevel="0" r="6523">
      <c r="A6523" s="3" t="inlineStr">
        <is>
          <t>6492</t>
        </is>
      </c>
      <c r="B6523" s="4" t="s">
        <f>=HYPERLINK("http://anyluxury.ru/shop/odezhda/detskaya-odezhda/ruchka-corda-dlya-korobki-m-temnosinyaya-2310243/" , "23102.43 Ручка Corda для коробки M, темно-синяя")</f>
      </c>
      <c r="C6523" s="4" t="n">
        <v>90.00</v>
      </c>
      <c r="D6523" s="4"/>
    </row>
    <row collapsed="" customFormat="false" customHeight="1" hidden="" ht="14" outlineLevel="0" r="6524">
      <c r="A6524" s="3" t="inlineStr">
        <is>
          <t>6493</t>
        </is>
      </c>
      <c r="B6524" s="4" t="s">
        <f>=HYPERLINK("http://anyluxury.ru/shop/odezhda/detskaya-odezhda/ruchka-corda-dlya-korobki-m-sinyaya-2310244/" , "23102.44 Ручка Corda для коробки M, синяя")</f>
      </c>
      <c r="C6524" s="4" t="n">
        <v>90.00</v>
      </c>
      <c r="D6524" s="4"/>
    </row>
    <row collapsed="" customFormat="false" customHeight="1" hidden="" ht="14" outlineLevel="0" r="6525">
      <c r="A6525" s="3" t="inlineStr">
        <is>
          <t>6494</t>
        </is>
      </c>
      <c r="B6525" s="4" t="s">
        <f>=HYPERLINK("http://anyluxury.ru/shop/odezhda/detskaya-odezhda/ruchka-corda-dlya-korobki-m-golubaya-2310214/" , "23102.14 Ручка Corda для коробки M, голубая")</f>
      </c>
      <c r="C6525" s="4" t="n">
        <v>90.00</v>
      </c>
      <c r="D6525" s="4"/>
    </row>
    <row collapsed="" customFormat="false" customHeight="1" hidden="" ht="14" outlineLevel="0" r="6526">
      <c r="A6526" s="3" t="inlineStr">
        <is>
          <t>6495</t>
        </is>
      </c>
      <c r="B6526" s="4" t="s">
        <f>=HYPERLINK("http://anyluxury.ru/shop/odezhda/detskaya-odezhda/ruchka-corda-dlya-korobki-m-yarkokrasnaya-alaya-2310251/" , "23102.51 Ручка Corda для коробки M, ярко-красная (алая)")</f>
      </c>
      <c r="C6526" s="4" t="n">
        <v>90.00</v>
      </c>
      <c r="D6526" s="4"/>
    </row>
    <row collapsed="" customFormat="false" customHeight="1" hidden="" ht="14" outlineLevel="0" r="6527">
      <c r="A6527" s="3" t="inlineStr">
        <is>
          <t>6496</t>
        </is>
      </c>
      <c r="B6527" s="4" t="s">
        <f>=HYPERLINK("http://anyluxury.ru/shop/odezhda/detskaya-odezhda/ruchka-corda-dlya-korobki-m-rozovaya-2310215/" , "23102.15 Ручка Corda для коробки M, розовая")</f>
      </c>
      <c r="C6527" s="4" t="n">
        <v>90.00</v>
      </c>
      <c r="D6527" s="4"/>
    </row>
    <row collapsed="" customFormat="false" customHeight="1" hidden="" ht="14" outlineLevel="0" r="6528">
      <c r="A6528" s="3" t="inlineStr">
        <is>
          <t>6497</t>
        </is>
      </c>
      <c r="B6528" s="4" t="s">
        <f>=HYPERLINK("http://anyluxury.ru/shop/odezhda/detskaya-odezhda/ruchka-corda-dlya-korobki-m-sirenevaya-2310276/" , "23102.76 Ручка Corda для коробки M, сиреневая")</f>
      </c>
      <c r="C6528" s="4" t="n">
        <v>90.00</v>
      </c>
      <c r="D6528" s="4"/>
    </row>
    <row collapsed="" customFormat="false" customHeight="1" hidden="" ht="14" outlineLevel="0" r="6529">
      <c r="A6529" s="3" t="inlineStr">
        <is>
          <t>6498</t>
        </is>
      </c>
      <c r="B6529" s="4" t="s">
        <f>=HYPERLINK("http://anyluxury.ru/shop/odezhda/detskaya-odezhda/ruchka-corda-dlya-korobki-m-yarkozelenaya-salatovaya-2310292/" , "23102.92 Ручка Corda для коробки M, ярко-зеленая (салатовая)")</f>
      </c>
      <c r="C6529" s="4" t="n">
        <v>90.00</v>
      </c>
      <c r="D6529" s="4"/>
    </row>
    <row collapsed="" customFormat="false" customHeight="1" hidden="" ht="14" outlineLevel="0" r="6530">
      <c r="A6530" s="3" t="inlineStr">
        <is>
          <t>6499</t>
        </is>
      </c>
      <c r="B6530" s="4" t="s">
        <f>=HYPERLINK("http://anyluxury.ru/shop/odezhda/detskaya-odezhda/ruchka-corda-dlya-korobki-m-zelenaya-2310290/" , "23102.90 Ручка Corda для коробки M, зеленая")</f>
      </c>
      <c r="C6530" s="4" t="n">
        <v>90.00</v>
      </c>
      <c r="D6530" s="4"/>
    </row>
    <row collapsed="" customFormat="false" customHeight="1" hidden="" ht="14" outlineLevel="0" r="6531">
      <c r="A6531" s="3" t="inlineStr">
        <is>
          <t>6500</t>
        </is>
      </c>
      <c r="B6531" s="4" t="s">
        <f>=HYPERLINK("http://anyluxury.ru/shop/odezhda/detskaya-odezhda/ruchka-corda-dlya-korobki-m-zheltaya-2310280/" , "23102.80 Ручка Corda для коробки M, желтая")</f>
      </c>
      <c r="C6531" s="4" t="n">
        <v>90.00</v>
      </c>
      <c r="D6531" s="4"/>
    </row>
    <row collapsed="" customFormat="false" customHeight="1" hidden="" ht="14" outlineLevel="0" r="6532">
      <c r="A6532" s="3" t="inlineStr">
        <is>
          <t>6501</t>
        </is>
      </c>
      <c r="B6532" s="4" t="s">
        <f>=HYPERLINK("http://anyluxury.ru/shop/odezhda/detskaya-odezhda/ruchka-corda-dlya-korobki-m-korichnevaya-2310255/" , "23102.55 Ручка Corda для коробки M, коричневая")</f>
      </c>
      <c r="C6532" s="4" t="n">
        <v>90.00</v>
      </c>
      <c r="D6532" s="4"/>
    </row>
    <row collapsed="" customFormat="false" customHeight="1" hidden="" ht="14" outlineLevel="0" r="6533">
      <c r="A6533" s="3" t="inlineStr">
        <is>
          <t>6502</t>
        </is>
      </c>
      <c r="B6533" s="4" t="s">
        <f>=HYPERLINK("http://anyluxury.ru/shop/odezhda/detskaya-odezhda/ruchka-corda-dlya-korobki-m-seraya-2310210/" , "23102.10 Ручка Corda для коробки M, серая")</f>
      </c>
      <c r="C6533" s="4" t="n">
        <v>90.00</v>
      </c>
      <c r="D6533" s="4"/>
    </row>
    <row collapsed="" customFormat="false" customHeight="1" hidden="" ht="14" outlineLevel="0" r="6534">
      <c r="A6534" s="3" t="inlineStr">
        <is>
          <t>6503</t>
        </is>
      </c>
      <c r="B6534" s="4" t="s">
        <f>=HYPERLINK("http://anyluxury.ru/shop/odezhda/detskaya-odezhda/ruchka-corda-dlya-korobki-m-oranzheviy-neon-2310222/" , "23102.22 Ручка Corda для коробки M, оранжевый неон")</f>
      </c>
      <c r="C6534" s="4" t="n">
        <v>90.00</v>
      </c>
      <c r="D6534" s="4"/>
    </row>
    <row collapsed="" customFormat="false" customHeight="1" hidden="" ht="14" outlineLevel="0" r="6535">
      <c r="A6535" s="3" t="inlineStr">
        <is>
          <t>6504</t>
        </is>
      </c>
      <c r="B6535" s="4" t="s">
        <f>=HYPERLINK("http://anyluxury.ru/shop/odezhda/detskaya-odezhda/ruchki-corda-dlya-paketa-m-chernie-2310930/" , "23109.30 Ручки Corda для пакета M, черные")</f>
      </c>
      <c r="C6535" s="4" t="n">
        <v>100.00</v>
      </c>
      <c r="D6535" s="4"/>
    </row>
    <row collapsed="" customFormat="false" customHeight="1" hidden="" ht="14" outlineLevel="0" r="6536">
      <c r="A6536" s="3" t="inlineStr">
        <is>
          <t>6505</t>
        </is>
      </c>
      <c r="B6536" s="4" t="s">
        <f>=HYPERLINK("http://anyluxury.ru/shop/odezhda/detskaya-odezhda/ruchki-corda-dlya-paketa-m-belie-2310960/" , "23109.60 Ручки Corda для пакета M, белые")</f>
      </c>
      <c r="C6536" s="4" t="n">
        <v>100.00</v>
      </c>
      <c r="D6536" s="4"/>
    </row>
    <row collapsed="" customFormat="false" customHeight="1" hidden="" ht="14" outlineLevel="0" r="6537">
      <c r="A6537" s="3" t="inlineStr">
        <is>
          <t>6506</t>
        </is>
      </c>
      <c r="B6537" s="4" t="s">
        <f>=HYPERLINK("http://anyluxury.ru/shop/odezhda/detskaya-odezhda/ruchki-corda-dlya-paketa-m-bezhevie-2310912/" , "23109.12 Ручки Corda для пакета M, бежевые")</f>
      </c>
      <c r="C6537" s="4" t="n">
        <v>100.00</v>
      </c>
      <c r="D6537" s="4"/>
    </row>
    <row collapsed="" customFormat="false" customHeight="1" hidden="" ht="14" outlineLevel="0" r="6538">
      <c r="A6538" s="3" t="inlineStr">
        <is>
          <t>6507</t>
        </is>
      </c>
      <c r="B6538" s="4" t="s">
        <f>=HYPERLINK("http://anyluxury.ru/shop/odezhda/detskaya-odezhda/ruchki-corda-dlya-paketa-m-temnosinie-2310943/" , "23109.43 Ручки Corda для пакета M, темно-синие")</f>
      </c>
      <c r="C6538" s="4" t="n">
        <v>100.00</v>
      </c>
      <c r="D6538" s="4"/>
    </row>
    <row collapsed="" customFormat="false" customHeight="1" hidden="" ht="14" outlineLevel="0" r="6539">
      <c r="A6539" s="3" t="inlineStr">
        <is>
          <t>6508</t>
        </is>
      </c>
      <c r="B6539" s="4" t="s">
        <f>=HYPERLINK("http://anyluxury.ru/shop/odezhda/detskaya-odezhda/ruchki-corda-dlya-paketa-m-sinie-2310944/" , "23109.44 Ручки Corda для пакета M, синие")</f>
      </c>
      <c r="C6539" s="4" t="n">
        <v>100.00</v>
      </c>
      <c r="D6539" s="4"/>
    </row>
    <row collapsed="" customFormat="false" customHeight="1" hidden="" ht="14" outlineLevel="0" r="6540">
      <c r="A6540" s="3" t="inlineStr">
        <is>
          <t>6509</t>
        </is>
      </c>
      <c r="B6540" s="4" t="s">
        <f>=HYPERLINK("http://anyluxury.ru/shop/odezhda/detskaya-odezhda/ruchki-corda-dlya-paketa-m-golubie-2310914/" , "23109.14 Ручки Corda для пакета M, голубые")</f>
      </c>
      <c r="C6540" s="4" t="n">
        <v>100.00</v>
      </c>
      <c r="D6540" s="4"/>
    </row>
    <row collapsed="" customFormat="false" customHeight="1" hidden="" ht="14" outlineLevel="0" r="6541">
      <c r="A6541" s="3" t="inlineStr">
        <is>
          <t>6510</t>
        </is>
      </c>
      <c r="B6541" s="4" t="s">
        <f>=HYPERLINK("http://anyluxury.ru/shop/odezhda/detskaya-odezhda/ruchki-corda-dlya-paketa-m-yarkokrasnie-alie-2310951/" , "23109.51 Ручки Corda для пакета M, ярко-красные (алые)")</f>
      </c>
      <c r="C6541" s="4" t="n">
        <v>100.00</v>
      </c>
      <c r="D6541" s="4"/>
    </row>
    <row collapsed="" customFormat="false" customHeight="1" hidden="" ht="14" outlineLevel="0" r="6542">
      <c r="A6542" s="3" t="inlineStr">
        <is>
          <t>6511</t>
        </is>
      </c>
      <c r="B6542" s="4" t="s">
        <f>=HYPERLINK("http://anyluxury.ru/shop/odezhda/detskaya-odezhda/ruchki-corda-dlya-paketa-m-rozovie-2310915/" , "23109.15 Ручки Corda для пакета M, розовые")</f>
      </c>
      <c r="C6542" s="4" t="n">
        <v>100.00</v>
      </c>
      <c r="D6542" s="4"/>
    </row>
    <row collapsed="" customFormat="false" customHeight="1" hidden="" ht="14" outlineLevel="0" r="6543">
      <c r="A6543" s="3" t="inlineStr">
        <is>
          <t>6512</t>
        </is>
      </c>
      <c r="B6543" s="4" t="s">
        <f>=HYPERLINK("http://anyluxury.ru/shop/odezhda/detskaya-odezhda/ruchki-corda-dlya-paketa-m-sirenevie-2310976/" , "23109.76 Ручки Corda для пакета M, сиреневые")</f>
      </c>
      <c r="C6543" s="4" t="n">
        <v>100.00</v>
      </c>
      <c r="D6543" s="4"/>
    </row>
    <row collapsed="" customFormat="false" customHeight="1" hidden="" ht="14" outlineLevel="0" r="6544">
      <c r="A6544" s="3" t="inlineStr">
        <is>
          <t>6513</t>
        </is>
      </c>
      <c r="B6544" s="4" t="s">
        <f>=HYPERLINK("http://anyluxury.ru/shop/odezhda/detskaya-odezhda/ruchki-corda-dlya-paketa-m-yarkozelenie-salatovie-2310992/" , "23109.92 Ручки Corda для пакета M, ярко-зеленые (салатовые)")</f>
      </c>
      <c r="C6544" s="4" t="n">
        <v>100.00</v>
      </c>
      <c r="D6544" s="4"/>
    </row>
    <row collapsed="" customFormat="false" customHeight="1" hidden="" ht="14" outlineLevel="0" r="6545">
      <c r="A6545" s="3" t="inlineStr">
        <is>
          <t>6514</t>
        </is>
      </c>
      <c r="B6545" s="4" t="s">
        <f>=HYPERLINK("http://anyluxury.ru/shop/odezhda/detskaya-odezhda/ruchki-corda-dlya-paketa-m-zelenie-2310990/" , "23109.90 Ручки Corda для пакета M, зеленые")</f>
      </c>
      <c r="C6545" s="4" t="n">
        <v>100.00</v>
      </c>
      <c r="D6545" s="4"/>
    </row>
    <row collapsed="" customFormat="false" customHeight="1" hidden="" ht="14" outlineLevel="0" r="6546">
      <c r="A6546" s="3" t="inlineStr">
        <is>
          <t>6515</t>
        </is>
      </c>
      <c r="B6546" s="4" t="s">
        <f>=HYPERLINK("http://anyluxury.ru/shop/odezhda/detskaya-odezhda/ruchki-corda-dlya-paketa-m-zheltie-2310980/" , "23109.80 Ручки Corda для пакета M, желтые")</f>
      </c>
      <c r="C6546" s="4" t="n">
        <v>100.00</v>
      </c>
      <c r="D6546" s="4"/>
    </row>
    <row collapsed="" customFormat="false" customHeight="1" hidden="" ht="14" outlineLevel="0" r="6547">
      <c r="A6547" s="3" t="inlineStr">
        <is>
          <t>6516</t>
        </is>
      </c>
      <c r="B6547" s="4" t="s">
        <f>=HYPERLINK("http://anyluxury.ru/shop/odezhda/detskaya-odezhda/ruchki-corda-dlya-paketa-m-korichnevie-2310955/" , "23109.55 Ручки Corda для пакета M, коричневые")</f>
      </c>
      <c r="C6547" s="4" t="n">
        <v>100.00</v>
      </c>
      <c r="D6547" s="4"/>
    </row>
    <row collapsed="" customFormat="false" customHeight="1" hidden="" ht="14" outlineLevel="0" r="6548">
      <c r="A6548" s="3" t="inlineStr">
        <is>
          <t>6517</t>
        </is>
      </c>
      <c r="B6548" s="4" t="s">
        <f>=HYPERLINK("http://anyluxury.ru/shop/odezhda/detskaya-odezhda/ruchki-corda-dlya-paketa-m-serie-2310910/" , "23109.10 Ручки Corda для пакета M, серые")</f>
      </c>
      <c r="C6548" s="4" t="n">
        <v>100.00</v>
      </c>
      <c r="D6548" s="4"/>
    </row>
    <row collapsed="" customFormat="false" customHeight="1" hidden="" ht="14" outlineLevel="0" r="6549">
      <c r="A6549" s="3" t="inlineStr">
        <is>
          <t>6518</t>
        </is>
      </c>
      <c r="B6549" s="4" t="s">
        <f>=HYPERLINK("http://anyluxury.ru/shop/odezhda/detskaya-odezhda/ruchki-corda-dlya-paketa-m-oranzheviy-neon-2310922/" , "23109.22 Ручки Corda для пакета M, оранжевый неон")</f>
      </c>
      <c r="C6549" s="4" t="n">
        <v>100.00</v>
      </c>
      <c r="D6549" s="4"/>
    </row>
    <row collapsed="" customFormat="false" customHeight="1" hidden="" ht="14" outlineLevel="0" r="6550">
      <c r="A6550" s="3" t="inlineStr">
        <is>
          <t>6519</t>
        </is>
      </c>
      <c r="B6550" s="4" t="s">
        <f>=HYPERLINK("http://anyluxury.ru/shop/odezhda/detskaya-odezhda/hudi-oversayz-kulonga-comfort-heavy-chernoe-1404630/" , "14046.30 Худи оверсайз Kulonga Comfort Heavy, черное, размер XS/S")</f>
      </c>
      <c r="C6550" s="4" t="n">
        <v>1800.00</v>
      </c>
      <c r="D6550" s="4"/>
    </row>
    <row collapsed="" customFormat="false" customHeight="1" hidden="" ht="14" outlineLevel="0" r="6551">
      <c r="A6551" s="3" t="inlineStr">
        <is>
          <t>6520</t>
        </is>
      </c>
      <c r="B6551" s="4" t="s">
        <f>=HYPERLINK("http://anyluxury.ru/shop/odezhda/detskaya-odezhda/hudi-oversayz-kulonga-comfort-heavy-molochnobeloe-1404660/" , "14046.60 Худи оверсайз Kulonga Comfort Heavy, молочно-белое, размер XS/S")</f>
      </c>
      <c r="C6551" s="4" t="n">
        <v>1800.00</v>
      </c>
      <c r="D6551" s="4"/>
    </row>
    <row collapsed="" customFormat="false" customHeight="1" hidden="" ht="14" outlineLevel="0" r="6552">
      <c r="A6552" s="3" t="inlineStr">
        <is>
          <t>6521</t>
        </is>
      </c>
      <c r="B6552" s="4" t="s">
        <f>=HYPERLINK("http://anyluxury.ru/shop/odezhda/detskaya-odezhda/futbolka-detskaya-tbolka-kids-temnoseraya-grafit-250410/" , "2504.10 Футболка детская T-Bolka Kids, темно-серая (графит), 6 лет")</f>
      </c>
      <c r="C6552" s="4" t="n">
        <v>495.00</v>
      </c>
      <c r="D6552" s="4"/>
    </row>
    <row collapsed="" customFormat="false" customHeight="1" hidden="" ht="14" outlineLevel="0" r="6553">
      <c r="A6553" s="3" t="inlineStr">
        <is>
          <t>6522</t>
        </is>
      </c>
      <c r="B6553" s="4" t="s">
        <f>=HYPERLINK("http://anyluxury.ru/shop/odezhda/detskaya-odezhda/futbolka-detskaya-tbolka-kids-temnoseraya-grafit-250410/" , "2504.10 Футболка детская T-Bolka Kids, темно-серая (графит), 8 лет")</f>
      </c>
      <c r="C6553" s="4" t="n">
        <v>495.00</v>
      </c>
      <c r="D6553" s="4"/>
    </row>
    <row collapsed="" customFormat="false" customHeight="1" hidden="" ht="14" outlineLevel="0" r="6554">
      <c r="A6554" s="3" t="inlineStr">
        <is>
          <t>6523</t>
        </is>
      </c>
      <c r="B6554" s="4" t="s">
        <f>=HYPERLINK("http://anyluxury.ru/shop/odezhda/detskaya-odezhda/futbolka-detskaya-tbolka-kids-temnoseraya-grafit-250410/" , "2504.10 Футболка детская T-Bolka Kids, темно-серая (графит), 10 лет")</f>
      </c>
      <c r="C6554" s="4" t="n">
        <v>495.00</v>
      </c>
      <c r="D6554" s="4"/>
    </row>
    <row collapsed="" customFormat="false" customHeight="1" hidden="" ht="14" outlineLevel="0" r="6555">
      <c r="A6555" s="3" t="inlineStr">
        <is>
          <t>6524</t>
        </is>
      </c>
      <c r="B6555" s="4" t="s">
        <f>=HYPERLINK("http://anyluxury.ru/shop/odezhda/detskaya-odezhda/futbolka-detskaya-tbolka-kids-temnoseraya-grafit-250410/" , "2504.10 Футболка детская T-Bolka Kids, темно-серая (графит), 12 лет")</f>
      </c>
      <c r="C6555" s="4" t="n">
        <v>495.00</v>
      </c>
      <c r="D6555" s="4"/>
    </row>
    <row collapsed="" customFormat="false" customHeight="1" hidden="" ht="14" outlineLevel="0" r="6556">
      <c r="A6556" s="3" t="inlineStr">
        <is>
          <t>6525</t>
        </is>
      </c>
      <c r="B6556" s="4" t="s">
        <f>=HYPERLINK("http://anyluxury.ru/shop/odezhda/detskaya-odezhda/futbolka-detskaya-tbolka-kids-temnoseraya-grafit-250410/" , "2504.10 Футболка детская T-Bolka Kids, темно-серая (графит), 14 лет")</f>
      </c>
      <c r="C6556" s="4" t="n">
        <v>495.00</v>
      </c>
      <c r="D6556" s="4"/>
    </row>
    <row collapsed="" customFormat="false" customHeight="1" hidden="" ht="14" outlineLevel="0" r="6557">
      <c r="A6557" s="3" t="inlineStr">
        <is>
          <t>6526</t>
        </is>
      </c>
      <c r="B6557" s="4" t="s">
        <f>=HYPERLINK("http://anyluxury.ru/shop/odezhda/detskaya-odezhda/tolstovka-s-kapyushonom-kirenga-zelenaya-689492/" , "6894.92 Толстовка с капюшоном Kirenga, зеленая, размер XS")</f>
      </c>
      <c r="C6557" s="4" t="n">
        <v>1487.00</v>
      </c>
      <c r="D6557" s="4"/>
    </row>
    <row collapsed="" customFormat="false" customHeight="1" hidden="" ht="14" outlineLevel="0" r="6558">
      <c r="A6558" s="3" t="inlineStr">
        <is>
          <t>6527</t>
        </is>
      </c>
      <c r="B6558" s="4" t="s">
        <f>=HYPERLINK("http://anyluxury.ru/shop/odezhda/detskaya-odezhda/tolstovka-s-kapyushonom-kirenga-zelenaya-689492/" , "6894.92 Толстовка с капюшоном Kirenga, зеленая, размер S")</f>
      </c>
      <c r="C6558" s="4" t="n">
        <v>1487.00</v>
      </c>
      <c r="D6558" s="4"/>
    </row>
    <row collapsed="" customFormat="false" customHeight="1" hidden="" ht="14" outlineLevel="0" r="6559">
      <c r="A6559" s="3" t="inlineStr">
        <is>
          <t>6528</t>
        </is>
      </c>
      <c r="B6559" s="4" t="s">
        <f>=HYPERLINK("http://anyluxury.ru/shop/odezhda/detskaya-odezhda/tolstovka-s-kapyushonom-kirenga-zelenaya-689492/" , "6894.92 Толстовка с капюшоном Kirenga, зеленая, размер M")</f>
      </c>
      <c r="C6559" s="4" t="n">
        <v>1487.00</v>
      </c>
      <c r="D6559" s="4"/>
    </row>
    <row collapsed="" customFormat="false" customHeight="1" hidden="" ht="14" outlineLevel="0" r="6560">
      <c r="A6560" s="3" t="inlineStr">
        <is>
          <t>6529</t>
        </is>
      </c>
      <c r="B6560" s="4" t="s">
        <f>=HYPERLINK("http://anyluxury.ru/shop/odezhda/detskaya-odezhda/tolstovka-s-kapyushonom-kirenga-zelenaya-689492/" , "6894.92 Толстовка с капюшоном Kirenga, зеленая, размер L")</f>
      </c>
      <c r="C6560" s="4" t="n">
        <v>1487.00</v>
      </c>
      <c r="D6560" s="4"/>
    </row>
    <row collapsed="" customFormat="false" customHeight="1" hidden="" ht="14" outlineLevel="0" r="6561">
      <c r="A6561" s="3" t="inlineStr">
        <is>
          <t>6530</t>
        </is>
      </c>
      <c r="B6561" s="4" t="s">
        <f>=HYPERLINK("http://anyluxury.ru/shop/odezhda/detskaya-odezhda/tolstovka-s-kapyushonom-kirenga-zelenaya-689492/" , "6894.92 Толстовка с капюшоном Kirenga, зеленая, размер XL")</f>
      </c>
      <c r="C6561" s="4" t="n">
        <v>1487.00</v>
      </c>
      <c r="D6561" s="4"/>
    </row>
    <row collapsed="" customFormat="false" customHeight="1" hidden="" ht="14" outlineLevel="0" r="6562">
      <c r="A6562" s="3" t="inlineStr">
        <is>
          <t>6531</t>
        </is>
      </c>
      <c r="B6562" s="4" t="s">
        <f>=HYPERLINK("http://anyluxury.ru/shop/odezhda/detskaya-odezhda/tolstovka-s-kapyushonom-kirenga-zelenaya-689492/" , "6894.92 Толстовка с капюшоном Kirenga, зеленая, размер 4XL")</f>
      </c>
      <c r="C6562" s="4" t="n">
        <v>1487.00</v>
      </c>
      <c r="D6562" s="4"/>
    </row>
    <row collapsed="" customFormat="false" customHeight="1" hidden="" ht="14" outlineLevel="0" r="6563">
      <c r="A6563" s="3" t="inlineStr">
        <is>
          <t>6532</t>
        </is>
      </c>
      <c r="B6563" s="4" t="s">
        <f>=HYPERLINK("http://anyluxury.ru/shop/odezhda/detskaya-odezhda/tolstovka-toima-oranzhevaya-689620/" , "6896.20 Толстовка Toima, оранжевая, размер XS")</f>
      </c>
      <c r="C6563" s="4" t="n">
        <v>1191.00</v>
      </c>
      <c r="D6563" s="4"/>
    </row>
    <row collapsed="" customFormat="false" customHeight="1" hidden="" ht="14" outlineLevel="0" r="6564">
      <c r="A6564" s="3" t="inlineStr">
        <is>
          <t>6533</t>
        </is>
      </c>
      <c r="B6564" s="4" t="s">
        <f>=HYPERLINK("http://anyluxury.ru/shop/odezhda/detskaya-odezhda/tolstovka-toima-oranzhevaya-689620/" , "6896.20 Толстовка Toima, оранжевая, размер S")</f>
      </c>
      <c r="C6564" s="4" t="n">
        <v>1191.00</v>
      </c>
      <c r="D6564" s="4"/>
    </row>
    <row collapsed="" customFormat="false" customHeight="1" hidden="" ht="14" outlineLevel="0" r="6565">
      <c r="A6565" s="3" t="inlineStr">
        <is>
          <t>6534</t>
        </is>
      </c>
      <c r="B6565" s="4" t="s">
        <f>=HYPERLINK("http://anyluxury.ru/shop/odezhda/detskaya-odezhda/tolstovka-toima-oranzhevaya-689620/" , "6896.20 Толстовка Toima, оранжевая, размер M")</f>
      </c>
      <c r="C6565" s="4" t="n">
        <v>1191.00</v>
      </c>
      <c r="D6565" s="4"/>
    </row>
    <row collapsed="" customFormat="false" customHeight="1" hidden="" ht="14" outlineLevel="0" r="6566">
      <c r="A6566" s="3" t="inlineStr">
        <is>
          <t>6535</t>
        </is>
      </c>
      <c r="B6566" s="4" t="s">
        <f>=HYPERLINK("http://anyluxury.ru/shop/odezhda/detskaya-odezhda/tolstovka-toima-oranzhevaya-689620/" , "6896.20 Толстовка Toima, оранжевая, размер L")</f>
      </c>
      <c r="C6566" s="4" t="n">
        <v>1191.00</v>
      </c>
      <c r="D6566" s="4"/>
    </row>
    <row collapsed="" customFormat="false" customHeight="1" hidden="" ht="14" outlineLevel="0" r="6567">
      <c r="A6567" s="3" t="inlineStr">
        <is>
          <t>6536</t>
        </is>
      </c>
      <c r="B6567" s="4" t="s">
        <f>=HYPERLINK("http://anyluxury.ru/shop/odezhda/detskaya-odezhda/tolstovka-toima-oranzhevaya-689620/" , "6896.20 Толстовка Toima, оранжевая, размер XL")</f>
      </c>
      <c r="C6567" s="4" t="n">
        <v>1191.00</v>
      </c>
      <c r="D6567" s="4"/>
    </row>
    <row collapsed="" customFormat="false" customHeight="1" hidden="" ht="14" outlineLevel="0" r="6568">
      <c r="A6568" s="3" t="inlineStr">
        <is>
          <t>6537</t>
        </is>
      </c>
      <c r="B6568" s="4" t="s">
        <f>=HYPERLINK("http://anyluxury.ru/shop/odezhda/detskaya-odezhda/tolstovka-toima-oranzhevaya-689620/" , "6896.20 Толстовка Toima, оранжевая, размер XXL")</f>
      </c>
      <c r="C6568" s="4" t="n">
        <v>1191.00</v>
      </c>
      <c r="D6568" s="4"/>
    </row>
    <row collapsed="" customFormat="false" customHeight="1" hidden="" ht="14" outlineLevel="0" r="6569">
      <c r="A6569" s="3" t="inlineStr">
        <is>
          <t>6538</t>
        </is>
      </c>
      <c r="B6569" s="4" t="s">
        <f>=HYPERLINK("http://anyluxury.ru/shop/odezhda/detskaya-odezhda/tolstovka-toima-oranzhevaya-689620/" , "6896.20 Толстовка Toima, оранжевая, размер 3XL")</f>
      </c>
      <c r="C6569" s="4" t="n">
        <v>1191.00</v>
      </c>
      <c r="D6569" s="4"/>
    </row>
    <row collapsed="" customFormat="false" customHeight="1" hidden="" ht="14" outlineLevel="0" r="6570">
      <c r="A6570" s="3" t="inlineStr">
        <is>
          <t>6539</t>
        </is>
      </c>
      <c r="B6570" s="4" t="s">
        <f>=HYPERLINK("http://anyluxury.ru/shop/odezhda/detskaya-odezhda/tolstovka-toima-oranzhevaya-689620/" , "6896.20 Толстовка Toima, оранжевая, размер 4XL")</f>
      </c>
      <c r="C6570" s="4" t="n">
        <v>1191.00</v>
      </c>
      <c r="D6570" s="4"/>
    </row>
    <row collapsed="" customFormat="false" customHeight="1" hidden="" ht="14" outlineLevel="0" r="6571">
      <c r="A6571" s="3" t="inlineStr">
        <is>
          <t>6540</t>
        </is>
      </c>
      <c r="B6571" s="4" t="s">
        <f>=HYPERLINK("http://anyluxury.ru/shop/odezhda/detskaya-odezhda/tolstovka-toima-zelenaya-689692/" , "6896.92 Толстовка Toima, зеленая, размер XS")</f>
      </c>
      <c r="C6571" s="4" t="n">
        <v>1191.00</v>
      </c>
      <c r="D6571" s="4"/>
    </row>
    <row collapsed="" customFormat="false" customHeight="1" hidden="" ht="14" outlineLevel="0" r="6572">
      <c r="A6572" s="3" t="inlineStr">
        <is>
          <t>6541</t>
        </is>
      </c>
      <c r="B6572" s="4" t="s">
        <f>=HYPERLINK("http://anyluxury.ru/shop/odezhda/detskaya-odezhda/tolstovka-toima-zelenaya-689692/" , "6896.92 Толстовка Toima, зеленая, размер S")</f>
      </c>
      <c r="C6572" s="4" t="n">
        <v>1191.00</v>
      </c>
      <c r="D6572" s="4"/>
    </row>
    <row collapsed="" customFormat="false" customHeight="1" hidden="" ht="14" outlineLevel="0" r="6573">
      <c r="A6573" s="3" t="inlineStr">
        <is>
          <t>6542</t>
        </is>
      </c>
      <c r="B6573" s="4" t="s">
        <f>=HYPERLINK("http://anyluxury.ru/shop/odezhda/detskaya-odezhda/tolstovka-toima-zelenaya-689692/" , "6896.92 Толстовка Toima, зеленая, размер M")</f>
      </c>
      <c r="C6573" s="4" t="n">
        <v>1191.00</v>
      </c>
      <c r="D6573" s="4"/>
    </row>
    <row collapsed="" customFormat="false" customHeight="1" hidden="" ht="14" outlineLevel="0" r="6574">
      <c r="A6574" s="3" t="inlineStr">
        <is>
          <t>6543</t>
        </is>
      </c>
      <c r="B6574" s="4" t="s">
        <f>=HYPERLINK("http://anyluxury.ru/shop/odezhda/detskaya-odezhda/tolstovka-toima-zelenaya-689692/" , "6896.92 Толстовка Toima, зеленая, размер L")</f>
      </c>
      <c r="C6574" s="4" t="n">
        <v>1191.00</v>
      </c>
      <c r="D6574" s="4"/>
    </row>
    <row collapsed="" customFormat="false" customHeight="1" hidden="" ht="14" outlineLevel="0" r="6575">
      <c r="A6575" s="3" t="inlineStr">
        <is>
          <t>6544</t>
        </is>
      </c>
      <c r="B6575" s="4" t="s">
        <f>=HYPERLINK("http://anyluxury.ru/shop/odezhda/detskaya-odezhda/tolstovka-toima-zelenaya-689692/" , "6896.92 Толстовка Toima, зеленая, размер XL")</f>
      </c>
      <c r="C6575" s="4" t="n">
        <v>1191.00</v>
      </c>
      <c r="D6575" s="4"/>
    </row>
    <row collapsed="" customFormat="false" customHeight="1" hidden="" ht="14" outlineLevel="0" r="6576">
      <c r="A6576" s="3" t="inlineStr">
        <is>
          <t>6545</t>
        </is>
      </c>
      <c r="B6576" s="4" t="s">
        <f>=HYPERLINK("http://anyluxury.ru/shop/odezhda/detskaya-odezhda/tolstovka-toima-zelenaya-689692/" , "6896.92 Толстовка Toima, зеленая, размер 3XL")</f>
      </c>
      <c r="C6576" s="4" t="n">
        <v>1191.00</v>
      </c>
      <c r="D6576" s="4"/>
    </row>
    <row collapsed="" customFormat="false" customHeight="1" hidden="" ht="14" outlineLevel="0" r="6577">
      <c r="A6577" s="3" t="inlineStr">
        <is>
          <t>6546</t>
        </is>
      </c>
      <c r="B6577" s="4" t="s">
        <f>=HYPERLINK("http://anyluxury.ru/shop/odezhda/detskaya-odezhda/tolstovka-toima-zelenaya-689692/" , "6896.92 Толстовка Toima, зеленая, размер 4XL")</f>
      </c>
      <c r="C6577" s="4" t="n">
        <v>1191.00</v>
      </c>
      <c r="D6577" s="4"/>
    </row>
    <row collapsed="" customFormat="false" customHeight="1" hidden="" ht="14" outlineLevel="0" r="6578">
      <c r="A6578" s="3" t="inlineStr">
        <is>
          <t>6547</t>
        </is>
      </c>
      <c r="B6578" s="4" t="s">
        <f>=HYPERLINK("http://anyluxury.ru/shop/odezhda/detskaya-odezhda/tolstovka-s-kapyushonom-kirenga-heavy-temnoseraya-grafit-692610/" , "6926.10 Толстовка с капюшоном Kirenga Heavy, темно-серая (графит), размер XS")</f>
      </c>
      <c r="C6578" s="4" t="n">
        <v>2050.00</v>
      </c>
      <c r="D6578" s="4"/>
    </row>
    <row collapsed="" customFormat="false" customHeight="1" hidden="" ht="14" outlineLevel="0" r="6579">
      <c r="A6579" s="3" t="inlineStr">
        <is>
          <t>6548</t>
        </is>
      </c>
      <c r="B6579" s="4" t="s">
        <f>=HYPERLINK("http://anyluxury.ru/shop/odezhda/detskaya-odezhda/tolstovka-s-kapyushonom-kirenga-heavy-temnoseraya-grafit-692610/" , "6926.10 Толстовка с капюшоном Kirenga Heavy, темно-серая (графит), размер M")</f>
      </c>
      <c r="C6579" s="4" t="n">
        <v>2050.00</v>
      </c>
      <c r="D6579" s="4"/>
    </row>
    <row collapsed="" customFormat="false" customHeight="1" hidden="" ht="14" outlineLevel="0" r="6580">
      <c r="A6580" s="3" t="inlineStr">
        <is>
          <t>6549</t>
        </is>
      </c>
      <c r="B6580" s="4" t="s">
        <f>=HYPERLINK("http://anyluxury.ru/shop/odezhda/detskaya-odezhda/tolstovka-s-kapyushonom-kirenga-heavy-temnoseraya-grafit-692610/" , "6926.10 Толстовка с капюшоном Kirenga Heavy, темно-серая (графит), размер 4XL")</f>
      </c>
      <c r="C6580" s="4" t="n">
        <v>2050.00</v>
      </c>
      <c r="D6580" s="4"/>
    </row>
    <row collapsed="" customFormat="false" customHeight="1" hidden="" ht="14" outlineLevel="0" r="6581">
      <c r="A6581" s="3" t="inlineStr">
        <is>
          <t>6550</t>
        </is>
      </c>
      <c r="B6581" s="4" t="s">
        <f>=HYPERLINK("http://anyluxury.ru/shop/odezhda/detskaya-odezhda/tolstovka-s-kapyushonom-kirenga-heavy-bezhevaya-692612/" , "6926.12 Толстовка с капюшоном Kirenga Heavy, бежевая, размер XS")</f>
      </c>
      <c r="C6581" s="4" t="n">
        <v>2050.00</v>
      </c>
      <c r="D6581" s="4"/>
    </row>
    <row collapsed="" customFormat="false" customHeight="1" hidden="" ht="14" outlineLevel="0" r="6582">
      <c r="A6582" s="3" t="inlineStr">
        <is>
          <t>6551</t>
        </is>
      </c>
      <c r="B6582" s="4" t="s">
        <f>=HYPERLINK("http://anyluxury.ru/shop/odezhda/detskaya-odezhda/tolstovka-s-kapyushonom-kirenga-heavy-bezhevaya-692612/" , "6926.12 Толстовка с капюшоном Kirenga Heavy, бежевая, размер S")</f>
      </c>
      <c r="C6582" s="4" t="n">
        <v>2050.00</v>
      </c>
      <c r="D6582" s="4"/>
    </row>
    <row collapsed="" customFormat="false" customHeight="1" hidden="" ht="14" outlineLevel="0" r="6583">
      <c r="A6583" s="3" t="inlineStr">
        <is>
          <t>6552</t>
        </is>
      </c>
      <c r="B6583" s="4" t="s">
        <f>=HYPERLINK("http://anyluxury.ru/shop/odezhda/detskaya-odezhda/tolstovka-s-kapyushonom-kirenga-heavy-bezhevaya-692612/" , "6926.12 Толстовка с капюшоном Kirenga Heavy, бежевая, размер XXL")</f>
      </c>
      <c r="C6583" s="4" t="n">
        <v>2050.00</v>
      </c>
      <c r="D6583" s="4"/>
    </row>
    <row collapsed="" customFormat="false" customHeight="1" hidden="" ht="14" outlineLevel="0" r="6584">
      <c r="A6584" s="3" t="inlineStr">
        <is>
          <t>6553</t>
        </is>
      </c>
      <c r="B6584" s="4" t="s">
        <f>=HYPERLINK("http://anyluxury.ru/shop/odezhda/detskaya-odezhda/tolstovka-s-kapyushonom-kirenga-heavy-bezhevaya-692612/" , "6926.12 Толстовка с капюшоном Kirenga Heavy, бежевая, размер 4XL")</f>
      </c>
      <c r="C6584" s="4" t="n">
        <v>2050.00</v>
      </c>
      <c r="D6584" s="4"/>
    </row>
    <row collapsed="" customFormat="false" customHeight="1" hidden="" ht="14" outlineLevel="0" r="6585">
      <c r="A6585" s="3" t="inlineStr">
        <is>
          <t>6554</t>
        </is>
      </c>
      <c r="B6585" s="4" t="s">
        <f>=HYPERLINK("http://anyluxury.ru/shop/odezhda/detskaya-odezhda/leybl-silikonoviy-biguna-s-prozrachniy-matoviy-1750800/" , "17508.00 Лейбл силиконовый Biguna, S, прозрачный матовый")</f>
      </c>
      <c r="C6585" s="4" t="n">
        <v>184.00</v>
      </c>
      <c r="D6585" s="4"/>
    </row>
    <row collapsed="" customFormat="false" customHeight="1" hidden="" ht="14" outlineLevel="0" r="6586">
      <c r="A6586" s="3" t="inlineStr">
        <is>
          <t>6555</t>
        </is>
      </c>
      <c r="B6586" s="4" t="s">
        <f>=HYPERLINK("http://anyluxury.ru/shop/odezhda/detskaya-odezhda/leybl-silikonoviy-biguna-s-prozrachniy-glyanceviy-1750801/" , "17508.01 Лейбл силиконовый Biguna, S, прозрачный глянцевый")</f>
      </c>
      <c r="C6586" s="4" t="n">
        <v>184.00</v>
      </c>
      <c r="D6586" s="4"/>
    </row>
    <row collapsed="" customFormat="false" customHeight="1" hidden="" ht="14" outlineLevel="0" r="6587">
      <c r="A6587" s="3" t="inlineStr">
        <is>
          <t>6556</t>
        </is>
      </c>
      <c r="B6587" s="4" t="s">
        <f>=HYPERLINK("http://anyluxury.ru/shop/odezhda/detskaya-odezhda/leybl-silikonoviy-biguna-m-prozrachniy-matoviy-1751800/" , "17518.00 Лейбл силиконовый Biguna, М, прозрачный матовый")</f>
      </c>
      <c r="C6587" s="4" t="n">
        <v>197.00</v>
      </c>
      <c r="D6587" s="4"/>
    </row>
    <row collapsed="" customFormat="false" customHeight="1" hidden="" ht="14" outlineLevel="0" r="6588">
      <c r="A6588" s="3" t="inlineStr">
        <is>
          <t>6557</t>
        </is>
      </c>
      <c r="B6588" s="4" t="s">
        <f>=HYPERLINK("http://anyluxury.ru/shop/odezhda/detskaya-odezhda/leybl-silikonoviy-biguna-m-prozrachniy-glyanceviy-1751801/" , "17518.01 Лейбл силиконовый Biguna, М, прозрачный глянцевый")</f>
      </c>
      <c r="C6588" s="4" t="n">
        <v>197.00</v>
      </c>
      <c r="D6588" s="4"/>
    </row>
    <row collapsed="" customFormat="false" customHeight="1" hidden="" ht="14" outlineLevel="0" r="6589">
      <c r="A6589" s="3" t="inlineStr">
        <is>
          <t>6558</t>
        </is>
      </c>
      <c r="B6589" s="4" t="s">
        <f>=HYPERLINK("http://anyluxury.ru/shop/odezhda/detskaya-odezhda/leybl-silikonoviy-biguna-s-cherniy-1750830/" , "17508.30 Лейбл силиконовый Biguna, S, черный")</f>
      </c>
      <c r="C6589" s="4" t="n">
        <v>184.00</v>
      </c>
      <c r="D6589" s="4"/>
    </row>
    <row collapsed="" customFormat="false" customHeight="1" hidden="" ht="14" outlineLevel="0" r="6590">
      <c r="A6590" s="3" t="inlineStr">
        <is>
          <t>6559</t>
        </is>
      </c>
      <c r="B6590" s="4" t="s">
        <f>=HYPERLINK("http://anyluxury.ru/shop/odezhda/detskaya-odezhda/leybl-silikonoviy-biguna-s-prozrachniy-cherniy-1750831/" , "17508.31 Лейбл силиконовый Biguna, S, прозрачный черный")</f>
      </c>
      <c r="C6590" s="4" t="n">
        <v>184.00</v>
      </c>
      <c r="D6590" s="4"/>
    </row>
    <row collapsed="" customFormat="false" customHeight="1" hidden="" ht="14" outlineLevel="0" r="6591">
      <c r="A6591" s="3" t="inlineStr">
        <is>
          <t>6560</t>
        </is>
      </c>
      <c r="B6591" s="4" t="s">
        <f>=HYPERLINK("http://anyluxury.ru/shop/odezhda/detskaya-odezhda/leybl-silikonoviy-biguna-s-zheltiy-neon-1750889/" , "17508.89 Лейбл силиконовый Biguna, S, желтый неон")</f>
      </c>
      <c r="C6591" s="4" t="n">
        <v>184.00</v>
      </c>
      <c r="D6591" s="4"/>
    </row>
    <row collapsed="" customFormat="false" customHeight="1" hidden="" ht="14" outlineLevel="0" r="6592">
      <c r="A6592" s="3" t="inlineStr">
        <is>
          <t>6561</t>
        </is>
      </c>
      <c r="B6592" s="4" t="s">
        <f>=HYPERLINK("http://anyluxury.ru/shop/odezhda/detskaya-odezhda/leybl-silikonoviy-biguna-m-cherniy-1751830/" , "17518.30 Лейбл силиконовый Biguna, М, черный")</f>
      </c>
      <c r="C6592" s="4" t="n">
        <v>197.00</v>
      </c>
      <c r="D6592" s="4"/>
    </row>
    <row collapsed="" customFormat="false" customHeight="1" hidden="" ht="14" outlineLevel="0" r="6593">
      <c r="A6593" s="3" t="inlineStr">
        <is>
          <t>6562</t>
        </is>
      </c>
      <c r="B6593" s="4" t="s">
        <f>=HYPERLINK("http://anyluxury.ru/shop/odezhda/detskaya-odezhda/leybl-silikonoviy-biguna-m-prozrachniy-cherniy-1751831/" , "17518.31 Лейбл силиконовый Biguna, М, прозрачный черный")</f>
      </c>
      <c r="C6593" s="4" t="n">
        <v>197.00</v>
      </c>
      <c r="D6593" s="4"/>
    </row>
    <row collapsed="" customFormat="false" customHeight="1" hidden="" ht="14" outlineLevel="0" r="6594">
      <c r="A6594" s="3" t="inlineStr">
        <is>
          <t>6563</t>
        </is>
      </c>
      <c r="B6594" s="4" t="s">
        <f>=HYPERLINK("http://anyluxury.ru/shop/odezhda/detskaya-odezhda/leybl-silikonoviy-biguna-m-zheltiy-neon-1751889/" , "17518.89 Лейбл силиконовый Biguna, М, желтый неон")</f>
      </c>
      <c r="C6594" s="4" t="n">
        <v>197.00</v>
      </c>
      <c r="D6594" s="4"/>
    </row>
    <row collapsed="" customFormat="false" customHeight="1" hidden="" ht="14" outlineLevel="0" r="6595">
      <c r="A6595" s="3" t="inlineStr">
        <is>
          <t>6564</t>
        </is>
      </c>
      <c r="B6595" s="4" t="s">
        <f>=HYPERLINK("http://anyluxury.ru/shop/odezhda/detskaya-odezhda/shnurok-v-kapyushon-snor-cherniy-1629130/" , "16291.30 Шнурок в капюшон Snor, черный")</f>
      </c>
      <c r="C6595" s="4" t="n">
        <v>178.00</v>
      </c>
      <c r="D6595" s="4"/>
    </row>
    <row collapsed="" customFormat="false" customHeight="1" hidden="" ht="14" outlineLevel="0" r="6596">
      <c r="A6596" s="3" t="inlineStr">
        <is>
          <t>6565</t>
        </is>
      </c>
      <c r="B6596" s="4" t="s">
        <f>=HYPERLINK("http://anyluxury.ru/shop/odezhda/detskaya-odezhda/shnurok-v-kapyushon-snor-beliy-1629160/" , "16291.60 Шнурок в капюшон Snor, белый")</f>
      </c>
      <c r="C6596" s="4" t="n">
        <v>178.00</v>
      </c>
      <c r="D6596" s="4"/>
    </row>
    <row collapsed="" customFormat="false" customHeight="1" hidden="" ht="14" outlineLevel="0" r="6597">
      <c r="A6597" s="3" t="inlineStr">
        <is>
          <t>6566</t>
        </is>
      </c>
      <c r="B6597" s="4" t="s">
        <f>=HYPERLINK("http://anyluxury.ru/shop/odezhda/detskaya-odezhda/shnurok-v-kapyushon-snor-bezheviy-1629112/" , "16291.12 Шнурок в капюшон Snor, бежевый")</f>
      </c>
      <c r="C6597" s="4" t="n">
        <v>178.00</v>
      </c>
      <c r="D6597" s="4"/>
    </row>
    <row collapsed="" customFormat="false" customHeight="1" hidden="" ht="14" outlineLevel="0" r="6598">
      <c r="A6598" s="3" t="inlineStr">
        <is>
          <t>6567</t>
        </is>
      </c>
      <c r="B6598" s="4" t="s">
        <f>=HYPERLINK("http://anyluxury.ru/shop/odezhda/detskaya-odezhda/shnurok-v-kapyushon-snor-temnosiniy-1629143/" , "16291.43 Шнурок в капюшон Snor, темно-синий")</f>
      </c>
      <c r="C6598" s="4" t="n">
        <v>178.00</v>
      </c>
      <c r="D6598" s="4"/>
    </row>
    <row collapsed="" customFormat="false" customHeight="1" hidden="" ht="14" outlineLevel="0" r="6599">
      <c r="A6599" s="3" t="inlineStr">
        <is>
          <t>6568</t>
        </is>
      </c>
      <c r="B6599" s="4" t="s">
        <f>=HYPERLINK("http://anyluxury.ru/shop/odezhda/detskaya-odezhda/shnurok-v-kapyushon-snor-siniy-1629144/" , "16291.44 Шнурок в капюшон Snor, синий")</f>
      </c>
      <c r="C6599" s="4" t="n">
        <v>178.00</v>
      </c>
      <c r="D6599" s="4"/>
    </row>
    <row collapsed="" customFormat="false" customHeight="1" hidden="" ht="14" outlineLevel="0" r="6600">
      <c r="A6600" s="3" t="inlineStr">
        <is>
          <t>6569</t>
        </is>
      </c>
      <c r="B6600" s="4" t="s">
        <f>=HYPERLINK("http://anyluxury.ru/shop/odezhda/detskaya-odezhda/shnurok-v-kapyushon-snor-goluboy-1629114/" , "16291.14 Шнурок в капюшон Snor, голубой")</f>
      </c>
      <c r="C6600" s="4" t="n">
        <v>178.00</v>
      </c>
      <c r="D6600" s="4"/>
    </row>
    <row collapsed="" customFormat="false" customHeight="1" hidden="" ht="14" outlineLevel="0" r="6601">
      <c r="A6601" s="3" t="inlineStr">
        <is>
          <t>6570</t>
        </is>
      </c>
      <c r="B6601" s="4" t="s">
        <f>=HYPERLINK("http://anyluxury.ru/shop/odezhda/detskaya-odezhda/shnurok-v-kapyushon-snor-krasniy-aliy-1629151/" , "16291.51 Шнурок в капюшон Snor, красный (алый)")</f>
      </c>
      <c r="C6601" s="4" t="n">
        <v>178.00</v>
      </c>
      <c r="D6601" s="4"/>
    </row>
    <row collapsed="" customFormat="false" customHeight="1" hidden="" ht="14" outlineLevel="0" r="6602">
      <c r="A6602" s="3" t="inlineStr">
        <is>
          <t>6571</t>
        </is>
      </c>
      <c r="B6602" s="4" t="s">
        <f>=HYPERLINK("http://anyluxury.ru/shop/odezhda/detskaya-odezhda/shnurok-v-kapyushon-snor-rozoviy-1629115/" , "16291.15 Шнурок в капюшон Snor, розовый")</f>
      </c>
      <c r="C6602" s="4" t="n">
        <v>178.00</v>
      </c>
      <c r="D6602" s="4"/>
    </row>
    <row collapsed="" customFormat="false" customHeight="1" hidden="" ht="14" outlineLevel="0" r="6603">
      <c r="A6603" s="3" t="inlineStr">
        <is>
          <t>6572</t>
        </is>
      </c>
      <c r="B6603" s="4" t="s">
        <f>=HYPERLINK("http://anyluxury.ru/shop/odezhda/detskaya-odezhda/shnurok-v-kapyushon-snor-sireneviy-1629176/" , "16291.76 Шнурок в капюшон Snor, сиреневый")</f>
      </c>
      <c r="C6603" s="4" t="n">
        <v>178.00</v>
      </c>
      <c r="D6603" s="4"/>
    </row>
    <row collapsed="" customFormat="false" customHeight="1" hidden="" ht="14" outlineLevel="0" r="6604">
      <c r="A6604" s="3" t="inlineStr">
        <is>
          <t>6573</t>
        </is>
      </c>
      <c r="B6604" s="4" t="s">
        <f>=HYPERLINK("http://anyluxury.ru/shop/odezhda/detskaya-odezhda/shnurok-v-kapyushon-snor-zeleniy-salatoviy-1629192/" , "16291.92 Шнурок в капюшон Snor, зеленый (салатовый)")</f>
      </c>
      <c r="C6604" s="4" t="n">
        <v>178.00</v>
      </c>
      <c r="D6604" s="4"/>
    </row>
    <row collapsed="" customFormat="false" customHeight="1" hidden="" ht="14" outlineLevel="0" r="6605">
      <c r="A6605" s="3" t="inlineStr">
        <is>
          <t>6574</t>
        </is>
      </c>
      <c r="B6605" s="4" t="s">
        <f>=HYPERLINK("http://anyluxury.ru/shop/odezhda/detskaya-odezhda/shnurok-v-kapyushon-snor-zeleniy-1629190/" , "16291.90 Шнурок в капюшон Snor, зеленый")</f>
      </c>
      <c r="C6605" s="4" t="n">
        <v>178.00</v>
      </c>
      <c r="D6605" s="4"/>
    </row>
    <row collapsed="" customFormat="false" customHeight="1" hidden="" ht="14" outlineLevel="0" r="6606">
      <c r="A6606" s="3" t="inlineStr">
        <is>
          <t>6575</t>
        </is>
      </c>
      <c r="B6606" s="4" t="s">
        <f>=HYPERLINK("http://anyluxury.ru/shop/odezhda/detskaya-odezhda/shnurok-v-kapyushon-snor-zheltiy-1629180/" , "16291.80 Шнурок в капюшон Snor, желтый")</f>
      </c>
      <c r="C6606" s="4" t="n">
        <v>178.00</v>
      </c>
      <c r="D6606" s="4"/>
    </row>
    <row collapsed="" customFormat="false" customHeight="1" hidden="" ht="14" outlineLevel="0" r="6607">
      <c r="A6607" s="3" t="inlineStr">
        <is>
          <t>6576</t>
        </is>
      </c>
      <c r="B6607" s="4" t="s">
        <f>=HYPERLINK("http://anyluxury.ru/shop/odezhda/detskaya-odezhda/shnurok-v-kapyushon-snor-korichneviy-1629155/" , "16291.55 Шнурок в капюшон Snor, коричневый")</f>
      </c>
      <c r="C6607" s="4" t="n">
        <v>178.00</v>
      </c>
      <c r="D6607" s="4"/>
    </row>
    <row collapsed="" customFormat="false" customHeight="1" hidden="" ht="14" outlineLevel="0" r="6608">
      <c r="A6608" s="3" t="inlineStr">
        <is>
          <t>6577</t>
        </is>
      </c>
      <c r="B6608" s="4" t="s">
        <f>=HYPERLINK("http://anyluxury.ru/shop/odezhda/detskaya-odezhda/shnurok-v-kapyushon-snor-seriy-1629110/" , "16291.10 Шнурок в капюшон Snor, серый")</f>
      </c>
      <c r="C6608" s="4" t="n">
        <v>178.00</v>
      </c>
      <c r="D6608" s="4"/>
    </row>
    <row collapsed="" customFormat="false" customHeight="1" hidden="" ht="14" outlineLevel="0" r="6609">
      <c r="A6609" s="3" t="inlineStr">
        <is>
          <t>6578</t>
        </is>
      </c>
      <c r="B6609" s="4" t="s">
        <f>=HYPERLINK("http://anyluxury.ru/shop/odezhda/detskaya-odezhda/shnurok-v-kapyushon-snor-oranzheviy-neon-1629122/" , "16291.22 Шнурок в капюшон Snor, оранжевый неон")</f>
      </c>
      <c r="C6609" s="4" t="n">
        <v>178.00</v>
      </c>
      <c r="D6609" s="4"/>
    </row>
    <row collapsed="" customFormat="false" customHeight="1" hidden="" ht="14" outlineLevel="0" r="6610">
      <c r="A6610" s="3" t="inlineStr">
        <is>
          <t>6579</t>
        </is>
      </c>
      <c r="B6610" s="4" t="s">
        <f>=HYPERLINK("http://anyluxury.ru/shop/odezhda/detskaya-odezhda/tolstovka-toima-temnozelenaya-689690/" , "6896.90 Толстовка Toima, темно-зеленая, размер XS")</f>
      </c>
      <c r="C6610" s="4" t="n">
        <v>1191.00</v>
      </c>
      <c r="D6610" s="4"/>
    </row>
    <row collapsed="" customFormat="false" customHeight="1" hidden="" ht="14" outlineLevel="0" r="6611">
      <c r="A6611" s="3" t="inlineStr">
        <is>
          <t>6580</t>
        </is>
      </c>
      <c r="B6611" s="4" t="s">
        <f>=HYPERLINK("http://anyluxury.ru/shop/odezhda/detskaya-odezhda/tolstovka-toima-temnozelenaya-689690/" , "6896.90 Толстовка Toima, темно-зеленая, размер S")</f>
      </c>
      <c r="C6611" s="4" t="n">
        <v>1191.00</v>
      </c>
      <c r="D6611" s="4"/>
    </row>
    <row collapsed="" customFormat="false" customHeight="1" hidden="" ht="14" outlineLevel="0" r="6612">
      <c r="A6612" s="3" t="inlineStr">
        <is>
          <t>6581</t>
        </is>
      </c>
      <c r="B6612" s="4" t="s">
        <f>=HYPERLINK("http://anyluxury.ru/shop/odezhda/detskaya-odezhda/tolstovka-toima-temnozelenaya-689690/" , "6896.90 Толстовка Toima, темно-зеленая, размер M")</f>
      </c>
      <c r="C6612" s="4" t="n">
        <v>1191.00</v>
      </c>
      <c r="D6612" s="4"/>
    </row>
    <row collapsed="" customFormat="false" customHeight="1" hidden="" ht="14" outlineLevel="0" r="6613">
      <c r="A6613" s="3" t="inlineStr">
        <is>
          <t>6582</t>
        </is>
      </c>
      <c r="B6613" s="4" t="s">
        <f>=HYPERLINK("http://anyluxury.ru/shop/odezhda/detskaya-odezhda/tolstovka-toima-temnozelenaya-689690/" , "6896.90 Толстовка Toima, темно-зеленая, размер L")</f>
      </c>
      <c r="C6613" s="4" t="n">
        <v>1191.00</v>
      </c>
      <c r="D6613" s="4"/>
    </row>
    <row collapsed="" customFormat="false" customHeight="1" hidden="" ht="14" outlineLevel="0" r="6614">
      <c r="A6614" s="3" t="inlineStr">
        <is>
          <t>6583</t>
        </is>
      </c>
      <c r="B6614" s="4" t="s">
        <f>=HYPERLINK("http://anyluxury.ru/shop/odezhda/detskaya-odezhda/tolstovka-toima-temnozelenaya-689690/" , "6896.90 Толстовка Toima, темно-зеленая, размер XL")</f>
      </c>
      <c r="C6614" s="4" t="n">
        <v>1191.00</v>
      </c>
      <c r="D6614" s="4"/>
    </row>
    <row collapsed="" customFormat="false" customHeight="1" hidden="" ht="14" outlineLevel="0" r="6615">
      <c r="A6615" s="3" t="inlineStr">
        <is>
          <t>6584</t>
        </is>
      </c>
      <c r="B6615" s="4" t="s">
        <f>=HYPERLINK("http://anyluxury.ru/shop/odezhda/detskaya-odezhda/tolstovka-toima-temnozelenaya-689690/" , "6896.90 Толстовка Toima, темно-зеленая, размер XXL")</f>
      </c>
      <c r="C6615" s="4" t="n">
        <v>1191.00</v>
      </c>
      <c r="D6615" s="4"/>
    </row>
    <row collapsed="" customFormat="false" customHeight="1" hidden="" ht="14" outlineLevel="0" r="6616">
      <c r="A6616" s="3" t="inlineStr">
        <is>
          <t>6585</t>
        </is>
      </c>
      <c r="B6616" s="4" t="s">
        <f>=HYPERLINK("http://anyluxury.ru/shop/odezhda/detskaya-odezhda/dozhdevik-palladio-pockets-serebristiy-2387711/" , "23877.11 Дождевик Palladio Pockets, серебристый, размер S")</f>
      </c>
      <c r="C6616" s="4" t="n">
        <v>1760.00</v>
      </c>
      <c r="D6616" s="4"/>
    </row>
    <row collapsed="" customFormat="false" customHeight="1" hidden="" ht="14" outlineLevel="0" r="6617">
      <c r="A6617" s="3" t="inlineStr">
        <is>
          <t>6586</t>
        </is>
      </c>
      <c r="B6617" s="4" t="s">
        <f>=HYPERLINK("http://anyluxury.ru/shop/odezhda/detskaya-odezhda/dozhdevik-palladio-pockets-serebristiy-2387711/" , "23877.11 Дождевик Palladio Pockets, серебристый, размер M")</f>
      </c>
      <c r="C6617" s="4" t="n">
        <v>1760.00</v>
      </c>
      <c r="D6617" s="4"/>
    </row>
    <row collapsed="" customFormat="false" customHeight="1" hidden="" ht="14" outlineLevel="0" r="6618">
      <c r="A6618" s="3" t="inlineStr">
        <is>
          <t>6587</t>
        </is>
      </c>
      <c r="B6618" s="4" t="s">
        <f>=HYPERLINK("http://anyluxury.ru/shop/odezhda/detskaya-odezhda/dozhdevik-palladio-pockets-serebristiy-2387711/" , "23877.11 Дождевик Palladio Pockets, серебристый, размер L")</f>
      </c>
      <c r="C6618" s="4" t="n">
        <v>1760.00</v>
      </c>
      <c r="D6618" s="4"/>
    </row>
    <row collapsed="" customFormat="false" customHeight="1" hidden="" ht="14" outlineLevel="0" r="6619">
      <c r="A6619" s="3" t="inlineStr">
        <is>
          <t>6588</t>
        </is>
      </c>
      <c r="B6619" s="4" t="s">
        <f>=HYPERLINK("http://anyluxury.ru/shop/odezhda/detskaya-odezhda/dozhdevik-palladio-pockets-serebristiy-2387711/" , "23877.11 Дождевик Palladio Pockets, серебристый, размер XL")</f>
      </c>
      <c r="C6619" s="4" t="n">
        <v>1760.00</v>
      </c>
      <c r="D6619" s="4"/>
    </row>
    <row collapsed="" customFormat="false" customHeight="1" hidden="" ht="14" outlineLevel="0" r="6620">
      <c r="A6620" s="3" t="inlineStr">
        <is>
          <t>6589</t>
        </is>
      </c>
      <c r="B6620" s="4" t="s">
        <f>=HYPERLINK("http://anyluxury.ru/shop/odezhda/detskaya-odezhda/dozhdevik-palladio-pockets-zolotistiy-2387700/" , "23877.00 Дождевик Palladio Pockets, золотистый, размер S")</f>
      </c>
      <c r="C6620" s="4" t="n">
        <v>1860.00</v>
      </c>
      <c r="D6620" s="4"/>
    </row>
    <row collapsed="" customFormat="false" customHeight="1" hidden="" ht="14" outlineLevel="0" r="6621">
      <c r="A6621" s="3" t="inlineStr">
        <is>
          <t>6590</t>
        </is>
      </c>
      <c r="B6621" s="4" t="s">
        <f>=HYPERLINK("http://anyluxury.ru/shop/odezhda/detskaya-odezhda/dozhdevik-palladio-pockets-zolotistiy-2387700/" , "23877.00 Дождевик Palladio Pockets, золотистый, размер M")</f>
      </c>
      <c r="C6621" s="4" t="n">
        <v>1860.00</v>
      </c>
      <c r="D6621" s="4"/>
    </row>
    <row collapsed="" customFormat="false" customHeight="1" hidden="" ht="14" outlineLevel="0" r="6622">
      <c r="A6622" s="3" t="inlineStr">
        <is>
          <t>6591</t>
        </is>
      </c>
      <c r="B6622" s="4" t="s">
        <f>=HYPERLINK("http://anyluxury.ru/shop/odezhda/detskaya-odezhda/dozhdevik-palladio-pockets-zolotistiy-2387700/" , "23877.00 Дождевик Palladio Pockets, золотистый, размер L")</f>
      </c>
      <c r="C6622" s="4" t="n">
        <v>1860.00</v>
      </c>
      <c r="D6622" s="4"/>
    </row>
    <row collapsed="" customFormat="false" customHeight="1" hidden="" ht="14" outlineLevel="0" r="6623">
      <c r="A6623" s="3" t="inlineStr">
        <is>
          <t>6592</t>
        </is>
      </c>
      <c r="B6623" s="4" t="s">
        <f>=HYPERLINK("http://anyluxury.ru/shop/odezhda/detskaya-odezhda/dozhdevik-palladio-pockets-zolotistiy-2387700/" , "23877.00 Дождевик Palladio Pockets, золотистый, размер XL")</f>
      </c>
      <c r="C6623" s="4" t="n">
        <v>1860.00</v>
      </c>
      <c r="D6623" s="4"/>
    </row>
    <row collapsed="" customFormat="false" customHeight="1" hidden="" ht="14" outlineLevel="0" r="6624">
      <c r="A6624" s="3" t="inlineStr">
        <is>
          <t>6593</t>
        </is>
      </c>
      <c r="B6624" s="4" t="s">
        <f>=HYPERLINK("http://anyluxury.ru/shop/odezhda/detskaya-odezhda/dozhdevik-palladio-pockets-zolotistiy-2387700/" , "23877.00 Дождевик Palladio Pockets, золотистый, размер XXL")</f>
      </c>
      <c r="C6624" s="4" t="n">
        <v>1860.00</v>
      </c>
      <c r="D6624" s="4"/>
    </row>
    <row collapsed="" customFormat="false" customHeight="1" hidden="" ht="14" outlineLevel="0" r="6625">
      <c r="A6625" s="3" t="inlineStr">
        <is>
          <t>6594</t>
        </is>
      </c>
      <c r="B6625" s="4" t="s">
        <f>=HYPERLINK("http://anyluxury.ru/shop/odezhda/detskaya-odezhda/perchatki-loren-dimchatoserie-1637912/" , "16379.12 Перчатки Loren, дымчато-серые")</f>
      </c>
      <c r="C6625" s="4" t="n">
        <v>1288.00</v>
      </c>
      <c r="D6625" s="4"/>
    </row>
    <row collapsed="" customFormat="false" customHeight="1" hidden="" ht="14" outlineLevel="0" r="6626">
      <c r="A6626" s="3" t="inlineStr">
        <is>
          <t>6595</t>
        </is>
      </c>
      <c r="B6626" s="4" t="s">
        <f>=HYPERLINK("http://anyluxury.ru/shop/odezhda/detskaya-odezhda/perchatki-loren-vanilnobelie-1637961/" , "16379.61 Перчатки Loren, молочно-белые (ванильные)")</f>
      </c>
      <c r="C6626" s="4" t="n">
        <v>1288.00</v>
      </c>
      <c r="D6626" s="4"/>
    </row>
    <row collapsed="" customFormat="false" customHeight="1" hidden="" ht="14" outlineLevel="0" r="6627">
      <c r="A6627" s="3" t="inlineStr">
        <is>
          <t>6596</t>
        </is>
      </c>
      <c r="B6627" s="4" t="s">
        <f>=HYPERLINK("http://anyluxury.ru/shop/odezhda/detskaya-odezhda/tolstovka-s-kapyushonom-kirenga-heavy-krasnaya-alaya-692651/" , "6926.51 Толстовка с капюшоном Kirenga Heavy, красная (алая), размер XS")</f>
      </c>
      <c r="C6627" s="4" t="n">
        <v>2050.00</v>
      </c>
      <c r="D6627" s="4"/>
    </row>
    <row collapsed="" customFormat="false" customHeight="1" hidden="" ht="14" outlineLevel="0" r="6628">
      <c r="A6628" s="3" t="inlineStr">
        <is>
          <t>6597</t>
        </is>
      </c>
      <c r="B6628" s="4" t="s">
        <f>=HYPERLINK("http://anyluxury.ru/shop/odezhda/detskaya-odezhda/tolstovka-s-kapyushonom-kirenga-heavy-krasnaya-alaya-692651/" , "6926.51 Толстовка с капюшоном Kirenga Heavy, красная (алая), размер S")</f>
      </c>
      <c r="C6628" s="4" t="n">
        <v>2050.00</v>
      </c>
      <c r="D6628" s="4"/>
    </row>
    <row collapsed="" customFormat="false" customHeight="1" hidden="" ht="14" outlineLevel="0" r="6629">
      <c r="A6629" s="3" t="inlineStr">
        <is>
          <t>6598</t>
        </is>
      </c>
      <c r="B6629" s="4" t="s">
        <f>=HYPERLINK("http://anyluxury.ru/shop/odezhda/detskaya-odezhda/tolstovka-s-kapyushonom-kirenga-heavy-krasnaya-alaya-692651/" , "6926.51 Толстовка с капюшоном Kirenga Heavy, красная (алая), размер L")</f>
      </c>
      <c r="C6629" s="4" t="n">
        <v>2050.00</v>
      </c>
      <c r="D6629" s="4"/>
    </row>
    <row collapsed="" customFormat="false" customHeight="1" hidden="" ht="14" outlineLevel="0" r="6630">
      <c r="A6630" s="3" t="inlineStr">
        <is>
          <t>6599</t>
        </is>
      </c>
      <c r="B6630" s="4" t="s">
        <f>=HYPERLINK("http://anyluxury.ru/shop/odezhda/detskaya-odezhda/tolstovka-s-kapyushonom-kirenga-heavy-krasnaya-alaya-692651/" , "6926.51 Толстовка с капюшоном Kirenga Heavy, красная (алая), размер XXL")</f>
      </c>
      <c r="C6630" s="4" t="n">
        <v>2050.00</v>
      </c>
      <c r="D6630" s="4"/>
    </row>
    <row collapsed="" customFormat="false" customHeight="1" hidden="" ht="14" outlineLevel="0" r="6631">
      <c r="A6631" s="3" t="inlineStr">
        <is>
          <t>6600</t>
        </is>
      </c>
      <c r="B6631" s="4" t="s">
        <f>=HYPERLINK("http://anyluxury.ru/shop/odezhda/detskaya-odezhda/tolstovka-s-kapyushonom-kirenga-heavy-krasnaya-alaya-692651/" , "6926.51 Толстовка с капюшоном Kirenga Heavy, красная (алая), размер 3XL")</f>
      </c>
      <c r="C6631" s="4" t="n">
        <v>2050.00</v>
      </c>
      <c r="D6631" s="4"/>
    </row>
    <row collapsed="" customFormat="false" customHeight="1" hidden="" ht="14" outlineLevel="0" r="6632">
      <c r="A6632" s="3" t="inlineStr">
        <is>
          <t>6601</t>
        </is>
      </c>
      <c r="B6632" s="4" t="s">
        <f>=HYPERLINK("http://anyluxury.ru/shop/odezhda/detskaya-odezhda/tolstovka-s-kapyushonom-kirenga-heavy-krasnaya-alaya-692651/" , "6926.51 Толстовка с капюшоном Kirenga Heavy, красная (алая), размер 4XL")</f>
      </c>
      <c r="C6632" s="4" t="n">
        <v>2050.00</v>
      </c>
      <c r="D6632" s="4"/>
    </row>
    <row collapsed="" customFormat="false" customHeight="1" hidden="" ht="14" outlineLevel="0" r="6633">
      <c r="A6633" s="3" t="inlineStr">
        <is>
          <t>6602</t>
        </is>
      </c>
      <c r="B6633" s="4" t="s">
        <f>=HYPERLINK("http://anyluxury.ru/shop/odezhda/detskaya-odezhda/tolstovka-s-kapyushonom-kirenga-heavy-krasnaya-alaya-692651/" , "6926.51 Толстовка с капюшоном Kirenga Heavy, красная (алая), размер 5XL")</f>
      </c>
      <c r="C6633" s="4" t="n">
        <v>2050.00</v>
      </c>
      <c r="D6633" s="4"/>
    </row>
    <row collapsed="" customFormat="false" customHeight="1" hidden="" ht="14" outlineLevel="0" r="6634">
      <c r="A6634" s="3" t="inlineStr">
        <is>
          <t>6603</t>
        </is>
      </c>
      <c r="B6634" s="4" t="s">
        <f>=HYPERLINK("http://anyluxury.ru/shop/odezhda/detskaya-odezhda/tolstovka-toima-heavy-krasnaya-alaya-692851/" , "6928.51 Толстовка Toima Heavy, красная (алая), размер XS")</f>
      </c>
      <c r="C6634" s="4" t="n">
        <v>1493.00</v>
      </c>
      <c r="D6634" s="4"/>
    </row>
    <row collapsed="" customFormat="false" customHeight="1" hidden="" ht="14" outlineLevel="0" r="6635">
      <c r="A6635" s="3" t="inlineStr">
        <is>
          <t>6604</t>
        </is>
      </c>
      <c r="B6635" s="4" t="s">
        <f>=HYPERLINK("http://anyluxury.ru/shop/odezhda/detskaya-odezhda/tolstovka-toima-heavy-krasnaya-alaya-692851/" , "6928.51 Толстовка Toima Heavy, красная (алая), размер L")</f>
      </c>
      <c r="C6635" s="4" t="n">
        <v>1493.00</v>
      </c>
      <c r="D6635" s="4"/>
    </row>
    <row collapsed="" customFormat="false" customHeight="1" hidden="" ht="14" outlineLevel="0" r="6636">
      <c r="A6636" s="3" t="inlineStr">
        <is>
          <t>6605</t>
        </is>
      </c>
      <c r="B6636" s="4" t="s">
        <f>=HYPERLINK("http://anyluxury.ru/shop/odezhda/detskaya-odezhda/tolstovka-toima-heavy-krasnaya-alaya-692851/" , "6928.51 Толстовка Toima Heavy красная (алая), размер XL")</f>
      </c>
      <c r="C6636" s="4" t="n">
        <v>1493.00</v>
      </c>
      <c r="D6636" s="4"/>
    </row>
    <row collapsed="" customFormat="false" customHeight="1" hidden="" ht="14" outlineLevel="0" r="6637">
      <c r="A6637" s="3" t="inlineStr">
        <is>
          <t>6606</t>
        </is>
      </c>
      <c r="B6637" s="4" t="s">
        <f>=HYPERLINK("http://anyluxury.ru/shop/odezhda/detskaya-odezhda/tolstovka-toima-heavy-krasnaya-alaya-692851/" , "6928.51 Толстовка Toima Heavy, красная (алая), размер XXL")</f>
      </c>
      <c r="C6637" s="4" t="n">
        <v>1493.00</v>
      </c>
      <c r="D6637" s="4"/>
    </row>
    <row collapsed="" customFormat="false" customHeight="1" hidden="" ht="14" outlineLevel="0" r="6638">
      <c r="A6638" s="3" t="inlineStr">
        <is>
          <t>6607</t>
        </is>
      </c>
      <c r="B6638" s="4" t="s">
        <f>=HYPERLINK("http://anyluxury.ru/shop/odezhda/detskaya-odezhda/hudi-kulonga-oversize-temnoseroe-1410113/" , "14101.13 Худи Kulonga Oversize, темно-серое, размер ХS/S")</f>
      </c>
      <c r="C6638" s="4" t="n">
        <v>3800.00</v>
      </c>
      <c r="D6638" s="4"/>
    </row>
    <row collapsed="" customFormat="false" customHeight="1" hidden="" ht="14" outlineLevel="0" r="6639">
      <c r="A6639" s="3" t="inlineStr">
        <is>
          <t>6608</t>
        </is>
      </c>
      <c r="B6639" s="4" t="s">
        <f>=HYPERLINK("http://anyluxury.ru/shop/odezhda/detskaya-odezhda/hudi-kulonga-oversize-temnoseroe-1410113/" , "14101.13 Худи Kulonga Oversize, темно-серое, размер M/L")</f>
      </c>
      <c r="C6639" s="4" t="n">
        <v>3800.00</v>
      </c>
      <c r="D6639" s="4"/>
    </row>
    <row collapsed="" customFormat="false" customHeight="1" hidden="" ht="14" outlineLevel="0" r="6640">
      <c r="A6640" s="3" t="inlineStr">
        <is>
          <t>6609</t>
        </is>
      </c>
      <c r="B6640" s="4" t="s">
        <f>=HYPERLINK("http://anyluxury.ru/shop/odezhda/detskaya-odezhda/hudi-kulonga-oversize-temnoseroe-1410113/" , "14101.13 Худи Kulonga Oversize, темно-серое, размер ХL/ХХL")</f>
      </c>
      <c r="C6640" s="4" t="n">
        <v>3800.00</v>
      </c>
      <c r="D6640" s="4"/>
    </row>
    <row collapsed="" customFormat="false" customHeight="1" hidden="" ht="14" outlineLevel="0" r="6641">
      <c r="A6641" s="3" t="inlineStr">
        <is>
          <t>6610</t>
        </is>
      </c>
      <c r="B6641" s="4" t="s">
        <f>=HYPERLINK("http://anyluxury.ru/shop/odezhda/detskaya-odezhda/hudi-kulonga-oversize-temnoseroe-1410113/" , "14101.13 Худи Kulonga Oversize, темно-серое, размер 3XL/4XL")</f>
      </c>
      <c r="C6641" s="4" t="n">
        <v>3800.00</v>
      </c>
      <c r="D6641" s="4"/>
    </row>
    <row collapsed="" customFormat="false" customHeight="1" hidden="" ht="14" outlineLevel="0" r="6642">
      <c r="A6642" s="3" t="inlineStr">
        <is>
          <t>6611</t>
        </is>
      </c>
      <c r="B6642" s="4" t="s">
        <f>=HYPERLINK("http://anyluxury.ru/shop/odezhda/detskaya-odezhda/svitshot-uniseks-columbia-seriy-melanzh-03814360/" , "03814360 Свитшот унисекс Columbia, серый меланж, размер XS")</f>
      </c>
      <c r="C6642" s="4" t="n">
        <v>1987.00</v>
      </c>
      <c r="D6642" s="4"/>
    </row>
    <row collapsed="" customFormat="false" customHeight="1" hidden="" ht="14" outlineLevel="0" r="6643">
      <c r="A6643" s="3" t="inlineStr">
        <is>
          <t>6612</t>
        </is>
      </c>
      <c r="B6643" s="4" t="s">
        <f>=HYPERLINK("http://anyluxury.ru/shop/odezhda/detskaya-odezhda/svitshot-uniseks-columbia-seriy-melanzh-03814360/" , "03814360 Свитшот унисекс Columbia, серый меланж, размер S")</f>
      </c>
      <c r="C6643" s="4" t="n">
        <v>1987.00</v>
      </c>
      <c r="D6643" s="4"/>
    </row>
    <row collapsed="" customFormat="false" customHeight="1" hidden="" ht="14" outlineLevel="0" r="6644">
      <c r="A6644" s="3" t="inlineStr">
        <is>
          <t>6613</t>
        </is>
      </c>
      <c r="B6644" s="4" t="s">
        <f>=HYPERLINK("http://anyluxury.ru/shop/odezhda/detskaya-odezhda/svitshot-uniseks-columbia-seriy-melanzh-03814360/" , "03814360 Свитшот унисекс Columbia, серый меланж, размер M")</f>
      </c>
      <c r="C6644" s="4" t="n">
        <v>1987.00</v>
      </c>
      <c r="D6644" s="4"/>
    </row>
    <row collapsed="" customFormat="false" customHeight="1" hidden="" ht="14" outlineLevel="0" r="6645">
      <c r="A6645" s="3" t="inlineStr">
        <is>
          <t>6614</t>
        </is>
      </c>
      <c r="B6645" s="4" t="s">
        <f>=HYPERLINK("http://anyluxury.ru/shop/odezhda/detskaya-odezhda/svitshot-uniseks-columbia-seriy-melanzh-03814360/" , "03814360 Свитшот унисекс Columbia, серый меланж, размер L")</f>
      </c>
      <c r="C6645" s="4" t="n">
        <v>1987.00</v>
      </c>
      <c r="D6645" s="4"/>
    </row>
    <row collapsed="" customFormat="false" customHeight="1" hidden="" ht="14" outlineLevel="0" r="6646">
      <c r="A6646" s="3" t="inlineStr">
        <is>
          <t>6615</t>
        </is>
      </c>
      <c r="B6646" s="4" t="s">
        <f>=HYPERLINK("http://anyluxury.ru/shop/odezhda/detskaya-odezhda/svitshot-uniseks-columbia-seriy-melanzh-03814360/" , "03814360 Свитшот унисекс Columbia, серый меланж, размер XL")</f>
      </c>
      <c r="C6646" s="4" t="n">
        <v>1987.00</v>
      </c>
      <c r="D6646" s="4"/>
    </row>
    <row collapsed="" customFormat="false" customHeight="1" hidden="" ht="14" outlineLevel="0" r="6647">
      <c r="A6647" s="3" t="inlineStr">
        <is>
          <t>6616</t>
        </is>
      </c>
      <c r="B6647" s="4" t="s">
        <f>=HYPERLINK("http://anyluxury.ru/shop/odezhda/detskaya-odezhda/svitshot-uniseks-columbia-seriy-melanzh-03814360/" , "03814360 Свитшот унисекс Columbia, серый меланж, размер XXL")</f>
      </c>
      <c r="C6647" s="4" t="n">
        <v>1987.00</v>
      </c>
      <c r="D6647" s="4"/>
    </row>
    <row collapsed="" customFormat="false" customHeight="1" hidden="" ht="14" outlineLevel="0" r="6648">
      <c r="A6648" s="3" t="inlineStr">
        <is>
          <t>6617</t>
        </is>
      </c>
      <c r="B6648" s="4" t="s">
        <f>=HYPERLINK("http://anyluxury.ru/shop/odezhda/detskaya-odezhda/svitshot-uniseks-columbia-seriy-melanzh-03814360/" , "03814360 Свитшот унисекс Columbia, серый меланж, размер 3XL")</f>
      </c>
      <c r="C6648" s="4" t="n">
        <v>2279.00</v>
      </c>
      <c r="D6648" s="4"/>
    </row>
    <row collapsed="" customFormat="false" customHeight="1" hidden="" ht="14" outlineLevel="0" r="6649">
      <c r="A6649" s="3" t="inlineStr">
        <is>
          <t>6618</t>
        </is>
      </c>
      <c r="B6649" s="4" t="s">
        <f>=HYPERLINK("http://anyluxury.ru/shop/odezhda/detskaya-odezhda/svitshot-uniseks-columbia-seriy-melanzh-03814360/" , "03814360 Свитшот унисекс Columbia, серый меланж, размер 4XL")</f>
      </c>
      <c r="C6649" s="4" t="n">
        <v>2617.00</v>
      </c>
      <c r="D6649" s="4"/>
    </row>
    <row collapsed="" customFormat="false" customHeight="1" hidden="" ht="14" outlineLevel="0" r="6650">
      <c r="A6650" s="3" t="inlineStr">
        <is>
          <t>6619</t>
        </is>
      </c>
      <c r="B6650" s="4" t="s">
        <f>=HYPERLINK("http://anyluxury.ru/shop/odezhda/detskaya-odezhda/svitshot-uniseks-columbia-seriy-melanzh-03814360/" , "03814360 Свитшот унисекс Columbia, серый меланж, размер 5XL")</f>
      </c>
      <c r="C6650" s="4" t="n">
        <v>2617.00</v>
      </c>
      <c r="D6650" s="4"/>
    </row>
    <row collapsed="" customFormat="false" customHeight="1" hidden="" ht="14" outlineLevel="0" r="6651">
      <c r="A6651" s="3" t="inlineStr">
        <is>
          <t>6620</t>
        </is>
      </c>
      <c r="B6651" s="4" t="s">
        <f>=HYPERLINK("http://anyluxury.ru/shop/odezhda/detskaya-odezhda/svitshot-uniseks-columbia-beliy-03814102/" , "03814102 Свитшот унисекс Columbia, белый, размер XS")</f>
      </c>
      <c r="C6651" s="4" t="n">
        <v>1987.00</v>
      </c>
      <c r="D6651" s="4"/>
    </row>
    <row collapsed="" customFormat="false" customHeight="1" hidden="" ht="14" outlineLevel="0" r="6652">
      <c r="A6652" s="3" t="inlineStr">
        <is>
          <t>6621</t>
        </is>
      </c>
      <c r="B6652" s="4" t="s">
        <f>=HYPERLINK("http://anyluxury.ru/shop/odezhda/detskaya-odezhda/svitshot-uniseks-columbia-beliy-03814102/" , "03814102 Свитшот унисекс Columbia, белый, размер S")</f>
      </c>
      <c r="C6652" s="4" t="n">
        <v>1987.00</v>
      </c>
      <c r="D6652" s="4"/>
    </row>
    <row collapsed="" customFormat="false" customHeight="1" hidden="" ht="14" outlineLevel="0" r="6653">
      <c r="A6653" s="3" t="inlineStr">
        <is>
          <t>6622</t>
        </is>
      </c>
      <c r="B6653" s="4" t="s">
        <f>=HYPERLINK("http://anyluxury.ru/shop/odezhda/detskaya-odezhda/svitshot-uniseks-columbia-beliy-03814102/" , "03814102 Свитшот унисекс Columbia, белый, размер M")</f>
      </c>
      <c r="C6653" s="4" t="n">
        <v>1987.00</v>
      </c>
      <c r="D6653" s="4"/>
    </row>
    <row collapsed="" customFormat="false" customHeight="1" hidden="" ht="14" outlineLevel="0" r="6654">
      <c r="A6654" s="3" t="inlineStr">
        <is>
          <t>6623</t>
        </is>
      </c>
      <c r="B6654" s="4" t="s">
        <f>=HYPERLINK("http://anyluxury.ru/shop/odezhda/detskaya-odezhda/svitshot-uniseks-columbia-beliy-03814102/" , "03814102 Свитшот унисекс Columbia, белый, размер L")</f>
      </c>
      <c r="C6654" s="4" t="n">
        <v>1987.00</v>
      </c>
      <c r="D6654" s="4"/>
    </row>
    <row collapsed="" customFormat="false" customHeight="1" hidden="" ht="14" outlineLevel="0" r="6655">
      <c r="A6655" s="3" t="inlineStr">
        <is>
          <t>6624</t>
        </is>
      </c>
      <c r="B6655" s="4" t="s">
        <f>=HYPERLINK("http://anyluxury.ru/shop/odezhda/detskaya-odezhda/svitshot-uniseks-columbia-beliy-03814102/" , "03814102 Свитшот унисекс Columbia, белый, размер XL")</f>
      </c>
      <c r="C6655" s="4" t="n">
        <v>1987.00</v>
      </c>
      <c r="D6655" s="4"/>
    </row>
    <row collapsed="" customFormat="false" customHeight="1" hidden="" ht="14" outlineLevel="0" r="6656">
      <c r="A6656" s="3" t="inlineStr">
        <is>
          <t>6625</t>
        </is>
      </c>
      <c r="B6656" s="4" t="s">
        <f>=HYPERLINK("http://anyluxury.ru/shop/odezhda/detskaya-odezhda/svitshot-uniseks-columbia-beliy-03814102/" , "03814102 Свитшот унисекс Columbia, белый, размер XXL")</f>
      </c>
      <c r="C6656" s="4" t="n">
        <v>1987.00</v>
      </c>
      <c r="D6656" s="4"/>
    </row>
    <row collapsed="" customFormat="false" customHeight="1" hidden="" ht="14" outlineLevel="0" r="6657">
      <c r="A6657" s="3" t="inlineStr">
        <is>
          <t>6626</t>
        </is>
      </c>
      <c r="B6657" s="4" t="s">
        <f>=HYPERLINK("http://anyluxury.ru/shop/odezhda/detskaya-odezhda/svitshot-uniseks-columbia-beliy-03814102/" , "03814102 Свитшот унисекс Columbia, белый, размер 3XL")</f>
      </c>
      <c r="C6657" s="4" t="n">
        <v>2279.00</v>
      </c>
      <c r="D6657" s="4"/>
    </row>
    <row collapsed="" customFormat="false" customHeight="1" hidden="" ht="14" outlineLevel="0" r="6658">
      <c r="A6658" s="3" t="inlineStr">
        <is>
          <t>6627</t>
        </is>
      </c>
      <c r="B6658" s="4" t="s">
        <f>=HYPERLINK("http://anyluxury.ru/shop/odezhda/detskaya-odezhda/svitshot-uniseks-columbia-beliy-03814102/" , "03814102 Свитшот унисекс Columbia, белый, размер 4XL")</f>
      </c>
      <c r="C6658" s="4" t="n">
        <v>2617.00</v>
      </c>
      <c r="D6658" s="4"/>
    </row>
    <row collapsed="" customFormat="false" customHeight="1" hidden="" ht="14" outlineLevel="0" r="6659">
      <c r="A6659" s="3" t="inlineStr">
        <is>
          <t>6628</t>
        </is>
      </c>
      <c r="B6659" s="4" t="s">
        <f>=HYPERLINK("http://anyluxury.ru/shop/odezhda/detskaya-odezhda/svitshot-uniseks-columbia-beliy-03814102/" , "03814102 Свитшот унисекс Columbia, белый, размер 5XL")</f>
      </c>
      <c r="C6659" s="4" t="n">
        <v>2617.00</v>
      </c>
      <c r="D6659" s="4"/>
    </row>
    <row collapsed="" customFormat="false" customHeight="1" hidden="" ht="14" outlineLevel="0" r="6660">
      <c r="A6660" s="3" t="inlineStr">
        <is>
          <t>6629</t>
        </is>
      </c>
      <c r="B6660" s="4" t="s">
        <f>=HYPERLINK("http://anyluxury.ru/shop/odezhda/detskaya-odezhda/hudi-uniseks-condor-beloe-03815102/" , "03815102 Худи унисекс Condor, белое, размер XS")</f>
      </c>
      <c r="C6660" s="4" t="n">
        <v>2598.00</v>
      </c>
      <c r="D6660" s="4"/>
    </row>
    <row collapsed="" customFormat="false" customHeight="1" hidden="" ht="14" outlineLevel="0" r="6661">
      <c r="A6661" s="3" t="inlineStr">
        <is>
          <t>6630</t>
        </is>
      </c>
      <c r="B6661" s="4" t="s">
        <f>=HYPERLINK("http://anyluxury.ru/shop/odezhda/detskaya-odezhda/hudi-uniseks-condor-beloe-03815102/" , "03815102 Худи унисекс Condor, белое, размер S")</f>
      </c>
      <c r="C6661" s="4" t="n">
        <v>2598.00</v>
      </c>
      <c r="D6661" s="4"/>
    </row>
    <row collapsed="" customFormat="false" customHeight="1" hidden="" ht="14" outlineLevel="0" r="6662">
      <c r="A6662" s="3" t="inlineStr">
        <is>
          <t>6631</t>
        </is>
      </c>
      <c r="B6662" s="4" t="s">
        <f>=HYPERLINK("http://anyluxury.ru/shop/odezhda/detskaya-odezhda/hudi-uniseks-condor-beloe-03815102/" , "03815102 Худи унисекс Condor, белое, размер M")</f>
      </c>
      <c r="C6662" s="4" t="n">
        <v>2598.00</v>
      </c>
      <c r="D6662" s="4"/>
    </row>
    <row collapsed="" customFormat="false" customHeight="1" hidden="" ht="14" outlineLevel="0" r="6663">
      <c r="A6663" s="3" t="inlineStr">
        <is>
          <t>6632</t>
        </is>
      </c>
      <c r="B6663" s="4" t="s">
        <f>=HYPERLINK("http://anyluxury.ru/shop/odezhda/detskaya-odezhda/hudi-uniseks-condor-beloe-03815102/" , "03815102 Худи унисекс Condor, белое, размер L")</f>
      </c>
      <c r="C6663" s="4" t="n">
        <v>2598.00</v>
      </c>
      <c r="D6663" s="4"/>
    </row>
    <row collapsed="" customFormat="false" customHeight="1" hidden="" ht="14" outlineLevel="0" r="6664">
      <c r="A6664" s="3" t="inlineStr">
        <is>
          <t>6633</t>
        </is>
      </c>
      <c r="B6664" s="4" t="s">
        <f>=HYPERLINK("http://anyluxury.ru/shop/odezhda/detskaya-odezhda/hudi-uniseks-condor-beloe-03815102/" , "03815102 Худи унисекс Condor, белое, размер XL")</f>
      </c>
      <c r="C6664" s="4" t="n">
        <v>2598.00</v>
      </c>
      <c r="D6664" s="4"/>
    </row>
    <row collapsed="" customFormat="false" customHeight="1" hidden="" ht="14" outlineLevel="0" r="6665">
      <c r="A6665" s="3" t="inlineStr">
        <is>
          <t>6634</t>
        </is>
      </c>
      <c r="B6665" s="4" t="s">
        <f>=HYPERLINK("http://anyluxury.ru/shop/odezhda/detskaya-odezhda/hudi-uniseks-condor-beloe-03815102/" , "03815102 Худи унисекс Condor, белое, размер XXL")</f>
      </c>
      <c r="C6665" s="4" t="n">
        <v>2598.00</v>
      </c>
      <c r="D6665" s="4"/>
    </row>
    <row collapsed="" customFormat="false" customHeight="1" hidden="" ht="14" outlineLevel="0" r="6666">
      <c r="A6666" s="3" t="inlineStr">
        <is>
          <t>6635</t>
        </is>
      </c>
      <c r="B6666" s="4" t="s">
        <f>=HYPERLINK("http://anyluxury.ru/shop/odezhda/detskaya-odezhda/hudi-uniseks-condor-beloe-03815102/" , "03815102 Худи унисекс Condor, белое, размер 3XL")</f>
      </c>
      <c r="C6666" s="4" t="n">
        <v>3065.00</v>
      </c>
      <c r="D6666" s="4"/>
    </row>
    <row collapsed="" customFormat="false" customHeight="1" hidden="" ht="14" outlineLevel="0" r="6667">
      <c r="A6667" s="3" t="inlineStr">
        <is>
          <t>6636</t>
        </is>
      </c>
      <c r="B6667" s="4" t="s">
        <f>=HYPERLINK("http://anyluxury.ru/shop/odezhda/detskaya-odezhda/hudi-uniseks-condor-beloe-03815102/" , "03815102 Худи унисекс Condor, белое, размер 4XL")</f>
      </c>
      <c r="C6667" s="4" t="n">
        <v>3609.00</v>
      </c>
      <c r="D6667" s="4"/>
    </row>
    <row collapsed="" customFormat="false" customHeight="1" hidden="" ht="14" outlineLevel="0" r="6668">
      <c r="A6668" s="3" t="inlineStr">
        <is>
          <t>6637</t>
        </is>
      </c>
      <c r="B6668" s="4" t="s">
        <f>=HYPERLINK("http://anyluxury.ru/shop/odezhda/detskaya-odezhda/hudi-uniseks-condor-beloe-03815102/" , "03815102 Худи унисекс Condor, белое, размер 5XL")</f>
      </c>
      <c r="C6668" s="4" t="n">
        <v>3609.00</v>
      </c>
      <c r="D6668" s="4"/>
    </row>
    <row collapsed="" customFormat="false" customHeight="1" hidden="" ht="14" outlineLevel="0" r="6669">
      <c r="A6669" s="3" t="inlineStr">
        <is>
          <t>6638</t>
        </is>
      </c>
      <c r="B6669" s="4" t="s">
        <f>=HYPERLINK("http://anyluxury.ru/shop/odezhda/detskaya-odezhda/kisti-dlya-vyazanogo-sharfa-na-zakaz-tassel-1419520/" , "14195.20 Кисти для вязаного шарфа на заказ Tassel")</f>
      </c>
      <c r="C6669" s="4" t="n">
        <v>541.00</v>
      </c>
      <c r="D6669" s="4"/>
    </row>
    <row collapsed="" customFormat="false" customHeight="1" hidden="" ht="14" outlineLevel="0" r="6670">
      <c r="A6670" s="3" t="inlineStr">
        <is>
          <t>6639</t>
        </is>
      </c>
      <c r="B6670" s="4" t="s">
        <f>=HYPERLINK("http://anyluxury.ru/shop/odezhda/detskaya-odezhda/pompon-bobble-s-1527102/" , "15271.02 Помпон Bobble, S")</f>
      </c>
      <c r="C6670" s="4" t="n">
        <v>187.00</v>
      </c>
      <c r="D6670" s="4"/>
    </row>
    <row collapsed="" customFormat="false" customHeight="1" hidden="" ht="14" outlineLevel="0" r="6671">
      <c r="A6671" s="3" t="inlineStr">
        <is>
          <t>6640</t>
        </is>
      </c>
      <c r="B6671" s="4" t="s">
        <f>=HYPERLINK("http://anyluxury.ru/shop/odezhda/detskaya-odezhda/pompon-bobble-m-1527103/" , "15271.03 Помпон Bobble, M")</f>
      </c>
      <c r="C6671" s="4" t="n">
        <v>211.00</v>
      </c>
      <c r="D6671" s="4"/>
    </row>
    <row collapsed="" customFormat="false" customHeight="1" hidden="" ht="14" outlineLevel="0" r="6672">
      <c r="A6672" s="3" t="inlineStr">
        <is>
          <t>6641</t>
        </is>
      </c>
      <c r="B6672" s="4" t="s">
        <f>=HYPERLINK("http://anyluxury.ru/shop/odezhda/detskaya-odezhda/tolstovka-s-kapyushonom-detskaya-kirenga-kids-temnozelenaya-1114790/" , "11147.90 Толстовка с капюшоном детская Kirenga Kids, темно-зеленая, 8 лет")</f>
      </c>
      <c r="C6672" s="4" t="n">
        <v>988.00</v>
      </c>
      <c r="D6672" s="4"/>
    </row>
    <row collapsed="" customFormat="false" customHeight="1" hidden="" ht="14" outlineLevel="0" r="6673">
      <c r="A6673" s="3" t="inlineStr">
        <is>
          <t>6642</t>
        </is>
      </c>
      <c r="B6673" s="4" t="s">
        <f>=HYPERLINK("http://anyluxury.ru/shop/odezhda/detskaya-odezhda/tolstovka-s-kapyushonom-detskaya-kirenga-kids-temnozelenaya-1114790/" , "11147.90 Толстовка с капюшоном детская Kirenga Kids, темно-зеленая, 10 лет")</f>
      </c>
      <c r="C6673" s="4" t="n">
        <v>988.00</v>
      </c>
      <c r="D6673" s="4"/>
    </row>
    <row collapsed="" customFormat="false" customHeight="1" hidden="" ht="14" outlineLevel="0" r="6674">
      <c r="A6674" s="3" t="inlineStr">
        <is>
          <t>6643</t>
        </is>
      </c>
      <c r="B6674" s="4" t="s">
        <f>=HYPERLINK("http://anyluxury.ru/shop/odezhda/detskaya-odezhda/tolstovka-s-kapyushonom-detskaya-kirenga-kids-temnozelenaya-1114790/" , "11147.90 Толстовка с капюшоном детская Kirenga Kids, темно-зеленая, 12 лет")</f>
      </c>
      <c r="C6674" s="4" t="n">
        <v>988.00</v>
      </c>
      <c r="D6674" s="4"/>
    </row>
    <row collapsed="" customFormat="false" customHeight="1" hidden="" ht="14" outlineLevel="0" r="6675">
      <c r="A6675" s="3" t="inlineStr">
        <is>
          <t>6644</t>
        </is>
      </c>
      <c r="B6675" s="4" t="s">
        <f>=HYPERLINK("http://anyluxury.ru/shop/odezhda/detskaya-odezhda/tolstovka-s-kapyushonom-detskaya-kirenga-kids-temnozelenaya-1114790/" , "11147.90 Толстовка с капюшоном детская Kirenga Kids, темно-зеленая, 14 лет")</f>
      </c>
      <c r="C6675" s="4" t="n">
        <v>988.00</v>
      </c>
      <c r="D6675" s="4"/>
    </row>
    <row collapsed="" customFormat="false" customHeight="1" hidden="" ht="14" outlineLevel="0" r="6676">
      <c r="A6676" s="3" t="inlineStr">
        <is>
          <t>6645</t>
        </is>
      </c>
      <c r="B6676" s="4" t="s">
        <f>=HYPERLINK("http://anyluxury.ru/shop/odezhda/detskaya-odezhda/tolstovka-s-kapyushonom-detskaya-kirenga-kids-oranzhevaya-1114720/" , "11147.20 Толстовка с капюшоном детская Kirenga Kids, оранжевая, 10 лет")</f>
      </c>
      <c r="C6676" s="4" t="n">
        <v>988.00</v>
      </c>
      <c r="D6676" s="4"/>
    </row>
    <row collapsed="" customFormat="false" customHeight="1" hidden="" ht="14" outlineLevel="0" r="6677">
      <c r="A6677" s="3" t="inlineStr">
        <is>
          <t>6646</t>
        </is>
      </c>
      <c r="B6677" s="4" t="s">
        <f>=HYPERLINK("http://anyluxury.ru/shop/odezhda/detskaya-odezhda/tolstovka-s-kapyushonom-detskaya-kirenga-kids-oranzhevaya-1114720/" , "11147.20 Толстовка с капюшоном детская Kirenga Kids, оранжевая, 12 лет")</f>
      </c>
      <c r="C6677" s="4" t="n">
        <v>988.00</v>
      </c>
      <c r="D6677" s="4"/>
    </row>
    <row collapsed="" customFormat="false" customHeight="1" hidden="" ht="14" outlineLevel="0" r="6678">
      <c r="A6678" s="3" t="inlineStr">
        <is>
          <t>6647</t>
        </is>
      </c>
      <c r="B6678" s="4" t="s">
        <f>=HYPERLINK("http://anyluxury.ru/shop/odezhda/detskaya-odezhda/tolstovka-s-kapyushonom-detskaya-kirenga-kids-oranzhevaya-1114720/" , "11147.20 Толстовка с капюшоном детская Kirenga Kids, оранжевая, 14 лет")</f>
      </c>
      <c r="C6678" s="4" t="n">
        <v>988.00</v>
      </c>
      <c r="D6678" s="4"/>
    </row>
    <row collapsed="" customFormat="false" customHeight="1" hidden="" ht="14" outlineLevel="0" r="6679">
      <c r="A6679" s="3" t="inlineStr">
        <is>
          <t>6648</t>
        </is>
      </c>
      <c r="B6679" s="4" t="s">
        <f>=HYPERLINK("http://anyluxury.ru/shop/odezhda/detskaya-odezhda/tolstovka-s-kapyushonom-kirenga-temnozelenaya-689490/" , "6894.90 Толстовка с капюшоном Kirenga, темно-зеленая, размер XS")</f>
      </c>
      <c r="C6679" s="4" t="n">
        <v>1487.00</v>
      </c>
      <c r="D6679" s="4"/>
    </row>
    <row collapsed="" customFormat="false" customHeight="1" hidden="" ht="14" outlineLevel="0" r="6680">
      <c r="A6680" s="3" t="inlineStr">
        <is>
          <t>6649</t>
        </is>
      </c>
      <c r="B6680" s="4" t="s">
        <f>=HYPERLINK("http://anyluxury.ru/shop/odezhda/detskaya-odezhda/tolstovka-s-kapyushonom-kirenga-temnozelenaya-689490/" , "6894.90 Толстовка с капюшоном Kirenga, темно-зеленая, размер S")</f>
      </c>
      <c r="C6680" s="4" t="n">
        <v>1487.00</v>
      </c>
      <c r="D6680" s="4"/>
    </row>
    <row collapsed="" customFormat="false" customHeight="1" hidden="" ht="14" outlineLevel="0" r="6681">
      <c r="A6681" s="3" t="inlineStr">
        <is>
          <t>6650</t>
        </is>
      </c>
      <c r="B6681" s="4" t="s">
        <f>=HYPERLINK("http://anyluxury.ru/shop/odezhda/detskaya-odezhda/tolstovka-s-kapyushonom-kirenga-temnozelenaya-689490/" , "6894.90 Толстовка с капюшоном Kirenga, темно-зеленая, размер M")</f>
      </c>
      <c r="C6681" s="4" t="n">
        <v>1487.00</v>
      </c>
      <c r="D6681" s="4"/>
    </row>
    <row collapsed="" customFormat="false" customHeight="1" hidden="" ht="14" outlineLevel="0" r="6682">
      <c r="A6682" s="3" t="inlineStr">
        <is>
          <t>6651</t>
        </is>
      </c>
      <c r="B6682" s="4" t="s">
        <f>=HYPERLINK("http://anyluxury.ru/shop/odezhda/detskaya-odezhda/tolstovka-s-kapyushonom-kirenga-temnozelenaya-689490/" , "6894.90 Толстовка с капюшоном Kirenga, темно-зеленая, размер L")</f>
      </c>
      <c r="C6682" s="4" t="n">
        <v>1487.00</v>
      </c>
      <c r="D6682" s="4"/>
    </row>
    <row collapsed="" customFormat="false" customHeight="1" hidden="" ht="14" outlineLevel="0" r="6683">
      <c r="A6683" s="3" t="inlineStr">
        <is>
          <t>6652</t>
        </is>
      </c>
      <c r="B6683" s="4" t="s">
        <f>=HYPERLINK("http://anyluxury.ru/shop/odezhda/detskaya-odezhda/tolstovka-s-kapyushonom-kirenga-temnozelenaya-689490/" , "6894.90 Толстовка с капюшоном Kirenga, темно-зеленая, размер XL")</f>
      </c>
      <c r="C6683" s="4" t="n">
        <v>1487.00</v>
      </c>
      <c r="D6683" s="4"/>
    </row>
    <row collapsed="" customFormat="false" customHeight="1" hidden="" ht="14" outlineLevel="0" r="6684">
      <c r="A6684" s="3" t="inlineStr">
        <is>
          <t>6653</t>
        </is>
      </c>
      <c r="B6684" s="4" t="s">
        <f>=HYPERLINK("http://anyluxury.ru/shop/odezhda/detskaya-odezhda/tolstovka-s-kapyushonom-kirenga-temnozelenaya-689490/" , "6894.90 Толстовка с капюшоном Kirenga, темно-зеленая, размер 3XL")</f>
      </c>
      <c r="C6684" s="4" t="n">
        <v>1487.00</v>
      </c>
      <c r="D6684" s="4"/>
    </row>
    <row collapsed="" customFormat="false" customHeight="1" hidden="" ht="14" outlineLevel="0" r="6685">
      <c r="A6685" s="3" t="inlineStr">
        <is>
          <t>6654</t>
        </is>
      </c>
      <c r="B6685" s="4" t="s">
        <f>=HYPERLINK("http://anyluxury.ru/shop/odezhda/detskaya-odezhda/tolstovka-s-kapyushonom-kirenga-temnozelenaya-689490/" , "6894.90 Толстовка с капюшоном Kirenga, темно-зеленая, размер 4XL")</f>
      </c>
      <c r="C6685" s="4" t="n">
        <v>1487.00</v>
      </c>
      <c r="D6685" s="4"/>
    </row>
    <row collapsed="" customFormat="false" customHeight="1" hidden="" ht="14" outlineLevel="0" r="6686">
      <c r="A6686" s="3" t="inlineStr">
        <is>
          <t>6655</t>
        </is>
      </c>
      <c r="B6686" s="4" t="s">
        <f>=HYPERLINK("http://anyluxury.ru/shop/odezhda/detskaya-odezhda/tolstovka-s-kapyushonom-kirenga-molochnobelaya-689462/" , "6894.62 Толстовка с капюшоном Kirenga, молочно-белая, размер XS")</f>
      </c>
      <c r="C6686" s="4" t="n">
        <v>1487.00</v>
      </c>
      <c r="D6686" s="4"/>
    </row>
    <row collapsed="" customFormat="false" customHeight="1" hidden="" ht="14" outlineLevel="0" r="6687">
      <c r="A6687" s="3" t="inlineStr">
        <is>
          <t>6656</t>
        </is>
      </c>
      <c r="B6687" s="4" t="s">
        <f>=HYPERLINK("http://anyluxury.ru/shop/odezhda/detskaya-odezhda/tolstovka-s-kapyushonom-kirenga-molochnobelaya-689462/" , "6894.62 Толстовка с капюшоном Kirenga, молочно-белая, размер S")</f>
      </c>
      <c r="C6687" s="4" t="n">
        <v>1487.00</v>
      </c>
      <c r="D6687" s="4"/>
    </row>
    <row collapsed="" customFormat="false" customHeight="1" hidden="" ht="14" outlineLevel="0" r="6688">
      <c r="A6688" s="3" t="inlineStr">
        <is>
          <t>6657</t>
        </is>
      </c>
      <c r="B6688" s="4" t="s">
        <f>=HYPERLINK("http://anyluxury.ru/shop/odezhda/detskaya-odezhda/tolstovka-s-kapyushonom-kirenga-molochnobelaya-689462/" , "6894.62 Толстовка с капюшоном Kirenga, молочно-белая, размер M")</f>
      </c>
      <c r="C6688" s="4" t="n">
        <v>1487.00</v>
      </c>
      <c r="D6688" s="4"/>
    </row>
    <row collapsed="" customFormat="false" customHeight="1" hidden="" ht="14" outlineLevel="0" r="6689">
      <c r="A6689" s="3" t="inlineStr">
        <is>
          <t>6658</t>
        </is>
      </c>
      <c r="B6689" s="4" t="s">
        <f>=HYPERLINK("http://anyluxury.ru/shop/odezhda/detskaya-odezhda/tolstovka-s-kapyushonom-kirenga-molochnobelaya-689462/" , "6894.62 Толстовка с капюшоном Kirenga, молочно-белая, размер L")</f>
      </c>
      <c r="C6689" s="4" t="n">
        <v>1487.00</v>
      </c>
      <c r="D6689" s="4"/>
    </row>
    <row collapsed="" customFormat="false" customHeight="1" hidden="" ht="14" outlineLevel="0" r="6690">
      <c r="A6690" s="3" t="inlineStr">
        <is>
          <t>6659</t>
        </is>
      </c>
      <c r="B6690" s="4" t="s">
        <f>=HYPERLINK("http://anyluxury.ru/shop/odezhda/detskaya-odezhda/tolstovka-s-kapyushonom-kirenga-molochnobelaya-689462/" , "6894.62 Толстовка с капюшоном Kirenga, молочно-белая, размер XL")</f>
      </c>
      <c r="C6690" s="4" t="n">
        <v>1487.00</v>
      </c>
      <c r="D6690" s="4"/>
    </row>
    <row collapsed="" customFormat="false" customHeight="1" hidden="" ht="14" outlineLevel="0" r="6691">
      <c r="A6691" s="3" t="inlineStr">
        <is>
          <t>6660</t>
        </is>
      </c>
      <c r="B6691" s="4" t="s">
        <f>=HYPERLINK("http://anyluxury.ru/shop/odezhda/detskaya-odezhda/tolstovka-s-kapyushonom-kirenga-molochnobelaya-689462/" , "6894.62 Толстовка с капюшоном Kirenga, молочно-белая, размер XXL")</f>
      </c>
      <c r="C6691" s="4" t="n">
        <v>1487.00</v>
      </c>
      <c r="D6691" s="4"/>
    </row>
    <row collapsed="" customFormat="false" customHeight="1" hidden="" ht="14" outlineLevel="0" r="6692">
      <c r="A6692" s="3" t="inlineStr">
        <is>
          <t>6661</t>
        </is>
      </c>
      <c r="B6692" s="4" t="s">
        <f>=HYPERLINK("http://anyluxury.ru/shop/odezhda/detskaya-odezhda/tolstovka-s-kapyushonom-kirenga-molochnobelaya-689462/" , "6894.62 Толстовка с капюшоном Kirenga, молочно-белая, размер 3XL")</f>
      </c>
      <c r="C6692" s="4" t="n">
        <v>1487.00</v>
      </c>
      <c r="D6692" s="4"/>
    </row>
    <row collapsed="" customFormat="false" customHeight="1" hidden="" ht="14" outlineLevel="0" r="6693">
      <c r="A6693" s="3" t="inlineStr">
        <is>
          <t>6662</t>
        </is>
      </c>
      <c r="B6693" s="4" t="s">
        <f>=HYPERLINK("http://anyluxury.ru/shop/odezhda/detskaya-odezhda/tolstovka-s-kapyushonom-kirenga-molochnobelaya-689462/" , "6894.62 Толстовка с капюшоном Kirenga, молочно-белая, размер 4XL")</f>
      </c>
      <c r="C6693" s="4" t="n">
        <v>1487.00</v>
      </c>
      <c r="D6693" s="4"/>
    </row>
    <row collapsed="" customFormat="false" customHeight="1" hidden="" ht="14" outlineLevel="0" r="6694">
      <c r="A6694" s="3" t="inlineStr">
        <is>
          <t>6663</t>
        </is>
      </c>
      <c r="B6694" s="4" t="s">
        <f>=HYPERLINK("http://anyluxury.ru/shop/odezhda/detskaya-odezhda/perchatki-alpine-udlinennie-chernie-1637830/" , "16378.30 Перчатки Alpine, удлиненные, черные")</f>
      </c>
      <c r="C6694" s="4" t="n">
        <v>1170.00</v>
      </c>
      <c r="D6694" s="4"/>
    </row>
    <row collapsed="" customFormat="false" customHeight="1" hidden="" ht="14" outlineLevel="0" r="6695">
      <c r="A6695" s="3" t="inlineStr">
        <is>
          <t>6664</t>
        </is>
      </c>
      <c r="B6695" s="4" t="s">
        <f>=HYPERLINK("http://anyluxury.ru/shop/odezhda/detskaya-odezhda/perchatki-alpine-udlinennie-belie-1637860/" , "16378.60 Перчатки Alpine, удлиненные, белые")</f>
      </c>
      <c r="C6695" s="4" t="n">
        <v>1170.00</v>
      </c>
      <c r="D6695" s="4"/>
    </row>
    <row collapsed="" customFormat="false" customHeight="1" hidden="" ht="14" outlineLevel="0" r="6696">
      <c r="A6696" s="3" t="inlineStr">
        <is>
          <t>6665</t>
        </is>
      </c>
      <c r="B6696" s="4" t="s">
        <f>=HYPERLINK("http://anyluxury.ru/shop/odezhda/detskaya-odezhda/perchatki-alpine-udlinennie-serie-1637812/" , "16378.12 Перчатки Alpine, удлиненные, серые")</f>
      </c>
      <c r="C6696" s="4" t="n">
        <v>1170.00</v>
      </c>
      <c r="D6696" s="4"/>
    </row>
    <row collapsed="" customFormat="false" customHeight="1" hidden="" ht="14" outlineLevel="0" r="6697">
      <c r="A6697" s="3" t="inlineStr">
        <is>
          <t>6666</t>
        </is>
      </c>
      <c r="B6697" s="4" t="s">
        <f>=HYPERLINK("http://anyluxury.ru/shop/odezhda/detskaya-odezhda/perchatki-alpine-udlinennie-bezhevie-1637811/" , "16378.11 Перчатки Alpine, удлиненные, бежевые")</f>
      </c>
      <c r="C6697" s="4" t="n">
        <v>1170.00</v>
      </c>
      <c r="D6697" s="4"/>
    </row>
    <row collapsed="" customFormat="false" customHeight="1" hidden="" ht="14" outlineLevel="0" r="6698">
      <c r="A6698" s="3" t="inlineStr">
        <is>
          <t>6667</t>
        </is>
      </c>
      <c r="B6698" s="4" t="s">
        <f>=HYPERLINK("http://anyluxury.ru/shop/odezhda/detskaya-odezhda/hudi-kulonga-oversize-serogoluboe-1410114/" , "14101.14 Худи Kulonga Oversize, серо-голубое, размер ХS/S")</f>
      </c>
      <c r="C6698" s="4" t="n">
        <v>3800.00</v>
      </c>
      <c r="D6698" s="4"/>
    </row>
    <row collapsed="" customFormat="false" customHeight="1" hidden="" ht="14" outlineLevel="0" r="6699">
      <c r="A6699" s="3" t="inlineStr">
        <is>
          <t>6668</t>
        </is>
      </c>
      <c r="B6699" s="4" t="s">
        <f>=HYPERLINK("http://anyluxury.ru/shop/odezhda/detskaya-odezhda/hudi-kulonga-oversize-serogoluboe-1410114/" , "14101.14 Худи Kulonga Oversize, серо-голубое, размер M/L")</f>
      </c>
      <c r="C6699" s="4" t="n">
        <v>3800.00</v>
      </c>
      <c r="D6699" s="4"/>
    </row>
    <row collapsed="" customFormat="false" customHeight="1" hidden="" ht="14" outlineLevel="0" r="6700">
      <c r="A6700" s="3" t="inlineStr">
        <is>
          <t>6669</t>
        </is>
      </c>
      <c r="B6700" s="4" t="s">
        <f>=HYPERLINK("http://anyluxury.ru/shop/odezhda/detskaya-odezhda/hudi-kulonga-oversize-serogoluboe-1410114/" , "14101.14 Худи Kulonga Oversize, серо-голубое, размер ХL/ХХL")</f>
      </c>
      <c r="C6700" s="4" t="n">
        <v>3800.00</v>
      </c>
      <c r="D6700" s="4"/>
    </row>
    <row collapsed="" customFormat="false" customHeight="1" hidden="" ht="14" outlineLevel="0" r="6701">
      <c r="A6701" s="3" t="inlineStr">
        <is>
          <t>6670</t>
        </is>
      </c>
      <c r="B6701" s="4" t="s">
        <f>=HYPERLINK("http://anyluxury.ru/shop/odezhda/detskaya-odezhda/hudi-kulonga-oversize-serogoluboe-1410114/" , "14101.14 Худи Kulonga Oversize, серо-голубое, размер 3XL/4XL")</f>
      </c>
      <c r="C6701" s="4" t="n">
        <v>3800.00</v>
      </c>
      <c r="D6701" s="4"/>
    </row>
    <row collapsed="" customFormat="false" customHeight="1" hidden="" ht="14" outlineLevel="0" r="6702">
      <c r="A6702" s="3" t="inlineStr">
        <is>
          <t>6671</t>
        </is>
      </c>
      <c r="B6702" s="4" t="s">
        <f>=HYPERLINK("http://anyluxury.ru/shop/odezhda/detskaya-odezhda/hudi-kulonga-oversize-biryuzovoe-1410142/" , "14101.42 Худи Kulonga Oversize, бирюзовое, размер ХS/S")</f>
      </c>
      <c r="C6702" s="4" t="n">
        <v>3800.00</v>
      </c>
      <c r="D6702" s="4"/>
    </row>
    <row collapsed="" customFormat="false" customHeight="1" hidden="" ht="14" outlineLevel="0" r="6703">
      <c r="A6703" s="3" t="inlineStr">
        <is>
          <t>6672</t>
        </is>
      </c>
      <c r="B6703" s="4" t="s">
        <f>=HYPERLINK("http://anyluxury.ru/shop/odezhda/detskaya-odezhda/hudi-kulonga-oversize-biryuzovoe-1410142/" , "14101.42 Худи Kulonga Oversize, бирюзовое, размер M/L")</f>
      </c>
      <c r="C6703" s="4" t="n">
        <v>3800.00</v>
      </c>
      <c r="D6703" s="4"/>
    </row>
    <row collapsed="" customFormat="false" customHeight="1" hidden="" ht="14" outlineLevel="0" r="6704">
      <c r="A6704" s="3" t="inlineStr">
        <is>
          <t>6673</t>
        </is>
      </c>
      <c r="B6704" s="4" t="s">
        <f>=HYPERLINK("http://anyluxury.ru/shop/odezhda/detskaya-odezhda/hudi-kulonga-oversize-biryuzovoe-1410142/" , "14101.42 Худи Kulonga Oversize, бирюзовое, размер 3XL/4XL")</f>
      </c>
      <c r="C6704" s="4" t="n">
        <v>3800.00</v>
      </c>
      <c r="D6704" s="4"/>
    </row>
    <row collapsed="" customFormat="false" customHeight="1" hidden="" ht="14" outlineLevel="0" r="6705">
      <c r="A6705" s="3" t="inlineStr">
        <is>
          <t>6674</t>
        </is>
      </c>
      <c r="B6705" s="4" t="s">
        <f>=HYPERLINK("http://anyluxury.ru/shop/odezhda/detskaya-odezhda/varezhki-capris-serie-1637730/" , "16377.30 Варежки Capris, серый меланж")</f>
      </c>
      <c r="C6705" s="4" t="n">
        <v>1391.00</v>
      </c>
      <c r="D6705" s="4"/>
    </row>
    <row collapsed="" customFormat="false" customHeight="1" hidden="" ht="14" outlineLevel="0" r="6706">
      <c r="A6706" s="3" t="inlineStr">
        <is>
          <t>6675</t>
        </is>
      </c>
      <c r="B6706" s="4" t="s">
        <f>=HYPERLINK("http://anyluxury.ru/shop/odezhda/detskaya-odezhda/varezhki-capris-svetloserie-1637712/" , "16377.12 Варежки Capris, светло-серые")</f>
      </c>
      <c r="C6706" s="4" t="n">
        <v>1391.00</v>
      </c>
      <c r="D6706" s="4"/>
    </row>
    <row collapsed="" customFormat="false" customHeight="1" hidden="" ht="14" outlineLevel="0" r="6707">
      <c r="A6707" s="3" t="inlineStr">
        <is>
          <t>6676</t>
        </is>
      </c>
      <c r="B6707" s="4" t="s">
        <f>=HYPERLINK("http://anyluxury.ru/shop/odezhda/detskaya-odezhda/varezhki-life-explorer-belie-1618660/" , "16186.60 Варежки Life Explorer, белые, размеры L/XL")</f>
      </c>
      <c r="C6707" s="4" t="n">
        <v>840.00</v>
      </c>
      <c r="D6707" s="4"/>
    </row>
    <row collapsed="" customFormat="false" customHeight="1" hidden="" ht="14" outlineLevel="0" r="6708">
      <c r="A6708" s="3" t="inlineStr">
        <is>
          <t>6677</t>
        </is>
      </c>
      <c r="B6708" s="4" t="s">
        <f>=HYPERLINK("http://anyluxury.ru/shop/odezhda/detskaya-odezhda/hudi-uniseks-condor-svetloseriy-melanzh-03815300/" , "03815300 Худи унисекс Condor, светло-серый меланж, размер XS")</f>
      </c>
      <c r="C6708" s="4" t="n">
        <v>2598.00</v>
      </c>
      <c r="D6708" s="4"/>
    </row>
    <row collapsed="" customFormat="false" customHeight="1" hidden="" ht="14" outlineLevel="0" r="6709">
      <c r="A6709" s="3" t="inlineStr">
        <is>
          <t>6678</t>
        </is>
      </c>
      <c r="B6709" s="4" t="s">
        <f>=HYPERLINK("http://anyluxury.ru/shop/odezhda/detskaya-odezhda/hudi-uniseks-condor-svetloseriy-melanzh-03815300/" , "03815300 Худи унисекс Condor, светло-серый меланж, размер S")</f>
      </c>
      <c r="C6709" s="4" t="n">
        <v>2598.00</v>
      </c>
      <c r="D6709" s="4"/>
    </row>
    <row collapsed="" customFormat="false" customHeight="1" hidden="" ht="14" outlineLevel="0" r="6710">
      <c r="A6710" s="3" t="inlineStr">
        <is>
          <t>6679</t>
        </is>
      </c>
      <c r="B6710" s="4" t="s">
        <f>=HYPERLINK("http://anyluxury.ru/shop/odezhda/detskaya-odezhda/hudi-uniseks-condor-svetloseriy-melanzh-03815300/" , "03815300 Худи унисекс Condor, светло-серый меланж, размер M")</f>
      </c>
      <c r="C6710" s="4" t="n">
        <v>2598.00</v>
      </c>
      <c r="D6710" s="4"/>
    </row>
    <row collapsed="" customFormat="false" customHeight="1" hidden="" ht="14" outlineLevel="0" r="6711">
      <c r="A6711" s="3" t="inlineStr">
        <is>
          <t>6680</t>
        </is>
      </c>
      <c r="B6711" s="4" t="s">
        <f>=HYPERLINK("http://anyluxury.ru/shop/odezhda/detskaya-odezhda/hudi-uniseks-condor-svetloseriy-melanzh-03815300/" , "03815300 Худи унисекс Condor, светло-серый меланж, размер L")</f>
      </c>
      <c r="C6711" s="4" t="n">
        <v>2598.00</v>
      </c>
      <c r="D6711" s="4"/>
    </row>
    <row collapsed="" customFormat="false" customHeight="1" hidden="" ht="14" outlineLevel="0" r="6712">
      <c r="A6712" s="3" t="inlineStr">
        <is>
          <t>6681</t>
        </is>
      </c>
      <c r="B6712" s="4" t="s">
        <f>=HYPERLINK("http://anyluxury.ru/shop/odezhda/detskaya-odezhda/hudi-uniseks-condor-svetloseriy-melanzh-03815300/" , "03815300 Худи унисекс Condor, светло-серый меланж, размер XL")</f>
      </c>
      <c r="C6712" s="4" t="n">
        <v>2598.00</v>
      </c>
      <c r="D6712" s="4"/>
    </row>
    <row collapsed="" customFormat="false" customHeight="1" hidden="" ht="14" outlineLevel="0" r="6713">
      <c r="A6713" s="3" t="inlineStr">
        <is>
          <t>6682</t>
        </is>
      </c>
      <c r="B6713" s="4" t="s">
        <f>=HYPERLINK("http://anyluxury.ru/shop/odezhda/detskaya-odezhda/hudi-uniseks-condor-svetloseriy-melanzh-03815300/" , "03815300 Худи унисекс Condor, светло-серый меланж, размер XXL")</f>
      </c>
      <c r="C6713" s="4" t="n">
        <v>2598.00</v>
      </c>
      <c r="D6713" s="4"/>
    </row>
    <row collapsed="" customFormat="false" customHeight="1" hidden="" ht="14" outlineLevel="0" r="6714">
      <c r="A6714" s="3" t="inlineStr">
        <is>
          <t>6683</t>
        </is>
      </c>
      <c r="B6714" s="4" t="s">
        <f>=HYPERLINK("http://anyluxury.ru/shop/odezhda/detskaya-odezhda/hudi-uniseks-condor-svetloseriy-melanzh-03815300/" , "03815300 Худи унисекс Condor, светло-серый меланж, размер 3XL")</f>
      </c>
      <c r="C6714" s="4" t="n">
        <v>3065.00</v>
      </c>
      <c r="D6714" s="4"/>
    </row>
    <row collapsed="" customFormat="false" customHeight="1" hidden="" ht="14" outlineLevel="0" r="6715">
      <c r="A6715" s="3" t="inlineStr">
        <is>
          <t>6684</t>
        </is>
      </c>
      <c r="B6715" s="4" t="s">
        <f>=HYPERLINK("http://anyluxury.ru/shop/odezhda/detskaya-odezhda/hudi-uniseks-condor-sinee-03815205/" , "03815205 Худи унисекс Condor, синее, размер XS")</f>
      </c>
      <c r="C6715" s="4" t="n">
        <v>2598.00</v>
      </c>
      <c r="D6715" s="4"/>
    </row>
    <row collapsed="" customFormat="false" customHeight="1" hidden="" ht="14" outlineLevel="0" r="6716">
      <c r="A6716" s="3" t="inlineStr">
        <is>
          <t>6685</t>
        </is>
      </c>
      <c r="B6716" s="4" t="s">
        <f>=HYPERLINK("http://anyluxury.ru/shop/odezhda/detskaya-odezhda/hudi-uniseks-condor-sinee-03815205/" , "03815205 Худи унисекс Condor, синее, размер S")</f>
      </c>
      <c r="C6716" s="4" t="n">
        <v>2598.00</v>
      </c>
      <c r="D6716" s="4"/>
    </row>
    <row collapsed="" customFormat="false" customHeight="1" hidden="" ht="14" outlineLevel="0" r="6717">
      <c r="A6717" s="3" t="inlineStr">
        <is>
          <t>6686</t>
        </is>
      </c>
      <c r="B6717" s="4" t="s">
        <f>=HYPERLINK("http://anyluxury.ru/shop/odezhda/detskaya-odezhda/hudi-uniseks-condor-sinee-03815205/" , "03815205 Худи унисекс Condor, синее, размер M")</f>
      </c>
      <c r="C6717" s="4" t="n">
        <v>2598.00</v>
      </c>
      <c r="D6717" s="4"/>
    </row>
    <row collapsed="" customFormat="false" customHeight="1" hidden="" ht="14" outlineLevel="0" r="6718">
      <c r="A6718" s="3" t="inlineStr">
        <is>
          <t>6687</t>
        </is>
      </c>
      <c r="B6718" s="4" t="s">
        <f>=HYPERLINK("http://anyluxury.ru/shop/odezhda/detskaya-odezhda/hudi-uniseks-condor-sinee-03815205/" , "03815205 Худи унисекс Condor, синее, размер L")</f>
      </c>
      <c r="C6718" s="4" t="n">
        <v>2598.00</v>
      </c>
      <c r="D6718" s="4"/>
    </row>
    <row collapsed="" customFormat="false" customHeight="1" hidden="" ht="14" outlineLevel="0" r="6719">
      <c r="A6719" s="3" t="inlineStr">
        <is>
          <t>6688</t>
        </is>
      </c>
      <c r="B6719" s="4" t="s">
        <f>=HYPERLINK("http://anyluxury.ru/shop/odezhda/detskaya-odezhda/hudi-uniseks-condor-sinee-03815205/" , "03815205 Худи унисекс Condor, синее, размер XL")</f>
      </c>
      <c r="C6719" s="4" t="n">
        <v>2598.00</v>
      </c>
      <c r="D6719" s="4"/>
    </row>
    <row collapsed="" customFormat="false" customHeight="1" hidden="" ht="14" outlineLevel="0" r="6720">
      <c r="A6720" s="3" t="inlineStr">
        <is>
          <t>6689</t>
        </is>
      </c>
      <c r="B6720" s="4" t="s">
        <f>=HYPERLINK("http://anyluxury.ru/shop/odezhda/detskaya-odezhda/hudi-uniseks-condor-sinee-03815205/" , "03815205 Худи унисекс Condor, синее, размер XXL")</f>
      </c>
      <c r="C6720" s="4" t="n">
        <v>2598.00</v>
      </c>
      <c r="D6720" s="4"/>
    </row>
    <row collapsed="" customFormat="false" customHeight="1" hidden="" ht="14" outlineLevel="0" r="6721">
      <c r="A6721" s="3" t="inlineStr">
        <is>
          <t>6690</t>
        </is>
      </c>
      <c r="B6721" s="4" t="s">
        <f>=HYPERLINK("http://anyluxury.ru/shop/odezhda/detskaya-odezhda/hudi-uniseks-condor-sinee-03815205/" , "03815205 Худи унисекс Condor, синее, размер 3XL")</f>
      </c>
      <c r="C6721" s="4" t="n">
        <v>3065.00</v>
      </c>
      <c r="D6721" s="4"/>
    </row>
    <row collapsed="" customFormat="false" customHeight="1" hidden="" ht="14" outlineLevel="0" r="6722">
      <c r="A6722" s="3" t="inlineStr">
        <is>
          <t>6691</t>
        </is>
      </c>
      <c r="B6722" s="4" t="s">
        <f>=HYPERLINK("http://anyluxury.ru/shop/odezhda/detskaya-odezhda/hudi-uniseks-condor-bordovoe-03815146/" , "03815146 Худи унисекс Condor, бордовое, размер XS")</f>
      </c>
      <c r="C6722" s="4" t="n">
        <v>2598.00</v>
      </c>
      <c r="D6722" s="4"/>
    </row>
    <row collapsed="" customFormat="false" customHeight="1" hidden="" ht="14" outlineLevel="0" r="6723">
      <c r="A6723" s="3" t="inlineStr">
        <is>
          <t>6692</t>
        </is>
      </c>
      <c r="B6723" s="4" t="s">
        <f>=HYPERLINK("http://anyluxury.ru/shop/odezhda/detskaya-odezhda/hudi-uniseks-condor-bordovoe-03815146/" , "03815146 Худи унисекс Condor, бордовое, размер S")</f>
      </c>
      <c r="C6723" s="4" t="n">
        <v>2598.00</v>
      </c>
      <c r="D6723" s="4"/>
    </row>
    <row collapsed="" customFormat="false" customHeight="1" hidden="" ht="14" outlineLevel="0" r="6724">
      <c r="A6724" s="3" t="inlineStr">
        <is>
          <t>6693</t>
        </is>
      </c>
      <c r="B6724" s="4" t="s">
        <f>=HYPERLINK("http://anyluxury.ru/shop/odezhda/detskaya-odezhda/hudi-uniseks-condor-bordovoe-03815146/" , "03815146 Худи унисекс Condor, бордовое, размер M")</f>
      </c>
      <c r="C6724" s="4" t="n">
        <v>2598.00</v>
      </c>
      <c r="D6724" s="4"/>
    </row>
    <row collapsed="" customFormat="false" customHeight="1" hidden="" ht="14" outlineLevel="0" r="6725">
      <c r="A6725" s="3" t="inlineStr">
        <is>
          <t>6694</t>
        </is>
      </c>
      <c r="B6725" s="4" t="s">
        <f>=HYPERLINK("http://anyluxury.ru/shop/odezhda/detskaya-odezhda/hudi-uniseks-condor-bordovoe-03815146/" , "03815146 Худи унисекс Condor, бордовое, размер L")</f>
      </c>
      <c r="C6725" s="4" t="n">
        <v>2598.00</v>
      </c>
      <c r="D6725" s="4"/>
    </row>
    <row collapsed="" customFormat="false" customHeight="1" hidden="" ht="14" outlineLevel="0" r="6726">
      <c r="A6726" s="3" t="inlineStr">
        <is>
          <t>6695</t>
        </is>
      </c>
      <c r="B6726" s="4" t="s">
        <f>=HYPERLINK("http://anyluxury.ru/shop/odezhda/detskaya-odezhda/hudi-uniseks-condor-bordovoe-03815146/" , "03815146 Худи унисекс Condor, бордовое, размер XL")</f>
      </c>
      <c r="C6726" s="4" t="n">
        <v>2598.00</v>
      </c>
      <c r="D6726" s="4"/>
    </row>
    <row collapsed="" customFormat="false" customHeight="1" hidden="" ht="14" outlineLevel="0" r="6727">
      <c r="A6727" s="3" t="inlineStr">
        <is>
          <t>6696</t>
        </is>
      </c>
      <c r="B6727" s="4" t="s">
        <f>=HYPERLINK("http://anyluxury.ru/shop/odezhda/detskaya-odezhda/hudi-uniseks-condor-bordovoe-03815146/" , "03815146 Худи унисекс Condor, бордовое, размер XXL")</f>
      </c>
      <c r="C6727" s="4" t="n">
        <v>2598.00</v>
      </c>
      <c r="D6727" s="4"/>
    </row>
    <row collapsed="" customFormat="false" customHeight="1" hidden="" ht="14" outlineLevel="0" r="6728">
      <c r="A6728" s="3" t="inlineStr">
        <is>
          <t>6697</t>
        </is>
      </c>
      <c r="B6728" s="4" t="s">
        <f>=HYPERLINK("http://anyluxury.ru/shop/odezhda/detskaya-odezhda/hudi-uniseks-condor-bordovoe-03815146/" , "03815146 Худи унисекс Condor, бордовое, размер 3XL")</f>
      </c>
      <c r="C6728" s="4" t="n">
        <v>3065.00</v>
      </c>
      <c r="D6728" s="4"/>
    </row>
    <row collapsed="" customFormat="false" customHeight="1" hidden="" ht="14" outlineLevel="0" r="6729">
      <c r="A6729" s="3" t="inlineStr">
        <is>
          <t>6698</t>
        </is>
      </c>
      <c r="B6729" s="4" t="s">
        <f>=HYPERLINK("http://anyluxury.ru/shop/odezhda/detskaya-odezhda/hudi-uniseks-condor-seriy-melanzh-03815360/" , "03815360 Худи унисекс Condor, серый меланж, размер XS")</f>
      </c>
      <c r="C6729" s="4" t="n">
        <v>2598.00</v>
      </c>
      <c r="D6729" s="4"/>
    </row>
    <row collapsed="" customFormat="false" customHeight="1" hidden="" ht="14" outlineLevel="0" r="6730">
      <c r="A6730" s="3" t="inlineStr">
        <is>
          <t>6699</t>
        </is>
      </c>
      <c r="B6730" s="4" t="s">
        <f>=HYPERLINK("http://anyluxury.ru/shop/odezhda/detskaya-odezhda/hudi-uniseks-condor-seriy-melanzh-03815360/" , "03815360 Худи унисекс Condor, серый меланж, размер S")</f>
      </c>
      <c r="C6730" s="4" t="n">
        <v>2598.00</v>
      </c>
      <c r="D6730" s="4"/>
    </row>
    <row collapsed="" customFormat="false" customHeight="1" hidden="" ht="14" outlineLevel="0" r="6731">
      <c r="A6731" s="3" t="inlineStr">
        <is>
          <t>6700</t>
        </is>
      </c>
      <c r="B6731" s="4" t="s">
        <f>=HYPERLINK("http://anyluxury.ru/shop/odezhda/detskaya-odezhda/hudi-uniseks-condor-seriy-melanzh-03815360/" , "03815360 Худи унисекс Condor, серый меланж, размер M")</f>
      </c>
      <c r="C6731" s="4" t="n">
        <v>2598.00</v>
      </c>
      <c r="D6731" s="4"/>
    </row>
    <row collapsed="" customFormat="false" customHeight="1" hidden="" ht="14" outlineLevel="0" r="6732">
      <c r="A6732" s="3" t="inlineStr">
        <is>
          <t>6701</t>
        </is>
      </c>
      <c r="B6732" s="4" t="s">
        <f>=HYPERLINK("http://anyluxury.ru/shop/odezhda/detskaya-odezhda/hudi-uniseks-condor-seriy-melanzh-03815360/" , "03815360 Худи унисекс Condor, серый меланж, размер L")</f>
      </c>
      <c r="C6732" s="4" t="n">
        <v>2598.00</v>
      </c>
      <c r="D6732" s="4"/>
    </row>
    <row collapsed="" customFormat="false" customHeight="1" hidden="" ht="14" outlineLevel="0" r="6733">
      <c r="A6733" s="3" t="inlineStr">
        <is>
          <t>6702</t>
        </is>
      </c>
      <c r="B6733" s="4" t="s">
        <f>=HYPERLINK("http://anyluxury.ru/shop/odezhda/detskaya-odezhda/hudi-uniseks-condor-seriy-melanzh-03815360/" , "03815360 Худи унисекс Condor, серый меланж, размер XL")</f>
      </c>
      <c r="C6733" s="4" t="n">
        <v>2598.00</v>
      </c>
      <c r="D6733" s="4"/>
    </row>
    <row collapsed="" customFormat="false" customHeight="1" hidden="" ht="14" outlineLevel="0" r="6734">
      <c r="A6734" s="3" t="inlineStr">
        <is>
          <t>6703</t>
        </is>
      </c>
      <c r="B6734" s="4" t="s">
        <f>=HYPERLINK("http://anyluxury.ru/shop/odezhda/detskaya-odezhda/hudi-uniseks-condor-seriy-melanzh-03815360/" , "03815360 Худи унисекс Condor, серый меланж, размер XXL")</f>
      </c>
      <c r="C6734" s="4" t="n">
        <v>2598.00</v>
      </c>
      <c r="D6734" s="4"/>
    </row>
    <row collapsed="" customFormat="false" customHeight="1" hidden="" ht="14" outlineLevel="0" r="6735">
      <c r="A6735" s="3" t="inlineStr">
        <is>
          <t>6704</t>
        </is>
      </c>
      <c r="B6735" s="4" t="s">
        <f>=HYPERLINK("http://anyluxury.ru/shop/odezhda/detskaya-odezhda/hudi-uniseks-condor-seriy-melanzh-03815360/" , "03815360 Худи унисекс Condor, серый меланж, размер 3XL")</f>
      </c>
      <c r="C6735" s="4" t="n">
        <v>3065.00</v>
      </c>
      <c r="D6735" s="4"/>
    </row>
    <row collapsed="" customFormat="false" customHeight="1" hidden="" ht="14" outlineLevel="0" r="6736">
      <c r="A6736" s="3" t="inlineStr">
        <is>
          <t>6705</t>
        </is>
      </c>
      <c r="B6736" s="4" t="s">
        <f>=HYPERLINK("http://anyluxury.ru/shop/odezhda/detskaya-odezhda/hudi-uniseks-condor-seriy-melanzh-03815360/" , "03815360 Худи унисекс Condor, серый меланж, размер 4XL")</f>
      </c>
      <c r="C6736" s="4" t="n">
        <v>3609.00</v>
      </c>
      <c r="D6736" s="4"/>
    </row>
    <row collapsed="" customFormat="false" customHeight="1" hidden="" ht="14" outlineLevel="0" r="6737">
      <c r="A6737" s="3" t="inlineStr">
        <is>
          <t>6706</t>
        </is>
      </c>
      <c r="B6737" s="4" t="s">
        <f>=HYPERLINK("http://anyluxury.ru/shop/odezhda/detskaya-odezhda/hudi-uniseks-condor-seriy-melanzh-03815360/" , "03815360 Худи унисекс Condor, серый меланж, размер 5XL")</f>
      </c>
      <c r="C6737" s="4" t="n">
        <v>3609.00</v>
      </c>
      <c r="D6737" s="4"/>
    </row>
    <row collapsed="" customFormat="false" customHeight="1" hidden="" ht="14" outlineLevel="0" r="6738">
      <c r="A6738" s="3" t="inlineStr">
        <is>
          <t>6707</t>
        </is>
      </c>
      <c r="B6738" s="4" t="s">
        <f>=HYPERLINK("http://anyluxury.ru/shop/odezhda/detskaya-odezhda/varezhki-life-explorer-zelenie-myatnie-1618695/" , "16186.95 Варежки Life Explorer, зеленые (мятные), размер S/M")</f>
      </c>
      <c r="C6738" s="4" t="n">
        <v>840.00</v>
      </c>
      <c r="D6738" s="4"/>
    </row>
    <row collapsed="" customFormat="false" customHeight="1" hidden="" ht="14" outlineLevel="0" r="6739">
      <c r="A6739" s="3" t="inlineStr">
        <is>
          <t>6708</t>
        </is>
      </c>
      <c r="B6739" s="4" t="s">
        <f>=HYPERLINK("http://anyluxury.ru/shop/odezhda/detskaya-odezhda/hudi-uniseks-h1-chernoe-1543030/" , "15430.30 Худи унисекс H1, черное, размер XS/S")</f>
      </c>
      <c r="C6739" s="4" t="n">
        <v>2730.00</v>
      </c>
      <c r="D6739" s="4"/>
    </row>
    <row collapsed="" customFormat="false" customHeight="1" hidden="" ht="14" outlineLevel="0" r="6740">
      <c r="A6740" s="3" t="inlineStr">
        <is>
          <t>6709</t>
        </is>
      </c>
      <c r="B6740" s="4" t="s">
        <f>=HYPERLINK("http://anyluxury.ru/shop/odezhda/detskaya-odezhda/hudi-uniseks-h1-chernoe-1543030/" , "15430.30 Худи унисекс H1, черное, размер M/L")</f>
      </c>
      <c r="C6740" s="4" t="n">
        <v>2730.00</v>
      </c>
      <c r="D6740" s="4"/>
    </row>
    <row collapsed="" customFormat="false" customHeight="1" hidden="" ht="14" outlineLevel="0" r="6741">
      <c r="A6741" s="3" t="inlineStr">
        <is>
          <t>6710</t>
        </is>
      </c>
      <c r="B6741" s="4" t="s">
        <f>=HYPERLINK("http://anyluxury.ru/shop/odezhda/detskaya-odezhda/hudi-uniseks-h1-chernoe-1543030/" , "15430.30 Худи унисекс H1, черное, размер XL/XXL")</f>
      </c>
      <c r="C6741" s="4" t="n">
        <v>2730.00</v>
      </c>
      <c r="D6741" s="4"/>
    </row>
    <row collapsed="" customFormat="false" customHeight="1" hidden="" ht="14" outlineLevel="0" r="6742">
      <c r="A6742" s="3" t="inlineStr">
        <is>
          <t>6711</t>
        </is>
      </c>
      <c r="B6742" s="4" t="s">
        <f>=HYPERLINK("http://anyluxury.ru/shop/odezhda/detskaya-odezhda/hudi-uniseks-h1-molochnobeloe-1543060/" , "15430.60 Худи унисекс H1, молочно-белое, размер XS/S")</f>
      </c>
      <c r="C6742" s="4" t="n">
        <v>2730.00</v>
      </c>
      <c r="D6742" s="4"/>
    </row>
    <row collapsed="" customFormat="false" customHeight="1" hidden="" ht="14" outlineLevel="0" r="6743">
      <c r="A6743" s="3" t="inlineStr">
        <is>
          <t>6712</t>
        </is>
      </c>
      <c r="B6743" s="4" t="s">
        <f>=HYPERLINK("http://anyluxury.ru/shop/odezhda/detskaya-odezhda/hudi-uniseks-h1-molochnobeloe-1543060/" , "15430.60 Худи унисекс H1, молочно-белое, размер XL/XXL")</f>
      </c>
      <c r="C6743" s="4" t="n">
        <v>2730.00</v>
      </c>
      <c r="D6743" s="4"/>
    </row>
    <row collapsed="" customFormat="false" customHeight="1" hidden="" ht="14" outlineLevel="0" r="6744">
      <c r="A6744" s="3" t="inlineStr">
        <is>
          <t>6713</t>
        </is>
      </c>
      <c r="B6744" s="4" t="s">
        <f>=HYPERLINK("http://anyluxury.ru/shop/odezhda/detskaya-odezhda/hudi-uniseks-h1-seroe-1543010/" , "15430.10 Худи унисекс H1, серое, размер XS/S")</f>
      </c>
      <c r="C6744" s="4" t="n">
        <v>2730.00</v>
      </c>
      <c r="D6744" s="4"/>
    </row>
    <row collapsed="" customFormat="false" customHeight="1" hidden="" ht="14" outlineLevel="0" r="6745">
      <c r="A6745" s="3" t="inlineStr">
        <is>
          <t>6714</t>
        </is>
      </c>
      <c r="B6745" s="4" t="s">
        <f>=HYPERLINK("http://anyluxury.ru/shop/odezhda/detskaya-odezhda/hudi-uniseks-h1-seroe-1543010/" , "15430.10 Худи унисекс H1, серое, размер M/L")</f>
      </c>
      <c r="C6745" s="4" t="n">
        <v>2730.00</v>
      </c>
      <c r="D6745" s="4"/>
    </row>
    <row collapsed="" customFormat="false" customHeight="1" hidden="" ht="14" outlineLevel="0" r="6746">
      <c r="A6746" s="3" t="inlineStr">
        <is>
          <t>6715</t>
        </is>
      </c>
      <c r="B6746" s="4" t="s">
        <f>=HYPERLINK("http://anyluxury.ru/shop/odezhda/detskaya-odezhda/hudi-uniseks-h1-seroe-1543010/" , "15430.10 Худи унисекс H1, серое, размер XL/XXL")</f>
      </c>
      <c r="C6746" s="4" t="n">
        <v>2730.00</v>
      </c>
      <c r="D6746" s="4"/>
    </row>
    <row collapsed="" customFormat="false" customHeight="1" hidden="" ht="14" outlineLevel="0" r="6747">
      <c r="A6747" s="3" t="inlineStr">
        <is>
          <t>6716</t>
        </is>
      </c>
      <c r="B6747" s="4" t="s">
        <f>=HYPERLINK("http://anyluxury.ru/shop/odezhda/detskaya-odezhda/hudi-uniseks-h1-sinee-1543040/" , "15430.40 Худи унисекс H1, синее, размер XS/S")</f>
      </c>
      <c r="C6747" s="4" t="n">
        <v>2730.00</v>
      </c>
      <c r="D6747" s="4"/>
    </row>
    <row collapsed="" customFormat="false" customHeight="1" hidden="" ht="14" outlineLevel="0" r="6748">
      <c r="A6748" s="3" t="inlineStr">
        <is>
          <t>6717</t>
        </is>
      </c>
      <c r="B6748" s="4" t="s">
        <f>=HYPERLINK("http://anyluxury.ru/shop/odezhda/detskaya-odezhda/hudi-uniseks-h1-sinee-1543040/" , "15430.40 Худи унисекс H1, синее, размер M/L")</f>
      </c>
      <c r="C6748" s="4" t="n">
        <v>2730.00</v>
      </c>
      <c r="D6748" s="4"/>
    </row>
    <row collapsed="" customFormat="false" customHeight="1" hidden="" ht="14" outlineLevel="0" r="6749">
      <c r="A6749" s="3" t="inlineStr">
        <is>
          <t>6718</t>
        </is>
      </c>
      <c r="B6749" s="4" t="s">
        <f>=HYPERLINK("http://anyluxury.ru/shop/odezhda/detskaya-odezhda/hudi-uniseks-h1-sinee-1543040/" , "15430.40 Худи унисекс H1, синее, размер XL/XXL")</f>
      </c>
      <c r="C6749" s="4" t="n">
        <v>2730.00</v>
      </c>
      <c r="D6749" s="4"/>
    </row>
    <row collapsed="" customFormat="false" customHeight="1" hidden="" ht="14" outlineLevel="0" r="6750">
      <c r="A6750" s="3" t="inlineStr">
        <is>
          <t>6719</t>
        </is>
      </c>
      <c r="B6750" s="4" t="s">
        <f>=HYPERLINK("http://anyluxury.ru/shop/odezhda/detskaya-odezhda/hudi-uniseks-h2-chernoe-1543130/" , "15431.30 Худи унисекс H2, черное, размер XS/S")</f>
      </c>
      <c r="C6750" s="4" t="n">
        <v>3790.00</v>
      </c>
      <c r="D6750" s="4"/>
    </row>
    <row collapsed="" customFormat="false" customHeight="1" hidden="" ht="14" outlineLevel="0" r="6751">
      <c r="A6751" s="3" t="inlineStr">
        <is>
          <t>6720</t>
        </is>
      </c>
      <c r="B6751" s="4" t="s">
        <f>=HYPERLINK("http://anyluxury.ru/shop/odezhda/detskaya-odezhda/hudi-uniseks-h2-chernoe-1543130/" , "15431.30 Худи унисекс H2, черное, размер M/L")</f>
      </c>
      <c r="C6751" s="4" t="n">
        <v>3790.00</v>
      </c>
      <c r="D6751" s="4"/>
    </row>
    <row collapsed="" customFormat="false" customHeight="1" hidden="" ht="14" outlineLevel="0" r="6752">
      <c r="A6752" s="3" t="inlineStr">
        <is>
          <t>6721</t>
        </is>
      </c>
      <c r="B6752" s="4" t="s">
        <f>=HYPERLINK("http://anyluxury.ru/shop/odezhda/detskaya-odezhda/hudi-uniseks-h2-chernoe-1543130/" , "15431.30 Худи унисекс H2, черное, размер XL/XXL")</f>
      </c>
      <c r="C6752" s="4" t="n">
        <v>3790.00</v>
      </c>
      <c r="D6752" s="4"/>
    </row>
    <row collapsed="" customFormat="false" customHeight="1" hidden="" ht="14" outlineLevel="0" r="6753">
      <c r="A6753" s="3" t="inlineStr">
        <is>
          <t>6722</t>
        </is>
      </c>
      <c r="B6753" s="4" t="s">
        <f>=HYPERLINK("http://anyluxury.ru/shop/odezhda/detskaya-odezhda/hudi-uniseks-h2-molochnobeloe-1543160/" , "15431.60 Худи унисекс H2, молочно-белое, размер XS/S")</f>
      </c>
      <c r="C6753" s="4" t="n">
        <v>3790.00</v>
      </c>
      <c r="D6753" s="4"/>
    </row>
    <row collapsed="" customFormat="false" customHeight="1" hidden="" ht="14" outlineLevel="0" r="6754">
      <c r="A6754" s="3" t="inlineStr">
        <is>
          <t>6723</t>
        </is>
      </c>
      <c r="B6754" s="4" t="s">
        <f>=HYPERLINK("http://anyluxury.ru/shop/odezhda/detskaya-odezhda/hudi-uniseks-h2-molochnobeloe-1543160/" , "15431.60 Худи унисекс H2, молочно-белое, размер M/L")</f>
      </c>
      <c r="C6754" s="4" t="n">
        <v>3790.00</v>
      </c>
      <c r="D6754" s="4"/>
    </row>
    <row collapsed="" customFormat="false" customHeight="1" hidden="" ht="14" outlineLevel="0" r="6755">
      <c r="A6755" s="3" t="inlineStr">
        <is>
          <t>6724</t>
        </is>
      </c>
      <c r="B6755" s="4" t="s">
        <f>=HYPERLINK("http://anyluxury.ru/shop/odezhda/detskaya-odezhda/hudi-uniseks-h2-molochnobeloe-1543160/" , "15431.60 Худи унисекс H2, молочно-белое, размер XL/XXL")</f>
      </c>
      <c r="C6755" s="4" t="n">
        <v>3790.00</v>
      </c>
      <c r="D6755" s="4"/>
    </row>
    <row collapsed="" customFormat="false" customHeight="1" hidden="" ht="14" outlineLevel="0" r="6756">
      <c r="A6756" s="3" t="inlineStr">
        <is>
          <t>6725</t>
        </is>
      </c>
      <c r="B6756" s="4" t="s">
        <f>=HYPERLINK("http://anyluxury.ru/shop/odezhda/detskaya-odezhda/hudi-uniseks-h2-seroe-1543110/" , "15431.10 Худи унисекс H2, серое, размер XS/S")</f>
      </c>
      <c r="C6756" s="4" t="n">
        <v>3790.00</v>
      </c>
      <c r="D6756" s="4"/>
    </row>
    <row collapsed="" customFormat="false" customHeight="1" hidden="" ht="14" outlineLevel="0" r="6757">
      <c r="A6757" s="3" t="inlineStr">
        <is>
          <t>6726</t>
        </is>
      </c>
      <c r="B6757" s="4" t="s">
        <f>=HYPERLINK("http://anyluxury.ru/shop/odezhda/detskaya-odezhda/hudi-uniseks-h2-seroe-1543110/" , "15431.10 Худи унисекс H2, серое, размер M/L")</f>
      </c>
      <c r="C6757" s="4" t="n">
        <v>3790.00</v>
      </c>
      <c r="D6757" s="4"/>
    </row>
    <row collapsed="" customFormat="false" customHeight="1" hidden="" ht="14" outlineLevel="0" r="6758">
      <c r="A6758" s="3" t="inlineStr">
        <is>
          <t>6727</t>
        </is>
      </c>
      <c r="B6758" s="4" t="s">
        <f>=HYPERLINK("http://anyluxury.ru/shop/odezhda/detskaya-odezhda/hudi-uniseks-h2-seroe-1543110/" , "15431.10 Худи унисекс H2, серое, размер XL/XXL")</f>
      </c>
      <c r="C6758" s="4" t="n">
        <v>3790.00</v>
      </c>
      <c r="D6758" s="4"/>
    </row>
    <row collapsed="" customFormat="false" customHeight="1" hidden="" ht="14" outlineLevel="0" r="6759">
      <c r="A6759" s="3" t="inlineStr">
        <is>
          <t>6728</t>
        </is>
      </c>
      <c r="B6759" s="4" t="s">
        <f>=HYPERLINK("http://anyluxury.ru/shop/odezhda/detskaya-odezhda/hudi-uniseks-h2-sinee-1543140/" , "15431.40 Худи унисекс H2, синее, размер XS/S")</f>
      </c>
      <c r="C6759" s="4" t="n">
        <v>3790.00</v>
      </c>
      <c r="D6759" s="4"/>
    </row>
    <row collapsed="" customFormat="false" customHeight="1" hidden="" ht="14" outlineLevel="0" r="6760">
      <c r="A6760" s="3" t="inlineStr">
        <is>
          <t>6729</t>
        </is>
      </c>
      <c r="B6760" s="4" t="s">
        <f>=HYPERLINK("http://anyluxury.ru/shop/odezhda/detskaya-odezhda/hudi-uniseks-h2-sinee-1543140/" , "15431.40 Худи унисекс H2, синее, размер M/L")</f>
      </c>
      <c r="C6760" s="4" t="n">
        <v>3790.00</v>
      </c>
      <c r="D6760" s="4"/>
    </row>
    <row collapsed="" customFormat="false" customHeight="1" hidden="" ht="14" outlineLevel="0" r="6761">
      <c r="A6761" s="3" t="inlineStr">
        <is>
          <t>6730</t>
        </is>
      </c>
      <c r="B6761" s="4" t="s">
        <f>=HYPERLINK("http://anyluxury.ru/shop/odezhda/detskaya-odezhda/hudi-uniseks-h2-sinee-1543140/" , "15431.40 Худи унисекс H2, синее, размер XL/XXL")</f>
      </c>
      <c r="C6761" s="4" t="n">
        <v>3790.00</v>
      </c>
      <c r="D6761" s="4"/>
    </row>
    <row collapsed="" customFormat="false" customHeight="1" hidden="" ht="14" outlineLevel="0" r="6762">
      <c r="A6762" s="3" t="inlineStr">
        <is>
          <t>6731</t>
        </is>
      </c>
      <c r="B6762" s="4" t="s">
        <f>=HYPERLINK("http://anyluxury.ru/shop/odezhda/detskaya-odezhda/dzhoggeri-j2-chernie-1543330/" , "15433.30 Джоггеры J2, черные, размер XS/S")</f>
      </c>
      <c r="C6762" s="4" t="n">
        <v>2971.00</v>
      </c>
      <c r="D6762" s="4"/>
    </row>
    <row collapsed="" customFormat="false" customHeight="1" hidden="" ht="14" outlineLevel="0" r="6763">
      <c r="A6763" s="3" t="inlineStr">
        <is>
          <t>6732</t>
        </is>
      </c>
      <c r="B6763" s="4" t="s">
        <f>=HYPERLINK("http://anyluxury.ru/shop/odezhda/detskaya-odezhda/dzhoggeri-j2-chernie-1543330/" , "15433.30 Джоггеры J2, черные, размер M/L")</f>
      </c>
      <c r="C6763" s="4" t="n">
        <v>2971.00</v>
      </c>
      <c r="D6763" s="4"/>
    </row>
    <row collapsed="" customFormat="false" customHeight="1" hidden="" ht="14" outlineLevel="0" r="6764">
      <c r="A6764" s="3" t="inlineStr">
        <is>
          <t>6733</t>
        </is>
      </c>
      <c r="B6764" s="4" t="s">
        <f>=HYPERLINK("http://anyluxury.ru/shop/odezhda/detskaya-odezhda/dzhoggeri-j2-chernie-1543330/" , "15433.30 Джоггеры J2, черные, размер XL/XXL")</f>
      </c>
      <c r="C6764" s="4" t="n">
        <v>2971.00</v>
      </c>
      <c r="D6764" s="4"/>
    </row>
    <row collapsed="" customFormat="false" customHeight="1" hidden="" ht="14" outlineLevel="0" r="6765">
      <c r="A6765" s="3" t="inlineStr">
        <is>
          <t>6734</t>
        </is>
      </c>
      <c r="B6765" s="4" t="s">
        <f>=HYPERLINK("http://anyluxury.ru/shop/odezhda/detskaya-odezhda/dzhoggeri-j2-molochnobelie-1543360/" , "15433.60 Джоггеры J2, молочно-белые, размер XS/S")</f>
      </c>
      <c r="C6765" s="4" t="n">
        <v>2971.00</v>
      </c>
      <c r="D6765" s="4"/>
    </row>
    <row collapsed="" customFormat="false" customHeight="1" hidden="" ht="14" outlineLevel="0" r="6766">
      <c r="A6766" s="3" t="inlineStr">
        <is>
          <t>6735</t>
        </is>
      </c>
      <c r="B6766" s="4" t="s">
        <f>=HYPERLINK("http://anyluxury.ru/shop/odezhda/detskaya-odezhda/dzhoggeri-j2-molochnobelie-1543360/" , "15433.60 Джоггеры J2, молочно-белые, размер M/L")</f>
      </c>
      <c r="C6766" s="4" t="n">
        <v>2971.00</v>
      </c>
      <c r="D6766" s="4"/>
    </row>
    <row collapsed="" customFormat="false" customHeight="1" hidden="" ht="14" outlineLevel="0" r="6767">
      <c r="A6767" s="3" t="inlineStr">
        <is>
          <t>6736</t>
        </is>
      </c>
      <c r="B6767" s="4" t="s">
        <f>=HYPERLINK("http://anyluxury.ru/shop/odezhda/detskaya-odezhda/dzhoggeri-j2-molochnobelie-1543360/" , "15433.60 Джоггеры J2, молочно-белые, размер XL/XXL")</f>
      </c>
      <c r="C6767" s="4" t="n">
        <v>2971.00</v>
      </c>
      <c r="D6767" s="4"/>
    </row>
    <row collapsed="" customFormat="false" customHeight="1" hidden="" ht="14" outlineLevel="0" r="6768">
      <c r="A6768" s="3" t="inlineStr">
        <is>
          <t>6737</t>
        </is>
      </c>
      <c r="B6768" s="4" t="s">
        <f>=HYPERLINK("http://anyluxury.ru/shop/odezhda/detskaya-odezhda/dzhoggeri-j2-serie-1543310/" , "15433.10 Джоггеры J2, серые, размер XS/S")</f>
      </c>
      <c r="C6768" s="4" t="n">
        <v>2971.00</v>
      </c>
      <c r="D6768" s="4"/>
    </row>
    <row collapsed="" customFormat="false" customHeight="1" hidden="" ht="14" outlineLevel="0" r="6769">
      <c r="A6769" s="3" t="inlineStr">
        <is>
          <t>6738</t>
        </is>
      </c>
      <c r="B6769" s="4" t="s">
        <f>=HYPERLINK("http://anyluxury.ru/shop/odezhda/detskaya-odezhda/dzhoggeri-j2-serie-1543310/" , "15433.10 Джоггеры J2, серые, размер M/L")</f>
      </c>
      <c r="C6769" s="4" t="n">
        <v>2971.00</v>
      </c>
      <c r="D6769" s="4"/>
    </row>
    <row collapsed="" customFormat="false" customHeight="1" hidden="" ht="14" outlineLevel="0" r="6770">
      <c r="A6770" s="3" t="inlineStr">
        <is>
          <t>6739</t>
        </is>
      </c>
      <c r="B6770" s="4" t="s">
        <f>=HYPERLINK("http://anyluxury.ru/shop/odezhda/detskaya-odezhda/dzhoggeri-j2-serie-1543310/" , "15433.10 Джоггеры J2, серые, размер XL/XXL")</f>
      </c>
      <c r="C6770" s="4" t="n">
        <v>2971.00</v>
      </c>
      <c r="D6770" s="4"/>
    </row>
    <row collapsed="" customFormat="false" customHeight="1" hidden="" ht="14" outlineLevel="0" r="6771">
      <c r="A6771" s="3" t="inlineStr">
        <is>
          <t>6740</t>
        </is>
      </c>
      <c r="B6771" s="4" t="s">
        <f>=HYPERLINK("http://anyluxury.ru/shop/odezhda/detskaya-odezhda/dzhoggeri-j2-sinie-1543340/" , "15433.40 Джоггеры J2, синие, размер XS/S")</f>
      </c>
      <c r="C6771" s="4" t="n">
        <v>2971.00</v>
      </c>
      <c r="D6771" s="4"/>
    </row>
    <row collapsed="" customFormat="false" customHeight="1" hidden="" ht="14" outlineLevel="0" r="6772">
      <c r="A6772" s="3" t="inlineStr">
        <is>
          <t>6741</t>
        </is>
      </c>
      <c r="B6772" s="4" t="s">
        <f>=HYPERLINK("http://anyluxury.ru/shop/odezhda/detskaya-odezhda/dzhoggeri-j2-sinie-1543340/" , "15433.40 Джоггеры J2, синие, размер M/L")</f>
      </c>
      <c r="C6772" s="4" t="n">
        <v>2971.00</v>
      </c>
      <c r="D6772" s="4"/>
    </row>
    <row collapsed="" customFormat="false" customHeight="1" hidden="" ht="14" outlineLevel="0" r="6773">
      <c r="A6773" s="3" t="inlineStr">
        <is>
          <t>6742</t>
        </is>
      </c>
      <c r="B6773" s="4" t="s">
        <f>=HYPERLINK("http://anyluxury.ru/shop/odezhda/detskaya-odezhda/dzhoggeri-j2-sinie-1543340/" , "15433.40 Джоггеры J2, синие, размер XL/XXL")</f>
      </c>
      <c r="C6773" s="4" t="n">
        <v>2971.00</v>
      </c>
      <c r="D6773" s="4"/>
    </row>
    <row collapsed="" customFormat="false" customHeight="1" hidden="" ht="14" outlineLevel="0" r="6774">
      <c r="A6774" s="3" t="inlineStr">
        <is>
          <t>6743</t>
        </is>
      </c>
      <c r="B6774" s="4" t="s">
        <f>=HYPERLINK("http://anyluxury.ru/shop/odezhda/detskaya-odezhda/shorti-j3-chernie-1543430/" , "15434.30 Шорты J3, черные, размер XS/S")</f>
      </c>
      <c r="C6774" s="4" t="n">
        <v>1937.00</v>
      </c>
      <c r="D6774" s="4"/>
    </row>
    <row collapsed="" customFormat="false" customHeight="1" hidden="" ht="14" outlineLevel="0" r="6775">
      <c r="A6775" s="3" t="inlineStr">
        <is>
          <t>6744</t>
        </is>
      </c>
      <c r="B6775" s="4" t="s">
        <f>=HYPERLINK("http://anyluxury.ru/shop/odezhda/detskaya-odezhda/shorti-j3-chernie-1543430/" , "15434.30 Шорты J3, черные, размер M/L")</f>
      </c>
      <c r="C6775" s="4" t="n">
        <v>1937.00</v>
      </c>
      <c r="D6775" s="4"/>
    </row>
    <row collapsed="" customFormat="false" customHeight="1" hidden="" ht="14" outlineLevel="0" r="6776">
      <c r="A6776" s="3" t="inlineStr">
        <is>
          <t>6745</t>
        </is>
      </c>
      <c r="B6776" s="4" t="s">
        <f>=HYPERLINK("http://anyluxury.ru/shop/odezhda/detskaya-odezhda/shorti-j3-chernie-1543430/" , "15434.30 Шорты J3, черные, размер XL/XXL")</f>
      </c>
      <c r="C6776" s="4" t="n">
        <v>1937.00</v>
      </c>
      <c r="D6776" s="4"/>
    </row>
    <row collapsed="" customFormat="false" customHeight="1" hidden="" ht="14" outlineLevel="0" r="6777">
      <c r="A6777" s="3" t="inlineStr">
        <is>
          <t>6746</t>
        </is>
      </c>
      <c r="B6777" s="4" t="s">
        <f>=HYPERLINK("http://anyluxury.ru/shop/odezhda/detskaya-odezhda/shorti-j3-molochnobelie-1543460/" , "15434.60 Шорты J3, молочно-белые, размер XS/S")</f>
      </c>
      <c r="C6777" s="4" t="n">
        <v>1937.00</v>
      </c>
      <c r="D6777" s="4"/>
    </row>
    <row collapsed="" customFormat="false" customHeight="1" hidden="" ht="14" outlineLevel="0" r="6778">
      <c r="A6778" s="3" t="inlineStr">
        <is>
          <t>6747</t>
        </is>
      </c>
      <c r="B6778" s="4" t="s">
        <f>=HYPERLINK("http://anyluxury.ru/shop/odezhda/detskaya-odezhda/shorti-j3-molochnobelie-1543460/" , "15434.60 Шорты J3, молочно-белые, размер M/L")</f>
      </c>
      <c r="C6778" s="4" t="n">
        <v>1937.00</v>
      </c>
      <c r="D6778" s="4"/>
    </row>
    <row collapsed="" customFormat="false" customHeight="1" hidden="" ht="14" outlineLevel="0" r="6779">
      <c r="A6779" s="3" t="inlineStr">
        <is>
          <t>6748</t>
        </is>
      </c>
      <c r="B6779" s="4" t="s">
        <f>=HYPERLINK("http://anyluxury.ru/shop/odezhda/detskaya-odezhda/shorti-j3-molochnobelie-1543460/" , "15434.60 Шорты J3, молочно-белые, размер XL/XXL")</f>
      </c>
      <c r="C6779" s="4" t="n">
        <v>1937.00</v>
      </c>
      <c r="D6779" s="4"/>
    </row>
    <row collapsed="" customFormat="false" customHeight="1" hidden="" ht="14" outlineLevel="0" r="6780">
      <c r="A6780" s="3" t="inlineStr">
        <is>
          <t>6749</t>
        </is>
      </c>
      <c r="B6780" s="4" t="s">
        <f>=HYPERLINK("http://anyluxury.ru/shop/odezhda/detskaya-odezhda/shorti-j3-serie-1543410/" , "15434.10 Шорты J3, серые, размер XS/S")</f>
      </c>
      <c r="C6780" s="4" t="n">
        <v>1937.00</v>
      </c>
      <c r="D6780" s="4"/>
    </row>
    <row collapsed="" customFormat="false" customHeight="1" hidden="" ht="14" outlineLevel="0" r="6781">
      <c r="A6781" s="3" t="inlineStr">
        <is>
          <t>6750</t>
        </is>
      </c>
      <c r="B6781" s="4" t="s">
        <f>=HYPERLINK("http://anyluxury.ru/shop/odezhda/detskaya-odezhda/shorti-j3-serie-1543410/" , "15434.10 Шорты J3, серые, размер M/L")</f>
      </c>
      <c r="C6781" s="4" t="n">
        <v>1937.00</v>
      </c>
      <c r="D6781" s="4"/>
    </row>
    <row collapsed="" customFormat="false" customHeight="1" hidden="" ht="14" outlineLevel="0" r="6782">
      <c r="A6782" s="3" t="inlineStr">
        <is>
          <t>6751</t>
        </is>
      </c>
      <c r="B6782" s="4" t="s">
        <f>=HYPERLINK("http://anyluxury.ru/shop/odezhda/detskaya-odezhda/shorti-j3-serie-1543410/" , "15434.10 Шорты J3, серые, размер XL/XXL")</f>
      </c>
      <c r="C6782" s="4" t="n">
        <v>1937.00</v>
      </c>
      <c r="D6782" s="4"/>
    </row>
    <row collapsed="" customFormat="false" customHeight="1" hidden="" ht="14" outlineLevel="0" r="6783">
      <c r="A6783" s="3" t="inlineStr">
        <is>
          <t>6752</t>
        </is>
      </c>
      <c r="B6783" s="4" t="s">
        <f>=HYPERLINK("http://anyluxury.ru/shop/odezhda/detskaya-odezhda/shorti-j3-sinie-1543440/" , "15434.40 Шорты J3, синие, размер XS/S")</f>
      </c>
      <c r="C6783" s="4" t="n">
        <v>1937.00</v>
      </c>
      <c r="D6783" s="4"/>
    </row>
    <row collapsed="" customFormat="false" customHeight="1" hidden="" ht="14" outlineLevel="0" r="6784">
      <c r="A6784" s="3" t="inlineStr">
        <is>
          <t>6753</t>
        </is>
      </c>
      <c r="B6784" s="4" t="s">
        <f>=HYPERLINK("http://anyluxury.ru/shop/odezhda/detskaya-odezhda/shorti-j3-sinie-1543440/" , "15434.40 Шорты J3, синие, размер M/L")</f>
      </c>
      <c r="C6784" s="4" t="n">
        <v>1937.00</v>
      </c>
      <c r="D6784" s="4"/>
    </row>
    <row collapsed="" customFormat="false" customHeight="1" hidden="" ht="14" outlineLevel="0" r="6785">
      <c r="A6785" s="3" t="inlineStr">
        <is>
          <t>6754</t>
        </is>
      </c>
      <c r="B6785" s="4" t="s">
        <f>=HYPERLINK("http://anyluxury.ru/shop/odezhda/detskaya-odezhda/shorti-j3-sinie-1543440/" , "15434.40 Шорты J3, синие, размер XL/XXL")</f>
      </c>
      <c r="C6785" s="4" t="n">
        <v>1937.00</v>
      </c>
      <c r="D6785" s="4"/>
    </row>
    <row collapsed="" customFormat="false" customHeight="1" hidden="" ht="14" outlineLevel="0" r="6786">
      <c r="A6786" s="3" t="inlineStr">
        <is>
          <t>6755</t>
        </is>
      </c>
      <c r="B6786" s="4" t="s">
        <f>=HYPERLINK("http://anyluxury.ru/shop/odezhda/detskaya-odezhda/svitshot-uniseks-s1-cherniy-1543530/" , "15435.30 Свитшот унисекс S1, черный, размер XS/S")</f>
      </c>
      <c r="C6786" s="4" t="n">
        <v>2888.00</v>
      </c>
      <c r="D6786" s="4"/>
    </row>
    <row collapsed="" customFormat="false" customHeight="1" hidden="" ht="14" outlineLevel="0" r="6787">
      <c r="A6787" s="3" t="inlineStr">
        <is>
          <t>6756</t>
        </is>
      </c>
      <c r="B6787" s="4" t="s">
        <f>=HYPERLINK("http://anyluxury.ru/shop/odezhda/detskaya-odezhda/svitshot-uniseks-s1-cherniy-1543530/" , "15435.30 Свитшот унисекс S1, черный, размер M/L")</f>
      </c>
      <c r="C6787" s="4" t="n">
        <v>2888.00</v>
      </c>
      <c r="D6787" s="4"/>
    </row>
    <row collapsed="" customFormat="false" customHeight="1" hidden="" ht="14" outlineLevel="0" r="6788">
      <c r="A6788" s="3" t="inlineStr">
        <is>
          <t>6757</t>
        </is>
      </c>
      <c r="B6788" s="4" t="s">
        <f>=HYPERLINK("http://anyluxury.ru/shop/odezhda/detskaya-odezhda/svitshot-uniseks-s1-cherniy-1543530/" , "15435.30 Свитшот унисекс S1, черный, размер XL/XXL")</f>
      </c>
      <c r="C6788" s="4" t="n">
        <v>2888.00</v>
      </c>
      <c r="D6788" s="4"/>
    </row>
    <row collapsed="" customFormat="false" customHeight="1" hidden="" ht="14" outlineLevel="0" r="6789">
      <c r="A6789" s="3" t="inlineStr">
        <is>
          <t>6758</t>
        </is>
      </c>
      <c r="B6789" s="4" t="s">
        <f>=HYPERLINK("http://anyluxury.ru/shop/odezhda/detskaya-odezhda/svitshot-uniseks-s1-molochnobeliy-1543560/" , "15435.60 Свитшот унисекс S1, молочно-белый, размер XS/S")</f>
      </c>
      <c r="C6789" s="4" t="n">
        <v>2888.00</v>
      </c>
      <c r="D6789" s="4"/>
    </row>
    <row collapsed="" customFormat="false" customHeight="1" hidden="" ht="14" outlineLevel="0" r="6790">
      <c r="A6790" s="3" t="inlineStr">
        <is>
          <t>6759</t>
        </is>
      </c>
      <c r="B6790" s="4" t="s">
        <f>=HYPERLINK("http://anyluxury.ru/shop/odezhda/detskaya-odezhda/svitshot-uniseks-s1-molochnobeliy-1543560/" , "15435.60 Свитшот унисекс S1, молочно-белый, размер M/L")</f>
      </c>
      <c r="C6790" s="4" t="n">
        <v>2888.00</v>
      </c>
      <c r="D6790" s="4"/>
    </row>
    <row collapsed="" customFormat="false" customHeight="1" hidden="" ht="14" outlineLevel="0" r="6791">
      <c r="A6791" s="3" t="inlineStr">
        <is>
          <t>6760</t>
        </is>
      </c>
      <c r="B6791" s="4" t="s">
        <f>=HYPERLINK("http://anyluxury.ru/shop/odezhda/detskaya-odezhda/svitshot-uniseks-s1-molochnobeliy-1543560/" , "15435.60 Свитшот унисекс S1, молочно-белый, размер XL/XXL")</f>
      </c>
      <c r="C6791" s="4" t="n">
        <v>2888.00</v>
      </c>
      <c r="D6791" s="4"/>
    </row>
    <row collapsed="" customFormat="false" customHeight="1" hidden="" ht="14" outlineLevel="0" r="6792">
      <c r="A6792" s="3" t="inlineStr">
        <is>
          <t>6761</t>
        </is>
      </c>
      <c r="B6792" s="4" t="s">
        <f>=HYPERLINK("http://anyluxury.ru/shop/odezhda/detskaya-odezhda/svitshot-uniseks-s1-seriy-1543510/" , "15435.10 Свитшот унисекс S1, серый, размер XS/S")</f>
      </c>
      <c r="C6792" s="4" t="n">
        <v>2888.00</v>
      </c>
      <c r="D6792" s="4"/>
    </row>
    <row collapsed="" customFormat="false" customHeight="1" hidden="" ht="14" outlineLevel="0" r="6793">
      <c r="A6793" s="3" t="inlineStr">
        <is>
          <t>6762</t>
        </is>
      </c>
      <c r="B6793" s="4" t="s">
        <f>=HYPERLINK("http://anyluxury.ru/shop/odezhda/detskaya-odezhda/svitshot-uniseks-s1-seriy-1543510/" , "15435.10 Свитшот унисекс S1, серый, размер M/L")</f>
      </c>
      <c r="C6793" s="4" t="n">
        <v>2888.00</v>
      </c>
      <c r="D6793" s="4"/>
    </row>
    <row collapsed="" customFormat="false" customHeight="1" hidden="" ht="14" outlineLevel="0" r="6794">
      <c r="A6794" s="3" t="inlineStr">
        <is>
          <t>6763</t>
        </is>
      </c>
      <c r="B6794" s="4" t="s">
        <f>=HYPERLINK("http://anyluxury.ru/shop/odezhda/detskaya-odezhda/svitshot-uniseks-s1-seriy-1543510/" , "15435.10 Свитшот унисекс S1, серый, размер XL/XXL")</f>
      </c>
      <c r="C6794" s="4" t="n">
        <v>2888.00</v>
      </c>
      <c r="D6794" s="4"/>
    </row>
    <row collapsed="" customFormat="false" customHeight="1" hidden="" ht="14" outlineLevel="0" r="6795">
      <c r="A6795" s="3" t="inlineStr">
        <is>
          <t>6764</t>
        </is>
      </c>
      <c r="B6795" s="4" t="s">
        <f>=HYPERLINK("http://anyluxury.ru/shop/odezhda/detskaya-odezhda/svitshot-uniseks-s1-siniy-1543540/" , "15435.40 Свитшот унисекс S1, синий, размер XS/S")</f>
      </c>
      <c r="C6795" s="4" t="n">
        <v>2888.00</v>
      </c>
      <c r="D6795" s="4"/>
    </row>
    <row collapsed="" customFormat="false" customHeight="1" hidden="" ht="14" outlineLevel="0" r="6796">
      <c r="A6796" s="3" t="inlineStr">
        <is>
          <t>6765</t>
        </is>
      </c>
      <c r="B6796" s="4" t="s">
        <f>=HYPERLINK("http://anyluxury.ru/shop/odezhda/detskaya-odezhda/svitshot-uniseks-s1-siniy-1543540/" , "15435.40 Свитшот унисекс S1, синий, размер M/L")</f>
      </c>
      <c r="C6796" s="4" t="n">
        <v>2888.00</v>
      </c>
      <c r="D6796" s="4"/>
    </row>
    <row collapsed="" customFormat="false" customHeight="1" hidden="" ht="14" outlineLevel="0" r="6797">
      <c r="A6797" s="3" t="inlineStr">
        <is>
          <t>6766</t>
        </is>
      </c>
      <c r="B6797" s="4" t="s">
        <f>=HYPERLINK("http://anyluxury.ru/shop/odezhda/detskaya-odezhda/svitshot-uniseks-s1-siniy-1543540/" , "15435.40 Свитшот унисекс S1, синий, размер XL/XXL")</f>
      </c>
      <c r="C6797" s="4" t="n">
        <v>2888.00</v>
      </c>
      <c r="D6797" s="4"/>
    </row>
    <row collapsed="" customFormat="false" customHeight="1" hidden="" ht="14" outlineLevel="0" r="6798">
      <c r="A6798" s="3" t="inlineStr">
        <is>
          <t>6767</t>
        </is>
      </c>
      <c r="B6798" s="4" t="s">
        <f>=HYPERLINK("http://anyluxury.ru/shop/odezhda/detskaya-odezhda/svitshot-uniseks-s2-cherniy-1543630/" , "15436.30 Свитшот унисекс S2, черный, размер M/L")</f>
      </c>
      <c r="C6798" s="4" t="n">
        <v>2888.00</v>
      </c>
      <c r="D6798" s="4"/>
    </row>
    <row collapsed="" customFormat="false" customHeight="1" hidden="" ht="14" outlineLevel="0" r="6799">
      <c r="A6799" s="3" t="inlineStr">
        <is>
          <t>6768</t>
        </is>
      </c>
      <c r="B6799" s="4" t="s">
        <f>=HYPERLINK("http://anyluxury.ru/shop/odezhda/detskaya-odezhda/svitshot-uniseks-s2-molochnobeliy-1543660/" , "15436.60 Свитшот унисекс S2, молочно-белый, размер XS/S")</f>
      </c>
      <c r="C6799" s="4" t="n">
        <v>2888.00</v>
      </c>
      <c r="D6799" s="4"/>
    </row>
    <row collapsed="" customFormat="false" customHeight="1" hidden="" ht="14" outlineLevel="0" r="6800">
      <c r="A6800" s="3" t="inlineStr">
        <is>
          <t>6769</t>
        </is>
      </c>
      <c r="B6800" s="4" t="s">
        <f>=HYPERLINK("http://anyluxury.ru/shop/odezhda/detskaya-odezhda/svitshot-uniseks-s2-molochnobeliy-1543660/" , "15436.60 Свитшот унисекс S2, молочно-белый, размер M/L")</f>
      </c>
      <c r="C6800" s="4" t="n">
        <v>2888.00</v>
      </c>
      <c r="D6800" s="4"/>
    </row>
    <row collapsed="" customFormat="false" customHeight="1" hidden="" ht="14" outlineLevel="0" r="6801">
      <c r="A6801" s="3" t="inlineStr">
        <is>
          <t>6770</t>
        </is>
      </c>
      <c r="B6801" s="4" t="s">
        <f>=HYPERLINK("http://anyluxury.ru/shop/odezhda/detskaya-odezhda/svitshot-uniseks-s2-molochnobeliy-1543660/" , "15436.60 Свитшот унисекс S2, молочно-белый, размер XL/XXL")</f>
      </c>
      <c r="C6801" s="4" t="n">
        <v>2888.00</v>
      </c>
      <c r="D6801" s="4"/>
    </row>
    <row collapsed="" customFormat="false" customHeight="1" hidden="" ht="14" outlineLevel="0" r="6802">
      <c r="A6802" s="3" t="inlineStr">
        <is>
          <t>6771</t>
        </is>
      </c>
      <c r="B6802" s="4" t="s">
        <f>=HYPERLINK("http://anyluxury.ru/shop/odezhda/detskaya-odezhda/svitshot-uniseks-s2-seriy-1543610/" , "15436.10 Свитшот унисекс S2, серый, размер XS/S")</f>
      </c>
      <c r="C6802" s="4" t="n">
        <v>2888.00</v>
      </c>
      <c r="D6802" s="4"/>
    </row>
    <row collapsed="" customFormat="false" customHeight="1" hidden="" ht="14" outlineLevel="0" r="6803">
      <c r="A6803" s="3" t="inlineStr">
        <is>
          <t>6772</t>
        </is>
      </c>
      <c r="B6803" s="4" t="s">
        <f>=HYPERLINK("http://anyluxury.ru/shop/odezhda/detskaya-odezhda/svitshot-uniseks-s2-seriy-1543610/" , "15436.10 Свитшот унисекс S2, серый, размер M/L")</f>
      </c>
      <c r="C6803" s="4" t="n">
        <v>2888.00</v>
      </c>
      <c r="D6803" s="4"/>
    </row>
    <row collapsed="" customFormat="false" customHeight="1" hidden="" ht="14" outlineLevel="0" r="6804">
      <c r="A6804" s="3" t="inlineStr">
        <is>
          <t>6773</t>
        </is>
      </c>
      <c r="B6804" s="4" t="s">
        <f>=HYPERLINK("http://anyluxury.ru/shop/odezhda/detskaya-odezhda/svitshot-uniseks-s2-seriy-1543610/" , "15436.10 Свитшот унисекс S2, серый, размер XL/XXL")</f>
      </c>
      <c r="C6804" s="4" t="n">
        <v>2888.00</v>
      </c>
      <c r="D6804" s="4"/>
    </row>
    <row collapsed="" customFormat="false" customHeight="1" hidden="" ht="14" outlineLevel="0" r="6805">
      <c r="A6805" s="3" t="inlineStr">
        <is>
          <t>6774</t>
        </is>
      </c>
      <c r="B6805" s="4" t="s">
        <f>=HYPERLINK("http://anyluxury.ru/shop/odezhda/detskaya-odezhda/svitshot-uniseks-s2-siniy-1543640/" , "15436.40 Свитшот унисекс S2, синий, размер XS/S")</f>
      </c>
      <c r="C6805" s="4" t="n">
        <v>2888.00</v>
      </c>
      <c r="D6805" s="4"/>
    </row>
    <row collapsed="" customFormat="false" customHeight="1" hidden="" ht="14" outlineLevel="0" r="6806">
      <c r="A6806" s="3" t="inlineStr">
        <is>
          <t>6775</t>
        </is>
      </c>
      <c r="B6806" s="4" t="s">
        <f>=HYPERLINK("http://anyluxury.ru/shop/odezhda/detskaya-odezhda/svitshot-uniseks-s2-siniy-1543640/" , "15436.40 Свитшот унисекс S2, синий, размер M/L")</f>
      </c>
      <c r="C6806" s="4" t="n">
        <v>2888.00</v>
      </c>
      <c r="D6806" s="4"/>
    </row>
    <row collapsed="" customFormat="false" customHeight="1" hidden="" ht="14" outlineLevel="0" r="6807">
      <c r="A6807" s="3" t="inlineStr">
        <is>
          <t>6776</t>
        </is>
      </c>
      <c r="B6807" s="4" t="s">
        <f>=HYPERLINK("http://anyluxury.ru/shop/odezhda/detskaya-odezhda/svitshot-uniseks-s2-siniy-1543640/" , "15436.40 Свитшот унисекс S2, синий, размер XL/XXL")</f>
      </c>
      <c r="C6807" s="4" t="n">
        <v>2888.00</v>
      </c>
      <c r="D6807" s="4"/>
    </row>
    <row collapsed="" customFormat="false" customHeight="1" hidden="" ht="14" outlineLevel="0" r="6808">
      <c r="A6808" s="3" t="inlineStr">
        <is>
          <t>6777</t>
        </is>
      </c>
      <c r="B6808" s="4" t="s">
        <f>=HYPERLINK("http://anyluxury.ru/shop/odezhda/detskaya-odezhda/dozhdevik-r2-seriy-1520211/" , "15202.11 Дождевик R2, серый, размер XS/S")</f>
      </c>
      <c r="C6808" s="4" t="n">
        <v>3400.00</v>
      </c>
      <c r="D6808" s="4"/>
    </row>
    <row collapsed="" customFormat="false" customHeight="1" hidden="" ht="14" outlineLevel="0" r="6809">
      <c r="A6809" s="3" t="inlineStr">
        <is>
          <t>6778</t>
        </is>
      </c>
      <c r="B6809" s="4" t="s">
        <f>=HYPERLINK("http://anyluxury.ru/shop/odezhda/detskaya-odezhda/dozhdevik-r2-seriy-1520211/" , "15202.11 Дождевик R2, серый, размер M/L")</f>
      </c>
      <c r="C6809" s="4" t="n">
        <v>3400.00</v>
      </c>
      <c r="D6809" s="4"/>
    </row>
    <row collapsed="" customFormat="false" customHeight="1" hidden="" ht="14" outlineLevel="0" r="6810">
      <c r="A6810" s="3" t="inlineStr">
        <is>
          <t>6779</t>
        </is>
      </c>
      <c r="B6810" s="4" t="s">
        <f>=HYPERLINK("http://anyluxury.ru/shop/odezhda/detskaya-odezhda/dozhdevik-r2-seriy-1520211/" , "15202.11 Дождевик R2, серый, размер XL/XXL")</f>
      </c>
      <c r="C6810" s="4" t="n">
        <v>3400.00</v>
      </c>
      <c r="D6810" s="4"/>
    </row>
    <row collapsed="" customFormat="false" customHeight="1" hidden="" ht="14" outlineLevel="0" r="6811">
      <c r="A6811" s="3" t="inlineStr">
        <is>
          <t>6780</t>
        </is>
      </c>
      <c r="B6811" s="4" t="s">
        <f>=HYPERLINK("http://anyluxury.ru/shop/odezhda/detskaya-odezhda/dozhdevik-r2-cherniy-1520230/" , "15202.30 Дождевик R2, черный, размер XS/S")</f>
      </c>
      <c r="C6811" s="4" t="n">
        <v>3400.00</v>
      </c>
      <c r="D6811" s="4"/>
    </row>
    <row collapsed="" customFormat="false" customHeight="1" hidden="" ht="14" outlineLevel="0" r="6812">
      <c r="A6812" s="3" t="inlineStr">
        <is>
          <t>6781</t>
        </is>
      </c>
      <c r="B6812" s="4" t="s">
        <f>=HYPERLINK("http://anyluxury.ru/shop/odezhda/detskaya-odezhda/dozhdevik-r2-cherniy-1520230/" , "15202.30 Дождевик R2, черный, размер M/L")</f>
      </c>
      <c r="C6812" s="4" t="n">
        <v>3400.00</v>
      </c>
      <c r="D6812" s="4"/>
    </row>
    <row collapsed="" customFormat="false" customHeight="1" hidden="" ht="14" outlineLevel="0" r="6813">
      <c r="A6813" s="3" t="inlineStr">
        <is>
          <t>6782</t>
        </is>
      </c>
      <c r="B6813" s="4" t="s">
        <f>=HYPERLINK("http://anyluxury.ru/shop/odezhda/detskaya-odezhda/dozhdevik-r2-cherniy-1520230/" , "15202.30 Дождевик R2, черный, размер XL/XXL")</f>
      </c>
      <c r="C6813" s="4" t="n">
        <v>3400.00</v>
      </c>
      <c r="D6813" s="4"/>
    </row>
    <row collapsed="" customFormat="false" customHeight="1" hidden="" ht="14" outlineLevel="0" r="6814">
      <c r="A6814" s="3" t="inlineStr">
        <is>
          <t>6783</t>
        </is>
      </c>
      <c r="B6814" s="4" t="s">
        <f>=HYPERLINK("http://anyluxury.ru/shop/odezhda/detskaya-odezhda/dozhdevik-r2-siniy-1520240/" , "15202.40 Дождевик R2, синий, размер XS/S")</f>
      </c>
      <c r="C6814" s="4" t="n">
        <v>3400.00</v>
      </c>
      <c r="D6814" s="4"/>
    </row>
    <row collapsed="" customFormat="false" customHeight="1" hidden="" ht="14" outlineLevel="0" r="6815">
      <c r="A6815" s="3" t="inlineStr">
        <is>
          <t>6784</t>
        </is>
      </c>
      <c r="B6815" s="4" t="s">
        <f>=HYPERLINK("http://anyluxury.ru/shop/odezhda/detskaya-odezhda/dozhdevik-r2-siniy-1520240/" , "15202.40 Дождевик R2, синий, размер M/L")</f>
      </c>
      <c r="C6815" s="4" t="n">
        <v>3400.00</v>
      </c>
      <c r="D6815" s="4"/>
    </row>
    <row collapsed="" customFormat="false" customHeight="1" hidden="" ht="14" outlineLevel="0" r="6816">
      <c r="A6816" s="3" t="inlineStr">
        <is>
          <t>6785</t>
        </is>
      </c>
      <c r="B6816" s="4" t="s">
        <f>=HYPERLINK("http://anyluxury.ru/shop/odezhda/detskaya-odezhda/dozhdevik-r2-siniy-1520240/" , "15202.40 Дождевик R2, синий, размер XL/XXL")</f>
      </c>
      <c r="C6816" s="4" t="n">
        <v>3400.00</v>
      </c>
      <c r="D6816" s="4"/>
    </row>
    <row collapsed="" customFormat="false" customHeight="1" hidden="" ht="14" outlineLevel="0" r="6817">
      <c r="A6817" s="3" t="inlineStr">
        <is>
          <t>6786</t>
        </is>
      </c>
      <c r="B6817" s="4" t="s">
        <f>=HYPERLINK("http://anyluxury.ru/shop/odezhda/detskaya-odezhda/dozhdevikanorak-r1-seriy-1520111/" , "15201.11 Дождевик-анорак R1, серый, размер XS/S")</f>
      </c>
      <c r="C6817" s="4" t="n">
        <v>2900.00</v>
      </c>
      <c r="D6817" s="4"/>
    </row>
    <row collapsed="" customFormat="false" customHeight="1" hidden="" ht="14" outlineLevel="0" r="6818">
      <c r="A6818" s="3" t="inlineStr">
        <is>
          <t>6787</t>
        </is>
      </c>
      <c r="B6818" s="4" t="s">
        <f>=HYPERLINK("http://anyluxury.ru/shop/odezhda/detskaya-odezhda/dozhdevikanorak-r1-seriy-1520111/" , "15201.11 Дождевик-анорак R1, серый, размер M/L")</f>
      </c>
      <c r="C6818" s="4" t="n">
        <v>2900.00</v>
      </c>
      <c r="D6818" s="4"/>
    </row>
    <row collapsed="" customFormat="false" customHeight="1" hidden="" ht="14" outlineLevel="0" r="6819">
      <c r="A6819" s="3" t="inlineStr">
        <is>
          <t>6788</t>
        </is>
      </c>
      <c r="B6819" s="4" t="s">
        <f>=HYPERLINK("http://anyluxury.ru/shop/odezhda/detskaya-odezhda/dozhdevikanorak-r1-seriy-1520111/" , "15201.11 Дождевик-анорак R1, серый, размер XL/XXL")</f>
      </c>
      <c r="C6819" s="4" t="n">
        <v>2900.00</v>
      </c>
      <c r="D6819" s="4"/>
    </row>
    <row collapsed="" customFormat="false" customHeight="1" hidden="" ht="14" outlineLevel="0" r="6820">
      <c r="A6820" s="3" t="inlineStr">
        <is>
          <t>6789</t>
        </is>
      </c>
      <c r="B6820" s="4" t="s">
        <f>=HYPERLINK("http://anyluxury.ru/shop/odezhda/detskaya-odezhda/dozhdevikanorak-r1-cherniy-1520130/" , "15201.30 Дождевик-анорак R1, черный, размер XS/S")</f>
      </c>
      <c r="C6820" s="4" t="n">
        <v>2900.00</v>
      </c>
      <c r="D6820" s="4"/>
    </row>
    <row collapsed="" customFormat="false" customHeight="1" hidden="" ht="14" outlineLevel="0" r="6821">
      <c r="A6821" s="3" t="inlineStr">
        <is>
          <t>6790</t>
        </is>
      </c>
      <c r="B6821" s="4" t="s">
        <f>=HYPERLINK("http://anyluxury.ru/shop/odezhda/detskaya-odezhda/dozhdevikanorak-r1-cherniy-1520130/" , "15201.30 Дождевик-анорак R1, черный, размер M/L")</f>
      </c>
      <c r="C6821" s="4" t="n">
        <v>2900.00</v>
      </c>
      <c r="D6821" s="4"/>
    </row>
    <row collapsed="" customFormat="false" customHeight="1" hidden="" ht="14" outlineLevel="0" r="6822">
      <c r="A6822" s="3" t="inlineStr">
        <is>
          <t>6791</t>
        </is>
      </c>
      <c r="B6822" s="4" t="s">
        <f>=HYPERLINK("http://anyluxury.ru/shop/odezhda/detskaya-odezhda/dozhdevikanorak-r1-cherniy-1520130/" , "15201.30 Дождевик-анорак R1, черный, размер XL/XXL")</f>
      </c>
      <c r="C6822" s="4" t="n">
        <v>2900.00</v>
      </c>
      <c r="D6822" s="4"/>
    </row>
    <row collapsed="" customFormat="false" customHeight="1" hidden="" ht="14" outlineLevel="0" r="6823">
      <c r="A6823" s="3" t="inlineStr">
        <is>
          <t>6792</t>
        </is>
      </c>
      <c r="B6823" s="4" t="s">
        <f>=HYPERLINK("http://anyluxury.ru/shop/odezhda/detskaya-odezhda/dozhdevikanorak-r1-siniy-1520140/" , "15201.40 Дождевик-анорак R1, синий, размер XS/S")</f>
      </c>
      <c r="C6823" s="4" t="n">
        <v>2900.00</v>
      </c>
      <c r="D6823" s="4"/>
    </row>
    <row collapsed="" customFormat="false" customHeight="1" hidden="" ht="14" outlineLevel="0" r="6824">
      <c r="A6824" s="3" t="inlineStr">
        <is>
          <t>6793</t>
        </is>
      </c>
      <c r="B6824" s="4" t="s">
        <f>=HYPERLINK("http://anyluxury.ru/shop/odezhda/detskaya-odezhda/dozhdevikanorak-r1-siniy-1520140/" , "15201.40 Дождевик-анорак R1, синий, размер M/L")</f>
      </c>
      <c r="C6824" s="4" t="n">
        <v>2900.00</v>
      </c>
      <c r="D6824" s="4"/>
    </row>
    <row collapsed="" customFormat="false" customHeight="1" hidden="" ht="14" outlineLevel="0" r="6825">
      <c r="A6825" s="3" t="inlineStr">
        <is>
          <t>6794</t>
        </is>
      </c>
      <c r="B6825" s="4" t="s">
        <f>=HYPERLINK("http://anyluxury.ru/shop/odezhda/detskaya-odezhda/dozhdevikanorak-r1-siniy-1520140/" , "15201.40 Дождевик-анорак R1, синий, размер XL/XXL")</f>
      </c>
      <c r="C6825" s="4" t="n">
        <v>2900.00</v>
      </c>
      <c r="D6825" s="4"/>
    </row>
    <row collapsed="" customFormat="false" customHeight="1" hidden="" ht="14" outlineLevel="0" r="6826">
      <c r="A6826" s="3" t="inlineStr">
        <is>
          <t>6795</t>
        </is>
      </c>
      <c r="B6826" s="4" t="s">
        <f>=HYPERLINK("http://anyluxury.ru/shop/odezhda/detskaya-odezhda/makintosh-r3-cherniy-1620330/" , "16203.30 Макинтош R3, черный, размер XS/S")</f>
      </c>
      <c r="C6826" s="4" t="n">
        <v>5900.00</v>
      </c>
      <c r="D6826" s="4"/>
    </row>
    <row collapsed="" customFormat="false" customHeight="1" hidden="" ht="14" outlineLevel="0" r="6827">
      <c r="A6827" s="3" t="inlineStr">
        <is>
          <t>6796</t>
        </is>
      </c>
      <c r="B6827" s="4" t="s">
        <f>=HYPERLINK("http://anyluxury.ru/shop/odezhda/detskaya-odezhda/makintosh-r3-cherniy-1620330/" , "16203.30 Макинтош R3, черный, размер M/L")</f>
      </c>
      <c r="C6827" s="4" t="n">
        <v>5900.00</v>
      </c>
      <c r="D6827" s="4"/>
    </row>
    <row collapsed="" customFormat="false" customHeight="1" hidden="" ht="14" outlineLevel="0" r="6828">
      <c r="A6828" s="3" t="inlineStr">
        <is>
          <t>6797</t>
        </is>
      </c>
      <c r="B6828" s="4" t="s">
        <f>=HYPERLINK("http://anyluxury.ru/shop/odezhda/detskaya-odezhda/makintosh-r3-cherniy-1620330/" , "16203.30 Макинтош R3, черный, размер XL/XXL")</f>
      </c>
      <c r="C6828" s="4" t="n">
        <v>5900.00</v>
      </c>
      <c r="D6828" s="4"/>
    </row>
    <row collapsed="" customFormat="false" customHeight="1" hidden="" ht="14" outlineLevel="0" r="6829">
      <c r="A6829" s="3" t="inlineStr">
        <is>
          <t>6798</t>
        </is>
      </c>
      <c r="B6829" s="4" t="s">
        <f>=HYPERLINK("http://anyluxury.ru/shop/odezhda/detskaya-odezhda/makintosh-r3-siniy-1620340/" , "16203.40 Макинтош R3, синий, размер XS/S")</f>
      </c>
      <c r="C6829" s="4" t="n">
        <v>5900.00</v>
      </c>
      <c r="D6829" s="4"/>
    </row>
    <row collapsed="" customFormat="false" customHeight="1" hidden="" ht="14" outlineLevel="0" r="6830">
      <c r="A6830" s="3" t="inlineStr">
        <is>
          <t>6799</t>
        </is>
      </c>
      <c r="B6830" s="4" t="s">
        <f>=HYPERLINK("http://anyluxury.ru/shop/odezhda/detskaya-odezhda/makintosh-r3-siniy-1620340/" , "16203.40 Макинтош R3, синий, размер M/L")</f>
      </c>
      <c r="C6830" s="4" t="n">
        <v>5900.00</v>
      </c>
      <c r="D6830" s="4"/>
    </row>
    <row collapsed="" customFormat="false" customHeight="1" hidden="" ht="14" outlineLevel="0" r="6831">
      <c r="A6831" s="3" t="inlineStr">
        <is>
          <t>6800</t>
        </is>
      </c>
      <c r="B6831" s="4" t="s">
        <f>=HYPERLINK("http://anyluxury.ru/shop/odezhda/detskaya-odezhda/makintosh-r3-siniy-1620340/" , "16203.40 Макинтош R3, синий, размер XL/XXL")</f>
      </c>
      <c r="C6831" s="4" t="n">
        <v>5900.00</v>
      </c>
      <c r="D6831" s="4"/>
    </row>
    <row collapsed="" customFormat="false" customHeight="1" hidden="" ht="14" outlineLevel="0" r="6832">
      <c r="A6832" s="3" t="inlineStr">
        <is>
          <t>6801</t>
        </is>
      </c>
      <c r="B6832" s="4" t="s">
        <f>=HYPERLINK("http://anyluxury.ru/shop/odezhda/detskaya-odezhda/makintosh-r3-seriy-1620311/" , "16203.11 Макинтош R3, серый, размер XS/S")</f>
      </c>
      <c r="C6832" s="4" t="n">
        <v>5900.00</v>
      </c>
      <c r="D6832" s="4"/>
    </row>
    <row collapsed="" customFormat="false" customHeight="1" hidden="" ht="14" outlineLevel="0" r="6833">
      <c r="A6833" s="3" t="inlineStr">
        <is>
          <t>6802</t>
        </is>
      </c>
      <c r="B6833" s="4" t="s">
        <f>=HYPERLINK("http://anyluxury.ru/shop/odezhda/detskaya-odezhda/perchatki-urban-flow-zheltie-1666380/" , "16663.80 Перчатки Urban Flow, желтые, размер S/M")</f>
      </c>
      <c r="C6833" s="4" t="n">
        <v>247.00</v>
      </c>
      <c r="D6833" s="4"/>
    </row>
    <row collapsed="" customFormat="false" customHeight="1" hidden="" ht="14" outlineLevel="0" r="6834">
      <c r="A6834" s="3" t="inlineStr">
        <is>
          <t>6803</t>
        </is>
      </c>
      <c r="B6834" s="4" t="s">
        <f>=HYPERLINK("http://anyluxury.ru/shop/odezhda/detskaya-odezhda/perchatki-urban-flow-zheltie-1666380/" , "16663.80 Перчатки Urban Flow, желтые, размер L/XL")</f>
      </c>
      <c r="C6834" s="4" t="n">
        <v>247.00</v>
      </c>
      <c r="D6834" s="4"/>
    </row>
    <row collapsed="" customFormat="false" customHeight="1" hidden="" ht="14" outlineLevel="0" r="6835">
      <c r="A6835" s="3" t="inlineStr">
        <is>
          <t>6804</t>
        </is>
      </c>
      <c r="B6835" s="4" t="s">
        <f>=HYPERLINK("http://anyluxury.ru/shop/odezhda/detskaya-odezhda/perchatki-urban-flow-oranzhevie-1666320/" , "16663.20 Перчатки Urban Flow, оранжевые, размер S/M")</f>
      </c>
      <c r="C6835" s="4" t="n">
        <v>247.00</v>
      </c>
      <c r="D6835" s="4"/>
    </row>
    <row collapsed="" customFormat="false" customHeight="1" hidden="" ht="14" outlineLevel="0" r="6836">
      <c r="A6836" s="3" t="inlineStr">
        <is>
          <t>6805</t>
        </is>
      </c>
      <c r="B6836" s="4" t="s">
        <f>=HYPERLINK("http://anyluxury.ru/shop/odezhda/detskaya-odezhda/perchatki-urban-flow-oranzhevie-1666320/" , "16663.20 Перчатки Urban Flow, оранжевые, размер L/XL")</f>
      </c>
      <c r="C6836" s="4" t="n">
        <v>247.00</v>
      </c>
      <c r="D6836" s="4"/>
    </row>
    <row collapsed="" customFormat="false" customHeight="1" hidden="" ht="14" outlineLevel="0" r="6837">
      <c r="A6837" s="3" t="inlineStr">
        <is>
          <t>6806</t>
        </is>
      </c>
      <c r="B6837" s="4" t="s">
        <f>=HYPERLINK("http://anyluxury.ru/shop/odezhda/detskaya-odezhda/perchatki-urban-flow-krasnie-1666350/" , "16663.50 Перчатки Urban Flow, красные, размер S/M")</f>
      </c>
      <c r="C6837" s="4" t="n">
        <v>247.00</v>
      </c>
      <c r="D6837" s="4"/>
    </row>
    <row collapsed="" customFormat="false" customHeight="1" hidden="" ht="14" outlineLevel="0" r="6838">
      <c r="A6838" s="3" t="inlineStr">
        <is>
          <t>6807</t>
        </is>
      </c>
      <c r="B6838" s="4" t="s">
        <f>=HYPERLINK("http://anyluxury.ru/shop/odezhda/detskaya-odezhda/perchatki-urban-flow-krasnie-1666350/" , "16663.50 Перчатки Urban Flow, красные, размер L/XL")</f>
      </c>
      <c r="C6838" s="4" t="n">
        <v>247.00</v>
      </c>
      <c r="D6838" s="4"/>
    </row>
    <row collapsed="" customFormat="false" customHeight="1" hidden="" ht="14" outlineLevel="0" r="6839">
      <c r="A6839" s="3" t="inlineStr">
        <is>
          <t>6808</t>
        </is>
      </c>
      <c r="B6839" s="4" t="s">
        <f>=HYPERLINK("http://anyluxury.ru/shop/odezhda/detskaya-odezhda/perchatki-urban-flow-pilnorozovie-1666356/" , "16663.56 Перчатки Urban Flow, пыльно-розовые, размер S/M")</f>
      </c>
      <c r="C6839" s="4" t="n">
        <v>247.00</v>
      </c>
      <c r="D6839" s="4"/>
    </row>
    <row collapsed="" customFormat="false" customHeight="1" hidden="" ht="14" outlineLevel="0" r="6840">
      <c r="A6840" s="3" t="inlineStr">
        <is>
          <t>6809</t>
        </is>
      </c>
      <c r="B6840" s="4" t="s">
        <f>=HYPERLINK("http://anyluxury.ru/shop/odezhda/detskaya-odezhda/perchatki-urban-flow-pilnorozovie-1666356/" , "16663.56 Перчатки Urban Flow, пыльно-розовые, размер L/XL")</f>
      </c>
      <c r="C6840" s="4" t="n">
        <v>247.00</v>
      </c>
      <c r="D6840" s="4"/>
    </row>
    <row collapsed="" customFormat="false" customHeight="1" hidden="" ht="14" outlineLevel="0" r="6841">
      <c r="A6841" s="3" t="inlineStr">
        <is>
          <t>6810</t>
        </is>
      </c>
      <c r="B6841" s="4" t="s">
        <f>=HYPERLINK("http://anyluxury.ru/shop/odezhda/detskaya-odezhda/perchatki-urban-flow-rozoviy-neon-1666315/" , "16663.15 Перчатки Urban Flow, розовый неон, размер S/M")</f>
      </c>
      <c r="C6841" s="4" t="n">
        <v>247.00</v>
      </c>
      <c r="D6841" s="4"/>
    </row>
    <row collapsed="" customFormat="false" customHeight="1" hidden="" ht="14" outlineLevel="0" r="6842">
      <c r="A6842" s="3" t="inlineStr">
        <is>
          <t>6811</t>
        </is>
      </c>
      <c r="B6842" s="4" t="s">
        <f>=HYPERLINK("http://anyluxury.ru/shop/odezhda/detskaya-odezhda/perchatki-urban-flow-rozoviy-neon-1666315/" , "16663.15 Перчатки Urban Flow, розовый неон, размер L/XL")</f>
      </c>
      <c r="C6842" s="4" t="n">
        <v>247.00</v>
      </c>
      <c r="D6842" s="4"/>
    </row>
    <row collapsed="" customFormat="false" customHeight="1" hidden="" ht="14" outlineLevel="0" r="6843">
      <c r="A6843" s="3" t="inlineStr">
        <is>
          <t>6812</t>
        </is>
      </c>
      <c r="B6843" s="4" t="s">
        <f>=HYPERLINK("http://anyluxury.ru/shop/odezhda/detskaya-odezhda/perchatki-urban-flow-yarkofioletovie-1666370/" , "16663.70 Перчатки Urban Flow, ярко-фиолетовые, размер S/M")</f>
      </c>
      <c r="C6843" s="4" t="n">
        <v>247.00</v>
      </c>
      <c r="D6843" s="4"/>
    </row>
    <row collapsed="" customFormat="false" customHeight="1" hidden="" ht="14" outlineLevel="0" r="6844">
      <c r="A6844" s="3" t="inlineStr">
        <is>
          <t>6813</t>
        </is>
      </c>
      <c r="B6844" s="4" t="s">
        <f>=HYPERLINK("http://anyluxury.ru/shop/odezhda/detskaya-odezhda/perchatki-urban-flow-yarkofioletovie-1666370/" , "16663.70 Перчатки Urban Flow, ярко-фиолетовые, размер L/XL")</f>
      </c>
      <c r="C6844" s="4" t="n">
        <v>247.00</v>
      </c>
      <c r="D6844" s="4"/>
    </row>
    <row collapsed="" customFormat="false" customHeight="1" hidden="" ht="14" outlineLevel="0" r="6845">
      <c r="A6845" s="3" t="inlineStr">
        <is>
          <t>6814</t>
        </is>
      </c>
      <c r="B6845" s="4" t="s">
        <f>=HYPERLINK("http://anyluxury.ru/shop/odezhda/detskaya-odezhda/perchatki-urban-flow-fioletovie-1666377/" , "16663.77 Перчатки Urban Flow, фиолетовые, размер S/M")</f>
      </c>
      <c r="C6845" s="4" t="n">
        <v>247.00</v>
      </c>
      <c r="D6845" s="4"/>
    </row>
    <row collapsed="" customFormat="false" customHeight="1" hidden="" ht="14" outlineLevel="0" r="6846">
      <c r="A6846" s="3" t="inlineStr">
        <is>
          <t>6815</t>
        </is>
      </c>
      <c r="B6846" s="4" t="s">
        <f>=HYPERLINK("http://anyluxury.ru/shop/odezhda/detskaya-odezhda/perchatki-urban-flow-fioletovie-1666377/" , "16663.77 Перчатки Urban Flow, фиолетовые, размер L/XL")</f>
      </c>
      <c r="C6846" s="4" t="n">
        <v>247.00</v>
      </c>
      <c r="D6846" s="4"/>
    </row>
    <row collapsed="" customFormat="false" customHeight="1" hidden="" ht="14" outlineLevel="0" r="6847">
      <c r="A6847" s="3" t="inlineStr">
        <is>
          <t>6816</t>
        </is>
      </c>
      <c r="B6847" s="4" t="s">
        <f>=HYPERLINK("http://anyluxury.ru/shop/odezhda/detskaya-odezhda/perchatki-urban-flow-zelenie-1666390/" , "16663.90 Перчатки Urban Flow, зеленые, размер S/M")</f>
      </c>
      <c r="C6847" s="4" t="n">
        <v>247.00</v>
      </c>
      <c r="D6847" s="4"/>
    </row>
    <row collapsed="" customFormat="false" customHeight="1" hidden="" ht="14" outlineLevel="0" r="6848">
      <c r="A6848" s="3" t="inlineStr">
        <is>
          <t>6817</t>
        </is>
      </c>
      <c r="B6848" s="4" t="s">
        <f>=HYPERLINK("http://anyluxury.ru/shop/odezhda/detskaya-odezhda/perchatki-urban-flow-zelenie-1666390/" , "16663.90 Перчатки Urban Flow, зеленые, размер L/XL")</f>
      </c>
      <c r="C6848" s="4" t="n">
        <v>247.00</v>
      </c>
      <c r="D6848" s="4"/>
    </row>
    <row collapsed="" customFormat="false" customHeight="1" hidden="" ht="14" outlineLevel="0" r="6849">
      <c r="A6849" s="3" t="inlineStr">
        <is>
          <t>6818</t>
        </is>
      </c>
      <c r="B6849" s="4" t="s">
        <f>=HYPERLINK("http://anyluxury.ru/shop/odezhda/detskaya-odezhda/perchatki-urban-flow-zelenie-myatnie-1666395/" , "16663.95 Перчатки Urban Flow, зеленые (мятные), размер S/M")</f>
      </c>
      <c r="C6849" s="4" t="n">
        <v>247.00</v>
      </c>
      <c r="D6849" s="4"/>
    </row>
    <row collapsed="" customFormat="false" customHeight="1" hidden="" ht="14" outlineLevel="0" r="6850">
      <c r="A6850" s="3" t="inlineStr">
        <is>
          <t>6819</t>
        </is>
      </c>
      <c r="B6850" s="4" t="s">
        <f>=HYPERLINK("http://anyluxury.ru/shop/odezhda/detskaya-odezhda/perchatki-urban-flow-zelenie-myatnie-1666395/" , "16663.95 Перчатки Urban Flow, зеленые (мятные), размер L/XL")</f>
      </c>
      <c r="C6850" s="4" t="n">
        <v>247.00</v>
      </c>
      <c r="D6850" s="4"/>
    </row>
    <row collapsed="" customFormat="false" customHeight="1" hidden="" ht="14" outlineLevel="0" r="6851">
      <c r="A6851" s="3" t="inlineStr">
        <is>
          <t>6820</t>
        </is>
      </c>
      <c r="B6851" s="4" t="s">
        <f>=HYPERLINK("http://anyluxury.ru/shop/odezhda/detskaya-odezhda/perchatki-urban-flow-salatoviy-neon-1666394/" , "16663.94 Перчатки Urban Flow, салатовый неон, размер S/M")</f>
      </c>
      <c r="C6851" s="4" t="n">
        <v>247.00</v>
      </c>
      <c r="D6851" s="4"/>
    </row>
    <row collapsed="" customFormat="false" customHeight="1" hidden="" ht="14" outlineLevel="0" r="6852">
      <c r="A6852" s="3" t="inlineStr">
        <is>
          <t>6821</t>
        </is>
      </c>
      <c r="B6852" s="4" t="s">
        <f>=HYPERLINK("http://anyluxury.ru/shop/odezhda/detskaya-odezhda/perchatki-urban-flow-salatoviy-neon-1666394/" , "16663.94 Перчатки Urban Flow, салатовый неон, размер L/XL")</f>
      </c>
      <c r="C6852" s="4" t="n">
        <v>247.00</v>
      </c>
      <c r="D6852" s="4"/>
    </row>
    <row collapsed="" customFormat="false" customHeight="1" hidden="" ht="14" outlineLevel="0" r="6853">
      <c r="A6853" s="3" t="inlineStr">
        <is>
          <t>6822</t>
        </is>
      </c>
      <c r="B6853" s="4" t="s">
        <f>=HYPERLINK("http://anyluxury.ru/shop/odezhda/detskaya-odezhda/perchatki-urban-flow-temnosiniy-melanzh-1666340/" , "16663.40 Перчатки Urban Flow, темно-синий меланж, размер S/M")</f>
      </c>
      <c r="C6853" s="4" t="n">
        <v>247.00</v>
      </c>
      <c r="D6853" s="4"/>
    </row>
    <row collapsed="" customFormat="false" customHeight="1" hidden="" ht="14" outlineLevel="0" r="6854">
      <c r="A6854" s="3" t="inlineStr">
        <is>
          <t>6823</t>
        </is>
      </c>
      <c r="B6854" s="4" t="s">
        <f>=HYPERLINK("http://anyluxury.ru/shop/odezhda/detskaya-odezhda/perchatki-urban-flow-temnosiniy-melanzh-1666340/" , "16663.40 Перчатки Urban Flow, темно-синий меланж, размер L/XL")</f>
      </c>
      <c r="C6854" s="4" t="n">
        <v>247.00</v>
      </c>
      <c r="D6854" s="4"/>
    </row>
    <row collapsed="" customFormat="false" customHeight="1" hidden="" ht="14" outlineLevel="0" r="6855">
      <c r="A6855" s="3" t="inlineStr">
        <is>
          <t>6824</t>
        </is>
      </c>
      <c r="B6855" s="4" t="s">
        <f>=HYPERLINK("http://anyluxury.ru/shop/odezhda/detskaya-odezhda/perchatki-urban-flow-yarkogolubie-1666342/" , "16663.42 Перчатки Urban Flow, ярко-голубые, размер S/M")</f>
      </c>
      <c r="C6855" s="4" t="n">
        <v>247.00</v>
      </c>
      <c r="D6855" s="4"/>
    </row>
    <row collapsed="" customFormat="false" customHeight="1" hidden="" ht="14" outlineLevel="0" r="6856">
      <c r="A6856" s="3" t="inlineStr">
        <is>
          <t>6825</t>
        </is>
      </c>
      <c r="B6856" s="4" t="s">
        <f>=HYPERLINK("http://anyluxury.ru/shop/odezhda/detskaya-odezhda/perchatki-urban-flow-yarkogolubie-1666342/" , "16663.42 Перчатки Urban Flow, ярко-голубые, размер L/XL")</f>
      </c>
      <c r="C6856" s="4" t="n">
        <v>247.00</v>
      </c>
      <c r="D6856" s="4"/>
    </row>
    <row collapsed="" customFormat="false" customHeight="1" hidden="" ht="14" outlineLevel="0" r="6857">
      <c r="A6857" s="3" t="inlineStr">
        <is>
          <t>6826</t>
        </is>
      </c>
      <c r="B6857" s="4" t="s">
        <f>=HYPERLINK("http://anyluxury.ru/shop/odezhda/detskaya-odezhda/perchatki-urban-flow-yarkosinie-1666344/" , "16663.44 Перчатки Urban Flow, ярко-синие, размер S/M")</f>
      </c>
      <c r="C6857" s="4" t="n">
        <v>247.00</v>
      </c>
      <c r="D6857" s="4"/>
    </row>
    <row collapsed="" customFormat="false" customHeight="1" hidden="" ht="14" outlineLevel="0" r="6858">
      <c r="A6858" s="3" t="inlineStr">
        <is>
          <t>6827</t>
        </is>
      </c>
      <c r="B6858" s="4" t="s">
        <f>=HYPERLINK("http://anyluxury.ru/shop/odezhda/detskaya-odezhda/perchatki-urban-flow-yarkosinie-1666344/" , "16663.44 Перчатки Urban Flow, ярко-синие, размер L/XL")</f>
      </c>
      <c r="C6858" s="4" t="n">
        <v>247.00</v>
      </c>
      <c r="D6858" s="4"/>
    </row>
    <row collapsed="" customFormat="false" customHeight="1" hidden="" ht="14" outlineLevel="0" r="6859">
      <c r="A6859" s="3" t="inlineStr">
        <is>
          <t>6828</t>
        </is>
      </c>
      <c r="B6859" s="4" t="s">
        <f>=HYPERLINK("http://anyluxury.ru/shop/odezhda/detskaya-odezhda/perchatki-urban-flow-chernie-1666330/" , "16663.30 Перчатки Urban Flow, черные, размер S/M")</f>
      </c>
      <c r="C6859" s="4" t="n">
        <v>247.00</v>
      </c>
      <c r="D6859" s="4"/>
    </row>
    <row collapsed="" customFormat="false" customHeight="1" hidden="" ht="14" outlineLevel="0" r="6860">
      <c r="A6860" s="3" t="inlineStr">
        <is>
          <t>6829</t>
        </is>
      </c>
      <c r="B6860" s="4" t="s">
        <f>=HYPERLINK("http://anyluxury.ru/shop/odezhda/detskaya-odezhda/perchatki-urban-flow-chernie-1666330/" , "16663.30 Перчатки Urban Flow, черные, размер L/XL")</f>
      </c>
      <c r="C6860" s="4" t="n">
        <v>247.00</v>
      </c>
      <c r="D6860" s="4"/>
    </row>
    <row collapsed="" customFormat="false" customHeight="1" hidden="" ht="14" outlineLevel="0" r="6861">
      <c r="A6861" s="3" t="inlineStr">
        <is>
          <t>6830</t>
        </is>
      </c>
      <c r="B6861" s="4" t="s">
        <f>=HYPERLINK("http://anyluxury.ru/shop/odezhda/detskaya-odezhda/perchatki-urban-flow-svetloseriy-melanzh-1666331/" , "16663.31 Перчатки Urban Flow, светло-серый меланж, размеры S/M")</f>
      </c>
      <c r="C6861" s="4" t="n">
        <v>247.00</v>
      </c>
      <c r="D6861" s="4"/>
    </row>
    <row collapsed="" customFormat="false" customHeight="1" hidden="" ht="14" outlineLevel="0" r="6862">
      <c r="A6862" s="3" t="inlineStr">
        <is>
          <t>6831</t>
        </is>
      </c>
      <c r="B6862" s="4" t="s">
        <f>=HYPERLINK("http://anyluxury.ru/shop/odezhda/detskaya-odezhda/perchatki-urban-flow-temnoseriy-melanzh-1666332/" , "16663.32 Перчатки Urban Flow, темно-серый меланж, размер S/M")</f>
      </c>
      <c r="C6862" s="4" t="n">
        <v>247.00</v>
      </c>
      <c r="D6862" s="4"/>
    </row>
    <row collapsed="" customFormat="false" customHeight="1" hidden="" ht="14" outlineLevel="0" r="6863">
      <c r="A6863" s="3" t="inlineStr">
        <is>
          <t>6832</t>
        </is>
      </c>
      <c r="B6863" s="4" t="s">
        <f>=HYPERLINK("http://anyluxury.ru/shop/odezhda/detskaya-odezhda/perchatki-urban-flow-temnoseriy-melanzh-1666332/" , "16663.32 Перчатки Urban Flow, темно-серый меланж, размеры L/XL")</f>
      </c>
      <c r="C6863" s="4" t="n">
        <v>247.00</v>
      </c>
      <c r="D6863" s="4"/>
    </row>
    <row collapsed="" customFormat="false" customHeight="1" hidden="" ht="14" outlineLevel="0" r="6864">
      <c r="A6864" s="3" t="inlineStr">
        <is>
          <t>6833</t>
        </is>
      </c>
      <c r="B6864" s="4" t="s">
        <f>=HYPERLINK("http://anyluxury.ru/shop/odezhda/detskaya-odezhda/perchatki-urban-flow-bezhevie-1666312/" , "16663.12 Перчатки Urban Flow, бежевые, размер S/M")</f>
      </c>
      <c r="C6864" s="4" t="n">
        <v>247.00</v>
      </c>
      <c r="D6864" s="4"/>
    </row>
    <row collapsed="" customFormat="false" customHeight="1" hidden="" ht="14" outlineLevel="0" r="6865">
      <c r="A6865" s="3" t="inlineStr">
        <is>
          <t>6834</t>
        </is>
      </c>
      <c r="B6865" s="4" t="s">
        <f>=HYPERLINK("http://anyluxury.ru/shop/odezhda/detskaya-odezhda/perchatki-urban-flow-bezhevie-1666312/" , "16663.12 Перчатки Urban Flow, бежевые, размер L/XL")</f>
      </c>
      <c r="C6865" s="4" t="n">
        <v>247.00</v>
      </c>
      <c r="D6865" s="4"/>
    </row>
    <row collapsed="" customFormat="false" customHeight="1" hidden="" ht="14" outlineLevel="0" r="6866">
      <c r="A6866" s="3" t="inlineStr">
        <is>
          <t>6835</t>
        </is>
      </c>
      <c r="B6866" s="4" t="s">
        <f>=HYPERLINK("http://anyluxury.ru/shop/odezhda/detskaya-odezhda/perchatki-urban-flow-goluboy-melanzh-1666345/" , "16663.45 Перчатки Urban Flow, голубой меланж, размер S/M")</f>
      </c>
      <c r="C6866" s="4" t="n">
        <v>247.00</v>
      </c>
      <c r="D6866" s="4"/>
    </row>
    <row collapsed="" customFormat="false" customHeight="1" hidden="" ht="14" outlineLevel="0" r="6867">
      <c r="A6867" s="3" t="inlineStr">
        <is>
          <t>6836</t>
        </is>
      </c>
      <c r="B6867" s="4" t="s">
        <f>=HYPERLINK("http://anyluxury.ru/shop/odezhda/detskaya-odezhda/perchatki-urban-flow-goluboy-melanzh-1666345/" , "16663.45 Перчатки Urban Flow, голубой меланж, размер L/XL")</f>
      </c>
      <c r="C6867" s="4" t="n">
        <v>247.00</v>
      </c>
      <c r="D6867" s="4"/>
    </row>
    <row collapsed="" customFormat="false" customHeight="1" hidden="" ht="14" outlineLevel="0" r="6868">
      <c r="A6868" s="3" t="inlineStr">
        <is>
          <t>6837</t>
        </is>
      </c>
      <c r="B6868" s="4" t="s">
        <f>=HYPERLINK("http://anyluxury.ru/shop/odezhda/detskaya-odezhda/perchatki-sensornie-urban-flow-krasnie-1666450/" , "16664.50 Перчатки сенсорные Urban Flow, красные, размер S/M")</f>
      </c>
      <c r="C6868" s="4" t="n">
        <v>278.00</v>
      </c>
      <c r="D6868" s="4"/>
    </row>
    <row collapsed="" customFormat="false" customHeight="1" hidden="" ht="14" outlineLevel="0" r="6869">
      <c r="A6869" s="3" t="inlineStr">
        <is>
          <t>6838</t>
        </is>
      </c>
      <c r="B6869" s="4" t="s">
        <f>=HYPERLINK("http://anyluxury.ru/shop/odezhda/detskaya-odezhda/perchatki-sensornie-urban-flow-krasnie-1666450/" , "16664.50 Перчатки сенсорные Urban Flow, красные, размер L/XL")</f>
      </c>
      <c r="C6869" s="4" t="n">
        <v>278.00</v>
      </c>
      <c r="D6869" s="4"/>
    </row>
    <row collapsed="" customFormat="false" customHeight="1" hidden="" ht="14" outlineLevel="0" r="6870">
      <c r="A6870" s="3" t="inlineStr">
        <is>
          <t>6839</t>
        </is>
      </c>
      <c r="B6870" s="4" t="s">
        <f>=HYPERLINK("http://anyluxury.ru/shop/odezhda/detskaya-odezhda/perchatki-sensornie-urban-flow-temnosiniy-melanzh-1666440/" , "16664.40 Перчатки сенсорные Urban Flow, темно-синий меланж, размер S/M")</f>
      </c>
      <c r="C6870" s="4" t="n">
        <v>278.00</v>
      </c>
      <c r="D6870" s="4"/>
    </row>
    <row collapsed="" customFormat="false" customHeight="1" hidden="" ht="14" outlineLevel="0" r="6871">
      <c r="A6871" s="3" t="inlineStr">
        <is>
          <t>6840</t>
        </is>
      </c>
      <c r="B6871" s="4" t="s">
        <f>=HYPERLINK("http://anyluxury.ru/shop/odezhda/detskaya-odezhda/perchatki-sensornie-urban-flow-temnosiniy-melanzh-1666440/" , "16664.40 Перчатки сенсорные Urban Flow, темно-синий меланж, размер L/XL")</f>
      </c>
      <c r="C6871" s="4" t="n">
        <v>278.00</v>
      </c>
      <c r="D6871" s="4"/>
    </row>
    <row collapsed="" customFormat="false" customHeight="1" hidden="" ht="14" outlineLevel="0" r="6872">
      <c r="A6872" s="3" t="inlineStr">
        <is>
          <t>6841</t>
        </is>
      </c>
      <c r="B6872" s="4" t="s">
        <f>=HYPERLINK("http://anyluxury.ru/shop/odezhda/detskaya-odezhda/perchatki-sensornie-urban-flow-chernie-1666430/" , "16664.30 Перчатки сенсорные Urban Flow, черные, размер S/M")</f>
      </c>
      <c r="C6872" s="4" t="n">
        <v>278.00</v>
      </c>
      <c r="D6872" s="4"/>
    </row>
    <row collapsed="" customFormat="false" customHeight="1" hidden="" ht="14" outlineLevel="0" r="6873">
      <c r="A6873" s="3" t="inlineStr">
        <is>
          <t>6842</t>
        </is>
      </c>
      <c r="B6873" s="4" t="s">
        <f>=HYPERLINK("http://anyluxury.ru/shop/odezhda/detskaya-odezhda/perchatki-sensornie-urban-flow-chernie-1666430/" , "16664.30 Перчатки сенсорные Urban Flow, черные, размер L/XL")</f>
      </c>
      <c r="C6873" s="4" t="n">
        <v>278.00</v>
      </c>
      <c r="D6873" s="4"/>
    </row>
    <row collapsed="" customFormat="false" customHeight="1" hidden="" ht="14" outlineLevel="0" r="6874">
      <c r="A6874" s="3" t="inlineStr">
        <is>
          <t>6843</t>
        </is>
      </c>
      <c r="B6874" s="4" t="s">
        <f>=HYPERLINK("http://anyluxury.ru/shop/odezhda/detskaya-odezhda/perchatki-sensornie-urban-flow-molochnobelie-1666461/" , "16664.61 Перчатки сенсорные Urban Flow, молочно-белые, размер S/M")</f>
      </c>
      <c r="C6874" s="4" t="n">
        <v>278.00</v>
      </c>
      <c r="D6874" s="4"/>
    </row>
    <row collapsed="" customFormat="false" customHeight="1" hidden="" ht="14" outlineLevel="0" r="6875">
      <c r="A6875" s="3" t="inlineStr">
        <is>
          <t>6844</t>
        </is>
      </c>
      <c r="B6875" s="4" t="s">
        <f>=HYPERLINK("http://anyluxury.ru/shop/odezhda/detskaya-odezhda/perchatki-sensornie-urban-flow-molochnobelie-1666461/" , "16664.61 Перчатки сенсорные Urban Flow, молочно-белые, размер L/XL")</f>
      </c>
      <c r="C6875" s="4" t="n">
        <v>278.00</v>
      </c>
      <c r="D6875" s="4"/>
    </row>
    <row collapsed="" customFormat="false" customHeight="1" hidden="" ht="14" outlineLevel="0" r="6876">
      <c r="A6876" s="3" t="inlineStr">
        <is>
          <t>6845</t>
        </is>
      </c>
      <c r="B6876" s="4" t="s">
        <f>=HYPERLINK("http://anyluxury.ru/shop/odezhda/detskaya-odezhda/perchatki-sensornie-urban-flow-yarkosinie-1666444/" , "16664.44 Перчатки сенсорные Urban Flow, ярко-синие, размер S/M")</f>
      </c>
      <c r="C6876" s="4" t="n">
        <v>278.00</v>
      </c>
      <c r="D6876" s="4"/>
    </row>
    <row collapsed="" customFormat="false" customHeight="1" hidden="" ht="14" outlineLevel="0" r="6877">
      <c r="A6877" s="3" t="inlineStr">
        <is>
          <t>6846</t>
        </is>
      </c>
      <c r="B6877" s="4" t="s">
        <f>=HYPERLINK("http://anyluxury.ru/shop/odezhda/detskaya-odezhda/perchatki-sensornie-urban-flow-yarkosinie-1666444/" , "16664.44 Перчатки сенсорные Urban Flow, ярко-синие, размер L/XL")</f>
      </c>
      <c r="C6877" s="4" t="n">
        <v>278.00</v>
      </c>
      <c r="D6877" s="4"/>
    </row>
    <row collapsed="" customFormat="false" customHeight="1" hidden="" ht="14" outlineLevel="0" r="6878">
      <c r="A6878" s="3" t="inlineStr">
        <is>
          <t>6847</t>
        </is>
      </c>
      <c r="B6878" s="4" t="s">
        <f>=HYPERLINK("http://anyluxury.ru/shop/odezhda/detskaya-odezhda/perchatki-mirakler-sinie-1628040/" , "16280.40 Перчатки Mirakler, синие, размер S/M")</f>
      </c>
      <c r="C6878" s="4" t="n">
        <v>889.00</v>
      </c>
      <c r="D6878" s="4"/>
    </row>
    <row collapsed="" customFormat="false" customHeight="1" hidden="" ht="14" outlineLevel="0" r="6879">
      <c r="A6879" s="3" t="inlineStr">
        <is>
          <t>6848</t>
        </is>
      </c>
      <c r="B6879" s="4" t="s">
        <f>=HYPERLINK("http://anyluxury.ru/shop/odezhda/detskaya-odezhda/perchatki-mirakler-sinie-1628040/" , "16280.40 Перчатки Mirakler, синие, размер L/XL")</f>
      </c>
      <c r="C6879" s="4" t="n">
        <v>889.00</v>
      </c>
      <c r="D6879" s="4"/>
    </row>
    <row collapsed="" customFormat="false" customHeight="1" hidden="" ht="14" outlineLevel="0" r="6880">
      <c r="A6880" s="3" t="inlineStr">
        <is>
          <t>6849</t>
        </is>
      </c>
      <c r="B6880" s="4" t="s">
        <f>=HYPERLINK("http://anyluxury.ru/shop/odezhda/detskaya-odezhda/perchatki-mirakler-zelenie-s-zheltim-1628048/" , "16280.48 Перчатки Mirakler, зеленые с желтым, размер S/M")</f>
      </c>
      <c r="C6880" s="4" t="n">
        <v>889.00</v>
      </c>
      <c r="D6880" s="4"/>
    </row>
    <row collapsed="" customFormat="false" customHeight="1" hidden="" ht="14" outlineLevel="0" r="6881">
      <c r="A6881" s="3" t="inlineStr">
        <is>
          <t>6850</t>
        </is>
      </c>
      <c r="B6881" s="4" t="s">
        <f>=HYPERLINK("http://anyluxury.ru/shop/odezhda/detskaya-odezhda/perchatki-mirakler-zelenie-s-zheltim-1628048/" , "16280.48 Перчатки Mirakler, зеленые с желтым, размер L/XL")</f>
      </c>
      <c r="C6881" s="4" t="n">
        <v>889.00</v>
      </c>
      <c r="D6881" s="4"/>
    </row>
    <row collapsed="" customFormat="false" customHeight="1" hidden="" ht="14" outlineLevel="0" r="6882">
      <c r="A6882" s="3" t="inlineStr">
        <is>
          <t>6851</t>
        </is>
      </c>
      <c r="B6882" s="4" t="s">
        <f>=HYPERLINK("http://anyluxury.ru/shop/odezhda/detskaya-odezhda/perchatki-mirakler-krasnie-s-zelenim-1628059/" , "16280.59 Перчатки Mirakler, красные с зеленым, размер S/M")</f>
      </c>
      <c r="C6882" s="4" t="n">
        <v>889.00</v>
      </c>
      <c r="D6882" s="4"/>
    </row>
    <row collapsed="" customFormat="false" customHeight="1" hidden="" ht="14" outlineLevel="0" r="6883">
      <c r="A6883" s="3" t="inlineStr">
        <is>
          <t>6852</t>
        </is>
      </c>
      <c r="B6883" s="4" t="s">
        <f>=HYPERLINK("http://anyluxury.ru/shop/odezhda/detskaya-odezhda/perchatki-mirakler-krasnie-s-zelenim-1628059/" , "16280.59 Перчатки Mirakler, красные с зеленым, размер L/XL")</f>
      </c>
      <c r="C6883" s="4" t="n">
        <v>889.00</v>
      </c>
      <c r="D6883" s="4"/>
    </row>
    <row collapsed="" customFormat="false" customHeight="1" hidden="" ht="14" outlineLevel="0" r="6884">
      <c r="A6884" s="3" t="inlineStr">
        <is>
          <t>6853</t>
        </is>
      </c>
      <c r="B6884" s="4" t="s">
        <f>=HYPERLINK("http://anyluxury.ru/shop/odezhda/detskaya-odezhda/varezhki-big-boss-chernie-1640430/" , "16404.30 Варежки Big Boss, черные, размер L")</f>
      </c>
      <c r="C6884" s="4" t="n">
        <v>4100.00</v>
      </c>
      <c r="D6884" s="4"/>
    </row>
    <row collapsed="" customFormat="false" customHeight="1" hidden="" ht="14" outlineLevel="0" r="6885">
      <c r="A6885" s="3" t="inlineStr">
        <is>
          <t>6854</t>
        </is>
      </c>
      <c r="B6885" s="4" t="s">
        <f>=HYPERLINK("http://anyluxury.ru/shop/odezhda/detskaya-odezhda/varezhki-big-boss-chernie-1640430/" , "16404.30 Варежки Big Boss, черные, размер XL")</f>
      </c>
      <c r="C6885" s="4" t="n">
        <v>4100.00</v>
      </c>
      <c r="D6885" s="4"/>
    </row>
    <row collapsed="" customFormat="false" customHeight="1" hidden="" ht="14" outlineLevel="0" r="6886">
      <c r="A6886" s="3" t="inlineStr">
        <is>
          <t>6855</t>
        </is>
      </c>
      <c r="B6886" s="4" t="s">
        <f>=HYPERLINK("http://anyluxury.ru/shop/odezhda/detskaya-odezhda/perchatki-big-boss-chernie-1640530/" , "16405.30 Перчатки Big Boss, черные, размер L")</f>
      </c>
      <c r="C6886" s="4" t="n">
        <v>3890.00</v>
      </c>
      <c r="D6886" s="4"/>
    </row>
    <row collapsed="" customFormat="false" customHeight="1" hidden="" ht="14" outlineLevel="0" r="6887">
      <c r="A6887" s="3" t="inlineStr">
        <is>
          <t>6856</t>
        </is>
      </c>
      <c r="B6887" s="4" t="s">
        <f>=HYPERLINK("http://anyluxury.ru/shop/odezhda/detskaya-odezhda/perchatki-big-boss-chernie-1640530/" , "16405.30 Перчатки Big Boss, черные, размер XL")</f>
      </c>
      <c r="C6887" s="4" t="n">
        <v>3890.00</v>
      </c>
      <c r="D6887" s="4"/>
    </row>
    <row collapsed="" customFormat="false" customHeight="1" hidden="" ht="14" outlineLevel="0" r="6888">
      <c r="A6888" s="3" t="inlineStr">
        <is>
          <t>6857</t>
        </is>
      </c>
      <c r="B6888" s="4" t="s">
        <f>=HYPERLINK("http://anyluxury.ru/shop/odezhda/detskaya-odezhda/varezhki-flocky-molochnobelie-1595060/" , "15950.60 Варежки Flocky, молочно-белые")</f>
      </c>
      <c r="C6888" s="4" t="n">
        <v>410.00</v>
      </c>
      <c r="D6888" s="4"/>
    </row>
    <row collapsed="" customFormat="false" customHeight="1" hidden="" ht="14" outlineLevel="0" r="6889">
      <c r="A6889" s="3" t="inlineStr">
        <is>
          <t>6858</t>
        </is>
      </c>
      <c r="B6889" s="4" t="s">
        <f>=HYPERLINK("http://anyluxury.ru/shop/odezhda/detskaya-odezhda/varezhki-flocky-serie-1595011/" , "15950.11 Варежки Flocky, серые")</f>
      </c>
      <c r="C6889" s="4" t="n">
        <v>410.00</v>
      </c>
      <c r="D6889" s="4"/>
    </row>
    <row collapsed="" customFormat="false" customHeight="1" hidden="" ht="14" outlineLevel="0" r="6890">
      <c r="A6890" s="3" t="inlineStr">
        <is>
          <t>6859</t>
        </is>
      </c>
      <c r="B6890" s="4" t="s">
        <f>=HYPERLINK("http://anyluxury.ru/shop/odezhda/detskaya-odezhda/varezhki-flocky-chernie-1595030/" , "15950.30 Варежки Flocky, черные")</f>
      </c>
      <c r="C6890" s="4" t="n">
        <v>410.00</v>
      </c>
      <c r="D6890" s="4"/>
    </row>
    <row collapsed="" customFormat="false" customHeight="1" hidden="" ht="14" outlineLevel="0" r="6891">
      <c r="A6891" s="3" t="inlineStr">
        <is>
          <t>6860</t>
        </is>
      </c>
      <c r="B6891" s="4" t="s">
        <f>=HYPERLINK("http://anyluxury.ru/shop/odezhda/detskaya-odezhda/varezhki-capris-molochnobelie-1637760/" , "16377.60 Варежки Capris, молочно-белые")</f>
      </c>
      <c r="C6891" s="4" t="n">
        <v>1391.00</v>
      </c>
      <c r="D6891" s="4"/>
    </row>
    <row collapsed="" customFormat="false" customHeight="1" hidden="" ht="14" outlineLevel="0" r="6892">
      <c r="A6892" s="3" t="inlineStr">
        <is>
          <t>6861</t>
        </is>
      </c>
      <c r="B6892" s="4" t="s">
        <f>=HYPERLINK("http://anyluxury.ru/shop/odezhda/detskaya-odezhda/tolstovka-toima-heavy-temnoseraya-grafit-692810/" , "6928.10 Толстовка Toima Heavy, темно-серая (графит), размер XS")</f>
      </c>
      <c r="C6892" s="4" t="n">
        <v>1472.00</v>
      </c>
      <c r="D6892" s="4"/>
    </row>
    <row collapsed="" customFormat="false" customHeight="1" hidden="" ht="14" outlineLevel="0" r="6893">
      <c r="A6893" s="3" t="inlineStr">
        <is>
          <t>6862</t>
        </is>
      </c>
      <c r="B6893" s="4" t="s">
        <f>=HYPERLINK("http://anyluxury.ru/shop/odezhda/detskaya-odezhda/tolstovka-toima-heavy-temnoseraya-grafit-692810/" , "6928.10 Толстовка Toima Heavy, темно-серая (графит), размер S")</f>
      </c>
      <c r="C6893" s="4" t="n">
        <v>1472.00</v>
      </c>
      <c r="D6893" s="4"/>
    </row>
    <row collapsed="" customFormat="false" customHeight="1" hidden="" ht="14" outlineLevel="0" r="6894">
      <c r="A6894" s="3" t="inlineStr">
        <is>
          <t>6863</t>
        </is>
      </c>
      <c r="B6894" s="4" t="s">
        <f>=HYPERLINK("http://anyluxury.ru/shop/odezhda/detskaya-odezhda/tolstovka-toima-heavy-temnoseraya-grafit-692810/" , "6928.10 Толстовка Toima Heavy, темно-серая (графит), размер 3XL")</f>
      </c>
      <c r="C6894" s="4" t="n">
        <v>1472.00</v>
      </c>
      <c r="D6894" s="4"/>
    </row>
    <row collapsed="" customFormat="false" customHeight="1" hidden="" ht="14" outlineLevel="0" r="6895">
      <c r="A6895" s="3" t="inlineStr">
        <is>
          <t>6864</t>
        </is>
      </c>
      <c r="B6895" s="4" t="s">
        <f>=HYPERLINK("http://anyluxury.ru/shop/odezhda/detskaya-odezhda/tolstovka-toima-heavy-temnoseraya-grafit-692810/" , "6928.10 Толстовка Toima Heavy, темно-серая (графит), размер 4XL")</f>
      </c>
      <c r="C6895" s="4" t="n">
        <v>1472.00</v>
      </c>
      <c r="D6895" s="4"/>
    </row>
    <row collapsed="" customFormat="false" customHeight="1" hidden="" ht="14" outlineLevel="0" r="6896">
      <c r="A6896" s="3" t="inlineStr">
        <is>
          <t>6865</t>
        </is>
      </c>
      <c r="B6896" s="4" t="s">
        <f>=HYPERLINK("http://anyluxury.ru/shop/odezhda/detskaya-odezhda/perchatki-urban-flow-morskaya-volna-1666349/" , "16663.49 Перчатки Urban Flow, морская волна, размер S/M")</f>
      </c>
      <c r="C6896" s="4" t="n">
        <v>247.00</v>
      </c>
      <c r="D6896" s="4"/>
    </row>
    <row collapsed="" customFormat="false" customHeight="1" hidden="" ht="14" outlineLevel="0" r="6897">
      <c r="A6897" s="3" t="inlineStr">
        <is>
          <t>6866</t>
        </is>
      </c>
      <c r="B6897" s="4" t="s">
        <f>=HYPERLINK("http://anyluxury.ru/shop/odezhda/detskaya-odezhda/perchatki-urban-flow-morskaya-volna-1666349/" , "16663.49 Перчатки Urban Flow, морская волна, размер L/XL")</f>
      </c>
      <c r="C6897" s="4" t="n">
        <v>247.00</v>
      </c>
      <c r="D6897" s="4"/>
    </row>
    <row collapsed="" customFormat="false" customHeight="1" hidden="" ht="14" outlineLevel="0" r="6898">
      <c r="A6898" s="3" t="inlineStr">
        <is>
          <t>6867</t>
        </is>
      </c>
      <c r="B6898" s="4" t="s">
        <f>=HYPERLINK("http://anyluxury.ru/shop/odezhda/detskaya-odezhda/tolstovka-toima-heavy-belaya-belosnezhnaya-692861/" , "6928.61 Толстовка Toima Heavy, белая (белоснежная), размер XS")</f>
      </c>
      <c r="C6898" s="4" t="n">
        <v>1472.00</v>
      </c>
      <c r="D6898" s="4"/>
    </row>
    <row collapsed="" customFormat="false" customHeight="1" hidden="" ht="14" outlineLevel="0" r="6899">
      <c r="A6899" s="3" t="inlineStr">
        <is>
          <t>6868</t>
        </is>
      </c>
      <c r="B6899" s="4" t="s">
        <f>=HYPERLINK("http://anyluxury.ru/shop/odezhda/detskaya-odezhda/tolstovka-toima-heavy-belaya-belosnezhnaya-692861/" , "6928.61 Толстовка Toima Heavy, белая (белоснежная), размер S")</f>
      </c>
      <c r="C6899" s="4" t="n">
        <v>1472.00</v>
      </c>
      <c r="D6899" s="4"/>
    </row>
    <row collapsed="" customFormat="false" customHeight="1" hidden="" ht="14" outlineLevel="0" r="6900">
      <c r="A6900" s="3" t="inlineStr">
        <is>
          <t>6869</t>
        </is>
      </c>
      <c r="B6900" s="4" t="s">
        <f>=HYPERLINK("http://anyluxury.ru/shop/odezhda/detskaya-odezhda/tolstovka-toima-heavy-belaya-belosnezhnaya-692861/" , "6928.61 Толстовка Toima Heavy, белая (белоснежная), размер M")</f>
      </c>
      <c r="C6900" s="4" t="n">
        <v>1472.00</v>
      </c>
      <c r="D6900" s="4"/>
    </row>
    <row collapsed="" customFormat="false" customHeight="1" hidden="" ht="14" outlineLevel="0" r="6901">
      <c r="A6901" s="3" t="inlineStr">
        <is>
          <t>6870</t>
        </is>
      </c>
      <c r="B6901" s="4" t="s">
        <f>=HYPERLINK("http://anyluxury.ru/shop/odezhda/detskaya-odezhda/tolstovka-toima-heavy-belaya-belosnezhnaya-692861/" , "6928.61 Толстовка Toima Heavy, белая (белоснежная), размер L")</f>
      </c>
      <c r="C6901" s="4" t="n">
        <v>1472.00</v>
      </c>
      <c r="D6901" s="4"/>
    </row>
    <row collapsed="" customFormat="false" customHeight="1" hidden="" ht="14" outlineLevel="0" r="6902">
      <c r="A6902" s="3" t="inlineStr">
        <is>
          <t>6871</t>
        </is>
      </c>
      <c r="B6902" s="4" t="s">
        <f>=HYPERLINK("http://anyluxury.ru/shop/odezhda/detskaya-odezhda/tolstovka-toima-heavy-belaya-belosnezhnaya-692861/" , "6928.61 Толстовка Toima Heavy, белая (белоснежная), размер XL")</f>
      </c>
      <c r="C6902" s="4" t="n">
        <v>1472.00</v>
      </c>
      <c r="D6902" s="4"/>
    </row>
    <row collapsed="" customFormat="false" customHeight="1" hidden="" ht="14" outlineLevel="0" r="6903">
      <c r="A6903" s="3" t="inlineStr">
        <is>
          <t>6872</t>
        </is>
      </c>
      <c r="B6903" s="4" t="s">
        <f>=HYPERLINK("http://anyluxury.ru/shop/odezhda/detskaya-odezhda/tolstovka-toima-heavy-belaya-belosnezhnaya-692861/" , "6928.61 Толстовка Toima Heavy, белая (белоснежная), размер XXL")</f>
      </c>
      <c r="C6903" s="4" t="n">
        <v>1472.00</v>
      </c>
      <c r="D6903" s="4"/>
    </row>
    <row collapsed="" customFormat="false" customHeight="1" hidden="" ht="14" outlineLevel="0" r="6904">
      <c r="A6904" s="3" t="inlineStr">
        <is>
          <t>6873</t>
        </is>
      </c>
      <c r="B6904" s="4" t="s">
        <f>=HYPERLINK("http://anyluxury.ru/shop/odezhda/detskaya-odezhda/tolstovka-toima-heavy-belaya-belosnezhnaya-692861/" , "6928.61 Толстовка Toima Heavy, белая (белоснежная), размер 3XL")</f>
      </c>
      <c r="C6904" s="4" t="n">
        <v>1472.00</v>
      </c>
      <c r="D6904" s="4"/>
    </row>
    <row collapsed="" customFormat="false" customHeight="1" hidden="" ht="14" outlineLevel="0" r="6905">
      <c r="A6905" s="3" t="inlineStr">
        <is>
          <t>6874</t>
        </is>
      </c>
      <c r="B6905" s="4" t="s">
        <f>=HYPERLINK("http://anyluxury.ru/shop/odezhda/detskaya-odezhda/tolstovka-toima-heavy-belaya-belosnezhnaya-692861/" , "6928.61 Толстовка Toima Heavy, белая (белоснежная), размер 4XL")</f>
      </c>
      <c r="C6905" s="4" t="n">
        <v>1472.00</v>
      </c>
      <c r="D6905" s="4"/>
    </row>
    <row collapsed="" customFormat="false" customHeight="1" hidden="" ht="14" outlineLevel="0" r="6906">
      <c r="A6906" s="3" t="inlineStr">
        <is>
          <t>6875</t>
        </is>
      </c>
      <c r="B6906" s="4" t="s">
        <f>=HYPERLINK("http://anyluxury.ru/shop/odezhda/detskaya-odezhda/tolstovka-toima-heavy-belaya-belosnezhnaya-692861/" , "6928.61 Толстовка Toima Heavy, белая (белоснежная), размер 5XL")</f>
      </c>
      <c r="C6906" s="4" t="n">
        <v>1472.00</v>
      </c>
      <c r="D6906" s="4"/>
    </row>
    <row collapsed="" customFormat="false" customHeight="1" hidden="" ht="14" outlineLevel="0" r="6907">
      <c r="A6907" s="3" t="inlineStr">
        <is>
          <t>6876</t>
        </is>
      </c>
      <c r="B6907" s="4" t="s">
        <f>=HYPERLINK("http://anyluxury.ru/shop/odezhda/detskaya-odezhda/svitshot-detskiy-toima-20-kids-seriy-melanzh-1621011/" , "16210.11 Свитшот Toima 2.0 Kids, серый меланж, 6 лет")</f>
      </c>
      <c r="C6907" s="4" t="n">
        <v>852.00</v>
      </c>
      <c r="D6907" s="4"/>
    </row>
    <row collapsed="" customFormat="false" customHeight="1" hidden="" ht="14" outlineLevel="0" r="6908">
      <c r="A6908" s="3" t="inlineStr">
        <is>
          <t>6877</t>
        </is>
      </c>
      <c r="B6908" s="4" t="s">
        <f>=HYPERLINK("http://anyluxury.ru/shop/odezhda/detskaya-odezhda/svitshot-detskiy-toima-20-kids-seriy-melanzh-1621011/" , "16210.11 Свитшот Toima 2.0 Kids, серый меланж, 8 лет")</f>
      </c>
      <c r="C6908" s="4" t="n">
        <v>852.00</v>
      </c>
      <c r="D6908" s="4"/>
    </row>
    <row collapsed="" customFormat="false" customHeight="1" hidden="" ht="14" outlineLevel="0" r="6909">
      <c r="A6909" s="3" t="inlineStr">
        <is>
          <t>6878</t>
        </is>
      </c>
      <c r="B6909" s="4" t="s">
        <f>=HYPERLINK("http://anyluxury.ru/shop/odezhda/detskaya-odezhda/svitshot-detskiy-toima-20-kids-seriy-melanzh-1621011/" , "16210.11 Свитшот Toima 2.0 Kids, серый меланж, 10 лет")</f>
      </c>
      <c r="C6909" s="4" t="n">
        <v>852.00</v>
      </c>
      <c r="D6909" s="4"/>
    </row>
    <row collapsed="" customFormat="false" customHeight="1" hidden="" ht="14" outlineLevel="0" r="6910">
      <c r="A6910" s="3" t="inlineStr">
        <is>
          <t>6879</t>
        </is>
      </c>
      <c r="B6910" s="4" t="s">
        <f>=HYPERLINK("http://anyluxury.ru/shop/odezhda/detskaya-odezhda/svitshot-detskiy-toima-20-kids-seriy-melanzh-1621011/" , "16210.11 Свитшот Toima 2.0 Kids, серый меланж, 12 лет")</f>
      </c>
      <c r="C6910" s="4" t="n">
        <v>852.00</v>
      </c>
      <c r="D6910" s="4"/>
    </row>
    <row collapsed="" customFormat="false" customHeight="1" hidden="" ht="14" outlineLevel="0" r="6911">
      <c r="A6911" s="3" t="inlineStr">
        <is>
          <t>6880</t>
        </is>
      </c>
      <c r="B6911" s="4" t="s">
        <f>=HYPERLINK("http://anyluxury.ru/shop/odezhda/detskaya-odezhda/svitshot-detskiy-toima-20-kids-seriy-melanzh-1621011/" , "16210.11 Свитшот Toima 2.0 Kids, серый меланж, 14 лет")</f>
      </c>
      <c r="C6911" s="4" t="n">
        <v>852.00</v>
      </c>
      <c r="D6911" s="4"/>
    </row>
    <row collapsed="" customFormat="false" customHeight="1" hidden="" ht="14" outlineLevel="0" r="6912">
      <c r="A6912" s="3" t="inlineStr">
        <is>
          <t>6881</t>
        </is>
      </c>
      <c r="B6912" s="4" t="s">
        <f>=HYPERLINK("http://anyluxury.ru/shop/odezhda/detskaya-odezhda/svitshot-detskiy-toima-20-kids-cherniy-1621030/" , "16210.30 Свитшот Toima 2.0 Kids, черный, 6 лет")</f>
      </c>
      <c r="C6912" s="4" t="n">
        <v>852.00</v>
      </c>
      <c r="D6912" s="4"/>
    </row>
    <row collapsed="" customFormat="false" customHeight="1" hidden="" ht="14" outlineLevel="0" r="6913">
      <c r="A6913" s="3" t="inlineStr">
        <is>
          <t>6882</t>
        </is>
      </c>
      <c r="B6913" s="4" t="s">
        <f>=HYPERLINK("http://anyluxury.ru/shop/odezhda/detskaya-odezhda/svitshot-detskiy-toima-20-kids-cherniy-1621030/" , "16210.30 Свитшот Toima 2.0 Kids, черный, 8 лет")</f>
      </c>
      <c r="C6913" s="4" t="n">
        <v>852.00</v>
      </c>
      <c r="D6913" s="4"/>
    </row>
    <row collapsed="" customFormat="false" customHeight="1" hidden="" ht="14" outlineLevel="0" r="6914">
      <c r="A6914" s="3" t="inlineStr">
        <is>
          <t>6883</t>
        </is>
      </c>
      <c r="B6914" s="4" t="s">
        <f>=HYPERLINK("http://anyluxury.ru/shop/odezhda/detskaya-odezhda/svitshot-detskiy-toima-20-kids-cherniy-1621030/" , "16210.30 Свитшот Toima 2.0 Kids, черный, 10 лет")</f>
      </c>
      <c r="C6914" s="4" t="n">
        <v>852.00</v>
      </c>
      <c r="D6914" s="4"/>
    </row>
    <row collapsed="" customFormat="false" customHeight="1" hidden="" ht="14" outlineLevel="0" r="6915">
      <c r="A6915" s="3" t="inlineStr">
        <is>
          <t>6884</t>
        </is>
      </c>
      <c r="B6915" s="4" t="s">
        <f>=HYPERLINK("http://anyluxury.ru/shop/odezhda/detskaya-odezhda/svitshot-detskiy-toima-20-kids-cherniy-1621030/" , "16210.30 Свитшот Toima 2.0 Kids, черный, 12 лет")</f>
      </c>
      <c r="C6915" s="4" t="n">
        <v>852.00</v>
      </c>
      <c r="D6915" s="4"/>
    </row>
    <row collapsed="" customFormat="false" customHeight="1" hidden="" ht="14" outlineLevel="0" r="6916">
      <c r="A6916" s="3" t="inlineStr">
        <is>
          <t>6885</t>
        </is>
      </c>
      <c r="B6916" s="4" t="s">
        <f>=HYPERLINK("http://anyluxury.ru/shop/odezhda/detskaya-odezhda/svitshot-detskiy-toima-20-kids-cherniy-1621030/" , "16210.30 Свитшот Toima 2.0 Kids, черный, 14 лет")</f>
      </c>
      <c r="C6916" s="4" t="n">
        <v>852.00</v>
      </c>
      <c r="D6916" s="4"/>
    </row>
    <row collapsed="" customFormat="false" customHeight="1" hidden="" ht="14" outlineLevel="0" r="6917">
      <c r="A6917" s="3" t="inlineStr">
        <is>
          <t>6886</t>
        </is>
      </c>
      <c r="B6917" s="4" t="s">
        <f>=HYPERLINK("http://anyluxury.ru/shop/odezhda/detskaya-odezhda/svitshot-detskiy-toima-20-kids-temnosiniy-1621040/" , "16210.40 Свитшот Toima 2.0 Kids, темно-синий, 6 лет")</f>
      </c>
      <c r="C6917" s="4" t="n">
        <v>852.00</v>
      </c>
      <c r="D6917" s="4"/>
    </row>
    <row collapsed="" customFormat="false" customHeight="1" hidden="" ht="14" outlineLevel="0" r="6918">
      <c r="A6918" s="3" t="inlineStr">
        <is>
          <t>6887</t>
        </is>
      </c>
      <c r="B6918" s="4" t="s">
        <f>=HYPERLINK("http://anyluxury.ru/shop/odezhda/detskaya-odezhda/svitshot-detskiy-toima-20-kids-temnosiniy-1621040/" , "16210.40 Свитшот Toima 2.0 Kids, темно-синий, 8 лет")</f>
      </c>
      <c r="C6918" s="4" t="n">
        <v>852.00</v>
      </c>
      <c r="D6918" s="4"/>
    </row>
    <row collapsed="" customFormat="false" customHeight="1" hidden="" ht="14" outlineLevel="0" r="6919">
      <c r="A6919" s="3" t="inlineStr">
        <is>
          <t>6888</t>
        </is>
      </c>
      <c r="B6919" s="4" t="s">
        <f>=HYPERLINK("http://anyluxury.ru/shop/odezhda/detskaya-odezhda/svitshot-detskiy-toima-20-kids-temnosiniy-1621040/" , "16210.40 Свитшот Toima 2.0 Kids, темно-синий, 10 лет")</f>
      </c>
      <c r="C6919" s="4" t="n">
        <v>852.00</v>
      </c>
      <c r="D6919" s="4"/>
    </row>
    <row collapsed="" customFormat="false" customHeight="1" hidden="" ht="14" outlineLevel="0" r="6920">
      <c r="A6920" s="3" t="inlineStr">
        <is>
          <t>6889</t>
        </is>
      </c>
      <c r="B6920" s="4" t="s">
        <f>=HYPERLINK("http://anyluxury.ru/shop/odezhda/detskaya-odezhda/svitshot-detskiy-toima-20-kids-temnosiniy-1621040/" , "16210.40 Свитшот Toima 2.0 Kids, темно-синий, 12 лет")</f>
      </c>
      <c r="C6920" s="4" t="n">
        <v>852.00</v>
      </c>
      <c r="D6920" s="4"/>
    </row>
    <row collapsed="" customFormat="false" customHeight="1" hidden="" ht="14" outlineLevel="0" r="6921">
      <c r="A6921" s="3" t="inlineStr">
        <is>
          <t>6890</t>
        </is>
      </c>
      <c r="B6921" s="4" t="s">
        <f>=HYPERLINK("http://anyluxury.ru/shop/odezhda/detskaya-odezhda/svitshot-detskiy-toima-20-kids-temnosiniy-1621040/" , "16210.40 Свитшот Toima 2.0 Kids, темно-синий, 14 лет")</f>
      </c>
      <c r="C6921" s="4" t="n">
        <v>852.00</v>
      </c>
      <c r="D6921" s="4"/>
    </row>
    <row collapsed="" customFormat="false" customHeight="1" hidden="" ht="14" outlineLevel="0" r="6922">
      <c r="A6922" s="3" t="inlineStr">
        <is>
          <t>6891</t>
        </is>
      </c>
      <c r="B6922" s="4" t="s">
        <f>=HYPERLINK("http://anyluxury.ru/shop/odezhda/detskaya-odezhda/svitshot-detskiy-toima-20-kids-krasniy-1621050/" , "16210.50 Свитшот Toima 2.0 Kids, красный, 6 лет")</f>
      </c>
      <c r="C6922" s="4" t="n">
        <v>852.00</v>
      </c>
      <c r="D6922" s="4"/>
    </row>
    <row collapsed="" customFormat="false" customHeight="1" hidden="" ht="14" outlineLevel="0" r="6923">
      <c r="A6923" s="3" t="inlineStr">
        <is>
          <t>6892</t>
        </is>
      </c>
      <c r="B6923" s="4" t="s">
        <f>=HYPERLINK("http://anyluxury.ru/shop/odezhda/detskaya-odezhda/svitshot-detskiy-toima-20-kids-krasniy-1621050/" , "16210.50 Свитшот Toima 2.0 Kids, красный, 8 лет")</f>
      </c>
      <c r="C6923" s="4" t="n">
        <v>852.00</v>
      </c>
      <c r="D6923" s="4"/>
    </row>
    <row collapsed="" customFormat="false" customHeight="1" hidden="" ht="14" outlineLevel="0" r="6924">
      <c r="A6924" s="3" t="inlineStr">
        <is>
          <t>6893</t>
        </is>
      </c>
      <c r="B6924" s="4" t="s">
        <f>=HYPERLINK("http://anyluxury.ru/shop/odezhda/detskaya-odezhda/svitshot-detskiy-toima-20-kids-krasniy-1621050/" , "16210.50 Свитшот Toima 2.0 Kids, красный, 10 лет")</f>
      </c>
      <c r="C6924" s="4" t="n">
        <v>852.00</v>
      </c>
      <c r="D6924" s="4"/>
    </row>
    <row collapsed="" customFormat="false" customHeight="1" hidden="" ht="14" outlineLevel="0" r="6925">
      <c r="A6925" s="3" t="inlineStr">
        <is>
          <t>6894</t>
        </is>
      </c>
      <c r="B6925" s="4" t="s">
        <f>=HYPERLINK("http://anyluxury.ru/shop/odezhda/detskaya-odezhda/svitshot-detskiy-toima-20-kids-krasniy-1621050/" , "16210.50 Свитшот Toima 2.0 Kids, красный, 12 лет")</f>
      </c>
      <c r="C6925" s="4" t="n">
        <v>852.00</v>
      </c>
      <c r="D6925" s="4"/>
    </row>
    <row collapsed="" customFormat="false" customHeight="1" hidden="" ht="14" outlineLevel="0" r="6926">
      <c r="A6926" s="3" t="inlineStr">
        <is>
          <t>6895</t>
        </is>
      </c>
      <c r="B6926" s="4" t="s">
        <f>=HYPERLINK("http://anyluxury.ru/shop/odezhda/detskaya-odezhda/svitshot-detskiy-toima-20-kids-krasniy-1621050/" , "16210.50 Свитшот Toima 2.0 Kids, красный, 14 лет")</f>
      </c>
      <c r="C6926" s="4" t="n">
        <v>852.00</v>
      </c>
      <c r="D6926" s="4"/>
    </row>
    <row collapsed="" customFormat="false" customHeight="1" hidden="" ht="14" outlineLevel="0" r="6927">
      <c r="A6927" s="3" t="inlineStr">
        <is>
          <t>6896</t>
        </is>
      </c>
      <c r="B6927" s="4" t="s">
        <f>=HYPERLINK("http://anyluxury.ru/shop/odezhda/detskaya-odezhda/hudi-detskoe-kirenga-20-kids-temnoseroe-grafit-1621110/" , "16211.10 Худи детское Kirenga 2.0 Kids, темно-серое (графит), 6 лет")</f>
      </c>
      <c r="C6927" s="4" t="n">
        <v>1062.00</v>
      </c>
      <c r="D6927" s="4"/>
    </row>
    <row collapsed="" customFormat="false" customHeight="1" hidden="" ht="14" outlineLevel="0" r="6928">
      <c r="A6928" s="3" t="inlineStr">
        <is>
          <t>6897</t>
        </is>
      </c>
      <c r="B6928" s="4" t="s">
        <f>=HYPERLINK("http://anyluxury.ru/shop/odezhda/detskaya-odezhda/hudi-detskoe-kirenga-20-kids-temnoseroe-grafit-1621110/" , "16211.10 Худи детское Kirenga 2.0 Kids, темно-серое (графит), 8 лет")</f>
      </c>
      <c r="C6928" s="4" t="n">
        <v>1062.00</v>
      </c>
      <c r="D6928" s="4"/>
    </row>
    <row collapsed="" customFormat="false" customHeight="1" hidden="" ht="14" outlineLevel="0" r="6929">
      <c r="A6929" s="3" t="inlineStr">
        <is>
          <t>6898</t>
        </is>
      </c>
      <c r="B6929" s="4" t="s">
        <f>=HYPERLINK("http://anyluxury.ru/shop/odezhda/detskaya-odezhda/hudi-detskoe-kirenga-20-kids-temnoseroe-grafit-1621110/" , "16211.10 Худи детское Kirenga 2.0 Kids, темно-серое (графит), 10 лет")</f>
      </c>
      <c r="C6929" s="4" t="n">
        <v>1062.00</v>
      </c>
      <c r="D6929" s="4"/>
    </row>
    <row collapsed="" customFormat="false" customHeight="1" hidden="" ht="14" outlineLevel="0" r="6930">
      <c r="A6930" s="3" t="inlineStr">
        <is>
          <t>6899</t>
        </is>
      </c>
      <c r="B6930" s="4" t="s">
        <f>=HYPERLINK("http://anyluxury.ru/shop/odezhda/detskaya-odezhda/hudi-detskoe-kirenga-20-kids-temnoseroe-grafit-1621110/" , "16211.10 Худи детское Kirenga 2.0 Kids, темно-серое (графит), 12 лет")</f>
      </c>
      <c r="C6930" s="4" t="n">
        <v>1062.00</v>
      </c>
      <c r="D6930" s="4"/>
    </row>
    <row collapsed="" customFormat="false" customHeight="1" hidden="" ht="14" outlineLevel="0" r="6931">
      <c r="A6931" s="3" t="inlineStr">
        <is>
          <t>6900</t>
        </is>
      </c>
      <c r="B6931" s="4" t="s">
        <f>=HYPERLINK("http://anyluxury.ru/shop/odezhda/detskaya-odezhda/hudi-detskoe-kirenga-20-kids-temnoseroe-grafit-1621110/" , "16211.10 Худи детское Kirenga 2.0 Kids, темно-серое (графит), 14 лет")</f>
      </c>
      <c r="C6931" s="4" t="n">
        <v>1062.00</v>
      </c>
      <c r="D6931" s="4"/>
    </row>
    <row collapsed="" customFormat="false" customHeight="1" hidden="" ht="14" outlineLevel="0" r="6932">
      <c r="A6932" s="3" t="inlineStr">
        <is>
          <t>6901</t>
        </is>
      </c>
      <c r="B6932" s="4" t="s">
        <f>=HYPERLINK("http://anyluxury.ru/shop/odezhda/detskaya-odezhda/hudi-detskoe-kirenga-20-kids-seriy-melanzh-1621111/" , "16211.11 Худи детское Kirenga 2.0 Kids, серый меланж, 6 лет")</f>
      </c>
      <c r="C6932" s="4" t="n">
        <v>1062.00</v>
      </c>
      <c r="D6932" s="4"/>
    </row>
    <row collapsed="" customFormat="false" customHeight="1" hidden="" ht="14" outlineLevel="0" r="6933">
      <c r="A6933" s="3" t="inlineStr">
        <is>
          <t>6902</t>
        </is>
      </c>
      <c r="B6933" s="4" t="s">
        <f>=HYPERLINK("http://anyluxury.ru/shop/odezhda/detskaya-odezhda/hudi-detskoe-kirenga-20-kids-seriy-melanzh-1621111/" , "16211.11 Худи детское Kirenga 2.0 Kids, серый меланж, 8 лет")</f>
      </c>
      <c r="C6933" s="4" t="n">
        <v>1062.00</v>
      </c>
      <c r="D6933" s="4"/>
    </row>
    <row collapsed="" customFormat="false" customHeight="1" hidden="" ht="14" outlineLevel="0" r="6934">
      <c r="A6934" s="3" t="inlineStr">
        <is>
          <t>6903</t>
        </is>
      </c>
      <c r="B6934" s="4" t="s">
        <f>=HYPERLINK("http://anyluxury.ru/shop/odezhda/detskaya-odezhda/hudi-detskoe-kirenga-20-kids-seriy-melanzh-1621111/" , "16211.11 Худи детское Kirenga 2.0 Kids, серый меланж, 10 лет")</f>
      </c>
      <c r="C6934" s="4" t="n">
        <v>1062.00</v>
      </c>
      <c r="D6934" s="4"/>
    </row>
    <row collapsed="" customFormat="false" customHeight="1" hidden="" ht="14" outlineLevel="0" r="6935">
      <c r="A6935" s="3" t="inlineStr">
        <is>
          <t>6904</t>
        </is>
      </c>
      <c r="B6935" s="4" t="s">
        <f>=HYPERLINK("http://anyluxury.ru/shop/odezhda/detskaya-odezhda/hudi-detskoe-kirenga-20-kids-seriy-melanzh-1621111/" , "16211.11 Худи детское Kirenga 2.0 Kids, серый меланж, 12 лет")</f>
      </c>
      <c r="C6935" s="4" t="n">
        <v>1062.00</v>
      </c>
      <c r="D6935" s="4"/>
    </row>
    <row collapsed="" customFormat="false" customHeight="1" hidden="" ht="14" outlineLevel="0" r="6936">
      <c r="A6936" s="3" t="inlineStr">
        <is>
          <t>6905</t>
        </is>
      </c>
      <c r="B6936" s="4" t="s">
        <f>=HYPERLINK("http://anyluxury.ru/shop/odezhda/detskaya-odezhda/hudi-detskoe-kirenga-20-kids-seriy-melanzh-1621111/" , "16211.11 Худи детское Kirenga 2.0 Kids, серый меланж, 14 лет")</f>
      </c>
      <c r="C6936" s="4" t="n">
        <v>1062.00</v>
      </c>
      <c r="D6936" s="4"/>
    </row>
    <row collapsed="" customFormat="false" customHeight="1" hidden="" ht="14" outlineLevel="0" r="6937">
      <c r="A6937" s="3" t="inlineStr">
        <is>
          <t>6906</t>
        </is>
      </c>
      <c r="B6937" s="4" t="s">
        <f>=HYPERLINK("http://anyluxury.ru/shop/odezhda/detskaya-odezhda/hudi-detskoe-kirenga-20-kids-biryuzovoe-1621114/" , "16211.14 Худи детское Kirenga 2.0 Kids, бирюзовое, 6 лет")</f>
      </c>
      <c r="C6937" s="4" t="n">
        <v>1062.00</v>
      </c>
      <c r="D6937" s="4"/>
    </row>
    <row collapsed="" customFormat="false" customHeight="1" hidden="" ht="14" outlineLevel="0" r="6938">
      <c r="A6938" s="3" t="inlineStr">
        <is>
          <t>6907</t>
        </is>
      </c>
      <c r="B6938" s="4" t="s">
        <f>=HYPERLINK("http://anyluxury.ru/shop/odezhda/detskaya-odezhda/hudi-detskoe-kirenga-20-kids-biryuzovoe-1621114/" , "16211.14 Худи детское Kirenga 2.0 Kids, бирюзовое, 8 лет")</f>
      </c>
      <c r="C6938" s="4" t="n">
        <v>1062.00</v>
      </c>
      <c r="D6938" s="4"/>
    </row>
    <row collapsed="" customFormat="false" customHeight="1" hidden="" ht="14" outlineLevel="0" r="6939">
      <c r="A6939" s="3" t="inlineStr">
        <is>
          <t>6908</t>
        </is>
      </c>
      <c r="B6939" s="4" t="s">
        <f>=HYPERLINK("http://anyluxury.ru/shop/odezhda/detskaya-odezhda/hudi-detskoe-kirenga-20-kids-biryuzovoe-1621114/" , "16211.14 Худи детское Kirenga 2.0 Kids, бирюзовое, 10 лет")</f>
      </c>
      <c r="C6939" s="4" t="n">
        <v>1062.00</v>
      </c>
      <c r="D6939" s="4"/>
    </row>
    <row collapsed="" customFormat="false" customHeight="1" hidden="" ht="14" outlineLevel="0" r="6940">
      <c r="A6940" s="3" t="inlineStr">
        <is>
          <t>6909</t>
        </is>
      </c>
      <c r="B6940" s="4" t="s">
        <f>=HYPERLINK("http://anyluxury.ru/shop/odezhda/detskaya-odezhda/hudi-detskoe-kirenga-20-kids-biryuzovoe-1621114/" , "16211.14 Худи детское Kirenga 2.0 Kids, бирюзовое, 12 лет")</f>
      </c>
      <c r="C6940" s="4" t="n">
        <v>1062.00</v>
      </c>
      <c r="D6940" s="4"/>
    </row>
    <row collapsed="" customFormat="false" customHeight="1" hidden="" ht="14" outlineLevel="0" r="6941">
      <c r="A6941" s="3" t="inlineStr">
        <is>
          <t>6910</t>
        </is>
      </c>
      <c r="B6941" s="4" t="s">
        <f>=HYPERLINK("http://anyluxury.ru/shop/odezhda/detskaya-odezhda/hudi-detskoe-kirenga-20-kids-biryuzovoe-1621114/" , "16211.14 Худи детское Kirenga 2.0 Kids, бирюзовое, 14 лет")</f>
      </c>
      <c r="C6941" s="4" t="n">
        <v>1062.00</v>
      </c>
      <c r="D6941" s="4"/>
    </row>
    <row collapsed="" customFormat="false" customHeight="1" hidden="" ht="14" outlineLevel="0" r="6942">
      <c r="A6942" s="3" t="inlineStr">
        <is>
          <t>6911</t>
        </is>
      </c>
      <c r="B6942" s="4" t="s">
        <f>=HYPERLINK("http://anyluxury.ru/shop/odezhda/detskaya-odezhda/hudi-detskoe-kirenga-20-kids-chernoe-1621130/" , "16211.30 Худи детское Kirenga 2.0 Kids, черное, 6 лет")</f>
      </c>
      <c r="C6942" s="4" t="n">
        <v>1062.00</v>
      </c>
      <c r="D6942" s="4"/>
    </row>
    <row collapsed="" customFormat="false" customHeight="1" hidden="" ht="14" outlineLevel="0" r="6943">
      <c r="A6943" s="3" t="inlineStr">
        <is>
          <t>6912</t>
        </is>
      </c>
      <c r="B6943" s="4" t="s">
        <f>=HYPERLINK("http://anyluxury.ru/shop/odezhda/detskaya-odezhda/hudi-detskoe-kirenga-20-kids-chernoe-1621130/" , "16211.30 Худи детское Kirenga 2.0 Kids, черное, 8 лет")</f>
      </c>
      <c r="C6943" s="4" t="n">
        <v>1062.00</v>
      </c>
      <c r="D6943" s="4"/>
    </row>
    <row collapsed="" customFormat="false" customHeight="1" hidden="" ht="14" outlineLevel="0" r="6944">
      <c r="A6944" s="3" t="inlineStr">
        <is>
          <t>6913</t>
        </is>
      </c>
      <c r="B6944" s="4" t="s">
        <f>=HYPERLINK("http://anyluxury.ru/shop/odezhda/detskaya-odezhda/hudi-detskoe-kirenga-20-kids-chernoe-1621130/" , "16211.30 Худи детское Kirenga 2.0 Kids, черное, 10 лет")</f>
      </c>
      <c r="C6944" s="4" t="n">
        <v>1062.00</v>
      </c>
      <c r="D6944" s="4"/>
    </row>
    <row collapsed="" customFormat="false" customHeight="1" hidden="" ht="14" outlineLevel="0" r="6945">
      <c r="A6945" s="3" t="inlineStr">
        <is>
          <t>6914</t>
        </is>
      </c>
      <c r="B6945" s="4" t="s">
        <f>=HYPERLINK("http://anyluxury.ru/shop/odezhda/detskaya-odezhda/hudi-detskoe-kirenga-20-kids-chernoe-1621130/" , "16211.30 Худи детское Kirenga 2.0 Kids, черное, 12 лет")</f>
      </c>
      <c r="C6945" s="4" t="n">
        <v>1062.00</v>
      </c>
      <c r="D6945" s="4"/>
    </row>
    <row collapsed="" customFormat="false" customHeight="1" hidden="" ht="14" outlineLevel="0" r="6946">
      <c r="A6946" s="3" t="inlineStr">
        <is>
          <t>6915</t>
        </is>
      </c>
      <c r="B6946" s="4" t="s">
        <f>=HYPERLINK("http://anyluxury.ru/shop/odezhda/detskaya-odezhda/hudi-detskoe-kirenga-20-kids-chernoe-1621130/" , "16211.30 Худи детское Kirenga 2.0 Kids, черное, 14 лет")</f>
      </c>
      <c r="C6946" s="4" t="n">
        <v>1062.00</v>
      </c>
      <c r="D6946" s="4"/>
    </row>
    <row collapsed="" customFormat="false" customHeight="1" hidden="" ht="14" outlineLevel="0" r="6947">
      <c r="A6947" s="3" t="inlineStr">
        <is>
          <t>6916</t>
        </is>
      </c>
      <c r="B6947" s="4" t="s">
        <f>=HYPERLINK("http://anyluxury.ru/shop/odezhda/detskaya-odezhda/hudi-detskoe-kirenga-20-kids-temnosinee-1621140/" , "16211.40 Худи детское Kirenga 2.0 Kids, темно-синее, 6 лет")</f>
      </c>
      <c r="C6947" s="4" t="n">
        <v>1062.00</v>
      </c>
      <c r="D6947" s="4"/>
    </row>
    <row collapsed="" customFormat="false" customHeight="1" hidden="" ht="14" outlineLevel="0" r="6948">
      <c r="A6948" s="3" t="inlineStr">
        <is>
          <t>6917</t>
        </is>
      </c>
      <c r="B6948" s="4" t="s">
        <f>=HYPERLINK("http://anyluxury.ru/shop/odezhda/detskaya-odezhda/hudi-detskoe-kirenga-20-kids-temnosinee-1621140/" , "16211.40 Худи детское Kirenga 2.0 Kids, темно-синее, 8 лет")</f>
      </c>
      <c r="C6948" s="4" t="n">
        <v>1062.00</v>
      </c>
      <c r="D6948" s="4"/>
    </row>
    <row collapsed="" customFormat="false" customHeight="1" hidden="" ht="14" outlineLevel="0" r="6949">
      <c r="A6949" s="3" t="inlineStr">
        <is>
          <t>6918</t>
        </is>
      </c>
      <c r="B6949" s="4" t="s">
        <f>=HYPERLINK("http://anyluxury.ru/shop/odezhda/detskaya-odezhda/hudi-detskoe-kirenga-20-kids-temnosinee-1621140/" , "16211.40 Худи детское Kirenga 2.0 Kids, темно-синее, 10 лет")</f>
      </c>
      <c r="C6949" s="4" t="n">
        <v>1062.00</v>
      </c>
      <c r="D6949" s="4"/>
    </row>
    <row collapsed="" customFormat="false" customHeight="1" hidden="" ht="14" outlineLevel="0" r="6950">
      <c r="A6950" s="3" t="inlineStr">
        <is>
          <t>6919</t>
        </is>
      </c>
      <c r="B6950" s="4" t="s">
        <f>=HYPERLINK("http://anyluxury.ru/shop/odezhda/detskaya-odezhda/hudi-detskoe-kirenga-20-kids-temnosinee-1621140/" , "16211.40 Худи детское Kirenga 2.0 Kids, темно-синее, 12 лет")</f>
      </c>
      <c r="C6950" s="4" t="n">
        <v>1062.00</v>
      </c>
      <c r="D6950" s="4"/>
    </row>
    <row collapsed="" customFormat="false" customHeight="1" hidden="" ht="14" outlineLevel="0" r="6951">
      <c r="A6951" s="3" t="inlineStr">
        <is>
          <t>6920</t>
        </is>
      </c>
      <c r="B6951" s="4" t="s">
        <f>=HYPERLINK("http://anyluxury.ru/shop/odezhda/detskaya-odezhda/hudi-detskoe-kirenga-20-kids-temnosinee-1621140/" , "16211.40 Худи детское Kirenga 2.0 Kids, темно-синее, 14 лет")</f>
      </c>
      <c r="C6951" s="4" t="n">
        <v>1062.00</v>
      </c>
      <c r="D6951" s="4"/>
    </row>
    <row collapsed="" customFormat="false" customHeight="1" hidden="" ht="14" outlineLevel="0" r="6952">
      <c r="A6952" s="3" t="inlineStr">
        <is>
          <t>6921</t>
        </is>
      </c>
      <c r="B6952" s="4" t="s">
        <f>=HYPERLINK("http://anyluxury.ru/shop/odezhda/detskaya-odezhda/hudi-detskoe-kirenga-20-kids-yarkosinee-1621144/" , "16211.44 Худи детское Kirenga 2.0 Kids, ярко-синее, 6 лет")</f>
      </c>
      <c r="C6952" s="4" t="n">
        <v>1062.00</v>
      </c>
      <c r="D6952" s="4"/>
    </row>
    <row collapsed="" customFormat="false" customHeight="1" hidden="" ht="14" outlineLevel="0" r="6953">
      <c r="A6953" s="3" t="inlineStr">
        <is>
          <t>6922</t>
        </is>
      </c>
      <c r="B6953" s="4" t="s">
        <f>=HYPERLINK("http://anyluxury.ru/shop/odezhda/detskaya-odezhda/hudi-detskoe-kirenga-20-kids-yarkosinee-1621144/" , "16211.44 Худи детское Kirenga 2.0 Kids, ярко-синее, 8 лет")</f>
      </c>
      <c r="C6953" s="4" t="n">
        <v>1062.00</v>
      </c>
      <c r="D6953" s="4"/>
    </row>
    <row collapsed="" customFormat="false" customHeight="1" hidden="" ht="14" outlineLevel="0" r="6954">
      <c r="A6954" s="3" t="inlineStr">
        <is>
          <t>6923</t>
        </is>
      </c>
      <c r="B6954" s="4" t="s">
        <f>=HYPERLINK("http://anyluxury.ru/shop/odezhda/detskaya-odezhda/hudi-detskoe-kirenga-20-kids-yarkosinee-1621144/" , "16211.44 Худи детское Kirenga 2.0 Kids, ярко-синее, 10 лет")</f>
      </c>
      <c r="C6954" s="4" t="n">
        <v>1062.00</v>
      </c>
      <c r="D6954" s="4"/>
    </row>
    <row collapsed="" customFormat="false" customHeight="1" hidden="" ht="14" outlineLevel="0" r="6955">
      <c r="A6955" s="3" t="inlineStr">
        <is>
          <t>6924</t>
        </is>
      </c>
      <c r="B6955" s="4" t="s">
        <f>=HYPERLINK("http://anyluxury.ru/shop/odezhda/detskaya-odezhda/hudi-detskoe-kirenga-20-kids-yarkosinee-1621144/" , "16211.44 Худи детское Kirenga 2.0 Kids, ярко-синее, 12 лет")</f>
      </c>
      <c r="C6955" s="4" t="n">
        <v>1062.00</v>
      </c>
      <c r="D6955" s="4"/>
    </row>
    <row collapsed="" customFormat="false" customHeight="1" hidden="" ht="14" outlineLevel="0" r="6956">
      <c r="A6956" s="3" t="inlineStr">
        <is>
          <t>6925</t>
        </is>
      </c>
      <c r="B6956" s="4" t="s">
        <f>=HYPERLINK("http://anyluxury.ru/shop/odezhda/detskaya-odezhda/hudi-detskoe-kirenga-20-kids-yarkosinee-1621144/" , "16211.44 Худи детское Kirenga 2.0 Kids, ярко-синее, 14 лет")</f>
      </c>
      <c r="C6956" s="4" t="n">
        <v>1062.00</v>
      </c>
      <c r="D6956" s="4"/>
    </row>
    <row collapsed="" customFormat="false" customHeight="1" hidden="" ht="14" outlineLevel="0" r="6957">
      <c r="A6957" s="3" t="inlineStr">
        <is>
          <t>6926</t>
        </is>
      </c>
      <c r="B6957" s="4" t="s">
        <f>=HYPERLINK("http://anyluxury.ru/shop/odezhda/detskaya-odezhda/hudi-detskoe-kirenga-20-kids-krasnoe-1621150/" , "16211.50 Худи детское Kirenga 2.0 Kids, красное, 6 лет")</f>
      </c>
      <c r="C6957" s="4" t="n">
        <v>1062.00</v>
      </c>
      <c r="D6957" s="4"/>
    </row>
    <row collapsed="" customFormat="false" customHeight="1" hidden="" ht="14" outlineLevel="0" r="6958">
      <c r="A6958" s="3" t="inlineStr">
        <is>
          <t>6927</t>
        </is>
      </c>
      <c r="B6958" s="4" t="s">
        <f>=HYPERLINK("http://anyluxury.ru/shop/odezhda/detskaya-odezhda/hudi-detskoe-kirenga-20-kids-krasnoe-1621150/" , "16211.50 Худи детское Kirenga 2.0 Kids, красное, 8 лет")</f>
      </c>
      <c r="C6958" s="4" t="n">
        <v>1062.00</v>
      </c>
      <c r="D6958" s="4"/>
    </row>
    <row collapsed="" customFormat="false" customHeight="1" hidden="" ht="14" outlineLevel="0" r="6959">
      <c r="A6959" s="3" t="inlineStr">
        <is>
          <t>6928</t>
        </is>
      </c>
      <c r="B6959" s="4" t="s">
        <f>=HYPERLINK("http://anyluxury.ru/shop/odezhda/detskaya-odezhda/hudi-detskoe-kirenga-20-kids-krasnoe-1621150/" , "16211.50 Худи детское Kirenga 2.0 Kids, красное, 10 лет")</f>
      </c>
      <c r="C6959" s="4" t="n">
        <v>1062.00</v>
      </c>
      <c r="D6959" s="4"/>
    </row>
    <row collapsed="" customFormat="false" customHeight="1" hidden="" ht="14" outlineLevel="0" r="6960">
      <c r="A6960" s="3" t="inlineStr">
        <is>
          <t>6929</t>
        </is>
      </c>
      <c r="B6960" s="4" t="s">
        <f>=HYPERLINK("http://anyluxury.ru/shop/odezhda/detskaya-odezhda/hudi-detskoe-kirenga-20-kids-krasnoe-1621150/" , "16211.50 Худи детское Kirenga 2.0 Kids, красное, 12 лет")</f>
      </c>
      <c r="C6960" s="4" t="n">
        <v>1062.00</v>
      </c>
      <c r="D6960" s="4"/>
    </row>
    <row collapsed="" customFormat="false" customHeight="1" hidden="" ht="14" outlineLevel="0" r="6961">
      <c r="A6961" s="3" t="inlineStr">
        <is>
          <t>6930</t>
        </is>
      </c>
      <c r="B6961" s="4" t="s">
        <f>=HYPERLINK("http://anyluxury.ru/shop/odezhda/detskaya-odezhda/hudi-detskoe-kirenga-20-kids-krasnoe-1621150/" , "16211.50 Худи детское Kirenga 2.0 Kids, красное, 14 лет")</f>
      </c>
      <c r="C6961" s="4" t="n">
        <v>1062.00</v>
      </c>
      <c r="D6961" s="4"/>
    </row>
    <row collapsed="" customFormat="false" customHeight="1" hidden="" ht="14" outlineLevel="0" r="6962">
      <c r="A6962" s="3" t="inlineStr">
        <is>
          <t>6931</t>
        </is>
      </c>
      <c r="B6962" s="4" t="s">
        <f>=HYPERLINK("http://anyluxury.ru/shop/odezhda/detskaya-odezhda/hudi-detskoe-kirenga-20-kids-fioletovoe-1621178/" , "16211.78 Худи детское Kirenga 2.0 Kids, фиолетовое, 6 лет")</f>
      </c>
      <c r="C6962" s="4" t="n">
        <v>1062.00</v>
      </c>
      <c r="D6962" s="4"/>
    </row>
    <row collapsed="" customFormat="false" customHeight="1" hidden="" ht="14" outlineLevel="0" r="6963">
      <c r="A6963" s="3" t="inlineStr">
        <is>
          <t>6932</t>
        </is>
      </c>
      <c r="B6963" s="4" t="s">
        <f>=HYPERLINK("http://anyluxury.ru/shop/odezhda/detskaya-odezhda/hudi-detskoe-kirenga-20-kids-fioletovoe-1621178/" , "16211.78 Худи детское Kirenga 2.0 Kids, фиолетовое, 8 лет")</f>
      </c>
      <c r="C6963" s="4" t="n">
        <v>1062.00</v>
      </c>
      <c r="D6963" s="4"/>
    </row>
    <row collapsed="" customFormat="false" customHeight="1" hidden="" ht="14" outlineLevel="0" r="6964">
      <c r="A6964" s="3" t="inlineStr">
        <is>
          <t>6933</t>
        </is>
      </c>
      <c r="B6964" s="4" t="s">
        <f>=HYPERLINK("http://anyluxury.ru/shop/odezhda/detskaya-odezhda/hudi-detskoe-kirenga-20-kids-fioletovoe-1621178/" , "16211.78 Худи детское Kirenga 2.0 Kids, фиолетовое, 10 лет")</f>
      </c>
      <c r="C6964" s="4" t="n">
        <v>1062.00</v>
      </c>
      <c r="D6964" s="4"/>
    </row>
    <row collapsed="" customFormat="false" customHeight="1" hidden="" ht="14" outlineLevel="0" r="6965">
      <c r="A6965" s="3" t="inlineStr">
        <is>
          <t>6934</t>
        </is>
      </c>
      <c r="B6965" s="4" t="s">
        <f>=HYPERLINK("http://anyluxury.ru/shop/odezhda/detskaya-odezhda/hudi-detskoe-kirenga-20-kids-fioletovoe-1621178/" , "16211.78 Худи детское Kirenga 2.0 Kids, фиолетовое, 12 лет")</f>
      </c>
      <c r="C6965" s="4" t="n">
        <v>1062.00</v>
      </c>
      <c r="D6965" s="4"/>
    </row>
    <row collapsed="" customFormat="false" customHeight="1" hidden="" ht="14" outlineLevel="0" r="6966">
      <c r="A6966" s="3" t="inlineStr">
        <is>
          <t>6935</t>
        </is>
      </c>
      <c r="B6966" s="4" t="s">
        <f>=HYPERLINK("http://anyluxury.ru/shop/odezhda/detskaya-odezhda/hudi-detskoe-kirenga-20-kids-fioletovoe-1621178/" , "16211.78 Худи детское Kirenga 2.0 Kids, фиолетовое, 14 лет")</f>
      </c>
      <c r="C6966" s="4" t="n">
        <v>1062.00</v>
      </c>
      <c r="D6966" s="4"/>
    </row>
    <row collapsed="" customFormat="false" customHeight="1" hidden="" ht="14" outlineLevel="0" r="6967">
      <c r="A6967" s="3" t="inlineStr">
        <is>
          <t>6936</t>
        </is>
      </c>
      <c r="B6967" s="4" t="s">
        <f>=HYPERLINK("http://anyluxury.ru/shop/odezhda/detskaya-odezhda/hudi-detskoe-kirenga-20-kids-temnozelenoe-1621190/" , "16211.90 Худи детское Kirenga 2.0 Kids, темно-зеленое, 6 лет")</f>
      </c>
      <c r="C6967" s="4" t="n">
        <v>1062.00</v>
      </c>
      <c r="D6967" s="4"/>
    </row>
    <row collapsed="" customFormat="false" customHeight="1" hidden="" ht="14" outlineLevel="0" r="6968">
      <c r="A6968" s="3" t="inlineStr">
        <is>
          <t>6937</t>
        </is>
      </c>
      <c r="B6968" s="4" t="s">
        <f>=HYPERLINK("http://anyluxury.ru/shop/odezhda/detskaya-odezhda/hudi-detskoe-kirenga-20-kids-temnozelenoe-1621190/" , "16211.90 Худи детское Kirenga 2.0 Kids, темно-зеленое, 8 лет")</f>
      </c>
      <c r="C6968" s="4" t="n">
        <v>1062.00</v>
      </c>
      <c r="D6968" s="4"/>
    </row>
    <row collapsed="" customFormat="false" customHeight="1" hidden="" ht="14" outlineLevel="0" r="6969">
      <c r="A6969" s="3" t="inlineStr">
        <is>
          <t>6938</t>
        </is>
      </c>
      <c r="B6969" s="4" t="s">
        <f>=HYPERLINK("http://anyluxury.ru/shop/odezhda/detskaya-odezhda/hudi-detskoe-kirenga-20-kids-temnozelenoe-1621190/" , "16211.90 Худи детское Kirenga 2.0 Kids, темно-зеленое, 10 лет")</f>
      </c>
      <c r="C6969" s="4" t="n">
        <v>1062.00</v>
      </c>
      <c r="D6969" s="4"/>
    </row>
    <row collapsed="" customFormat="false" customHeight="1" hidden="" ht="14" outlineLevel="0" r="6970">
      <c r="A6970" s="3" t="inlineStr">
        <is>
          <t>6939</t>
        </is>
      </c>
      <c r="B6970" s="4" t="s">
        <f>=HYPERLINK("http://anyluxury.ru/shop/odezhda/detskaya-odezhda/hudi-detskoe-kirenga-20-kids-temnozelenoe-1621190/" , "16211.90 Худи детское Kirenga 2.0 Kids, темно-зеленое, 12 лет")</f>
      </c>
      <c r="C6970" s="4" t="n">
        <v>1062.00</v>
      </c>
      <c r="D6970" s="4"/>
    </row>
    <row collapsed="" customFormat="false" customHeight="1" hidden="" ht="14" outlineLevel="0" r="6971">
      <c r="A6971" s="3" t="inlineStr">
        <is>
          <t>6940</t>
        </is>
      </c>
      <c r="B6971" s="4" t="s">
        <f>=HYPERLINK("http://anyluxury.ru/shop/odezhda/detskaya-odezhda/hudi-detskoe-kirenga-20-kids-temnozelenoe-1621190/" , "16211.90 Худи детское Kirenga 2.0 Kids, темно-зеленое, 14 лет")</f>
      </c>
      <c r="C6971" s="4" t="n">
        <v>1062.00</v>
      </c>
      <c r="D6971" s="4"/>
    </row>
    <row collapsed="" customFormat="false" customHeight="1" hidden="" ht="14" outlineLevel="0" r="6972">
      <c r="A6972" s="3" t="inlineStr">
        <is>
          <t>6941</t>
        </is>
      </c>
      <c r="B6972" s="4" t="s">
        <f>=HYPERLINK("http://anyluxury.ru/shop/odezhda/detskaya-odezhda/hudi-detskoe-kirenga-20-kids-zelenoe-1621192/" , "16211.92 Худи детское Kirenga 2.0 Kids, зеленое, 6 лет")</f>
      </c>
      <c r="C6972" s="4" t="n">
        <v>1062.00</v>
      </c>
      <c r="D6972" s="4"/>
    </row>
    <row collapsed="" customFormat="false" customHeight="1" hidden="" ht="14" outlineLevel="0" r="6973">
      <c r="A6973" s="3" t="inlineStr">
        <is>
          <t>6942</t>
        </is>
      </c>
      <c r="B6973" s="4" t="s">
        <f>=HYPERLINK("http://anyluxury.ru/shop/odezhda/detskaya-odezhda/hudi-detskoe-kirenga-20-kids-zelenoe-1621192/" , "16211.92 Худи детское Kirenga 2.0 Kids, зеленое, 8 лет")</f>
      </c>
      <c r="C6973" s="4" t="n">
        <v>1062.00</v>
      </c>
      <c r="D6973" s="4"/>
    </row>
    <row collapsed="" customFormat="false" customHeight="1" hidden="" ht="14" outlineLevel="0" r="6974">
      <c r="A6974" s="3" t="inlineStr">
        <is>
          <t>6943</t>
        </is>
      </c>
      <c r="B6974" s="4" t="s">
        <f>=HYPERLINK("http://anyluxury.ru/shop/odezhda/detskaya-odezhda/hudi-detskoe-kirenga-20-kids-zelenoe-1621192/" , "16211.92 Худи детское Kirenga 2.0 Kids, зеленое, 10 лет")</f>
      </c>
      <c r="C6974" s="4" t="n">
        <v>1062.00</v>
      </c>
      <c r="D6974" s="4"/>
    </row>
    <row collapsed="" customFormat="false" customHeight="1" hidden="" ht="14" outlineLevel="0" r="6975">
      <c r="A6975" s="3" t="inlineStr">
        <is>
          <t>6944</t>
        </is>
      </c>
      <c r="B6975" s="4" t="s">
        <f>=HYPERLINK("http://anyluxury.ru/shop/odezhda/detskaya-odezhda/hudi-detskoe-kirenga-20-kids-zelenoe-1621192/" , "16211.92 Худи детское Kirenga 2.0 Kids, зеленое, 12 лет")</f>
      </c>
      <c r="C6975" s="4" t="n">
        <v>1062.00</v>
      </c>
      <c r="D6975" s="4"/>
    </row>
    <row collapsed="" customFormat="false" customHeight="1" hidden="" ht="14" outlineLevel="0" r="6976">
      <c r="A6976" s="3" t="inlineStr">
        <is>
          <t>6945</t>
        </is>
      </c>
      <c r="B6976" s="4" t="s">
        <f>=HYPERLINK("http://anyluxury.ru/shop/odezhda/detskaya-odezhda/hudi-detskoe-kirenga-20-kids-zelenoe-1621192/" , "16211.92 Худи детское Kirenga 2.0 Kids, зеленое, 14 лет")</f>
      </c>
      <c r="C6976" s="4" t="n">
        <v>1062.00</v>
      </c>
      <c r="D6976" s="4"/>
    </row>
    <row collapsed="" customFormat="false" customHeight="1" hidden="" ht="14" outlineLevel="0" r="6977">
      <c r="A6977" s="3" t="inlineStr">
        <is>
          <t>6946</t>
        </is>
      </c>
      <c r="B6977" s="4" t="s">
        <f>=HYPERLINK("http://anyluxury.ru/shop/odezhda/detskaya-odezhda/hudi-detskoe-kirenga-20-kids-zelenoe-yabloko-1621194/" , "16211.94 Худи детское Kirenga 2.0 Kids, зеленое яблоко, 6 лет")</f>
      </c>
      <c r="C6977" s="4" t="n">
        <v>1062.00</v>
      </c>
      <c r="D6977" s="4"/>
    </row>
    <row collapsed="" customFormat="false" customHeight="1" hidden="" ht="14" outlineLevel="0" r="6978">
      <c r="A6978" s="3" t="inlineStr">
        <is>
          <t>6947</t>
        </is>
      </c>
      <c r="B6978" s="4" t="s">
        <f>=HYPERLINK("http://anyluxury.ru/shop/odezhda/detskaya-odezhda/hudi-detskoe-kirenga-20-kids-zelenoe-yabloko-1621194/" , "16211.94 Худи детское Kirenga 2.0 Kids, зеленое яблоко, 8 лет")</f>
      </c>
      <c r="C6978" s="4" t="n">
        <v>1062.00</v>
      </c>
      <c r="D6978" s="4"/>
    </row>
    <row collapsed="" customFormat="false" customHeight="1" hidden="" ht="14" outlineLevel="0" r="6979">
      <c r="A6979" s="3" t="inlineStr">
        <is>
          <t>6948</t>
        </is>
      </c>
      <c r="B6979" s="4" t="s">
        <f>=HYPERLINK("http://anyluxury.ru/shop/odezhda/detskaya-odezhda/hudi-detskoe-kirenga-20-kids-zelenoe-yabloko-1621194/" , "16211.94 Худи детское Kirenga 2.0 Kids, зеленое яблоко, 10 лет")</f>
      </c>
      <c r="C6979" s="4" t="n">
        <v>1062.00</v>
      </c>
      <c r="D6979" s="4"/>
    </row>
    <row collapsed="" customFormat="false" customHeight="1" hidden="" ht="14" outlineLevel="0" r="6980">
      <c r="A6980" s="3" t="inlineStr">
        <is>
          <t>6949</t>
        </is>
      </c>
      <c r="B6980" s="4" t="s">
        <f>=HYPERLINK("http://anyluxury.ru/shop/odezhda/detskaya-odezhda/hudi-detskoe-kirenga-20-kids-zelenoe-yabloko-1621194/" , "16211.94 Худи детское Kirenga 2.0 Kids, зеленое яблоко, 12 лет")</f>
      </c>
      <c r="C6980" s="4" t="n">
        <v>1062.00</v>
      </c>
      <c r="D6980" s="4"/>
    </row>
    <row collapsed="" customFormat="false" customHeight="1" hidden="" ht="14" outlineLevel="0" r="6981">
      <c r="A6981" s="3" t="inlineStr">
        <is>
          <t>6950</t>
        </is>
      </c>
      <c r="B6981" s="4" t="s">
        <f>=HYPERLINK("http://anyluxury.ru/shop/odezhda/detskaya-odezhda/hudi-detskoe-kirenga-20-kids-zelenoe-yabloko-1621194/" , "16211.94 Худи детское Kirenga 2.0 Kids, зеленое яблоко, 14 лет")</f>
      </c>
      <c r="C6981" s="4" t="n">
        <v>1062.00</v>
      </c>
      <c r="D6981" s="4"/>
    </row>
    <row collapsed="" customFormat="false" customHeight="1" hidden="" ht="14" outlineLevel="0" r="6982">
      <c r="A6982" s="3" t="inlineStr">
        <is>
          <t>6951</t>
        </is>
      </c>
      <c r="B6982" s="4" t="s">
        <f>=HYPERLINK("http://anyluxury.ru/shop/odezhda/detskaya-odezhda/hudi-kirenga-20-temnoseroe-grafit-1621210/" , "16212.10 Худи Kirenga 2.0, темно-серое (графит), размер XS")</f>
      </c>
      <c r="C6982" s="4" t="n">
        <v>1696.00</v>
      </c>
      <c r="D6982" s="4"/>
    </row>
    <row collapsed="" customFormat="false" customHeight="1" hidden="" ht="14" outlineLevel="0" r="6983">
      <c r="A6983" s="3" t="inlineStr">
        <is>
          <t>6952</t>
        </is>
      </c>
      <c r="B6983" s="4" t="s">
        <f>=HYPERLINK("http://anyluxury.ru/shop/odezhda/detskaya-odezhda/hudi-kirenga-20-temnoseroe-grafit-1621210/" , "16212.10 Худи Kirenga 2.0, темно-серое (графит), размер S")</f>
      </c>
      <c r="C6983" s="4" t="n">
        <v>1696.00</v>
      </c>
      <c r="D6983" s="4"/>
    </row>
    <row collapsed="" customFormat="false" customHeight="1" hidden="" ht="14" outlineLevel="0" r="6984">
      <c r="A6984" s="3" t="inlineStr">
        <is>
          <t>6953</t>
        </is>
      </c>
      <c r="B6984" s="4" t="s">
        <f>=HYPERLINK("http://anyluxury.ru/shop/odezhda/detskaya-odezhda/hudi-kirenga-20-temnoseroe-grafit-1621210/" , "16212.10 Худи Kirenga 2.0, темно-серое (графит), размер M")</f>
      </c>
      <c r="C6984" s="4" t="n">
        <v>1696.00</v>
      </c>
      <c r="D6984" s="4"/>
    </row>
    <row collapsed="" customFormat="false" customHeight="1" hidden="" ht="14" outlineLevel="0" r="6985">
      <c r="A6985" s="3" t="inlineStr">
        <is>
          <t>6954</t>
        </is>
      </c>
      <c r="B6985" s="4" t="s">
        <f>=HYPERLINK("http://anyluxury.ru/shop/odezhda/detskaya-odezhda/hudi-kirenga-20-temnoseroe-grafit-1621210/" , "16212.10 Худи Kirenga 2.0, темно-серое (графит), размер L")</f>
      </c>
      <c r="C6985" s="4" t="n">
        <v>1696.00</v>
      </c>
      <c r="D6985" s="4"/>
    </row>
    <row collapsed="" customFormat="false" customHeight="1" hidden="" ht="14" outlineLevel="0" r="6986">
      <c r="A6986" s="3" t="inlineStr">
        <is>
          <t>6955</t>
        </is>
      </c>
      <c r="B6986" s="4" t="s">
        <f>=HYPERLINK("http://anyluxury.ru/shop/odezhda/detskaya-odezhda/hudi-kirenga-20-temnoseroe-grafit-1621210/" , "16212.10 Худи Kirenga 2.0, темно-серое (графит), размер XL")</f>
      </c>
      <c r="C6986" s="4" t="n">
        <v>1696.00</v>
      </c>
      <c r="D6986" s="4"/>
    </row>
    <row collapsed="" customFormat="false" customHeight="1" hidden="" ht="14" outlineLevel="0" r="6987">
      <c r="A6987" s="3" t="inlineStr">
        <is>
          <t>6956</t>
        </is>
      </c>
      <c r="B6987" s="4" t="s">
        <f>=HYPERLINK("http://anyluxury.ru/shop/odezhda/detskaya-odezhda/hudi-kirenga-20-temnoseroe-grafit-1621210/" , "16212.10 Худи Kirenga 2.0, темно-серое (графит), размер XXL")</f>
      </c>
      <c r="C6987" s="4" t="n">
        <v>1696.00</v>
      </c>
      <c r="D6987" s="4"/>
    </row>
    <row collapsed="" customFormat="false" customHeight="1" hidden="" ht="14" outlineLevel="0" r="6988">
      <c r="A6988" s="3" t="inlineStr">
        <is>
          <t>6957</t>
        </is>
      </c>
      <c r="B6988" s="4" t="s">
        <f>=HYPERLINK("http://anyluxury.ru/shop/odezhda/detskaya-odezhda/hudi-kirenga-20-temnoseroe-grafit-1621210/" , "16212.10 Худи Kirenga 2.0, темно-серое (графит), размер 3XL")</f>
      </c>
      <c r="C6988" s="4" t="n">
        <v>1696.00</v>
      </c>
      <c r="D6988" s="4"/>
    </row>
    <row collapsed="" customFormat="false" customHeight="1" hidden="" ht="14" outlineLevel="0" r="6989">
      <c r="A6989" s="3" t="inlineStr">
        <is>
          <t>6958</t>
        </is>
      </c>
      <c r="B6989" s="4" t="s">
        <f>=HYPERLINK("http://anyluxury.ru/shop/odezhda/detskaya-odezhda/hudi-kirenga-20-temnoseroe-grafit-1621210/" , "16212.10 Худи Kirenga 2.0, темно-серое (графит), размер 4XL")</f>
      </c>
      <c r="C6989" s="4" t="n">
        <v>1696.00</v>
      </c>
      <c r="D6989" s="4"/>
    </row>
    <row collapsed="" customFormat="false" customHeight="1" hidden="" ht="14" outlineLevel="0" r="6990">
      <c r="A6990" s="3" t="inlineStr">
        <is>
          <t>6959</t>
        </is>
      </c>
      <c r="B6990" s="4" t="s">
        <f>=HYPERLINK("http://anyluxury.ru/shop/odezhda/detskaya-odezhda/hudi-kirenga-20-seriy-melanzh-1621211/" , "16212.11 Худи Kirenga 2.0, серый меланж, размер XS")</f>
      </c>
      <c r="C6990" s="4" t="n">
        <v>1696.00</v>
      </c>
      <c r="D6990" s="4"/>
    </row>
    <row collapsed="" customFormat="false" customHeight="1" hidden="" ht="14" outlineLevel="0" r="6991">
      <c r="A6991" s="3" t="inlineStr">
        <is>
          <t>6960</t>
        </is>
      </c>
      <c r="B6991" s="4" t="s">
        <f>=HYPERLINK("http://anyluxury.ru/shop/odezhda/detskaya-odezhda/hudi-kirenga-20-seriy-melanzh-1621211/" , "16212.11 Худи Kirenga 2.0, серый меланж, размер S")</f>
      </c>
      <c r="C6991" s="4" t="n">
        <v>1696.00</v>
      </c>
      <c r="D6991" s="4"/>
    </row>
    <row collapsed="" customFormat="false" customHeight="1" hidden="" ht="14" outlineLevel="0" r="6992">
      <c r="A6992" s="3" t="inlineStr">
        <is>
          <t>6961</t>
        </is>
      </c>
      <c r="B6992" s="4" t="s">
        <f>=HYPERLINK("http://anyluxury.ru/shop/odezhda/detskaya-odezhda/hudi-kirenga-20-seriy-melanzh-1621211/" , "16212.11 Худи Kirenga 2.0, серый меланж, размер M")</f>
      </c>
      <c r="C6992" s="4" t="n">
        <v>1696.00</v>
      </c>
      <c r="D6992" s="4"/>
    </row>
    <row collapsed="" customFormat="false" customHeight="1" hidden="" ht="14" outlineLevel="0" r="6993">
      <c r="A6993" s="3" t="inlineStr">
        <is>
          <t>6962</t>
        </is>
      </c>
      <c r="B6993" s="4" t="s">
        <f>=HYPERLINK("http://anyluxury.ru/shop/odezhda/detskaya-odezhda/hudi-kirenga-20-seriy-melanzh-1621211/" , "16212.11 Худи Kirenga 2.0, серый меланж, размер L")</f>
      </c>
      <c r="C6993" s="4" t="n">
        <v>1696.00</v>
      </c>
      <c r="D6993" s="4"/>
    </row>
    <row collapsed="" customFormat="false" customHeight="1" hidden="" ht="14" outlineLevel="0" r="6994">
      <c r="A6994" s="3" t="inlineStr">
        <is>
          <t>6963</t>
        </is>
      </c>
      <c r="B6994" s="4" t="s">
        <f>=HYPERLINK("http://anyluxury.ru/shop/odezhda/detskaya-odezhda/hudi-kirenga-20-seriy-melanzh-1621211/" , "16212.11 Худи Kirenga 2.0, серый меланж, размер XL")</f>
      </c>
      <c r="C6994" s="4" t="n">
        <v>1696.00</v>
      </c>
      <c r="D6994" s="4"/>
    </row>
    <row collapsed="" customFormat="false" customHeight="1" hidden="" ht="14" outlineLevel="0" r="6995">
      <c r="A6995" s="3" t="inlineStr">
        <is>
          <t>6964</t>
        </is>
      </c>
      <c r="B6995" s="4" t="s">
        <f>=HYPERLINK("http://anyluxury.ru/shop/odezhda/detskaya-odezhda/hudi-kirenga-20-seriy-melanzh-1621211/" , "16212.11 Худи Kirenga 2.0, серый меланж, размер XXL")</f>
      </c>
      <c r="C6995" s="4" t="n">
        <v>1696.00</v>
      </c>
      <c r="D6995" s="4"/>
    </row>
    <row collapsed="" customFormat="false" customHeight="1" hidden="" ht="14" outlineLevel="0" r="6996">
      <c r="A6996" s="3" t="inlineStr">
        <is>
          <t>6965</t>
        </is>
      </c>
      <c r="B6996" s="4" t="s">
        <f>=HYPERLINK("http://anyluxury.ru/shop/odezhda/detskaya-odezhda/hudi-kirenga-20-seriy-melanzh-1621211/" , "16212.11 Худи Kirenga 2.0, серый меланж, размер 3XL")</f>
      </c>
      <c r="C6996" s="4" t="n">
        <v>1696.00</v>
      </c>
      <c r="D6996" s="4"/>
    </row>
    <row collapsed="" customFormat="false" customHeight="1" hidden="" ht="14" outlineLevel="0" r="6997">
      <c r="A6997" s="3" t="inlineStr">
        <is>
          <t>6966</t>
        </is>
      </c>
      <c r="B6997" s="4" t="s">
        <f>=HYPERLINK("http://anyluxury.ru/shop/odezhda/detskaya-odezhda/hudi-kirenga-20-seriy-melanzh-1621211/" , "16212.11 Худи Kirenga 2.0, серый меланж, размер 4XL")</f>
      </c>
      <c r="C6997" s="4" t="n">
        <v>1696.00</v>
      </c>
      <c r="D6997" s="4"/>
    </row>
    <row collapsed="" customFormat="false" customHeight="1" hidden="" ht="14" outlineLevel="0" r="6998">
      <c r="A6998" s="3" t="inlineStr">
        <is>
          <t>6967</t>
        </is>
      </c>
      <c r="B6998" s="4" t="s">
        <f>=HYPERLINK("http://anyluxury.ru/shop/odezhda/detskaya-odezhda/hudi-kirenga-20-seriy-melanzh-1621211/" , "16212.11 Худи Kirenga 2.0, серый меланж, размер 5XL")</f>
      </c>
      <c r="C6998" s="4" t="n">
        <v>1696.00</v>
      </c>
      <c r="D6998" s="4"/>
    </row>
    <row collapsed="" customFormat="false" customHeight="1" hidden="" ht="14" outlineLevel="0" r="6999">
      <c r="A6999" s="3" t="inlineStr">
        <is>
          <t>6968</t>
        </is>
      </c>
      <c r="B6999" s="4" t="s">
        <f>=HYPERLINK("http://anyluxury.ru/shop/odezhda/detskaya-odezhda/hudi-kirenga-20-biryuzovoe-1621214/" , "16212.14 Худи Kirenga 2.0, бирюзовое, размер XS")</f>
      </c>
      <c r="C6999" s="4" t="n">
        <v>1696.00</v>
      </c>
      <c r="D6999" s="4"/>
    </row>
    <row collapsed="" customFormat="false" customHeight="1" hidden="" ht="14" outlineLevel="0" r="7000">
      <c r="A7000" s="3" t="inlineStr">
        <is>
          <t>6969</t>
        </is>
      </c>
      <c r="B7000" s="4" t="s">
        <f>=HYPERLINK("http://anyluxury.ru/shop/odezhda/detskaya-odezhda/hudi-kirenga-20-biryuzovoe-1621214/" , "16212.14 Худи Kirenga 2.0, бирюзовое, размер S")</f>
      </c>
      <c r="C7000" s="4" t="n">
        <v>1696.00</v>
      </c>
      <c r="D7000" s="4"/>
    </row>
    <row collapsed="" customFormat="false" customHeight="1" hidden="" ht="14" outlineLevel="0" r="7001">
      <c r="A7001" s="3" t="inlineStr">
        <is>
          <t>6970</t>
        </is>
      </c>
      <c r="B7001" s="4" t="s">
        <f>=HYPERLINK("http://anyluxury.ru/shop/odezhda/detskaya-odezhda/hudi-kirenga-20-biryuzovoe-1621214/" , "16212.14 Худи Kirenga 2.0, бирюзовое, размер M")</f>
      </c>
      <c r="C7001" s="4" t="n">
        <v>1696.00</v>
      </c>
      <c r="D7001" s="4"/>
    </row>
    <row collapsed="" customFormat="false" customHeight="1" hidden="" ht="14" outlineLevel="0" r="7002">
      <c r="A7002" s="3" t="inlineStr">
        <is>
          <t>6971</t>
        </is>
      </c>
      <c r="B7002" s="4" t="s">
        <f>=HYPERLINK("http://anyluxury.ru/shop/odezhda/detskaya-odezhda/hudi-kirenga-20-biryuzovoe-1621214/" , "16212.14 Худи Kirenga 2.0, бирюзовое, размер L")</f>
      </c>
      <c r="C7002" s="4" t="n">
        <v>1696.00</v>
      </c>
      <c r="D7002" s="4"/>
    </row>
    <row collapsed="" customFormat="false" customHeight="1" hidden="" ht="14" outlineLevel="0" r="7003">
      <c r="A7003" s="3" t="inlineStr">
        <is>
          <t>6972</t>
        </is>
      </c>
      <c r="B7003" s="4" t="s">
        <f>=HYPERLINK("http://anyluxury.ru/shop/odezhda/detskaya-odezhda/hudi-kirenga-20-biryuzovoe-1621214/" , "16212.14 Худи Kirenga 2.0, бирюзовое, размер XL")</f>
      </c>
      <c r="C7003" s="4" t="n">
        <v>1696.00</v>
      </c>
      <c r="D7003" s="4"/>
    </row>
    <row collapsed="" customFormat="false" customHeight="1" hidden="" ht="14" outlineLevel="0" r="7004">
      <c r="A7004" s="3" t="inlineStr">
        <is>
          <t>6973</t>
        </is>
      </c>
      <c r="B7004" s="4" t="s">
        <f>=HYPERLINK("http://anyluxury.ru/shop/odezhda/detskaya-odezhda/hudi-kirenga-20-biryuzovoe-1621214/" , "16212.14 Худи Kirenga 2.0, бирюзовое, размер XXL")</f>
      </c>
      <c r="C7004" s="4" t="n">
        <v>1696.00</v>
      </c>
      <c r="D7004" s="4"/>
    </row>
    <row collapsed="" customFormat="false" customHeight="1" hidden="" ht="14" outlineLevel="0" r="7005">
      <c r="A7005" s="3" t="inlineStr">
        <is>
          <t>6974</t>
        </is>
      </c>
      <c r="B7005" s="4" t="s">
        <f>=HYPERLINK("http://anyluxury.ru/shop/odezhda/detskaya-odezhda/hudi-kirenga-20-biryuzovoe-1621214/" , "16212.14 Худи Kirenga 2.0, бирюзовое, размер 3XL")</f>
      </c>
      <c r="C7005" s="4" t="n">
        <v>1696.00</v>
      </c>
      <c r="D7005" s="4"/>
    </row>
    <row collapsed="" customFormat="false" customHeight="1" hidden="" ht="14" outlineLevel="0" r="7006">
      <c r="A7006" s="3" t="inlineStr">
        <is>
          <t>6975</t>
        </is>
      </c>
      <c r="B7006" s="4" t="s">
        <f>=HYPERLINK("http://anyluxury.ru/shop/odezhda/detskaya-odezhda/hudi-kirenga-20-biryuzovoe-1621214/" , "16212.14 Худи Kirenga 2.0, бирюзовое, размер 4XL")</f>
      </c>
      <c r="C7006" s="4" t="n">
        <v>1696.00</v>
      </c>
      <c r="D7006" s="4"/>
    </row>
    <row collapsed="" customFormat="false" customHeight="1" hidden="" ht="14" outlineLevel="0" r="7007">
      <c r="A7007" s="3" t="inlineStr">
        <is>
          <t>6976</t>
        </is>
      </c>
      <c r="B7007" s="4" t="s">
        <f>=HYPERLINK("http://anyluxury.ru/shop/odezhda/detskaya-odezhda/hudi-kirenga-20-oranzhevoe-1621220/" , "16212.20 Худи Kirenga 2.0, оранжевое, размер XS")</f>
      </c>
      <c r="C7007" s="4" t="n">
        <v>1696.00</v>
      </c>
      <c r="D7007" s="4"/>
    </row>
    <row collapsed="" customFormat="false" customHeight="1" hidden="" ht="14" outlineLevel="0" r="7008">
      <c r="A7008" s="3" t="inlineStr">
        <is>
          <t>6977</t>
        </is>
      </c>
      <c r="B7008" s="4" t="s">
        <f>=HYPERLINK("http://anyluxury.ru/shop/odezhda/detskaya-odezhda/hudi-kirenga-20-oranzhevoe-1621220/" , "16212.20 Худи Kirenga 2.0, оранжевое, размер S")</f>
      </c>
      <c r="C7008" s="4" t="n">
        <v>1696.00</v>
      </c>
      <c r="D7008" s="4"/>
    </row>
    <row collapsed="" customFormat="false" customHeight="1" hidden="" ht="14" outlineLevel="0" r="7009">
      <c r="A7009" s="3" t="inlineStr">
        <is>
          <t>6978</t>
        </is>
      </c>
      <c r="B7009" s="4" t="s">
        <f>=HYPERLINK("http://anyluxury.ru/shop/odezhda/detskaya-odezhda/hudi-kirenga-20-oranzhevoe-1621220/" , "16212.20 Худи Kirenga 2.0, оранжевое, размер M")</f>
      </c>
      <c r="C7009" s="4" t="n">
        <v>1696.00</v>
      </c>
      <c r="D7009" s="4"/>
    </row>
    <row collapsed="" customFormat="false" customHeight="1" hidden="" ht="14" outlineLevel="0" r="7010">
      <c r="A7010" s="3" t="inlineStr">
        <is>
          <t>6979</t>
        </is>
      </c>
      <c r="B7010" s="4" t="s">
        <f>=HYPERLINK("http://anyluxury.ru/shop/odezhda/detskaya-odezhda/hudi-kirenga-20-oranzhevoe-1621220/" , "16212.20 Худи Kirenga 2.0, оранжевое, размер L")</f>
      </c>
      <c r="C7010" s="4" t="n">
        <v>1696.00</v>
      </c>
      <c r="D7010" s="4"/>
    </row>
    <row collapsed="" customFormat="false" customHeight="1" hidden="" ht="14" outlineLevel="0" r="7011">
      <c r="A7011" s="3" t="inlineStr">
        <is>
          <t>6980</t>
        </is>
      </c>
      <c r="B7011" s="4" t="s">
        <f>=HYPERLINK("http://anyluxury.ru/shop/odezhda/detskaya-odezhda/hudi-kirenga-20-oranzhevoe-1621220/" , "16212.20 Худи Kirenga 2.0, оранжевое, размер XL")</f>
      </c>
      <c r="C7011" s="4" t="n">
        <v>1696.00</v>
      </c>
      <c r="D7011" s="4"/>
    </row>
    <row collapsed="" customFormat="false" customHeight="1" hidden="" ht="14" outlineLevel="0" r="7012">
      <c r="A7012" s="3" t="inlineStr">
        <is>
          <t>6981</t>
        </is>
      </c>
      <c r="B7012" s="4" t="s">
        <f>=HYPERLINK("http://anyluxury.ru/shop/odezhda/detskaya-odezhda/hudi-kirenga-20-oranzhevoe-1621220/" , "16212.20 Худи Kirenga 2.0, оранжевое, размер XXL")</f>
      </c>
      <c r="C7012" s="4" t="n">
        <v>1696.00</v>
      </c>
      <c r="D7012" s="4"/>
    </row>
    <row collapsed="" customFormat="false" customHeight="1" hidden="" ht="14" outlineLevel="0" r="7013">
      <c r="A7013" s="3" t="inlineStr">
        <is>
          <t>6982</t>
        </is>
      </c>
      <c r="B7013" s="4" t="s">
        <f>=HYPERLINK("http://anyluxury.ru/shop/odezhda/detskaya-odezhda/hudi-kirenga-20-oranzhevoe-1621220/" , "16212.20 Худи Kirenga 2.0, оранжевое, размер 4XL")</f>
      </c>
      <c r="C7013" s="4" t="n">
        <v>1696.00</v>
      </c>
      <c r="D7013" s="4"/>
    </row>
    <row collapsed="" customFormat="false" customHeight="1" hidden="" ht="14" outlineLevel="0" r="7014">
      <c r="A7014" s="3" t="inlineStr">
        <is>
          <t>6983</t>
        </is>
      </c>
      <c r="B7014" s="4" t="s">
        <f>=HYPERLINK("http://anyluxury.ru/shop/odezhda/detskaya-odezhda/hudi-kirenga-20-chernoe-1621230/" , "16212.30 Худи Kirenga 2.0, черное, размер XS")</f>
      </c>
      <c r="C7014" s="4" t="n">
        <v>1696.00</v>
      </c>
      <c r="D7014" s="4"/>
    </row>
    <row collapsed="" customFormat="false" customHeight="1" hidden="" ht="14" outlineLevel="0" r="7015">
      <c r="A7015" s="3" t="inlineStr">
        <is>
          <t>6984</t>
        </is>
      </c>
      <c r="B7015" s="4" t="s">
        <f>=HYPERLINK("http://anyluxury.ru/shop/odezhda/detskaya-odezhda/hudi-kirenga-20-chernoe-1621230/" , "16212.30 Худи Kirenga 2.0, черное, размер S")</f>
      </c>
      <c r="C7015" s="4" t="n">
        <v>1696.00</v>
      </c>
      <c r="D7015" s="4"/>
    </row>
    <row collapsed="" customFormat="false" customHeight="1" hidden="" ht="14" outlineLevel="0" r="7016">
      <c r="A7016" s="3" t="inlineStr">
        <is>
          <t>6985</t>
        </is>
      </c>
      <c r="B7016" s="4" t="s">
        <f>=HYPERLINK("http://anyluxury.ru/shop/odezhda/detskaya-odezhda/hudi-kirenga-20-chernoe-1621230/" , "16212.30 Худи Kirenga 2.0, черное, размер M")</f>
      </c>
      <c r="C7016" s="4" t="n">
        <v>1696.00</v>
      </c>
      <c r="D7016" s="4"/>
    </row>
    <row collapsed="" customFormat="false" customHeight="1" hidden="" ht="14" outlineLevel="0" r="7017">
      <c r="A7017" s="3" t="inlineStr">
        <is>
          <t>6986</t>
        </is>
      </c>
      <c r="B7017" s="4" t="s">
        <f>=HYPERLINK("http://anyluxury.ru/shop/odezhda/detskaya-odezhda/hudi-kirenga-20-chernoe-1621230/" , "16212.30 Худи Kirenga 2.0, черное, размер L")</f>
      </c>
      <c r="C7017" s="4" t="n">
        <v>1696.00</v>
      </c>
      <c r="D7017" s="4"/>
    </row>
    <row collapsed="" customFormat="false" customHeight="1" hidden="" ht="14" outlineLevel="0" r="7018">
      <c r="A7018" s="3" t="inlineStr">
        <is>
          <t>6987</t>
        </is>
      </c>
      <c r="B7018" s="4" t="s">
        <f>=HYPERLINK("http://anyluxury.ru/shop/odezhda/detskaya-odezhda/hudi-kirenga-20-chernoe-1621230/" , "16212.30 Худи Kirenga 2.0, черное, размер XL")</f>
      </c>
      <c r="C7018" s="4" t="n">
        <v>1696.00</v>
      </c>
      <c r="D7018" s="4"/>
    </row>
    <row collapsed="" customFormat="false" customHeight="1" hidden="" ht="14" outlineLevel="0" r="7019">
      <c r="A7019" s="3" t="inlineStr">
        <is>
          <t>6988</t>
        </is>
      </c>
      <c r="B7019" s="4" t="s">
        <f>=HYPERLINK("http://anyluxury.ru/shop/odezhda/detskaya-odezhda/hudi-kirenga-20-chernoe-1621230/" , "16212.30 Худи Kirenga 2.0, черное, размер XXL")</f>
      </c>
      <c r="C7019" s="4" t="n">
        <v>1696.00</v>
      </c>
      <c r="D7019" s="4"/>
    </row>
    <row collapsed="" customFormat="false" customHeight="1" hidden="" ht="14" outlineLevel="0" r="7020">
      <c r="A7020" s="3" t="inlineStr">
        <is>
          <t>6989</t>
        </is>
      </c>
      <c r="B7020" s="4" t="s">
        <f>=HYPERLINK("http://anyluxury.ru/shop/odezhda/detskaya-odezhda/hudi-kirenga-20-chernoe-1621230/" , "16212.30 Худи Kirenga 2.0, черное, размер 3XL")</f>
      </c>
      <c r="C7020" s="4" t="n">
        <v>1696.00</v>
      </c>
      <c r="D7020" s="4"/>
    </row>
    <row collapsed="" customFormat="false" customHeight="1" hidden="" ht="14" outlineLevel="0" r="7021">
      <c r="A7021" s="3" t="inlineStr">
        <is>
          <t>6990</t>
        </is>
      </c>
      <c r="B7021" s="4" t="s">
        <f>=HYPERLINK("http://anyluxury.ru/shop/odezhda/detskaya-odezhda/hudi-kirenga-20-chernoe-1621230/" , "16212.30 Худи Kirenga 2.0, черное, размер 4XL")</f>
      </c>
      <c r="C7021" s="4" t="n">
        <v>1696.00</v>
      </c>
      <c r="D7021" s="4"/>
    </row>
    <row collapsed="" customFormat="false" customHeight="1" hidden="" ht="14" outlineLevel="0" r="7022">
      <c r="A7022" s="3" t="inlineStr">
        <is>
          <t>6991</t>
        </is>
      </c>
      <c r="B7022" s="4" t="s">
        <f>=HYPERLINK("http://anyluxury.ru/shop/odezhda/detskaya-odezhda/hudi-kirenga-20-chernoe-1621230/" , "16212.30 Худи Kirenga 2.0, черное, размер 5XL")</f>
      </c>
      <c r="C7022" s="4" t="n">
        <v>1696.00</v>
      </c>
      <c r="D7022" s="4"/>
    </row>
    <row collapsed="" customFormat="false" customHeight="1" hidden="" ht="14" outlineLevel="0" r="7023">
      <c r="A7023" s="3" t="inlineStr">
        <is>
          <t>6992</t>
        </is>
      </c>
      <c r="B7023" s="4" t="s">
        <f>=HYPERLINK("http://anyluxury.ru/shop/odezhda/detskaya-odezhda/hudi-kirenga-20-temnosinee-1621240/" , "16212.40 Худи Kirenga 2.0, темно-синее, размер XS")</f>
      </c>
      <c r="C7023" s="4" t="n">
        <v>1696.00</v>
      </c>
      <c r="D7023" s="4"/>
    </row>
    <row collapsed="" customFormat="false" customHeight="1" hidden="" ht="14" outlineLevel="0" r="7024">
      <c r="A7024" s="3" t="inlineStr">
        <is>
          <t>6993</t>
        </is>
      </c>
      <c r="B7024" s="4" t="s">
        <f>=HYPERLINK("http://anyluxury.ru/shop/odezhda/detskaya-odezhda/hudi-kirenga-20-temnosinee-1621240/" , "16212.40 Худи Kirenga 2.0, темно-синее, размер S")</f>
      </c>
      <c r="C7024" s="4" t="n">
        <v>1696.00</v>
      </c>
      <c r="D7024" s="4"/>
    </row>
    <row collapsed="" customFormat="false" customHeight="1" hidden="" ht="14" outlineLevel="0" r="7025">
      <c r="A7025" s="3" t="inlineStr">
        <is>
          <t>6994</t>
        </is>
      </c>
      <c r="B7025" s="4" t="s">
        <f>=HYPERLINK("http://anyluxury.ru/shop/odezhda/detskaya-odezhda/hudi-kirenga-20-temnosinee-1621240/" , "16212.40 Худи Kirenga 2.0, темно-синее, размер M")</f>
      </c>
      <c r="C7025" s="4" t="n">
        <v>1696.00</v>
      </c>
      <c r="D7025" s="4"/>
    </row>
    <row collapsed="" customFormat="false" customHeight="1" hidden="" ht="14" outlineLevel="0" r="7026">
      <c r="A7026" s="3" t="inlineStr">
        <is>
          <t>6995</t>
        </is>
      </c>
      <c r="B7026" s="4" t="s">
        <f>=HYPERLINK("http://anyluxury.ru/shop/odezhda/detskaya-odezhda/hudi-kirenga-20-temnosinee-1621240/" , "16212.40 Худи Kirenga 2.0, темно-синее, размер L")</f>
      </c>
      <c r="C7026" s="4" t="n">
        <v>1696.00</v>
      </c>
      <c r="D7026" s="4"/>
    </row>
    <row collapsed="" customFormat="false" customHeight="1" hidden="" ht="14" outlineLevel="0" r="7027">
      <c r="A7027" s="3" t="inlineStr">
        <is>
          <t>6996</t>
        </is>
      </c>
      <c r="B7027" s="4" t="s">
        <f>=HYPERLINK("http://anyluxury.ru/shop/odezhda/detskaya-odezhda/hudi-kirenga-20-temnosinee-1621240/" , "16212.40 Худи Kirenga 2.0, темно-синее, размер XL")</f>
      </c>
      <c r="C7027" s="4" t="n">
        <v>1696.00</v>
      </c>
      <c r="D7027" s="4"/>
    </row>
    <row collapsed="" customFormat="false" customHeight="1" hidden="" ht="14" outlineLevel="0" r="7028">
      <c r="A7028" s="3" t="inlineStr">
        <is>
          <t>6997</t>
        </is>
      </c>
      <c r="B7028" s="4" t="s">
        <f>=HYPERLINK("http://anyluxury.ru/shop/odezhda/detskaya-odezhda/hudi-kirenga-20-temnosinee-1621240/" , "16212.40 Худи Kirenga 2.0, темно-синее, размер 3XL")</f>
      </c>
      <c r="C7028" s="4" t="n">
        <v>1696.00</v>
      </c>
      <c r="D7028" s="4"/>
    </row>
    <row collapsed="" customFormat="false" customHeight="1" hidden="" ht="14" outlineLevel="0" r="7029">
      <c r="A7029" s="3" t="inlineStr">
        <is>
          <t>6998</t>
        </is>
      </c>
      <c r="B7029" s="4" t="s">
        <f>=HYPERLINK("http://anyluxury.ru/shop/odezhda/detskaya-odezhda/hudi-kirenga-20-temnosinee-1621240/" , "16212.40 Худи Kirenga 2.0, темно-синее, размер 4XL")</f>
      </c>
      <c r="C7029" s="4" t="n">
        <v>1696.00</v>
      </c>
      <c r="D7029" s="4"/>
    </row>
    <row collapsed="" customFormat="false" customHeight="1" hidden="" ht="14" outlineLevel="0" r="7030">
      <c r="A7030" s="3" t="inlineStr">
        <is>
          <t>6999</t>
        </is>
      </c>
      <c r="B7030" s="4" t="s">
        <f>=HYPERLINK("http://anyluxury.ru/shop/odezhda/detskaya-odezhda/hudi-kirenga-20-yarkosinee-1621244/" , "16212.44 Худи Kirenga 2.0, ярко-синее, размер XS")</f>
      </c>
      <c r="C7030" s="4" t="n">
        <v>1696.00</v>
      </c>
      <c r="D7030" s="4"/>
    </row>
    <row collapsed="" customFormat="false" customHeight="1" hidden="" ht="14" outlineLevel="0" r="7031">
      <c r="A7031" s="3" t="inlineStr">
        <is>
          <t>7000</t>
        </is>
      </c>
      <c r="B7031" s="4" t="s">
        <f>=HYPERLINK("http://anyluxury.ru/shop/odezhda/detskaya-odezhda/hudi-kirenga-20-yarkosinee-1621244/" , "16212.44 Худи Kirenga 2.0, ярко-синее, размер S")</f>
      </c>
      <c r="C7031" s="4" t="n">
        <v>1696.00</v>
      </c>
      <c r="D7031" s="4"/>
    </row>
    <row collapsed="" customFormat="false" customHeight="1" hidden="" ht="14" outlineLevel="0" r="7032">
      <c r="A7032" s="3" t="inlineStr">
        <is>
          <t>7001</t>
        </is>
      </c>
      <c r="B7032" s="4" t="s">
        <f>=HYPERLINK("http://anyluxury.ru/shop/odezhda/detskaya-odezhda/hudi-kirenga-20-yarkosinee-1621244/" , "16212.44 Худи Kirenga 2.0, ярко-синее, размер M")</f>
      </c>
      <c r="C7032" s="4" t="n">
        <v>1696.00</v>
      </c>
      <c r="D7032" s="4"/>
    </row>
    <row collapsed="" customFormat="false" customHeight="1" hidden="" ht="14" outlineLevel="0" r="7033">
      <c r="A7033" s="3" t="inlineStr">
        <is>
          <t>7002</t>
        </is>
      </c>
      <c r="B7033" s="4" t="s">
        <f>=HYPERLINK("http://anyluxury.ru/shop/odezhda/detskaya-odezhda/hudi-kirenga-20-yarkosinee-1621244/" , "16212.44 Худи Kirenga 2.0, ярко-синее, размер L")</f>
      </c>
      <c r="C7033" s="4" t="n">
        <v>1696.00</v>
      </c>
      <c r="D7033" s="4"/>
    </row>
    <row collapsed="" customFormat="false" customHeight="1" hidden="" ht="14" outlineLevel="0" r="7034">
      <c r="A7034" s="3" t="inlineStr">
        <is>
          <t>7003</t>
        </is>
      </c>
      <c r="B7034" s="4" t="s">
        <f>=HYPERLINK("http://anyluxury.ru/shop/odezhda/detskaya-odezhda/hudi-kirenga-20-yarkosinee-1621244/" , "16212.44 Худи Kirenga 2.0, ярко-синее, размер XL")</f>
      </c>
      <c r="C7034" s="4" t="n">
        <v>1696.00</v>
      </c>
      <c r="D7034" s="4"/>
    </row>
    <row collapsed="" customFormat="false" customHeight="1" hidden="" ht="14" outlineLevel="0" r="7035">
      <c r="A7035" s="3" t="inlineStr">
        <is>
          <t>7004</t>
        </is>
      </c>
      <c r="B7035" s="4" t="s">
        <f>=HYPERLINK("http://anyluxury.ru/shop/odezhda/detskaya-odezhda/hudi-kirenga-20-yarkosinee-1621244/" , "16212.44 Худи Kirenga 2.0, ярко-синее, размер XXL")</f>
      </c>
      <c r="C7035" s="4" t="n">
        <v>1696.00</v>
      </c>
      <c r="D7035" s="4"/>
    </row>
    <row collapsed="" customFormat="false" customHeight="1" hidden="" ht="14" outlineLevel="0" r="7036">
      <c r="A7036" s="3" t="inlineStr">
        <is>
          <t>7005</t>
        </is>
      </c>
      <c r="B7036" s="4" t="s">
        <f>=HYPERLINK("http://anyluxury.ru/shop/odezhda/detskaya-odezhda/hudi-kirenga-20-yarkosinee-1621244/" , "16212.44 Худи Kirenga 2.0, ярко-синее, размер 3XL")</f>
      </c>
      <c r="C7036" s="4" t="n">
        <v>1696.00</v>
      </c>
      <c r="D7036" s="4"/>
    </row>
    <row collapsed="" customFormat="false" customHeight="1" hidden="" ht="14" outlineLevel="0" r="7037">
      <c r="A7037" s="3" t="inlineStr">
        <is>
          <t>7006</t>
        </is>
      </c>
      <c r="B7037" s="4" t="s">
        <f>=HYPERLINK("http://anyluxury.ru/shop/odezhda/detskaya-odezhda/hudi-kirenga-20-yarkosinee-1621244/" , "16212.44 Худи Kirenga 2.0, ярко-синее, размер 4XL")</f>
      </c>
      <c r="C7037" s="4" t="n">
        <v>1696.00</v>
      </c>
      <c r="D7037" s="4"/>
    </row>
    <row collapsed="" customFormat="false" customHeight="1" hidden="" ht="14" outlineLevel="0" r="7038">
      <c r="A7038" s="3" t="inlineStr">
        <is>
          <t>7007</t>
        </is>
      </c>
      <c r="B7038" s="4" t="s">
        <f>=HYPERLINK("http://anyluxury.ru/shop/odezhda/detskaya-odezhda/hudi-kirenga-20-yarkosinee-1621244/" , "16212.44 Худи Kirenga 2.0, ярко-синее, размер 5XL")</f>
      </c>
      <c r="C7038" s="4" t="n">
        <v>1696.00</v>
      </c>
      <c r="D7038" s="4"/>
    </row>
    <row collapsed="" customFormat="false" customHeight="1" hidden="" ht="14" outlineLevel="0" r="7039">
      <c r="A7039" s="3" t="inlineStr">
        <is>
          <t>7008</t>
        </is>
      </c>
      <c r="B7039" s="4" t="s">
        <f>=HYPERLINK("http://anyluxury.ru/shop/odezhda/detskaya-odezhda/hudi-kirenga-20-krasnoe-1621250/" , "16212.50 Худи Kirenga 2.0, красное, размер XS")</f>
      </c>
      <c r="C7039" s="4" t="n">
        <v>1696.00</v>
      </c>
      <c r="D7039" s="4"/>
    </row>
    <row collapsed="" customFormat="false" customHeight="1" hidden="" ht="14" outlineLevel="0" r="7040">
      <c r="A7040" s="3" t="inlineStr">
        <is>
          <t>7009</t>
        </is>
      </c>
      <c r="B7040" s="4" t="s">
        <f>=HYPERLINK("http://anyluxury.ru/shop/odezhda/detskaya-odezhda/hudi-kirenga-20-krasnoe-1621250/" , "16212.50 Худи Kirenga 2.0, красное, размер S")</f>
      </c>
      <c r="C7040" s="4" t="n">
        <v>1696.00</v>
      </c>
      <c r="D7040" s="4"/>
    </row>
    <row collapsed="" customFormat="false" customHeight="1" hidden="" ht="14" outlineLevel="0" r="7041">
      <c r="A7041" s="3" t="inlineStr">
        <is>
          <t>7010</t>
        </is>
      </c>
      <c r="B7041" s="4" t="s">
        <f>=HYPERLINK("http://anyluxury.ru/shop/odezhda/detskaya-odezhda/hudi-kirenga-20-krasnoe-1621250/" , "16212.50 Худи Kirenga 2.0, красное, размер M")</f>
      </c>
      <c r="C7041" s="4" t="n">
        <v>1696.00</v>
      </c>
      <c r="D7041" s="4"/>
    </row>
    <row collapsed="" customFormat="false" customHeight="1" hidden="" ht="14" outlineLevel="0" r="7042">
      <c r="A7042" s="3" t="inlineStr">
        <is>
          <t>7011</t>
        </is>
      </c>
      <c r="B7042" s="4" t="s">
        <f>=HYPERLINK("http://anyluxury.ru/shop/odezhda/detskaya-odezhda/hudi-kirenga-20-krasnoe-1621250/" , "16212.50 Худи Kirenga 2.0, красное, размер L")</f>
      </c>
      <c r="C7042" s="4" t="n">
        <v>1696.00</v>
      </c>
      <c r="D7042" s="4"/>
    </row>
    <row collapsed="" customFormat="false" customHeight="1" hidden="" ht="14" outlineLevel="0" r="7043">
      <c r="A7043" s="3" t="inlineStr">
        <is>
          <t>7012</t>
        </is>
      </c>
      <c r="B7043" s="4" t="s">
        <f>=HYPERLINK("http://anyluxury.ru/shop/odezhda/detskaya-odezhda/hudi-kirenga-20-krasnoe-1621250/" , "16212.50 Худи Kirenga 2.0, красное, размер XL")</f>
      </c>
      <c r="C7043" s="4" t="n">
        <v>1696.00</v>
      </c>
      <c r="D7043" s="4"/>
    </row>
    <row collapsed="" customFormat="false" customHeight="1" hidden="" ht="14" outlineLevel="0" r="7044">
      <c r="A7044" s="3" t="inlineStr">
        <is>
          <t>7013</t>
        </is>
      </c>
      <c r="B7044" s="4" t="s">
        <f>=HYPERLINK("http://anyluxury.ru/shop/odezhda/detskaya-odezhda/hudi-kirenga-20-krasnoe-1621250/" , "16212.50 Худи Kirenga 2.0, красное, размер XXL")</f>
      </c>
      <c r="C7044" s="4" t="n">
        <v>1696.00</v>
      </c>
      <c r="D7044" s="4"/>
    </row>
    <row collapsed="" customFormat="false" customHeight="1" hidden="" ht="14" outlineLevel="0" r="7045">
      <c r="A7045" s="3" t="inlineStr">
        <is>
          <t>7014</t>
        </is>
      </c>
      <c r="B7045" s="4" t="s">
        <f>=HYPERLINK("http://anyluxury.ru/shop/odezhda/detskaya-odezhda/hudi-kirenga-20-krasnoe-1621250/" , "16212.50 Худи Kirenga 2.0, красное, размер 3XL")</f>
      </c>
      <c r="C7045" s="4" t="n">
        <v>1696.00</v>
      </c>
      <c r="D7045" s="4"/>
    </row>
    <row collapsed="" customFormat="false" customHeight="1" hidden="" ht="14" outlineLevel="0" r="7046">
      <c r="A7046" s="3" t="inlineStr">
        <is>
          <t>7015</t>
        </is>
      </c>
      <c r="B7046" s="4" t="s">
        <f>=HYPERLINK("http://anyluxury.ru/shop/odezhda/detskaya-odezhda/hudi-kirenga-20-krasnoe-1621250/" , "16212.50 Худи Kirenga 2.0, красное, размер 4XL")</f>
      </c>
      <c r="C7046" s="4" t="n">
        <v>1696.00</v>
      </c>
      <c r="D7046" s="4"/>
    </row>
    <row collapsed="" customFormat="false" customHeight="1" hidden="" ht="14" outlineLevel="0" r="7047">
      <c r="A7047" s="3" t="inlineStr">
        <is>
          <t>7016</t>
        </is>
      </c>
      <c r="B7047" s="4" t="s">
        <f>=HYPERLINK("http://anyluxury.ru/shop/odezhda/detskaya-odezhda/hudi-kirenga-20-beloe-1621260/" , "16212.60 Худи Kirenga 2.0, белое, размер XS")</f>
      </c>
      <c r="C7047" s="4" t="n">
        <v>1696.00</v>
      </c>
      <c r="D7047" s="4"/>
    </row>
    <row collapsed="" customFormat="false" customHeight="1" hidden="" ht="14" outlineLevel="0" r="7048">
      <c r="A7048" s="3" t="inlineStr">
        <is>
          <t>7017</t>
        </is>
      </c>
      <c r="B7048" s="4" t="s">
        <f>=HYPERLINK("http://anyluxury.ru/shop/odezhda/detskaya-odezhda/hudi-kirenga-20-beloe-1621260/" , "16212.60 Худи Kirenga 2.0, белое, размер S")</f>
      </c>
      <c r="C7048" s="4" t="n">
        <v>1696.00</v>
      </c>
      <c r="D7048" s="4"/>
    </row>
    <row collapsed="" customFormat="false" customHeight="1" hidden="" ht="14" outlineLevel="0" r="7049">
      <c r="A7049" s="3" t="inlineStr">
        <is>
          <t>7018</t>
        </is>
      </c>
      <c r="B7049" s="4" t="s">
        <f>=HYPERLINK("http://anyluxury.ru/shop/odezhda/detskaya-odezhda/hudi-kirenga-20-beloe-1621260/" , "16212.60 Худи Kirenga 2.0, белое, размер M")</f>
      </c>
      <c r="C7049" s="4" t="n">
        <v>1696.00</v>
      </c>
      <c r="D7049" s="4"/>
    </row>
    <row collapsed="" customFormat="false" customHeight="1" hidden="" ht="14" outlineLevel="0" r="7050">
      <c r="A7050" s="3" t="inlineStr">
        <is>
          <t>7019</t>
        </is>
      </c>
      <c r="B7050" s="4" t="s">
        <f>=HYPERLINK("http://anyluxury.ru/shop/odezhda/detskaya-odezhda/hudi-kirenga-20-beloe-1621260/" , "16212.60 Худи Kirenga 2.0, белое, размер L")</f>
      </c>
      <c r="C7050" s="4" t="n">
        <v>1696.00</v>
      </c>
      <c r="D7050" s="4"/>
    </row>
    <row collapsed="" customFormat="false" customHeight="1" hidden="" ht="14" outlineLevel="0" r="7051">
      <c r="A7051" s="3" t="inlineStr">
        <is>
          <t>7020</t>
        </is>
      </c>
      <c r="B7051" s="4" t="s">
        <f>=HYPERLINK("http://anyluxury.ru/shop/odezhda/detskaya-odezhda/hudi-kirenga-20-beloe-1621260/" , "16212.60 Худи Kirenga 2.0, белое, размер XL")</f>
      </c>
      <c r="C7051" s="4" t="n">
        <v>1696.00</v>
      </c>
      <c r="D7051" s="4"/>
    </row>
    <row collapsed="" customFormat="false" customHeight="1" hidden="" ht="14" outlineLevel="0" r="7052">
      <c r="A7052" s="3" t="inlineStr">
        <is>
          <t>7021</t>
        </is>
      </c>
      <c r="B7052" s="4" t="s">
        <f>=HYPERLINK("http://anyluxury.ru/shop/odezhda/detskaya-odezhda/hudi-kirenga-20-beloe-1621260/" , "16212.60 Худи Kirenga 2.0, белое, размер XXL")</f>
      </c>
      <c r="C7052" s="4" t="n">
        <v>1696.00</v>
      </c>
      <c r="D7052" s="4"/>
    </row>
    <row collapsed="" customFormat="false" customHeight="1" hidden="" ht="14" outlineLevel="0" r="7053">
      <c r="A7053" s="3" t="inlineStr">
        <is>
          <t>7022</t>
        </is>
      </c>
      <c r="B7053" s="4" t="s">
        <f>=HYPERLINK("http://anyluxury.ru/shop/odezhda/detskaya-odezhda/hudi-kirenga-20-beloe-1621260/" , "16212.60 Худи Kirenga 2.0, белое, размер 3XL")</f>
      </c>
      <c r="C7053" s="4" t="n">
        <v>1696.00</v>
      </c>
      <c r="D7053" s="4"/>
    </row>
    <row collapsed="" customFormat="false" customHeight="1" hidden="" ht="14" outlineLevel="0" r="7054">
      <c r="A7054" s="3" t="inlineStr">
        <is>
          <t>7023</t>
        </is>
      </c>
      <c r="B7054" s="4" t="s">
        <f>=HYPERLINK("http://anyluxury.ru/shop/odezhda/detskaya-odezhda/hudi-kirenga-20-beloe-1621260/" , "16212.60 Худи Kirenga 2.0, белое, размер 4XL")</f>
      </c>
      <c r="C7054" s="4" t="n">
        <v>1696.00</v>
      </c>
      <c r="D7054" s="4"/>
    </row>
    <row collapsed="" customFormat="false" customHeight="1" hidden="" ht="14" outlineLevel="0" r="7055">
      <c r="A7055" s="3" t="inlineStr">
        <is>
          <t>7024</t>
        </is>
      </c>
      <c r="B7055" s="4" t="s">
        <f>=HYPERLINK("http://anyluxury.ru/shop/odezhda/detskaya-odezhda/hudi-kirenga-20-beloe-1621260/" , "16212.60 Худи Kirenga 2.0, белое, размер 5XL")</f>
      </c>
      <c r="C7055" s="4" t="n">
        <v>1696.00</v>
      </c>
      <c r="D7055" s="4"/>
    </row>
    <row collapsed="" customFormat="false" customHeight="1" hidden="" ht="14" outlineLevel="0" r="7056">
      <c r="A7056" s="3" t="inlineStr">
        <is>
          <t>7025</t>
        </is>
      </c>
      <c r="B7056" s="4" t="s">
        <f>=HYPERLINK("http://anyluxury.ru/shop/odezhda/detskaya-odezhda/hudi-kirenga-20-molochnobeloe-1621262/" , "16212.62 Худи Kirenga 2.0, молочно-белое, размер XS")</f>
      </c>
      <c r="C7056" s="4" t="n">
        <v>1696.00</v>
      </c>
      <c r="D7056" s="4"/>
    </row>
    <row collapsed="" customFormat="false" customHeight="1" hidden="" ht="14" outlineLevel="0" r="7057">
      <c r="A7057" s="3" t="inlineStr">
        <is>
          <t>7026</t>
        </is>
      </c>
      <c r="B7057" s="4" t="s">
        <f>=HYPERLINK("http://anyluxury.ru/shop/odezhda/detskaya-odezhda/hudi-kirenga-20-molochnobeloe-1621262/" , "16212.62 Худи Kirenga 2.0, молочно-белое, размер S")</f>
      </c>
      <c r="C7057" s="4" t="n">
        <v>1696.00</v>
      </c>
      <c r="D7057" s="4"/>
    </row>
    <row collapsed="" customFormat="false" customHeight="1" hidden="" ht="14" outlineLevel="0" r="7058">
      <c r="A7058" s="3" t="inlineStr">
        <is>
          <t>7027</t>
        </is>
      </c>
      <c r="B7058" s="4" t="s">
        <f>=HYPERLINK("http://anyluxury.ru/shop/odezhda/detskaya-odezhda/hudi-kirenga-20-molochnobeloe-1621262/" , "16212.62 Худи Kirenga 2.0, молочно-белое, размер M")</f>
      </c>
      <c r="C7058" s="4" t="n">
        <v>1696.00</v>
      </c>
      <c r="D7058" s="4"/>
    </row>
    <row collapsed="" customFormat="false" customHeight="1" hidden="" ht="14" outlineLevel="0" r="7059">
      <c r="A7059" s="3" t="inlineStr">
        <is>
          <t>7028</t>
        </is>
      </c>
      <c r="B7059" s="4" t="s">
        <f>=HYPERLINK("http://anyluxury.ru/shop/odezhda/detskaya-odezhda/hudi-kirenga-20-molochnobeloe-1621262/" , "16212.62 Худи Kirenga 2.0, молочно-белое, размер L")</f>
      </c>
      <c r="C7059" s="4" t="n">
        <v>1696.00</v>
      </c>
      <c r="D7059" s="4"/>
    </row>
    <row collapsed="" customFormat="false" customHeight="1" hidden="" ht="14" outlineLevel="0" r="7060">
      <c r="A7060" s="3" t="inlineStr">
        <is>
          <t>7029</t>
        </is>
      </c>
      <c r="B7060" s="4" t="s">
        <f>=HYPERLINK("http://anyluxury.ru/shop/odezhda/detskaya-odezhda/hudi-kirenga-20-molochnobeloe-1621262/" , "16212.62 Худи Kirenga 2.0, молочно-белое, размер XL")</f>
      </c>
      <c r="C7060" s="4" t="n">
        <v>1696.00</v>
      </c>
      <c r="D7060" s="4"/>
    </row>
    <row collapsed="" customFormat="false" customHeight="1" hidden="" ht="14" outlineLevel="0" r="7061">
      <c r="A7061" s="3" t="inlineStr">
        <is>
          <t>7030</t>
        </is>
      </c>
      <c r="B7061" s="4" t="s">
        <f>=HYPERLINK("http://anyluxury.ru/shop/odezhda/detskaya-odezhda/hudi-kirenga-20-molochnobeloe-1621262/" , "16212.62 Худи Kirenga 2.0, молочно-белое, размер XXL")</f>
      </c>
      <c r="C7061" s="4" t="n">
        <v>1696.00</v>
      </c>
      <c r="D7061" s="4"/>
    </row>
    <row collapsed="" customFormat="false" customHeight="1" hidden="" ht="14" outlineLevel="0" r="7062">
      <c r="A7062" s="3" t="inlineStr">
        <is>
          <t>7031</t>
        </is>
      </c>
      <c r="B7062" s="4" t="s">
        <f>=HYPERLINK("http://anyluxury.ru/shop/odezhda/detskaya-odezhda/hudi-kirenga-20-molochnobeloe-1621262/" , "16212.62 Худи Kirenga 2.0, молочно-белое, размер 3XL")</f>
      </c>
      <c r="C7062" s="4" t="n">
        <v>1696.00</v>
      </c>
      <c r="D7062" s="4"/>
    </row>
    <row collapsed="" customFormat="false" customHeight="1" hidden="" ht="14" outlineLevel="0" r="7063">
      <c r="A7063" s="3" t="inlineStr">
        <is>
          <t>7032</t>
        </is>
      </c>
      <c r="B7063" s="4" t="s">
        <f>=HYPERLINK("http://anyluxury.ru/shop/odezhda/detskaya-odezhda/hudi-kirenga-20-molochnobeloe-1621262/" , "16212.62 Худи Kirenga 2.0, молочно-белое, размер 4XL")</f>
      </c>
      <c r="C7063" s="4" t="n">
        <v>1696.00</v>
      </c>
      <c r="D7063" s="4"/>
    </row>
    <row collapsed="" customFormat="false" customHeight="1" hidden="" ht="14" outlineLevel="0" r="7064">
      <c r="A7064" s="3" t="inlineStr">
        <is>
          <t>7033</t>
        </is>
      </c>
      <c r="B7064" s="4" t="s">
        <f>=HYPERLINK("http://anyluxury.ru/shop/odezhda/detskaya-odezhda/hudi-kirenga-20-fioletovoe-1621278/" , "16212.78 Худи Kirenga 2.0, фиолетовое, размер XS")</f>
      </c>
      <c r="C7064" s="4" t="n">
        <v>1696.00</v>
      </c>
      <c r="D7064" s="4"/>
    </row>
    <row collapsed="" customFormat="false" customHeight="1" hidden="" ht="14" outlineLevel="0" r="7065">
      <c r="A7065" s="3" t="inlineStr">
        <is>
          <t>7034</t>
        </is>
      </c>
      <c r="B7065" s="4" t="s">
        <f>=HYPERLINK("http://anyluxury.ru/shop/odezhda/detskaya-odezhda/hudi-kirenga-20-fioletovoe-1621278/" , "16212.78 Худи Kirenga 2.0, фиолетовое, размер S")</f>
      </c>
      <c r="C7065" s="4" t="n">
        <v>1696.00</v>
      </c>
      <c r="D7065" s="4"/>
    </row>
    <row collapsed="" customFormat="false" customHeight="1" hidden="" ht="14" outlineLevel="0" r="7066">
      <c r="A7066" s="3" t="inlineStr">
        <is>
          <t>7035</t>
        </is>
      </c>
      <c r="B7066" s="4" t="s">
        <f>=HYPERLINK("http://anyluxury.ru/shop/odezhda/detskaya-odezhda/hudi-kirenga-20-fioletovoe-1621278/" , "16212.78 Худи Kirenga 2.0, фиолетовое, размер M")</f>
      </c>
      <c r="C7066" s="4" t="n">
        <v>1696.00</v>
      </c>
      <c r="D7066" s="4"/>
    </row>
    <row collapsed="" customFormat="false" customHeight="1" hidden="" ht="14" outlineLevel="0" r="7067">
      <c r="A7067" s="3" t="inlineStr">
        <is>
          <t>7036</t>
        </is>
      </c>
      <c r="B7067" s="4" t="s">
        <f>=HYPERLINK("http://anyluxury.ru/shop/odezhda/detskaya-odezhda/hudi-kirenga-20-fioletovoe-1621278/" , "16212.78 Худи Kirenga 2.0, фиолетовое, размер L")</f>
      </c>
      <c r="C7067" s="4" t="n">
        <v>1696.00</v>
      </c>
      <c r="D7067" s="4"/>
    </row>
    <row collapsed="" customFormat="false" customHeight="1" hidden="" ht="14" outlineLevel="0" r="7068">
      <c r="A7068" s="3" t="inlineStr">
        <is>
          <t>7037</t>
        </is>
      </c>
      <c r="B7068" s="4" t="s">
        <f>=HYPERLINK("http://anyluxury.ru/shop/odezhda/detskaya-odezhda/hudi-kirenga-20-fioletovoe-1621278/" , "16212.78 Худи Kirenga 2.0, фиолетовое, размер XL")</f>
      </c>
      <c r="C7068" s="4" t="n">
        <v>1696.00</v>
      </c>
      <c r="D7068" s="4"/>
    </row>
    <row collapsed="" customFormat="false" customHeight="1" hidden="" ht="14" outlineLevel="0" r="7069">
      <c r="A7069" s="3" t="inlineStr">
        <is>
          <t>7038</t>
        </is>
      </c>
      <c r="B7069" s="4" t="s">
        <f>=HYPERLINK("http://anyluxury.ru/shop/odezhda/detskaya-odezhda/hudi-kirenga-20-fioletovoe-1621278/" , "16212.78 Худи Kirenga 2.0, фиолетовое, размер XXL")</f>
      </c>
      <c r="C7069" s="4" t="n">
        <v>1696.00</v>
      </c>
      <c r="D7069" s="4"/>
    </row>
    <row collapsed="" customFormat="false" customHeight="1" hidden="" ht="14" outlineLevel="0" r="7070">
      <c r="A7070" s="3" t="inlineStr">
        <is>
          <t>7039</t>
        </is>
      </c>
      <c r="B7070" s="4" t="s">
        <f>=HYPERLINK("http://anyluxury.ru/shop/odezhda/detskaya-odezhda/hudi-kirenga-20-fioletovoe-1621278/" , "16212.78 Худи Kirenga 2.0, фиолетовое, размер 3XL")</f>
      </c>
      <c r="C7070" s="4" t="n">
        <v>1696.00</v>
      </c>
      <c r="D7070" s="4"/>
    </row>
    <row collapsed="" customFormat="false" customHeight="1" hidden="" ht="14" outlineLevel="0" r="7071">
      <c r="A7071" s="3" t="inlineStr">
        <is>
          <t>7040</t>
        </is>
      </c>
      <c r="B7071" s="4" t="s">
        <f>=HYPERLINK("http://anyluxury.ru/shop/odezhda/detskaya-odezhda/hudi-kirenga-20-fioletovoe-1621278/" , "16212.78 Худи Kirenga 2.0, фиолетовое, размер 4XL")</f>
      </c>
      <c r="C7071" s="4" t="n">
        <v>1696.00</v>
      </c>
      <c r="D7071" s="4"/>
    </row>
    <row collapsed="" customFormat="false" customHeight="1" hidden="" ht="14" outlineLevel="0" r="7072">
      <c r="A7072" s="3" t="inlineStr">
        <is>
          <t>7041</t>
        </is>
      </c>
      <c r="B7072" s="4" t="s">
        <f>=HYPERLINK("http://anyluxury.ru/shop/odezhda/detskaya-odezhda/hudi-kirenga-20-zheltoe-1621280/" , "16212.80 Худи Kirenga 2.0, желтое, размер XS")</f>
      </c>
      <c r="C7072" s="4" t="n">
        <v>1696.00</v>
      </c>
      <c r="D7072" s="4"/>
    </row>
    <row collapsed="" customFormat="false" customHeight="1" hidden="" ht="14" outlineLevel="0" r="7073">
      <c r="A7073" s="3" t="inlineStr">
        <is>
          <t>7042</t>
        </is>
      </c>
      <c r="B7073" s="4" t="s">
        <f>=HYPERLINK("http://anyluxury.ru/shop/odezhda/detskaya-odezhda/hudi-kirenga-20-zheltoe-1621280/" , "16212.80 Худи Kirenga 2.0, желтое, размер S")</f>
      </c>
      <c r="C7073" s="4" t="n">
        <v>1696.00</v>
      </c>
      <c r="D7073" s="4"/>
    </row>
    <row collapsed="" customFormat="false" customHeight="1" hidden="" ht="14" outlineLevel="0" r="7074">
      <c r="A7074" s="3" t="inlineStr">
        <is>
          <t>7043</t>
        </is>
      </c>
      <c r="B7074" s="4" t="s">
        <f>=HYPERLINK("http://anyluxury.ru/shop/odezhda/detskaya-odezhda/hudi-kirenga-20-zheltoe-1621280/" , "16212.80 Худи Kirenga 2.0, желтое, размер M")</f>
      </c>
      <c r="C7074" s="4" t="n">
        <v>1696.00</v>
      </c>
      <c r="D7074" s="4"/>
    </row>
    <row collapsed="" customFormat="false" customHeight="1" hidden="" ht="14" outlineLevel="0" r="7075">
      <c r="A7075" s="3" t="inlineStr">
        <is>
          <t>7044</t>
        </is>
      </c>
      <c r="B7075" s="4" t="s">
        <f>=HYPERLINK("http://anyluxury.ru/shop/odezhda/detskaya-odezhda/hudi-kirenga-20-zheltoe-1621280/" , "16212.80 Худи Kirenga 2.0, желтое, размер L")</f>
      </c>
      <c r="C7075" s="4" t="n">
        <v>1696.00</v>
      </c>
      <c r="D7075" s="4"/>
    </row>
    <row collapsed="" customFormat="false" customHeight="1" hidden="" ht="14" outlineLevel="0" r="7076">
      <c r="A7076" s="3" t="inlineStr">
        <is>
          <t>7045</t>
        </is>
      </c>
      <c r="B7076" s="4" t="s">
        <f>=HYPERLINK("http://anyluxury.ru/shop/odezhda/detskaya-odezhda/hudi-kirenga-20-zheltoe-1621280/" , "16212.80 Худи Kirenga 2.0, желтое, размер XL")</f>
      </c>
      <c r="C7076" s="4" t="n">
        <v>1696.00</v>
      </c>
      <c r="D7076" s="4"/>
    </row>
    <row collapsed="" customFormat="false" customHeight="1" hidden="" ht="14" outlineLevel="0" r="7077">
      <c r="A7077" s="3" t="inlineStr">
        <is>
          <t>7046</t>
        </is>
      </c>
      <c r="B7077" s="4" t="s">
        <f>=HYPERLINK("http://anyluxury.ru/shop/odezhda/detskaya-odezhda/hudi-kirenga-20-zheltoe-1621280/" , "16212.80 Худи Kirenga 2.0, желтое, размер XXL")</f>
      </c>
      <c r="C7077" s="4" t="n">
        <v>1696.00</v>
      </c>
      <c r="D7077" s="4"/>
    </row>
    <row collapsed="" customFormat="false" customHeight="1" hidden="" ht="14" outlineLevel="0" r="7078">
      <c r="A7078" s="3" t="inlineStr">
        <is>
          <t>7047</t>
        </is>
      </c>
      <c r="B7078" s="4" t="s">
        <f>=HYPERLINK("http://anyluxury.ru/shop/odezhda/detskaya-odezhda/hudi-kirenga-20-zheltoe-1621280/" , "16212.80 Худи Kirenga 2.0, желтое, размер 3XL")</f>
      </c>
      <c r="C7078" s="4" t="n">
        <v>1696.00</v>
      </c>
      <c r="D7078" s="4"/>
    </row>
    <row collapsed="" customFormat="false" customHeight="1" hidden="" ht="14" outlineLevel="0" r="7079">
      <c r="A7079" s="3" t="inlineStr">
        <is>
          <t>7048</t>
        </is>
      </c>
      <c r="B7079" s="4" t="s">
        <f>=HYPERLINK("http://anyluxury.ru/shop/odezhda/detskaya-odezhda/hudi-kirenga-20-zheltoe-1621280/" , "16212.80 Худи Kirenga 2.0, желтое, размер 4XL")</f>
      </c>
      <c r="C7079" s="4" t="n">
        <v>1696.00</v>
      </c>
      <c r="D7079" s="4"/>
    </row>
    <row collapsed="" customFormat="false" customHeight="1" hidden="" ht="14" outlineLevel="0" r="7080">
      <c r="A7080" s="3" t="inlineStr">
        <is>
          <t>7049</t>
        </is>
      </c>
      <c r="B7080" s="4" t="s">
        <f>=HYPERLINK("http://anyluxury.ru/shop/odezhda/detskaya-odezhda/hudi-kirenga-20-temnozelenoe-1621290/" , "16212.90 Худи Kirenga 2.0, темно-зеленое, размер XS")</f>
      </c>
      <c r="C7080" s="4" t="n">
        <v>1696.00</v>
      </c>
      <c r="D7080" s="4"/>
    </row>
    <row collapsed="" customFormat="false" customHeight="1" hidden="" ht="14" outlineLevel="0" r="7081">
      <c r="A7081" s="3" t="inlineStr">
        <is>
          <t>7050</t>
        </is>
      </c>
      <c r="B7081" s="4" t="s">
        <f>=HYPERLINK("http://anyluxury.ru/shop/odezhda/detskaya-odezhda/hudi-kirenga-20-temnozelenoe-1621290/" , "16212.90 Худи Kirenga 2.0, темно-зеленое, размер S")</f>
      </c>
      <c r="C7081" s="4" t="n">
        <v>1696.00</v>
      </c>
      <c r="D7081" s="4"/>
    </row>
    <row collapsed="" customFormat="false" customHeight="1" hidden="" ht="14" outlineLevel="0" r="7082">
      <c r="A7082" s="3" t="inlineStr">
        <is>
          <t>7051</t>
        </is>
      </c>
      <c r="B7082" s="4" t="s">
        <f>=HYPERLINK("http://anyluxury.ru/shop/odezhda/detskaya-odezhda/hudi-kirenga-20-temnozelenoe-1621290/" , "16212.90 Худи Kirenga 2.0, темно-зеленое, размер M")</f>
      </c>
      <c r="C7082" s="4" t="n">
        <v>1696.00</v>
      </c>
      <c r="D7082" s="4"/>
    </row>
    <row collapsed="" customFormat="false" customHeight="1" hidden="" ht="14" outlineLevel="0" r="7083">
      <c r="A7083" s="3" t="inlineStr">
        <is>
          <t>7052</t>
        </is>
      </c>
      <c r="B7083" s="4" t="s">
        <f>=HYPERLINK("http://anyluxury.ru/shop/odezhda/detskaya-odezhda/hudi-kirenga-20-temnozelenoe-1621290/" , "16212.90 Худи Kirenga 2.0, темно-зеленое, размер L")</f>
      </c>
      <c r="C7083" s="4" t="n">
        <v>1696.00</v>
      </c>
      <c r="D7083" s="4"/>
    </row>
    <row collapsed="" customFormat="false" customHeight="1" hidden="" ht="14" outlineLevel="0" r="7084">
      <c r="A7084" s="3" t="inlineStr">
        <is>
          <t>7053</t>
        </is>
      </c>
      <c r="B7084" s="4" t="s">
        <f>=HYPERLINK("http://anyluxury.ru/shop/odezhda/detskaya-odezhda/hudi-kirenga-20-temnozelenoe-1621290/" , "16212.90 Худи Kirenga 2.0, темно-зеленое, размер XL")</f>
      </c>
      <c r="C7084" s="4" t="n">
        <v>1696.00</v>
      </c>
      <c r="D7084" s="4"/>
    </row>
    <row collapsed="" customFormat="false" customHeight="1" hidden="" ht="14" outlineLevel="0" r="7085">
      <c r="A7085" s="3" t="inlineStr">
        <is>
          <t>7054</t>
        </is>
      </c>
      <c r="B7085" s="4" t="s">
        <f>=HYPERLINK("http://anyluxury.ru/shop/odezhda/detskaya-odezhda/hudi-kirenga-20-temnozelenoe-1621290/" , "16212.90 Худи Kirenga 2.0, темно-зеленое, размер XXL")</f>
      </c>
      <c r="C7085" s="4" t="n">
        <v>1696.00</v>
      </c>
      <c r="D7085" s="4"/>
    </row>
    <row collapsed="" customFormat="false" customHeight="1" hidden="" ht="14" outlineLevel="0" r="7086">
      <c r="A7086" s="3" t="inlineStr">
        <is>
          <t>7055</t>
        </is>
      </c>
      <c r="B7086" s="4" t="s">
        <f>=HYPERLINK("http://anyluxury.ru/shop/odezhda/detskaya-odezhda/hudi-kirenga-20-temnozelenoe-1621290/" , "16212.90 Худи Kirenga 2.0, темно-зеленое, размер 3XL")</f>
      </c>
      <c r="C7086" s="4" t="n">
        <v>1696.00</v>
      </c>
      <c r="D7086" s="4"/>
    </row>
    <row collapsed="" customFormat="false" customHeight="1" hidden="" ht="14" outlineLevel="0" r="7087">
      <c r="A7087" s="3" t="inlineStr">
        <is>
          <t>7056</t>
        </is>
      </c>
      <c r="B7087" s="4" t="s">
        <f>=HYPERLINK("http://anyluxury.ru/shop/odezhda/detskaya-odezhda/hudi-kirenga-20-temnozelenoe-1621290/" , "16212.90 Худи Kirenga 2.0, темно-зеленое, размер 4XL")</f>
      </c>
      <c r="C7087" s="4" t="n">
        <v>1696.00</v>
      </c>
      <c r="D7087" s="4"/>
    </row>
    <row collapsed="" customFormat="false" customHeight="1" hidden="" ht="14" outlineLevel="0" r="7088">
      <c r="A7088" s="3" t="inlineStr">
        <is>
          <t>7057</t>
        </is>
      </c>
      <c r="B7088" s="4" t="s">
        <f>=HYPERLINK("http://anyluxury.ru/shop/odezhda/detskaya-odezhda/hudi-kirenga-20-zelenoe-1621292/" , "16212.92 Худи Kirenga 2.0, зеленое, размер XS")</f>
      </c>
      <c r="C7088" s="4" t="n">
        <v>1696.00</v>
      </c>
      <c r="D7088" s="4"/>
    </row>
    <row collapsed="" customFormat="false" customHeight="1" hidden="" ht="14" outlineLevel="0" r="7089">
      <c r="A7089" s="3" t="inlineStr">
        <is>
          <t>7058</t>
        </is>
      </c>
      <c r="B7089" s="4" t="s">
        <f>=HYPERLINK("http://anyluxury.ru/shop/odezhda/detskaya-odezhda/hudi-kirenga-20-zelenoe-1621292/" , "16212.92 Худи Kirenga 2.0, зеленое, размер S")</f>
      </c>
      <c r="C7089" s="4" t="n">
        <v>1696.00</v>
      </c>
      <c r="D7089" s="4"/>
    </row>
    <row collapsed="" customFormat="false" customHeight="1" hidden="" ht="14" outlineLevel="0" r="7090">
      <c r="A7090" s="3" t="inlineStr">
        <is>
          <t>7059</t>
        </is>
      </c>
      <c r="B7090" s="4" t="s">
        <f>=HYPERLINK("http://anyluxury.ru/shop/odezhda/detskaya-odezhda/hudi-kirenga-20-zelenoe-1621292/" , "16212.92 Худи Kirenga 2.0, зеленое, размер M")</f>
      </c>
      <c r="C7090" s="4" t="n">
        <v>1696.00</v>
      </c>
      <c r="D7090" s="4"/>
    </row>
    <row collapsed="" customFormat="false" customHeight="1" hidden="" ht="14" outlineLevel="0" r="7091">
      <c r="A7091" s="3" t="inlineStr">
        <is>
          <t>7060</t>
        </is>
      </c>
      <c r="B7091" s="4" t="s">
        <f>=HYPERLINK("http://anyluxury.ru/shop/odezhda/detskaya-odezhda/hudi-kirenga-20-zelenoe-1621292/" , "16212.92 Худи Kirenga 2.0, зеленое, размер L")</f>
      </c>
      <c r="C7091" s="4" t="n">
        <v>1696.00</v>
      </c>
      <c r="D7091" s="4"/>
    </row>
    <row collapsed="" customFormat="false" customHeight="1" hidden="" ht="14" outlineLevel="0" r="7092">
      <c r="A7092" s="3" t="inlineStr">
        <is>
          <t>7061</t>
        </is>
      </c>
      <c r="B7092" s="4" t="s">
        <f>=HYPERLINK("http://anyluxury.ru/shop/odezhda/detskaya-odezhda/hudi-kirenga-20-zelenoe-1621292/" , "16212.92 Худи Kirenga 2.0, зеленое, размер XL")</f>
      </c>
      <c r="C7092" s="4" t="n">
        <v>1696.00</v>
      </c>
      <c r="D7092" s="4"/>
    </row>
    <row collapsed="" customFormat="false" customHeight="1" hidden="" ht="14" outlineLevel="0" r="7093">
      <c r="A7093" s="3" t="inlineStr">
        <is>
          <t>7062</t>
        </is>
      </c>
      <c r="B7093" s="4" t="s">
        <f>=HYPERLINK("http://anyluxury.ru/shop/odezhda/detskaya-odezhda/hudi-kirenga-20-zelenoe-1621292/" , "16212.92 Худи Kirenga 2.0, зеленое, размер XXL")</f>
      </c>
      <c r="C7093" s="4" t="n">
        <v>1696.00</v>
      </c>
      <c r="D7093" s="4"/>
    </row>
    <row collapsed="" customFormat="false" customHeight="1" hidden="" ht="14" outlineLevel="0" r="7094">
      <c r="A7094" s="3" t="inlineStr">
        <is>
          <t>7063</t>
        </is>
      </c>
      <c r="B7094" s="4" t="s">
        <f>=HYPERLINK("http://anyluxury.ru/shop/odezhda/detskaya-odezhda/hudi-kirenga-20-zelenoe-1621292/" , "16212.92 Худи Kirenga 2.0, зеленое, размер 3XL")</f>
      </c>
      <c r="C7094" s="4" t="n">
        <v>1696.00</v>
      </c>
      <c r="D7094" s="4"/>
    </row>
    <row collapsed="" customFormat="false" customHeight="1" hidden="" ht="14" outlineLevel="0" r="7095">
      <c r="A7095" s="3" t="inlineStr">
        <is>
          <t>7064</t>
        </is>
      </c>
      <c r="B7095" s="4" t="s">
        <f>=HYPERLINK("http://anyluxury.ru/shop/odezhda/detskaya-odezhda/hudi-kirenga-20-zelenoe-1621292/" , "16212.92 Худи Kirenga 2.0, зеленое, размер 4XL")</f>
      </c>
      <c r="C7095" s="4" t="n">
        <v>1696.00</v>
      </c>
      <c r="D7095" s="4"/>
    </row>
    <row collapsed="" customFormat="false" customHeight="1" hidden="" ht="14" outlineLevel="0" r="7096">
      <c r="A7096" s="3" t="inlineStr">
        <is>
          <t>7065</t>
        </is>
      </c>
      <c r="B7096" s="4" t="s">
        <f>=HYPERLINK("http://anyluxury.ru/shop/odezhda/detskaya-odezhda/hudi-kirenga-20-zelenoe-yabloko-1621294/" , "16212.94 Худи Kirenga 2.0, зеленое яблоко, размер XS")</f>
      </c>
      <c r="C7096" s="4" t="n">
        <v>1696.00</v>
      </c>
      <c r="D7096" s="4"/>
    </row>
    <row collapsed="" customFormat="false" customHeight="1" hidden="" ht="14" outlineLevel="0" r="7097">
      <c r="A7097" s="3" t="inlineStr">
        <is>
          <t>7066</t>
        </is>
      </c>
      <c r="B7097" s="4" t="s">
        <f>=HYPERLINK("http://anyluxury.ru/shop/odezhda/detskaya-odezhda/hudi-kirenga-20-zelenoe-yabloko-1621294/" , "16212.94 Худи Kirenga 2.0, зеленое яблоко, размер S")</f>
      </c>
      <c r="C7097" s="4" t="n">
        <v>1696.00</v>
      </c>
      <c r="D7097" s="4"/>
    </row>
    <row collapsed="" customFormat="false" customHeight="1" hidden="" ht="14" outlineLevel="0" r="7098">
      <c r="A7098" s="3" t="inlineStr">
        <is>
          <t>7067</t>
        </is>
      </c>
      <c r="B7098" s="4" t="s">
        <f>=HYPERLINK("http://anyluxury.ru/shop/odezhda/detskaya-odezhda/hudi-kirenga-20-zelenoe-yabloko-1621294/" , "16212.94 Худи Kirenga 2.0, зеленое яблоко, размер M")</f>
      </c>
      <c r="C7098" s="4" t="n">
        <v>1696.00</v>
      </c>
      <c r="D7098" s="4"/>
    </row>
    <row collapsed="" customFormat="false" customHeight="1" hidden="" ht="14" outlineLevel="0" r="7099">
      <c r="A7099" s="3" t="inlineStr">
        <is>
          <t>7068</t>
        </is>
      </c>
      <c r="B7099" s="4" t="s">
        <f>=HYPERLINK("http://anyluxury.ru/shop/odezhda/detskaya-odezhda/hudi-kirenga-20-zelenoe-yabloko-1621294/" , "16212.94 Худи Kirenga 2.0, зеленое яблоко, размер L")</f>
      </c>
      <c r="C7099" s="4" t="n">
        <v>1696.00</v>
      </c>
      <c r="D7099" s="4"/>
    </row>
    <row collapsed="" customFormat="false" customHeight="1" hidden="" ht="14" outlineLevel="0" r="7100">
      <c r="A7100" s="3" t="inlineStr">
        <is>
          <t>7069</t>
        </is>
      </c>
      <c r="B7100" s="4" t="s">
        <f>=HYPERLINK("http://anyluxury.ru/shop/odezhda/detskaya-odezhda/hudi-kirenga-20-zelenoe-yabloko-1621294/" , "16212.94 Худи Kirenga 2.0, зеленое яблоко, размер XL")</f>
      </c>
      <c r="C7100" s="4" t="n">
        <v>1696.00</v>
      </c>
      <c r="D7100" s="4"/>
    </row>
    <row collapsed="" customFormat="false" customHeight="1" hidden="" ht="14" outlineLevel="0" r="7101">
      <c r="A7101" s="3" t="inlineStr">
        <is>
          <t>7070</t>
        </is>
      </c>
      <c r="B7101" s="4" t="s">
        <f>=HYPERLINK("http://anyluxury.ru/shop/odezhda/detskaya-odezhda/hudi-kirenga-20-zelenoe-yabloko-1621294/" , "16212.94 Худи Kirenga 2.0, зеленое яблоко, размер XXL")</f>
      </c>
      <c r="C7101" s="4" t="n">
        <v>1696.00</v>
      </c>
      <c r="D7101" s="4"/>
    </row>
    <row collapsed="" customFormat="false" customHeight="1" hidden="" ht="14" outlineLevel="0" r="7102">
      <c r="A7102" s="3" t="inlineStr">
        <is>
          <t>7071</t>
        </is>
      </c>
      <c r="B7102" s="4" t="s">
        <f>=HYPERLINK("http://anyluxury.ru/shop/odezhda/detskaya-odezhda/hudi-kirenga-20-zelenoe-yabloko-1621294/" , "16212.94 Худи Kirenga 2.0, зеленое яблоко, размер 3XL")</f>
      </c>
      <c r="C7102" s="4" t="n">
        <v>1696.00</v>
      </c>
      <c r="D7102" s="4"/>
    </row>
    <row collapsed="" customFormat="false" customHeight="1" hidden="" ht="14" outlineLevel="0" r="7103">
      <c r="A7103" s="3" t="inlineStr">
        <is>
          <t>7072</t>
        </is>
      </c>
      <c r="B7103" s="4" t="s">
        <f>=HYPERLINK("http://anyluxury.ru/shop/odezhda/detskaya-odezhda/hudi-kirenga-20-zelenoe-yabloko-1621294/" , "16212.94 Худи Kirenga 2.0, зеленое яблоко, размер 4XL")</f>
      </c>
      <c r="C7103" s="4" t="n">
        <v>1696.00</v>
      </c>
      <c r="D7103" s="4"/>
    </row>
    <row collapsed="" customFormat="false" customHeight="1" hidden="" ht="14" outlineLevel="0" r="7104">
      <c r="A7104" s="3" t="inlineStr">
        <is>
          <t>7073</t>
        </is>
      </c>
      <c r="B7104" s="4" t="s">
        <f>=HYPERLINK("http://anyluxury.ru/shop/odezhda/detskaya-odezhda/svitshot-toima-20-temnoseriy-grafit-1621410/" , "16214.10 Свитшот Toima 2.0, темно-серый (графит), размер XS")</f>
      </c>
      <c r="C7104" s="4" t="n">
        <v>1291.00</v>
      </c>
      <c r="D7104" s="4"/>
    </row>
    <row collapsed="" customFormat="false" customHeight="1" hidden="" ht="14" outlineLevel="0" r="7105">
      <c r="A7105" s="3" t="inlineStr">
        <is>
          <t>7074</t>
        </is>
      </c>
      <c r="B7105" s="4" t="s">
        <f>=HYPERLINK("http://anyluxury.ru/shop/odezhda/detskaya-odezhda/svitshot-toima-20-temnoseriy-grafit-1621410/" , "16214.10 Свитшот Toima 2.0, темно-серый (графит), размер S")</f>
      </c>
      <c r="C7105" s="4" t="n">
        <v>1291.00</v>
      </c>
      <c r="D7105" s="4"/>
    </row>
    <row collapsed="" customFormat="false" customHeight="1" hidden="" ht="14" outlineLevel="0" r="7106">
      <c r="A7106" s="3" t="inlineStr">
        <is>
          <t>7075</t>
        </is>
      </c>
      <c r="B7106" s="4" t="s">
        <f>=HYPERLINK("http://anyluxury.ru/shop/odezhda/detskaya-odezhda/svitshot-toima-20-temnoseriy-grafit-1621410/" , "16214.10 Свитшот Toima 2.0, темно-серый (графит), размер M")</f>
      </c>
      <c r="C7106" s="4" t="n">
        <v>1291.00</v>
      </c>
      <c r="D7106" s="4"/>
    </row>
    <row collapsed="" customFormat="false" customHeight="1" hidden="" ht="14" outlineLevel="0" r="7107">
      <c r="A7107" s="3" t="inlineStr">
        <is>
          <t>7076</t>
        </is>
      </c>
      <c r="B7107" s="4" t="s">
        <f>=HYPERLINK("http://anyluxury.ru/shop/odezhda/detskaya-odezhda/svitshot-toima-20-temnoseriy-grafit-1621410/" , "16214.10 Свитшот Toima 2.0, темно-серый (графит), размер L")</f>
      </c>
      <c r="C7107" s="4" t="n">
        <v>1291.00</v>
      </c>
      <c r="D7107" s="4"/>
    </row>
    <row collapsed="" customFormat="false" customHeight="1" hidden="" ht="14" outlineLevel="0" r="7108">
      <c r="A7108" s="3" t="inlineStr">
        <is>
          <t>7077</t>
        </is>
      </c>
      <c r="B7108" s="4" t="s">
        <f>=HYPERLINK("http://anyluxury.ru/shop/odezhda/detskaya-odezhda/svitshot-toima-20-temnoseriy-grafit-1621410/" , "16214.10 Свитшот Toima 2.0, темно-серый (графит), размер XL")</f>
      </c>
      <c r="C7108" s="4" t="n">
        <v>1291.00</v>
      </c>
      <c r="D7108" s="4"/>
    </row>
    <row collapsed="" customFormat="false" customHeight="1" hidden="" ht="14" outlineLevel="0" r="7109">
      <c r="A7109" s="3" t="inlineStr">
        <is>
          <t>7078</t>
        </is>
      </c>
      <c r="B7109" s="4" t="s">
        <f>=HYPERLINK("http://anyluxury.ru/shop/odezhda/detskaya-odezhda/svitshot-toima-20-temnoseriy-grafit-1621410/" , "16214.10 Свитшот Toima 2.0, темно-серый (графит), размер XXL")</f>
      </c>
      <c r="C7109" s="4" t="n">
        <v>1291.00</v>
      </c>
      <c r="D7109" s="4"/>
    </row>
    <row collapsed="" customFormat="false" customHeight="1" hidden="" ht="14" outlineLevel="0" r="7110">
      <c r="A7110" s="3" t="inlineStr">
        <is>
          <t>7079</t>
        </is>
      </c>
      <c r="B7110" s="4" t="s">
        <f>=HYPERLINK("http://anyluxury.ru/shop/odezhda/detskaya-odezhda/svitshot-toima-20-temnoseriy-grafit-1621410/" , "16214.10 Свитшот Toima 2.0, темно-серый (графит), размер 3XL")</f>
      </c>
      <c r="C7110" s="4" t="n">
        <v>1291.00</v>
      </c>
      <c r="D7110" s="4"/>
    </row>
    <row collapsed="" customFormat="false" customHeight="1" hidden="" ht="14" outlineLevel="0" r="7111">
      <c r="A7111" s="3" t="inlineStr">
        <is>
          <t>7080</t>
        </is>
      </c>
      <c r="B7111" s="4" t="s">
        <f>=HYPERLINK("http://anyluxury.ru/shop/odezhda/detskaya-odezhda/svitshot-toima-20-temnoseriy-grafit-1621410/" , "16214.10 Свитшот Toima 2.0, темно-серый (графит), размер 4XL")</f>
      </c>
      <c r="C7111" s="4" t="n">
        <v>1291.00</v>
      </c>
      <c r="D7111" s="4"/>
    </row>
    <row collapsed="" customFormat="false" customHeight="1" hidden="" ht="14" outlineLevel="0" r="7112">
      <c r="A7112" s="3" t="inlineStr">
        <is>
          <t>7081</t>
        </is>
      </c>
      <c r="B7112" s="4" t="s">
        <f>=HYPERLINK("http://anyluxury.ru/shop/odezhda/detskaya-odezhda/svitshot-toima-20-seriy-melanzh-1621411/" , "16214.11 Свитшот Toima 2.0, серый меланж, размер XS")</f>
      </c>
      <c r="C7112" s="4" t="n">
        <v>1291.00</v>
      </c>
      <c r="D7112" s="4"/>
    </row>
    <row collapsed="" customFormat="false" customHeight="1" hidden="" ht="14" outlineLevel="0" r="7113">
      <c r="A7113" s="3" t="inlineStr">
        <is>
          <t>7082</t>
        </is>
      </c>
      <c r="B7113" s="4" t="s">
        <f>=HYPERLINK("http://anyluxury.ru/shop/odezhda/detskaya-odezhda/svitshot-toima-20-seriy-melanzh-1621411/" , "16214.11 Свитшот Toima 2.0, серый меланж, размер S")</f>
      </c>
      <c r="C7113" s="4" t="n">
        <v>1291.00</v>
      </c>
      <c r="D7113" s="4"/>
    </row>
    <row collapsed="" customFormat="false" customHeight="1" hidden="" ht="14" outlineLevel="0" r="7114">
      <c r="A7114" s="3" t="inlineStr">
        <is>
          <t>7083</t>
        </is>
      </c>
      <c r="B7114" s="4" t="s">
        <f>=HYPERLINK("http://anyluxury.ru/shop/odezhda/detskaya-odezhda/svitshot-toima-20-seriy-melanzh-1621411/" , "16214.11 Свитшот Toima 2.0, серый меланж, размер M")</f>
      </c>
      <c r="C7114" s="4" t="n">
        <v>1291.00</v>
      </c>
      <c r="D7114" s="4"/>
    </row>
    <row collapsed="" customFormat="false" customHeight="1" hidden="" ht="14" outlineLevel="0" r="7115">
      <c r="A7115" s="3" t="inlineStr">
        <is>
          <t>7084</t>
        </is>
      </c>
      <c r="B7115" s="4" t="s">
        <f>=HYPERLINK("http://anyluxury.ru/shop/odezhda/detskaya-odezhda/svitshot-toima-20-seriy-melanzh-1621411/" , "16214.11 Свитшот Toima 2.0, серый меланж, размер L")</f>
      </c>
      <c r="C7115" s="4" t="n">
        <v>1291.00</v>
      </c>
      <c r="D7115" s="4"/>
    </row>
    <row collapsed="" customFormat="false" customHeight="1" hidden="" ht="14" outlineLevel="0" r="7116">
      <c r="A7116" s="3" t="inlineStr">
        <is>
          <t>7085</t>
        </is>
      </c>
      <c r="B7116" s="4" t="s">
        <f>=HYPERLINK("http://anyluxury.ru/shop/odezhda/detskaya-odezhda/svitshot-toima-20-seriy-melanzh-1621411/" , "16214.11 Свитшот Toima 2.0, серый меланж, размер XL")</f>
      </c>
      <c r="C7116" s="4" t="n">
        <v>1291.00</v>
      </c>
      <c r="D7116" s="4"/>
    </row>
    <row collapsed="" customFormat="false" customHeight="1" hidden="" ht="14" outlineLevel="0" r="7117">
      <c r="A7117" s="3" t="inlineStr">
        <is>
          <t>7086</t>
        </is>
      </c>
      <c r="B7117" s="4" t="s">
        <f>=HYPERLINK("http://anyluxury.ru/shop/odezhda/detskaya-odezhda/svitshot-toima-20-seriy-melanzh-1621411/" , "16214.11 Свитшот Toima 2.0, серый меланж, размер XXL")</f>
      </c>
      <c r="C7117" s="4" t="n">
        <v>1291.00</v>
      </c>
      <c r="D7117" s="4"/>
    </row>
    <row collapsed="" customFormat="false" customHeight="1" hidden="" ht="14" outlineLevel="0" r="7118">
      <c r="A7118" s="3" t="inlineStr">
        <is>
          <t>7087</t>
        </is>
      </c>
      <c r="B7118" s="4" t="s">
        <f>=HYPERLINK("http://anyluxury.ru/shop/odezhda/detskaya-odezhda/svitshot-toima-20-seriy-melanzh-1621411/" , "16214.11 Свитшот Toima 2.0, серый меланж, размер 3XL")</f>
      </c>
      <c r="C7118" s="4" t="n">
        <v>1291.00</v>
      </c>
      <c r="D7118" s="4"/>
    </row>
    <row collapsed="" customFormat="false" customHeight="1" hidden="" ht="14" outlineLevel="0" r="7119">
      <c r="A7119" s="3" t="inlineStr">
        <is>
          <t>7088</t>
        </is>
      </c>
      <c r="B7119" s="4" t="s">
        <f>=HYPERLINK("http://anyluxury.ru/shop/odezhda/detskaya-odezhda/svitshot-toima-20-seriy-melanzh-1621411/" , "16214.11 Свитшот Toima 2.0, серый меланж, размер 4XL")</f>
      </c>
      <c r="C7119" s="4" t="n">
        <v>1291.00</v>
      </c>
      <c r="D7119" s="4"/>
    </row>
    <row collapsed="" customFormat="false" customHeight="1" hidden="" ht="14" outlineLevel="0" r="7120">
      <c r="A7120" s="3" t="inlineStr">
        <is>
          <t>7089</t>
        </is>
      </c>
      <c r="B7120" s="4" t="s">
        <f>=HYPERLINK("http://anyluxury.ru/shop/odezhda/detskaya-odezhda/svitshot-toima-20-biryuzoviy-1621414/" , "16214.14 Свитшот Toima 2.0, бирюзовый, размер XS")</f>
      </c>
      <c r="C7120" s="4" t="n">
        <v>1291.00</v>
      </c>
      <c r="D7120" s="4"/>
    </row>
    <row collapsed="" customFormat="false" customHeight="1" hidden="" ht="14" outlineLevel="0" r="7121">
      <c r="A7121" s="3" t="inlineStr">
        <is>
          <t>7090</t>
        </is>
      </c>
      <c r="B7121" s="4" t="s">
        <f>=HYPERLINK("http://anyluxury.ru/shop/odezhda/detskaya-odezhda/svitshot-toima-20-biryuzoviy-1621414/" , "16214.14 Свитшот Toima 2.0, бирюзовый, размер S")</f>
      </c>
      <c r="C7121" s="4" t="n">
        <v>1291.00</v>
      </c>
      <c r="D7121" s="4"/>
    </row>
    <row collapsed="" customFormat="false" customHeight="1" hidden="" ht="14" outlineLevel="0" r="7122">
      <c r="A7122" s="3" t="inlineStr">
        <is>
          <t>7091</t>
        </is>
      </c>
      <c r="B7122" s="4" t="s">
        <f>=HYPERLINK("http://anyluxury.ru/shop/odezhda/detskaya-odezhda/svitshot-toima-20-biryuzoviy-1621414/" , "16214.14 Свитшот Toima 2.0, бирюзовый, размер M")</f>
      </c>
      <c r="C7122" s="4" t="n">
        <v>1291.00</v>
      </c>
      <c r="D7122" s="4"/>
    </row>
    <row collapsed="" customFormat="false" customHeight="1" hidden="" ht="14" outlineLevel="0" r="7123">
      <c r="A7123" s="3" t="inlineStr">
        <is>
          <t>7092</t>
        </is>
      </c>
      <c r="B7123" s="4" t="s">
        <f>=HYPERLINK("http://anyluxury.ru/shop/odezhda/detskaya-odezhda/svitshot-toima-20-biryuzoviy-1621414/" , "16214.14 Свитшот Toima 2.0, бирюзовый, размер L")</f>
      </c>
      <c r="C7123" s="4" t="n">
        <v>1291.00</v>
      </c>
      <c r="D7123" s="4"/>
    </row>
    <row collapsed="" customFormat="false" customHeight="1" hidden="" ht="14" outlineLevel="0" r="7124">
      <c r="A7124" s="3" t="inlineStr">
        <is>
          <t>7093</t>
        </is>
      </c>
      <c r="B7124" s="4" t="s">
        <f>=HYPERLINK("http://anyluxury.ru/shop/odezhda/detskaya-odezhda/svitshot-toima-20-biryuzoviy-1621414/" , "16214.14 Свитшот Toima 2.0, бирюзовый, размер XL")</f>
      </c>
      <c r="C7124" s="4" t="n">
        <v>1291.00</v>
      </c>
      <c r="D7124" s="4"/>
    </row>
    <row collapsed="" customFormat="false" customHeight="1" hidden="" ht="14" outlineLevel="0" r="7125">
      <c r="A7125" s="3" t="inlineStr">
        <is>
          <t>7094</t>
        </is>
      </c>
      <c r="B7125" s="4" t="s">
        <f>=HYPERLINK("http://anyluxury.ru/shop/odezhda/detskaya-odezhda/svitshot-toima-20-biryuzoviy-1621414/" , "16214.14 Свитшот Toima 2.0, бирюзовый, размер XXL")</f>
      </c>
      <c r="C7125" s="4" t="n">
        <v>1291.00</v>
      </c>
      <c r="D7125" s="4"/>
    </row>
    <row collapsed="" customFormat="false" customHeight="1" hidden="" ht="14" outlineLevel="0" r="7126">
      <c r="A7126" s="3" t="inlineStr">
        <is>
          <t>7095</t>
        </is>
      </c>
      <c r="B7126" s="4" t="s">
        <f>=HYPERLINK("http://anyluxury.ru/shop/odezhda/detskaya-odezhda/svitshot-toima-20-biryuzoviy-1621414/" , "16214.14 Свитшот Toima 2.0, бирюзовый, размер 3XL")</f>
      </c>
      <c r="C7126" s="4" t="n">
        <v>1291.00</v>
      </c>
      <c r="D7126" s="4"/>
    </row>
    <row collapsed="" customFormat="false" customHeight="1" hidden="" ht="14" outlineLevel="0" r="7127">
      <c r="A7127" s="3" t="inlineStr">
        <is>
          <t>7096</t>
        </is>
      </c>
      <c r="B7127" s="4" t="s">
        <f>=HYPERLINK("http://anyluxury.ru/shop/odezhda/detskaya-odezhda/svitshot-toima-20-biryuzoviy-1621414/" , "16214.14 Свитшот Toima 2.0, бирюзовый, размер 4XL")</f>
      </c>
      <c r="C7127" s="4" t="n">
        <v>1291.00</v>
      </c>
      <c r="D7127" s="4"/>
    </row>
    <row collapsed="" customFormat="false" customHeight="1" hidden="" ht="14" outlineLevel="0" r="7128">
      <c r="A7128" s="3" t="inlineStr">
        <is>
          <t>7097</t>
        </is>
      </c>
      <c r="B7128" s="4" t="s">
        <f>=HYPERLINK("http://anyluxury.ru/shop/odezhda/detskaya-odezhda/svitshot-toima-20-oranzheviy-1621420/" , "16214.20 Свитшот Toima 2.0, оранжевый, размер XS")</f>
      </c>
      <c r="C7128" s="4" t="n">
        <v>1291.00</v>
      </c>
      <c r="D7128" s="4"/>
    </row>
    <row collapsed="" customFormat="false" customHeight="1" hidden="" ht="14" outlineLevel="0" r="7129">
      <c r="A7129" s="3" t="inlineStr">
        <is>
          <t>7098</t>
        </is>
      </c>
      <c r="B7129" s="4" t="s">
        <f>=HYPERLINK("http://anyluxury.ru/shop/odezhda/detskaya-odezhda/svitshot-toima-20-oranzheviy-1621420/" , "16214.20 Свитшот Toima 2.0, оранжевый, размер S")</f>
      </c>
      <c r="C7129" s="4" t="n">
        <v>1291.00</v>
      </c>
      <c r="D7129" s="4"/>
    </row>
    <row collapsed="" customFormat="false" customHeight="1" hidden="" ht="14" outlineLevel="0" r="7130">
      <c r="A7130" s="3" t="inlineStr">
        <is>
          <t>7099</t>
        </is>
      </c>
      <c r="B7130" s="4" t="s">
        <f>=HYPERLINK("http://anyluxury.ru/shop/odezhda/detskaya-odezhda/svitshot-toima-20-oranzheviy-1621420/" , "16214.20 Свитшот Toima 2.0, оранжевый, размер M")</f>
      </c>
      <c r="C7130" s="4" t="n">
        <v>1291.00</v>
      </c>
      <c r="D7130" s="4"/>
    </row>
    <row collapsed="" customFormat="false" customHeight="1" hidden="" ht="14" outlineLevel="0" r="7131">
      <c r="A7131" s="3" t="inlineStr">
        <is>
          <t>7100</t>
        </is>
      </c>
      <c r="B7131" s="4" t="s">
        <f>=HYPERLINK("http://anyluxury.ru/shop/odezhda/detskaya-odezhda/svitshot-toima-20-oranzheviy-1621420/" , "16214.20 Свитшот Toima 2.0, оранжевый, размер L")</f>
      </c>
      <c r="C7131" s="4" t="n">
        <v>1291.00</v>
      </c>
      <c r="D7131" s="4"/>
    </row>
    <row collapsed="" customFormat="false" customHeight="1" hidden="" ht="14" outlineLevel="0" r="7132">
      <c r="A7132" s="3" t="inlineStr">
        <is>
          <t>7101</t>
        </is>
      </c>
      <c r="B7132" s="4" t="s">
        <f>=HYPERLINK("http://anyluxury.ru/shop/odezhda/detskaya-odezhda/svitshot-toima-20-oranzheviy-1621420/" , "16214.20 Свитшот Toima 2.0, оранжевый, размер XL")</f>
      </c>
      <c r="C7132" s="4" t="n">
        <v>1291.00</v>
      </c>
      <c r="D7132" s="4"/>
    </row>
    <row collapsed="" customFormat="false" customHeight="1" hidden="" ht="14" outlineLevel="0" r="7133">
      <c r="A7133" s="3" t="inlineStr">
        <is>
          <t>7102</t>
        </is>
      </c>
      <c r="B7133" s="4" t="s">
        <f>=HYPERLINK("http://anyluxury.ru/shop/odezhda/detskaya-odezhda/svitshot-toima-20-oranzheviy-1621420/" , "16214.20 Свитшот Toima 2.0, оранжевый, размер XXL")</f>
      </c>
      <c r="C7133" s="4" t="n">
        <v>1291.00</v>
      </c>
      <c r="D7133" s="4"/>
    </row>
    <row collapsed="" customFormat="false" customHeight="1" hidden="" ht="14" outlineLevel="0" r="7134">
      <c r="A7134" s="3" t="inlineStr">
        <is>
          <t>7103</t>
        </is>
      </c>
      <c r="B7134" s="4" t="s">
        <f>=HYPERLINK("http://anyluxury.ru/shop/odezhda/detskaya-odezhda/svitshot-toima-20-oranzheviy-1621420/" , "16214.20 Свитшот Toima 2.0, оранжевый, размер 3XL")</f>
      </c>
      <c r="C7134" s="4" t="n">
        <v>1291.00</v>
      </c>
      <c r="D7134" s="4"/>
    </row>
    <row collapsed="" customFormat="false" customHeight="1" hidden="" ht="14" outlineLevel="0" r="7135">
      <c r="A7135" s="3" t="inlineStr">
        <is>
          <t>7104</t>
        </is>
      </c>
      <c r="B7135" s="4" t="s">
        <f>=HYPERLINK("http://anyluxury.ru/shop/odezhda/detskaya-odezhda/svitshot-toima-20-oranzheviy-1621420/" , "16214.20 Свитшот Toima 2.0, оранжевый, размер 4XL")</f>
      </c>
      <c r="C7135" s="4" t="n">
        <v>1291.00</v>
      </c>
      <c r="D7135" s="4"/>
    </row>
    <row collapsed="" customFormat="false" customHeight="1" hidden="" ht="14" outlineLevel="0" r="7136">
      <c r="A7136" s="3" t="inlineStr">
        <is>
          <t>7105</t>
        </is>
      </c>
      <c r="B7136" s="4" t="s">
        <f>=HYPERLINK("http://anyluxury.ru/shop/odezhda/detskaya-odezhda/svitshot-toima-20-cherniy-1621430/" , "16214.30 Свитшот Toima 2.0, черный, размер XS")</f>
      </c>
      <c r="C7136" s="4" t="n">
        <v>1291.00</v>
      </c>
      <c r="D7136" s="4"/>
    </row>
    <row collapsed="" customFormat="false" customHeight="1" hidden="" ht="14" outlineLevel="0" r="7137">
      <c r="A7137" s="3" t="inlineStr">
        <is>
          <t>7106</t>
        </is>
      </c>
      <c r="B7137" s="4" t="s">
        <f>=HYPERLINK("http://anyluxury.ru/shop/odezhda/detskaya-odezhda/svitshot-toima-20-cherniy-1621430/" , "16214.30 Свитшот Toima 2.0, черный, размер S")</f>
      </c>
      <c r="C7137" s="4" t="n">
        <v>1291.00</v>
      </c>
      <c r="D7137" s="4"/>
    </row>
    <row collapsed="" customFormat="false" customHeight="1" hidden="" ht="14" outlineLevel="0" r="7138">
      <c r="A7138" s="3" t="inlineStr">
        <is>
          <t>7107</t>
        </is>
      </c>
      <c r="B7138" s="4" t="s">
        <f>=HYPERLINK("http://anyluxury.ru/shop/odezhda/detskaya-odezhda/svitshot-toima-20-cherniy-1621430/" , "16214.30 Свитшот Toima 2.0, черный, размер M")</f>
      </c>
      <c r="C7138" s="4" t="n">
        <v>1291.00</v>
      </c>
      <c r="D7138" s="4"/>
    </row>
    <row collapsed="" customFormat="false" customHeight="1" hidden="" ht="14" outlineLevel="0" r="7139">
      <c r="A7139" s="3" t="inlineStr">
        <is>
          <t>7108</t>
        </is>
      </c>
      <c r="B7139" s="4" t="s">
        <f>=HYPERLINK("http://anyluxury.ru/shop/odezhda/detskaya-odezhda/svitshot-toima-20-cherniy-1621430/" , "16214.30 Свитшот Toima 2.0, черный, размер L")</f>
      </c>
      <c r="C7139" s="4" t="n">
        <v>1291.00</v>
      </c>
      <c r="D7139" s="4"/>
    </row>
    <row collapsed="" customFormat="false" customHeight="1" hidden="" ht="14" outlineLevel="0" r="7140">
      <c r="A7140" s="3" t="inlineStr">
        <is>
          <t>7109</t>
        </is>
      </c>
      <c r="B7140" s="4" t="s">
        <f>=HYPERLINK("http://anyluxury.ru/shop/odezhda/detskaya-odezhda/svitshot-toima-20-cherniy-1621430/" , "16214.30 Свитшот Toima 2.0, черный, размер XL")</f>
      </c>
      <c r="C7140" s="4" t="n">
        <v>1291.00</v>
      </c>
      <c r="D7140" s="4"/>
    </row>
    <row collapsed="" customFormat="false" customHeight="1" hidden="" ht="14" outlineLevel="0" r="7141">
      <c r="A7141" s="3" t="inlineStr">
        <is>
          <t>7110</t>
        </is>
      </c>
      <c r="B7141" s="4" t="s">
        <f>=HYPERLINK("http://anyluxury.ru/shop/odezhda/detskaya-odezhda/svitshot-toima-20-cherniy-1621430/" , "16214.30 Свитшот Toima 2.0, черный, размер XXL")</f>
      </c>
      <c r="C7141" s="4" t="n">
        <v>1291.00</v>
      </c>
      <c r="D7141" s="4"/>
    </row>
    <row collapsed="" customFormat="false" customHeight="1" hidden="" ht="14" outlineLevel="0" r="7142">
      <c r="A7142" s="3" t="inlineStr">
        <is>
          <t>7111</t>
        </is>
      </c>
      <c r="B7142" s="4" t="s">
        <f>=HYPERLINK("http://anyluxury.ru/shop/odezhda/detskaya-odezhda/svitshot-toima-20-cherniy-1621430/" , "16214.30 Свитшот Toima 2.0, черный, размер 3XL")</f>
      </c>
      <c r="C7142" s="4" t="n">
        <v>1291.00</v>
      </c>
      <c r="D7142" s="4"/>
    </row>
    <row collapsed="" customFormat="false" customHeight="1" hidden="" ht="14" outlineLevel="0" r="7143">
      <c r="A7143" s="3" t="inlineStr">
        <is>
          <t>7112</t>
        </is>
      </c>
      <c r="B7143" s="4" t="s">
        <f>=HYPERLINK("http://anyluxury.ru/shop/odezhda/detskaya-odezhda/svitshot-toima-20-cherniy-1621430/" , "16214.30 Свитшот Toima 2.0, черный, размер 4XL")</f>
      </c>
      <c r="C7143" s="4" t="n">
        <v>1291.00</v>
      </c>
      <c r="D7143" s="4"/>
    </row>
    <row collapsed="" customFormat="false" customHeight="1" hidden="" ht="14" outlineLevel="0" r="7144">
      <c r="A7144" s="3" t="inlineStr">
        <is>
          <t>7113</t>
        </is>
      </c>
      <c r="B7144" s="4" t="s">
        <f>=HYPERLINK("http://anyluxury.ru/shop/odezhda/detskaya-odezhda/svitshot-toima-20-cherniy-1621430/" , "16214.30 Свитшот Toima 2.0, черный, размер 5XL")</f>
      </c>
      <c r="C7144" s="4" t="n">
        <v>1291.00</v>
      </c>
      <c r="D7144" s="4"/>
    </row>
    <row collapsed="" customFormat="false" customHeight="1" hidden="" ht="14" outlineLevel="0" r="7145">
      <c r="A7145" s="3" t="inlineStr">
        <is>
          <t>7114</t>
        </is>
      </c>
      <c r="B7145" s="4" t="s">
        <f>=HYPERLINK("http://anyluxury.ru/shop/odezhda/detskaya-odezhda/svitshot-toima-20-temnosiniy-1621440/" , "16214.40 Свитшот Toima 2.0, темно-синий, размер XS")</f>
      </c>
      <c r="C7145" s="4" t="n">
        <v>1291.00</v>
      </c>
      <c r="D7145" s="4"/>
    </row>
    <row collapsed="" customFormat="false" customHeight="1" hidden="" ht="14" outlineLevel="0" r="7146">
      <c r="A7146" s="3" t="inlineStr">
        <is>
          <t>7115</t>
        </is>
      </c>
      <c r="B7146" s="4" t="s">
        <f>=HYPERLINK("http://anyluxury.ru/shop/odezhda/detskaya-odezhda/svitshot-toima-20-temnosiniy-1621440/" , "16214.40 Свитшот Toima 2.0, темно-синий, размер S")</f>
      </c>
      <c r="C7146" s="4" t="n">
        <v>1291.00</v>
      </c>
      <c r="D7146" s="4"/>
    </row>
    <row collapsed="" customFormat="false" customHeight="1" hidden="" ht="14" outlineLevel="0" r="7147">
      <c r="A7147" s="3" t="inlineStr">
        <is>
          <t>7116</t>
        </is>
      </c>
      <c r="B7147" s="4" t="s">
        <f>=HYPERLINK("http://anyluxury.ru/shop/odezhda/detskaya-odezhda/svitshot-toima-20-temnosiniy-1621440/" , "16214.40 Свитшот Toima 2.0, темно-синий, размер M")</f>
      </c>
      <c r="C7147" s="4" t="n">
        <v>1291.00</v>
      </c>
      <c r="D7147" s="4"/>
    </row>
    <row collapsed="" customFormat="false" customHeight="1" hidden="" ht="14" outlineLevel="0" r="7148">
      <c r="A7148" s="3" t="inlineStr">
        <is>
          <t>7117</t>
        </is>
      </c>
      <c r="B7148" s="4" t="s">
        <f>=HYPERLINK("http://anyluxury.ru/shop/odezhda/detskaya-odezhda/svitshot-toima-20-temnosiniy-1621440/" , "16214.40 Свитшот Toima 2.0, темно-синий, размер L")</f>
      </c>
      <c r="C7148" s="4" t="n">
        <v>1291.00</v>
      </c>
      <c r="D7148" s="4"/>
    </row>
    <row collapsed="" customFormat="false" customHeight="1" hidden="" ht="14" outlineLevel="0" r="7149">
      <c r="A7149" s="3" t="inlineStr">
        <is>
          <t>7118</t>
        </is>
      </c>
      <c r="B7149" s="4" t="s">
        <f>=HYPERLINK("http://anyluxury.ru/shop/odezhda/detskaya-odezhda/svitshot-toima-20-temnosiniy-1621440/" , "16214.40 Свитшот Toima 2.0, темно-синий, размер XL")</f>
      </c>
      <c r="C7149" s="4" t="n">
        <v>1291.00</v>
      </c>
      <c r="D7149" s="4"/>
    </row>
    <row collapsed="" customFormat="false" customHeight="1" hidden="" ht="14" outlineLevel="0" r="7150">
      <c r="A7150" s="3" t="inlineStr">
        <is>
          <t>7119</t>
        </is>
      </c>
      <c r="B7150" s="4" t="s">
        <f>=HYPERLINK("http://anyluxury.ru/shop/odezhda/detskaya-odezhda/svitshot-toima-20-temnosiniy-1621440/" , "16214.40 Свитшот Toima 2.0, темно-синий, размер XXL")</f>
      </c>
      <c r="C7150" s="4" t="n">
        <v>1291.00</v>
      </c>
      <c r="D7150" s="4"/>
    </row>
    <row collapsed="" customFormat="false" customHeight="1" hidden="" ht="14" outlineLevel="0" r="7151">
      <c r="A7151" s="3" t="inlineStr">
        <is>
          <t>7120</t>
        </is>
      </c>
      <c r="B7151" s="4" t="s">
        <f>=HYPERLINK("http://anyluxury.ru/shop/odezhda/detskaya-odezhda/svitshot-toima-20-temnosiniy-1621440/" , "16214.40 Свитшот Toima 2.0, темно-синий, размер 3XL")</f>
      </c>
      <c r="C7151" s="4" t="n">
        <v>1291.00</v>
      </c>
      <c r="D7151" s="4"/>
    </row>
    <row collapsed="" customFormat="false" customHeight="1" hidden="" ht="14" outlineLevel="0" r="7152">
      <c r="A7152" s="3" t="inlineStr">
        <is>
          <t>7121</t>
        </is>
      </c>
      <c r="B7152" s="4" t="s">
        <f>=HYPERLINK("http://anyluxury.ru/shop/odezhda/detskaya-odezhda/svitshot-toima-20-temnosiniy-1621440/" , "16214.40 Свитшот Toima 2.0, темно-синий, размер 4XL")</f>
      </c>
      <c r="C7152" s="4" t="n">
        <v>1291.00</v>
      </c>
      <c r="D7152" s="4"/>
    </row>
    <row collapsed="" customFormat="false" customHeight="1" hidden="" ht="14" outlineLevel="0" r="7153">
      <c r="A7153" s="3" t="inlineStr">
        <is>
          <t>7122</t>
        </is>
      </c>
      <c r="B7153" s="4" t="s">
        <f>=HYPERLINK("http://anyluxury.ru/shop/odezhda/detskaya-odezhda/svitshot-toima-20-temnosiniy-1621440/" , "16214.40 Свитшот Toima 2.0, темно-синий, размер 5XL")</f>
      </c>
      <c r="C7153" s="4" t="n">
        <v>1291.00</v>
      </c>
      <c r="D7153" s="4"/>
    </row>
    <row collapsed="" customFormat="false" customHeight="1" hidden="" ht="14" outlineLevel="0" r="7154">
      <c r="A7154" s="3" t="inlineStr">
        <is>
          <t>7123</t>
        </is>
      </c>
      <c r="B7154" s="4" t="s">
        <f>=HYPERLINK("http://anyluxury.ru/shop/odezhda/detskaya-odezhda/svitshot-toima-20-yarkosiniy-1621444/" , "16214.44 Свитшот Toima 2.0, ярко-синий, размер XS")</f>
      </c>
      <c r="C7154" s="4" t="n">
        <v>1291.00</v>
      </c>
      <c r="D7154" s="4"/>
    </row>
    <row collapsed="" customFormat="false" customHeight="1" hidden="" ht="14" outlineLevel="0" r="7155">
      <c r="A7155" s="3" t="inlineStr">
        <is>
          <t>7124</t>
        </is>
      </c>
      <c r="B7155" s="4" t="s">
        <f>=HYPERLINK("http://anyluxury.ru/shop/odezhda/detskaya-odezhda/svitshot-toima-20-yarkosiniy-1621444/" , "16214.44 Свитшот Toima 2.0, ярко-синий, размер S")</f>
      </c>
      <c r="C7155" s="4" t="n">
        <v>1291.00</v>
      </c>
      <c r="D7155" s="4"/>
    </row>
    <row collapsed="" customFormat="false" customHeight="1" hidden="" ht="14" outlineLevel="0" r="7156">
      <c r="A7156" s="3" t="inlineStr">
        <is>
          <t>7125</t>
        </is>
      </c>
      <c r="B7156" s="4" t="s">
        <f>=HYPERLINK("http://anyluxury.ru/shop/odezhda/detskaya-odezhda/svitshot-toima-20-yarkosiniy-1621444/" , "16214.44 Свитшот Toima 2.0, ярко-синий, размер M")</f>
      </c>
      <c r="C7156" s="4" t="n">
        <v>1291.00</v>
      </c>
      <c r="D7156" s="4"/>
    </row>
    <row collapsed="" customFormat="false" customHeight="1" hidden="" ht="14" outlineLevel="0" r="7157">
      <c r="A7157" s="3" t="inlineStr">
        <is>
          <t>7126</t>
        </is>
      </c>
      <c r="B7157" s="4" t="s">
        <f>=HYPERLINK("http://anyluxury.ru/shop/odezhda/detskaya-odezhda/svitshot-toima-20-yarkosiniy-1621444/" , "16214.44 Свитшот Toima 2.0, ярко-синий, размер XL")</f>
      </c>
      <c r="C7157" s="4" t="n">
        <v>1291.00</v>
      </c>
      <c r="D7157" s="4"/>
    </row>
    <row collapsed="" customFormat="false" customHeight="1" hidden="" ht="14" outlineLevel="0" r="7158">
      <c r="A7158" s="3" t="inlineStr">
        <is>
          <t>7127</t>
        </is>
      </c>
      <c r="B7158" s="4" t="s">
        <f>=HYPERLINK("http://anyluxury.ru/shop/odezhda/detskaya-odezhda/svitshot-toima-20-yarkosiniy-1621444/" , "16214.44 Свитшот Toima 2.0, ярко-синий, размер XXL")</f>
      </c>
      <c r="C7158" s="4" t="n">
        <v>1291.00</v>
      </c>
      <c r="D7158" s="4"/>
    </row>
    <row collapsed="" customFormat="false" customHeight="1" hidden="" ht="14" outlineLevel="0" r="7159">
      <c r="A7159" s="3" t="inlineStr">
        <is>
          <t>7128</t>
        </is>
      </c>
      <c r="B7159" s="4" t="s">
        <f>=HYPERLINK("http://anyluxury.ru/shop/odezhda/detskaya-odezhda/svitshot-toima-20-yarkosiniy-1621444/" , "16214.44 Свитшот Toima 2.0, ярко-синий, размер 3XL")</f>
      </c>
      <c r="C7159" s="4" t="n">
        <v>1291.00</v>
      </c>
      <c r="D7159" s="4"/>
    </row>
    <row collapsed="" customFormat="false" customHeight="1" hidden="" ht="14" outlineLevel="0" r="7160">
      <c r="A7160" s="3" t="inlineStr">
        <is>
          <t>7129</t>
        </is>
      </c>
      <c r="B7160" s="4" t="s">
        <f>=HYPERLINK("http://anyluxury.ru/shop/odezhda/detskaya-odezhda/svitshot-toima-20-yarkosiniy-1621444/" , "16214.44 Свитшот Toima 2.0, ярко-синий, размер 4XL")</f>
      </c>
      <c r="C7160" s="4" t="n">
        <v>1291.00</v>
      </c>
      <c r="D7160" s="4"/>
    </row>
    <row collapsed="" customFormat="false" customHeight="1" hidden="" ht="14" outlineLevel="0" r="7161">
      <c r="A7161" s="3" t="inlineStr">
        <is>
          <t>7130</t>
        </is>
      </c>
      <c r="B7161" s="4" t="s">
        <f>=HYPERLINK("http://anyluxury.ru/shop/odezhda/detskaya-odezhda/svitshot-toima-20-yarkosiniy-1621444/" , "16214.44 Свитшот Toima 2.0, ярко-синий, размер 5XL")</f>
      </c>
      <c r="C7161" s="4" t="n">
        <v>1291.00</v>
      </c>
      <c r="D7161" s="4"/>
    </row>
    <row collapsed="" customFormat="false" customHeight="1" hidden="" ht="14" outlineLevel="0" r="7162">
      <c r="A7162" s="3" t="inlineStr">
        <is>
          <t>7131</t>
        </is>
      </c>
      <c r="B7162" s="4" t="s">
        <f>=HYPERLINK("http://anyluxury.ru/shop/odezhda/detskaya-odezhda/svitshot-toima-20-krasniy-1621450/" , "16214.50 Свитшот Toima 2.0, красный, размер XS")</f>
      </c>
      <c r="C7162" s="4" t="n">
        <v>1291.00</v>
      </c>
      <c r="D7162" s="4"/>
    </row>
    <row collapsed="" customFormat="false" customHeight="1" hidden="" ht="14" outlineLevel="0" r="7163">
      <c r="A7163" s="3" t="inlineStr">
        <is>
          <t>7132</t>
        </is>
      </c>
      <c r="B7163" s="4" t="s">
        <f>=HYPERLINK("http://anyluxury.ru/shop/odezhda/detskaya-odezhda/svitshot-toima-20-krasniy-1621450/" , "16214.50 Свитшот Toima 2.0, красный, размер XL")</f>
      </c>
      <c r="C7163" s="4" t="n">
        <v>1291.00</v>
      </c>
      <c r="D7163" s="4"/>
    </row>
    <row collapsed="" customFormat="false" customHeight="1" hidden="" ht="14" outlineLevel="0" r="7164">
      <c r="A7164" s="3" t="inlineStr">
        <is>
          <t>7133</t>
        </is>
      </c>
      <c r="B7164" s="4" t="s">
        <f>=HYPERLINK("http://anyluxury.ru/shop/odezhda/detskaya-odezhda/svitshot-toima-20-krasniy-1621450/" , "16214.50 Свитшот Toima 2.0, красный, размер XXL")</f>
      </c>
      <c r="C7164" s="4" t="n">
        <v>1291.00</v>
      </c>
      <c r="D7164" s="4"/>
    </row>
    <row collapsed="" customFormat="false" customHeight="1" hidden="" ht="14" outlineLevel="0" r="7165">
      <c r="A7165" s="3" t="inlineStr">
        <is>
          <t>7134</t>
        </is>
      </c>
      <c r="B7165" s="4" t="s">
        <f>=HYPERLINK("http://anyluxury.ru/shop/odezhda/detskaya-odezhda/svitshot-toima-20-krasniy-1621450/" , "16214.50 Свитшот Toima 2.0, красный, размер 3XL")</f>
      </c>
      <c r="C7165" s="4" t="n">
        <v>1291.00</v>
      </c>
      <c r="D7165" s="4"/>
    </row>
    <row collapsed="" customFormat="false" customHeight="1" hidden="" ht="14" outlineLevel="0" r="7166">
      <c r="A7166" s="3" t="inlineStr">
        <is>
          <t>7135</t>
        </is>
      </c>
      <c r="B7166" s="4" t="s">
        <f>=HYPERLINK("http://anyluxury.ru/shop/odezhda/detskaya-odezhda/svitshot-toima-20-krasniy-1621450/" , "16214.50 Свитшот Toima 2.0, красный, размер 4XL")</f>
      </c>
      <c r="C7166" s="4" t="n">
        <v>1291.00</v>
      </c>
      <c r="D7166" s="4"/>
    </row>
    <row collapsed="" customFormat="false" customHeight="1" hidden="" ht="14" outlineLevel="0" r="7167">
      <c r="A7167" s="3" t="inlineStr">
        <is>
          <t>7136</t>
        </is>
      </c>
      <c r="B7167" s="4" t="s">
        <f>=HYPERLINK("http://anyluxury.ru/shop/odezhda/detskaya-odezhda/svitshot-toima-20-beliy-1621460/" , "16214.60 Свитшот Toima 2.0, белый, размер XS")</f>
      </c>
      <c r="C7167" s="4" t="n">
        <v>1291.00</v>
      </c>
      <c r="D7167" s="4"/>
    </row>
    <row collapsed="" customFormat="false" customHeight="1" hidden="" ht="14" outlineLevel="0" r="7168">
      <c r="A7168" s="3" t="inlineStr">
        <is>
          <t>7137</t>
        </is>
      </c>
      <c r="B7168" s="4" t="s">
        <f>=HYPERLINK("http://anyluxury.ru/shop/odezhda/detskaya-odezhda/svitshot-toima-20-beliy-1621460/" , "16214.60 Свитшот Toima 2.0, белый, размер S")</f>
      </c>
      <c r="C7168" s="4" t="n">
        <v>1291.00</v>
      </c>
      <c r="D7168" s="4"/>
    </row>
    <row collapsed="" customFormat="false" customHeight="1" hidden="" ht="14" outlineLevel="0" r="7169">
      <c r="A7169" s="3" t="inlineStr">
        <is>
          <t>7138</t>
        </is>
      </c>
      <c r="B7169" s="4" t="s">
        <f>=HYPERLINK("http://anyluxury.ru/shop/odezhda/detskaya-odezhda/svitshot-toima-20-beliy-1621460/" , "16214.60 Свитшот Toima 2.0, белый, размер M")</f>
      </c>
      <c r="C7169" s="4" t="n">
        <v>1291.00</v>
      </c>
      <c r="D7169" s="4"/>
    </row>
    <row collapsed="" customFormat="false" customHeight="1" hidden="" ht="14" outlineLevel="0" r="7170">
      <c r="A7170" s="3" t="inlineStr">
        <is>
          <t>7139</t>
        </is>
      </c>
      <c r="B7170" s="4" t="s">
        <f>=HYPERLINK("http://anyluxury.ru/shop/odezhda/detskaya-odezhda/svitshot-toima-20-beliy-1621460/" , "16214.60 Свитшот Toima 2.0, белый, размер L")</f>
      </c>
      <c r="C7170" s="4" t="n">
        <v>1291.00</v>
      </c>
      <c r="D7170" s="4"/>
    </row>
    <row collapsed="" customFormat="false" customHeight="1" hidden="" ht="14" outlineLevel="0" r="7171">
      <c r="A7171" s="3" t="inlineStr">
        <is>
          <t>7140</t>
        </is>
      </c>
      <c r="B7171" s="4" t="s">
        <f>=HYPERLINK("http://anyluxury.ru/shop/odezhda/detskaya-odezhda/svitshot-toima-20-beliy-1621460/" , "16214.60 Свитшот Toima 2.0, белый, размер XL")</f>
      </c>
      <c r="C7171" s="4" t="n">
        <v>1291.00</v>
      </c>
      <c r="D7171" s="4"/>
    </row>
    <row collapsed="" customFormat="false" customHeight="1" hidden="" ht="14" outlineLevel="0" r="7172">
      <c r="A7172" s="3" t="inlineStr">
        <is>
          <t>7141</t>
        </is>
      </c>
      <c r="B7172" s="4" t="s">
        <f>=HYPERLINK("http://anyluxury.ru/shop/odezhda/detskaya-odezhda/svitshot-toima-20-beliy-1621460/" , "16214.60 Свитшот Toima 2.0, белый, размер XXL")</f>
      </c>
      <c r="C7172" s="4" t="n">
        <v>1291.00</v>
      </c>
      <c r="D7172" s="4"/>
    </row>
    <row collapsed="" customFormat="false" customHeight="1" hidden="" ht="14" outlineLevel="0" r="7173">
      <c r="A7173" s="3" t="inlineStr">
        <is>
          <t>7142</t>
        </is>
      </c>
      <c r="B7173" s="4" t="s">
        <f>=HYPERLINK("http://anyluxury.ru/shop/odezhda/detskaya-odezhda/svitshot-toima-20-beliy-1621460/" , "16214.60 Свитшот Toima 2.0, белый, размер 3XL")</f>
      </c>
      <c r="C7173" s="4" t="n">
        <v>1291.00</v>
      </c>
      <c r="D7173" s="4"/>
    </row>
    <row collapsed="" customFormat="false" customHeight="1" hidden="" ht="14" outlineLevel="0" r="7174">
      <c r="A7174" s="3" t="inlineStr">
        <is>
          <t>7143</t>
        </is>
      </c>
      <c r="B7174" s="4" t="s">
        <f>=HYPERLINK("http://anyluxury.ru/shop/odezhda/detskaya-odezhda/svitshot-toima-20-beliy-1621460/" , "16214.60 Свитшот Toima 2.0, белый, размер 4XL")</f>
      </c>
      <c r="C7174" s="4" t="n">
        <v>1291.00</v>
      </c>
      <c r="D7174" s="4"/>
    </row>
    <row collapsed="" customFormat="false" customHeight="1" hidden="" ht="14" outlineLevel="0" r="7175">
      <c r="A7175" s="3" t="inlineStr">
        <is>
          <t>7144</t>
        </is>
      </c>
      <c r="B7175" s="4" t="s">
        <f>=HYPERLINK("http://anyluxury.ru/shop/odezhda/detskaya-odezhda/svitshot-toima-20-beliy-1621460/" , "16214.60 Свитшот Toima 2.0, белый, размер 5XL")</f>
      </c>
      <c r="C7175" s="4" t="n">
        <v>1291.00</v>
      </c>
      <c r="D7175" s="4"/>
    </row>
    <row collapsed="" customFormat="false" customHeight="1" hidden="" ht="14" outlineLevel="0" r="7176">
      <c r="A7176" s="3" t="inlineStr">
        <is>
          <t>7145</t>
        </is>
      </c>
      <c r="B7176" s="4" t="s">
        <f>=HYPERLINK("http://anyluxury.ru/shop/odezhda/detskaya-odezhda/svitshot-toima-20-fioletoviy-1621478/" , "16214.78 Свитшот Toima 2.0, фиолетовый, размер XS")</f>
      </c>
      <c r="C7176" s="4" t="n">
        <v>1291.00</v>
      </c>
      <c r="D7176" s="4"/>
    </row>
    <row collapsed="" customFormat="false" customHeight="1" hidden="" ht="14" outlineLevel="0" r="7177">
      <c r="A7177" s="3" t="inlineStr">
        <is>
          <t>7146</t>
        </is>
      </c>
      <c r="B7177" s="4" t="s">
        <f>=HYPERLINK("http://anyluxury.ru/shop/odezhda/detskaya-odezhda/svitshot-toima-20-fioletoviy-1621478/" , "16214.78 Свитшот Toima 2.0, фиолетовый, размер S")</f>
      </c>
      <c r="C7177" s="4" t="n">
        <v>1291.00</v>
      </c>
      <c r="D7177" s="4"/>
    </row>
    <row collapsed="" customFormat="false" customHeight="1" hidden="" ht="14" outlineLevel="0" r="7178">
      <c r="A7178" s="3" t="inlineStr">
        <is>
          <t>7147</t>
        </is>
      </c>
      <c r="B7178" s="4" t="s">
        <f>=HYPERLINK("http://anyluxury.ru/shop/odezhda/detskaya-odezhda/svitshot-toima-20-fioletoviy-1621478/" , "16214.78 Свитшот Toima 2.0, фиолетовый, размер L")</f>
      </c>
      <c r="C7178" s="4" t="n">
        <v>1291.00</v>
      </c>
      <c r="D7178" s="4"/>
    </row>
    <row collapsed="" customFormat="false" customHeight="1" hidden="" ht="14" outlineLevel="0" r="7179">
      <c r="A7179" s="3" t="inlineStr">
        <is>
          <t>7148</t>
        </is>
      </c>
      <c r="B7179" s="4" t="s">
        <f>=HYPERLINK("http://anyluxury.ru/shop/odezhda/detskaya-odezhda/svitshot-toima-20-fioletoviy-1621478/" , "16214.78 Свитшот Toima 2.0, фиолетовый, размер XL")</f>
      </c>
      <c r="C7179" s="4" t="n">
        <v>1291.00</v>
      </c>
      <c r="D7179" s="4"/>
    </row>
    <row collapsed="" customFormat="false" customHeight="1" hidden="" ht="14" outlineLevel="0" r="7180">
      <c r="A7180" s="3" t="inlineStr">
        <is>
          <t>7149</t>
        </is>
      </c>
      <c r="B7180" s="4" t="s">
        <f>=HYPERLINK("http://anyluxury.ru/shop/odezhda/detskaya-odezhda/svitshot-toima-20-fioletoviy-1621478/" , "16214.78 Свитшот Toima 2.0, фиолетовый, размер 3XL")</f>
      </c>
      <c r="C7180" s="4" t="n">
        <v>1291.00</v>
      </c>
      <c r="D7180" s="4"/>
    </row>
    <row collapsed="" customFormat="false" customHeight="1" hidden="" ht="14" outlineLevel="0" r="7181">
      <c r="A7181" s="3" t="inlineStr">
        <is>
          <t>7150</t>
        </is>
      </c>
      <c r="B7181" s="4" t="s">
        <f>=HYPERLINK("http://anyluxury.ru/shop/odezhda/detskaya-odezhda/svitshot-toima-20-fioletoviy-1621478/" , "16214.78 Свитшот Toima 2.0, фиолетовый, размер 4XL")</f>
      </c>
      <c r="C7181" s="4" t="n">
        <v>1291.00</v>
      </c>
      <c r="D7181" s="4"/>
    </row>
    <row collapsed="" customFormat="false" customHeight="1" hidden="" ht="14" outlineLevel="0" r="7182">
      <c r="A7182" s="3" t="inlineStr">
        <is>
          <t>7151</t>
        </is>
      </c>
      <c r="B7182" s="4" t="s">
        <f>=HYPERLINK("http://anyluxury.ru/shop/odezhda/detskaya-odezhda/svitshot-toima-20-zheltiy-1621480/" , "16214.80 Свитшот Toima 2.0, желтый, размер XS")</f>
      </c>
      <c r="C7182" s="4" t="n">
        <v>1291.00</v>
      </c>
      <c r="D7182" s="4"/>
    </row>
    <row collapsed="" customFormat="false" customHeight="1" hidden="" ht="14" outlineLevel="0" r="7183">
      <c r="A7183" s="3" t="inlineStr">
        <is>
          <t>7152</t>
        </is>
      </c>
      <c r="B7183" s="4" t="s">
        <f>=HYPERLINK("http://anyluxury.ru/shop/odezhda/detskaya-odezhda/svitshot-toima-20-zheltiy-1621480/" , "16214.80 Свитшот Toima 2.0, желтый, размер S")</f>
      </c>
      <c r="C7183" s="4" t="n">
        <v>1291.00</v>
      </c>
      <c r="D7183" s="4"/>
    </row>
    <row collapsed="" customFormat="false" customHeight="1" hidden="" ht="14" outlineLevel="0" r="7184">
      <c r="A7184" s="3" t="inlineStr">
        <is>
          <t>7153</t>
        </is>
      </c>
      <c r="B7184" s="4" t="s">
        <f>=HYPERLINK("http://anyluxury.ru/shop/odezhda/detskaya-odezhda/svitshot-toima-20-zheltiy-1621480/" , "16214.80 Свитшот Toima 2.0, желтый, размер M")</f>
      </c>
      <c r="C7184" s="4" t="n">
        <v>1291.00</v>
      </c>
      <c r="D7184" s="4"/>
    </row>
    <row collapsed="" customFormat="false" customHeight="1" hidden="" ht="14" outlineLevel="0" r="7185">
      <c r="A7185" s="3" t="inlineStr">
        <is>
          <t>7154</t>
        </is>
      </c>
      <c r="B7185" s="4" t="s">
        <f>=HYPERLINK("http://anyluxury.ru/shop/odezhda/detskaya-odezhda/svitshot-toima-20-zheltiy-1621480/" , "16214.80 Свитшот Toima 2.0, желтый, размер L")</f>
      </c>
      <c r="C7185" s="4" t="n">
        <v>1291.00</v>
      </c>
      <c r="D7185" s="4"/>
    </row>
    <row collapsed="" customFormat="false" customHeight="1" hidden="" ht="14" outlineLevel="0" r="7186">
      <c r="A7186" s="3" t="inlineStr">
        <is>
          <t>7155</t>
        </is>
      </c>
      <c r="B7186" s="4" t="s">
        <f>=HYPERLINK("http://anyluxury.ru/shop/odezhda/detskaya-odezhda/svitshot-toima-20-zheltiy-1621480/" , "16214.80 Свитшот Toima 2.0, желтый, размер XL")</f>
      </c>
      <c r="C7186" s="4" t="n">
        <v>1291.00</v>
      </c>
      <c r="D7186" s="4"/>
    </row>
    <row collapsed="" customFormat="false" customHeight="1" hidden="" ht="14" outlineLevel="0" r="7187">
      <c r="A7187" s="3" t="inlineStr">
        <is>
          <t>7156</t>
        </is>
      </c>
      <c r="B7187" s="4" t="s">
        <f>=HYPERLINK("http://anyluxury.ru/shop/odezhda/detskaya-odezhda/svitshot-toima-20-zheltiy-1621480/" , "16214.80 Свитшот Toima 2.0, желтый, размер XXL")</f>
      </c>
      <c r="C7187" s="4" t="n">
        <v>1291.00</v>
      </c>
      <c r="D7187" s="4"/>
    </row>
    <row collapsed="" customFormat="false" customHeight="1" hidden="" ht="14" outlineLevel="0" r="7188">
      <c r="A7188" s="3" t="inlineStr">
        <is>
          <t>7157</t>
        </is>
      </c>
      <c r="B7188" s="4" t="s">
        <f>=HYPERLINK("http://anyluxury.ru/shop/odezhda/detskaya-odezhda/svitshot-toima-20-zheltiy-1621480/" , "16214.80 Свитшот Toima 2.0, желтый, размер 3XL")</f>
      </c>
      <c r="C7188" s="4" t="n">
        <v>1291.00</v>
      </c>
      <c r="D7188" s="4"/>
    </row>
    <row collapsed="" customFormat="false" customHeight="1" hidden="" ht="14" outlineLevel="0" r="7189">
      <c r="A7189" s="3" t="inlineStr">
        <is>
          <t>7158</t>
        </is>
      </c>
      <c r="B7189" s="4" t="s">
        <f>=HYPERLINK("http://anyluxury.ru/shop/odezhda/detskaya-odezhda/svitshot-toima-20-zheltiy-1621480/" , "16214.80 Свитшот Toima 2.0, желтый, размер 4XL")</f>
      </c>
      <c r="C7189" s="4" t="n">
        <v>1291.00</v>
      </c>
      <c r="D7189" s="4"/>
    </row>
    <row collapsed="" customFormat="false" customHeight="1" hidden="" ht="14" outlineLevel="0" r="7190">
      <c r="A7190" s="3" t="inlineStr">
        <is>
          <t>7159</t>
        </is>
      </c>
      <c r="B7190" s="4" t="s">
        <f>=HYPERLINK("http://anyluxury.ru/shop/odezhda/detskaya-odezhda/svitshot-toima-20-temnozeleniy-1621490/" , "16214.90 Свитшот Toima 2.0, темно-зеленый, размер XS")</f>
      </c>
      <c r="C7190" s="4" t="n">
        <v>1291.00</v>
      </c>
      <c r="D7190" s="4"/>
    </row>
    <row collapsed="" customFormat="false" customHeight="1" hidden="" ht="14" outlineLevel="0" r="7191">
      <c r="A7191" s="3" t="inlineStr">
        <is>
          <t>7160</t>
        </is>
      </c>
      <c r="B7191" s="4" t="s">
        <f>=HYPERLINK("http://anyluxury.ru/shop/odezhda/detskaya-odezhda/svitshot-toima-20-temnozeleniy-1621490/" , "16214.90 Свитшот Toima 2.0, темно-зеленый, размер S")</f>
      </c>
      <c r="C7191" s="4" t="n">
        <v>1291.00</v>
      </c>
      <c r="D7191" s="4"/>
    </row>
    <row collapsed="" customFormat="false" customHeight="1" hidden="" ht="14" outlineLevel="0" r="7192">
      <c r="A7192" s="3" t="inlineStr">
        <is>
          <t>7161</t>
        </is>
      </c>
      <c r="B7192" s="4" t="s">
        <f>=HYPERLINK("http://anyluxury.ru/shop/odezhda/detskaya-odezhda/svitshot-toima-20-temnozeleniy-1621490/" , "16214.90 Свитшот Toima 2.0, темно-зеленый, размер M")</f>
      </c>
      <c r="C7192" s="4" t="n">
        <v>1291.00</v>
      </c>
      <c r="D7192" s="4"/>
    </row>
    <row collapsed="" customFormat="false" customHeight="1" hidden="" ht="14" outlineLevel="0" r="7193">
      <c r="A7193" s="3" t="inlineStr">
        <is>
          <t>7162</t>
        </is>
      </c>
      <c r="B7193" s="4" t="s">
        <f>=HYPERLINK("http://anyluxury.ru/shop/odezhda/detskaya-odezhda/svitshot-toima-20-temnozeleniy-1621490/" , "16214.90 Свитшот Toima 2.0, темно-зеленый, размер L")</f>
      </c>
      <c r="C7193" s="4" t="n">
        <v>1291.00</v>
      </c>
      <c r="D7193" s="4"/>
    </row>
    <row collapsed="" customFormat="false" customHeight="1" hidden="" ht="14" outlineLevel="0" r="7194">
      <c r="A7194" s="3" t="inlineStr">
        <is>
          <t>7163</t>
        </is>
      </c>
      <c r="B7194" s="4" t="s">
        <f>=HYPERLINK("http://anyluxury.ru/shop/odezhda/detskaya-odezhda/svitshot-toima-20-temnozeleniy-1621490/" , "16214.90 Свитшот Toima 2.0, темно-зеленый, размер XL")</f>
      </c>
      <c r="C7194" s="4" t="n">
        <v>1291.00</v>
      </c>
      <c r="D7194" s="4"/>
    </row>
    <row collapsed="" customFormat="false" customHeight="1" hidden="" ht="14" outlineLevel="0" r="7195">
      <c r="A7195" s="3" t="inlineStr">
        <is>
          <t>7164</t>
        </is>
      </c>
      <c r="B7195" s="4" t="s">
        <f>=HYPERLINK("http://anyluxury.ru/shop/odezhda/detskaya-odezhda/svitshot-toima-20-temnozeleniy-1621490/" , "16214.90 Свитшот Toima 2.0, темно-зеленый, размер XXL")</f>
      </c>
      <c r="C7195" s="4" t="n">
        <v>1291.00</v>
      </c>
      <c r="D7195" s="4"/>
    </row>
    <row collapsed="" customFormat="false" customHeight="1" hidden="" ht="14" outlineLevel="0" r="7196">
      <c r="A7196" s="3" t="inlineStr">
        <is>
          <t>7165</t>
        </is>
      </c>
      <c r="B7196" s="4" t="s">
        <f>=HYPERLINK("http://anyluxury.ru/shop/odezhda/detskaya-odezhda/svitshot-toima-20-temnozeleniy-1621490/" , "16214.90 Свитшот Toima 2.0, темно-зеленый, размер 3XL")</f>
      </c>
      <c r="C7196" s="4" t="n">
        <v>1291.00</v>
      </c>
      <c r="D7196" s="4"/>
    </row>
    <row collapsed="" customFormat="false" customHeight="1" hidden="" ht="14" outlineLevel="0" r="7197">
      <c r="A7197" s="3" t="inlineStr">
        <is>
          <t>7166</t>
        </is>
      </c>
      <c r="B7197" s="4" t="s">
        <f>=HYPERLINK("http://anyluxury.ru/shop/odezhda/detskaya-odezhda/svitshot-toima-20-temnozeleniy-1621490/" , "16214.90 Свитшот Toima 2.0, темно-зеленый, размер 4XL")</f>
      </c>
      <c r="C7197" s="4" t="n">
        <v>1291.00</v>
      </c>
      <c r="D7197" s="4"/>
    </row>
    <row collapsed="" customFormat="false" customHeight="1" hidden="" ht="14" outlineLevel="0" r="7198">
      <c r="A7198" s="3" t="inlineStr">
        <is>
          <t>7167</t>
        </is>
      </c>
      <c r="B7198" s="4" t="s">
        <f>=HYPERLINK("http://anyluxury.ru/shop/odezhda/detskaya-odezhda/svitshot-toima-20-zeleniy-1621492/" , "16214.92 Свитшот Toima 2.0, зеленый, размер XS")</f>
      </c>
      <c r="C7198" s="4" t="n">
        <v>1291.00</v>
      </c>
      <c r="D7198" s="4"/>
    </row>
    <row collapsed="" customFormat="false" customHeight="1" hidden="" ht="14" outlineLevel="0" r="7199">
      <c r="A7199" s="3" t="inlineStr">
        <is>
          <t>7168</t>
        </is>
      </c>
      <c r="B7199" s="4" t="s">
        <f>=HYPERLINK("http://anyluxury.ru/shop/odezhda/detskaya-odezhda/svitshot-toima-20-zeleniy-1621492/" , "16214.92 Свитшот Toima 2.0, зеленый, размер S")</f>
      </c>
      <c r="C7199" s="4" t="n">
        <v>1291.00</v>
      </c>
      <c r="D7199" s="4"/>
    </row>
    <row collapsed="" customFormat="false" customHeight="1" hidden="" ht="14" outlineLevel="0" r="7200">
      <c r="A7200" s="3" t="inlineStr">
        <is>
          <t>7169</t>
        </is>
      </c>
      <c r="B7200" s="4" t="s">
        <f>=HYPERLINK("http://anyluxury.ru/shop/odezhda/detskaya-odezhda/svitshot-toima-20-zeleniy-1621492/" , "16214.92 Свитшот Toima 2.0, зеленый, размер M")</f>
      </c>
      <c r="C7200" s="4" t="n">
        <v>1291.00</v>
      </c>
      <c r="D7200" s="4"/>
    </row>
    <row collapsed="" customFormat="false" customHeight="1" hidden="" ht="14" outlineLevel="0" r="7201">
      <c r="A7201" s="3" t="inlineStr">
        <is>
          <t>7170</t>
        </is>
      </c>
      <c r="B7201" s="4" t="s">
        <f>=HYPERLINK("http://anyluxury.ru/shop/odezhda/detskaya-odezhda/svitshot-toima-20-zeleniy-1621492/" , "16214.92 Свитшот Toima 2.0, зеленый, размер L")</f>
      </c>
      <c r="C7201" s="4" t="n">
        <v>1291.00</v>
      </c>
      <c r="D7201" s="4"/>
    </row>
    <row collapsed="" customFormat="false" customHeight="1" hidden="" ht="14" outlineLevel="0" r="7202">
      <c r="A7202" s="3" t="inlineStr">
        <is>
          <t>7171</t>
        </is>
      </c>
      <c r="B7202" s="4" t="s">
        <f>=HYPERLINK("http://anyluxury.ru/shop/odezhda/detskaya-odezhda/svitshot-toima-20-zeleniy-1621492/" , "16214.92 Свитшот Toima 2.0, зеленый, размер XL")</f>
      </c>
      <c r="C7202" s="4" t="n">
        <v>1291.00</v>
      </c>
      <c r="D7202" s="4"/>
    </row>
    <row collapsed="" customFormat="false" customHeight="1" hidden="" ht="14" outlineLevel="0" r="7203">
      <c r="A7203" s="3" t="inlineStr">
        <is>
          <t>7172</t>
        </is>
      </c>
      <c r="B7203" s="4" t="s">
        <f>=HYPERLINK("http://anyluxury.ru/shop/odezhda/detskaya-odezhda/svitshot-toima-20-zeleniy-1621492/" , "16214.92 Свитшот Toima 2.0, зеленый, размер XXL")</f>
      </c>
      <c r="C7203" s="4" t="n">
        <v>1291.00</v>
      </c>
      <c r="D7203" s="4"/>
    </row>
    <row collapsed="" customFormat="false" customHeight="1" hidden="" ht="14" outlineLevel="0" r="7204">
      <c r="A7204" s="3" t="inlineStr">
        <is>
          <t>7173</t>
        </is>
      </c>
      <c r="B7204" s="4" t="s">
        <f>=HYPERLINK("http://anyluxury.ru/shop/odezhda/detskaya-odezhda/svitshot-toima-20-zeleniy-1621492/" , "16214.92 Свитшот Toima 2.0, зеленый, размер 3XL")</f>
      </c>
      <c r="C7204" s="4" t="n">
        <v>1291.00</v>
      </c>
      <c r="D7204" s="4"/>
    </row>
    <row collapsed="" customFormat="false" customHeight="1" hidden="" ht="14" outlineLevel="0" r="7205">
      <c r="A7205" s="3" t="inlineStr">
        <is>
          <t>7174</t>
        </is>
      </c>
      <c r="B7205" s="4" t="s">
        <f>=HYPERLINK("http://anyluxury.ru/shop/odezhda/detskaya-odezhda/svitshot-toima-20-zeleniy-1621492/" , "16214.92 Свитшот Toima 2.0, зеленый, размер 4XL")</f>
      </c>
      <c r="C7205" s="4" t="n">
        <v>1291.00</v>
      </c>
      <c r="D7205" s="4"/>
    </row>
    <row collapsed="" customFormat="false" customHeight="1" hidden="" ht="14" outlineLevel="0" r="7206">
      <c r="A7206" s="3" t="inlineStr">
        <is>
          <t>7175</t>
        </is>
      </c>
      <c r="B7206" s="4" t="s">
        <f>=HYPERLINK("http://anyluxury.ru/shop/odezhda/detskaya-odezhda/svitshot-toima-20-zelenoe-yabloko-1621494/" , "16214.94 Свитшот Toima 2.0, зеленое яблоко, размер XS")</f>
      </c>
      <c r="C7206" s="4" t="n">
        <v>1291.00</v>
      </c>
      <c r="D7206" s="4"/>
    </row>
    <row collapsed="" customFormat="false" customHeight="1" hidden="" ht="14" outlineLevel="0" r="7207">
      <c r="A7207" s="3" t="inlineStr">
        <is>
          <t>7176</t>
        </is>
      </c>
      <c r="B7207" s="4" t="s">
        <f>=HYPERLINK("http://anyluxury.ru/shop/odezhda/detskaya-odezhda/svitshot-toima-20-zelenoe-yabloko-1621494/" , "16214.94 Свитшот Toima 2.0, зеленое яблоко, размер S")</f>
      </c>
      <c r="C7207" s="4" t="n">
        <v>1291.00</v>
      </c>
      <c r="D7207" s="4"/>
    </row>
    <row collapsed="" customFormat="false" customHeight="1" hidden="" ht="14" outlineLevel="0" r="7208">
      <c r="A7208" s="3" t="inlineStr">
        <is>
          <t>7177</t>
        </is>
      </c>
      <c r="B7208" s="4" t="s">
        <f>=HYPERLINK("http://anyluxury.ru/shop/odezhda/detskaya-odezhda/svitshot-toima-20-zelenoe-yabloko-1621494/" , "16214.94 Свитшот Toima 2.0, зеленое яблоко, размер M")</f>
      </c>
      <c r="C7208" s="4" t="n">
        <v>1291.00</v>
      </c>
      <c r="D7208" s="4"/>
    </row>
    <row collapsed="" customFormat="false" customHeight="1" hidden="" ht="14" outlineLevel="0" r="7209">
      <c r="A7209" s="3" t="inlineStr">
        <is>
          <t>7178</t>
        </is>
      </c>
      <c r="B7209" s="4" t="s">
        <f>=HYPERLINK("http://anyluxury.ru/shop/odezhda/detskaya-odezhda/svitshot-toima-20-zelenoe-yabloko-1621494/" , "16214.94 Свитшот Toima 2.0, зеленое яблоко, размер L")</f>
      </c>
      <c r="C7209" s="4" t="n">
        <v>1291.00</v>
      </c>
      <c r="D7209" s="4"/>
    </row>
    <row collapsed="" customFormat="false" customHeight="1" hidden="" ht="14" outlineLevel="0" r="7210">
      <c r="A7210" s="3" t="inlineStr">
        <is>
          <t>7179</t>
        </is>
      </c>
      <c r="B7210" s="4" t="s">
        <f>=HYPERLINK("http://anyluxury.ru/shop/odezhda/detskaya-odezhda/svitshot-toima-20-zelenoe-yabloko-1621494/" , "16214.94 Свитшот Toima 2.0, зеленое яблоко, размер XL")</f>
      </c>
      <c r="C7210" s="4" t="n">
        <v>1291.00</v>
      </c>
      <c r="D7210" s="4"/>
    </row>
    <row collapsed="" customFormat="false" customHeight="1" hidden="" ht="14" outlineLevel="0" r="7211">
      <c r="A7211" s="3" t="inlineStr">
        <is>
          <t>7180</t>
        </is>
      </c>
      <c r="B7211" s="4" t="s">
        <f>=HYPERLINK("http://anyluxury.ru/shop/odezhda/detskaya-odezhda/svitshot-toima-20-zelenoe-yabloko-1621494/" , "16214.94 Свитшот Toima 2.0, зеленое яблоко, размер XXL")</f>
      </c>
      <c r="C7211" s="4" t="n">
        <v>1291.00</v>
      </c>
      <c r="D7211" s="4"/>
    </row>
    <row collapsed="" customFormat="false" customHeight="1" hidden="" ht="14" outlineLevel="0" r="7212">
      <c r="A7212" s="3" t="inlineStr">
        <is>
          <t>7181</t>
        </is>
      </c>
      <c r="B7212" s="4" t="s">
        <f>=HYPERLINK("http://anyluxury.ru/shop/odezhda/detskaya-odezhda/svitshot-toima-20-zelenoe-yabloko-1621494/" , "16214.94 Свитшот Toima 2.0, зеленое яблоко, размер 3XL")</f>
      </c>
      <c r="C7212" s="4" t="n">
        <v>1291.00</v>
      </c>
      <c r="D7212" s="4"/>
    </row>
    <row collapsed="" customFormat="false" customHeight="1" hidden="" ht="14" outlineLevel="0" r="7213">
      <c r="A7213" s="3" t="inlineStr">
        <is>
          <t>7182</t>
        </is>
      </c>
      <c r="B7213" s="4" t="s">
        <f>=HYPERLINK("http://anyluxury.ru/shop/odezhda/detskaya-odezhda/svitshot-toima-20-zelenoe-yabloko-1621494/" , "16214.94 Свитшот Toima 2.0, зеленое яблоко, размер 4XL")</f>
      </c>
      <c r="C7213" s="4" t="n">
        <v>1291.00</v>
      </c>
      <c r="D7213" s="4"/>
    </row>
    <row collapsed="" customFormat="false" customHeight="1" hidden="" ht="14" outlineLevel="0" r="7214">
      <c r="A7214" s="3" t="inlineStr">
        <is>
          <t>7183</t>
        </is>
      </c>
      <c r="B7214" s="4" t="s">
        <f>=HYPERLINK("http://anyluxury.ru/shop/odezhda/detskaya-odezhda/hudi-kirenga-20-heavy-temnoseroe-grafit-1621510/" , "16215.10 Худи Kirenga 2.0 Heavy, темно-серое (графит), размер XS")</f>
      </c>
      <c r="C7214" s="4" t="n">
        <v>2182.00</v>
      </c>
      <c r="D7214" s="4"/>
    </row>
    <row collapsed="" customFormat="false" customHeight="1" hidden="" ht="14" outlineLevel="0" r="7215">
      <c r="A7215" s="3" t="inlineStr">
        <is>
          <t>7184</t>
        </is>
      </c>
      <c r="B7215" s="4" t="s">
        <f>=HYPERLINK("http://anyluxury.ru/shop/odezhda/detskaya-odezhda/hudi-kirenga-20-heavy-temnoseroe-grafit-1621510/" , "16215.10 Худи Kirenga 2.0 Heavy, темно-серое (графит), размер S")</f>
      </c>
      <c r="C7215" s="4" t="n">
        <v>2182.00</v>
      </c>
      <c r="D7215" s="4"/>
    </row>
    <row collapsed="" customFormat="false" customHeight="1" hidden="" ht="14" outlineLevel="0" r="7216">
      <c r="A7216" s="3" t="inlineStr">
        <is>
          <t>7185</t>
        </is>
      </c>
      <c r="B7216" s="4" t="s">
        <f>=HYPERLINK("http://anyluxury.ru/shop/odezhda/detskaya-odezhda/hudi-kirenga-20-heavy-temnoseroe-grafit-1621510/" , "16215.10 Худи Kirenga 2.0 Heavy, темно-серое (графит), размер M")</f>
      </c>
      <c r="C7216" s="4" t="n">
        <v>2182.00</v>
      </c>
      <c r="D7216" s="4"/>
    </row>
    <row collapsed="" customFormat="false" customHeight="1" hidden="" ht="14" outlineLevel="0" r="7217">
      <c r="A7217" s="3" t="inlineStr">
        <is>
          <t>7186</t>
        </is>
      </c>
      <c r="B7217" s="4" t="s">
        <f>=HYPERLINK("http://anyluxury.ru/shop/odezhda/detskaya-odezhda/hudi-kirenga-20-heavy-temnoseroe-grafit-1621510/" , "16215.10 Худи Kirenga 2.0 Heavy, темно-серое (графит), размер L")</f>
      </c>
      <c r="C7217" s="4" t="n">
        <v>2182.00</v>
      </c>
      <c r="D7217" s="4"/>
    </row>
    <row collapsed="" customFormat="false" customHeight="1" hidden="" ht="14" outlineLevel="0" r="7218">
      <c r="A7218" s="3" t="inlineStr">
        <is>
          <t>7187</t>
        </is>
      </c>
      <c r="B7218" s="4" t="s">
        <f>=HYPERLINK("http://anyluxury.ru/shop/odezhda/detskaya-odezhda/hudi-kirenga-20-heavy-temnoseroe-grafit-1621510/" , "16215.10 Худи Kirenga 2.0 Heavy, темно-серое (графит), размер XL")</f>
      </c>
      <c r="C7218" s="4" t="n">
        <v>2182.00</v>
      </c>
      <c r="D7218" s="4"/>
    </row>
    <row collapsed="" customFormat="false" customHeight="1" hidden="" ht="14" outlineLevel="0" r="7219">
      <c r="A7219" s="3" t="inlineStr">
        <is>
          <t>7188</t>
        </is>
      </c>
      <c r="B7219" s="4" t="s">
        <f>=HYPERLINK("http://anyluxury.ru/shop/odezhda/detskaya-odezhda/hudi-kirenga-20-heavy-temnoseroe-grafit-1621510/" , "16215.10 Худи Kirenga 2.0 Heavy, темно-серое (графит), размер XXL")</f>
      </c>
      <c r="C7219" s="4" t="n">
        <v>2182.00</v>
      </c>
      <c r="D7219" s="4"/>
    </row>
    <row collapsed="" customFormat="false" customHeight="1" hidden="" ht="14" outlineLevel="0" r="7220">
      <c r="A7220" s="3" t="inlineStr">
        <is>
          <t>7189</t>
        </is>
      </c>
      <c r="B7220" s="4" t="s">
        <f>=HYPERLINK("http://anyluxury.ru/shop/odezhda/detskaya-odezhda/hudi-kirenga-20-heavy-temnoseroe-grafit-1621510/" , "16215.10 Худи Kirenga 2.0 Heavy, темно-серое (графит), размер 3XL")</f>
      </c>
      <c r="C7220" s="4" t="n">
        <v>2182.00</v>
      </c>
      <c r="D7220" s="4"/>
    </row>
    <row collapsed="" customFormat="false" customHeight="1" hidden="" ht="14" outlineLevel="0" r="7221">
      <c r="A7221" s="3" t="inlineStr">
        <is>
          <t>7190</t>
        </is>
      </c>
      <c r="B7221" s="4" t="s">
        <f>=HYPERLINK("http://anyluxury.ru/shop/odezhda/detskaya-odezhda/hudi-kirenga-20-heavy-temnoseroe-grafit-1621510/" , "16215.10 Худи Kirenga 2.0 Heavy, темно-серое (графит), размер 4XL")</f>
      </c>
      <c r="C7221" s="4" t="n">
        <v>2182.00</v>
      </c>
      <c r="D7221" s="4"/>
    </row>
    <row collapsed="" customFormat="false" customHeight="1" hidden="" ht="14" outlineLevel="0" r="7222">
      <c r="A7222" s="3" t="inlineStr">
        <is>
          <t>7191</t>
        </is>
      </c>
      <c r="B7222" s="4" t="s">
        <f>=HYPERLINK("http://anyluxury.ru/shop/odezhda/detskaya-odezhda/hudi-kirenga-20-heavy-seriy-melanzh-1621511/" , "16215.11 Худи Kirenga 2.0 Heavy, серый меланж, размер XS")</f>
      </c>
      <c r="C7222" s="4" t="n">
        <v>2182.00</v>
      </c>
      <c r="D7222" s="4"/>
    </row>
    <row collapsed="" customFormat="false" customHeight="1" hidden="" ht="14" outlineLevel="0" r="7223">
      <c r="A7223" s="3" t="inlineStr">
        <is>
          <t>7192</t>
        </is>
      </c>
      <c r="B7223" s="4" t="s">
        <f>=HYPERLINK("http://anyluxury.ru/shop/odezhda/detskaya-odezhda/hudi-kirenga-20-heavy-seriy-melanzh-1621511/" , "16215.11 Худи Kirenga 2.0 Heavy, серый меланж, размер S")</f>
      </c>
      <c r="C7223" s="4" t="n">
        <v>2182.00</v>
      </c>
      <c r="D7223" s="4"/>
    </row>
    <row collapsed="" customFormat="false" customHeight="1" hidden="" ht="14" outlineLevel="0" r="7224">
      <c r="A7224" s="3" t="inlineStr">
        <is>
          <t>7193</t>
        </is>
      </c>
      <c r="B7224" s="4" t="s">
        <f>=HYPERLINK("http://anyluxury.ru/shop/odezhda/detskaya-odezhda/hudi-kirenga-20-heavy-seriy-melanzh-1621511/" , "16215.11 Худи Kirenga 2.0 Heavy, серый меланж, размер M")</f>
      </c>
      <c r="C7224" s="4" t="n">
        <v>2182.00</v>
      </c>
      <c r="D7224" s="4"/>
    </row>
    <row collapsed="" customFormat="false" customHeight="1" hidden="" ht="14" outlineLevel="0" r="7225">
      <c r="A7225" s="3" t="inlineStr">
        <is>
          <t>7194</t>
        </is>
      </c>
      <c r="B7225" s="4" t="s">
        <f>=HYPERLINK("http://anyluxury.ru/shop/odezhda/detskaya-odezhda/hudi-kirenga-20-heavy-seriy-melanzh-1621511/" , "16215.11 Худи Kirenga 2.0 Heavy, серый меланж, размер L")</f>
      </c>
      <c r="C7225" s="4" t="n">
        <v>2182.00</v>
      </c>
      <c r="D7225" s="4"/>
    </row>
    <row collapsed="" customFormat="false" customHeight="1" hidden="" ht="14" outlineLevel="0" r="7226">
      <c r="A7226" s="3" t="inlineStr">
        <is>
          <t>7195</t>
        </is>
      </c>
      <c r="B7226" s="4" t="s">
        <f>=HYPERLINK("http://anyluxury.ru/shop/odezhda/detskaya-odezhda/hudi-kirenga-20-heavy-seriy-melanzh-1621511/" , "16215.11 Худи Kirenga 2.0 Heavy, серый меланж, размер XL")</f>
      </c>
      <c r="C7226" s="4" t="n">
        <v>2182.00</v>
      </c>
      <c r="D7226" s="4"/>
    </row>
    <row collapsed="" customFormat="false" customHeight="1" hidden="" ht="14" outlineLevel="0" r="7227">
      <c r="A7227" s="3" t="inlineStr">
        <is>
          <t>7196</t>
        </is>
      </c>
      <c r="B7227" s="4" t="s">
        <f>=HYPERLINK("http://anyluxury.ru/shop/odezhda/detskaya-odezhda/hudi-kirenga-20-heavy-seriy-melanzh-1621511/" , "16215.11 Худи Kirenga 2.0 Heavy, серый меланж, размер XXL")</f>
      </c>
      <c r="C7227" s="4" t="n">
        <v>2182.00</v>
      </c>
      <c r="D7227" s="4"/>
    </row>
    <row collapsed="" customFormat="false" customHeight="1" hidden="" ht="14" outlineLevel="0" r="7228">
      <c r="A7228" s="3" t="inlineStr">
        <is>
          <t>7197</t>
        </is>
      </c>
      <c r="B7228" s="4" t="s">
        <f>=HYPERLINK("http://anyluxury.ru/shop/odezhda/detskaya-odezhda/hudi-kirenga-20-heavy-seriy-melanzh-1621511/" , "16215.11 Худи Kirenga 2.0 Heavy, серый меланж, размер 3XL")</f>
      </c>
      <c r="C7228" s="4" t="n">
        <v>2182.00</v>
      </c>
      <c r="D7228" s="4"/>
    </row>
    <row collapsed="" customFormat="false" customHeight="1" hidden="" ht="14" outlineLevel="0" r="7229">
      <c r="A7229" s="3" t="inlineStr">
        <is>
          <t>7198</t>
        </is>
      </c>
      <c r="B7229" s="4" t="s">
        <f>=HYPERLINK("http://anyluxury.ru/shop/odezhda/detskaya-odezhda/hudi-kirenga-20-heavy-seriy-melanzh-1621511/" , "16215.11 Худи Kirenga 2.0 Heavy, серый меланж, размер 4XL")</f>
      </c>
      <c r="C7229" s="4" t="n">
        <v>2182.00</v>
      </c>
      <c r="D7229" s="4"/>
    </row>
    <row collapsed="" customFormat="false" customHeight="1" hidden="" ht="14" outlineLevel="0" r="7230">
      <c r="A7230" s="3" t="inlineStr">
        <is>
          <t>7199</t>
        </is>
      </c>
      <c r="B7230" s="4" t="s">
        <f>=HYPERLINK("http://anyluxury.ru/shop/odezhda/detskaya-odezhda/hudi-kirenga-20-heavy-seriy-melanzh-1621511/" , "16215.11 Худи Kirenga 2.0 Heavy, серый меланж, размер 5XL")</f>
      </c>
      <c r="C7230" s="4" t="n">
        <v>2182.00</v>
      </c>
      <c r="D7230" s="4"/>
    </row>
    <row collapsed="" customFormat="false" customHeight="1" hidden="" ht="14" outlineLevel="0" r="7231">
      <c r="A7231" s="3" t="inlineStr">
        <is>
          <t>7200</t>
        </is>
      </c>
      <c r="B7231" s="4" t="s">
        <f>=HYPERLINK("http://anyluxury.ru/shop/odezhda/detskaya-odezhda/hudi-kirenga-20-heavy-bezhevoe-1621512/" , "16215.12 Худи Kirenga 2.0 Heavy, бежевое, размер XS")</f>
      </c>
      <c r="C7231" s="4" t="n">
        <v>2182.00</v>
      </c>
      <c r="D7231" s="4"/>
    </row>
    <row collapsed="" customFormat="false" customHeight="1" hidden="" ht="14" outlineLevel="0" r="7232">
      <c r="A7232" s="3" t="inlineStr">
        <is>
          <t>7201</t>
        </is>
      </c>
      <c r="B7232" s="4" t="s">
        <f>=HYPERLINK("http://anyluxury.ru/shop/odezhda/detskaya-odezhda/hudi-kirenga-20-heavy-bezhevoe-1621512/" , "16215.12 Худи Kirenga 2.0 Heavy, бежевое, размер S")</f>
      </c>
      <c r="C7232" s="4" t="n">
        <v>2182.00</v>
      </c>
      <c r="D7232" s="4"/>
    </row>
    <row collapsed="" customFormat="false" customHeight="1" hidden="" ht="14" outlineLevel="0" r="7233">
      <c r="A7233" s="3" t="inlineStr">
        <is>
          <t>7202</t>
        </is>
      </c>
      <c r="B7233" s="4" t="s">
        <f>=HYPERLINK("http://anyluxury.ru/shop/odezhda/detskaya-odezhda/hudi-kirenga-20-heavy-bezhevoe-1621512/" , "16215.12 Худи Kirenga 2.0 Heavy, бежевое, размер M")</f>
      </c>
      <c r="C7233" s="4" t="n">
        <v>2182.00</v>
      </c>
      <c r="D7233" s="4"/>
    </row>
    <row collapsed="" customFormat="false" customHeight="1" hidden="" ht="14" outlineLevel="0" r="7234">
      <c r="A7234" s="3" t="inlineStr">
        <is>
          <t>7203</t>
        </is>
      </c>
      <c r="B7234" s="4" t="s">
        <f>=HYPERLINK("http://anyluxury.ru/shop/odezhda/detskaya-odezhda/hudi-kirenga-20-heavy-bezhevoe-1621512/" , "16215.12 Худи Kirenga 2.0 Heavy, бежевое, размер L")</f>
      </c>
      <c r="C7234" s="4" t="n">
        <v>2182.00</v>
      </c>
      <c r="D7234" s="4"/>
    </row>
    <row collapsed="" customFormat="false" customHeight="1" hidden="" ht="14" outlineLevel="0" r="7235">
      <c r="A7235" s="3" t="inlineStr">
        <is>
          <t>7204</t>
        </is>
      </c>
      <c r="B7235" s="4" t="s">
        <f>=HYPERLINK("http://anyluxury.ru/shop/odezhda/detskaya-odezhda/hudi-kirenga-20-heavy-bezhevoe-1621512/" , "16215.12 Худи Kirenga 2.0 Heavy, бежевое, размер XL")</f>
      </c>
      <c r="C7235" s="4" t="n">
        <v>2182.00</v>
      </c>
      <c r="D7235" s="4"/>
    </row>
    <row collapsed="" customFormat="false" customHeight="1" hidden="" ht="14" outlineLevel="0" r="7236">
      <c r="A7236" s="3" t="inlineStr">
        <is>
          <t>7205</t>
        </is>
      </c>
      <c r="B7236" s="4" t="s">
        <f>=HYPERLINK("http://anyluxury.ru/shop/odezhda/detskaya-odezhda/hudi-kirenga-20-heavy-bezhevoe-1621512/" , "16215.12 Худи Kirenga 2.0 Heavy, бежевое, размер XXL")</f>
      </c>
      <c r="C7236" s="4" t="n">
        <v>2182.00</v>
      </c>
      <c r="D7236" s="4"/>
    </row>
    <row collapsed="" customFormat="false" customHeight="1" hidden="" ht="14" outlineLevel="0" r="7237">
      <c r="A7237" s="3" t="inlineStr">
        <is>
          <t>7206</t>
        </is>
      </c>
      <c r="B7237" s="4" t="s">
        <f>=HYPERLINK("http://anyluxury.ru/shop/odezhda/detskaya-odezhda/hudi-kirenga-20-heavy-bezhevoe-1621512/" , "16215.12 Худи Kirenga 2.0 Heavy, бежевое, размер 3XL")</f>
      </c>
      <c r="C7237" s="4" t="n">
        <v>2182.00</v>
      </c>
      <c r="D7237" s="4"/>
    </row>
    <row collapsed="" customFormat="false" customHeight="1" hidden="" ht="14" outlineLevel="0" r="7238">
      <c r="A7238" s="3" t="inlineStr">
        <is>
          <t>7207</t>
        </is>
      </c>
      <c r="B7238" s="4" t="s">
        <f>=HYPERLINK("http://anyluxury.ru/shop/odezhda/detskaya-odezhda/hudi-kirenga-20-heavy-bezhevoe-1621512/" , "16215.12 Худи Kirenga 2.0 Heavy, бежевое, размер 4XL")</f>
      </c>
      <c r="C7238" s="4" t="n">
        <v>2182.00</v>
      </c>
      <c r="D7238" s="4"/>
    </row>
    <row collapsed="" customFormat="false" customHeight="1" hidden="" ht="14" outlineLevel="0" r="7239">
      <c r="A7239" s="3" t="inlineStr">
        <is>
          <t>7208</t>
        </is>
      </c>
      <c r="B7239" s="4" t="s">
        <f>=HYPERLINK("http://anyluxury.ru/shop/odezhda/detskaya-odezhda/hudi-kirenga-20-heavy-biryuzovoe-1621514/" , "16215.14 Худи Kirenga 2.0 Heavy, бирюзовое, размер XS")</f>
      </c>
      <c r="C7239" s="4" t="n">
        <v>2182.00</v>
      </c>
      <c r="D7239" s="4"/>
    </row>
    <row collapsed="" customFormat="false" customHeight="1" hidden="" ht="14" outlineLevel="0" r="7240">
      <c r="A7240" s="3" t="inlineStr">
        <is>
          <t>7209</t>
        </is>
      </c>
      <c r="B7240" s="4" t="s">
        <f>=HYPERLINK("http://anyluxury.ru/shop/odezhda/detskaya-odezhda/hudi-kirenga-20-heavy-biryuzovoe-1621514/" , "16215.14 Худи Kirenga 2.0 Heavy, бирюзовое, размер S")</f>
      </c>
      <c r="C7240" s="4" t="n">
        <v>2182.00</v>
      </c>
      <c r="D7240" s="4"/>
    </row>
    <row collapsed="" customFormat="false" customHeight="1" hidden="" ht="14" outlineLevel="0" r="7241">
      <c r="A7241" s="3" t="inlineStr">
        <is>
          <t>7210</t>
        </is>
      </c>
      <c r="B7241" s="4" t="s">
        <f>=HYPERLINK("http://anyluxury.ru/shop/odezhda/detskaya-odezhda/hudi-kirenga-20-heavy-biryuzovoe-1621514/" , "16215.14 Худи Kirenga 2.0 Heavy, бирюзовое, размер M")</f>
      </c>
      <c r="C7241" s="4" t="n">
        <v>2182.00</v>
      </c>
      <c r="D7241" s="4"/>
    </row>
    <row collapsed="" customFormat="false" customHeight="1" hidden="" ht="14" outlineLevel="0" r="7242">
      <c r="A7242" s="3" t="inlineStr">
        <is>
          <t>7211</t>
        </is>
      </c>
      <c r="B7242" s="4" t="s">
        <f>=HYPERLINK("http://anyluxury.ru/shop/odezhda/detskaya-odezhda/hudi-kirenga-20-heavy-biryuzovoe-1621514/" , "16215.14 Худи Kirenga 2.0 Heavy, бирюзовое, размер L")</f>
      </c>
      <c r="C7242" s="4" t="n">
        <v>2182.00</v>
      </c>
      <c r="D7242" s="4"/>
    </row>
    <row collapsed="" customFormat="false" customHeight="1" hidden="" ht="14" outlineLevel="0" r="7243">
      <c r="A7243" s="3" t="inlineStr">
        <is>
          <t>7212</t>
        </is>
      </c>
      <c r="B7243" s="4" t="s">
        <f>=HYPERLINK("http://anyluxury.ru/shop/odezhda/detskaya-odezhda/hudi-kirenga-20-heavy-biryuzovoe-1621514/" , "16215.14 Худи Kirenga 2.0 Heavy, бирюзовое, размер XL")</f>
      </c>
      <c r="C7243" s="4" t="n">
        <v>2182.00</v>
      </c>
      <c r="D7243" s="4"/>
    </row>
    <row collapsed="" customFormat="false" customHeight="1" hidden="" ht="14" outlineLevel="0" r="7244">
      <c r="A7244" s="3" t="inlineStr">
        <is>
          <t>7213</t>
        </is>
      </c>
      <c r="B7244" s="4" t="s">
        <f>=HYPERLINK("http://anyluxury.ru/shop/odezhda/detskaya-odezhda/hudi-kirenga-20-heavy-biryuzovoe-1621514/" , "16215.14 Худи Kirenga 2.0 Heavy, бирюзовое, размер XXL")</f>
      </c>
      <c r="C7244" s="4" t="n">
        <v>2182.00</v>
      </c>
      <c r="D7244" s="4"/>
    </row>
    <row collapsed="" customFormat="false" customHeight="1" hidden="" ht="14" outlineLevel="0" r="7245">
      <c r="A7245" s="3" t="inlineStr">
        <is>
          <t>7214</t>
        </is>
      </c>
      <c r="B7245" s="4" t="s">
        <f>=HYPERLINK("http://anyluxury.ru/shop/odezhda/detskaya-odezhda/hudi-kirenga-20-heavy-biryuzovoe-1621514/" , "16215.14 Худи Kirenga 2.0 Heavy, бирюзовое, размер 3XL")</f>
      </c>
      <c r="C7245" s="4" t="n">
        <v>2182.00</v>
      </c>
      <c r="D7245" s="4"/>
    </row>
    <row collapsed="" customFormat="false" customHeight="1" hidden="" ht="14" outlineLevel="0" r="7246">
      <c r="A7246" s="3" t="inlineStr">
        <is>
          <t>7215</t>
        </is>
      </c>
      <c r="B7246" s="4" t="s">
        <f>=HYPERLINK("http://anyluxury.ru/shop/odezhda/detskaya-odezhda/hudi-kirenga-20-heavy-biryuzovoe-1621514/" , "16215.14 Худи Kirenga 2.0 Heavy, бирюзовое, размер 4XL")</f>
      </c>
      <c r="C7246" s="4" t="n">
        <v>2182.00</v>
      </c>
      <c r="D7246" s="4"/>
    </row>
    <row collapsed="" customFormat="false" customHeight="1" hidden="" ht="14" outlineLevel="0" r="7247">
      <c r="A7247" s="3" t="inlineStr">
        <is>
          <t>7216</t>
        </is>
      </c>
      <c r="B7247" s="4" t="s">
        <f>=HYPERLINK("http://anyluxury.ru/shop/odezhda/detskaya-odezhda/hudi-kirenga-20-heavy-chernoe-1621530/" , "16215.30 Худи Kirenga 2.0 Heavy, черное, размер XS")</f>
      </c>
      <c r="C7247" s="4" t="n">
        <v>2182.00</v>
      </c>
      <c r="D7247" s="4"/>
    </row>
    <row collapsed="" customFormat="false" customHeight="1" hidden="" ht="14" outlineLevel="0" r="7248">
      <c r="A7248" s="3" t="inlineStr">
        <is>
          <t>7217</t>
        </is>
      </c>
      <c r="B7248" s="4" t="s">
        <f>=HYPERLINK("http://anyluxury.ru/shop/odezhda/detskaya-odezhda/hudi-kirenga-20-heavy-chernoe-1621530/" , "16215.30 Худи Kirenga 2.0 Heavy, черное, размер S")</f>
      </c>
      <c r="C7248" s="4" t="n">
        <v>2182.00</v>
      </c>
      <c r="D7248" s="4"/>
    </row>
    <row collapsed="" customFormat="false" customHeight="1" hidden="" ht="14" outlineLevel="0" r="7249">
      <c r="A7249" s="3" t="inlineStr">
        <is>
          <t>7218</t>
        </is>
      </c>
      <c r="B7249" s="4" t="s">
        <f>=HYPERLINK("http://anyluxury.ru/shop/odezhda/detskaya-odezhda/hudi-kirenga-20-heavy-chernoe-1621530/" , "16215.30 Худи Kirenga 2.0 Heavy, черное, размер M")</f>
      </c>
      <c r="C7249" s="4" t="n">
        <v>2182.00</v>
      </c>
      <c r="D7249" s="4"/>
    </row>
    <row collapsed="" customFormat="false" customHeight="1" hidden="" ht="14" outlineLevel="0" r="7250">
      <c r="A7250" s="3" t="inlineStr">
        <is>
          <t>7219</t>
        </is>
      </c>
      <c r="B7250" s="4" t="s">
        <f>=HYPERLINK("http://anyluxury.ru/shop/odezhda/detskaya-odezhda/hudi-kirenga-20-heavy-chernoe-1621530/" , "16215.30 Худи Kirenga 2.0 Heavy, черное, размер L")</f>
      </c>
      <c r="C7250" s="4" t="n">
        <v>2182.00</v>
      </c>
      <c r="D7250" s="4"/>
    </row>
    <row collapsed="" customFormat="false" customHeight="1" hidden="" ht="14" outlineLevel="0" r="7251">
      <c r="A7251" s="3" t="inlineStr">
        <is>
          <t>7220</t>
        </is>
      </c>
      <c r="B7251" s="4" t="s">
        <f>=HYPERLINK("http://anyluxury.ru/shop/odezhda/detskaya-odezhda/hudi-kirenga-20-heavy-chernoe-1621530/" , "16215.30 Худи Kirenga 2.0 Heavy, черное, размер XL")</f>
      </c>
      <c r="C7251" s="4" t="n">
        <v>2182.00</v>
      </c>
      <c r="D7251" s="4"/>
    </row>
    <row collapsed="" customFormat="false" customHeight="1" hidden="" ht="14" outlineLevel="0" r="7252">
      <c r="A7252" s="3" t="inlineStr">
        <is>
          <t>7221</t>
        </is>
      </c>
      <c r="B7252" s="4" t="s">
        <f>=HYPERLINK("http://anyluxury.ru/shop/odezhda/detskaya-odezhda/hudi-kirenga-20-heavy-chernoe-1621530/" , "16215.30 Худи Kirenga 2.0 Heavy, черное, размер XXL")</f>
      </c>
      <c r="C7252" s="4" t="n">
        <v>2182.00</v>
      </c>
      <c r="D7252" s="4"/>
    </row>
    <row collapsed="" customFormat="false" customHeight="1" hidden="" ht="14" outlineLevel="0" r="7253">
      <c r="A7253" s="3" t="inlineStr">
        <is>
          <t>7222</t>
        </is>
      </c>
      <c r="B7253" s="4" t="s">
        <f>=HYPERLINK("http://anyluxury.ru/shop/odezhda/detskaya-odezhda/hudi-kirenga-20-heavy-chernoe-1621530/" , "16215.30 Худи Kirenga 2.0 Heavy, черное, размер 3XL")</f>
      </c>
      <c r="C7253" s="4" t="n">
        <v>2182.00</v>
      </c>
      <c r="D7253" s="4"/>
    </row>
    <row collapsed="" customFormat="false" customHeight="1" hidden="" ht="14" outlineLevel="0" r="7254">
      <c r="A7254" s="3" t="inlineStr">
        <is>
          <t>7223</t>
        </is>
      </c>
      <c r="B7254" s="4" t="s">
        <f>=HYPERLINK("http://anyluxury.ru/shop/odezhda/detskaya-odezhda/hudi-kirenga-20-heavy-chernoe-1621530/" , "16215.30 Худи Kirenga 2.0 Heavy, черное, размер 4XL")</f>
      </c>
      <c r="C7254" s="4" t="n">
        <v>2182.00</v>
      </c>
      <c r="D7254" s="4"/>
    </row>
    <row collapsed="" customFormat="false" customHeight="1" hidden="" ht="14" outlineLevel="0" r="7255">
      <c r="A7255" s="3" t="inlineStr">
        <is>
          <t>7224</t>
        </is>
      </c>
      <c r="B7255" s="4" t="s">
        <f>=HYPERLINK("http://anyluxury.ru/shop/odezhda/detskaya-odezhda/hudi-kirenga-20-heavy-chernoe-1621530/" , "16215.30 Худи Kirenga 2.0 Heavy, черное, размер 5XL")</f>
      </c>
      <c r="C7255" s="4" t="n">
        <v>2182.00</v>
      </c>
      <c r="D7255" s="4"/>
    </row>
    <row collapsed="" customFormat="false" customHeight="1" hidden="" ht="14" outlineLevel="0" r="7256">
      <c r="A7256" s="3" t="inlineStr">
        <is>
          <t>7225</t>
        </is>
      </c>
      <c r="B7256" s="4" t="s">
        <f>=HYPERLINK("http://anyluxury.ru/shop/odezhda/detskaya-odezhda/hudi-kirenga-20-heavy-temnosinee-1621540/" , "16215.40 Худи Kirenga 2.0 Heavy, темно-синее, размер XS")</f>
      </c>
      <c r="C7256" s="4" t="n">
        <v>2182.00</v>
      </c>
      <c r="D7256" s="4"/>
    </row>
    <row collapsed="" customFormat="false" customHeight="1" hidden="" ht="14" outlineLevel="0" r="7257">
      <c r="A7257" s="3" t="inlineStr">
        <is>
          <t>7226</t>
        </is>
      </c>
      <c r="B7257" s="4" t="s">
        <f>=HYPERLINK("http://anyluxury.ru/shop/odezhda/detskaya-odezhda/hudi-kirenga-20-heavy-temnosinee-1621540/" , "16215.40 Худи Kirenga 2.0 Heavy, темно-синее, размер S")</f>
      </c>
      <c r="C7257" s="4" t="n">
        <v>2182.00</v>
      </c>
      <c r="D7257" s="4"/>
    </row>
    <row collapsed="" customFormat="false" customHeight="1" hidden="" ht="14" outlineLevel="0" r="7258">
      <c r="A7258" s="3" t="inlineStr">
        <is>
          <t>7227</t>
        </is>
      </c>
      <c r="B7258" s="4" t="s">
        <f>=HYPERLINK("http://anyluxury.ru/shop/odezhda/detskaya-odezhda/hudi-kirenga-20-heavy-temnosinee-1621540/" , "16215.40 Худи Kirenga 2.0 Heavy, темно-синее, размер M")</f>
      </c>
      <c r="C7258" s="4" t="n">
        <v>2182.00</v>
      </c>
      <c r="D7258" s="4"/>
    </row>
    <row collapsed="" customFormat="false" customHeight="1" hidden="" ht="14" outlineLevel="0" r="7259">
      <c r="A7259" s="3" t="inlineStr">
        <is>
          <t>7228</t>
        </is>
      </c>
      <c r="B7259" s="4" t="s">
        <f>=HYPERLINK("http://anyluxury.ru/shop/odezhda/detskaya-odezhda/hudi-kirenga-20-heavy-temnosinee-1621540/" , "16215.40 Худи Kirenga 2.0 Heavy, темно-синее, размер L")</f>
      </c>
      <c r="C7259" s="4" t="n">
        <v>2182.00</v>
      </c>
      <c r="D7259" s="4"/>
    </row>
    <row collapsed="" customFormat="false" customHeight="1" hidden="" ht="14" outlineLevel="0" r="7260">
      <c r="A7260" s="3" t="inlineStr">
        <is>
          <t>7229</t>
        </is>
      </c>
      <c r="B7260" s="4" t="s">
        <f>=HYPERLINK("http://anyluxury.ru/shop/odezhda/detskaya-odezhda/hudi-kirenga-20-heavy-temnosinee-1621540/" , "16215.40 Худи Kirenga 2.0 Heavy, темно-синее, размер XL")</f>
      </c>
      <c r="C7260" s="4" t="n">
        <v>2182.00</v>
      </c>
      <c r="D7260" s="4"/>
    </row>
    <row collapsed="" customFormat="false" customHeight="1" hidden="" ht="14" outlineLevel="0" r="7261">
      <c r="A7261" s="3" t="inlineStr">
        <is>
          <t>7230</t>
        </is>
      </c>
      <c r="B7261" s="4" t="s">
        <f>=HYPERLINK("http://anyluxury.ru/shop/odezhda/detskaya-odezhda/hudi-kirenga-20-heavy-temnosinee-1621540/" , "16215.40 Худи Kirenga 2.0 Heavy, темно-синее, размер XXL")</f>
      </c>
      <c r="C7261" s="4" t="n">
        <v>2182.00</v>
      </c>
      <c r="D7261" s="4"/>
    </row>
    <row collapsed="" customFormat="false" customHeight="1" hidden="" ht="14" outlineLevel="0" r="7262">
      <c r="A7262" s="3" t="inlineStr">
        <is>
          <t>7231</t>
        </is>
      </c>
      <c r="B7262" s="4" t="s">
        <f>=HYPERLINK("http://anyluxury.ru/shop/odezhda/detskaya-odezhda/hudi-kirenga-20-heavy-temnosinee-1621540/" , "16215.40 Худи Kirenga 2.0 Heavy, темно-синее, размер 3XL")</f>
      </c>
      <c r="C7262" s="4" t="n">
        <v>2182.00</v>
      </c>
      <c r="D7262" s="4"/>
    </row>
    <row collapsed="" customFormat="false" customHeight="1" hidden="" ht="14" outlineLevel="0" r="7263">
      <c r="A7263" s="3" t="inlineStr">
        <is>
          <t>7232</t>
        </is>
      </c>
      <c r="B7263" s="4" t="s">
        <f>=HYPERLINK("http://anyluxury.ru/shop/odezhda/detskaya-odezhda/hudi-kirenga-20-heavy-temnosinee-1621540/" , "16215.40 Худи Kirenga 2.0 Heavy, темно-синее, размер 4XL")</f>
      </c>
      <c r="C7263" s="4" t="n">
        <v>2182.00</v>
      </c>
      <c r="D7263" s="4"/>
    </row>
    <row collapsed="" customFormat="false" customHeight="1" hidden="" ht="14" outlineLevel="0" r="7264">
      <c r="A7264" s="3" t="inlineStr">
        <is>
          <t>7233</t>
        </is>
      </c>
      <c r="B7264" s="4" t="s">
        <f>=HYPERLINK("http://anyluxury.ru/shop/odezhda/detskaya-odezhda/hudi-kirenga-20-heavy-temnosinee-1621540/" , "16215.40 Худи Kirenga 2.0 Heavy, темно-синее, размер 5XL")</f>
      </c>
      <c r="C7264" s="4" t="n">
        <v>2182.00</v>
      </c>
      <c r="D7264" s="4"/>
    </row>
    <row collapsed="" customFormat="false" customHeight="1" hidden="" ht="14" outlineLevel="0" r="7265">
      <c r="A7265" s="3" t="inlineStr">
        <is>
          <t>7234</t>
        </is>
      </c>
      <c r="B7265" s="4" t="s">
        <f>=HYPERLINK("http://anyluxury.ru/shop/odezhda/detskaya-odezhda/hudi-kirenga-20-heavy-krasnoe-1621550/" , "16215.50 Худи Kirenga 2.0 Heavy, красное, размер XS")</f>
      </c>
      <c r="C7265" s="4" t="n">
        <v>2182.00</v>
      </c>
      <c r="D7265" s="4"/>
    </row>
    <row collapsed="" customFormat="false" customHeight="1" hidden="" ht="14" outlineLevel="0" r="7266">
      <c r="A7266" s="3" t="inlineStr">
        <is>
          <t>7235</t>
        </is>
      </c>
      <c r="B7266" s="4" t="s">
        <f>=HYPERLINK("http://anyluxury.ru/shop/odezhda/detskaya-odezhda/hudi-kirenga-20-heavy-krasnoe-1621550/" , "16215.50 Худи Kirenga 2.0 Heavy, красное, размер S")</f>
      </c>
      <c r="C7266" s="4" t="n">
        <v>2182.00</v>
      </c>
      <c r="D7266" s="4"/>
    </row>
    <row collapsed="" customFormat="false" customHeight="1" hidden="" ht="14" outlineLevel="0" r="7267">
      <c r="A7267" s="3" t="inlineStr">
        <is>
          <t>7236</t>
        </is>
      </c>
      <c r="B7267" s="4" t="s">
        <f>=HYPERLINK("http://anyluxury.ru/shop/odezhda/detskaya-odezhda/hudi-kirenga-20-heavy-krasnoe-1621550/" , "16215.50 Худи Kirenga 2.0 Heavy, красное, размер M")</f>
      </c>
      <c r="C7267" s="4" t="n">
        <v>2182.00</v>
      </c>
      <c r="D7267" s="4"/>
    </row>
    <row collapsed="" customFormat="false" customHeight="1" hidden="" ht="14" outlineLevel="0" r="7268">
      <c r="A7268" s="3" t="inlineStr">
        <is>
          <t>7237</t>
        </is>
      </c>
      <c r="B7268" s="4" t="s">
        <f>=HYPERLINK("http://anyluxury.ru/shop/odezhda/detskaya-odezhda/hudi-kirenga-20-heavy-krasnoe-1621550/" , "16215.50 Худи Kirenga 2.0 Heavy, красное, размер L")</f>
      </c>
      <c r="C7268" s="4" t="n">
        <v>2182.00</v>
      </c>
      <c r="D7268" s="4"/>
    </row>
    <row collapsed="" customFormat="false" customHeight="1" hidden="" ht="14" outlineLevel="0" r="7269">
      <c r="A7269" s="3" t="inlineStr">
        <is>
          <t>7238</t>
        </is>
      </c>
      <c r="B7269" s="4" t="s">
        <f>=HYPERLINK("http://anyluxury.ru/shop/odezhda/detskaya-odezhda/hudi-kirenga-20-heavy-krasnoe-1621550/" , "16215.50 Худи Kirenga 2.0 Heavy, красное, размер XL")</f>
      </c>
      <c r="C7269" s="4" t="n">
        <v>2182.00</v>
      </c>
      <c r="D7269" s="4"/>
    </row>
    <row collapsed="" customFormat="false" customHeight="1" hidden="" ht="14" outlineLevel="0" r="7270">
      <c r="A7270" s="3" t="inlineStr">
        <is>
          <t>7239</t>
        </is>
      </c>
      <c r="B7270" s="4" t="s">
        <f>=HYPERLINK("http://anyluxury.ru/shop/odezhda/detskaya-odezhda/hudi-kirenga-20-heavy-krasnoe-1621550/" , "16215.50 Худи Kirenga 2.0 Heavy, красное, размер XXL")</f>
      </c>
      <c r="C7270" s="4" t="n">
        <v>2182.00</v>
      </c>
      <c r="D7270" s="4"/>
    </row>
    <row collapsed="" customFormat="false" customHeight="1" hidden="" ht="14" outlineLevel="0" r="7271">
      <c r="A7271" s="3" t="inlineStr">
        <is>
          <t>7240</t>
        </is>
      </c>
      <c r="B7271" s="4" t="s">
        <f>=HYPERLINK("http://anyluxury.ru/shop/odezhda/detskaya-odezhda/hudi-kirenga-20-heavy-krasnoe-1621550/" , "16215.50 Худи Kirenga 2.0 Heavy, красное, размер 3XL")</f>
      </c>
      <c r="C7271" s="4" t="n">
        <v>2182.00</v>
      </c>
      <c r="D7271" s="4"/>
    </row>
    <row collapsed="" customFormat="false" customHeight="1" hidden="" ht="14" outlineLevel="0" r="7272">
      <c r="A7272" s="3" t="inlineStr">
        <is>
          <t>7241</t>
        </is>
      </c>
      <c r="B7272" s="4" t="s">
        <f>=HYPERLINK("http://anyluxury.ru/shop/odezhda/detskaya-odezhda/hudi-kirenga-20-heavy-krasnoe-1621550/" , "16215.50 Худи Kirenga 2.0 Heavy, красное, размер 4XL")</f>
      </c>
      <c r="C7272" s="4" t="n">
        <v>2182.00</v>
      </c>
      <c r="D7272" s="4"/>
    </row>
    <row collapsed="" customFormat="false" customHeight="1" hidden="" ht="14" outlineLevel="0" r="7273">
      <c r="A7273" s="3" t="inlineStr">
        <is>
          <t>7242</t>
        </is>
      </c>
      <c r="B7273" s="4" t="s">
        <f>=HYPERLINK("http://anyluxury.ru/shop/odezhda/detskaya-odezhda/hudi-kirenga-20-heavy-krasnoe-1621550/" , "16215.50 Худи Kirenga 2.0 Heavy, красное, размер 5XL")</f>
      </c>
      <c r="C7273" s="4" t="n">
        <v>2182.00</v>
      </c>
      <c r="D7273" s="4"/>
    </row>
    <row collapsed="" customFormat="false" customHeight="1" hidden="" ht="14" outlineLevel="0" r="7274">
      <c r="A7274" s="3" t="inlineStr">
        <is>
          <t>7243</t>
        </is>
      </c>
      <c r="B7274" s="4" t="s">
        <f>=HYPERLINK("http://anyluxury.ru/shop/odezhda/detskaya-odezhda/hudi-kirenga-20-heavy-beloe-1621560/" , "16215.60 Худи Kirenga 2.0 Heavy, белое, размер XS")</f>
      </c>
      <c r="C7274" s="4" t="n">
        <v>2182.00</v>
      </c>
      <c r="D7274" s="4"/>
    </row>
    <row collapsed="" customFormat="false" customHeight="1" hidden="" ht="14" outlineLevel="0" r="7275">
      <c r="A7275" s="3" t="inlineStr">
        <is>
          <t>7244</t>
        </is>
      </c>
      <c r="B7275" s="4" t="s">
        <f>=HYPERLINK("http://anyluxury.ru/shop/odezhda/detskaya-odezhda/hudi-kirenga-20-heavy-beloe-1621560/" , "16215.60 Худи Kirenga 2.0 Heavy, белое, размер S")</f>
      </c>
      <c r="C7275" s="4" t="n">
        <v>2182.00</v>
      </c>
      <c r="D7275" s="4"/>
    </row>
    <row collapsed="" customFormat="false" customHeight="1" hidden="" ht="14" outlineLevel="0" r="7276">
      <c r="A7276" s="3" t="inlineStr">
        <is>
          <t>7245</t>
        </is>
      </c>
      <c r="B7276" s="4" t="s">
        <f>=HYPERLINK("http://anyluxury.ru/shop/odezhda/detskaya-odezhda/hudi-kirenga-20-heavy-beloe-1621560/" , "16215.60 Худи Kirenga 2.0 Heavy, белое, размер M")</f>
      </c>
      <c r="C7276" s="4" t="n">
        <v>2182.00</v>
      </c>
      <c r="D7276" s="4"/>
    </row>
    <row collapsed="" customFormat="false" customHeight="1" hidden="" ht="14" outlineLevel="0" r="7277">
      <c r="A7277" s="3" t="inlineStr">
        <is>
          <t>7246</t>
        </is>
      </c>
      <c r="B7277" s="4" t="s">
        <f>=HYPERLINK("http://anyluxury.ru/shop/odezhda/detskaya-odezhda/hudi-kirenga-20-heavy-beloe-1621560/" , "16215.60 Худи Kirenga 2.0 Heavy, белое, размер L")</f>
      </c>
      <c r="C7277" s="4" t="n">
        <v>2182.00</v>
      </c>
      <c r="D7277" s="4"/>
    </row>
    <row collapsed="" customFormat="false" customHeight="1" hidden="" ht="14" outlineLevel="0" r="7278">
      <c r="A7278" s="3" t="inlineStr">
        <is>
          <t>7247</t>
        </is>
      </c>
      <c r="B7278" s="4" t="s">
        <f>=HYPERLINK("http://anyluxury.ru/shop/odezhda/detskaya-odezhda/hudi-kirenga-20-heavy-beloe-1621560/" , "16215.60 Худи Kirenga 2.0 Heavy, белое, размер XL")</f>
      </c>
      <c r="C7278" s="4" t="n">
        <v>2182.00</v>
      </c>
      <c r="D7278" s="4"/>
    </row>
    <row collapsed="" customFormat="false" customHeight="1" hidden="" ht="14" outlineLevel="0" r="7279">
      <c r="A7279" s="3" t="inlineStr">
        <is>
          <t>7248</t>
        </is>
      </c>
      <c r="B7279" s="4" t="s">
        <f>=HYPERLINK("http://anyluxury.ru/shop/odezhda/detskaya-odezhda/hudi-kirenga-20-heavy-beloe-1621560/" , "16215.60 Худи Kirenga 2.0 Heavy, белое, размер XXL")</f>
      </c>
      <c r="C7279" s="4" t="n">
        <v>2182.00</v>
      </c>
      <c r="D7279" s="4"/>
    </row>
    <row collapsed="" customFormat="false" customHeight="1" hidden="" ht="14" outlineLevel="0" r="7280">
      <c r="A7280" s="3" t="inlineStr">
        <is>
          <t>7249</t>
        </is>
      </c>
      <c r="B7280" s="4" t="s">
        <f>=HYPERLINK("http://anyluxury.ru/shop/odezhda/detskaya-odezhda/hudi-kirenga-20-heavy-beloe-1621560/" , "16215.60 Худи Kirenga 2.0 Heavy, белое, размер 3XL")</f>
      </c>
      <c r="C7280" s="4" t="n">
        <v>2182.00</v>
      </c>
      <c r="D7280" s="4"/>
    </row>
    <row collapsed="" customFormat="false" customHeight="1" hidden="" ht="14" outlineLevel="0" r="7281">
      <c r="A7281" s="3" t="inlineStr">
        <is>
          <t>7250</t>
        </is>
      </c>
      <c r="B7281" s="4" t="s">
        <f>=HYPERLINK("http://anyluxury.ru/shop/odezhda/detskaya-odezhda/hudi-kirenga-20-heavy-beloe-1621560/" , "16215.60 Худи Kirenga 2.0 Heavy, белое, размер 4XL")</f>
      </c>
      <c r="C7281" s="4" t="n">
        <v>2182.00</v>
      </c>
      <c r="D7281" s="4"/>
    </row>
    <row collapsed="" customFormat="false" customHeight="1" hidden="" ht="14" outlineLevel="0" r="7282">
      <c r="A7282" s="3" t="inlineStr">
        <is>
          <t>7251</t>
        </is>
      </c>
      <c r="B7282" s="4" t="s">
        <f>=HYPERLINK("http://anyluxury.ru/shop/odezhda/detskaya-odezhda/hudi-kirenga-20-heavy-beloe-1621560/" , "16215.60 Худи Kirenga 2.0 Heavy, белое, размер 5XL")</f>
      </c>
      <c r="C7282" s="4" t="n">
        <v>2182.00</v>
      </c>
      <c r="D7282" s="4"/>
    </row>
    <row collapsed="" customFormat="false" customHeight="1" hidden="" ht="14" outlineLevel="0" r="7283">
      <c r="A7283" s="3" t="inlineStr">
        <is>
          <t>7252</t>
        </is>
      </c>
      <c r="B7283" s="4" t="s">
        <f>=HYPERLINK("http://anyluxury.ru/shop/odezhda/detskaya-odezhda/hudi-kirenga-20-heavy-fioletovoe-1621578/" , "16215.78 Худи Kirenga 2.0 Heavy, фиолетовое, размер XS")</f>
      </c>
      <c r="C7283" s="4" t="n">
        <v>2182.00</v>
      </c>
      <c r="D7283" s="4"/>
    </row>
    <row collapsed="" customFormat="false" customHeight="1" hidden="" ht="14" outlineLevel="0" r="7284">
      <c r="A7284" s="3" t="inlineStr">
        <is>
          <t>7253</t>
        </is>
      </c>
      <c r="B7284" s="4" t="s">
        <f>=HYPERLINK("http://anyluxury.ru/shop/odezhda/detskaya-odezhda/hudi-kirenga-20-heavy-fioletovoe-1621578/" , "16215.78 Худи Kirenga 2.0 Heavy, фиолетовое, размер S")</f>
      </c>
      <c r="C7284" s="4" t="n">
        <v>2182.00</v>
      </c>
      <c r="D7284" s="4"/>
    </row>
    <row collapsed="" customFormat="false" customHeight="1" hidden="" ht="14" outlineLevel="0" r="7285">
      <c r="A7285" s="3" t="inlineStr">
        <is>
          <t>7254</t>
        </is>
      </c>
      <c r="B7285" s="4" t="s">
        <f>=HYPERLINK("http://anyluxury.ru/shop/odezhda/detskaya-odezhda/hudi-kirenga-20-heavy-fioletovoe-1621578/" , "16215.78 Худи Kirenga 2.0 Heavy, фиолетовое, размер M")</f>
      </c>
      <c r="C7285" s="4" t="n">
        <v>2182.00</v>
      </c>
      <c r="D7285" s="4"/>
    </row>
    <row collapsed="" customFormat="false" customHeight="1" hidden="" ht="14" outlineLevel="0" r="7286">
      <c r="A7286" s="3" t="inlineStr">
        <is>
          <t>7255</t>
        </is>
      </c>
      <c r="B7286" s="4" t="s">
        <f>=HYPERLINK("http://anyluxury.ru/shop/odezhda/detskaya-odezhda/hudi-kirenga-20-heavy-fioletovoe-1621578/" , "16215.78 Худи Kirenga 2.0 Heavy, фиолетовое, размер L")</f>
      </c>
      <c r="C7286" s="4" t="n">
        <v>2182.00</v>
      </c>
      <c r="D7286" s="4"/>
    </row>
    <row collapsed="" customFormat="false" customHeight="1" hidden="" ht="14" outlineLevel="0" r="7287">
      <c r="A7287" s="3" t="inlineStr">
        <is>
          <t>7256</t>
        </is>
      </c>
      <c r="B7287" s="4" t="s">
        <f>=HYPERLINK("http://anyluxury.ru/shop/odezhda/detskaya-odezhda/hudi-kirenga-20-heavy-fioletovoe-1621578/" , "16215.78 Худи Kirenga 2.0 Heavy, фиолетовое, размер XL")</f>
      </c>
      <c r="C7287" s="4" t="n">
        <v>2182.00</v>
      </c>
      <c r="D7287" s="4"/>
    </row>
    <row collapsed="" customFormat="false" customHeight="1" hidden="" ht="14" outlineLevel="0" r="7288">
      <c r="A7288" s="3" t="inlineStr">
        <is>
          <t>7257</t>
        </is>
      </c>
      <c r="B7288" s="4" t="s">
        <f>=HYPERLINK("http://anyluxury.ru/shop/odezhda/detskaya-odezhda/hudi-kirenga-20-heavy-fioletovoe-1621578/" , "16215.78 Худи Kirenga 2.0 Heavy, фиолетовое, размер XXL")</f>
      </c>
      <c r="C7288" s="4" t="n">
        <v>2182.00</v>
      </c>
      <c r="D7288" s="4"/>
    </row>
    <row collapsed="" customFormat="false" customHeight="1" hidden="" ht="14" outlineLevel="0" r="7289">
      <c r="A7289" s="3" t="inlineStr">
        <is>
          <t>7258</t>
        </is>
      </c>
      <c r="B7289" s="4" t="s">
        <f>=HYPERLINK("http://anyluxury.ru/shop/odezhda/detskaya-odezhda/hudi-kirenga-20-heavy-fioletovoe-1621578/" , "16215.78 Худи Kirenga 2.0 Heavy, фиолетовое, размер 3XL")</f>
      </c>
      <c r="C7289" s="4" t="n">
        <v>2182.00</v>
      </c>
      <c r="D7289" s="4"/>
    </row>
    <row collapsed="" customFormat="false" customHeight="1" hidden="" ht="14" outlineLevel="0" r="7290">
      <c r="A7290" s="3" t="inlineStr">
        <is>
          <t>7259</t>
        </is>
      </c>
      <c r="B7290" s="4" t="s">
        <f>=HYPERLINK("http://anyluxury.ru/shop/odezhda/detskaya-odezhda/hudi-kirenga-20-heavy-fioletovoe-1621578/" , "16215.78 Худи Kirenga 2.0 Heavy, фиолетовое, размер 4XL")</f>
      </c>
      <c r="C7290" s="4" t="n">
        <v>2182.00</v>
      </c>
      <c r="D7290" s="4"/>
    </row>
    <row collapsed="" customFormat="false" customHeight="1" hidden="" ht="14" outlineLevel="0" r="7291">
      <c r="A7291" s="3" t="inlineStr">
        <is>
          <t>7260</t>
        </is>
      </c>
      <c r="B7291" s="4" t="s">
        <f>=HYPERLINK("http://anyluxury.ru/shop/odezhda/detskaya-odezhda/hudi-kirenga-20-heavy-temnozelenoe-1621590/" , "16215.90 Худи Kirenga 2.0 Heavy, темно-зеленое, размер XS")</f>
      </c>
      <c r="C7291" s="4" t="n">
        <v>2182.00</v>
      </c>
      <c r="D7291" s="4"/>
    </row>
    <row collapsed="" customFormat="false" customHeight="1" hidden="" ht="14" outlineLevel="0" r="7292">
      <c r="A7292" s="3" t="inlineStr">
        <is>
          <t>7261</t>
        </is>
      </c>
      <c r="B7292" s="4" t="s">
        <f>=HYPERLINK("http://anyluxury.ru/shop/odezhda/detskaya-odezhda/hudi-kirenga-20-heavy-temnozelenoe-1621590/" , "16215.90 Худи Kirenga 2.0 Heavy, темно-зеленое, размер S")</f>
      </c>
      <c r="C7292" s="4" t="n">
        <v>2182.00</v>
      </c>
      <c r="D7292" s="4"/>
    </row>
    <row collapsed="" customFormat="false" customHeight="1" hidden="" ht="14" outlineLevel="0" r="7293">
      <c r="A7293" s="3" t="inlineStr">
        <is>
          <t>7262</t>
        </is>
      </c>
      <c r="B7293" s="4" t="s">
        <f>=HYPERLINK("http://anyluxury.ru/shop/odezhda/detskaya-odezhda/hudi-kirenga-20-heavy-temnozelenoe-1621590/" , "16215.90 Худи Kirenga 2.0 Heavy, темно-зеленое, размер M")</f>
      </c>
      <c r="C7293" s="4" t="n">
        <v>2182.00</v>
      </c>
      <c r="D7293" s="4"/>
    </row>
    <row collapsed="" customFormat="false" customHeight="1" hidden="" ht="14" outlineLevel="0" r="7294">
      <c r="A7294" s="3" t="inlineStr">
        <is>
          <t>7263</t>
        </is>
      </c>
      <c r="B7294" s="4" t="s">
        <f>=HYPERLINK("http://anyluxury.ru/shop/odezhda/detskaya-odezhda/hudi-kirenga-20-heavy-temnozelenoe-1621590/" , "16215.90 Худи Kirenga 2.0 Heavy, темно-зеленое, размер L")</f>
      </c>
      <c r="C7294" s="4" t="n">
        <v>2182.00</v>
      </c>
      <c r="D7294" s="4"/>
    </row>
    <row collapsed="" customFormat="false" customHeight="1" hidden="" ht="14" outlineLevel="0" r="7295">
      <c r="A7295" s="3" t="inlineStr">
        <is>
          <t>7264</t>
        </is>
      </c>
      <c r="B7295" s="4" t="s">
        <f>=HYPERLINK("http://anyluxury.ru/shop/odezhda/detskaya-odezhda/hudi-kirenga-20-heavy-temnozelenoe-1621590/" , "16215.90 Худи Kirenga 2.0 Heavy, темно-зеленое, размер XL")</f>
      </c>
      <c r="C7295" s="4" t="n">
        <v>2182.00</v>
      </c>
      <c r="D7295" s="4"/>
    </row>
    <row collapsed="" customFormat="false" customHeight="1" hidden="" ht="14" outlineLevel="0" r="7296">
      <c r="A7296" s="3" t="inlineStr">
        <is>
          <t>7265</t>
        </is>
      </c>
      <c r="B7296" s="4" t="s">
        <f>=HYPERLINK("http://anyluxury.ru/shop/odezhda/detskaya-odezhda/hudi-kirenga-20-heavy-temnozelenoe-1621590/" , "16215.90 Худи Kirenga 2.0 Heavy, темно-зеленое, размер XXL")</f>
      </c>
      <c r="C7296" s="4" t="n">
        <v>2182.00</v>
      </c>
      <c r="D7296" s="4"/>
    </row>
    <row collapsed="" customFormat="false" customHeight="1" hidden="" ht="14" outlineLevel="0" r="7297">
      <c r="A7297" s="3" t="inlineStr">
        <is>
          <t>7266</t>
        </is>
      </c>
      <c r="B7297" s="4" t="s">
        <f>=HYPERLINK("http://anyluxury.ru/shop/odezhda/detskaya-odezhda/hudi-kirenga-20-heavy-temnozelenoe-1621590/" , "16215.90 Худи Kirenga 2.0 Heavy, темно-зеленое, размер 3XL")</f>
      </c>
      <c r="C7297" s="4" t="n">
        <v>2182.00</v>
      </c>
      <c r="D7297" s="4"/>
    </row>
    <row collapsed="" customFormat="false" customHeight="1" hidden="" ht="14" outlineLevel="0" r="7298">
      <c r="A7298" s="3" t="inlineStr">
        <is>
          <t>7267</t>
        </is>
      </c>
      <c r="B7298" s="4" t="s">
        <f>=HYPERLINK("http://anyluxury.ru/shop/odezhda/detskaya-odezhda/hudi-kirenga-20-heavy-temnozelenoe-1621590/" , "16215.90 Худи Kirenga 2.0 Heavy, темно-зеленое, размер 4XL")</f>
      </c>
      <c r="C7298" s="4" t="n">
        <v>2182.00</v>
      </c>
      <c r="D7298" s="4"/>
    </row>
    <row collapsed="" customFormat="false" customHeight="1" hidden="" ht="14" outlineLevel="0" r="7299">
      <c r="A7299" s="3" t="inlineStr">
        <is>
          <t>7268</t>
        </is>
      </c>
      <c r="B7299" s="4" t="s">
        <f>=HYPERLINK("http://anyluxury.ru/shop/odezhda/detskaya-odezhda/hudi-kirenga-20-heavy-zelenoe-yabloko-1621594/" , "16215.94 Худи Kirenga 2.0 Heavy, зеленое яблоко, размер XS")</f>
      </c>
      <c r="C7299" s="4" t="n">
        <v>2182.00</v>
      </c>
      <c r="D7299" s="4"/>
    </row>
    <row collapsed="" customFormat="false" customHeight="1" hidden="" ht="14" outlineLevel="0" r="7300">
      <c r="A7300" s="3" t="inlineStr">
        <is>
          <t>7269</t>
        </is>
      </c>
      <c r="B7300" s="4" t="s">
        <f>=HYPERLINK("http://anyluxury.ru/shop/odezhda/detskaya-odezhda/hudi-kirenga-20-heavy-zelenoe-yabloko-1621594/" , "16215.94 Худи Kirenga 2.0 Heavy, зеленое яблоко, размер S")</f>
      </c>
      <c r="C7300" s="4" t="n">
        <v>2182.00</v>
      </c>
      <c r="D7300" s="4"/>
    </row>
    <row collapsed="" customFormat="false" customHeight="1" hidden="" ht="14" outlineLevel="0" r="7301">
      <c r="A7301" s="3" t="inlineStr">
        <is>
          <t>7270</t>
        </is>
      </c>
      <c r="B7301" s="4" t="s">
        <f>=HYPERLINK("http://anyluxury.ru/shop/odezhda/detskaya-odezhda/hudi-kirenga-20-heavy-zelenoe-yabloko-1621594/" , "16215.94 Худи Kirenga 2.0 Heavy, зеленое яблоко, размер M")</f>
      </c>
      <c r="C7301" s="4" t="n">
        <v>2182.00</v>
      </c>
      <c r="D7301" s="4"/>
    </row>
    <row collapsed="" customFormat="false" customHeight="1" hidden="" ht="14" outlineLevel="0" r="7302">
      <c r="A7302" s="3" t="inlineStr">
        <is>
          <t>7271</t>
        </is>
      </c>
      <c r="B7302" s="4" t="s">
        <f>=HYPERLINK("http://anyluxury.ru/shop/odezhda/detskaya-odezhda/hudi-kirenga-20-heavy-zelenoe-yabloko-1621594/" , "16215.94 Худи Kirenga 2.0 Heavy, зеленое яблоко, размер L")</f>
      </c>
      <c r="C7302" s="4" t="n">
        <v>2182.00</v>
      </c>
      <c r="D7302" s="4"/>
    </row>
    <row collapsed="" customFormat="false" customHeight="1" hidden="" ht="14" outlineLevel="0" r="7303">
      <c r="A7303" s="3" t="inlineStr">
        <is>
          <t>7272</t>
        </is>
      </c>
      <c r="B7303" s="4" t="s">
        <f>=HYPERLINK("http://anyluxury.ru/shop/odezhda/detskaya-odezhda/hudi-kirenga-20-heavy-zelenoe-yabloko-1621594/" , "16215.94 Худи Kirenga 2.0 Heavy, зеленое яблоко, размер XL")</f>
      </c>
      <c r="C7303" s="4" t="n">
        <v>2182.00</v>
      </c>
      <c r="D7303" s="4"/>
    </row>
    <row collapsed="" customFormat="false" customHeight="1" hidden="" ht="14" outlineLevel="0" r="7304">
      <c r="A7304" s="3" t="inlineStr">
        <is>
          <t>7273</t>
        </is>
      </c>
      <c r="B7304" s="4" t="s">
        <f>=HYPERLINK("http://anyluxury.ru/shop/odezhda/detskaya-odezhda/hudi-kirenga-20-heavy-zelenoe-yabloko-1621594/" , "16215.94 Худи Kirenga 2.0 Heavy, зеленое яблоко, размер XXL")</f>
      </c>
      <c r="C7304" s="4" t="n">
        <v>2182.00</v>
      </c>
      <c r="D7304" s="4"/>
    </row>
    <row collapsed="" customFormat="false" customHeight="1" hidden="" ht="14" outlineLevel="0" r="7305">
      <c r="A7305" s="3" t="inlineStr">
        <is>
          <t>7274</t>
        </is>
      </c>
      <c r="B7305" s="4" t="s">
        <f>=HYPERLINK("http://anyluxury.ru/shop/odezhda/detskaya-odezhda/hudi-kirenga-20-heavy-zelenoe-yabloko-1621594/" , "16215.94 Худи Kirenga 2.0 Heavy, зеленое яблоко, размер 3XL")</f>
      </c>
      <c r="C7305" s="4" t="n">
        <v>2182.00</v>
      </c>
      <c r="D7305" s="4"/>
    </row>
    <row collapsed="" customFormat="false" customHeight="1" hidden="" ht="14" outlineLevel="0" r="7306">
      <c r="A7306" s="3" t="inlineStr">
        <is>
          <t>7275</t>
        </is>
      </c>
      <c r="B7306" s="4" t="s">
        <f>=HYPERLINK("http://anyluxury.ru/shop/odezhda/detskaya-odezhda/hudi-kirenga-20-heavy-zelenoe-yabloko-1621594/" , "16215.94 Худи Kirenga 2.0 Heavy, зеленое яблоко, размер 4XL")</f>
      </c>
      <c r="C7306" s="4" t="n">
        <v>2182.00</v>
      </c>
      <c r="D7306" s="4"/>
    </row>
    <row collapsed="" customFormat="false" customHeight="1" hidden="" ht="14" outlineLevel="0" r="7307">
      <c r="A7307" s="3" t="inlineStr">
        <is>
          <t>7276</t>
        </is>
      </c>
      <c r="B7307" s="4" t="s">
        <f>=HYPERLINK("http://anyluxury.ru/shop/odezhda/detskaya-odezhda/svitshot-toima-20-heavy-seriy-melanzh-1621711/" , "16217.11 Свитшот Toima 2.0 Heavy, серый меланж, размер XS")</f>
      </c>
      <c r="C7307" s="4" t="n">
        <v>1688.00</v>
      </c>
      <c r="D7307" s="4"/>
    </row>
    <row collapsed="" customFormat="false" customHeight="1" hidden="" ht="14" outlineLevel="0" r="7308">
      <c r="A7308" s="3" t="inlineStr">
        <is>
          <t>7277</t>
        </is>
      </c>
      <c r="B7308" s="4" t="s">
        <f>=HYPERLINK("http://anyluxury.ru/shop/odezhda/detskaya-odezhda/svitshot-toima-20-heavy-seriy-melanzh-1621711/" , "16217.11 Свитшот Toima 2.0 Heavy, серый меланж, размер S")</f>
      </c>
      <c r="C7308" s="4" t="n">
        <v>1688.00</v>
      </c>
      <c r="D7308" s="4"/>
    </row>
    <row collapsed="" customFormat="false" customHeight="1" hidden="" ht="14" outlineLevel="0" r="7309">
      <c r="A7309" s="3" t="inlineStr">
        <is>
          <t>7278</t>
        </is>
      </c>
      <c r="B7309" s="4" t="s">
        <f>=HYPERLINK("http://anyluxury.ru/shop/odezhda/detskaya-odezhda/svitshot-toima-20-heavy-seriy-melanzh-1621711/" , "16217.11 Свитшот Toima 2.0 Heavy, серый меланж, размер M")</f>
      </c>
      <c r="C7309" s="4" t="n">
        <v>1688.00</v>
      </c>
      <c r="D7309" s="4"/>
    </row>
    <row collapsed="" customFormat="false" customHeight="1" hidden="" ht="14" outlineLevel="0" r="7310">
      <c r="A7310" s="3" t="inlineStr">
        <is>
          <t>7279</t>
        </is>
      </c>
      <c r="B7310" s="4" t="s">
        <f>=HYPERLINK("http://anyluxury.ru/shop/odezhda/detskaya-odezhda/svitshot-toima-20-heavy-seriy-melanzh-1621711/" , "16217.11 Свитшот Toima 2.0 Heavy, серый меланж, размер L")</f>
      </c>
      <c r="C7310" s="4" t="n">
        <v>1688.00</v>
      </c>
      <c r="D7310" s="4"/>
    </row>
    <row collapsed="" customFormat="false" customHeight="1" hidden="" ht="14" outlineLevel="0" r="7311">
      <c r="A7311" s="3" t="inlineStr">
        <is>
          <t>7280</t>
        </is>
      </c>
      <c r="B7311" s="4" t="s">
        <f>=HYPERLINK("http://anyluxury.ru/shop/odezhda/detskaya-odezhda/svitshot-toima-20-heavy-seriy-melanzh-1621711/" , "16217.11 Свитшот Toima 2.0 Heavy, серый меланж, размер XL")</f>
      </c>
      <c r="C7311" s="4" t="n">
        <v>1688.00</v>
      </c>
      <c r="D7311" s="4"/>
    </row>
    <row collapsed="" customFormat="false" customHeight="1" hidden="" ht="14" outlineLevel="0" r="7312">
      <c r="A7312" s="3" t="inlineStr">
        <is>
          <t>7281</t>
        </is>
      </c>
      <c r="B7312" s="4" t="s">
        <f>=HYPERLINK("http://anyluxury.ru/shop/odezhda/detskaya-odezhda/svitshot-toima-20-heavy-seriy-melanzh-1621711/" , "16217.11 Свитшот Toima 2.0 Heavy, серый меланж, размер XXL")</f>
      </c>
      <c r="C7312" s="4" t="n">
        <v>1688.00</v>
      </c>
      <c r="D7312" s="4"/>
    </row>
    <row collapsed="" customFormat="false" customHeight="1" hidden="" ht="14" outlineLevel="0" r="7313">
      <c r="A7313" s="3" t="inlineStr">
        <is>
          <t>7282</t>
        </is>
      </c>
      <c r="B7313" s="4" t="s">
        <f>=HYPERLINK("http://anyluxury.ru/shop/odezhda/detskaya-odezhda/svitshot-toima-20-heavy-seriy-melanzh-1621711/" , "16217.11 Свитшот Toima 2.0 Heavy, серый меланж, размер 3XL")</f>
      </c>
      <c r="C7313" s="4" t="n">
        <v>1688.00</v>
      </c>
      <c r="D7313" s="4"/>
    </row>
    <row collapsed="" customFormat="false" customHeight="1" hidden="" ht="14" outlineLevel="0" r="7314">
      <c r="A7314" s="3" t="inlineStr">
        <is>
          <t>7283</t>
        </is>
      </c>
      <c r="B7314" s="4" t="s">
        <f>=HYPERLINK("http://anyluxury.ru/shop/odezhda/detskaya-odezhda/svitshot-toima-20-heavy-seriy-melanzh-1621711/" , "16217.11 Свитшот Toima 2.0 Heavy, серый меланж, размер 4XL")</f>
      </c>
      <c r="C7314" s="4" t="n">
        <v>1688.00</v>
      </c>
      <c r="D7314" s="4"/>
    </row>
    <row collapsed="" customFormat="false" customHeight="1" hidden="" ht="14" outlineLevel="0" r="7315">
      <c r="A7315" s="3" t="inlineStr">
        <is>
          <t>7284</t>
        </is>
      </c>
      <c r="B7315" s="4" t="s">
        <f>=HYPERLINK("http://anyluxury.ru/shop/odezhda/detskaya-odezhda/svitshot-toima-20-heavy-biryuzoviy-1621714/" , "16217.14 Свитшот Toima 2.0 Heavy, бирюзовый, размер XS")</f>
      </c>
      <c r="C7315" s="4" t="n">
        <v>1688.00</v>
      </c>
      <c r="D7315" s="4"/>
    </row>
    <row collapsed="" customFormat="false" customHeight="1" hidden="" ht="14" outlineLevel="0" r="7316">
      <c r="A7316" s="3" t="inlineStr">
        <is>
          <t>7285</t>
        </is>
      </c>
      <c r="B7316" s="4" t="s">
        <f>=HYPERLINK("http://anyluxury.ru/shop/odezhda/detskaya-odezhda/svitshot-toima-20-heavy-biryuzoviy-1621714/" , "16217.14 Свитшот Toima 2.0 Heavy, бирюзовый, размер S")</f>
      </c>
      <c r="C7316" s="4" t="n">
        <v>1688.00</v>
      </c>
      <c r="D7316" s="4"/>
    </row>
    <row collapsed="" customFormat="false" customHeight="1" hidden="" ht="14" outlineLevel="0" r="7317">
      <c r="A7317" s="3" t="inlineStr">
        <is>
          <t>7286</t>
        </is>
      </c>
      <c r="B7317" s="4" t="s">
        <f>=HYPERLINK("http://anyluxury.ru/shop/odezhda/detskaya-odezhda/svitshot-toima-20-heavy-biryuzoviy-1621714/" , "16217.14 Свитшот Toima 2.0 Heavy, бирюзовый, размер M")</f>
      </c>
      <c r="C7317" s="4" t="n">
        <v>1688.00</v>
      </c>
      <c r="D7317" s="4"/>
    </row>
    <row collapsed="" customFormat="false" customHeight="1" hidden="" ht="14" outlineLevel="0" r="7318">
      <c r="A7318" s="3" t="inlineStr">
        <is>
          <t>7287</t>
        </is>
      </c>
      <c r="B7318" s="4" t="s">
        <f>=HYPERLINK("http://anyluxury.ru/shop/odezhda/detskaya-odezhda/svitshot-toima-20-heavy-biryuzoviy-1621714/" , "16217.14 Свитшот Toima 2.0 Heavy, бирюзовый, размер L")</f>
      </c>
      <c r="C7318" s="4" t="n">
        <v>1688.00</v>
      </c>
      <c r="D7318" s="4"/>
    </row>
    <row collapsed="" customFormat="false" customHeight="1" hidden="" ht="14" outlineLevel="0" r="7319">
      <c r="A7319" s="3" t="inlineStr">
        <is>
          <t>7288</t>
        </is>
      </c>
      <c r="B7319" s="4" t="s">
        <f>=HYPERLINK("http://anyluxury.ru/shop/odezhda/detskaya-odezhda/svitshot-toima-20-heavy-biryuzoviy-1621714/" , "16217.14 Свитшот Toima 2.0 Heavy, бирюзовый, размер XL")</f>
      </c>
      <c r="C7319" s="4" t="n">
        <v>1688.00</v>
      </c>
      <c r="D7319" s="4"/>
    </row>
    <row collapsed="" customFormat="false" customHeight="1" hidden="" ht="14" outlineLevel="0" r="7320">
      <c r="A7320" s="3" t="inlineStr">
        <is>
          <t>7289</t>
        </is>
      </c>
      <c r="B7320" s="4" t="s">
        <f>=HYPERLINK("http://anyluxury.ru/shop/odezhda/detskaya-odezhda/svitshot-toima-20-heavy-biryuzoviy-1621714/" , "16217.14 Свитшот Toima 2.0 Heavy, бирюзовый, размер XXL")</f>
      </c>
      <c r="C7320" s="4" t="n">
        <v>1688.00</v>
      </c>
      <c r="D7320" s="4"/>
    </row>
    <row collapsed="" customFormat="false" customHeight="1" hidden="" ht="14" outlineLevel="0" r="7321">
      <c r="A7321" s="3" t="inlineStr">
        <is>
          <t>7290</t>
        </is>
      </c>
      <c r="B7321" s="4" t="s">
        <f>=HYPERLINK("http://anyluxury.ru/shop/odezhda/detskaya-odezhda/svitshot-toima-20-heavy-biryuzoviy-1621714/" , "16217.14 Свитшот Toima 2.0 Heavy, бирюзовый, размер 3XL")</f>
      </c>
      <c r="C7321" s="4" t="n">
        <v>1688.00</v>
      </c>
      <c r="D7321" s="4"/>
    </row>
    <row collapsed="" customFormat="false" customHeight="1" hidden="" ht="14" outlineLevel="0" r="7322">
      <c r="A7322" s="3" t="inlineStr">
        <is>
          <t>7291</t>
        </is>
      </c>
      <c r="B7322" s="4" t="s">
        <f>=HYPERLINK("http://anyluxury.ru/shop/odezhda/detskaya-odezhda/svitshot-toima-20-heavy-biryuzoviy-1621714/" , "16217.14 Свитшот Toima 2.0 Heavy, бирюзовый, размер 4XL")</f>
      </c>
      <c r="C7322" s="4" t="n">
        <v>1688.00</v>
      </c>
      <c r="D7322" s="4"/>
    </row>
    <row collapsed="" customFormat="false" customHeight="1" hidden="" ht="14" outlineLevel="0" r="7323">
      <c r="A7323" s="3" t="inlineStr">
        <is>
          <t>7292</t>
        </is>
      </c>
      <c r="B7323" s="4" t="s">
        <f>=HYPERLINK("http://anyluxury.ru/shop/odezhda/detskaya-odezhda/svitshot-toima-20-heavy-cherniy-1621730/" , "16217.30 Свитшот Toima 2.0 Heavy, черный, размер XS")</f>
      </c>
      <c r="C7323" s="4" t="n">
        <v>1688.00</v>
      </c>
      <c r="D7323" s="4"/>
    </row>
    <row collapsed="" customFormat="false" customHeight="1" hidden="" ht="14" outlineLevel="0" r="7324">
      <c r="A7324" s="3" t="inlineStr">
        <is>
          <t>7293</t>
        </is>
      </c>
      <c r="B7324" s="4" t="s">
        <f>=HYPERLINK("http://anyluxury.ru/shop/odezhda/detskaya-odezhda/svitshot-toima-20-heavy-cherniy-1621730/" , "16217.30 Свитшот Toima 2.0 Heavy, черный, размер S")</f>
      </c>
      <c r="C7324" s="4" t="n">
        <v>1688.00</v>
      </c>
      <c r="D7324" s="4"/>
    </row>
    <row collapsed="" customFormat="false" customHeight="1" hidden="" ht="14" outlineLevel="0" r="7325">
      <c r="A7325" s="3" t="inlineStr">
        <is>
          <t>7294</t>
        </is>
      </c>
      <c r="B7325" s="4" t="s">
        <f>=HYPERLINK("http://anyluxury.ru/shop/odezhda/detskaya-odezhda/svitshot-toima-20-heavy-cherniy-1621730/" , "16217.30 Свитшот Toima 2.0 Heavy, черный, размер M")</f>
      </c>
      <c r="C7325" s="4" t="n">
        <v>1688.00</v>
      </c>
      <c r="D7325" s="4"/>
    </row>
    <row collapsed="" customFormat="false" customHeight="1" hidden="" ht="14" outlineLevel="0" r="7326">
      <c r="A7326" s="3" t="inlineStr">
        <is>
          <t>7295</t>
        </is>
      </c>
      <c r="B7326" s="4" t="s">
        <f>=HYPERLINK("http://anyluxury.ru/shop/odezhda/detskaya-odezhda/svitshot-toima-20-heavy-cherniy-1621730/" , "16217.30 Свитшот Toima 2.0 Heavy, черный, размер L")</f>
      </c>
      <c r="C7326" s="4" t="n">
        <v>1688.00</v>
      </c>
      <c r="D7326" s="4"/>
    </row>
    <row collapsed="" customFormat="false" customHeight="1" hidden="" ht="14" outlineLevel="0" r="7327">
      <c r="A7327" s="3" t="inlineStr">
        <is>
          <t>7296</t>
        </is>
      </c>
      <c r="B7327" s="4" t="s">
        <f>=HYPERLINK("http://anyluxury.ru/shop/odezhda/detskaya-odezhda/svitshot-toima-20-heavy-cherniy-1621730/" , "16217.30 Свитшот Toima 2.0 Heavy, черный, размер XL")</f>
      </c>
      <c r="C7327" s="4" t="n">
        <v>1688.00</v>
      </c>
      <c r="D7327" s="4"/>
    </row>
    <row collapsed="" customFormat="false" customHeight="1" hidden="" ht="14" outlineLevel="0" r="7328">
      <c r="A7328" s="3" t="inlineStr">
        <is>
          <t>7297</t>
        </is>
      </c>
      <c r="B7328" s="4" t="s">
        <f>=HYPERLINK("http://anyluxury.ru/shop/odezhda/detskaya-odezhda/svitshot-toima-20-heavy-cherniy-1621730/" , "16217.30 Свитшот Toima 2.0 Heavy, черный, размер XXL")</f>
      </c>
      <c r="C7328" s="4" t="n">
        <v>1688.00</v>
      </c>
      <c r="D7328" s="4"/>
    </row>
    <row collapsed="" customFormat="false" customHeight="1" hidden="" ht="14" outlineLevel="0" r="7329">
      <c r="A7329" s="3" t="inlineStr">
        <is>
          <t>7298</t>
        </is>
      </c>
      <c r="B7329" s="4" t="s">
        <f>=HYPERLINK("http://anyluxury.ru/shop/odezhda/detskaya-odezhda/svitshot-toima-20-heavy-cherniy-1621730/" , "16217.30 Свитшот Toima 2.0 Heavy, черный, размер 3XL")</f>
      </c>
      <c r="C7329" s="4" t="n">
        <v>1688.00</v>
      </c>
      <c r="D7329" s="4"/>
    </row>
    <row collapsed="" customFormat="false" customHeight="1" hidden="" ht="14" outlineLevel="0" r="7330">
      <c r="A7330" s="3" t="inlineStr">
        <is>
          <t>7299</t>
        </is>
      </c>
      <c r="B7330" s="4" t="s">
        <f>=HYPERLINK("http://anyluxury.ru/shop/odezhda/detskaya-odezhda/svitshot-toima-20-heavy-cherniy-1621730/" , "16217.30 Свитшот Toima 2.0 Heavy, черный, размер 4XL")</f>
      </c>
      <c r="C7330" s="4" t="n">
        <v>1688.00</v>
      </c>
      <c r="D7330" s="4"/>
    </row>
    <row collapsed="" customFormat="false" customHeight="1" hidden="" ht="14" outlineLevel="0" r="7331">
      <c r="A7331" s="3" t="inlineStr">
        <is>
          <t>7300</t>
        </is>
      </c>
      <c r="B7331" s="4" t="s">
        <f>=HYPERLINK("http://anyluxury.ru/shop/odezhda/detskaya-odezhda/svitshot-toima-20-heavy-cherniy-1621730/" , "16217.30 Свитшот Toima 2.0 Heavy, черный, размер 5XL")</f>
      </c>
      <c r="C7331" s="4" t="n">
        <v>1688.00</v>
      </c>
      <c r="D7331" s="4"/>
    </row>
    <row collapsed="" customFormat="false" customHeight="1" hidden="" ht="14" outlineLevel="0" r="7332">
      <c r="A7332" s="3" t="inlineStr">
        <is>
          <t>7301</t>
        </is>
      </c>
      <c r="B7332" s="4" t="s">
        <f>=HYPERLINK("http://anyluxury.ru/shop/odezhda/detskaya-odezhda/svitshot-toima-20-heavy-temnosiniy-1621740/" , "16217.40 Свитшот Toima 2.0 Heavy, темно-синий, размер XS")</f>
      </c>
      <c r="C7332" s="4" t="n">
        <v>1688.00</v>
      </c>
      <c r="D7332" s="4"/>
    </row>
    <row collapsed="" customFormat="false" customHeight="1" hidden="" ht="14" outlineLevel="0" r="7333">
      <c r="A7333" s="3" t="inlineStr">
        <is>
          <t>7302</t>
        </is>
      </c>
      <c r="B7333" s="4" t="s">
        <f>=HYPERLINK("http://anyluxury.ru/shop/odezhda/detskaya-odezhda/svitshot-toima-20-heavy-temnosiniy-1621740/" , "16217.40 Свитшот Toima 2.0 Heavy, темно-синий, размер M")</f>
      </c>
      <c r="C7333" s="4" t="n">
        <v>1688.00</v>
      </c>
      <c r="D7333" s="4"/>
    </row>
    <row collapsed="" customFormat="false" customHeight="1" hidden="" ht="14" outlineLevel="0" r="7334">
      <c r="A7334" s="3" t="inlineStr">
        <is>
          <t>7303</t>
        </is>
      </c>
      <c r="B7334" s="4" t="s">
        <f>=HYPERLINK("http://anyluxury.ru/shop/odezhda/detskaya-odezhda/svitshot-toima-20-heavy-temnosiniy-1621740/" , "16217.40 Свитшот Toima 2.0 Heavy, темно-синий, размер L")</f>
      </c>
      <c r="C7334" s="4" t="n">
        <v>1688.00</v>
      </c>
      <c r="D7334" s="4"/>
    </row>
    <row collapsed="" customFormat="false" customHeight="1" hidden="" ht="14" outlineLevel="0" r="7335">
      <c r="A7335" s="3" t="inlineStr">
        <is>
          <t>7304</t>
        </is>
      </c>
      <c r="B7335" s="4" t="s">
        <f>=HYPERLINK("http://anyluxury.ru/shop/odezhda/detskaya-odezhda/svitshot-toima-20-heavy-temnosiniy-1621740/" , "16217.40 Свитшот Toima 2.0 Heavy, темно-синий, размер XL")</f>
      </c>
      <c r="C7335" s="4" t="n">
        <v>1688.00</v>
      </c>
      <c r="D7335" s="4"/>
    </row>
    <row collapsed="" customFormat="false" customHeight="1" hidden="" ht="14" outlineLevel="0" r="7336">
      <c r="A7336" s="3" t="inlineStr">
        <is>
          <t>7305</t>
        </is>
      </c>
      <c r="B7336" s="4" t="s">
        <f>=HYPERLINK("http://anyluxury.ru/shop/odezhda/detskaya-odezhda/svitshot-toima-20-heavy-temnosiniy-1621740/" , "16217.40 Свитшот Toima 2.0 Heavy, темно-синий, размер XXL")</f>
      </c>
      <c r="C7336" s="4" t="n">
        <v>1688.00</v>
      </c>
      <c r="D7336" s="4"/>
    </row>
    <row collapsed="" customFormat="false" customHeight="1" hidden="" ht="14" outlineLevel="0" r="7337">
      <c r="A7337" s="3" t="inlineStr">
        <is>
          <t>7306</t>
        </is>
      </c>
      <c r="B7337" s="4" t="s">
        <f>=HYPERLINK("http://anyluxury.ru/shop/odezhda/detskaya-odezhda/svitshot-toima-20-heavy-temnosiniy-1621740/" , "16217.40 Свитшот Toima 2.0 Heavy, темно-синий, размер 3XL")</f>
      </c>
      <c r="C7337" s="4" t="n">
        <v>1688.00</v>
      </c>
      <c r="D7337" s="4"/>
    </row>
    <row collapsed="" customFormat="false" customHeight="1" hidden="" ht="14" outlineLevel="0" r="7338">
      <c r="A7338" s="3" t="inlineStr">
        <is>
          <t>7307</t>
        </is>
      </c>
      <c r="B7338" s="4" t="s">
        <f>=HYPERLINK("http://anyluxury.ru/shop/odezhda/detskaya-odezhda/svitshot-toima-20-heavy-temnosiniy-1621740/" , "16217.40 Свитшот Toima 2.0 Heavy, темно-синий, размер 4XL")</f>
      </c>
      <c r="C7338" s="4" t="n">
        <v>1688.00</v>
      </c>
      <c r="D7338" s="4"/>
    </row>
    <row collapsed="" customFormat="false" customHeight="1" hidden="" ht="14" outlineLevel="0" r="7339">
      <c r="A7339" s="3" t="inlineStr">
        <is>
          <t>7308</t>
        </is>
      </c>
      <c r="B7339" s="4" t="s">
        <f>=HYPERLINK("http://anyluxury.ru/shop/odezhda/detskaya-odezhda/svitshot-toima-20-heavy-krasniy-1621750/" , "16217.50 Свитшот Toima 2.0 Heavy, красный, размер XS")</f>
      </c>
      <c r="C7339" s="4" t="n">
        <v>1688.00</v>
      </c>
      <c r="D7339" s="4"/>
    </row>
    <row collapsed="" customFormat="false" customHeight="1" hidden="" ht="14" outlineLevel="0" r="7340">
      <c r="A7340" s="3" t="inlineStr">
        <is>
          <t>7309</t>
        </is>
      </c>
      <c r="B7340" s="4" t="s">
        <f>=HYPERLINK("http://anyluxury.ru/shop/odezhda/detskaya-odezhda/svitshot-toima-20-heavy-krasniy-1621750/" , "16217.50 Свитшот Toima 2.0 Heavy, красный, размер S")</f>
      </c>
      <c r="C7340" s="4" t="n">
        <v>1688.00</v>
      </c>
      <c r="D7340" s="4"/>
    </row>
    <row collapsed="" customFormat="false" customHeight="1" hidden="" ht="14" outlineLevel="0" r="7341">
      <c r="A7341" s="3" t="inlineStr">
        <is>
          <t>7310</t>
        </is>
      </c>
      <c r="B7341" s="4" t="s">
        <f>=HYPERLINK("http://anyluxury.ru/shop/odezhda/detskaya-odezhda/svitshot-toima-20-heavy-krasniy-1621750/" , "16217.50 Свитшот Toima 2.0 Heavy, красный, размер M")</f>
      </c>
      <c r="C7341" s="4" t="n">
        <v>1688.00</v>
      </c>
      <c r="D7341" s="4"/>
    </row>
    <row collapsed="" customFormat="false" customHeight="1" hidden="" ht="14" outlineLevel="0" r="7342">
      <c r="A7342" s="3" t="inlineStr">
        <is>
          <t>7311</t>
        </is>
      </c>
      <c r="B7342" s="4" t="s">
        <f>=HYPERLINK("http://anyluxury.ru/shop/odezhda/detskaya-odezhda/svitshot-toima-20-heavy-krasniy-1621750/" , "16217.50 Свитшот Toima 2.0 Heavy, красный, размер L")</f>
      </c>
      <c r="C7342" s="4" t="n">
        <v>1688.00</v>
      </c>
      <c r="D7342" s="4"/>
    </row>
    <row collapsed="" customFormat="false" customHeight="1" hidden="" ht="14" outlineLevel="0" r="7343">
      <c r="A7343" s="3" t="inlineStr">
        <is>
          <t>7312</t>
        </is>
      </c>
      <c r="B7343" s="4" t="s">
        <f>=HYPERLINK("http://anyluxury.ru/shop/odezhda/detskaya-odezhda/svitshot-toima-20-heavy-krasniy-1621750/" , "16217.50 Свитшот Toima 2.0 Heavy, красный, размер XL")</f>
      </c>
      <c r="C7343" s="4" t="n">
        <v>1688.00</v>
      </c>
      <c r="D7343" s="4"/>
    </row>
    <row collapsed="" customFormat="false" customHeight="1" hidden="" ht="14" outlineLevel="0" r="7344">
      <c r="A7344" s="3" t="inlineStr">
        <is>
          <t>7313</t>
        </is>
      </c>
      <c r="B7344" s="4" t="s">
        <f>=HYPERLINK("http://anyluxury.ru/shop/odezhda/detskaya-odezhda/svitshot-toima-20-heavy-krasniy-1621750/" , "16217.50 Свитшот Toima 2.0 Heavy, красный, размер XXL")</f>
      </c>
      <c r="C7344" s="4" t="n">
        <v>1688.00</v>
      </c>
      <c r="D7344" s="4"/>
    </row>
    <row collapsed="" customFormat="false" customHeight="1" hidden="" ht="14" outlineLevel="0" r="7345">
      <c r="A7345" s="3" t="inlineStr">
        <is>
          <t>7314</t>
        </is>
      </c>
      <c r="B7345" s="4" t="s">
        <f>=HYPERLINK("http://anyluxury.ru/shop/odezhda/detskaya-odezhda/svitshot-toima-20-heavy-krasniy-1621750/" , "16217.50 Свитшот Toima 2.0 Heavy, красный, размер 3XL")</f>
      </c>
      <c r="C7345" s="4" t="n">
        <v>1688.00</v>
      </c>
      <c r="D7345" s="4"/>
    </row>
    <row collapsed="" customFormat="false" customHeight="1" hidden="" ht="14" outlineLevel="0" r="7346">
      <c r="A7346" s="3" t="inlineStr">
        <is>
          <t>7315</t>
        </is>
      </c>
      <c r="B7346" s="4" t="s">
        <f>=HYPERLINK("http://anyluxury.ru/shop/odezhda/detskaya-odezhda/svitshot-toima-20-heavy-krasniy-1621750/" , "16217.50 Свитшот Toima 2.0 Heavy, красный, размер 4XL")</f>
      </c>
      <c r="C7346" s="4" t="n">
        <v>1688.00</v>
      </c>
      <c r="D7346" s="4"/>
    </row>
    <row collapsed="" customFormat="false" customHeight="1" hidden="" ht="14" outlineLevel="0" r="7347">
      <c r="A7347" s="3" t="inlineStr">
        <is>
          <t>7316</t>
        </is>
      </c>
      <c r="B7347" s="4" t="s">
        <f>=HYPERLINK("http://anyluxury.ru/shop/odezhda/detskaya-odezhda/svitshot-toima-20-heavy-fioletoviy-1621778/" , "16217.78 Свитшот Toima 2.0 Heavy, фиолетовый, размер XS")</f>
      </c>
      <c r="C7347" s="4" t="n">
        <v>1688.00</v>
      </c>
      <c r="D7347" s="4"/>
    </row>
    <row collapsed="" customFormat="false" customHeight="1" hidden="" ht="14" outlineLevel="0" r="7348">
      <c r="A7348" s="3" t="inlineStr">
        <is>
          <t>7317</t>
        </is>
      </c>
      <c r="B7348" s="4" t="s">
        <f>=HYPERLINK("http://anyluxury.ru/shop/odezhda/detskaya-odezhda/svitshot-toima-20-heavy-fioletoviy-1621778/" , "16217.78 Свитшот Toima 2.0 Heavy, фиолетовый, размер S")</f>
      </c>
      <c r="C7348" s="4" t="n">
        <v>1688.00</v>
      </c>
      <c r="D7348" s="4"/>
    </row>
    <row collapsed="" customFormat="false" customHeight="1" hidden="" ht="14" outlineLevel="0" r="7349">
      <c r="A7349" s="3" t="inlineStr">
        <is>
          <t>7318</t>
        </is>
      </c>
      <c r="B7349" s="4" t="s">
        <f>=HYPERLINK("http://anyluxury.ru/shop/odezhda/detskaya-odezhda/svitshot-toima-20-heavy-fioletoviy-1621778/" , "16217.78 Свитшот Toima 2.0 Heavy, фиолетовый, размер M")</f>
      </c>
      <c r="C7349" s="4" t="n">
        <v>1688.00</v>
      </c>
      <c r="D7349" s="4"/>
    </row>
    <row collapsed="" customFormat="false" customHeight="1" hidden="" ht="14" outlineLevel="0" r="7350">
      <c r="A7350" s="3" t="inlineStr">
        <is>
          <t>7319</t>
        </is>
      </c>
      <c r="B7350" s="4" t="s">
        <f>=HYPERLINK("http://anyluxury.ru/shop/odezhda/detskaya-odezhda/svitshot-toima-20-heavy-fioletoviy-1621778/" , "16217.78 Свитшот Toima 2.0 Heavy, фиолетовый, размер L")</f>
      </c>
      <c r="C7350" s="4" t="n">
        <v>1688.00</v>
      </c>
      <c r="D7350" s="4"/>
    </row>
    <row collapsed="" customFormat="false" customHeight="1" hidden="" ht="14" outlineLevel="0" r="7351">
      <c r="A7351" s="3" t="inlineStr">
        <is>
          <t>7320</t>
        </is>
      </c>
      <c r="B7351" s="4" t="s">
        <f>=HYPERLINK("http://anyluxury.ru/shop/odezhda/detskaya-odezhda/svitshot-toima-20-heavy-fioletoviy-1621778/" , "16217.78 Свитшот Toima 2.0 Heavy, фиолетовый, размер XL")</f>
      </c>
      <c r="C7351" s="4" t="n">
        <v>1688.00</v>
      </c>
      <c r="D7351" s="4"/>
    </row>
    <row collapsed="" customFormat="false" customHeight="1" hidden="" ht="14" outlineLevel="0" r="7352">
      <c r="A7352" s="3" t="inlineStr">
        <is>
          <t>7321</t>
        </is>
      </c>
      <c r="B7352" s="4" t="s">
        <f>=HYPERLINK("http://anyluxury.ru/shop/odezhda/detskaya-odezhda/svitshot-toima-20-heavy-fioletoviy-1621778/" , "16217.78 Свитшот Toima 2.0 Heavy, фиолетовый, размер XXL")</f>
      </c>
      <c r="C7352" s="4" t="n">
        <v>1688.00</v>
      </c>
      <c r="D7352" s="4"/>
    </row>
    <row collapsed="" customFormat="false" customHeight="1" hidden="" ht="14" outlineLevel="0" r="7353">
      <c r="A7353" s="3" t="inlineStr">
        <is>
          <t>7322</t>
        </is>
      </c>
      <c r="B7353" s="4" t="s">
        <f>=HYPERLINK("http://anyluxury.ru/shop/odezhda/detskaya-odezhda/svitshot-toima-20-heavy-fioletoviy-1621778/" , "16217.78 Свитшот Toima 2.0 Heavy, фиолетовый, размер 3XL")</f>
      </c>
      <c r="C7353" s="4" t="n">
        <v>1688.00</v>
      </c>
      <c r="D7353" s="4"/>
    </row>
    <row collapsed="" customFormat="false" customHeight="1" hidden="" ht="14" outlineLevel="0" r="7354">
      <c r="A7354" s="3" t="inlineStr">
        <is>
          <t>7323</t>
        </is>
      </c>
      <c r="B7354" s="4" t="s">
        <f>=HYPERLINK("http://anyluxury.ru/shop/odezhda/detskaya-odezhda/svitshot-toima-20-heavy-fioletoviy-1621778/" , "16217.78 Свитшот Toima 2.0 Heavy, фиолетовый, размер 4XL")</f>
      </c>
      <c r="C7354" s="4" t="n">
        <v>1688.00</v>
      </c>
      <c r="D7354" s="4"/>
    </row>
    <row collapsed="" customFormat="false" customHeight="1" hidden="" ht="14" outlineLevel="0" r="7355">
      <c r="A7355" s="3" t="inlineStr">
        <is>
          <t>7324</t>
        </is>
      </c>
      <c r="B7355" s="4" t="s">
        <f>=HYPERLINK("http://anyluxury.ru/shop/odezhda/detskaya-odezhda/svitshot-toima-20-heavy-temnozeleniy-1621790/" , "16217.90 Свитшот Toima 2.0 Heavy, темно-зеленый, размер XS")</f>
      </c>
      <c r="C7355" s="4" t="n">
        <v>1688.00</v>
      </c>
      <c r="D7355" s="4"/>
    </row>
    <row collapsed="" customFormat="false" customHeight="1" hidden="" ht="14" outlineLevel="0" r="7356">
      <c r="A7356" s="3" t="inlineStr">
        <is>
          <t>7325</t>
        </is>
      </c>
      <c r="B7356" s="4" t="s">
        <f>=HYPERLINK("http://anyluxury.ru/shop/odezhda/detskaya-odezhda/svitshot-toima-20-heavy-temnozeleniy-1621790/" , "16217.90 Свитшот Toima 2.0 Heavy, темно-зеленый, размер S")</f>
      </c>
      <c r="C7356" s="4" t="n">
        <v>1688.00</v>
      </c>
      <c r="D7356" s="4"/>
    </row>
    <row collapsed="" customFormat="false" customHeight="1" hidden="" ht="14" outlineLevel="0" r="7357">
      <c r="A7357" s="3" t="inlineStr">
        <is>
          <t>7326</t>
        </is>
      </c>
      <c r="B7357" s="4" t="s">
        <f>=HYPERLINK("http://anyluxury.ru/shop/odezhda/detskaya-odezhda/svitshot-toima-20-heavy-temnozeleniy-1621790/" , "16217.90 Свитшот Toima 2.0 Heavy, темно-зеленый, размер M")</f>
      </c>
      <c r="C7357" s="4" t="n">
        <v>1688.00</v>
      </c>
      <c r="D7357" s="4"/>
    </row>
    <row collapsed="" customFormat="false" customHeight="1" hidden="" ht="14" outlineLevel="0" r="7358">
      <c r="A7358" s="3" t="inlineStr">
        <is>
          <t>7327</t>
        </is>
      </c>
      <c r="B7358" s="4" t="s">
        <f>=HYPERLINK("http://anyluxury.ru/shop/odezhda/detskaya-odezhda/svitshot-toima-20-heavy-temnozeleniy-1621790/" , "16217.90 Свитшот Toima 2.0 Heavy, темно-зеленый, размер L")</f>
      </c>
      <c r="C7358" s="4" t="n">
        <v>1688.00</v>
      </c>
      <c r="D7358" s="4"/>
    </row>
    <row collapsed="" customFormat="false" customHeight="1" hidden="" ht="14" outlineLevel="0" r="7359">
      <c r="A7359" s="3" t="inlineStr">
        <is>
          <t>7328</t>
        </is>
      </c>
      <c r="B7359" s="4" t="s">
        <f>=HYPERLINK("http://anyluxury.ru/shop/odezhda/detskaya-odezhda/svitshot-toima-20-heavy-temnozeleniy-1621790/" , "16217.90 Свитшот Toima 2.0 Heavy, темно-зеленый, размер XL")</f>
      </c>
      <c r="C7359" s="4" t="n">
        <v>1688.00</v>
      </c>
      <c r="D7359" s="4"/>
    </row>
    <row collapsed="" customFormat="false" customHeight="1" hidden="" ht="14" outlineLevel="0" r="7360">
      <c r="A7360" s="3" t="inlineStr">
        <is>
          <t>7329</t>
        </is>
      </c>
      <c r="B7360" s="4" t="s">
        <f>=HYPERLINK("http://anyluxury.ru/shop/odezhda/detskaya-odezhda/svitshot-toima-20-heavy-temnozeleniy-1621790/" , "16217.90 Свитшот Toima 2.0 Heavy, темно-зеленый, размер XXL")</f>
      </c>
      <c r="C7360" s="4" t="n">
        <v>1688.00</v>
      </c>
      <c r="D7360" s="4"/>
    </row>
    <row collapsed="" customFormat="false" customHeight="1" hidden="" ht="14" outlineLevel="0" r="7361">
      <c r="A7361" s="3" t="inlineStr">
        <is>
          <t>7330</t>
        </is>
      </c>
      <c r="B7361" s="4" t="s">
        <f>=HYPERLINK("http://anyluxury.ru/shop/odezhda/detskaya-odezhda/svitshot-toima-20-heavy-temnozeleniy-1621790/" , "16217.90 Свитшот Toima 2.0 Heavy, темно-зеленый, размер 3XL")</f>
      </c>
      <c r="C7361" s="4" t="n">
        <v>1688.00</v>
      </c>
      <c r="D7361" s="4"/>
    </row>
    <row collapsed="" customFormat="false" customHeight="1" hidden="" ht="14" outlineLevel="0" r="7362">
      <c r="A7362" s="3" t="inlineStr">
        <is>
          <t>7331</t>
        </is>
      </c>
      <c r="B7362" s="4" t="s">
        <f>=HYPERLINK("http://anyluxury.ru/shop/odezhda/detskaya-odezhda/svitshot-toima-20-heavy-temnozeleniy-1621790/" , "16217.90 Свитшот Toima 2.0 Heavy, темно-зеленый, размер 4XL")</f>
      </c>
      <c r="C7362" s="4" t="n">
        <v>1688.00</v>
      </c>
      <c r="D7362" s="4"/>
    </row>
    <row collapsed="" customFormat="false" customHeight="1" hidden="" ht="14" outlineLevel="0" r="7363">
      <c r="A7363" s="3" t="inlineStr">
        <is>
          <t>7332</t>
        </is>
      </c>
      <c r="B7363" s="4" t="s">
        <f>=HYPERLINK("http://anyluxury.ru/shop/odezhda/detskaya-odezhda/hudi-kirenga-20-heavy-yarkosinee-1621544/" , "16215.44 Худи Kirenga 2.0 Heavy, ярко-синее, размер XS")</f>
      </c>
      <c r="C7363" s="4" t="n">
        <v>2182.00</v>
      </c>
      <c r="D7363" s="4"/>
    </row>
    <row collapsed="" customFormat="false" customHeight="1" hidden="" ht="14" outlineLevel="0" r="7364">
      <c r="A7364" s="3" t="inlineStr">
        <is>
          <t>7333</t>
        </is>
      </c>
      <c r="B7364" s="4" t="s">
        <f>=HYPERLINK("http://anyluxury.ru/shop/odezhda/detskaya-odezhda/hudi-kirenga-20-heavy-yarkosinee-1621544/" , "16215.44 Худи Kirenga 2.0 Heavy, ярко-синее, размер S")</f>
      </c>
      <c r="C7364" s="4" t="n">
        <v>2182.00</v>
      </c>
      <c r="D7364" s="4"/>
    </row>
    <row collapsed="" customFormat="false" customHeight="1" hidden="" ht="14" outlineLevel="0" r="7365">
      <c r="A7365" s="3" t="inlineStr">
        <is>
          <t>7334</t>
        </is>
      </c>
      <c r="B7365" s="4" t="s">
        <f>=HYPERLINK("http://anyluxury.ru/shop/odezhda/detskaya-odezhda/hudi-kirenga-20-heavy-yarkosinee-1621544/" , "16215.44 Худи Kirenga 2.0 Heavy, ярко-синее, размер M")</f>
      </c>
      <c r="C7365" s="4" t="n">
        <v>2182.00</v>
      </c>
      <c r="D7365" s="4"/>
    </row>
    <row collapsed="" customFormat="false" customHeight="1" hidden="" ht="14" outlineLevel="0" r="7366">
      <c r="A7366" s="3" t="inlineStr">
        <is>
          <t>7335</t>
        </is>
      </c>
      <c r="B7366" s="4" t="s">
        <f>=HYPERLINK("http://anyluxury.ru/shop/odezhda/detskaya-odezhda/hudi-kirenga-20-heavy-yarkosinee-1621544/" , "16215.44 Худи Kirenga 2.0 Heavy, ярко-синее, размер L")</f>
      </c>
      <c r="C7366" s="4" t="n">
        <v>2182.00</v>
      </c>
      <c r="D7366" s="4"/>
    </row>
    <row collapsed="" customFormat="false" customHeight="1" hidden="" ht="14" outlineLevel="0" r="7367">
      <c r="A7367" s="3" t="inlineStr">
        <is>
          <t>7336</t>
        </is>
      </c>
      <c r="B7367" s="4" t="s">
        <f>=HYPERLINK("http://anyluxury.ru/shop/odezhda/detskaya-odezhda/hudi-kirenga-20-heavy-yarkosinee-1621544/" , "16215.44 Худи Kirenga 2.0 Heavy, ярко-синее, размер XL")</f>
      </c>
      <c r="C7367" s="4" t="n">
        <v>2182.00</v>
      </c>
      <c r="D7367" s="4"/>
    </row>
    <row collapsed="" customFormat="false" customHeight="1" hidden="" ht="14" outlineLevel="0" r="7368">
      <c r="A7368" s="3" t="inlineStr">
        <is>
          <t>7337</t>
        </is>
      </c>
      <c r="B7368" s="4" t="s">
        <f>=HYPERLINK("http://anyluxury.ru/shop/odezhda/detskaya-odezhda/hudi-kirenga-20-heavy-yarkosinee-1621544/" , "16215.44 Худи Kirenga 2.0 Heavy, ярко-синее, размер XXL")</f>
      </c>
      <c r="C7368" s="4" t="n">
        <v>2182.00</v>
      </c>
      <c r="D7368" s="4"/>
    </row>
    <row collapsed="" customFormat="false" customHeight="1" hidden="" ht="14" outlineLevel="0" r="7369">
      <c r="A7369" s="3" t="inlineStr">
        <is>
          <t>7338</t>
        </is>
      </c>
      <c r="B7369" s="4" t="s">
        <f>=HYPERLINK("http://anyluxury.ru/shop/odezhda/detskaya-odezhda/hudi-kirenga-20-heavy-yarkosinee-1621544/" , "16215.44 Худи Kirenga 2.0 Heavy, ярко-синее, размер 3XL")</f>
      </c>
      <c r="C7369" s="4" t="n">
        <v>2182.00</v>
      </c>
      <c r="D7369" s="4"/>
    </row>
    <row collapsed="" customFormat="false" customHeight="1" hidden="" ht="14" outlineLevel="0" r="7370">
      <c r="A7370" s="3" t="inlineStr">
        <is>
          <t>7339</t>
        </is>
      </c>
      <c r="B7370" s="4" t="s">
        <f>=HYPERLINK("http://anyluxury.ru/shop/odezhda/detskaya-odezhda/hudi-kirenga-20-heavy-yarkosinee-1621544/" , "16215.44 Худи Kirenga 2.0 Heavy, ярко-синее, размер 4XL")</f>
      </c>
      <c r="C7370" s="4" t="n">
        <v>2182.00</v>
      </c>
      <c r="D7370" s="4"/>
    </row>
    <row collapsed="" customFormat="false" customHeight="1" hidden="" ht="14" outlineLevel="0" r="7371">
      <c r="A7371" s="3" t="inlineStr">
        <is>
          <t>7340</t>
        </is>
      </c>
      <c r="B7371" s="4" t="s">
        <f>=HYPERLINK("http://anyluxury.ru/shop/odezhda/detskaya-odezhda/hudi-kirenga-20-heavy-yarkosinee-1621544/" , "16215.44 Худи Kirenga 2.0 Heavy, ярко-синее, размер 5XL")</f>
      </c>
      <c r="C7371" s="4" t="n">
        <v>2182.00</v>
      </c>
      <c r="D7371" s="4"/>
    </row>
    <row collapsed="" customFormat="false" customHeight="1" hidden="" ht="14" outlineLevel="0" r="7372">
      <c r="A7372" s="3" t="inlineStr">
        <is>
          <t>7341</t>
        </is>
      </c>
      <c r="B7372" s="4" t="s">
        <f>=HYPERLINK("http://anyluxury.ru/shop/odezhda/detskaya-odezhda/svitshot-toima-20-heavy-yarkosiniy-1621744/" , "16217.44 Свитшот Toima 2.0 Heavy, ярко-синий, размер XS")</f>
      </c>
      <c r="C7372" s="4" t="n">
        <v>1688.00</v>
      </c>
      <c r="D7372" s="4"/>
    </row>
    <row collapsed="" customFormat="false" customHeight="1" hidden="" ht="14" outlineLevel="0" r="7373">
      <c r="A7373" s="3" t="inlineStr">
        <is>
          <t>7342</t>
        </is>
      </c>
      <c r="B7373" s="4" t="s">
        <f>=HYPERLINK("http://anyluxury.ru/shop/odezhda/detskaya-odezhda/svitshot-toima-20-heavy-yarkosiniy-1621744/" , "16217.44 Свитшот Toima 2.0 Heavy, ярко-синий, размер S")</f>
      </c>
      <c r="C7373" s="4" t="n">
        <v>1688.00</v>
      </c>
      <c r="D7373" s="4"/>
    </row>
    <row collapsed="" customFormat="false" customHeight="1" hidden="" ht="14" outlineLevel="0" r="7374">
      <c r="A7374" s="3" t="inlineStr">
        <is>
          <t>7343</t>
        </is>
      </c>
      <c r="B7374" s="4" t="s">
        <f>=HYPERLINK("http://anyluxury.ru/shop/odezhda/detskaya-odezhda/svitshot-toima-20-heavy-yarkosiniy-1621744/" , "16217.44 Свитшот Toima 2.0 Heavy, ярко-синий, размер M")</f>
      </c>
      <c r="C7374" s="4" t="n">
        <v>1688.00</v>
      </c>
      <c r="D7374" s="4"/>
    </row>
    <row collapsed="" customFormat="false" customHeight="1" hidden="" ht="14" outlineLevel="0" r="7375">
      <c r="A7375" s="3" t="inlineStr">
        <is>
          <t>7344</t>
        </is>
      </c>
      <c r="B7375" s="4" t="s">
        <f>=HYPERLINK("http://anyluxury.ru/shop/odezhda/detskaya-odezhda/svitshot-toima-20-heavy-yarkosiniy-1621744/" , "16217.44 Свитшот Toima 2.0 Heavy, ярко-синий, размер L")</f>
      </c>
      <c r="C7375" s="4" t="n">
        <v>1688.00</v>
      </c>
      <c r="D7375" s="4"/>
    </row>
    <row collapsed="" customFormat="false" customHeight="1" hidden="" ht="14" outlineLevel="0" r="7376">
      <c r="A7376" s="3" t="inlineStr">
        <is>
          <t>7345</t>
        </is>
      </c>
      <c r="B7376" s="4" t="s">
        <f>=HYPERLINK("http://anyluxury.ru/shop/odezhda/detskaya-odezhda/svitshot-toima-20-heavy-yarkosiniy-1621744/" , "16217.44 Свитшот Toima 2.0 Heavy, ярко-синий, размер XL")</f>
      </c>
      <c r="C7376" s="4" t="n">
        <v>1688.00</v>
      </c>
      <c r="D7376" s="4"/>
    </row>
    <row collapsed="" customFormat="false" customHeight="1" hidden="" ht="14" outlineLevel="0" r="7377">
      <c r="A7377" s="3" t="inlineStr">
        <is>
          <t>7346</t>
        </is>
      </c>
      <c r="B7377" s="4" t="s">
        <f>=HYPERLINK("http://anyluxury.ru/shop/odezhda/detskaya-odezhda/svitshot-toima-20-heavy-yarkosiniy-1621744/" , "16217.44 Свитшот Toima 2.0 Heavy, ярко-синий, размер XXL")</f>
      </c>
      <c r="C7377" s="4" t="n">
        <v>1688.00</v>
      </c>
      <c r="D7377" s="4"/>
    </row>
    <row collapsed="" customFormat="false" customHeight="1" hidden="" ht="14" outlineLevel="0" r="7378">
      <c r="A7378" s="3" t="inlineStr">
        <is>
          <t>7347</t>
        </is>
      </c>
      <c r="B7378" s="4" t="s">
        <f>=HYPERLINK("http://anyluxury.ru/shop/odezhda/detskaya-odezhda/svitshot-toima-20-heavy-yarkosiniy-1621744/" , "16217.44 Свитшот Toima 2.0 Heavy, ярко-синий, размер 3XL")</f>
      </c>
      <c r="C7378" s="4" t="n">
        <v>1688.00</v>
      </c>
      <c r="D7378" s="4"/>
    </row>
    <row collapsed="" customFormat="false" customHeight="1" hidden="" ht="14" outlineLevel="0" r="7379">
      <c r="A7379" s="3" t="inlineStr">
        <is>
          <t>7348</t>
        </is>
      </c>
      <c r="B7379" s="4" t="s">
        <f>=HYPERLINK("http://anyluxury.ru/shop/odezhda/detskaya-odezhda/svitshot-toima-20-heavy-yarkosiniy-1621744/" , "16217.44 Свитшот Toima 2.0 Heavy, ярко-синий, размер 4XL")</f>
      </c>
      <c r="C7379" s="4" t="n">
        <v>1688.00</v>
      </c>
      <c r="D7379" s="4"/>
    </row>
    <row collapsed="" customFormat="false" customHeight="1" hidden="" ht="14" outlineLevel="0" r="7380">
      <c r="A7380" s="3" t="inlineStr">
        <is>
          <t>7349</t>
        </is>
      </c>
      <c r="B7380" s="4" t="s">
        <f>=HYPERLINK("http://anyluxury.ru/shop/odezhda/detskaya-odezhda/hudi-uniseks-oversayz-easy-street-chernoe-1915530/" , "19155.30 Худи унисекс оверсайз Easy Street, черное, размер XS/S")</f>
      </c>
      <c r="C7380" s="4" t="n">
        <v>3750.00</v>
      </c>
      <c r="D7380" s="4"/>
    </row>
    <row collapsed="" customFormat="false" customHeight="1" hidden="" ht="14" outlineLevel="0" r="7381">
      <c r="A7381" s="3" t="inlineStr">
        <is>
          <t>7350</t>
        </is>
      </c>
      <c r="B7381" s="4" t="s">
        <f>=HYPERLINK("http://anyluxury.ru/shop/odezhda/detskaya-odezhda/hudi-uniseks-oversayz-easy-street-chernoe-1915530/" , "19155.30 Худи унисекс оверсайз Easy Street, черное, размер M/L")</f>
      </c>
      <c r="C7381" s="4" t="n">
        <v>3750.00</v>
      </c>
      <c r="D7381" s="4"/>
    </row>
    <row collapsed="" customFormat="false" customHeight="1" hidden="" ht="14" outlineLevel="0" r="7382">
      <c r="A7382" s="3" t="inlineStr">
        <is>
          <t>7351</t>
        </is>
      </c>
      <c r="B7382" s="4" t="s">
        <f>=HYPERLINK("http://anyluxury.ru/shop/odezhda/detskaya-odezhda/hudi-uniseks-oversayz-easy-street-chernoe-1915530/" , "19155.30 Худи унисекс оверсайз Easy Street, черное, размер XL/XXL")</f>
      </c>
      <c r="C7382" s="4" t="n">
        <v>3750.00</v>
      </c>
      <c r="D7382" s="4"/>
    </row>
    <row collapsed="" customFormat="false" customHeight="1" hidden="" ht="14" outlineLevel="0" r="7383">
      <c r="A7383" s="3" t="inlineStr">
        <is>
          <t>7352</t>
        </is>
      </c>
      <c r="B7383" s="4" t="s">
        <f>=HYPERLINK("http://anyluxury.ru/shop/odezhda/detskaya-odezhda/hudi-uniseks-oversayz-easy-street-temnosinee-1915540/" , "19155.40 Худи унисекс оверсайз Easy Street, темно-синее, размер XS/S")</f>
      </c>
      <c r="C7383" s="4" t="n">
        <v>3750.00</v>
      </c>
      <c r="D7383" s="4"/>
    </row>
    <row collapsed="" customFormat="false" customHeight="1" hidden="" ht="14" outlineLevel="0" r="7384">
      <c r="A7384" s="3" t="inlineStr">
        <is>
          <t>7353</t>
        </is>
      </c>
      <c r="B7384" s="4" t="s">
        <f>=HYPERLINK("http://anyluxury.ru/shop/odezhda/detskaya-odezhda/hudi-uniseks-oversayz-easy-street-temnosinee-1915540/" , "19155.40 Худи унисекс оверсайз Easy Street, темно-синее, размер XL/XXL")</f>
      </c>
      <c r="C7384" s="4" t="n">
        <v>3750.00</v>
      </c>
      <c r="D7384" s="4"/>
    </row>
    <row collapsed="" customFormat="false" customHeight="1" hidden="" ht="14" outlineLevel="0" r="7385">
      <c r="A7385" s="3" t="inlineStr">
        <is>
          <t>7354</t>
        </is>
      </c>
      <c r="B7385" s="4" t="s">
        <f>=HYPERLINK("http://anyluxury.ru/shop/odezhda/detskaya-odezhda/hudi-uniseks-oversayz-easy-street-temnosinee-1915540/" , "19155.40 Худи унисекс оверсайз Easy Street, темно-синее, размер M/l")</f>
      </c>
      <c r="C7385" s="4" t="n">
        <v>3750.00</v>
      </c>
      <c r="D7385" s="4"/>
    </row>
    <row collapsed="" customFormat="false" customHeight="1" hidden="" ht="14" outlineLevel="0" r="7386">
      <c r="A7386" s="3" t="inlineStr">
        <is>
          <t>7355</t>
        </is>
      </c>
      <c r="B7386" s="4" t="s">
        <f>=HYPERLINK("http://anyluxury.ru/shop/odezhda/detskaya-odezhda/hudi-uniseks-oversayz-easy-street-molochnobeloe-1915560/" , "19155.60 Худи унисекс оверсайз Easy Street, молочно-белое, размер XS/S")</f>
      </c>
      <c r="C7386" s="4" t="n">
        <v>3750.00</v>
      </c>
      <c r="D7386" s="4"/>
    </row>
    <row collapsed="" customFormat="false" customHeight="1" hidden="" ht="14" outlineLevel="0" r="7387">
      <c r="A7387" s="3" t="inlineStr">
        <is>
          <t>7356</t>
        </is>
      </c>
      <c r="B7387" s="4" t="s">
        <f>=HYPERLINK("http://anyluxury.ru/shop/odezhda/detskaya-odezhda/hudi-uniseks-oversayz-easy-street-molochnobeloe-1915560/" , "19155.60 Худи унисекс оверсайз Easy Street, молочно-белое, размер M/L")</f>
      </c>
      <c r="C7387" s="4" t="n">
        <v>3750.00</v>
      </c>
      <c r="D7387" s="4"/>
    </row>
    <row collapsed="" customFormat="false" customHeight="1" hidden="" ht="14" outlineLevel="0" r="7388">
      <c r="A7388" s="3" t="inlineStr">
        <is>
          <t>7357</t>
        </is>
      </c>
      <c r="B7388" s="4" t="s">
        <f>=HYPERLINK("http://anyluxury.ru/shop/odezhda/detskaya-odezhda/hudi-uniseks-oversayz-easy-street-molochnobeloe-1915560/" , "19155.60 Худи унисекс оверсайз Easy Street, молочно-белое, размер XL/XXL")</f>
      </c>
      <c r="C7388" s="4" t="n">
        <v>3750.00</v>
      </c>
      <c r="D7388" s="4"/>
    </row>
    <row collapsed="" customFormat="false" customHeight="1" hidden="" ht="14" outlineLevel="0" r="7389">
      <c r="A7389" s="3" t="inlineStr">
        <is>
          <t>7358</t>
        </is>
      </c>
      <c r="B7389" s="4" t="s">
        <f>=HYPERLINK("http://anyluxury.ru/shop/odezhda/detskaya-odezhda/perchatki-urban-flow-molochnobelie-1666361/" , "16663.61 Перчатки Urban Flow, молочно-белые, размер S/M")</f>
      </c>
      <c r="C7389" s="4" t="n">
        <v>247.00</v>
      </c>
      <c r="D7389" s="4"/>
    </row>
    <row collapsed="" customFormat="false" customHeight="1" hidden="" ht="14" outlineLevel="0" r="7390">
      <c r="A7390" s="3" t="inlineStr">
        <is>
          <t>7359</t>
        </is>
      </c>
      <c r="B7390" s="4" t="s">
        <f>=HYPERLINK("http://anyluxury.ru/shop/odezhda/detskaya-odezhda/perchatki-urban-flow-molochnobelie-1666361/" , "16663.61 Перчатки Urban Flow, молочно-белые, размер L/XL")</f>
      </c>
      <c r="C7390" s="4" t="n">
        <v>247.00</v>
      </c>
      <c r="D7390" s="4"/>
    </row>
    <row collapsed="" customFormat="false" customHeight="1" hidden="" ht="14" outlineLevel="0" r="7391">
      <c r="A7391" s="3" t="inlineStr">
        <is>
          <t>7360</t>
        </is>
      </c>
      <c r="B7391" s="4" t="s">
        <f>=HYPERLINK("http://anyluxury.ru/shop/odezhda/detskaya-odezhda/perchatki-sensornie-urban-flow-temnoseriy-melanzh-1666432/" , "16664.32 Перчатки сенсорные Urban Flow, темно-серый меланж, размер S/M")</f>
      </c>
      <c r="C7391" s="4" t="n">
        <v>278.00</v>
      </c>
      <c r="D7391" s="4"/>
    </row>
    <row collapsed="" customFormat="false" customHeight="1" hidden="" ht="14" outlineLevel="0" r="7392">
      <c r="A7392" s="3" t="inlineStr">
        <is>
          <t>7361</t>
        </is>
      </c>
      <c r="B7392" s="4" t="s">
        <f>=HYPERLINK("http://anyluxury.ru/shop/odezhda/detskaya-odezhda/perchatki-sensornie-urban-flow-temnoseriy-melanzh-1666432/" , "16664.32 Перчатки сенсорные Urban Flow, темно-серый меланж, размер L/XL")</f>
      </c>
      <c r="C7392" s="4" t="n">
        <v>278.00</v>
      </c>
      <c r="D7392" s="4"/>
    </row>
    <row collapsed="" customFormat="false" customHeight="1" hidden="" ht="14" outlineLevel="0" r="7393">
      <c r="A7393" s="3" t="inlineStr">
        <is>
          <t>7362</t>
        </is>
      </c>
      <c r="B7393" s="4" t="s">
        <f>=HYPERLINK("http://anyluxury.ru/shop/odezhda/detskaya-odezhda/hudi-oversayz-uniseks-go-easy-chernoe-1641530/" , "16415.30 Худи оверсайз унисекс Go Easy, черное, размер S")</f>
      </c>
      <c r="C7393" s="4" t="n">
        <v>3200.00</v>
      </c>
      <c r="D7393" s="4"/>
    </row>
    <row collapsed="" customFormat="false" customHeight="1" hidden="" ht="14" outlineLevel="0" r="7394">
      <c r="A7394" s="3" t="inlineStr">
        <is>
          <t>7363</t>
        </is>
      </c>
      <c r="B7394" s="4" t="s">
        <f>=HYPERLINK("http://anyluxury.ru/shop/odezhda/detskaya-odezhda/hudi-oversayz-uniseks-go-easy-chernoe-1641530/" , "16415.30 Худи оверсайз унисекс Go Easy, черное, размер M")</f>
      </c>
      <c r="C7394" s="4" t="n">
        <v>3200.00</v>
      </c>
      <c r="D7394" s="4"/>
    </row>
    <row collapsed="" customFormat="false" customHeight="1" hidden="" ht="14" outlineLevel="0" r="7395">
      <c r="A7395" s="3" t="inlineStr">
        <is>
          <t>7364</t>
        </is>
      </c>
      <c r="B7395" s="4" t="s">
        <f>=HYPERLINK("http://anyluxury.ru/shop/odezhda/detskaya-odezhda/hudi-oversayz-uniseks-go-easy-chernoe-1641530/" , "16415.30 Худи оверсайз унисекс Go Easy, черное, размер L")</f>
      </c>
      <c r="C7395" s="4" t="n">
        <v>3200.00</v>
      </c>
      <c r="D7395" s="4"/>
    </row>
    <row collapsed="" customFormat="false" customHeight="1" hidden="" ht="14" outlineLevel="0" r="7396">
      <c r="A7396" s="3" t="inlineStr">
        <is>
          <t>7365</t>
        </is>
      </c>
      <c r="B7396" s="4" t="s">
        <f>=HYPERLINK("http://anyluxury.ru/shop/odezhda/detskaya-odezhda/hudi-oversayz-uniseks-go-easy-chernoe-1641530/" , "16415.30 Худи оверсайз унисекс Go Easy, черное, размер XL")</f>
      </c>
      <c r="C7396" s="4" t="n">
        <v>3200.00</v>
      </c>
      <c r="D7396" s="4"/>
    </row>
    <row collapsed="" customFormat="false" customHeight="1" hidden="" ht="14" outlineLevel="0" r="7397">
      <c r="A7397" s="3" t="inlineStr">
        <is>
          <t>7366</t>
        </is>
      </c>
      <c r="B7397" s="4" t="s">
        <f>=HYPERLINK("http://anyluxury.ru/shop/odezhda/detskaya-odezhda/hudi-oversayz-uniseks-go-easy-molochnobeloe-1641560/" , "16415.60 Худи оверсайз унисекс Go Easy, молочно-белое, размер S")</f>
      </c>
      <c r="C7397" s="4" t="n">
        <v>3200.00</v>
      </c>
      <c r="D7397" s="4"/>
    </row>
    <row collapsed="" customFormat="false" customHeight="1" hidden="" ht="14" outlineLevel="0" r="7398">
      <c r="A7398" s="3" t="inlineStr">
        <is>
          <t>7367</t>
        </is>
      </c>
      <c r="B7398" s="4" t="s">
        <f>=HYPERLINK("http://anyluxury.ru/shop/odezhda/detskaya-odezhda/hudi-oversayz-uniseks-go-easy-molochnobeloe-1641560/" , "16415.60 Худи оверсайз унисекс Go Easy, молочно-белое, размер M")</f>
      </c>
      <c r="C7398" s="4" t="n">
        <v>3200.00</v>
      </c>
      <c r="D7398" s="4"/>
    </row>
    <row collapsed="" customFormat="false" customHeight="1" hidden="" ht="14" outlineLevel="0" r="7399">
      <c r="A7399" s="3" t="inlineStr">
        <is>
          <t>7368</t>
        </is>
      </c>
      <c r="B7399" s="4" t="s">
        <f>=HYPERLINK("http://anyluxury.ru/shop/odezhda/detskaya-odezhda/hudi-oversayz-uniseks-go-easy-molochnobeloe-1641560/" , "16415.60 Худи оверсайз унисекс Go Easy, молочно-белое, размер L")</f>
      </c>
      <c r="C7399" s="4" t="n">
        <v>3200.00</v>
      </c>
      <c r="D7399" s="4"/>
    </row>
    <row collapsed="" customFormat="false" customHeight="1" hidden="" ht="14" outlineLevel="0" r="7400">
      <c r="A7400" s="3" t="inlineStr">
        <is>
          <t>7369</t>
        </is>
      </c>
      <c r="B7400" s="4" t="s">
        <f>=HYPERLINK("http://anyluxury.ru/shop/odezhda/detskaya-odezhda/hudi-oversayz-uniseks-go-easy-molochnobeloe-1641560/" , "16415.60 Худи оверсайз унисекс Go Easy, молочно-белое, размер XL")</f>
      </c>
      <c r="C7400" s="4" t="n">
        <v>3200.00</v>
      </c>
      <c r="D7400" s="4"/>
    </row>
    <row collapsed="" customFormat="false" customHeight="1" hidden="" ht="14" outlineLevel="0" r="7401">
      <c r="A7401" s="3" t="inlineStr">
        <is>
          <t>7370</t>
        </is>
      </c>
      <c r="B7401" s="4" t="s">
        <f>=HYPERLINK("http://anyluxury.ru/shop/odezhda/detskaya-odezhda/svitshot-oversayz-uniseks-true-self-cherniy-1641630/" , "16416.30 Свитшот оверсайз унисекс True Self, черный, размер S")</f>
      </c>
      <c r="C7401" s="4" t="n">
        <v>2870.00</v>
      </c>
      <c r="D7401" s="4"/>
    </row>
    <row collapsed="" customFormat="false" customHeight="1" hidden="" ht="14" outlineLevel="0" r="7402">
      <c r="A7402" s="3" t="inlineStr">
        <is>
          <t>7371</t>
        </is>
      </c>
      <c r="B7402" s="4" t="s">
        <f>=HYPERLINK("http://anyluxury.ru/shop/odezhda/detskaya-odezhda/svitshot-oversayz-uniseks-true-self-cherniy-1641630/" , "16416.30 Свитшот оверсайз унисекс True Self, черный, размер M")</f>
      </c>
      <c r="C7402" s="4" t="n">
        <v>2870.00</v>
      </c>
      <c r="D7402" s="4"/>
    </row>
    <row collapsed="" customFormat="false" customHeight="1" hidden="" ht="14" outlineLevel="0" r="7403">
      <c r="A7403" s="3" t="inlineStr">
        <is>
          <t>7372</t>
        </is>
      </c>
      <c r="B7403" s="4" t="s">
        <f>=HYPERLINK("http://anyluxury.ru/shop/odezhda/detskaya-odezhda/svitshot-oversayz-uniseks-true-self-cherniy-1641630/" , "16416.30 Свитшот оверсайз унисекс True Self, черный, размер L")</f>
      </c>
      <c r="C7403" s="4" t="n">
        <v>2870.00</v>
      </c>
      <c r="D7403" s="4"/>
    </row>
    <row collapsed="" customFormat="false" customHeight="1" hidden="" ht="14" outlineLevel="0" r="7404">
      <c r="A7404" s="3" t="inlineStr">
        <is>
          <t>7373</t>
        </is>
      </c>
      <c r="B7404" s="4" t="s">
        <f>=HYPERLINK("http://anyluxury.ru/shop/odezhda/detskaya-odezhda/svitshot-oversayz-uniseks-true-self-cherniy-1641630/" , "16416.30 Свитшот оверсайз унисекс True Self, черный, размер XL")</f>
      </c>
      <c r="C7404" s="4" t="n">
        <v>2870.00</v>
      </c>
      <c r="D7404" s="4"/>
    </row>
    <row collapsed="" customFormat="false" customHeight="1" hidden="" ht="14" outlineLevel="0" r="7405">
      <c r="A7405" s="3" t="inlineStr">
        <is>
          <t>7374</t>
        </is>
      </c>
      <c r="B7405" s="4" t="s">
        <f>=HYPERLINK("http://anyluxury.ru/shop/odezhda/detskaya-odezhda/svitshot-oversayz-uniseks-true-self-molochnobeliy-1641660/" , "16416.60 Свитшот оверсайз унисекс True Self, молочно-белый, размер S")</f>
      </c>
      <c r="C7405" s="4" t="n">
        <v>2870.00</v>
      </c>
      <c r="D7405" s="4"/>
    </row>
    <row collapsed="" customFormat="false" customHeight="1" hidden="" ht="14" outlineLevel="0" r="7406">
      <c r="A7406" s="3" t="inlineStr">
        <is>
          <t>7375</t>
        </is>
      </c>
      <c r="B7406" s="4" t="s">
        <f>=HYPERLINK("http://anyluxury.ru/shop/odezhda/detskaya-odezhda/svitshot-oversayz-uniseks-true-self-molochnobeliy-1641660/" , "16416.60 Свитшот оверсайз унисекс True Self, молочно-белый, размер M")</f>
      </c>
      <c r="C7406" s="4" t="n">
        <v>2870.00</v>
      </c>
      <c r="D7406" s="4"/>
    </row>
    <row collapsed="" customFormat="false" customHeight="1" hidden="" ht="14" outlineLevel="0" r="7407">
      <c r="A7407" s="3" t="inlineStr">
        <is>
          <t>7376</t>
        </is>
      </c>
      <c r="B7407" s="4" t="s">
        <f>=HYPERLINK("http://anyluxury.ru/shop/odezhda/detskaya-odezhda/svitshot-oversayz-uniseks-true-self-molochnobeliy-1641660/" , "16416.60 Свитшот оверсайз унисекс True Self, молочно-белый, размер L")</f>
      </c>
      <c r="C7407" s="4" t="n">
        <v>2870.00</v>
      </c>
      <c r="D7407" s="4"/>
    </row>
    <row collapsed="" customFormat="false" customHeight="1" hidden="" ht="14" outlineLevel="0" r="7408">
      <c r="A7408" s="3" t="inlineStr">
        <is>
          <t>7377</t>
        </is>
      </c>
      <c r="B7408" s="4" t="s">
        <f>=HYPERLINK("http://anyluxury.ru/shop/odezhda/detskaya-odezhda/svitshot-oversayz-uniseks-true-self-molochnobeliy-1641660/" , "16416.60 Свитшот оверсайз унисекс True Self, молочно-белый, размер XL")</f>
      </c>
      <c r="C7408" s="4" t="n">
        <v>2870.00</v>
      </c>
      <c r="D7408" s="4"/>
    </row>
    <row collapsed="" customFormat="false" customHeight="1" hidden="" ht="14" outlineLevel="0" r="7409">
      <c r="A7409" s="3" t="inlineStr">
        <is>
          <t>7378</t>
        </is>
      </c>
      <c r="B7409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S")</f>
      </c>
      <c r="C7409" s="4" t="n">
        <v>1950.00</v>
      </c>
      <c r="D7409" s="4"/>
    </row>
    <row collapsed="" customFormat="false" customHeight="1" hidden="" ht="14" outlineLevel="0" r="7410">
      <c r="A7410" s="3" t="inlineStr">
        <is>
          <t>7379</t>
        </is>
      </c>
      <c r="B7410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M")</f>
      </c>
      <c r="C7410" s="4" t="n">
        <v>1950.00</v>
      </c>
      <c r="D7410" s="4"/>
    </row>
    <row collapsed="" customFormat="false" customHeight="1" hidden="" ht="14" outlineLevel="0" r="7411">
      <c r="A7411" s="3" t="inlineStr">
        <is>
          <t>7380</t>
        </is>
      </c>
      <c r="B7411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L")</f>
      </c>
      <c r="C7411" s="4" t="n">
        <v>1950.00</v>
      </c>
      <c r="D7411" s="4"/>
    </row>
    <row collapsed="" customFormat="false" customHeight="1" hidden="" ht="14" outlineLevel="0" r="7412">
      <c r="A7412" s="3" t="inlineStr">
        <is>
          <t>7381</t>
        </is>
      </c>
      <c r="B7412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XL")</f>
      </c>
      <c r="C7412" s="4" t="n">
        <v>1950.00</v>
      </c>
      <c r="D7412" s="4"/>
    </row>
    <row collapsed="" customFormat="false" customHeight="1" hidden="" ht="14" outlineLevel="0" r="7413">
      <c r="A7413" s="3" t="inlineStr">
        <is>
          <t>7382</t>
        </is>
      </c>
      <c r="B7413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S")</f>
      </c>
      <c r="C7413" s="4" t="n">
        <v>1950.00</v>
      </c>
      <c r="D7413" s="4"/>
    </row>
    <row collapsed="" customFormat="false" customHeight="1" hidden="" ht="14" outlineLevel="0" r="7414">
      <c r="A7414" s="3" t="inlineStr">
        <is>
          <t>7383</t>
        </is>
      </c>
      <c r="B7414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M")</f>
      </c>
      <c r="C7414" s="4" t="n">
        <v>1950.00</v>
      </c>
      <c r="D7414" s="4"/>
    </row>
    <row collapsed="" customFormat="false" customHeight="1" hidden="" ht="14" outlineLevel="0" r="7415">
      <c r="A7415" s="3" t="inlineStr">
        <is>
          <t>7384</t>
        </is>
      </c>
      <c r="B7415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L")</f>
      </c>
      <c r="C7415" s="4" t="n">
        <v>1950.00</v>
      </c>
      <c r="D7415" s="4"/>
    </row>
    <row collapsed="" customFormat="false" customHeight="1" hidden="" ht="14" outlineLevel="0" r="7416">
      <c r="A7416" s="3" t="inlineStr">
        <is>
          <t>7385</t>
        </is>
      </c>
      <c r="B7416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XL")</f>
      </c>
      <c r="C7416" s="4" t="n">
        <v>1950.00</v>
      </c>
      <c r="D7416" s="4"/>
    </row>
    <row collapsed="" customFormat="false" customHeight="1" hidden="" ht="14" outlineLevel="0" r="7417">
      <c r="A7417" s="3" t="inlineStr">
        <is>
          <t>7386</t>
        </is>
      </c>
      <c r="B7417" s="4" t="s">
        <f>=HYPERLINK("http://anyluxury.ru/shop/odezhda/detskaya-odezhda/hudi-uniseks-constellation-zelenogoluboe-04232199/" , "04232199 Худи унисекс Constellation, зелено-голубое, размер XS")</f>
      </c>
      <c r="C7417" s="4" t="n">
        <v>3395.00</v>
      </c>
      <c r="D7417" s="4"/>
    </row>
    <row collapsed="" customFormat="false" customHeight="1" hidden="" ht="14" outlineLevel="0" r="7418">
      <c r="A7418" s="3" t="inlineStr">
        <is>
          <t>7387</t>
        </is>
      </c>
      <c r="B7418" s="4" t="s">
        <f>=HYPERLINK("http://anyluxury.ru/shop/odezhda/detskaya-odezhda/hudi-uniseks-constellation-zelenogoluboe-04232199/" , "04232199 Худи унисекс Constellation, зелено-голубое, размер S")</f>
      </c>
      <c r="C7418" s="4" t="n">
        <v>3395.00</v>
      </c>
      <c r="D7418" s="4"/>
    </row>
    <row collapsed="" customFormat="false" customHeight="1" hidden="" ht="14" outlineLevel="0" r="7419">
      <c r="A7419" s="3" t="inlineStr">
        <is>
          <t>7388</t>
        </is>
      </c>
      <c r="B7419" s="4" t="s">
        <f>=HYPERLINK("http://anyluxury.ru/shop/odezhda/detskaya-odezhda/hudi-uniseks-constellation-zelenogoluboe-04232199/" , "04232199 Худи унисекс Constellation, зелено-голубое, размер M")</f>
      </c>
      <c r="C7419" s="4" t="n">
        <v>3395.00</v>
      </c>
      <c r="D7419" s="4"/>
    </row>
    <row collapsed="" customFormat="false" customHeight="1" hidden="" ht="14" outlineLevel="0" r="7420">
      <c r="A7420" s="3" t="inlineStr">
        <is>
          <t>7389</t>
        </is>
      </c>
      <c r="B7420" s="4" t="s">
        <f>=HYPERLINK("http://anyluxury.ru/shop/odezhda/detskaya-odezhda/hudi-uniseks-constellation-zelenogoluboe-04232199/" , "04232199 Худи унисекс Constellation, зелено-голубое, размер L")</f>
      </c>
      <c r="C7420" s="4" t="n">
        <v>3395.00</v>
      </c>
      <c r="D7420" s="4"/>
    </row>
    <row collapsed="" customFormat="false" customHeight="1" hidden="" ht="14" outlineLevel="0" r="7421">
      <c r="A7421" s="3" t="inlineStr">
        <is>
          <t>7390</t>
        </is>
      </c>
      <c r="B7421" s="4" t="s">
        <f>=HYPERLINK("http://anyluxury.ru/shop/odezhda/detskaya-odezhda/hudi-uniseks-constellation-zelenogoluboe-04232199/" , "04232199 Худи унисекс Constellation, зелено-голубое, размер XL")</f>
      </c>
      <c r="C7421" s="4" t="n">
        <v>3395.00</v>
      </c>
      <c r="D7421" s="4"/>
    </row>
    <row collapsed="" customFormat="false" customHeight="1" hidden="" ht="14" outlineLevel="0" r="7422">
      <c r="A7422" s="3" t="inlineStr">
        <is>
          <t>7391</t>
        </is>
      </c>
      <c r="B7422" s="4" t="s">
        <f>=HYPERLINK("http://anyluxury.ru/shop/odezhda/detskaya-odezhda/hudi-uniseks-constellation-zelenogoluboe-04232199/" , "04232199 Худи унисекс Constellation, зелено-голубое, размер XXL")</f>
      </c>
      <c r="C7422" s="4" t="n">
        <v>3395.00</v>
      </c>
      <c r="D7422" s="4"/>
    </row>
    <row collapsed="" customFormat="false" customHeight="1" hidden="" ht="14" outlineLevel="0" r="7423">
      <c r="A7423" s="3" t="inlineStr">
        <is>
          <t>7392</t>
        </is>
      </c>
      <c r="B7423" s="4" t="s">
        <f>=HYPERLINK("http://anyluxury.ru/shop/odezhda/detskaya-odezhda/hudi-uniseks-constellation-zelenogoluboe-04232199/" , "04232199 Худи унисекс Constellation, зелено-голубое, размер 3XL")</f>
      </c>
      <c r="C7423" s="4" t="n">
        <v>3973.00</v>
      </c>
      <c r="D7423" s="4"/>
    </row>
    <row collapsed="" customFormat="false" customHeight="1" hidden="" ht="14" outlineLevel="0" r="7424">
      <c r="A7424" s="3" t="inlineStr">
        <is>
          <t>7393</t>
        </is>
      </c>
      <c r="B7424" s="4" t="s">
        <f>=HYPERLINK("http://anyluxury.ru/shop/odezhda/detskaya-odezhda/hudi-uniseks-constellation-chernoe-04232312/" , "04232312 Худи унисекс Constellation, черное, размер XS")</f>
      </c>
      <c r="C7424" s="4" t="n">
        <v>3395.00</v>
      </c>
      <c r="D7424" s="4"/>
    </row>
    <row collapsed="" customFormat="false" customHeight="1" hidden="" ht="14" outlineLevel="0" r="7425">
      <c r="A7425" s="3" t="inlineStr">
        <is>
          <t>7394</t>
        </is>
      </c>
      <c r="B7425" s="4" t="s">
        <f>=HYPERLINK("http://anyluxury.ru/shop/odezhda/detskaya-odezhda/hudi-uniseks-constellation-chernoe-04232312/" , "04232312 Худи унисекс Constellation, черное, размер S")</f>
      </c>
      <c r="C7425" s="4" t="n">
        <v>3395.00</v>
      </c>
      <c r="D7425" s="4"/>
    </row>
    <row collapsed="" customFormat="false" customHeight="1" hidden="" ht="14" outlineLevel="0" r="7426">
      <c r="A7426" s="3" t="inlineStr">
        <is>
          <t>7395</t>
        </is>
      </c>
      <c r="B7426" s="4" t="s">
        <f>=HYPERLINK("http://anyluxury.ru/shop/odezhda/detskaya-odezhda/hudi-uniseks-constellation-chernoe-04232312/" , "04232312 Худи унисекс Constellation, черное, размер M")</f>
      </c>
      <c r="C7426" s="4" t="n">
        <v>3395.00</v>
      </c>
      <c r="D7426" s="4"/>
    </row>
    <row collapsed="" customFormat="false" customHeight="1" hidden="" ht="14" outlineLevel="0" r="7427">
      <c r="A7427" s="3" t="inlineStr">
        <is>
          <t>7396</t>
        </is>
      </c>
      <c r="B7427" s="4" t="s">
        <f>=HYPERLINK("http://anyluxury.ru/shop/odezhda/detskaya-odezhda/hudi-uniseks-constellation-chernoe-04232312/" , "04232312 Худи унисекс Constellation, черное, размер L")</f>
      </c>
      <c r="C7427" s="4" t="n">
        <v>3395.00</v>
      </c>
      <c r="D7427" s="4"/>
    </row>
    <row collapsed="" customFormat="false" customHeight="1" hidden="" ht="14" outlineLevel="0" r="7428">
      <c r="A7428" s="3" t="inlineStr">
        <is>
          <t>7397</t>
        </is>
      </c>
      <c r="B7428" s="4" t="s">
        <f>=HYPERLINK("http://anyluxury.ru/shop/odezhda/detskaya-odezhda/hudi-uniseks-constellation-chernoe-04232312/" , "04232312 Худи унисекс Constellation, черное, размер XL")</f>
      </c>
      <c r="C7428" s="4" t="n">
        <v>3395.00</v>
      </c>
      <c r="D7428" s="4"/>
    </row>
    <row collapsed="" customFormat="false" customHeight="1" hidden="" ht="14" outlineLevel="0" r="7429">
      <c r="A7429" s="3" t="inlineStr">
        <is>
          <t>7398</t>
        </is>
      </c>
      <c r="B7429" s="4" t="s">
        <f>=HYPERLINK("http://anyluxury.ru/shop/odezhda/detskaya-odezhda/hudi-uniseks-constellation-chernoe-04232312/" , "04232312 Худи унисекс Constellation, черное, размер XXL")</f>
      </c>
      <c r="C7429" s="4" t="n">
        <v>3395.00</v>
      </c>
      <c r="D7429" s="4"/>
    </row>
    <row collapsed="" customFormat="false" customHeight="1" hidden="" ht="14" outlineLevel="0" r="7430">
      <c r="A7430" s="3" t="inlineStr">
        <is>
          <t>7399</t>
        </is>
      </c>
      <c r="B7430" s="4" t="s">
        <f>=HYPERLINK("http://anyluxury.ru/shop/odezhda/detskaya-odezhda/hudi-uniseks-constellation-chernoe-04232312/" , "04232312 Худи унисекс Constellation, черное, размер 3XL")</f>
      </c>
      <c r="C7430" s="4" t="n">
        <v>3973.00</v>
      </c>
      <c r="D7430" s="4"/>
    </row>
    <row collapsed="" customFormat="false" customHeight="1" hidden="" ht="14" outlineLevel="0" r="7431">
      <c r="A7431" s="3" t="inlineStr">
        <is>
          <t>7400</t>
        </is>
      </c>
      <c r="B7431" s="4" t="s">
        <f>=HYPERLINK("http://anyluxury.ru/shop/odezhda/detskaya-odezhda/hudi-uniseks-constellation-temnozelenoe-04232264/" , "04232264 Худи унисекс Constellation, темно-зеленое, размер XS")</f>
      </c>
      <c r="C7431" s="4" t="n">
        <v>3395.00</v>
      </c>
      <c r="D7431" s="4"/>
    </row>
    <row collapsed="" customFormat="false" customHeight="1" hidden="" ht="14" outlineLevel="0" r="7432">
      <c r="A7432" s="3" t="inlineStr">
        <is>
          <t>7401</t>
        </is>
      </c>
      <c r="B7432" s="4" t="s">
        <f>=HYPERLINK("http://anyluxury.ru/shop/odezhda/detskaya-odezhda/hudi-uniseks-constellation-temnozelenoe-04232264/" , "04232264 Худи унисекс Constellation, темно-зеленое, размер S")</f>
      </c>
      <c r="C7432" s="4" t="n">
        <v>3395.00</v>
      </c>
      <c r="D7432" s="4"/>
    </row>
    <row collapsed="" customFormat="false" customHeight="1" hidden="" ht="14" outlineLevel="0" r="7433">
      <c r="A7433" s="3" t="inlineStr">
        <is>
          <t>7402</t>
        </is>
      </c>
      <c r="B7433" s="4" t="s">
        <f>=HYPERLINK("http://anyluxury.ru/shop/odezhda/detskaya-odezhda/hudi-uniseks-constellation-temnozelenoe-04232264/" , "04232264 Худи унисекс Constellation, темно-зеленое, размер M")</f>
      </c>
      <c r="C7433" s="4" t="n">
        <v>3395.00</v>
      </c>
      <c r="D7433" s="4"/>
    </row>
    <row collapsed="" customFormat="false" customHeight="1" hidden="" ht="14" outlineLevel="0" r="7434">
      <c r="A7434" s="3" t="inlineStr">
        <is>
          <t>7403</t>
        </is>
      </c>
      <c r="B7434" s="4" t="s">
        <f>=HYPERLINK("http://anyluxury.ru/shop/odezhda/detskaya-odezhda/hudi-uniseks-constellation-temnozelenoe-04232264/" , "04232264 Худи унисекс Constellation, темно-зеленое, размер L")</f>
      </c>
      <c r="C7434" s="4" t="n">
        <v>3395.00</v>
      </c>
      <c r="D7434" s="4"/>
    </row>
    <row collapsed="" customFormat="false" customHeight="1" hidden="" ht="14" outlineLevel="0" r="7435">
      <c r="A7435" s="3" t="inlineStr">
        <is>
          <t>7404</t>
        </is>
      </c>
      <c r="B7435" s="4" t="s">
        <f>=HYPERLINK("http://anyluxury.ru/shop/odezhda/detskaya-odezhda/hudi-uniseks-constellation-temnozelenoe-04232264/" , "04232264 Худи унисекс Constellation, темно-зеленое, размер XL")</f>
      </c>
      <c r="C7435" s="4" t="n">
        <v>3395.00</v>
      </c>
      <c r="D7435" s="4"/>
    </row>
    <row collapsed="" customFormat="false" customHeight="1" hidden="" ht="14" outlineLevel="0" r="7436">
      <c r="A7436" s="3" t="inlineStr">
        <is>
          <t>7405</t>
        </is>
      </c>
      <c r="B7436" s="4" t="s">
        <f>=HYPERLINK("http://anyluxury.ru/shop/odezhda/detskaya-odezhda/hudi-uniseks-constellation-temnozelenoe-04232264/" , "04232264 Худи унисекс Constellation, темно-зеленое, размер XXL")</f>
      </c>
      <c r="C7436" s="4" t="n">
        <v>3395.00</v>
      </c>
      <c r="D7436" s="4"/>
    </row>
    <row collapsed="" customFormat="false" customHeight="1" hidden="" ht="14" outlineLevel="0" r="7437">
      <c r="A7437" s="3" t="inlineStr">
        <is>
          <t>7406</t>
        </is>
      </c>
      <c r="B7437" s="4" t="s">
        <f>=HYPERLINK("http://anyluxury.ru/shop/odezhda/detskaya-odezhda/hudi-uniseks-constellation-temnozelenoe-04232264/" , "04232264 Худи унисекс Constellation, темно-зеленое, размер 3XL")</f>
      </c>
      <c r="C7437" s="4" t="n">
        <v>3973.00</v>
      </c>
      <c r="D7437" s="4"/>
    </row>
    <row collapsed="" customFormat="false" customHeight="1" hidden="" ht="14" outlineLevel="0" r="7438">
      <c r="A7438" s="3" t="inlineStr">
        <is>
          <t>7407</t>
        </is>
      </c>
      <c r="B7438" s="4" t="s">
        <f>=HYPERLINK("http://anyluxury.ru/shop/odezhda/detskaya-odezhda/hudi-uniseks-constellation-temnosinee-04232319/" , "04232319 Худи унисекс Constellation, темно-синее, размер XS")</f>
      </c>
      <c r="C7438" s="4" t="n">
        <v>3395.00</v>
      </c>
      <c r="D7438" s="4"/>
    </row>
    <row collapsed="" customFormat="false" customHeight="1" hidden="" ht="14" outlineLevel="0" r="7439">
      <c r="A7439" s="3" t="inlineStr">
        <is>
          <t>7408</t>
        </is>
      </c>
      <c r="B7439" s="4" t="s">
        <f>=HYPERLINK("http://anyluxury.ru/shop/odezhda/detskaya-odezhda/hudi-uniseks-constellation-temnosinee-04232319/" , "04232319 Худи унисекс Constellation, темно-синее, размер S")</f>
      </c>
      <c r="C7439" s="4" t="n">
        <v>3395.00</v>
      </c>
      <c r="D7439" s="4"/>
    </row>
    <row collapsed="" customFormat="false" customHeight="1" hidden="" ht="14" outlineLevel="0" r="7440">
      <c r="A7440" s="3" t="inlineStr">
        <is>
          <t>7409</t>
        </is>
      </c>
      <c r="B7440" s="4" t="s">
        <f>=HYPERLINK("http://anyluxury.ru/shop/odezhda/detskaya-odezhda/hudi-uniseks-constellation-temnosinee-04232319/" , "04232319 Худи унисекс Constellation, темно-синее, размер M")</f>
      </c>
      <c r="C7440" s="4" t="n">
        <v>3395.00</v>
      </c>
      <c r="D7440" s="4"/>
    </row>
    <row collapsed="" customFormat="false" customHeight="1" hidden="" ht="14" outlineLevel="0" r="7441">
      <c r="A7441" s="3" t="inlineStr">
        <is>
          <t>7410</t>
        </is>
      </c>
      <c r="B7441" s="4" t="s">
        <f>=HYPERLINK("http://anyluxury.ru/shop/odezhda/detskaya-odezhda/hudi-uniseks-constellation-temnosinee-04232319/" , "04232319 Худи унисекс Constellation, темно-синее, размер L")</f>
      </c>
      <c r="C7441" s="4" t="n">
        <v>3395.00</v>
      </c>
      <c r="D7441" s="4"/>
    </row>
    <row collapsed="" customFormat="false" customHeight="1" hidden="" ht="14" outlineLevel="0" r="7442">
      <c r="A7442" s="3" t="inlineStr">
        <is>
          <t>7411</t>
        </is>
      </c>
      <c r="B7442" s="4" t="s">
        <f>=HYPERLINK("http://anyluxury.ru/shop/odezhda/detskaya-odezhda/hudi-uniseks-constellation-temnosinee-04232319/" , "04232319 Худи унисекс Constellation, темно-синее, размер XL")</f>
      </c>
      <c r="C7442" s="4" t="n">
        <v>3395.00</v>
      </c>
      <c r="D7442" s="4"/>
    </row>
    <row collapsed="" customFormat="false" customHeight="1" hidden="" ht="14" outlineLevel="0" r="7443">
      <c r="A7443" s="3" t="inlineStr">
        <is>
          <t>7412</t>
        </is>
      </c>
      <c r="B7443" s="4" t="s">
        <f>=HYPERLINK("http://anyluxury.ru/shop/odezhda/detskaya-odezhda/hudi-uniseks-constellation-temnosinee-04232319/" , "04232319 Худи унисекс Constellation, темно-синее, размер XXL")</f>
      </c>
      <c r="C7443" s="4" t="n">
        <v>3395.00</v>
      </c>
      <c r="D7443" s="4"/>
    </row>
    <row collapsed="" customFormat="false" customHeight="1" hidden="" ht="14" outlineLevel="0" r="7444">
      <c r="A7444" s="3" t="inlineStr">
        <is>
          <t>7413</t>
        </is>
      </c>
      <c r="B7444" s="4" t="s">
        <f>=HYPERLINK("http://anyluxury.ru/shop/odezhda/detskaya-odezhda/hudi-uniseks-constellation-temnosinee-04232319/" , "04232319 Худи унисекс Constellation, темно-синее, размер 3XL")</f>
      </c>
      <c r="C7444" s="4" t="n">
        <v>3973.00</v>
      </c>
      <c r="D7444" s="4"/>
    </row>
    <row collapsed="" customFormat="false" customHeight="1" hidden="" ht="14" outlineLevel="0" r="7445">
      <c r="A7445" s="3" t="inlineStr">
        <is>
          <t>7414</t>
        </is>
      </c>
      <c r="B7445" s="4" t="s">
        <f>=HYPERLINK("http://anyluxury.ru/shop/odezhda/detskaya-odezhda/hudi-uniseks-constellation-seriy-melanzh-04232360/" , "04232360 Худи унисекс Constellation, серый меланж, размер XS")</f>
      </c>
      <c r="C7445" s="4" t="n">
        <v>3395.00</v>
      </c>
      <c r="D7445" s="4"/>
    </row>
    <row collapsed="" customFormat="false" customHeight="1" hidden="" ht="14" outlineLevel="0" r="7446">
      <c r="A7446" s="3" t="inlineStr">
        <is>
          <t>7415</t>
        </is>
      </c>
      <c r="B7446" s="4" t="s">
        <f>=HYPERLINK("http://anyluxury.ru/shop/odezhda/detskaya-odezhda/hudi-uniseks-constellation-seriy-melanzh-04232360/" , "04232360 Худи унисекс Constellation, серый меланж, размер S")</f>
      </c>
      <c r="C7446" s="4" t="n">
        <v>3395.00</v>
      </c>
      <c r="D7446" s="4"/>
    </row>
    <row collapsed="" customFormat="false" customHeight="1" hidden="" ht="14" outlineLevel="0" r="7447">
      <c r="A7447" s="3" t="inlineStr">
        <is>
          <t>7416</t>
        </is>
      </c>
      <c r="B7447" s="4" t="s">
        <f>=HYPERLINK("http://anyluxury.ru/shop/odezhda/detskaya-odezhda/hudi-uniseks-constellation-seriy-melanzh-04232360/" , "04232360 Худи унисекс Constellation, серый меланж, размер M")</f>
      </c>
      <c r="C7447" s="4" t="n">
        <v>3395.00</v>
      </c>
      <c r="D7447" s="4"/>
    </row>
    <row collapsed="" customFormat="false" customHeight="1" hidden="" ht="14" outlineLevel="0" r="7448">
      <c r="A7448" s="3" t="inlineStr">
        <is>
          <t>7417</t>
        </is>
      </c>
      <c r="B7448" s="4" t="s">
        <f>=HYPERLINK("http://anyluxury.ru/shop/odezhda/detskaya-odezhda/hudi-uniseks-constellation-seriy-melanzh-04232360/" , "04232360 Худи унисекс Constellation, серый меланж, размер L")</f>
      </c>
      <c r="C7448" s="4" t="n">
        <v>3395.00</v>
      </c>
      <c r="D7448" s="4"/>
    </row>
    <row collapsed="" customFormat="false" customHeight="1" hidden="" ht="14" outlineLevel="0" r="7449">
      <c r="A7449" s="3" t="inlineStr">
        <is>
          <t>7418</t>
        </is>
      </c>
      <c r="B7449" s="4" t="s">
        <f>=HYPERLINK("http://anyluxury.ru/shop/odezhda/detskaya-odezhda/hudi-uniseks-constellation-seriy-melanzh-04232360/" , "04232360 Худи унисекс Constellation, серый меланж, размер XL")</f>
      </c>
      <c r="C7449" s="4" t="n">
        <v>3395.00</v>
      </c>
      <c r="D7449" s="4"/>
    </row>
    <row collapsed="" customFormat="false" customHeight="1" hidden="" ht="14" outlineLevel="0" r="7450">
      <c r="A7450" s="3" t="inlineStr">
        <is>
          <t>7419</t>
        </is>
      </c>
      <c r="B7450" s="4" t="s">
        <f>=HYPERLINK("http://anyluxury.ru/shop/odezhda/detskaya-odezhda/hudi-uniseks-constellation-seriy-melanzh-04232360/" , "04232360 Худи унисекс Constellation, серый меланж, размер XXL")</f>
      </c>
      <c r="C7450" s="4" t="n">
        <v>3395.00</v>
      </c>
      <c r="D7450" s="4"/>
    </row>
    <row collapsed="" customFormat="false" customHeight="1" hidden="" ht="14" outlineLevel="0" r="7451">
      <c r="A7451" s="3" t="inlineStr">
        <is>
          <t>7420</t>
        </is>
      </c>
      <c r="B7451" s="4" t="s">
        <f>=HYPERLINK("http://anyluxury.ru/shop/odezhda/detskaya-odezhda/hudi-uniseks-constellation-seriy-melanzh-04232360/" , "04232360 Худи унисекс Constellation, серый меланж, размер 3XL")</f>
      </c>
      <c r="C7451" s="4" t="n">
        <v>3973.00</v>
      </c>
      <c r="D7451" s="4"/>
    </row>
    <row collapsed="" customFormat="false" customHeight="1" hidden="" ht="14" outlineLevel="0" r="7452">
      <c r="A7452" s="3" t="inlineStr">
        <is>
          <t>7421</t>
        </is>
      </c>
      <c r="B7452" s="4" t="s">
        <f>=HYPERLINK("http://anyluxury.ru/shop/odezhda/detskaya-odezhda/hudi-uniseks-constellation-molochnobeloe-04232104/" , "04232104 Худи унисекс Constellation, молочно-белое, размер XS")</f>
      </c>
      <c r="C7452" s="4" t="n">
        <v>3395.00</v>
      </c>
      <c r="D7452" s="4"/>
    </row>
    <row collapsed="" customFormat="false" customHeight="1" hidden="" ht="14" outlineLevel="0" r="7453">
      <c r="A7453" s="3" t="inlineStr">
        <is>
          <t>7422</t>
        </is>
      </c>
      <c r="B7453" s="4" t="s">
        <f>=HYPERLINK("http://anyluxury.ru/shop/odezhda/detskaya-odezhda/hudi-uniseks-constellation-molochnobeloe-04232104/" , "04232104 Худи унисекс Constellation, молочно-белое, размер S")</f>
      </c>
      <c r="C7453" s="4" t="n">
        <v>3395.00</v>
      </c>
      <c r="D7453" s="4"/>
    </row>
    <row collapsed="" customFormat="false" customHeight="1" hidden="" ht="14" outlineLevel="0" r="7454">
      <c r="A7454" s="3" t="inlineStr">
        <is>
          <t>7423</t>
        </is>
      </c>
      <c r="B7454" s="4" t="s">
        <f>=HYPERLINK("http://anyluxury.ru/shop/odezhda/detskaya-odezhda/hudi-uniseks-constellation-molochnobeloe-04232104/" , "04232104 Худи унисекс Constellation, молочно-белое, размер M")</f>
      </c>
      <c r="C7454" s="4" t="n">
        <v>3395.00</v>
      </c>
      <c r="D7454" s="4"/>
    </row>
    <row collapsed="" customFormat="false" customHeight="1" hidden="" ht="14" outlineLevel="0" r="7455">
      <c r="A7455" s="3" t="inlineStr">
        <is>
          <t>7424</t>
        </is>
      </c>
      <c r="B7455" s="4" t="s">
        <f>=HYPERLINK("http://anyluxury.ru/shop/odezhda/detskaya-odezhda/hudi-uniseks-constellation-molochnobeloe-04232104/" , "04232104 Худи унисекс Constellation, молочно-белое, размер L")</f>
      </c>
      <c r="C7455" s="4" t="n">
        <v>3395.00</v>
      </c>
      <c r="D7455" s="4"/>
    </row>
    <row collapsed="" customFormat="false" customHeight="1" hidden="" ht="14" outlineLevel="0" r="7456">
      <c r="A7456" s="3" t="inlineStr">
        <is>
          <t>7425</t>
        </is>
      </c>
      <c r="B7456" s="4" t="s">
        <f>=HYPERLINK("http://anyluxury.ru/shop/odezhda/detskaya-odezhda/hudi-uniseks-constellation-molochnobeloe-04232104/" , "04232104 Худи унисекс Constellation, молочно-белое, размер XL")</f>
      </c>
      <c r="C7456" s="4" t="n">
        <v>3395.00</v>
      </c>
      <c r="D7456" s="4"/>
    </row>
    <row collapsed="" customFormat="false" customHeight="1" hidden="" ht="14" outlineLevel="0" r="7457">
      <c r="A7457" s="3" t="inlineStr">
        <is>
          <t>7426</t>
        </is>
      </c>
      <c r="B7457" s="4" t="s">
        <f>=HYPERLINK("http://anyluxury.ru/shop/odezhda/detskaya-odezhda/hudi-uniseks-constellation-molochnobeloe-04232104/" , "04232104 Худи унисекс Constellation, молочно-белое, размер XXL")</f>
      </c>
      <c r="C7457" s="4" t="n">
        <v>3395.00</v>
      </c>
      <c r="D7457" s="4"/>
    </row>
    <row collapsed="" customFormat="false" customHeight="1" hidden="" ht="14" outlineLevel="0" r="7458">
      <c r="A7458" s="3" t="inlineStr">
        <is>
          <t>7427</t>
        </is>
      </c>
      <c r="B7458" s="4" t="s">
        <f>=HYPERLINK("http://anyluxury.ru/shop/odezhda/detskaya-odezhda/hudi-uniseks-constellation-molochnobeloe-04232104/" , "04232104 Худи унисекс Constellation, молочно-белое, размер 3XL")</f>
      </c>
      <c r="C7458" s="4" t="n">
        <v>3973.00</v>
      </c>
      <c r="D7458" s="4"/>
    </row>
    <row collapsed="" customFormat="false" customHeight="1" hidden="" ht="14" outlineLevel="0" r="7459">
      <c r="A7459" s="3" t="inlineStr">
        <is>
          <t>7428</t>
        </is>
      </c>
      <c r="B7459" s="4" t="s">
        <f>=HYPERLINK("http://anyluxury.ru/shop/odezhda/detskaya-odezhda/hudi-uniseks-constellation-oranzhevoe-persikovoe-04232409/" , "04232409 Худи унисекс Constellation, оранжевое (персиковое), размер XS")</f>
      </c>
      <c r="C7459" s="4" t="n">
        <v>3395.00</v>
      </c>
      <c r="D7459" s="4"/>
    </row>
    <row collapsed="" customFormat="false" customHeight="1" hidden="" ht="14" outlineLevel="0" r="7460">
      <c r="A7460" s="3" t="inlineStr">
        <is>
          <t>7429</t>
        </is>
      </c>
      <c r="B7460" s="4" t="s">
        <f>=HYPERLINK("http://anyluxury.ru/shop/odezhda/detskaya-odezhda/hudi-uniseks-constellation-oranzhevoe-persikovoe-04232409/" , "04232409 Худи унисекс Constellation, оранжевое (персиковое), размер S")</f>
      </c>
      <c r="C7460" s="4" t="n">
        <v>3395.00</v>
      </c>
      <c r="D7460" s="4"/>
    </row>
    <row collapsed="" customFormat="false" customHeight="1" hidden="" ht="14" outlineLevel="0" r="7461">
      <c r="A7461" s="3" t="inlineStr">
        <is>
          <t>7430</t>
        </is>
      </c>
      <c r="B7461" s="4" t="s">
        <f>=HYPERLINK("http://anyluxury.ru/shop/odezhda/detskaya-odezhda/hudi-uniseks-constellation-oranzhevoe-persikovoe-04232409/" , "04232409 Худи унисекс Constellation, оранжевое (персиковое), размер M")</f>
      </c>
      <c r="C7461" s="4" t="n">
        <v>3395.00</v>
      </c>
      <c r="D7461" s="4"/>
    </row>
    <row collapsed="" customFormat="false" customHeight="1" hidden="" ht="14" outlineLevel="0" r="7462">
      <c r="A7462" s="3" t="inlineStr">
        <is>
          <t>7431</t>
        </is>
      </c>
      <c r="B7462" s="4" t="s">
        <f>=HYPERLINK("http://anyluxury.ru/shop/odezhda/detskaya-odezhda/hudi-uniseks-constellation-oranzhevoe-persikovoe-04232409/" , "04232409 Худи унисекс Constellation, оранжевое (персиковое), размер L")</f>
      </c>
      <c r="C7462" s="4" t="n">
        <v>3395.00</v>
      </c>
      <c r="D7462" s="4"/>
    </row>
    <row collapsed="" customFormat="false" customHeight="1" hidden="" ht="14" outlineLevel="0" r="7463">
      <c r="A7463" s="3" t="inlineStr">
        <is>
          <t>7432</t>
        </is>
      </c>
      <c r="B7463" s="4" t="s">
        <f>=HYPERLINK("http://anyluxury.ru/shop/odezhda/detskaya-odezhda/hudi-uniseks-constellation-oranzhevoe-persikovoe-04232409/" , "04232409 Худи унисекс Constellation, оранжевое (персиковое), размер XL")</f>
      </c>
      <c r="C7463" s="4" t="n">
        <v>3395.00</v>
      </c>
      <c r="D7463" s="4"/>
    </row>
    <row collapsed="" customFormat="false" customHeight="1" hidden="" ht="14" outlineLevel="0" r="7464">
      <c r="A7464" s="3" t="inlineStr">
        <is>
          <t>7433</t>
        </is>
      </c>
      <c r="B7464" s="4" t="s">
        <f>=HYPERLINK("http://anyluxury.ru/shop/odezhda/detskaya-odezhda/hudi-uniseks-constellation-oranzhevoe-persikovoe-04232409/" , "04232409 Худи унисекс Constellation, оранжевое (персиковое), размер XXL")</f>
      </c>
      <c r="C7464" s="4" t="n">
        <v>3395.00</v>
      </c>
      <c r="D7464" s="4"/>
    </row>
    <row collapsed="" customFormat="false" customHeight="1" hidden="" ht="14" outlineLevel="0" r="7465">
      <c r="A7465" s="3" t="inlineStr">
        <is>
          <t>7434</t>
        </is>
      </c>
      <c r="B7465" s="4" t="s">
        <f>=HYPERLINK("http://anyluxury.ru/shop/odezhda/detskaya-odezhda/hudi-uniseks-constellation-oranzhevoe-persikovoe-04232409/" , "04232409 Худи унисекс Constellation, оранжевое (персиковое), размер 3XL")</f>
      </c>
      <c r="C7465" s="4" t="n">
        <v>3973.00</v>
      </c>
      <c r="D7465" s="4"/>
    </row>
    <row collapsed="" customFormat="false" customHeight="1" hidden="" ht="14" outlineLevel="0" r="7466">
      <c r="A7466" s="3" t="inlineStr">
        <is>
          <t>7435</t>
        </is>
      </c>
      <c r="B7466" s="4" t="s">
        <f>=HYPERLINK("http://anyluxury.ru/shop/odezhda/detskaya-odezhda/hudi-uniseks-constellation-yarkosinee-04232241/" , "04232241 Худи унисекс Constellation, ярко-синее, размер XS")</f>
      </c>
      <c r="C7466" s="4" t="n">
        <v>3395.00</v>
      </c>
      <c r="D7466" s="4"/>
    </row>
    <row collapsed="" customFormat="false" customHeight="1" hidden="" ht="14" outlineLevel="0" r="7467">
      <c r="A7467" s="3" t="inlineStr">
        <is>
          <t>7436</t>
        </is>
      </c>
      <c r="B7467" s="4" t="s">
        <f>=HYPERLINK("http://anyluxury.ru/shop/odezhda/detskaya-odezhda/hudi-uniseks-constellation-yarkosinee-04232241/" , "04232241 Худи унисекс Constellation, ярко-синее, размер S")</f>
      </c>
      <c r="C7467" s="4" t="n">
        <v>3395.00</v>
      </c>
      <c r="D7467" s="4"/>
    </row>
    <row collapsed="" customFormat="false" customHeight="1" hidden="" ht="14" outlineLevel="0" r="7468">
      <c r="A7468" s="3" t="inlineStr">
        <is>
          <t>7437</t>
        </is>
      </c>
      <c r="B7468" s="4" t="s">
        <f>=HYPERLINK("http://anyluxury.ru/shop/odezhda/detskaya-odezhda/hudi-uniseks-constellation-yarkosinee-04232241/" , "04232241 Худи унисекс Constellation, ярко-синее, размер M")</f>
      </c>
      <c r="C7468" s="4" t="n">
        <v>3395.00</v>
      </c>
      <c r="D7468" s="4"/>
    </row>
    <row collapsed="" customFormat="false" customHeight="1" hidden="" ht="14" outlineLevel="0" r="7469">
      <c r="A7469" s="3" t="inlineStr">
        <is>
          <t>7438</t>
        </is>
      </c>
      <c r="B7469" s="4" t="s">
        <f>=HYPERLINK("http://anyluxury.ru/shop/odezhda/detskaya-odezhda/hudi-uniseks-constellation-yarkosinee-04232241/" , "04232241 Худи унисекс Constellation, ярко-синее, размер L")</f>
      </c>
      <c r="C7469" s="4" t="n">
        <v>3395.00</v>
      </c>
      <c r="D7469" s="4"/>
    </row>
    <row collapsed="" customFormat="false" customHeight="1" hidden="" ht="14" outlineLevel="0" r="7470">
      <c r="A7470" s="3" t="inlineStr">
        <is>
          <t>7439</t>
        </is>
      </c>
      <c r="B7470" s="4" t="s">
        <f>=HYPERLINK("http://anyluxury.ru/shop/odezhda/detskaya-odezhda/hudi-uniseks-constellation-yarkosinee-04232241/" , "04232241 Худи унисекс Constellation, ярко-синее, размер XL")</f>
      </c>
      <c r="C7470" s="4" t="n">
        <v>3395.00</v>
      </c>
      <c r="D7470" s="4"/>
    </row>
    <row collapsed="" customFormat="false" customHeight="1" hidden="" ht="14" outlineLevel="0" r="7471">
      <c r="A7471" s="3" t="inlineStr">
        <is>
          <t>7440</t>
        </is>
      </c>
      <c r="B7471" s="4" t="s">
        <f>=HYPERLINK("http://anyluxury.ru/shop/odezhda/detskaya-odezhda/hudi-uniseks-constellation-yarkosinee-04232241/" , "04232241 Худи унисекс Constellation, ярко-синее, размер XXL")</f>
      </c>
      <c r="C7471" s="4" t="n">
        <v>3395.00</v>
      </c>
      <c r="D7471" s="4"/>
    </row>
    <row collapsed="" customFormat="false" customHeight="1" hidden="" ht="14" outlineLevel="0" r="7472">
      <c r="A7472" s="3" t="inlineStr">
        <is>
          <t>7441</t>
        </is>
      </c>
      <c r="B7472" s="4" t="s">
        <f>=HYPERLINK("http://anyluxury.ru/shop/odezhda/detskaya-odezhda/hudi-uniseks-constellation-yarkosinee-04232241/" , "04232241 Худи унисекс Constellation, ярко-синее, размер 3XL")</f>
      </c>
      <c r="C7472" s="4" t="n">
        <v>3973.00</v>
      </c>
      <c r="D7472" s="4"/>
    </row>
    <row collapsed="" customFormat="false" customHeight="1" hidden="" ht="14" outlineLevel="0" r="7473">
      <c r="A7473" s="3" t="inlineStr">
        <is>
          <t>7442</t>
        </is>
      </c>
      <c r="B7473" s="4" t="s">
        <f>=HYPERLINK("http://anyluxury.ru/shop/odezhda/detskaya-odezhda/hudi-uniseks-constellation-vesenniy-zeleniy-04232290/" , "04232290 Худи унисекс Constellation, весенний зеленый, размер XS")</f>
      </c>
      <c r="C7473" s="4" t="n">
        <v>3395.00</v>
      </c>
      <c r="D7473" s="4"/>
    </row>
    <row collapsed="" customFormat="false" customHeight="1" hidden="" ht="14" outlineLevel="0" r="7474">
      <c r="A7474" s="3" t="inlineStr">
        <is>
          <t>7443</t>
        </is>
      </c>
      <c r="B7474" s="4" t="s">
        <f>=HYPERLINK("http://anyluxury.ru/shop/odezhda/detskaya-odezhda/hudi-uniseks-constellation-vesenniy-zeleniy-04232290/" , "04232290 Худи унисекс Constellation, весенний зеленый, размер S")</f>
      </c>
      <c r="C7474" s="4" t="n">
        <v>3395.00</v>
      </c>
      <c r="D7474" s="4"/>
    </row>
    <row collapsed="" customFormat="false" customHeight="1" hidden="" ht="14" outlineLevel="0" r="7475">
      <c r="A7475" s="3" t="inlineStr">
        <is>
          <t>7444</t>
        </is>
      </c>
      <c r="B7475" s="4" t="s">
        <f>=HYPERLINK("http://anyluxury.ru/shop/odezhda/detskaya-odezhda/hudi-uniseks-constellation-vesenniy-zeleniy-04232290/" , "04232290 Худи унисекс Constellation, весенний зеленый, размер M")</f>
      </c>
      <c r="C7475" s="4" t="n">
        <v>3395.00</v>
      </c>
      <c r="D7475" s="4"/>
    </row>
    <row collapsed="" customFormat="false" customHeight="1" hidden="" ht="14" outlineLevel="0" r="7476">
      <c r="A7476" s="3" t="inlineStr">
        <is>
          <t>7445</t>
        </is>
      </c>
      <c r="B7476" s="4" t="s">
        <f>=HYPERLINK("http://anyluxury.ru/shop/odezhda/detskaya-odezhda/hudi-uniseks-constellation-vesenniy-zeleniy-04232290/" , "04232290 Худи унисекс Constellation, весенний зеленый, размер L")</f>
      </c>
      <c r="C7476" s="4" t="n">
        <v>3395.00</v>
      </c>
      <c r="D7476" s="4"/>
    </row>
    <row collapsed="" customFormat="false" customHeight="1" hidden="" ht="14" outlineLevel="0" r="7477">
      <c r="A7477" s="3" t="inlineStr">
        <is>
          <t>7446</t>
        </is>
      </c>
      <c r="B7477" s="4" t="s">
        <f>=HYPERLINK("http://anyluxury.ru/shop/odezhda/detskaya-odezhda/hudi-uniseks-constellation-vesenniy-zeleniy-04232290/" , "04232290 Худи унисекс Constellation, весенний зеленый, размер XL")</f>
      </c>
      <c r="C7477" s="4" t="n">
        <v>3395.00</v>
      </c>
      <c r="D7477" s="4"/>
    </row>
    <row collapsed="" customFormat="false" customHeight="1" hidden="" ht="14" outlineLevel="0" r="7478">
      <c r="A7478" s="3" t="inlineStr">
        <is>
          <t>7447</t>
        </is>
      </c>
      <c r="B7478" s="4" t="s">
        <f>=HYPERLINK("http://anyluxury.ru/shop/odezhda/detskaya-odezhda/hudi-uniseks-constellation-vesenniy-zeleniy-04232290/" , "04232290 Худи унисекс Constellation, весенний зеленый, размер XXL")</f>
      </c>
      <c r="C7478" s="4" t="n">
        <v>3395.00</v>
      </c>
      <c r="D7478" s="4"/>
    </row>
    <row collapsed="" customFormat="false" customHeight="1" hidden="" ht="14" outlineLevel="0" r="7479">
      <c r="A7479" s="3" t="inlineStr">
        <is>
          <t>7448</t>
        </is>
      </c>
      <c r="B7479" s="4" t="s">
        <f>=HYPERLINK("http://anyluxury.ru/shop/odezhda/detskaya-odezhda/hudi-uniseks-constellation-vesenniy-zeleniy-04232290/" , "04232290 Худи унисекс Constellation, весенний зеленый, размер 3XL")</f>
      </c>
      <c r="C7479" s="4" t="n">
        <v>3973.00</v>
      </c>
      <c r="D7479" s="4"/>
    </row>
    <row collapsed="" customFormat="false" customHeight="1" hidden="" ht="14" outlineLevel="0" r="7480">
      <c r="A7480" s="3" t="inlineStr">
        <is>
          <t>7449</t>
        </is>
      </c>
      <c r="B7480" s="4" t="s">
        <f>=HYPERLINK("http://anyluxury.ru/shop/odezhda/detskaya-odezhda/hudi-uniseks-constellation-beloe-04232102/" , "04232102 Худи унисекс Constellation, белое, размер XS")</f>
      </c>
      <c r="C7480" s="4" t="n">
        <v>3395.00</v>
      </c>
      <c r="D7480" s="4"/>
    </row>
    <row collapsed="" customFormat="false" customHeight="1" hidden="" ht="14" outlineLevel="0" r="7481">
      <c r="A7481" s="3" t="inlineStr">
        <is>
          <t>7450</t>
        </is>
      </c>
      <c r="B7481" s="4" t="s">
        <f>=HYPERLINK("http://anyluxury.ru/shop/odezhda/detskaya-odezhda/hudi-uniseks-constellation-beloe-04232102/" , "04232102 Худи унисекс Constellation, белое, размер S")</f>
      </c>
      <c r="C7481" s="4" t="n">
        <v>3395.00</v>
      </c>
      <c r="D7481" s="4"/>
    </row>
    <row collapsed="" customFormat="false" customHeight="1" hidden="" ht="14" outlineLevel="0" r="7482">
      <c r="A7482" s="3" t="inlineStr">
        <is>
          <t>7451</t>
        </is>
      </c>
      <c r="B7482" s="4" t="s">
        <f>=HYPERLINK("http://anyluxury.ru/shop/odezhda/detskaya-odezhda/hudi-uniseks-constellation-beloe-04232102/" , "04232102 Худи унисекс Constellation, белое, размер M")</f>
      </c>
      <c r="C7482" s="4" t="n">
        <v>3395.00</v>
      </c>
      <c r="D7482" s="4"/>
    </row>
    <row collapsed="" customFormat="false" customHeight="1" hidden="" ht="14" outlineLevel="0" r="7483">
      <c r="A7483" s="3" t="inlineStr">
        <is>
          <t>7452</t>
        </is>
      </c>
      <c r="B7483" s="4" t="s">
        <f>=HYPERLINK("http://anyluxury.ru/shop/odezhda/detskaya-odezhda/hudi-uniseks-constellation-beloe-04232102/" , "04232102 Худи унисекс Constellation, белое, размер L")</f>
      </c>
      <c r="C7483" s="4" t="n">
        <v>3395.00</v>
      </c>
      <c r="D7483" s="4"/>
    </row>
    <row collapsed="" customFormat="false" customHeight="1" hidden="" ht="14" outlineLevel="0" r="7484">
      <c r="A7484" s="3" t="inlineStr">
        <is>
          <t>7453</t>
        </is>
      </c>
      <c r="B7484" s="4" t="s">
        <f>=HYPERLINK("http://anyluxury.ru/shop/odezhda/detskaya-odezhda/hudi-uniseks-constellation-beloe-04232102/" , "04232102 Худи унисекс Constellation, белое, размер XL")</f>
      </c>
      <c r="C7484" s="4" t="n">
        <v>3395.00</v>
      </c>
      <c r="D7484" s="4"/>
    </row>
    <row collapsed="" customFormat="false" customHeight="1" hidden="" ht="14" outlineLevel="0" r="7485">
      <c r="A7485" s="3" t="inlineStr">
        <is>
          <t>7454</t>
        </is>
      </c>
      <c r="B7485" s="4" t="s">
        <f>=HYPERLINK("http://anyluxury.ru/shop/odezhda/detskaya-odezhda/hudi-uniseks-constellation-beloe-04232102/" , "04232102 Худи унисекс Constellation, белое, размер XXL")</f>
      </c>
      <c r="C7485" s="4" t="n">
        <v>3395.00</v>
      </c>
      <c r="D7485" s="4"/>
    </row>
    <row collapsed="" customFormat="false" customHeight="1" hidden="" ht="14" outlineLevel="0" r="7486">
      <c r="A7486" s="3" t="inlineStr">
        <is>
          <t>7455</t>
        </is>
      </c>
      <c r="B7486" s="4" t="s">
        <f>=HYPERLINK("http://anyluxury.ru/shop/odezhda/detskaya-odezhda/hudi-uniseks-constellation-beloe-04232102/" , "04232102 Худи унисекс Constellation, белое, размер 3XL")</f>
      </c>
      <c r="C7486" s="4" t="n">
        <v>3973.00</v>
      </c>
      <c r="D7486" s="4"/>
    </row>
    <row collapsed="" customFormat="false" customHeight="1" hidden="" ht="14" outlineLevel="0" r="7487">
      <c r="A7487" s="3" t="inlineStr">
        <is>
          <t>7456</t>
        </is>
      </c>
      <c r="B7487" s="4" t="s">
        <f>=HYPERLINK("http://anyluxury.ru/shop/odezhda/detskaya-odezhda/svitshot-detskiy-columbia-kids-cherniy-04239312/" , "04239312 Свитшот детский Columbia Kids, черный, на рост 96-104")</f>
      </c>
      <c r="C7487" s="4" t="n">
        <v>1552.00</v>
      </c>
      <c r="D7487" s="4"/>
    </row>
    <row collapsed="" customFormat="false" customHeight="1" hidden="" ht="14" outlineLevel="0" r="7488">
      <c r="A7488" s="3" t="inlineStr">
        <is>
          <t>7457</t>
        </is>
      </c>
      <c r="B7488" s="4" t="s">
        <f>=HYPERLINK("http://anyluxury.ru/shop/odezhda/detskaya-odezhda/svitshot-detskiy-columbia-kids-cherniy-04239312/" , "04239312 Свитшот детский Columbia Kids, черный, на рост 106-116")</f>
      </c>
      <c r="C7488" s="4" t="n">
        <v>1552.00</v>
      </c>
      <c r="D7488" s="4"/>
    </row>
    <row collapsed="" customFormat="false" customHeight="1" hidden="" ht="14" outlineLevel="0" r="7489">
      <c r="A7489" s="3" t="inlineStr">
        <is>
          <t>7458</t>
        </is>
      </c>
      <c r="B7489" s="4" t="s">
        <f>=HYPERLINK("http://anyluxury.ru/shop/odezhda/detskaya-odezhda/svitshot-detskiy-columbia-kids-cherniy-04239312/" , "04239312 Свитшот детский Columbia Kids, черный, на рост 118-128")</f>
      </c>
      <c r="C7489" s="4" t="n">
        <v>1552.00</v>
      </c>
      <c r="D7489" s="4"/>
    </row>
    <row collapsed="" customFormat="false" customHeight="1" hidden="" ht="14" outlineLevel="0" r="7490">
      <c r="A7490" s="3" t="inlineStr">
        <is>
          <t>7459</t>
        </is>
      </c>
      <c r="B7490" s="4" t="s">
        <f>=HYPERLINK("http://anyluxury.ru/shop/odezhda/detskaya-odezhda/svitshot-detskiy-columbia-kids-cherniy-04239312/" , "04239312 Свитшот детский Columbia Kids, черный, на рост 130-140")</f>
      </c>
      <c r="C7490" s="4" t="n">
        <v>1552.00</v>
      </c>
      <c r="D7490" s="4"/>
    </row>
    <row collapsed="" customFormat="false" customHeight="1" hidden="" ht="14" outlineLevel="0" r="7491">
      <c r="A7491" s="3" t="inlineStr">
        <is>
          <t>7460</t>
        </is>
      </c>
      <c r="B7491" s="4" t="s">
        <f>=HYPERLINK("http://anyluxury.ru/shop/odezhda/detskaya-odezhda/svitshot-detskiy-columbia-kids-cherniy-04239312/" , "04239312 Свитшот детский Columbia Kids, черный, на рост 142-152")</f>
      </c>
      <c r="C7491" s="4" t="n">
        <v>1552.00</v>
      </c>
      <c r="D7491" s="4"/>
    </row>
    <row collapsed="" customFormat="false" customHeight="1" hidden="" ht="14" outlineLevel="0" r="7492">
      <c r="A7492" s="3" t="inlineStr">
        <is>
          <t>7461</t>
        </is>
      </c>
      <c r="B7492" s="4" t="s">
        <f>=HYPERLINK("http://anyluxury.ru/shop/odezhda/detskaya-odezhda/svitshot-detskiy-columbia-kids-cherniy-04239312/" , "04239312 Свитшот детский Columbia Kids, черный, на рост 154-164")</f>
      </c>
      <c r="C7492" s="4" t="n">
        <v>1552.00</v>
      </c>
      <c r="D7492" s="4"/>
    </row>
    <row collapsed="" customFormat="false" customHeight="1" hidden="" ht="14" outlineLevel="0" r="7493">
      <c r="A7493" s="3" t="inlineStr">
        <is>
          <t>7462</t>
        </is>
      </c>
      <c r="B7493" s="4" t="s">
        <f>=HYPERLINK("http://anyluxury.ru/shop/odezhda/detskaya-odezhda/svitshot-detskiy-columbia-kids-siniy-04239205/" , "04239205 Свитшот детский Columbia Kids, синий, на рост 96-104")</f>
      </c>
      <c r="C7493" s="4" t="n">
        <v>1552.00</v>
      </c>
      <c r="D7493" s="4"/>
    </row>
    <row collapsed="" customFormat="false" customHeight="1" hidden="" ht="14" outlineLevel="0" r="7494">
      <c r="A7494" s="3" t="inlineStr">
        <is>
          <t>7463</t>
        </is>
      </c>
      <c r="B7494" s="4" t="s">
        <f>=HYPERLINK("http://anyluxury.ru/shop/odezhda/detskaya-odezhda/svitshot-detskiy-columbia-kids-siniy-04239205/" , "04239205 Свитшот детский Columbia Kids, синий, на рост 106-116")</f>
      </c>
      <c r="C7494" s="4" t="n">
        <v>1552.00</v>
      </c>
      <c r="D7494" s="4"/>
    </row>
    <row collapsed="" customFormat="false" customHeight="1" hidden="" ht="14" outlineLevel="0" r="7495">
      <c r="A7495" s="3" t="inlineStr">
        <is>
          <t>7464</t>
        </is>
      </c>
      <c r="B7495" s="4" t="s">
        <f>=HYPERLINK("http://anyluxury.ru/shop/odezhda/detskaya-odezhda/svitshot-detskiy-columbia-kids-siniy-04239205/" , "04239205 Свитшот детский Columbia Kids, синий, на рост 118-128")</f>
      </c>
      <c r="C7495" s="4" t="n">
        <v>1552.00</v>
      </c>
      <c r="D7495" s="4"/>
    </row>
    <row collapsed="" customFormat="false" customHeight="1" hidden="" ht="14" outlineLevel="0" r="7496">
      <c r="A7496" s="3" t="inlineStr">
        <is>
          <t>7465</t>
        </is>
      </c>
      <c r="B7496" s="4" t="s">
        <f>=HYPERLINK("http://anyluxury.ru/shop/odezhda/detskaya-odezhda/svitshot-detskiy-columbia-kids-siniy-04239205/" , "04239205 Свитшот детский Columbia Kids, синий, на рост 130-140")</f>
      </c>
      <c r="C7496" s="4" t="n">
        <v>1552.00</v>
      </c>
      <c r="D7496" s="4"/>
    </row>
    <row collapsed="" customFormat="false" customHeight="1" hidden="" ht="14" outlineLevel="0" r="7497">
      <c r="A7497" s="3" t="inlineStr">
        <is>
          <t>7466</t>
        </is>
      </c>
      <c r="B7497" s="4" t="s">
        <f>=HYPERLINK("http://anyluxury.ru/shop/odezhda/detskaya-odezhda/svitshot-detskiy-columbia-kids-siniy-04239205/" , "04239205 Свитшот детский Columbia Kids, синий, на рост 142-152")</f>
      </c>
      <c r="C7497" s="4" t="n">
        <v>1552.00</v>
      </c>
      <c r="D7497" s="4"/>
    </row>
    <row collapsed="" customFormat="false" customHeight="1" hidden="" ht="14" outlineLevel="0" r="7498">
      <c r="A7498" s="3" t="inlineStr">
        <is>
          <t>7467</t>
        </is>
      </c>
      <c r="B7498" s="4" t="s">
        <f>=HYPERLINK("http://anyluxury.ru/shop/odezhda/detskaya-odezhda/svitshot-detskiy-columbia-kids-siniy-04239205/" , "04239205 Свитшот детский Columbia Kids, синий, на рост 154-164")</f>
      </c>
      <c r="C7498" s="4" t="n">
        <v>1552.00</v>
      </c>
      <c r="D7498" s="4"/>
    </row>
    <row collapsed="" customFormat="false" customHeight="1" hidden="" ht="14" outlineLevel="0" r="7499">
      <c r="A7499" s="3" t="inlineStr">
        <is>
          <t>7468</t>
        </is>
      </c>
      <c r="B7499" s="4" t="s">
        <f>=HYPERLINK("http://anyluxury.ru/shop/odezhda/detskaya-odezhda/svitshot-detskiy-columbia-kids-krasniy-04239161/" , "04239161 Свитшот детский Columbia Kids, красный, на рост 96-104")</f>
      </c>
      <c r="C7499" s="4" t="n">
        <v>1552.00</v>
      </c>
      <c r="D7499" s="4"/>
    </row>
    <row collapsed="" customFormat="false" customHeight="1" hidden="" ht="14" outlineLevel="0" r="7500">
      <c r="A7500" s="3" t="inlineStr">
        <is>
          <t>7469</t>
        </is>
      </c>
      <c r="B7500" s="4" t="s">
        <f>=HYPERLINK("http://anyluxury.ru/shop/odezhda/detskaya-odezhda/svitshot-detskiy-columbia-kids-krasniy-04239161/" , "04239161 Свитшот детский Columbia Kids, красный, на рост 106-116")</f>
      </c>
      <c r="C7500" s="4" t="n">
        <v>1552.00</v>
      </c>
      <c r="D7500" s="4"/>
    </row>
    <row collapsed="" customFormat="false" customHeight="1" hidden="" ht="14" outlineLevel="0" r="7501">
      <c r="A7501" s="3" t="inlineStr">
        <is>
          <t>7470</t>
        </is>
      </c>
      <c r="B7501" s="4" t="s">
        <f>=HYPERLINK("http://anyluxury.ru/shop/odezhda/detskaya-odezhda/svitshot-detskiy-columbia-kids-krasniy-04239161/" , "04239161 Свитшот детский Columbia Kids, красный, на рост 118-128")</f>
      </c>
      <c r="C7501" s="4" t="n">
        <v>1552.00</v>
      </c>
      <c r="D7501" s="4"/>
    </row>
    <row collapsed="" customFormat="false" customHeight="1" hidden="" ht="14" outlineLevel="0" r="7502">
      <c r="A7502" s="3" t="inlineStr">
        <is>
          <t>7471</t>
        </is>
      </c>
      <c r="B7502" s="4" t="s">
        <f>=HYPERLINK("http://anyluxury.ru/shop/odezhda/detskaya-odezhda/svitshot-detskiy-columbia-kids-krasniy-04239161/" , "04239161 Свитшот детский Columbia Kids, красный, на рост 130-140")</f>
      </c>
      <c r="C7502" s="4" t="n">
        <v>1552.00</v>
      </c>
      <c r="D7502" s="4"/>
    </row>
    <row collapsed="" customFormat="false" customHeight="1" hidden="" ht="14" outlineLevel="0" r="7503">
      <c r="A7503" s="3" t="inlineStr">
        <is>
          <t>7472</t>
        </is>
      </c>
      <c r="B7503" s="4" t="s">
        <f>=HYPERLINK("http://anyluxury.ru/shop/odezhda/detskaya-odezhda/svitshot-detskiy-columbia-kids-krasniy-04239161/" , "04239161 Свитшот детский Columbia Kids, красный, на рост 142-152")</f>
      </c>
      <c r="C7503" s="4" t="n">
        <v>1552.00</v>
      </c>
      <c r="D7503" s="4"/>
    </row>
    <row collapsed="" customFormat="false" customHeight="1" hidden="" ht="14" outlineLevel="0" r="7504">
      <c r="A7504" s="3" t="inlineStr">
        <is>
          <t>7473</t>
        </is>
      </c>
      <c r="B7504" s="4" t="s">
        <f>=HYPERLINK("http://anyluxury.ru/shop/odezhda/detskaya-odezhda/svitshot-detskiy-columbia-kids-krasniy-04239161/" , "04239161 Свитшот детский Columbia Kids, красный, на рост 154-164")</f>
      </c>
      <c r="C7504" s="4" t="n">
        <v>1552.00</v>
      </c>
      <c r="D7504" s="4"/>
    </row>
    <row collapsed="" customFormat="false" customHeight="1" hidden="" ht="14" outlineLevel="0" r="7505">
      <c r="A7505" s="3" t="inlineStr">
        <is>
          <t>7474</t>
        </is>
      </c>
      <c r="B7505" s="4" t="s">
        <f>=HYPERLINK("http://anyluxury.ru/shop/odezhda/detskaya-odezhda/svitshot-detskiy-columbia-kids-rozoviy-04239143/" , "04239143 Свитшот детский Columbia Kids, розовый, на рост 96-104")</f>
      </c>
      <c r="C7505" s="4" t="n">
        <v>1552.00</v>
      </c>
      <c r="D7505" s="4"/>
    </row>
    <row collapsed="" customFormat="false" customHeight="1" hidden="" ht="14" outlineLevel="0" r="7506">
      <c r="A7506" s="3" t="inlineStr">
        <is>
          <t>7475</t>
        </is>
      </c>
      <c r="B7506" s="4" t="s">
        <f>=HYPERLINK("http://anyluxury.ru/shop/odezhda/detskaya-odezhda/svitshot-detskiy-columbia-kids-rozoviy-04239143/" , "04239143 Свитшот детский Columbia Kids, розовый, на рост 106-116")</f>
      </c>
      <c r="C7506" s="4" t="n">
        <v>1552.00</v>
      </c>
      <c r="D7506" s="4"/>
    </row>
    <row collapsed="" customFormat="false" customHeight="1" hidden="" ht="14" outlineLevel="0" r="7507">
      <c r="A7507" s="3" t="inlineStr">
        <is>
          <t>7476</t>
        </is>
      </c>
      <c r="B7507" s="4" t="s">
        <f>=HYPERLINK("http://anyluxury.ru/shop/odezhda/detskaya-odezhda/svitshot-detskiy-columbia-kids-rozoviy-04239143/" , "04239143 Свитшот детский Columbia Kids, розовый, на рост 118-128")</f>
      </c>
      <c r="C7507" s="4" t="n">
        <v>1552.00</v>
      </c>
      <c r="D7507" s="4"/>
    </row>
    <row collapsed="" customFormat="false" customHeight="1" hidden="" ht="14" outlineLevel="0" r="7508">
      <c r="A7508" s="3" t="inlineStr">
        <is>
          <t>7477</t>
        </is>
      </c>
      <c r="B7508" s="4" t="s">
        <f>=HYPERLINK("http://anyluxury.ru/shop/odezhda/detskaya-odezhda/svitshot-detskiy-columbia-kids-rozoviy-04239143/" , "04239143 Свитшот детский Columbia Kids, розовый, на рост 130-140")</f>
      </c>
      <c r="C7508" s="4" t="n">
        <v>1552.00</v>
      </c>
      <c r="D7508" s="4"/>
    </row>
    <row collapsed="" customFormat="false" customHeight="1" hidden="" ht="14" outlineLevel="0" r="7509">
      <c r="A7509" s="3" t="inlineStr">
        <is>
          <t>7478</t>
        </is>
      </c>
      <c r="B7509" s="4" t="s">
        <f>=HYPERLINK("http://anyluxury.ru/shop/odezhda/detskaya-odezhda/svitshot-detskiy-columbia-kids-rozoviy-04239143/" , "04239143 Свитшот детский Columbia Kids, розовый, на рост 142-152")</f>
      </c>
      <c r="C7509" s="4" t="n">
        <v>1552.00</v>
      </c>
      <c r="D7509" s="4"/>
    </row>
    <row collapsed="" customFormat="false" customHeight="1" hidden="" ht="14" outlineLevel="0" r="7510">
      <c r="A7510" s="3" t="inlineStr">
        <is>
          <t>7479</t>
        </is>
      </c>
      <c r="B7510" s="4" t="s">
        <f>=HYPERLINK("http://anyluxury.ru/shop/odezhda/detskaya-odezhda/svitshot-detskiy-columbia-kids-rozoviy-04239143/" , "04239143 Свитшот детский Columbia Kids, розовый, на рост 154-164")</f>
      </c>
      <c r="C7510" s="4" t="n">
        <v>1552.00</v>
      </c>
      <c r="D7510" s="4"/>
    </row>
    <row collapsed="" customFormat="false" customHeight="1" hidden="" ht="14" outlineLevel="0" r="7511">
      <c r="A7511" s="3" t="inlineStr">
        <is>
          <t>7480</t>
        </is>
      </c>
      <c r="B7511" s="4" t="s">
        <f>=HYPERLINK("http://anyluxury.ru/shop/odezhda/detskaya-odezhda/svitshot-detskiy-columbia-kids-temnosiniy-04239319/" , "04239319 Свитшот детский Columbia Kids, темно-синий, на рост 96-104")</f>
      </c>
      <c r="C7511" s="4" t="n">
        <v>1552.00</v>
      </c>
      <c r="D7511" s="4"/>
    </row>
    <row collapsed="" customFormat="false" customHeight="1" hidden="" ht="14" outlineLevel="0" r="7512">
      <c r="A7512" s="3" t="inlineStr">
        <is>
          <t>7481</t>
        </is>
      </c>
      <c r="B7512" s="4" t="s">
        <f>=HYPERLINK("http://anyluxury.ru/shop/odezhda/detskaya-odezhda/svitshot-detskiy-columbia-kids-temnosiniy-04239319/" , "04239319 Свитшот детский Columbia Kids, темно-синий, на рост 106-116")</f>
      </c>
      <c r="C7512" s="4" t="n">
        <v>1552.00</v>
      </c>
      <c r="D7512" s="4"/>
    </row>
    <row collapsed="" customFormat="false" customHeight="1" hidden="" ht="14" outlineLevel="0" r="7513">
      <c r="A7513" s="3" t="inlineStr">
        <is>
          <t>7482</t>
        </is>
      </c>
      <c r="B7513" s="4" t="s">
        <f>=HYPERLINK("http://anyluxury.ru/shop/odezhda/detskaya-odezhda/svitshot-detskiy-columbia-kids-temnosiniy-04239319/" , "04239319 Свитшот детский Columbia Kids, темно-синий, на рост 118-128")</f>
      </c>
      <c r="C7513" s="4" t="n">
        <v>1552.00</v>
      </c>
      <c r="D7513" s="4"/>
    </row>
    <row collapsed="" customFormat="false" customHeight="1" hidden="" ht="14" outlineLevel="0" r="7514">
      <c r="A7514" s="3" t="inlineStr">
        <is>
          <t>7483</t>
        </is>
      </c>
      <c r="B7514" s="4" t="s">
        <f>=HYPERLINK("http://anyluxury.ru/shop/odezhda/detskaya-odezhda/svitshot-detskiy-columbia-kids-temnosiniy-04239319/" , "04239319 Свитшот детский Columbia Kids, темно-синий, на рост 130-140")</f>
      </c>
      <c r="C7514" s="4" t="n">
        <v>1552.00</v>
      </c>
      <c r="D7514" s="4"/>
    </row>
    <row collapsed="" customFormat="false" customHeight="1" hidden="" ht="14" outlineLevel="0" r="7515">
      <c r="A7515" s="3" t="inlineStr">
        <is>
          <t>7484</t>
        </is>
      </c>
      <c r="B7515" s="4" t="s">
        <f>=HYPERLINK("http://anyluxury.ru/shop/odezhda/detskaya-odezhda/svitshot-detskiy-columbia-kids-temnosiniy-04239319/" , "04239319 Свитшот детский Columbia Kids, темно-синий, на рост 142-152")</f>
      </c>
      <c r="C7515" s="4" t="n">
        <v>1552.00</v>
      </c>
      <c r="D7515" s="4"/>
    </row>
    <row collapsed="" customFormat="false" customHeight="1" hidden="" ht="14" outlineLevel="0" r="7516">
      <c r="A7516" s="3" t="inlineStr">
        <is>
          <t>7485</t>
        </is>
      </c>
      <c r="B7516" s="4" t="s">
        <f>=HYPERLINK("http://anyluxury.ru/shop/odezhda/detskaya-odezhda/svitshot-detskiy-columbia-kids-temnosiniy-04239319/" , "04239319 Свитшот детский Columbia Kids, темно-синий, на рост 154-164")</f>
      </c>
      <c r="C7516" s="4" t="n">
        <v>1552.00</v>
      </c>
      <c r="D7516" s="4"/>
    </row>
    <row collapsed="" customFormat="false" customHeight="1" hidden="" ht="14" outlineLevel="0" r="7517">
      <c r="A7517" s="3" t="inlineStr">
        <is>
          <t>7486</t>
        </is>
      </c>
      <c r="B7517" s="4" t="s">
        <f>=HYPERLINK("http://anyluxury.ru/shop/odezhda/detskaya-odezhda/svitshot-detskiy-columbia-kids-seriy-melanzh-04239360/" , "04239360 Свитшот детский Columbia Kids, серый меланж, на рост 96-104")</f>
      </c>
      <c r="C7517" s="4" t="n">
        <v>1552.00</v>
      </c>
      <c r="D7517" s="4"/>
    </row>
    <row collapsed="" customFormat="false" customHeight="1" hidden="" ht="14" outlineLevel="0" r="7518">
      <c r="A7518" s="3" t="inlineStr">
        <is>
          <t>7487</t>
        </is>
      </c>
      <c r="B7518" s="4" t="s">
        <f>=HYPERLINK("http://anyluxury.ru/shop/odezhda/detskaya-odezhda/svitshot-detskiy-columbia-kids-seriy-melanzh-04239360/" , "04239360 Свитшот детский Columbia Kids, серый меланж, на рост 106-116")</f>
      </c>
      <c r="C7518" s="4" t="n">
        <v>1552.00</v>
      </c>
      <c r="D7518" s="4"/>
    </row>
    <row collapsed="" customFormat="false" customHeight="1" hidden="" ht="14" outlineLevel="0" r="7519">
      <c r="A7519" s="3" t="inlineStr">
        <is>
          <t>7488</t>
        </is>
      </c>
      <c r="B7519" s="4" t="s">
        <f>=HYPERLINK("http://anyluxury.ru/shop/odezhda/detskaya-odezhda/svitshot-detskiy-columbia-kids-seriy-melanzh-04239360/" , "04239360 Свитшот детский Columbia Kids, серый меланж, на рост 118-128")</f>
      </c>
      <c r="C7519" s="4" t="n">
        <v>1552.00</v>
      </c>
      <c r="D7519" s="4"/>
    </row>
    <row collapsed="" customFormat="false" customHeight="1" hidden="" ht="14" outlineLevel="0" r="7520">
      <c r="A7520" s="3" t="inlineStr">
        <is>
          <t>7489</t>
        </is>
      </c>
      <c r="B7520" s="4" t="s">
        <f>=HYPERLINK("http://anyluxury.ru/shop/odezhda/detskaya-odezhda/svitshot-detskiy-columbia-kids-seriy-melanzh-04239360/" , "04239360 Свитшот детский Columbia Kids, серый меланж, на рост 130-140")</f>
      </c>
      <c r="C7520" s="4" t="n">
        <v>1552.00</v>
      </c>
      <c r="D7520" s="4"/>
    </row>
    <row collapsed="" customFormat="false" customHeight="1" hidden="" ht="14" outlineLevel="0" r="7521">
      <c r="A7521" s="3" t="inlineStr">
        <is>
          <t>7490</t>
        </is>
      </c>
      <c r="B7521" s="4" t="s">
        <f>=HYPERLINK("http://anyluxury.ru/shop/odezhda/detskaya-odezhda/svitshot-detskiy-columbia-kids-seriy-melanzh-04239360/" , "04239360 Свитшот детский Columbia Kids, серый меланж, на рост 142-152")</f>
      </c>
      <c r="C7521" s="4" t="n">
        <v>1552.00</v>
      </c>
      <c r="D7521" s="4"/>
    </row>
    <row collapsed="" customFormat="false" customHeight="1" hidden="" ht="14" outlineLevel="0" r="7522">
      <c r="A7522" s="3" t="inlineStr">
        <is>
          <t>7491</t>
        </is>
      </c>
      <c r="B7522" s="4" t="s">
        <f>=HYPERLINK("http://anyluxury.ru/shop/odezhda/detskaya-odezhda/svitshot-detskiy-columbia-kids-seriy-melanzh-04239360/" , "04239360 Свитшот детский Columbia Kids, серый меланж, на рост 154-164")</f>
      </c>
      <c r="C7522" s="4" t="n">
        <v>1552.00</v>
      </c>
      <c r="D7522" s="4"/>
    </row>
    <row collapsed="" customFormat="false" customHeight="1" hidden="" ht="14" outlineLevel="0" r="7523">
      <c r="A7523" s="3" t="inlineStr">
        <is>
          <t>7492</t>
        </is>
      </c>
      <c r="B7523" s="4" t="s">
        <f>=HYPERLINK("http://anyluxury.ru/shop/odezhda/detskaya-odezhda/svitshot-detskiy-columbia-kids-yarkozeleniy-04239272/" , "04239272 Свитшот детский Columbia Kids, ярко-зеленый, на рост 96-104")</f>
      </c>
      <c r="C7523" s="4" t="n">
        <v>1552.00</v>
      </c>
      <c r="D7523" s="4"/>
    </row>
    <row collapsed="" customFormat="false" customHeight="1" hidden="" ht="14" outlineLevel="0" r="7524">
      <c r="A7524" s="3" t="inlineStr">
        <is>
          <t>7493</t>
        </is>
      </c>
      <c r="B7524" s="4" t="s">
        <f>=HYPERLINK("http://anyluxury.ru/shop/odezhda/detskaya-odezhda/svitshot-detskiy-columbia-kids-yarkozeleniy-04239272/" , "04239272 Свитшот детский Columbia Kids, ярко-зеленый, на рост 106-116")</f>
      </c>
      <c r="C7524" s="4" t="n">
        <v>1552.00</v>
      </c>
      <c r="D7524" s="4"/>
    </row>
    <row collapsed="" customFormat="false" customHeight="1" hidden="" ht="14" outlineLevel="0" r="7525">
      <c r="A7525" s="3" t="inlineStr">
        <is>
          <t>7494</t>
        </is>
      </c>
      <c r="B7525" s="4" t="s">
        <f>=HYPERLINK("http://anyluxury.ru/shop/odezhda/detskaya-odezhda/svitshot-detskiy-columbia-kids-yarkozeleniy-04239272/" , "04239272 Свитшот детский Columbia Kids, ярко-зеленый, на рост 118-128")</f>
      </c>
      <c r="C7525" s="4" t="n">
        <v>1552.00</v>
      </c>
      <c r="D7525" s="4"/>
    </row>
    <row collapsed="" customFormat="false" customHeight="1" hidden="" ht="14" outlineLevel="0" r="7526">
      <c r="A7526" s="3" t="inlineStr">
        <is>
          <t>7495</t>
        </is>
      </c>
      <c r="B7526" s="4" t="s">
        <f>=HYPERLINK("http://anyluxury.ru/shop/odezhda/detskaya-odezhda/svitshot-detskiy-columbia-kids-yarkozeleniy-04239272/" , "04239272 Свитшот детский Columbia Kids, ярко-зеленый, на рост 130-140")</f>
      </c>
      <c r="C7526" s="4" t="n">
        <v>1552.00</v>
      </c>
      <c r="D7526" s="4"/>
    </row>
    <row collapsed="" customFormat="false" customHeight="1" hidden="" ht="14" outlineLevel="0" r="7527">
      <c r="A7527" s="3" t="inlineStr">
        <is>
          <t>7496</t>
        </is>
      </c>
      <c r="B7527" s="4" t="s">
        <f>=HYPERLINK("http://anyluxury.ru/shop/odezhda/detskaya-odezhda/svitshot-detskiy-columbia-kids-yarkozeleniy-04239272/" , "04239272 Свитшот детский Columbia Kids, ярко-зеленый, на рост 142-152")</f>
      </c>
      <c r="C7527" s="4" t="n">
        <v>1552.00</v>
      </c>
      <c r="D7527" s="4"/>
    </row>
    <row collapsed="" customFormat="false" customHeight="1" hidden="" ht="14" outlineLevel="0" r="7528">
      <c r="A7528" s="3" t="inlineStr">
        <is>
          <t>7497</t>
        </is>
      </c>
      <c r="B7528" s="4" t="s">
        <f>=HYPERLINK("http://anyluxury.ru/shop/odezhda/detskaya-odezhda/svitshot-detskiy-columbia-kids-yarkozeleniy-04239272/" , "04239272 Свитшот детский Columbia Kids, ярко-зеленый, на рост 154-164")</f>
      </c>
      <c r="C7528" s="4" t="n">
        <v>1552.00</v>
      </c>
      <c r="D7528" s="4"/>
    </row>
    <row collapsed="" customFormat="false" customHeight="1" hidden="" ht="14" outlineLevel="0" r="7529">
      <c r="A7529" s="3" t="inlineStr">
        <is>
          <t>7498</t>
        </is>
      </c>
      <c r="B7529" s="4" t="s">
        <f>=HYPERLINK("http://anyluxury.ru/shop/odezhda/detskaya-odezhda/svitshot-detskiy-columbia-kids-svetlozheltiy-04239260/" , "04239260 Свитшот детский Columbia Kids, светло-желтый, на рост 96-104")</f>
      </c>
      <c r="C7529" s="4" t="n">
        <v>1552.00</v>
      </c>
      <c r="D7529" s="4"/>
    </row>
    <row collapsed="" customFormat="false" customHeight="1" hidden="" ht="14" outlineLevel="0" r="7530">
      <c r="A7530" s="3" t="inlineStr">
        <is>
          <t>7499</t>
        </is>
      </c>
      <c r="B7530" s="4" t="s">
        <f>=HYPERLINK("http://anyluxury.ru/shop/odezhda/detskaya-odezhda/svitshot-detskiy-columbia-kids-svetlozheltiy-04239260/" , "04239260 Свитшот детский Columbia Kids, светло-желтый, на рост 106-116")</f>
      </c>
      <c r="C7530" s="4" t="n">
        <v>1552.00</v>
      </c>
      <c r="D7530" s="4"/>
    </row>
    <row collapsed="" customFormat="false" customHeight="1" hidden="" ht="14" outlineLevel="0" r="7531">
      <c r="A7531" s="3" t="inlineStr">
        <is>
          <t>7500</t>
        </is>
      </c>
      <c r="B7531" s="4" t="s">
        <f>=HYPERLINK("http://anyluxury.ru/shop/odezhda/detskaya-odezhda/svitshot-detskiy-columbia-kids-svetlozheltiy-04239260/" , "04239260 Свитшот детский Columbia Kids, светло-желтый, на рост 118-128")</f>
      </c>
      <c r="C7531" s="4" t="n">
        <v>1552.00</v>
      </c>
      <c r="D7531" s="4"/>
    </row>
    <row collapsed="" customFormat="false" customHeight="1" hidden="" ht="14" outlineLevel="0" r="7532">
      <c r="A7532" s="3" t="inlineStr">
        <is>
          <t>7501</t>
        </is>
      </c>
      <c r="B7532" s="4" t="s">
        <f>=HYPERLINK("http://anyluxury.ru/shop/odezhda/detskaya-odezhda/svitshot-detskiy-columbia-kids-svetlozheltiy-04239260/" , "04239260 Свитшот детский Columbia Kids, светло-желтый, на рост 130-140")</f>
      </c>
      <c r="C7532" s="4" t="n">
        <v>1552.00</v>
      </c>
      <c r="D7532" s="4"/>
    </row>
    <row collapsed="" customFormat="false" customHeight="1" hidden="" ht="14" outlineLevel="0" r="7533">
      <c r="A7533" s="3" t="inlineStr">
        <is>
          <t>7502</t>
        </is>
      </c>
      <c r="B7533" s="4" t="s">
        <f>=HYPERLINK("http://anyluxury.ru/shop/odezhda/detskaya-odezhda/svitshot-detskiy-columbia-kids-svetlozheltiy-04239260/" , "04239260 Свитшот детский Columbia Kids, светло-желтый, на рост 142-152")</f>
      </c>
      <c r="C7533" s="4" t="n">
        <v>1552.00</v>
      </c>
      <c r="D7533" s="4"/>
    </row>
    <row collapsed="" customFormat="false" customHeight="1" hidden="" ht="14" outlineLevel="0" r="7534">
      <c r="A7534" s="3" t="inlineStr">
        <is>
          <t>7503</t>
        </is>
      </c>
      <c r="B7534" s="4" t="s">
        <f>=HYPERLINK("http://anyluxury.ru/shop/odezhda/detskaya-odezhda/svitshot-detskiy-columbia-kids-svetlozheltiy-04239260/" , "04239260 Свитшот детский Columbia Kids, светло-желтый, на рост 154-164")</f>
      </c>
      <c r="C7534" s="4" t="n">
        <v>1552.00</v>
      </c>
      <c r="D7534" s="4"/>
    </row>
    <row collapsed="" customFormat="false" customHeight="1" hidden="" ht="14" outlineLevel="0" r="7535">
      <c r="A7535" s="3" t="inlineStr">
        <is>
          <t>7504</t>
        </is>
      </c>
      <c r="B7535" s="4" t="s">
        <f>=HYPERLINK("http://anyluxury.ru/shop/odezhda/detskaya-odezhda/svitshot-detskiy-columbia-kids-yarkosiniy-royal-04239241/" , "04239241 Свитшот детский Columbia Kids, ярко-синий (royal), на рост96-104")</f>
      </c>
      <c r="C7535" s="4" t="n">
        <v>1552.00</v>
      </c>
      <c r="D7535" s="4"/>
    </row>
    <row collapsed="" customFormat="false" customHeight="1" hidden="" ht="14" outlineLevel="0" r="7536">
      <c r="A7536" s="3" t="inlineStr">
        <is>
          <t>7505</t>
        </is>
      </c>
      <c r="B7536" s="4" t="s">
        <f>=HYPERLINK("http://anyluxury.ru/shop/odezhda/detskaya-odezhda/svitshot-detskiy-columbia-kids-yarkosiniy-royal-04239241/" , "04239241 Свитшот детский Columbia Kids, ярко-синий (royal), на рост106-116")</f>
      </c>
      <c r="C7536" s="4" t="n">
        <v>1552.00</v>
      </c>
      <c r="D7536" s="4"/>
    </row>
    <row collapsed="" customFormat="false" customHeight="1" hidden="" ht="14" outlineLevel="0" r="7537">
      <c r="A7537" s="3" t="inlineStr">
        <is>
          <t>7506</t>
        </is>
      </c>
      <c r="B7537" s="4" t="s">
        <f>=HYPERLINK("http://anyluxury.ru/shop/odezhda/detskaya-odezhda/svitshot-detskiy-columbia-kids-yarkosiniy-royal-04239241/" , "04239241 Свитшот детский Columbia Kids, ярко-синий (royal), на рост118-128")</f>
      </c>
      <c r="C7537" s="4" t="n">
        <v>1552.00</v>
      </c>
      <c r="D7537" s="4"/>
    </row>
    <row collapsed="" customFormat="false" customHeight="1" hidden="" ht="14" outlineLevel="0" r="7538">
      <c r="A7538" s="3" t="inlineStr">
        <is>
          <t>7507</t>
        </is>
      </c>
      <c r="B7538" s="4" t="s">
        <f>=HYPERLINK("http://anyluxury.ru/shop/odezhda/detskaya-odezhda/svitshot-detskiy-columbia-kids-yarkosiniy-royal-04239241/" , "04239241 Свитшот детский Columbia Kids, ярко-синий (royal), на рост130-140")</f>
      </c>
      <c r="C7538" s="4" t="n">
        <v>1552.00</v>
      </c>
      <c r="D7538" s="4"/>
    </row>
    <row collapsed="" customFormat="false" customHeight="1" hidden="" ht="14" outlineLevel="0" r="7539">
      <c r="A7539" s="3" t="inlineStr">
        <is>
          <t>7508</t>
        </is>
      </c>
      <c r="B7539" s="4" t="s">
        <f>=HYPERLINK("http://anyluxury.ru/shop/odezhda/detskaya-odezhda/svitshot-detskiy-columbia-kids-yarkosiniy-royal-04239241/" , "04239241 Свитшот детский Columbia Kids, ярко-синий (royal), на рост142-152")</f>
      </c>
      <c r="C7539" s="4" t="n">
        <v>1552.00</v>
      </c>
      <c r="D7539" s="4"/>
    </row>
    <row collapsed="" customFormat="false" customHeight="1" hidden="" ht="14" outlineLevel="0" r="7540">
      <c r="A7540" s="3" t="inlineStr">
        <is>
          <t>7509</t>
        </is>
      </c>
      <c r="B7540" s="4" t="s">
        <f>=HYPERLINK("http://anyluxury.ru/shop/odezhda/detskaya-odezhda/svitshot-detskiy-columbia-kids-yarkosiniy-royal-04239241/" , "04239241 Свитшот детский Columbia Kids, ярко-синий (royal), на рост154-164")</f>
      </c>
      <c r="C7540" s="4" t="n">
        <v>1552.00</v>
      </c>
      <c r="D7540" s="4"/>
    </row>
    <row collapsed="" customFormat="false" customHeight="1" hidden="" ht="14" outlineLevel="0" r="7541">
      <c r="A7541" s="3" t="inlineStr">
        <is>
          <t>7510</t>
        </is>
      </c>
      <c r="B7541" s="4" t="s">
        <f>=HYPERLINK("http://anyluxury.ru/shop/odezhda/detskaya-odezhda/svitshot-detskiy-columbia-kids-beliy-04239102/" , "04239102 Свитшот детский Columbia Kids, белый, на рост 96-104")</f>
      </c>
      <c r="C7541" s="4" t="n">
        <v>1552.00</v>
      </c>
      <c r="D7541" s="4"/>
    </row>
    <row collapsed="" customFormat="false" customHeight="1" hidden="" ht="14" outlineLevel="0" r="7542">
      <c r="A7542" s="3" t="inlineStr">
        <is>
          <t>7511</t>
        </is>
      </c>
      <c r="B7542" s="4" t="s">
        <f>=HYPERLINK("http://anyluxury.ru/shop/odezhda/detskaya-odezhda/svitshot-detskiy-columbia-kids-beliy-04239102/" , "04239102 Свитшот детский Columbia Kids, белый, на рост 106-116")</f>
      </c>
      <c r="C7542" s="4" t="n">
        <v>1552.00</v>
      </c>
      <c r="D7542" s="4"/>
    </row>
    <row collapsed="" customFormat="false" customHeight="1" hidden="" ht="14" outlineLevel="0" r="7543">
      <c r="A7543" s="3" t="inlineStr">
        <is>
          <t>7512</t>
        </is>
      </c>
      <c r="B7543" s="4" t="s">
        <f>=HYPERLINK("http://anyluxury.ru/shop/odezhda/detskaya-odezhda/svitshot-detskiy-columbia-kids-beliy-04239102/" , "04239102 Свитшот детский Columbia Kids, белый, на рост 118-128")</f>
      </c>
      <c r="C7543" s="4" t="n">
        <v>1552.00</v>
      </c>
      <c r="D7543" s="4"/>
    </row>
    <row collapsed="" customFormat="false" customHeight="1" hidden="" ht="14" outlineLevel="0" r="7544">
      <c r="A7544" s="3" t="inlineStr">
        <is>
          <t>7513</t>
        </is>
      </c>
      <c r="B7544" s="4" t="s">
        <f>=HYPERLINK("http://anyluxury.ru/shop/odezhda/detskaya-odezhda/svitshot-detskiy-columbia-kids-beliy-04239102/" , "04239102 Свитшот детский Columbia Kids, белый, на рост 130-140")</f>
      </c>
      <c r="C7544" s="4" t="n">
        <v>1552.00</v>
      </c>
      <c r="D7544" s="4"/>
    </row>
    <row collapsed="" customFormat="false" customHeight="1" hidden="" ht="14" outlineLevel="0" r="7545">
      <c r="A7545" s="3" t="inlineStr">
        <is>
          <t>7514</t>
        </is>
      </c>
      <c r="B7545" s="4" t="s">
        <f>=HYPERLINK("http://anyluxury.ru/shop/odezhda/detskaya-odezhda/svitshot-detskiy-columbia-kids-beliy-04239102/" , "04239102 Свитшот детский Columbia Kids, белый, на рост 142-152")</f>
      </c>
      <c r="C7545" s="4" t="n">
        <v>1552.00</v>
      </c>
      <c r="D7545" s="4"/>
    </row>
    <row collapsed="" customFormat="false" customHeight="1" hidden="" ht="14" outlineLevel="0" r="7546">
      <c r="A7546" s="3" t="inlineStr">
        <is>
          <t>7515</t>
        </is>
      </c>
      <c r="B7546" s="4" t="s">
        <f>=HYPERLINK("http://anyluxury.ru/shop/odezhda/detskaya-odezhda/svitshot-detskiy-columbia-kids-beliy-04239102/" , "04239102 Свитшот детский Columbia Kids, белый, на рост 154-164")</f>
      </c>
      <c r="C7546" s="4" t="n">
        <v>1552.00</v>
      </c>
      <c r="D7546" s="4"/>
    </row>
    <row collapsed="" customFormat="false" customHeight="1" hidden="" ht="14" outlineLevel="0" r="7547">
      <c r="A7547" s="3" t="inlineStr">
        <is>
          <t>7516</t>
        </is>
      </c>
      <c r="B7547" s="4" t="s">
        <f>=HYPERLINK("http://anyluxury.ru/shop/odezhda/detskaya-odezhda/hudi-uniseks-condor-zelenogoluboe-03815199/" , "03815199 Худи унисекс Condor, зелено-голубое, размер XS")</f>
      </c>
      <c r="C7547" s="4" t="n">
        <v>2598.00</v>
      </c>
      <c r="D7547" s="4"/>
    </row>
    <row collapsed="" customFormat="false" customHeight="1" hidden="" ht="14" outlineLevel="0" r="7548">
      <c r="A7548" s="3" t="inlineStr">
        <is>
          <t>7517</t>
        </is>
      </c>
      <c r="B7548" s="4" t="s">
        <f>=HYPERLINK("http://anyluxury.ru/shop/odezhda/detskaya-odezhda/hudi-uniseks-condor-zelenogoluboe-03815199/" , "03815199 Худи унисекс Condor, зелено-голубое, размер S")</f>
      </c>
      <c r="C7548" s="4" t="n">
        <v>2598.00</v>
      </c>
      <c r="D7548" s="4"/>
    </row>
    <row collapsed="" customFormat="false" customHeight="1" hidden="" ht="14" outlineLevel="0" r="7549">
      <c r="A7549" s="3" t="inlineStr">
        <is>
          <t>7518</t>
        </is>
      </c>
      <c r="B7549" s="4" t="s">
        <f>=HYPERLINK("http://anyluxury.ru/shop/odezhda/detskaya-odezhda/hudi-uniseks-condor-zelenogoluboe-03815199/" , "03815199 Худи унисекс Condor, зелено-голубое, размер M")</f>
      </c>
      <c r="C7549" s="4" t="n">
        <v>2598.00</v>
      </c>
      <c r="D7549" s="4"/>
    </row>
    <row collapsed="" customFormat="false" customHeight="1" hidden="" ht="14" outlineLevel="0" r="7550">
      <c r="A7550" s="3" t="inlineStr">
        <is>
          <t>7519</t>
        </is>
      </c>
      <c r="B7550" s="4" t="s">
        <f>=HYPERLINK("http://anyluxury.ru/shop/odezhda/detskaya-odezhda/hudi-uniseks-condor-zelenogoluboe-03815199/" , "03815199 Худи унисекс Condor, зелено-голубое, размер L")</f>
      </c>
      <c r="C7550" s="4" t="n">
        <v>2598.00</v>
      </c>
      <c r="D7550" s="4"/>
    </row>
    <row collapsed="" customFormat="false" customHeight="1" hidden="" ht="14" outlineLevel="0" r="7551">
      <c r="A7551" s="3" t="inlineStr">
        <is>
          <t>7520</t>
        </is>
      </c>
      <c r="B7551" s="4" t="s">
        <f>=HYPERLINK("http://anyluxury.ru/shop/odezhda/detskaya-odezhda/hudi-uniseks-condor-zelenogoluboe-03815199/" , "03815199 Худи унисекс Condor, зелено-голубое, размер XL")</f>
      </c>
      <c r="C7551" s="4" t="n">
        <v>2598.00</v>
      </c>
      <c r="D7551" s="4"/>
    </row>
    <row collapsed="" customFormat="false" customHeight="1" hidden="" ht="14" outlineLevel="0" r="7552">
      <c r="A7552" s="3" t="inlineStr">
        <is>
          <t>7521</t>
        </is>
      </c>
      <c r="B7552" s="4" t="s">
        <f>=HYPERLINK("http://anyluxury.ru/shop/odezhda/detskaya-odezhda/hudi-uniseks-condor-zelenogoluboe-03815199/" , "03815199 Худи унисекс Condor, зелено-голубое, размер XXL")</f>
      </c>
      <c r="C7552" s="4" t="n">
        <v>2598.00</v>
      </c>
      <c r="D7552" s="4"/>
    </row>
    <row collapsed="" customFormat="false" customHeight="1" hidden="" ht="14" outlineLevel="0" r="7553">
      <c r="A7553" s="3" t="inlineStr">
        <is>
          <t>7522</t>
        </is>
      </c>
      <c r="B7553" s="4" t="s">
        <f>=HYPERLINK("http://anyluxury.ru/shop/odezhda/detskaya-odezhda/hudi-uniseks-condor-zelenogoluboe-03815199/" , "03815199 Худи унисекс Condor, зелено-голубое, размер 3XL")</f>
      </c>
      <c r="C7553" s="4" t="n">
        <v>3065.00</v>
      </c>
      <c r="D7553" s="4"/>
    </row>
    <row collapsed="" customFormat="false" customHeight="1" hidden="" ht="14" outlineLevel="0" r="7554">
      <c r="A7554" s="3" t="inlineStr">
        <is>
          <t>7523</t>
        </is>
      </c>
      <c r="B7554" s="4" t="s">
        <f>=HYPERLINK("http://anyluxury.ru/shop/odezhda/detskaya-odezhda/hudi-uniseks-condor-fioletovoe-slivovoe-03815171/" , "03815171 Худи унисекс Condor, фиолетовое (сливовое), размер XS")</f>
      </c>
      <c r="C7554" s="4" t="n">
        <v>2598.00</v>
      </c>
      <c r="D7554" s="4"/>
    </row>
    <row collapsed="" customFormat="false" customHeight="1" hidden="" ht="14" outlineLevel="0" r="7555">
      <c r="A7555" s="3" t="inlineStr">
        <is>
          <t>7524</t>
        </is>
      </c>
      <c r="B7555" s="4" t="s">
        <f>=HYPERLINK("http://anyluxury.ru/shop/odezhda/detskaya-odezhda/hudi-uniseks-condor-fioletovoe-slivovoe-03815171/" , "03815171 Худи унисекс Condor, фиолетовое (сливовое), размер S")</f>
      </c>
      <c r="C7555" s="4" t="n">
        <v>2598.00</v>
      </c>
      <c r="D7555" s="4"/>
    </row>
    <row collapsed="" customFormat="false" customHeight="1" hidden="" ht="14" outlineLevel="0" r="7556">
      <c r="A7556" s="3" t="inlineStr">
        <is>
          <t>7525</t>
        </is>
      </c>
      <c r="B7556" s="4" t="s">
        <f>=HYPERLINK("http://anyluxury.ru/shop/odezhda/detskaya-odezhda/hudi-uniseks-condor-fioletovoe-slivovoe-03815171/" , "03815171 Худи унисекс Condor, фиолетовое (сливовое), размер M")</f>
      </c>
      <c r="C7556" s="4" t="n">
        <v>2598.00</v>
      </c>
      <c r="D7556" s="4"/>
    </row>
    <row collapsed="" customFormat="false" customHeight="1" hidden="" ht="14" outlineLevel="0" r="7557">
      <c r="A7557" s="3" t="inlineStr">
        <is>
          <t>7526</t>
        </is>
      </c>
      <c r="B7557" s="4" t="s">
        <f>=HYPERLINK("http://anyluxury.ru/shop/odezhda/detskaya-odezhda/hudi-uniseks-condor-fioletovoe-slivovoe-03815171/" , "03815171 Худи унисекс Condor, фиолетовое (сливовое), размер L")</f>
      </c>
      <c r="C7557" s="4" t="n">
        <v>2598.00</v>
      </c>
      <c r="D7557" s="4"/>
    </row>
    <row collapsed="" customFormat="false" customHeight="1" hidden="" ht="14" outlineLevel="0" r="7558">
      <c r="A7558" s="3" t="inlineStr">
        <is>
          <t>7527</t>
        </is>
      </c>
      <c r="B7558" s="4" t="s">
        <f>=HYPERLINK("http://anyluxury.ru/shop/odezhda/detskaya-odezhda/hudi-uniseks-condor-fioletovoe-slivovoe-03815171/" , "03815171 Худи унисекс Condor, фиолетовое (сливовое), размер XL")</f>
      </c>
      <c r="C7558" s="4" t="n">
        <v>2598.00</v>
      </c>
      <c r="D7558" s="4"/>
    </row>
    <row collapsed="" customFormat="false" customHeight="1" hidden="" ht="14" outlineLevel="0" r="7559">
      <c r="A7559" s="3" t="inlineStr">
        <is>
          <t>7528</t>
        </is>
      </c>
      <c r="B7559" s="4" t="s">
        <f>=HYPERLINK("http://anyluxury.ru/shop/odezhda/detskaya-odezhda/hudi-uniseks-condor-fioletovoe-slivovoe-03815171/" , "03815171 Худи унисекс Condor, фиолетовое (сливовое), размер XXL")</f>
      </c>
      <c r="C7559" s="4" t="n">
        <v>2598.00</v>
      </c>
      <c r="D7559" s="4"/>
    </row>
    <row collapsed="" customFormat="false" customHeight="1" hidden="" ht="14" outlineLevel="0" r="7560">
      <c r="A7560" s="3" t="inlineStr">
        <is>
          <t>7529</t>
        </is>
      </c>
      <c r="B7560" s="4" t="s">
        <f>=HYPERLINK("http://anyluxury.ru/shop/odezhda/detskaya-odezhda/hudi-uniseks-condor-fioletovoe-slivovoe-03815171/" , "03815171 Худи унисекс Condor, фиолетовое (сливовое), размер 3XL")</f>
      </c>
      <c r="C7560" s="4" t="n">
        <v>3065.00</v>
      </c>
      <c r="D7560" s="4"/>
    </row>
    <row collapsed="" customFormat="false" customHeight="1" hidden="" ht="14" outlineLevel="0" r="7561">
      <c r="A7561" s="3" t="inlineStr">
        <is>
          <t>7530</t>
        </is>
      </c>
      <c r="B7561" s="4" t="s">
        <f>=HYPERLINK("http://anyluxury.ru/shop/odezhda/detskaya-odezhda/hudi-uniseks-condor-moroznozelenoe-03815292/" , "03815292 Худи унисекс Condor, морозно-зеленое, размер XS")</f>
      </c>
      <c r="C7561" s="4" t="n">
        <v>2598.00</v>
      </c>
      <c r="D7561" s="4"/>
    </row>
    <row collapsed="" customFormat="false" customHeight="1" hidden="" ht="14" outlineLevel="0" r="7562">
      <c r="A7562" s="3" t="inlineStr">
        <is>
          <t>7531</t>
        </is>
      </c>
      <c r="B7562" s="4" t="s">
        <f>=HYPERLINK("http://anyluxury.ru/shop/odezhda/detskaya-odezhda/hudi-uniseks-condor-moroznozelenoe-03815292/" , "03815292 Худи унисекс Condor, морозно-зеленое, размер S")</f>
      </c>
      <c r="C7562" s="4" t="n">
        <v>2598.00</v>
      </c>
      <c r="D7562" s="4"/>
    </row>
    <row collapsed="" customFormat="false" customHeight="1" hidden="" ht="14" outlineLevel="0" r="7563">
      <c r="A7563" s="3" t="inlineStr">
        <is>
          <t>7532</t>
        </is>
      </c>
      <c r="B7563" s="4" t="s">
        <f>=HYPERLINK("http://anyluxury.ru/shop/odezhda/detskaya-odezhda/hudi-uniseks-condor-moroznozelenoe-03815292/" , "03815292 Худи унисекс Condor, морозно-зеленое, размер M")</f>
      </c>
      <c r="C7563" s="4" t="n">
        <v>2598.00</v>
      </c>
      <c r="D7563" s="4"/>
    </row>
    <row collapsed="" customFormat="false" customHeight="1" hidden="" ht="14" outlineLevel="0" r="7564">
      <c r="A7564" s="3" t="inlineStr">
        <is>
          <t>7533</t>
        </is>
      </c>
      <c r="B7564" s="4" t="s">
        <f>=HYPERLINK("http://anyluxury.ru/shop/odezhda/detskaya-odezhda/hudi-uniseks-condor-moroznozelenoe-03815292/" , "03815292 Худи унисекс Condor, морозно-зеленое, размер L")</f>
      </c>
      <c r="C7564" s="4" t="n">
        <v>2598.00</v>
      </c>
      <c r="D7564" s="4"/>
    </row>
    <row collapsed="" customFormat="false" customHeight="1" hidden="" ht="14" outlineLevel="0" r="7565">
      <c r="A7565" s="3" t="inlineStr">
        <is>
          <t>7534</t>
        </is>
      </c>
      <c r="B7565" s="4" t="s">
        <f>=HYPERLINK("http://anyluxury.ru/shop/odezhda/detskaya-odezhda/hudi-uniseks-condor-moroznozelenoe-03815292/" , "03815292 Худи унисекс Condor, морозно-зеленое, размер XL")</f>
      </c>
      <c r="C7565" s="4" t="n">
        <v>2598.00</v>
      </c>
      <c r="D7565" s="4"/>
    </row>
    <row collapsed="" customFormat="false" customHeight="1" hidden="" ht="14" outlineLevel="0" r="7566">
      <c r="A7566" s="3" t="inlineStr">
        <is>
          <t>7535</t>
        </is>
      </c>
      <c r="B7566" s="4" t="s">
        <f>=HYPERLINK("http://anyluxury.ru/shop/odezhda/detskaya-odezhda/hudi-uniseks-condor-moroznozelenoe-03815292/" , "03815292 Худи унисекс Condor, морозно-зеленое, размер XXL")</f>
      </c>
      <c r="C7566" s="4" t="n">
        <v>2598.00</v>
      </c>
      <c r="D7566" s="4"/>
    </row>
    <row collapsed="" customFormat="false" customHeight="1" hidden="" ht="14" outlineLevel="0" r="7567">
      <c r="A7567" s="3" t="inlineStr">
        <is>
          <t>7536</t>
        </is>
      </c>
      <c r="B7567" s="4" t="s">
        <f>=HYPERLINK("http://anyluxury.ru/shop/odezhda/detskaya-odezhda/hudi-uniseks-condor-moroznozelenoe-03815292/" , "03815292 Худи унисекс Condor, морозно-зеленое, размер 3XL")</f>
      </c>
      <c r="C7567" s="4" t="n">
        <v>3065.00</v>
      </c>
      <c r="D7567" s="4"/>
    </row>
    <row collapsed="" customFormat="false" customHeight="1" hidden="" ht="14" outlineLevel="0" r="7568">
      <c r="A7568" s="3" t="inlineStr">
        <is>
          <t>7537</t>
        </is>
      </c>
      <c r="B7568" s="4" t="s">
        <f>=HYPERLINK("http://anyluxury.ru/shop/odezhda/detskaya-odezhda/hudi-uniseks-condor-goluboe-morskaya-volna-03815295/" , "03815295 Худи унисекс Condor, голубое (морская волна), размер XS")</f>
      </c>
      <c r="C7568" s="4" t="n">
        <v>2598.00</v>
      </c>
      <c r="D7568" s="4"/>
    </row>
    <row collapsed="" customFormat="false" customHeight="1" hidden="" ht="14" outlineLevel="0" r="7569">
      <c r="A7569" s="3" t="inlineStr">
        <is>
          <t>7538</t>
        </is>
      </c>
      <c r="B7569" s="4" t="s">
        <f>=HYPERLINK("http://anyluxury.ru/shop/odezhda/detskaya-odezhda/hudi-uniseks-condor-goluboe-morskaya-volna-03815295/" , "03815295 Худи унисекс Condor, голубое (морская волна), размер S")</f>
      </c>
      <c r="C7569" s="4" t="n">
        <v>2598.00</v>
      </c>
      <c r="D7569" s="4"/>
    </row>
    <row collapsed="" customFormat="false" customHeight="1" hidden="" ht="14" outlineLevel="0" r="7570">
      <c r="A7570" s="3" t="inlineStr">
        <is>
          <t>7539</t>
        </is>
      </c>
      <c r="B7570" s="4" t="s">
        <f>=HYPERLINK("http://anyluxury.ru/shop/odezhda/detskaya-odezhda/hudi-uniseks-condor-goluboe-morskaya-volna-03815295/" , "03815295 Худи унисекс Condor, голубое (морская волна), размер M")</f>
      </c>
      <c r="C7570" s="4" t="n">
        <v>2598.00</v>
      </c>
      <c r="D7570" s="4"/>
    </row>
    <row collapsed="" customFormat="false" customHeight="1" hidden="" ht="14" outlineLevel="0" r="7571">
      <c r="A7571" s="3" t="inlineStr">
        <is>
          <t>7540</t>
        </is>
      </c>
      <c r="B7571" s="4" t="s">
        <f>=HYPERLINK("http://anyluxury.ru/shop/odezhda/detskaya-odezhda/hudi-uniseks-condor-goluboe-morskaya-volna-03815295/" , "03815295 Худи унисекс Condor, голубое (морская волна), размер L")</f>
      </c>
      <c r="C7571" s="4" t="n">
        <v>2598.00</v>
      </c>
      <c r="D7571" s="4"/>
    </row>
    <row collapsed="" customFormat="false" customHeight="1" hidden="" ht="14" outlineLevel="0" r="7572">
      <c r="A7572" s="3" t="inlineStr">
        <is>
          <t>7541</t>
        </is>
      </c>
      <c r="B7572" s="4" t="s">
        <f>=HYPERLINK("http://anyluxury.ru/shop/odezhda/detskaya-odezhda/hudi-uniseks-condor-goluboe-morskaya-volna-03815295/" , "03815295 Худи унисекс Condor, голубое (морская волна), размер XL")</f>
      </c>
      <c r="C7572" s="4" t="n">
        <v>2598.00</v>
      </c>
      <c r="D7572" s="4"/>
    </row>
    <row collapsed="" customFormat="false" customHeight="1" hidden="" ht="14" outlineLevel="0" r="7573">
      <c r="A7573" s="3" t="inlineStr">
        <is>
          <t>7542</t>
        </is>
      </c>
      <c r="B7573" s="4" t="s">
        <f>=HYPERLINK("http://anyluxury.ru/shop/odezhda/detskaya-odezhda/hudi-uniseks-condor-goluboe-morskaya-volna-03815295/" , "03815295 Худи унисекс Condor, голубое (морская волна), размер XXL")</f>
      </c>
      <c r="C7573" s="4" t="n">
        <v>2598.00</v>
      </c>
      <c r="D7573" s="4"/>
    </row>
    <row collapsed="" customFormat="false" customHeight="1" hidden="" ht="14" outlineLevel="0" r="7574">
      <c r="A7574" s="3" t="inlineStr">
        <is>
          <t>7543</t>
        </is>
      </c>
      <c r="B7574" s="4" t="s">
        <f>=HYPERLINK("http://anyluxury.ru/shop/odezhda/detskaya-odezhda/hudi-uniseks-condor-goluboe-morskaya-volna-03815295/" , "03815295 Худи унисекс Condor, голубое (морская волна), размер 3XL")</f>
      </c>
      <c r="C7574" s="4" t="n">
        <v>3065.00</v>
      </c>
      <c r="D7574" s="4"/>
    </row>
    <row collapsed="" customFormat="false" customHeight="1" hidden="" ht="14" outlineLevel="0" r="7575">
      <c r="A7575" s="3" t="inlineStr">
        <is>
          <t>7544</t>
        </is>
      </c>
      <c r="B7575" s="4" t="s">
        <f>=HYPERLINK("http://anyluxury.ru/shop/odezhda/detskaya-odezhda/hudi-uniseks-condor-oranzhevoe-korallovoe-03815411/" , "03815411 Худи унисекс Condor, оранжевое (коралловое), размер XS")</f>
      </c>
      <c r="C7575" s="4" t="n">
        <v>2598.00</v>
      </c>
      <c r="D7575" s="4"/>
    </row>
    <row collapsed="" customFormat="false" customHeight="1" hidden="" ht="14" outlineLevel="0" r="7576">
      <c r="A7576" s="3" t="inlineStr">
        <is>
          <t>7545</t>
        </is>
      </c>
      <c r="B7576" s="4" t="s">
        <f>=HYPERLINK("http://anyluxury.ru/shop/odezhda/detskaya-odezhda/hudi-uniseks-condor-oranzhevoe-korallovoe-03815411/" , "03815411 Худи унисекс Condor, оранжевое (коралловое), размер S")</f>
      </c>
      <c r="C7576" s="4" t="n">
        <v>2598.00</v>
      </c>
      <c r="D7576" s="4"/>
    </row>
    <row collapsed="" customFormat="false" customHeight="1" hidden="" ht="14" outlineLevel="0" r="7577">
      <c r="A7577" s="3" t="inlineStr">
        <is>
          <t>7546</t>
        </is>
      </c>
      <c r="B7577" s="4" t="s">
        <f>=HYPERLINK("http://anyluxury.ru/shop/odezhda/detskaya-odezhda/hudi-uniseks-condor-oranzhevoe-korallovoe-03815411/" , "03815411 Худи унисекс Condor, оранжевое (коралловое), размер M")</f>
      </c>
      <c r="C7577" s="4" t="n">
        <v>2598.00</v>
      </c>
      <c r="D7577" s="4"/>
    </row>
    <row collapsed="" customFormat="false" customHeight="1" hidden="" ht="14" outlineLevel="0" r="7578">
      <c r="A7578" s="3" t="inlineStr">
        <is>
          <t>7547</t>
        </is>
      </c>
      <c r="B7578" s="4" t="s">
        <f>=HYPERLINK("http://anyluxury.ru/shop/odezhda/detskaya-odezhda/hudi-uniseks-condor-oranzhevoe-korallovoe-03815411/" , "03815411 Худи унисекс Condor, оранжевое (коралловое), размер L")</f>
      </c>
      <c r="C7578" s="4" t="n">
        <v>2598.00</v>
      </c>
      <c r="D7578" s="4"/>
    </row>
    <row collapsed="" customFormat="false" customHeight="1" hidden="" ht="14" outlineLevel="0" r="7579">
      <c r="A7579" s="3" t="inlineStr">
        <is>
          <t>7548</t>
        </is>
      </c>
      <c r="B7579" s="4" t="s">
        <f>=HYPERLINK("http://anyluxury.ru/shop/odezhda/detskaya-odezhda/hudi-uniseks-condor-oranzhevoe-korallovoe-03815411/" , "03815411 Худи унисекс Condor, оранжевое (коралловое), размер XL")</f>
      </c>
      <c r="C7579" s="4" t="n">
        <v>2598.00</v>
      </c>
      <c r="D7579" s="4"/>
    </row>
    <row collapsed="" customFormat="false" customHeight="1" hidden="" ht="14" outlineLevel="0" r="7580">
      <c r="A7580" s="3" t="inlineStr">
        <is>
          <t>7549</t>
        </is>
      </c>
      <c r="B7580" s="4" t="s">
        <f>=HYPERLINK("http://anyluxury.ru/shop/odezhda/detskaya-odezhda/hudi-uniseks-condor-oranzhevoe-korallovoe-03815411/" , "03815411 Худи унисекс Condor, оранжевое (коралловое), размер XXL")</f>
      </c>
      <c r="C7580" s="4" t="n">
        <v>2598.00</v>
      </c>
      <c r="D7580" s="4"/>
    </row>
    <row collapsed="" customFormat="false" customHeight="1" hidden="" ht="14" outlineLevel="0" r="7581">
      <c r="A7581" s="3" t="inlineStr">
        <is>
          <t>7550</t>
        </is>
      </c>
      <c r="B7581" s="4" t="s">
        <f>=HYPERLINK("http://anyluxury.ru/shop/odezhda/detskaya-odezhda/hudi-uniseks-condor-oranzhevoe-korallovoe-03815411/" , "03815411 Худи унисекс Condor, оранжевое (коралловое), размер 3XL")</f>
      </c>
      <c r="C7581" s="4" t="n">
        <v>3065.00</v>
      </c>
      <c r="D7581" s="4"/>
    </row>
    <row collapsed="" customFormat="false" customHeight="1" hidden="" ht="14" outlineLevel="0" r="7582">
      <c r="A7582" s="3" t="inlineStr">
        <is>
          <t>7551</t>
        </is>
      </c>
      <c r="B7582" s="4" t="s">
        <f>=HYPERLINK("http://anyluxury.ru/shop/odezhda/detskaya-odezhda/hudi-uniseks-condor-vesenniy-zeleniy-03815290/" , "03815290 Худи унисекс Condor, весенний зеленый, размер XS")</f>
      </c>
      <c r="C7582" s="4" t="n">
        <v>2598.00</v>
      </c>
      <c r="D7582" s="4"/>
    </row>
    <row collapsed="" customFormat="false" customHeight="1" hidden="" ht="14" outlineLevel="0" r="7583">
      <c r="A7583" s="3" t="inlineStr">
        <is>
          <t>7552</t>
        </is>
      </c>
      <c r="B7583" s="4" t="s">
        <f>=HYPERLINK("http://anyluxury.ru/shop/odezhda/detskaya-odezhda/hudi-uniseks-condor-vesenniy-zeleniy-03815290/" , "03815290 Худи унисекс Condor, весенний зеленый, размер S")</f>
      </c>
      <c r="C7583" s="4" t="n">
        <v>2598.00</v>
      </c>
      <c r="D7583" s="4"/>
    </row>
    <row collapsed="" customFormat="false" customHeight="1" hidden="" ht="14" outlineLevel="0" r="7584">
      <c r="A7584" s="3" t="inlineStr">
        <is>
          <t>7553</t>
        </is>
      </c>
      <c r="B7584" s="4" t="s">
        <f>=HYPERLINK("http://anyluxury.ru/shop/odezhda/detskaya-odezhda/hudi-uniseks-condor-vesenniy-zeleniy-03815290/" , "03815290 Худи унисекс Condor, весенний зеленый, размер M")</f>
      </c>
      <c r="C7584" s="4" t="n">
        <v>2598.00</v>
      </c>
      <c r="D7584" s="4"/>
    </row>
    <row collapsed="" customFormat="false" customHeight="1" hidden="" ht="14" outlineLevel="0" r="7585">
      <c r="A7585" s="3" t="inlineStr">
        <is>
          <t>7554</t>
        </is>
      </c>
      <c r="B7585" s="4" t="s">
        <f>=HYPERLINK("http://anyluxury.ru/shop/odezhda/detskaya-odezhda/hudi-uniseks-condor-vesenniy-zeleniy-03815290/" , "03815290 Худи унисекс Condor, весенний зеленый, размер L")</f>
      </c>
      <c r="C7585" s="4" t="n">
        <v>2598.00</v>
      </c>
      <c r="D7585" s="4"/>
    </row>
    <row collapsed="" customFormat="false" customHeight="1" hidden="" ht="14" outlineLevel="0" r="7586">
      <c r="A7586" s="3" t="inlineStr">
        <is>
          <t>7555</t>
        </is>
      </c>
      <c r="B7586" s="4" t="s">
        <f>=HYPERLINK("http://anyluxury.ru/shop/odezhda/detskaya-odezhda/hudi-uniseks-condor-vesenniy-zeleniy-03815290/" , "03815290 Худи унисекс Condor, весенний зеленый, размер XL")</f>
      </c>
      <c r="C7586" s="4" t="n">
        <v>2598.00</v>
      </c>
      <c r="D7586" s="4"/>
    </row>
    <row collapsed="" customFormat="false" customHeight="1" hidden="" ht="14" outlineLevel="0" r="7587">
      <c r="A7587" s="3" t="inlineStr">
        <is>
          <t>7556</t>
        </is>
      </c>
      <c r="B7587" s="4" t="s">
        <f>=HYPERLINK("http://anyluxury.ru/shop/odezhda/detskaya-odezhda/hudi-uniseks-condor-vesenniy-zeleniy-03815290/" , "03815290 Худи унисекс Condor, весенний зеленый, размер XXL")</f>
      </c>
      <c r="C7587" s="4" t="n">
        <v>2598.00</v>
      </c>
      <c r="D7587" s="4"/>
    </row>
    <row collapsed="" customFormat="false" customHeight="1" hidden="" ht="14" outlineLevel="0" r="7588">
      <c r="A7588" s="3" t="inlineStr">
        <is>
          <t>7557</t>
        </is>
      </c>
      <c r="B7588" s="4" t="s">
        <f>=HYPERLINK("http://anyluxury.ru/shop/odezhda/detskaya-odezhda/hudi-uniseks-condor-vesenniy-zeleniy-03815290/" , "03815290 Худи унисекс Condor, весенний зеленый, размер 3XL")</f>
      </c>
      <c r="C7588" s="4" t="n">
        <v>3065.00</v>
      </c>
      <c r="D7588" s="4"/>
    </row>
    <row collapsed="" customFormat="false" customHeight="1" hidden="" ht="14" outlineLevel="0" r="7589">
      <c r="A7589" s="3" t="inlineStr">
        <is>
          <t>7558</t>
        </is>
      </c>
      <c r="B7589" s="4" t="s">
        <f>=HYPERLINK("http://anyluxury.ru/shop/odezhda/detskaya-odezhda/hudi-detskoe-condor-kids-chernoe-04238312/" , "04238312 Худи детское Condor Kids, черное, на рост 96-104")</f>
      </c>
      <c r="C7589" s="4" t="n">
        <v>2064.00</v>
      </c>
      <c r="D7589" s="4"/>
    </row>
    <row collapsed="" customFormat="false" customHeight="1" hidden="" ht="14" outlineLevel="0" r="7590">
      <c r="A7590" s="3" t="inlineStr">
        <is>
          <t>7559</t>
        </is>
      </c>
      <c r="B7590" s="4" t="s">
        <f>=HYPERLINK("http://anyluxury.ru/shop/odezhda/detskaya-odezhda/hudi-detskoe-condor-kids-chernoe-04238312/" , "04238312 Худи детское Condor Kids, черное, на рост 106-116")</f>
      </c>
      <c r="C7590" s="4" t="n">
        <v>2064.00</v>
      </c>
      <c r="D7590" s="4"/>
    </row>
    <row collapsed="" customFormat="false" customHeight="1" hidden="" ht="14" outlineLevel="0" r="7591">
      <c r="A7591" s="3" t="inlineStr">
        <is>
          <t>7560</t>
        </is>
      </c>
      <c r="B7591" s="4" t="s">
        <f>=HYPERLINK("http://anyluxury.ru/shop/odezhda/detskaya-odezhda/hudi-detskoe-condor-kids-chernoe-04238312/" , "04238312 Худи детское Condor Kids, черное, на рост 118-128")</f>
      </c>
      <c r="C7591" s="4" t="n">
        <v>2064.00</v>
      </c>
      <c r="D7591" s="4"/>
    </row>
    <row collapsed="" customFormat="false" customHeight="1" hidden="" ht="14" outlineLevel="0" r="7592">
      <c r="A7592" s="3" t="inlineStr">
        <is>
          <t>7561</t>
        </is>
      </c>
      <c r="B7592" s="4" t="s">
        <f>=HYPERLINK("http://anyluxury.ru/shop/odezhda/detskaya-odezhda/hudi-detskoe-condor-kids-chernoe-04238312/" , "04238312 Худи детское Condor Kids, черное, на рост 130-140")</f>
      </c>
      <c r="C7592" s="4" t="n">
        <v>2064.00</v>
      </c>
      <c r="D7592" s="4"/>
    </row>
    <row collapsed="" customFormat="false" customHeight="1" hidden="" ht="14" outlineLevel="0" r="7593">
      <c r="A7593" s="3" t="inlineStr">
        <is>
          <t>7562</t>
        </is>
      </c>
      <c r="B7593" s="4" t="s">
        <f>=HYPERLINK("http://anyluxury.ru/shop/odezhda/detskaya-odezhda/hudi-detskoe-condor-kids-chernoe-04238312/" , "04238312 Худи детское Condor Kids, черное, на рост 142-152")</f>
      </c>
      <c r="C7593" s="4" t="n">
        <v>2064.00</v>
      </c>
      <c r="D7593" s="4"/>
    </row>
    <row collapsed="" customFormat="false" customHeight="1" hidden="" ht="14" outlineLevel="0" r="7594">
      <c r="A7594" s="3" t="inlineStr">
        <is>
          <t>7563</t>
        </is>
      </c>
      <c r="B7594" s="4" t="s">
        <f>=HYPERLINK("http://anyluxury.ru/shop/odezhda/detskaya-odezhda/hudi-detskoe-condor-kids-chernoe-04238312/" , "04238312 Худи детское Condor Kids, черное, на рост 154-164")</f>
      </c>
      <c r="C7594" s="4" t="n">
        <v>2064.00</v>
      </c>
      <c r="D7594" s="4"/>
    </row>
    <row collapsed="" customFormat="false" customHeight="1" hidden="" ht="14" outlineLevel="0" r="7595">
      <c r="A7595" s="3" t="inlineStr">
        <is>
          <t>7564</t>
        </is>
      </c>
      <c r="B7595" s="4" t="s">
        <f>=HYPERLINK("http://anyluxury.ru/shop/odezhda/detskaya-odezhda/hudi-detskoe-condor-kids-sinee-04238205/" , "04238205 Худи детское Condor Kids, синее, на рост 96-104")</f>
      </c>
      <c r="C7595" s="4" t="n">
        <v>2064.00</v>
      </c>
      <c r="D7595" s="4"/>
    </row>
    <row collapsed="" customFormat="false" customHeight="1" hidden="" ht="14" outlineLevel="0" r="7596">
      <c r="A7596" s="3" t="inlineStr">
        <is>
          <t>7565</t>
        </is>
      </c>
      <c r="B7596" s="4" t="s">
        <f>=HYPERLINK("http://anyluxury.ru/shop/odezhda/detskaya-odezhda/hudi-detskoe-condor-kids-sinee-04238205/" , "04238205 Худи детское Condor Kids, синее, на рост 106-116")</f>
      </c>
      <c r="C7596" s="4" t="n">
        <v>2064.00</v>
      </c>
      <c r="D7596" s="4"/>
    </row>
    <row collapsed="" customFormat="false" customHeight="1" hidden="" ht="14" outlineLevel="0" r="7597">
      <c r="A7597" s="3" t="inlineStr">
        <is>
          <t>7566</t>
        </is>
      </c>
      <c r="B7597" s="4" t="s">
        <f>=HYPERLINK("http://anyluxury.ru/shop/odezhda/detskaya-odezhda/hudi-detskoe-condor-kids-sinee-04238205/" , "04238205 Худи детское Condor Kids, синее, на рост 118-128")</f>
      </c>
      <c r="C7597" s="4" t="n">
        <v>2064.00</v>
      </c>
      <c r="D7597" s="4"/>
    </row>
    <row collapsed="" customFormat="false" customHeight="1" hidden="" ht="14" outlineLevel="0" r="7598">
      <c r="A7598" s="3" t="inlineStr">
        <is>
          <t>7567</t>
        </is>
      </c>
      <c r="B7598" s="4" t="s">
        <f>=HYPERLINK("http://anyluxury.ru/shop/odezhda/detskaya-odezhda/hudi-detskoe-condor-kids-sinee-04238205/" , "04238205 Худи детское Condor Kids, синее, на рост 130-140")</f>
      </c>
      <c r="C7598" s="4" t="n">
        <v>2064.00</v>
      </c>
      <c r="D7598" s="4"/>
    </row>
    <row collapsed="" customFormat="false" customHeight="1" hidden="" ht="14" outlineLevel="0" r="7599">
      <c r="A7599" s="3" t="inlineStr">
        <is>
          <t>7568</t>
        </is>
      </c>
      <c r="B7599" s="4" t="s">
        <f>=HYPERLINK("http://anyluxury.ru/shop/odezhda/detskaya-odezhda/hudi-detskoe-condor-kids-sinee-04238205/" , "04238205 Худи детское Condor Kids, синее, на рост 142-152")</f>
      </c>
      <c r="C7599" s="4" t="n">
        <v>2064.00</v>
      </c>
      <c r="D7599" s="4"/>
    </row>
    <row collapsed="" customFormat="false" customHeight="1" hidden="" ht="14" outlineLevel="0" r="7600">
      <c r="A7600" s="3" t="inlineStr">
        <is>
          <t>7569</t>
        </is>
      </c>
      <c r="B7600" s="4" t="s">
        <f>=HYPERLINK("http://anyluxury.ru/shop/odezhda/detskaya-odezhda/hudi-detskoe-condor-kids-sinee-04238205/" , "04238205 Худи детское Condor Kids, синее, на рост 154-164")</f>
      </c>
      <c r="C7600" s="4" t="n">
        <v>2064.00</v>
      </c>
      <c r="D7600" s="4"/>
    </row>
    <row collapsed="" customFormat="false" customHeight="1" hidden="" ht="14" outlineLevel="0" r="7601">
      <c r="A7601" s="3" t="inlineStr">
        <is>
          <t>7570</t>
        </is>
      </c>
      <c r="B7601" s="4" t="s">
        <f>=HYPERLINK("http://anyluxury.ru/shop/odezhda/detskaya-odezhda/hudi-detskoe-condor-kids-krasnoe-04238161/" , "04238161 Худи детское Condor Kids, красное, на рост 96-104")</f>
      </c>
      <c r="C7601" s="4" t="n">
        <v>2064.00</v>
      </c>
      <c r="D7601" s="4"/>
    </row>
    <row collapsed="" customFormat="false" customHeight="1" hidden="" ht="14" outlineLevel="0" r="7602">
      <c r="A7602" s="3" t="inlineStr">
        <is>
          <t>7571</t>
        </is>
      </c>
      <c r="B7602" s="4" t="s">
        <f>=HYPERLINK("http://anyluxury.ru/shop/odezhda/detskaya-odezhda/hudi-detskoe-condor-kids-krasnoe-04238161/" , "04238161 Худи детское Condor Kids, красное, на рост 106-116")</f>
      </c>
      <c r="C7602" s="4" t="n">
        <v>2064.00</v>
      </c>
      <c r="D7602" s="4"/>
    </row>
    <row collapsed="" customFormat="false" customHeight="1" hidden="" ht="14" outlineLevel="0" r="7603">
      <c r="A7603" s="3" t="inlineStr">
        <is>
          <t>7572</t>
        </is>
      </c>
      <c r="B7603" s="4" t="s">
        <f>=HYPERLINK("http://anyluxury.ru/shop/odezhda/detskaya-odezhda/hudi-detskoe-condor-kids-krasnoe-04238161/" , "04238161 Худи детское Condor Kids, красное, на рост 118-128")</f>
      </c>
      <c r="C7603" s="4" t="n">
        <v>2064.00</v>
      </c>
      <c r="D7603" s="4"/>
    </row>
    <row collapsed="" customFormat="false" customHeight="1" hidden="" ht="14" outlineLevel="0" r="7604">
      <c r="A7604" s="3" t="inlineStr">
        <is>
          <t>7573</t>
        </is>
      </c>
      <c r="B7604" s="4" t="s">
        <f>=HYPERLINK("http://anyluxury.ru/shop/odezhda/detskaya-odezhda/hudi-detskoe-condor-kids-krasnoe-04238161/" , "04238161 Худи детское Condor Kids, красное, на рост 130-140")</f>
      </c>
      <c r="C7604" s="4" t="n">
        <v>2064.00</v>
      </c>
      <c r="D7604" s="4"/>
    </row>
    <row collapsed="" customFormat="false" customHeight="1" hidden="" ht="14" outlineLevel="0" r="7605">
      <c r="A7605" s="3" t="inlineStr">
        <is>
          <t>7574</t>
        </is>
      </c>
      <c r="B7605" s="4" t="s">
        <f>=HYPERLINK("http://anyluxury.ru/shop/odezhda/detskaya-odezhda/hudi-detskoe-condor-kids-krasnoe-04238161/" , "04238161 Худи детское Condor Kids, красное, на рост 142-152")</f>
      </c>
      <c r="C7605" s="4" t="n">
        <v>2064.00</v>
      </c>
      <c r="D7605" s="4"/>
    </row>
    <row collapsed="" customFormat="false" customHeight="1" hidden="" ht="14" outlineLevel="0" r="7606">
      <c r="A7606" s="3" t="inlineStr">
        <is>
          <t>7575</t>
        </is>
      </c>
      <c r="B7606" s="4" t="s">
        <f>=HYPERLINK("http://anyluxury.ru/shop/odezhda/detskaya-odezhda/hudi-detskoe-condor-kids-krasnoe-04238161/" , "04238161 Худи детское Condor Kids, красное, на рост 154-164")</f>
      </c>
      <c r="C7606" s="4" t="n">
        <v>2064.00</v>
      </c>
      <c r="D7606" s="4"/>
    </row>
    <row collapsed="" customFormat="false" customHeight="1" hidden="" ht="14" outlineLevel="0" r="7607">
      <c r="A7607" s="3" t="inlineStr">
        <is>
          <t>7576</t>
        </is>
      </c>
      <c r="B7607" s="4" t="s">
        <f>=HYPERLINK("http://anyluxury.ru/shop/odezhda/detskaya-odezhda/hudi-detskoe-condor-kids-rozovoe-04238143/" , "04238143 Худи детское Condor Kids, розовое, на рост 96-104")</f>
      </c>
      <c r="C7607" s="4" t="n">
        <v>2064.00</v>
      </c>
      <c r="D7607" s="4"/>
    </row>
    <row collapsed="" customFormat="false" customHeight="1" hidden="" ht="14" outlineLevel="0" r="7608">
      <c r="A7608" s="3" t="inlineStr">
        <is>
          <t>7577</t>
        </is>
      </c>
      <c r="B7608" s="4" t="s">
        <f>=HYPERLINK("http://anyluxury.ru/shop/odezhda/detskaya-odezhda/hudi-detskoe-condor-kids-rozovoe-04238143/" , "04238143 Худи детское Condor Kids, розовое, на рост 106-116")</f>
      </c>
      <c r="C7608" s="4" t="n">
        <v>2064.00</v>
      </c>
      <c r="D7608" s="4"/>
    </row>
    <row collapsed="" customFormat="false" customHeight="1" hidden="" ht="14" outlineLevel="0" r="7609">
      <c r="A7609" s="3" t="inlineStr">
        <is>
          <t>7578</t>
        </is>
      </c>
      <c r="B7609" s="4" t="s">
        <f>=HYPERLINK("http://anyluxury.ru/shop/odezhda/detskaya-odezhda/hudi-detskoe-condor-kids-rozovoe-04238143/" , "04238143 Худи детское Condor Kids, розовое, на рост 118-128")</f>
      </c>
      <c r="C7609" s="4" t="n">
        <v>2064.00</v>
      </c>
      <c r="D7609" s="4"/>
    </row>
    <row collapsed="" customFormat="false" customHeight="1" hidden="" ht="14" outlineLevel="0" r="7610">
      <c r="A7610" s="3" t="inlineStr">
        <is>
          <t>7579</t>
        </is>
      </c>
      <c r="B7610" s="4" t="s">
        <f>=HYPERLINK("http://anyluxury.ru/shop/odezhda/detskaya-odezhda/hudi-detskoe-condor-kids-rozovoe-04238143/" , "04238143 Худи детское Condor Kids, розовое, на рост 130-140")</f>
      </c>
      <c r="C7610" s="4" t="n">
        <v>2064.00</v>
      </c>
      <c r="D7610" s="4"/>
    </row>
    <row collapsed="" customFormat="false" customHeight="1" hidden="" ht="14" outlineLevel="0" r="7611">
      <c r="A7611" s="3" t="inlineStr">
        <is>
          <t>7580</t>
        </is>
      </c>
      <c r="B7611" s="4" t="s">
        <f>=HYPERLINK("http://anyluxury.ru/shop/odezhda/detskaya-odezhda/hudi-detskoe-condor-kids-rozovoe-04238143/" , "04238143 Худи детское Condor Kids, розовое, на рост 142-152")</f>
      </c>
      <c r="C7611" s="4" t="n">
        <v>2064.00</v>
      </c>
      <c r="D7611" s="4"/>
    </row>
    <row collapsed="" customFormat="false" customHeight="1" hidden="" ht="14" outlineLevel="0" r="7612">
      <c r="A7612" s="3" t="inlineStr">
        <is>
          <t>7581</t>
        </is>
      </c>
      <c r="B7612" s="4" t="s">
        <f>=HYPERLINK("http://anyluxury.ru/shop/odezhda/detskaya-odezhda/hudi-detskoe-condor-kids-rozovoe-04238143/" , "04238143 Худи детское Condor Kids, розовое, на рост 154-164")</f>
      </c>
      <c r="C7612" s="4" t="n">
        <v>2064.00</v>
      </c>
      <c r="D7612" s="4"/>
    </row>
    <row collapsed="" customFormat="false" customHeight="1" hidden="" ht="14" outlineLevel="0" r="7613">
      <c r="A7613" s="3" t="inlineStr">
        <is>
          <t>7582</t>
        </is>
      </c>
      <c r="B7613" s="4" t="s">
        <f>=HYPERLINK("http://anyluxury.ru/shop/odezhda/detskaya-odezhda/hudi-detskoe-condor-kids-temnosinee-04238319/" , "04238319 Худи детское Condor Kids, темно-синее, на рост 96-104")</f>
      </c>
      <c r="C7613" s="4" t="n">
        <v>2064.00</v>
      </c>
      <c r="D7613" s="4"/>
    </row>
    <row collapsed="" customFormat="false" customHeight="1" hidden="" ht="14" outlineLevel="0" r="7614">
      <c r="A7614" s="3" t="inlineStr">
        <is>
          <t>7583</t>
        </is>
      </c>
      <c r="B7614" s="4" t="s">
        <f>=HYPERLINK("http://anyluxury.ru/shop/odezhda/detskaya-odezhda/hudi-detskoe-condor-kids-temnosinee-04238319/" , "04238319 Худи детское Condor Kids, темно-синее, на рост 106-116")</f>
      </c>
      <c r="C7614" s="4" t="n">
        <v>2064.00</v>
      </c>
      <c r="D7614" s="4"/>
    </row>
    <row collapsed="" customFormat="false" customHeight="1" hidden="" ht="14" outlineLevel="0" r="7615">
      <c r="A7615" s="3" t="inlineStr">
        <is>
          <t>7584</t>
        </is>
      </c>
      <c r="B7615" s="4" t="s">
        <f>=HYPERLINK("http://anyluxury.ru/shop/odezhda/detskaya-odezhda/hudi-detskoe-condor-kids-temnosinee-04238319/" , "04238319 Худи детское Condor Kids, темно-синее, на рост 118-128")</f>
      </c>
      <c r="C7615" s="4" t="n">
        <v>2064.00</v>
      </c>
      <c r="D7615" s="4"/>
    </row>
    <row collapsed="" customFormat="false" customHeight="1" hidden="" ht="14" outlineLevel="0" r="7616">
      <c r="A7616" s="3" t="inlineStr">
        <is>
          <t>7585</t>
        </is>
      </c>
      <c r="B7616" s="4" t="s">
        <f>=HYPERLINK("http://anyluxury.ru/shop/odezhda/detskaya-odezhda/hudi-detskoe-condor-kids-temnosinee-04238319/" , "04238319 Худи детское Condor Kids, темно-синее, на рост 130-140")</f>
      </c>
      <c r="C7616" s="4" t="n">
        <v>2064.00</v>
      </c>
      <c r="D7616" s="4"/>
    </row>
    <row collapsed="" customFormat="false" customHeight="1" hidden="" ht="14" outlineLevel="0" r="7617">
      <c r="A7617" s="3" t="inlineStr">
        <is>
          <t>7586</t>
        </is>
      </c>
      <c r="B7617" s="4" t="s">
        <f>=HYPERLINK("http://anyluxury.ru/shop/odezhda/detskaya-odezhda/hudi-detskoe-condor-kids-temnosinee-04238319/" , "04238319 Худи детское Condor Kids, темно-синее, на рост 142-152")</f>
      </c>
      <c r="C7617" s="4" t="n">
        <v>2064.00</v>
      </c>
      <c r="D7617" s="4"/>
    </row>
    <row collapsed="" customFormat="false" customHeight="1" hidden="" ht="14" outlineLevel="0" r="7618">
      <c r="A7618" s="3" t="inlineStr">
        <is>
          <t>7587</t>
        </is>
      </c>
      <c r="B7618" s="4" t="s">
        <f>=HYPERLINK("http://anyluxury.ru/shop/odezhda/detskaya-odezhda/hudi-detskoe-condor-kids-temnosinee-04238319/" , "04238319 Худи детское Condor Kids, темно-синее, на рост 154-164")</f>
      </c>
      <c r="C7618" s="4" t="n">
        <v>2064.00</v>
      </c>
      <c r="D7618" s="4"/>
    </row>
    <row collapsed="" customFormat="false" customHeight="1" hidden="" ht="14" outlineLevel="0" r="7619">
      <c r="A7619" s="3" t="inlineStr">
        <is>
          <t>7588</t>
        </is>
      </c>
      <c r="B7619" s="4" t="s">
        <f>=HYPERLINK("http://anyluxury.ru/shop/odezhda/detskaya-odezhda/hudi-detskoe-condor-kids-seriy-melanzh-04238360/" , "04238360 Худи детское Condor Kids, серый меланж, на рост 96-104")</f>
      </c>
      <c r="C7619" s="4" t="n">
        <v>2064.00</v>
      </c>
      <c r="D7619" s="4"/>
    </row>
    <row collapsed="" customFormat="false" customHeight="1" hidden="" ht="14" outlineLevel="0" r="7620">
      <c r="A7620" s="3" t="inlineStr">
        <is>
          <t>7589</t>
        </is>
      </c>
      <c r="B7620" s="4" t="s">
        <f>=HYPERLINK("http://anyluxury.ru/shop/odezhda/detskaya-odezhda/hudi-detskoe-condor-kids-seriy-melanzh-04238360/" , "04238360 Худи детское Condor Kids, серый меланж, на рост 106-116")</f>
      </c>
      <c r="C7620" s="4" t="n">
        <v>2064.00</v>
      </c>
      <c r="D7620" s="4"/>
    </row>
    <row collapsed="" customFormat="false" customHeight="1" hidden="" ht="14" outlineLevel="0" r="7621">
      <c r="A7621" s="3" t="inlineStr">
        <is>
          <t>7590</t>
        </is>
      </c>
      <c r="B7621" s="4" t="s">
        <f>=HYPERLINK("http://anyluxury.ru/shop/odezhda/detskaya-odezhda/hudi-detskoe-condor-kids-seriy-melanzh-04238360/" , "04238360 Худи детское Condor Kids, серый меланж, на рост 118-128")</f>
      </c>
      <c r="C7621" s="4" t="n">
        <v>2064.00</v>
      </c>
      <c r="D7621" s="4"/>
    </row>
    <row collapsed="" customFormat="false" customHeight="1" hidden="" ht="14" outlineLevel="0" r="7622">
      <c r="A7622" s="3" t="inlineStr">
        <is>
          <t>7591</t>
        </is>
      </c>
      <c r="B7622" s="4" t="s">
        <f>=HYPERLINK("http://anyluxury.ru/shop/odezhda/detskaya-odezhda/hudi-detskoe-condor-kids-seriy-melanzh-04238360/" , "04238360 Худи детское Condor Kids, серый меланж, на рост 130-140")</f>
      </c>
      <c r="C7622" s="4" t="n">
        <v>2064.00</v>
      </c>
      <c r="D7622" s="4"/>
    </row>
    <row collapsed="" customFormat="false" customHeight="1" hidden="" ht="14" outlineLevel="0" r="7623">
      <c r="A7623" s="3" t="inlineStr">
        <is>
          <t>7592</t>
        </is>
      </c>
      <c r="B7623" s="4" t="s">
        <f>=HYPERLINK("http://anyluxury.ru/shop/odezhda/detskaya-odezhda/hudi-detskoe-condor-kids-seriy-melanzh-04238360/" , "04238360 Худи детское Condor Kids, серый меланж, на рост 142-152")</f>
      </c>
      <c r="C7623" s="4" t="n">
        <v>2064.00</v>
      </c>
      <c r="D7623" s="4"/>
    </row>
    <row collapsed="" customFormat="false" customHeight="1" hidden="" ht="14" outlineLevel="0" r="7624">
      <c r="A7624" s="3" t="inlineStr">
        <is>
          <t>7593</t>
        </is>
      </c>
      <c r="B7624" s="4" t="s">
        <f>=HYPERLINK("http://anyluxury.ru/shop/odezhda/detskaya-odezhda/hudi-detskoe-condor-kids-seriy-melanzh-04238360/" , "04238360 Худи детское Condor Kids, серый меланж, на рост 154-164")</f>
      </c>
      <c r="C7624" s="4" t="n">
        <v>2064.00</v>
      </c>
      <c r="D7624" s="4"/>
    </row>
    <row collapsed="" customFormat="false" customHeight="1" hidden="" ht="14" outlineLevel="0" r="7625">
      <c r="A7625" s="3" t="inlineStr">
        <is>
          <t>7594</t>
        </is>
      </c>
      <c r="B7625" s="4" t="s">
        <f>=HYPERLINK("http://anyluxury.ru/shop/odezhda/detskaya-odezhda/hudi-detskoe-condor-kids-yarkozelenoe-04238272/" , "04238272 Худи детское Condor Kids, ярко-зеленое, на рост 96-104")</f>
      </c>
      <c r="C7625" s="4" t="n">
        <v>2064.00</v>
      </c>
      <c r="D7625" s="4"/>
    </row>
    <row collapsed="" customFormat="false" customHeight="1" hidden="" ht="14" outlineLevel="0" r="7626">
      <c r="A7626" s="3" t="inlineStr">
        <is>
          <t>7595</t>
        </is>
      </c>
      <c r="B7626" s="4" t="s">
        <f>=HYPERLINK("http://anyluxury.ru/shop/odezhda/detskaya-odezhda/hudi-detskoe-condor-kids-yarkozelenoe-04238272/" , "04238272 Худи детское Condor Kids, ярко-зеленое, на рост 106-116")</f>
      </c>
      <c r="C7626" s="4" t="n">
        <v>2064.00</v>
      </c>
      <c r="D7626" s="4"/>
    </row>
    <row collapsed="" customFormat="false" customHeight="1" hidden="" ht="14" outlineLevel="0" r="7627">
      <c r="A7627" s="3" t="inlineStr">
        <is>
          <t>7596</t>
        </is>
      </c>
      <c r="B7627" s="4" t="s">
        <f>=HYPERLINK("http://anyluxury.ru/shop/odezhda/detskaya-odezhda/hudi-detskoe-condor-kids-yarkozelenoe-04238272/" , "04238272 Худи детское Condor Kids, ярко-зеленое, на рост 118-128")</f>
      </c>
      <c r="C7627" s="4" t="n">
        <v>2064.00</v>
      </c>
      <c r="D7627" s="4"/>
    </row>
    <row collapsed="" customFormat="false" customHeight="1" hidden="" ht="14" outlineLevel="0" r="7628">
      <c r="A7628" s="3" t="inlineStr">
        <is>
          <t>7597</t>
        </is>
      </c>
      <c r="B7628" s="4" t="s">
        <f>=HYPERLINK("http://anyluxury.ru/shop/odezhda/detskaya-odezhda/hudi-detskoe-condor-kids-yarkozelenoe-04238272/" , "04238272 Худи детское Condor Kids, ярко-зеленое, на рост 130-140")</f>
      </c>
      <c r="C7628" s="4" t="n">
        <v>2064.00</v>
      </c>
      <c r="D7628" s="4"/>
    </row>
    <row collapsed="" customFormat="false" customHeight="1" hidden="" ht="14" outlineLevel="0" r="7629">
      <c r="A7629" s="3" t="inlineStr">
        <is>
          <t>7598</t>
        </is>
      </c>
      <c r="B7629" s="4" t="s">
        <f>=HYPERLINK("http://anyluxury.ru/shop/odezhda/detskaya-odezhda/hudi-detskoe-condor-kids-yarkozelenoe-04238272/" , "04238272 Худи детское Condor Kids, ярко-зеленое, на рост 142-152")</f>
      </c>
      <c r="C7629" s="4" t="n">
        <v>2064.00</v>
      </c>
      <c r="D7629" s="4"/>
    </row>
    <row collapsed="" customFormat="false" customHeight="1" hidden="" ht="14" outlineLevel="0" r="7630">
      <c r="A7630" s="3" t="inlineStr">
        <is>
          <t>7599</t>
        </is>
      </c>
      <c r="B7630" s="4" t="s">
        <f>=HYPERLINK("http://anyluxury.ru/shop/odezhda/detskaya-odezhda/hudi-detskoe-condor-kids-yarkozelenoe-04238272/" , "04238272 Худи детское Condor Kids, ярко-зеленое, на рост 154-164")</f>
      </c>
      <c r="C7630" s="4" t="n">
        <v>2064.00</v>
      </c>
      <c r="D7630" s="4"/>
    </row>
    <row collapsed="" customFormat="false" customHeight="1" hidden="" ht="14" outlineLevel="0" r="7631">
      <c r="A7631" s="3" t="inlineStr">
        <is>
          <t>7600</t>
        </is>
      </c>
      <c r="B7631" s="4" t="s">
        <f>=HYPERLINK("http://anyluxury.ru/shop/odezhda/detskaya-odezhda/hudi-detskoe-condor-kids-svetlozheltoe-04238260/" , "04238260 Худи детское Condor Kids, светло-желтое, на рост 96-104")</f>
      </c>
      <c r="C7631" s="4" t="n">
        <v>2064.00</v>
      </c>
      <c r="D7631" s="4"/>
    </row>
    <row collapsed="" customFormat="false" customHeight="1" hidden="" ht="14" outlineLevel="0" r="7632">
      <c r="A7632" s="3" t="inlineStr">
        <is>
          <t>7601</t>
        </is>
      </c>
      <c r="B7632" s="4" t="s">
        <f>=HYPERLINK("http://anyluxury.ru/shop/odezhda/detskaya-odezhda/hudi-detskoe-condor-kids-svetlozheltoe-04238260/" , "04238260 Худи детское Condor Kids, светло-желтое, на рост 106-116")</f>
      </c>
      <c r="C7632" s="4" t="n">
        <v>2064.00</v>
      </c>
      <c r="D7632" s="4"/>
    </row>
    <row collapsed="" customFormat="false" customHeight="1" hidden="" ht="14" outlineLevel="0" r="7633">
      <c r="A7633" s="3" t="inlineStr">
        <is>
          <t>7602</t>
        </is>
      </c>
      <c r="B7633" s="4" t="s">
        <f>=HYPERLINK("http://anyluxury.ru/shop/odezhda/detskaya-odezhda/hudi-detskoe-condor-kids-svetlozheltoe-04238260/" , "04238260 Худи детское Condor Kids, светло-желтое, на рост 118-128")</f>
      </c>
      <c r="C7633" s="4" t="n">
        <v>2064.00</v>
      </c>
      <c r="D7633" s="4"/>
    </row>
    <row collapsed="" customFormat="false" customHeight="1" hidden="" ht="14" outlineLevel="0" r="7634">
      <c r="A7634" s="3" t="inlineStr">
        <is>
          <t>7603</t>
        </is>
      </c>
      <c r="B7634" s="4" t="s">
        <f>=HYPERLINK("http://anyluxury.ru/shop/odezhda/detskaya-odezhda/hudi-detskoe-condor-kids-svetlozheltoe-04238260/" , "04238260 Худи детское Condor Kids, светло-желтое, на рост 130-140")</f>
      </c>
      <c r="C7634" s="4" t="n">
        <v>2064.00</v>
      </c>
      <c r="D7634" s="4"/>
    </row>
    <row collapsed="" customFormat="false" customHeight="1" hidden="" ht="14" outlineLevel="0" r="7635">
      <c r="A7635" s="3" t="inlineStr">
        <is>
          <t>7604</t>
        </is>
      </c>
      <c r="B7635" s="4" t="s">
        <f>=HYPERLINK("http://anyluxury.ru/shop/odezhda/detskaya-odezhda/hudi-detskoe-condor-kids-svetlozheltoe-04238260/" , "04238260 Худи детское Condor Kids, светло-желтое, на рост 142-152")</f>
      </c>
      <c r="C7635" s="4" t="n">
        <v>2064.00</v>
      </c>
      <c r="D7635" s="4"/>
    </row>
    <row collapsed="" customFormat="false" customHeight="1" hidden="" ht="14" outlineLevel="0" r="7636">
      <c r="A7636" s="3" t="inlineStr">
        <is>
          <t>7605</t>
        </is>
      </c>
      <c r="B7636" s="4" t="s">
        <f>=HYPERLINK("http://anyluxury.ru/shop/odezhda/detskaya-odezhda/hudi-detskoe-condor-kids-svetlozheltoe-04238260/" , "04238260 Худи детское Condor Kids, светло-желтое, на рост 154-164")</f>
      </c>
      <c r="C7636" s="4" t="n">
        <v>2064.00</v>
      </c>
      <c r="D7636" s="4"/>
    </row>
    <row collapsed="" customFormat="false" customHeight="1" hidden="" ht="14" outlineLevel="0" r="7637">
      <c r="A7637" s="3" t="inlineStr">
        <is>
          <t>7606</t>
        </is>
      </c>
      <c r="B7637" s="4" t="s">
        <f>=HYPERLINK("http://anyluxury.ru/shop/odezhda/detskaya-odezhda/hudi-detskoe-condor-kids-yarkosinee-royal-04238241/" , "04238241 Худи детское Condor Kids, ярко-синее (royal), на рост 96-104")</f>
      </c>
      <c r="C7637" s="4" t="n">
        <v>2064.00</v>
      </c>
      <c r="D7637" s="4"/>
    </row>
    <row collapsed="" customFormat="false" customHeight="1" hidden="" ht="14" outlineLevel="0" r="7638">
      <c r="A7638" s="3" t="inlineStr">
        <is>
          <t>7607</t>
        </is>
      </c>
      <c r="B7638" s="4" t="s">
        <f>=HYPERLINK("http://anyluxury.ru/shop/odezhda/detskaya-odezhda/hudi-detskoe-condor-kids-yarkosinee-royal-04238241/" , "04238241 Худи детское Condor Kids, ярко-синее (royal), на рост 106-116")</f>
      </c>
      <c r="C7638" s="4" t="n">
        <v>2064.00</v>
      </c>
      <c r="D7638" s="4"/>
    </row>
    <row collapsed="" customFormat="false" customHeight="1" hidden="" ht="14" outlineLevel="0" r="7639">
      <c r="A7639" s="3" t="inlineStr">
        <is>
          <t>7608</t>
        </is>
      </c>
      <c r="B7639" s="4" t="s">
        <f>=HYPERLINK("http://anyluxury.ru/shop/odezhda/detskaya-odezhda/hudi-detskoe-condor-kids-yarkosinee-royal-04238241/" , "04238241 Худи детское Condor Kids, ярко-синее (royal), на рост 118-128")</f>
      </c>
      <c r="C7639" s="4" t="n">
        <v>2064.00</v>
      </c>
      <c r="D7639" s="4"/>
    </row>
    <row collapsed="" customFormat="false" customHeight="1" hidden="" ht="14" outlineLevel="0" r="7640">
      <c r="A7640" s="3" t="inlineStr">
        <is>
          <t>7609</t>
        </is>
      </c>
      <c r="B7640" s="4" t="s">
        <f>=HYPERLINK("http://anyluxury.ru/shop/odezhda/detskaya-odezhda/hudi-detskoe-condor-kids-yarkosinee-royal-04238241/" , "04238241 Худи детское Condor Kids, ярко-синее (royal), на рост 130-140")</f>
      </c>
      <c r="C7640" s="4" t="n">
        <v>2064.00</v>
      </c>
      <c r="D7640" s="4"/>
    </row>
    <row collapsed="" customFormat="false" customHeight="1" hidden="" ht="14" outlineLevel="0" r="7641">
      <c r="A7641" s="3" t="inlineStr">
        <is>
          <t>7610</t>
        </is>
      </c>
      <c r="B7641" s="4" t="s">
        <f>=HYPERLINK("http://anyluxury.ru/shop/odezhda/detskaya-odezhda/hudi-detskoe-condor-kids-yarkosinee-royal-04238241/" , "04238241 Худи детское Condor Kids, ярко-синее (royal), на рост 142-152")</f>
      </c>
      <c r="C7641" s="4" t="n">
        <v>2064.00</v>
      </c>
      <c r="D7641" s="4"/>
    </row>
    <row collapsed="" customFormat="false" customHeight="1" hidden="" ht="14" outlineLevel="0" r="7642">
      <c r="A7642" s="3" t="inlineStr">
        <is>
          <t>7611</t>
        </is>
      </c>
      <c r="B7642" s="4" t="s">
        <f>=HYPERLINK("http://anyluxury.ru/shop/odezhda/detskaya-odezhda/hudi-detskoe-condor-kids-yarkosinee-royal-04238241/" , "04238241 Худи детское Condor Kids, ярко-синее (royal), на рост 154-164")</f>
      </c>
      <c r="C7642" s="4" t="n">
        <v>2064.00</v>
      </c>
      <c r="D7642" s="4"/>
    </row>
    <row collapsed="" customFormat="false" customHeight="1" hidden="" ht="14" outlineLevel="0" r="7643">
      <c r="A7643" s="3" t="inlineStr">
        <is>
          <t>7612</t>
        </is>
      </c>
      <c r="B7643" s="4" t="s">
        <f>=HYPERLINK("http://anyluxury.ru/shop/odezhda/detskaya-odezhda/hudi-detskoe-condor-kids-beloe-04238102/" , "04238102 Худи детское Condor Kids, белое, на рост 96-104")</f>
      </c>
      <c r="C7643" s="4" t="n">
        <v>2064.00</v>
      </c>
      <c r="D7643" s="4"/>
    </row>
    <row collapsed="" customFormat="false" customHeight="1" hidden="" ht="14" outlineLevel="0" r="7644">
      <c r="A7644" s="3" t="inlineStr">
        <is>
          <t>7613</t>
        </is>
      </c>
      <c r="B7644" s="4" t="s">
        <f>=HYPERLINK("http://anyluxury.ru/shop/odezhda/detskaya-odezhda/hudi-detskoe-condor-kids-beloe-04238102/" , "04238102 Худи детское Condor Kids, белое, на рост 106-116")</f>
      </c>
      <c r="C7644" s="4" t="n">
        <v>2064.00</v>
      </c>
      <c r="D7644" s="4"/>
    </row>
    <row collapsed="" customFormat="false" customHeight="1" hidden="" ht="14" outlineLevel="0" r="7645">
      <c r="A7645" s="3" t="inlineStr">
        <is>
          <t>7614</t>
        </is>
      </c>
      <c r="B7645" s="4" t="s">
        <f>=HYPERLINK("http://anyluxury.ru/shop/odezhda/detskaya-odezhda/hudi-detskoe-condor-kids-beloe-04238102/" , "04238102 Худи детское Condor Kids, белое, на рост 118-128")</f>
      </c>
      <c r="C7645" s="4" t="n">
        <v>2064.00</v>
      </c>
      <c r="D7645" s="4"/>
    </row>
    <row collapsed="" customFormat="false" customHeight="1" hidden="" ht="14" outlineLevel="0" r="7646">
      <c r="A7646" s="3" t="inlineStr">
        <is>
          <t>7615</t>
        </is>
      </c>
      <c r="B7646" s="4" t="s">
        <f>=HYPERLINK("http://anyluxury.ru/shop/odezhda/detskaya-odezhda/hudi-detskoe-condor-kids-beloe-04238102/" , "04238102 Худи детское Condor Kids, белое, на рост 130-140")</f>
      </c>
      <c r="C7646" s="4" t="n">
        <v>2064.00</v>
      </c>
      <c r="D7646" s="4"/>
    </row>
    <row collapsed="" customFormat="false" customHeight="1" hidden="" ht="14" outlineLevel="0" r="7647">
      <c r="A7647" s="3" t="inlineStr">
        <is>
          <t>7616</t>
        </is>
      </c>
      <c r="B7647" s="4" t="s">
        <f>=HYPERLINK("http://anyluxury.ru/shop/odezhda/detskaya-odezhda/hudi-detskoe-condor-kids-beloe-04238102/" , "04238102 Худи детское Condor Kids, белое, на рост 142-152")</f>
      </c>
      <c r="C7647" s="4" t="n">
        <v>2064.00</v>
      </c>
      <c r="D7647" s="4"/>
    </row>
    <row collapsed="" customFormat="false" customHeight="1" hidden="" ht="14" outlineLevel="0" r="7648">
      <c r="A7648" s="3" t="inlineStr">
        <is>
          <t>7617</t>
        </is>
      </c>
      <c r="B7648" s="4" t="s">
        <f>=HYPERLINK("http://anyluxury.ru/shop/odezhda/detskaya-odezhda/hudi-detskoe-condor-kids-beloe-04238102/" , "04238102 Худи детское Condor Kids, белое, на рост 154-164")</f>
      </c>
      <c r="C7648" s="4" t="n">
        <v>2064.00</v>
      </c>
      <c r="D7648" s="4"/>
    </row>
    <row collapsed="" customFormat="false" customHeight="1" hidden="" ht="14" outlineLevel="0" r="7649">
      <c r="A7649" s="3" t="inlineStr">
        <is>
          <t>7618</t>
        </is>
      </c>
      <c r="B7649" s="4" t="s">
        <f>=HYPERLINK("http://anyluxury.ru/shop/odezhda/detskaya-odezhda/dozhdevik-muzhskoy-squall-zeleniy-1162712/" , "11627.12 Дождевик мужской Squall зеленый, размер S")</f>
      </c>
      <c r="C7649" s="4" t="n">
        <v>11694.00</v>
      </c>
      <c r="D7649" s="4"/>
    </row>
    <row collapsed="" customFormat="false" customHeight="1" hidden="" ht="14" outlineLevel="0" r="7650">
      <c r="A7650" s="3" t="inlineStr">
        <is>
          <t>7619</t>
        </is>
      </c>
      <c r="B7650" s="4" t="s">
        <f>=HYPERLINK("http://anyluxury.ru/shop/odezhda/detskaya-odezhda/dozhdevik-muzhskoy-squall-zeleniy-1162712/" , "11627.12 Дождевик мужской Squall зеленый, размер M")</f>
      </c>
      <c r="C7650" s="4" t="n">
        <v>11694.00</v>
      </c>
      <c r="D7650" s="4"/>
    </row>
    <row collapsed="" customFormat="false" customHeight="1" hidden="" ht="14" outlineLevel="0" r="7651">
      <c r="A7651" s="3" t="inlineStr">
        <is>
          <t>7620</t>
        </is>
      </c>
      <c r="B7651" s="4" t="s">
        <f>=HYPERLINK("http://anyluxury.ru/shop/odezhda/detskaya-odezhda/dozhdevik-muzhskoy-squall-zeleniy-1162712/" , "11627.12 Дождевик мужской Squall зеленый, размер L")</f>
      </c>
      <c r="C7651" s="4" t="n">
        <v>11694.00</v>
      </c>
      <c r="D7651" s="4"/>
    </row>
    <row collapsed="" customFormat="false" customHeight="1" hidden="" ht="14" outlineLevel="0" r="7652">
      <c r="A7652" s="3" t="inlineStr">
        <is>
          <t>7621</t>
        </is>
      </c>
      <c r="B7652" s="4" t="s">
        <f>=HYPERLINK("http://anyluxury.ru/shop/odezhda/detskaya-odezhda/dozhdevik-muzhskoy-squall-zeleniy-1162712/" , "11627.12 Дождевик мужской Squall зеленый, размер XL")</f>
      </c>
      <c r="C7652" s="4" t="n">
        <v>11694.00</v>
      </c>
      <c r="D7652" s="4"/>
    </row>
    <row collapsed="" customFormat="false" customHeight="1" hidden="" ht="14" outlineLevel="0" r="7653">
      <c r="A7653" s="3" t="inlineStr">
        <is>
          <t>7622</t>
        </is>
      </c>
      <c r="B7653" s="4" t="s">
        <f>=HYPERLINK("http://anyluxury.ru/shop/odezhda/detskaya-odezhda/dozhdevik-muzhskoy-squall-zeleniy-1162712/" , "11627.12 Дождевик мужской Squall зеленый, размер XXL")</f>
      </c>
      <c r="C7653" s="4" t="n">
        <v>11694.00</v>
      </c>
      <c r="D7653" s="4"/>
    </row>
    <row collapsed="" customFormat="false" customHeight="1" hidden="" ht="14" outlineLevel="0" r="7654">
      <c r="A7654" s="3" t="inlineStr">
        <is>
          <t>7623</t>
        </is>
      </c>
      <c r="B7654" s="4" t="s">
        <f>=HYPERLINK("http://anyluxury.ru/shop/odezhda/detskaya-odezhda/dozhdevik-muzhskoy-squall-zeleniy-1162712/" , "11627.12 Дождевик мужской Squall зеленый, размер 3XL")</f>
      </c>
      <c r="C7654" s="4" t="n">
        <v>11694.00</v>
      </c>
      <c r="D7654" s="4"/>
    </row>
    <row collapsed="" customFormat="false" customHeight="" hidden="" ht="12.1" outlineLevel="0" r="7655">
      <c r="A7655" s="5" t="inlineStr">
        <is>
          <t> -  - Джемперы</t>
        </is>
      </c>
      <c r="B7655" s="6"/>
      <c r="C7655" s="6"/>
      <c r="D7655" s="6"/>
    </row>
    <row collapsed="" customFormat="false" customHeight="1" hidden="" ht="14" outlineLevel="0" r="7656">
      <c r="A7656" s="3" t="inlineStr">
        <is>
          <t>7624</t>
        </is>
      </c>
      <c r="B7656" s="4" t="s">
        <f>=HYPERLINK("http://anyluxury.ru/shop/odezhda/dzhempery/dzhemper-muzhskoy-galaxy-men-cherniy-90000312/" , "90000312 Свитер мужской GALAXY MEN черный, размер S")</f>
      </c>
      <c r="C7656" s="4" t="n">
        <v>3339.00</v>
      </c>
      <c r="D7656" s="4"/>
    </row>
    <row collapsed="" customFormat="false" customHeight="1" hidden="" ht="14" outlineLevel="0" r="7657">
      <c r="A7657" s="3" t="inlineStr">
        <is>
          <t>7625</t>
        </is>
      </c>
      <c r="B7657" s="4" t="s">
        <f>=HYPERLINK("http://anyluxury.ru/shop/odezhda/dzhempery/dzhemper-muzhskoy-galaxy-men-cherniy-90000312/" , "90000312 Свитер мужской GALAXY MEN черный, размер M")</f>
      </c>
      <c r="C7657" s="4" t="n">
        <v>3339.00</v>
      </c>
      <c r="D7657" s="4"/>
    </row>
    <row collapsed="" customFormat="false" customHeight="1" hidden="" ht="14" outlineLevel="0" r="7658">
      <c r="A7658" s="3" t="inlineStr">
        <is>
          <t>7626</t>
        </is>
      </c>
      <c r="B7658" s="4" t="s">
        <f>=HYPERLINK("http://anyluxury.ru/shop/odezhda/dzhempery/dzhemper-muzhskoy-galaxy-men-cherniy-90000312/" , "90000312 Свитер мужской GALAXY MEN черный, размер L")</f>
      </c>
      <c r="C7658" s="4" t="n">
        <v>3339.00</v>
      </c>
      <c r="D7658" s="4"/>
    </row>
    <row collapsed="" customFormat="false" customHeight="1" hidden="" ht="14" outlineLevel="0" r="7659">
      <c r="A7659" s="3" t="inlineStr">
        <is>
          <t>7627</t>
        </is>
      </c>
      <c r="B7659" s="4" t="s">
        <f>=HYPERLINK("http://anyluxury.ru/shop/odezhda/dzhempery/dzhemper-muzhskoy-galaxy-men-cherniy-90000312/" , "90000312 Свитер мужской GALAXY MEN черный, размер XXL")</f>
      </c>
      <c r="C7659" s="4" t="n">
        <v>3339.00</v>
      </c>
      <c r="D7659" s="4"/>
    </row>
    <row collapsed="" customFormat="false" customHeight="1" hidden="" ht="14" outlineLevel="0" r="7660">
      <c r="A7660" s="3" t="inlineStr">
        <is>
          <t>7628</t>
        </is>
      </c>
      <c r="B7660" s="4" t="s">
        <f>=HYPERLINK("http://anyluxury.ru/shop/odezhda/dzhempery/dzhemper-muzhskoy-galaxy-men-cherniy-90000312/" , "90000312 Свитер мужской GALAXY MEN черный, размер 3XL")</f>
      </c>
      <c r="C7660" s="4" t="n">
        <v>3833.00</v>
      </c>
      <c r="D7660" s="4"/>
    </row>
    <row collapsed="" customFormat="false" customHeight="1" hidden="" ht="14" outlineLevel="0" r="7661">
      <c r="A7661" s="3" t="inlineStr">
        <is>
          <t>7629</t>
        </is>
      </c>
      <c r="B7661" s="4" t="s">
        <f>=HYPERLINK("http://anyluxury.ru/shop/odezhda/dzhempery/dzhemper-muzhskoy-galaxy-men-seriy-90000340/" , "90000340 Свитер мужской GALAXY MEN серый, размер S")</f>
      </c>
      <c r="C7661" s="4" t="n">
        <v>3339.00</v>
      </c>
      <c r="D7661" s="4"/>
    </row>
    <row collapsed="" customFormat="false" customHeight="1" hidden="" ht="14" outlineLevel="0" r="7662">
      <c r="A7662" s="3" t="inlineStr">
        <is>
          <t>7630</t>
        </is>
      </c>
      <c r="B7662" s="4" t="s">
        <f>=HYPERLINK("http://anyluxury.ru/shop/odezhda/dzhempery/dzhemper-muzhskoy-galaxy-men-seriy-90000340/" , "90000340 Свитер мужской GALAXY MEN серый, размер M")</f>
      </c>
      <c r="C7662" s="4" t="n">
        <v>3339.00</v>
      </c>
      <c r="D7662" s="4"/>
    </row>
    <row collapsed="" customFormat="false" customHeight="1" hidden="" ht="14" outlineLevel="0" r="7663">
      <c r="A7663" s="3" t="inlineStr">
        <is>
          <t>7631</t>
        </is>
      </c>
      <c r="B7663" s="4" t="s">
        <f>=HYPERLINK("http://anyluxury.ru/shop/odezhda/dzhempery/dzhemper-muzhskoy-galaxy-men-seriy-90000340/" , "90000340 Свитер мужской GALAXY MEN серый, размер L")</f>
      </c>
      <c r="C7663" s="4" t="n">
        <v>3339.00</v>
      </c>
      <c r="D7663" s="4"/>
    </row>
    <row collapsed="" customFormat="false" customHeight="1" hidden="" ht="14" outlineLevel="0" r="7664">
      <c r="A7664" s="3" t="inlineStr">
        <is>
          <t>7632</t>
        </is>
      </c>
      <c r="B7664" s="4" t="s">
        <f>=HYPERLINK("http://anyluxury.ru/shop/odezhda/dzhempery/dzhemper-muzhskoy-galaxy-men-seriy-90000340/" , "90000340 Свитер мужской GALAXY MEN серый, размер XL")</f>
      </c>
      <c r="C7664" s="4" t="n">
        <v>3339.00</v>
      </c>
      <c r="D7664" s="4"/>
    </row>
    <row collapsed="" customFormat="false" customHeight="1" hidden="" ht="14" outlineLevel="0" r="7665">
      <c r="A7665" s="3" t="inlineStr">
        <is>
          <t>7633</t>
        </is>
      </c>
      <c r="B7665" s="4" t="s">
        <f>=HYPERLINK("http://anyluxury.ru/shop/odezhda/dzhempery/dzhemper-muzhskoy-galaxy-men-seriy-90000340/" , "90000340 Свитер мужской GALAXY MEN серый, размер XXL")</f>
      </c>
      <c r="C7665" s="4" t="n">
        <v>3339.00</v>
      </c>
      <c r="D7665" s="4"/>
    </row>
    <row collapsed="" customFormat="false" customHeight="1" hidden="" ht="14" outlineLevel="0" r="7666">
      <c r="A7666" s="3" t="inlineStr">
        <is>
          <t>7634</t>
        </is>
      </c>
      <c r="B7666" s="4" t="s">
        <f>=HYPERLINK("http://anyluxury.ru/shop/odezhda/dzhempery/dzhemper-muzhskoy-galaxy-men-seriy-90000340/" , "90000340 Свитер мужской GALAXY MEN серый, размер 3XL")</f>
      </c>
      <c r="C7666" s="4" t="n">
        <v>3833.00</v>
      </c>
      <c r="D7666" s="4"/>
    </row>
    <row collapsed="" customFormat="false" customHeight="1" hidden="" ht="14" outlineLevel="0" r="7667">
      <c r="A7667" s="3" t="inlineStr">
        <is>
          <t>7635</t>
        </is>
      </c>
      <c r="B7667" s="4" t="s">
        <f>=HYPERLINK("http://anyluxury.ru/shop/odezhda/dzhempery/dzhemper-zhenskiy-galaxy-women-cherniy-90010312/" , "90010312 Свитер женский GALAXY WOMEN черный, размер XS")</f>
      </c>
      <c r="C7667" s="4" t="n">
        <v>3279.00</v>
      </c>
      <c r="D7667" s="4"/>
    </row>
    <row collapsed="" customFormat="false" customHeight="1" hidden="" ht="14" outlineLevel="0" r="7668">
      <c r="A7668" s="3" t="inlineStr">
        <is>
          <t>7636</t>
        </is>
      </c>
      <c r="B7668" s="4" t="s">
        <f>=HYPERLINK("http://anyluxury.ru/shop/odezhda/dzhempery/dzhemper-zhenskiy-galaxy-women-cherniy-90010312/" , "90010312 Свитер женский GALAXY WOMEN черный, размер S")</f>
      </c>
      <c r="C7668" s="4" t="n">
        <v>3279.00</v>
      </c>
      <c r="D7668" s="4"/>
    </row>
    <row collapsed="" customFormat="false" customHeight="1" hidden="" ht="14" outlineLevel="0" r="7669">
      <c r="A7669" s="3" t="inlineStr">
        <is>
          <t>7637</t>
        </is>
      </c>
      <c r="B7669" s="4" t="s">
        <f>=HYPERLINK("http://anyluxury.ru/shop/odezhda/dzhempery/dzhemper-zhenskiy-galaxy-women-cherniy-90010312/" , "90010312 Свитер женский GALAXY WOMEN черный, размер M")</f>
      </c>
      <c r="C7669" s="4" t="n">
        <v>3279.00</v>
      </c>
      <c r="D7669" s="4"/>
    </row>
    <row collapsed="" customFormat="false" customHeight="1" hidden="" ht="14" outlineLevel="0" r="7670">
      <c r="A7670" s="3" t="inlineStr">
        <is>
          <t>7638</t>
        </is>
      </c>
      <c r="B7670" s="4" t="s">
        <f>=HYPERLINK("http://anyluxury.ru/shop/odezhda/dzhempery/dzhemper-zhenskiy-galaxy-women-cherniy-90010312/" , "90010312 Свитер женский GALAXY WOMEN черный, размер L")</f>
      </c>
      <c r="C7670" s="4" t="n">
        <v>3279.00</v>
      </c>
      <c r="D7670" s="4"/>
    </row>
    <row collapsed="" customFormat="false" customHeight="1" hidden="" ht="14" outlineLevel="0" r="7671">
      <c r="A7671" s="3" t="inlineStr">
        <is>
          <t>7639</t>
        </is>
      </c>
      <c r="B7671" s="4" t="s">
        <f>=HYPERLINK("http://anyluxury.ru/shop/odezhda/dzhempery/dzhemper-zhenskiy-galaxy-women-cherniy-90010312/" , "90010312 Свитер женский GALAXY WOMEN черный, размер XL")</f>
      </c>
      <c r="C7671" s="4" t="n">
        <v>3279.00</v>
      </c>
      <c r="D7671" s="4"/>
    </row>
    <row collapsed="" customFormat="false" customHeight="1" hidden="" ht="14" outlineLevel="0" r="7672">
      <c r="A7672" s="3" t="inlineStr">
        <is>
          <t>7640</t>
        </is>
      </c>
      <c r="B7672" s="4" t="s">
        <f>=HYPERLINK("http://anyluxury.ru/shop/odezhda/dzhempery/dzhemper-zhenskiy-galaxy-women-cherniy-90010312/" , "90010312 Свитер женский GALAXY WOMEN черный, размер XXL")</f>
      </c>
      <c r="C7672" s="4" t="n">
        <v>3279.00</v>
      </c>
      <c r="D7672" s="4"/>
    </row>
    <row collapsed="" customFormat="false" customHeight="1" hidden="" ht="14" outlineLevel="0" r="7673">
      <c r="A7673" s="3" t="inlineStr">
        <is>
          <t>7641</t>
        </is>
      </c>
      <c r="B7673" s="4" t="s">
        <f>=HYPERLINK("http://anyluxury.ru/shop/odezhda/dzhempery/dzhemper-zhenskiy-galaxy-women-seriy-90010340/" , "90010340 Свитер женский GALAXY WOMEN серый, размер XS")</f>
      </c>
      <c r="C7673" s="4" t="n">
        <v>3279.00</v>
      </c>
      <c r="D7673" s="4"/>
    </row>
    <row collapsed="" customFormat="false" customHeight="1" hidden="" ht="14" outlineLevel="0" r="7674">
      <c r="A7674" s="3" t="inlineStr">
        <is>
          <t>7642</t>
        </is>
      </c>
      <c r="B7674" s="4" t="s">
        <f>=HYPERLINK("http://anyluxury.ru/shop/odezhda/dzhempery/dzhemper-zhenskiy-galaxy-women-seriy-90010340/" , "90010340 Свитер женский GALAXY WOMEN серый, размер S")</f>
      </c>
      <c r="C7674" s="4" t="n">
        <v>3279.00</v>
      </c>
      <c r="D7674" s="4"/>
    </row>
    <row collapsed="" customFormat="false" customHeight="1" hidden="" ht="14" outlineLevel="0" r="7675">
      <c r="A7675" s="3" t="inlineStr">
        <is>
          <t>7643</t>
        </is>
      </c>
      <c r="B7675" s="4" t="s">
        <f>=HYPERLINK("http://anyluxury.ru/shop/odezhda/dzhempery/dzhemper-zhenskiy-galaxy-women-seriy-90010340/" , "90010340 Свитер женский GALAXY WOMEN серый, размер M")</f>
      </c>
      <c r="C7675" s="4" t="n">
        <v>3279.00</v>
      </c>
      <c r="D7675" s="4"/>
    </row>
    <row collapsed="" customFormat="false" customHeight="1" hidden="" ht="14" outlineLevel="0" r="7676">
      <c r="A7676" s="3" t="inlineStr">
        <is>
          <t>7644</t>
        </is>
      </c>
      <c r="B7676" s="4" t="s">
        <f>=HYPERLINK("http://anyluxury.ru/shop/odezhda/dzhempery/dzhemper-zhenskiy-galaxy-women-seriy-90010340/" , "90010340 Свитер женский GALAXY WOMEN серый, размер L")</f>
      </c>
      <c r="C7676" s="4" t="n">
        <v>3279.00</v>
      </c>
      <c r="D7676" s="4"/>
    </row>
    <row collapsed="" customFormat="false" customHeight="1" hidden="" ht="14" outlineLevel="0" r="7677">
      <c r="A7677" s="3" t="inlineStr">
        <is>
          <t>7645</t>
        </is>
      </c>
      <c r="B7677" s="4" t="s">
        <f>=HYPERLINK("http://anyluxury.ru/shop/odezhda/dzhempery/dzhemper-zhenskiy-galaxy-women-seriy-90010340/" , "90010340 Свитер женский GALAXY WOMEN серый, размер XL")</f>
      </c>
      <c r="C7677" s="4" t="n">
        <v>3279.00</v>
      </c>
      <c r="D7677" s="4"/>
    </row>
    <row collapsed="" customFormat="false" customHeight="1" hidden="" ht="14" outlineLevel="0" r="7678">
      <c r="A7678" s="3" t="inlineStr">
        <is>
          <t>7646</t>
        </is>
      </c>
      <c r="B7678" s="4" t="s">
        <f>=HYPERLINK("http://anyluxury.ru/shop/odezhda/dzhempery/dzhemper-zhenskiy-galaxy-women-seriy-90010340/" , "90010340 Свитер женский GALAXY WOMEN серый, размер XXL")</f>
      </c>
      <c r="C7678" s="4" t="n">
        <v>3279.00</v>
      </c>
      <c r="D7678" s="4"/>
    </row>
    <row collapsed="" customFormat="false" customHeight="1" hidden="" ht="14" outlineLevel="0" r="7679">
      <c r="A7679" s="3" t="inlineStr">
        <is>
          <t>7647</t>
        </is>
      </c>
      <c r="B7679" s="4" t="s">
        <f>=HYPERLINK("http://anyluxury.ru/shop/odezhda/dzhempery/dzhemper-zhenskiy-galaxy-women-temnosiniy-90010318/" , "90010318 Свитер женский GALAXY WOMEN темно-синий, размер XS")</f>
      </c>
      <c r="C7679" s="4" t="n">
        <v>3279.00</v>
      </c>
      <c r="D7679" s="4"/>
    </row>
    <row collapsed="" customFormat="false" customHeight="1" hidden="" ht="14" outlineLevel="0" r="7680">
      <c r="A7680" s="3" t="inlineStr">
        <is>
          <t>7648</t>
        </is>
      </c>
      <c r="B7680" s="4" t="s">
        <f>=HYPERLINK("http://anyluxury.ru/shop/odezhda/dzhempery/dzhemper-zhenskiy-galaxy-women-temnosiniy-90010318/" , "90010318 Свитер женский GALAXY WOMEN темно-синий, размер S")</f>
      </c>
      <c r="C7680" s="4" t="n">
        <v>3279.00</v>
      </c>
      <c r="D7680" s="4"/>
    </row>
    <row collapsed="" customFormat="false" customHeight="1" hidden="" ht="14" outlineLevel="0" r="7681">
      <c r="A7681" s="3" t="inlineStr">
        <is>
          <t>7649</t>
        </is>
      </c>
      <c r="B7681" s="4" t="s">
        <f>=HYPERLINK("http://anyluxury.ru/shop/odezhda/dzhempery/dzhemper-zhenskiy-galaxy-women-temnosiniy-90010318/" , "90010318 Свитер женский GALAXY WOMEN темно-синий, размер M")</f>
      </c>
      <c r="C7681" s="4" t="n">
        <v>3279.00</v>
      </c>
      <c r="D7681" s="4"/>
    </row>
    <row collapsed="" customFormat="false" customHeight="1" hidden="" ht="14" outlineLevel="0" r="7682">
      <c r="A7682" s="3" t="inlineStr">
        <is>
          <t>7650</t>
        </is>
      </c>
      <c r="B7682" s="4" t="s">
        <f>=HYPERLINK("http://anyluxury.ru/shop/odezhda/dzhempery/dzhemper-zhenskiy-galaxy-women-temnosiniy-90010318/" , "90010318 Свитер женский GALAXY WOMEN темно-синий, размер L")</f>
      </c>
      <c r="C7682" s="4" t="n">
        <v>3279.00</v>
      </c>
      <c r="D7682" s="4"/>
    </row>
    <row collapsed="" customFormat="false" customHeight="1" hidden="" ht="14" outlineLevel="0" r="7683">
      <c r="A7683" s="3" t="inlineStr">
        <is>
          <t>7651</t>
        </is>
      </c>
      <c r="B7683" s="4" t="s">
        <f>=HYPERLINK("http://anyluxury.ru/shop/odezhda/dzhempery/dzhemper-zhenskiy-galaxy-women-temnosiniy-90010318/" , "90010318 Свитер женский GALAXY WOMEN темно-синий, размер XL")</f>
      </c>
      <c r="C7683" s="4" t="n">
        <v>3279.00</v>
      </c>
      <c r="D7683" s="4"/>
    </row>
    <row collapsed="" customFormat="false" customHeight="1" hidden="" ht="14" outlineLevel="0" r="7684">
      <c r="A7684" s="3" t="inlineStr">
        <is>
          <t>7652</t>
        </is>
      </c>
      <c r="B7684" s="4" t="s">
        <f>=HYPERLINK("http://anyluxury.ru/shop/odezhda/dzhempery/dzhemper-zhenskiy-galaxy-women-temnosiniy-90010318/" , "90010318 Свитер женский GALAXY WOMEN темно-синий, размер XXL")</f>
      </c>
      <c r="C7684" s="4" t="n">
        <v>3279.00</v>
      </c>
      <c r="D7684" s="4"/>
    </row>
    <row collapsed="" customFormat="false" customHeight="1" hidden="" ht="14" outlineLevel="0" r="7685">
      <c r="A7685" s="3" t="inlineStr">
        <is>
          <t>7653</t>
        </is>
      </c>
      <c r="B7685" s="4" t="s">
        <f>=HYPERLINK("http://anyluxury.ru/shop/odezhda/dzhempery/dzhemper-zhenskiy-galaxy-women-krasniy-90010145/" , "90010145 Свитер женский GALAXY WOMEN красный, размер XS")</f>
      </c>
      <c r="C7685" s="4" t="n">
        <v>3279.00</v>
      </c>
      <c r="D7685" s="4"/>
    </row>
    <row collapsed="" customFormat="false" customHeight="1" hidden="" ht="14" outlineLevel="0" r="7686">
      <c r="A7686" s="3" t="inlineStr">
        <is>
          <t>7654</t>
        </is>
      </c>
      <c r="B7686" s="4" t="s">
        <f>=HYPERLINK("http://anyluxury.ru/shop/odezhda/dzhempery/dzhemper-zhenskiy-galaxy-women-krasniy-90010145/" , "90010145 Свитер женский GALAXY WOMEN красный, размер S")</f>
      </c>
      <c r="C7686" s="4" t="n">
        <v>3279.00</v>
      </c>
      <c r="D7686" s="4"/>
    </row>
    <row collapsed="" customFormat="false" customHeight="1" hidden="" ht="14" outlineLevel="0" r="7687">
      <c r="A7687" s="3" t="inlineStr">
        <is>
          <t>7655</t>
        </is>
      </c>
      <c r="B7687" s="4" t="s">
        <f>=HYPERLINK("http://anyluxury.ru/shop/odezhda/dzhempery/dzhemper-zhenskiy-galaxy-women-krasniy-90010145/" , "90010145 Свитер женский GALAXY WOMEN красный, размер M")</f>
      </c>
      <c r="C7687" s="4" t="n">
        <v>3279.00</v>
      </c>
      <c r="D7687" s="4"/>
    </row>
    <row collapsed="" customFormat="false" customHeight="1" hidden="" ht="14" outlineLevel="0" r="7688">
      <c r="A7688" s="3" t="inlineStr">
        <is>
          <t>7656</t>
        </is>
      </c>
      <c r="B7688" s="4" t="s">
        <f>=HYPERLINK("http://anyluxury.ru/shop/odezhda/dzhempery/dzhemper-zhenskiy-galaxy-women-krasniy-90010145/" , "90010145 Свитер женский GALAXY WOMEN красный, размер L")</f>
      </c>
      <c r="C7688" s="4" t="n">
        <v>3279.00</v>
      </c>
      <c r="D7688" s="4"/>
    </row>
    <row collapsed="" customFormat="false" customHeight="1" hidden="" ht="14" outlineLevel="0" r="7689">
      <c r="A7689" s="3" t="inlineStr">
        <is>
          <t>7657</t>
        </is>
      </c>
      <c r="B7689" s="4" t="s">
        <f>=HYPERLINK("http://anyluxury.ru/shop/odezhda/dzhempery/dzhemper-zhenskiy-galaxy-women-krasniy-90010145/" , "90010145 Свитер женский GALAXY WOMEN красный, размер XL")</f>
      </c>
      <c r="C7689" s="4" t="n">
        <v>3279.00</v>
      </c>
      <c r="D7689" s="4"/>
    </row>
    <row collapsed="" customFormat="false" customHeight="1" hidden="" ht="14" outlineLevel="0" r="7690">
      <c r="A7690" s="3" t="inlineStr">
        <is>
          <t>7658</t>
        </is>
      </c>
      <c r="B7690" s="4" t="s">
        <f>=HYPERLINK("http://anyluxury.ru/shop/odezhda/dzhempery/dzhemper-zhenskiy-galaxy-women-krasniy-90010145/" , "90010145 Свитер женский GALAXY WOMEN красный, размер XXL")</f>
      </c>
      <c r="C7690" s="4" t="n">
        <v>3279.00</v>
      </c>
      <c r="D7690" s="4"/>
    </row>
    <row collapsed="" customFormat="false" customHeight="1" hidden="" ht="14" outlineLevel="0" r="7691">
      <c r="A7691" s="3" t="inlineStr">
        <is>
          <t>7659</t>
        </is>
      </c>
      <c r="B7691" s="4" t="s">
        <f>=HYPERLINK("http://anyluxury.ru/shop/odezhda/dzhempery/dzhemper-muzhskoy-golden-men-cherniy-90011312/" , "90011312 Джемпер мужской GOLDEN MEN черный, размер S")</f>
      </c>
      <c r="C7691" s="4" t="n">
        <v>3698.00</v>
      </c>
      <c r="D7691" s="4"/>
    </row>
    <row collapsed="" customFormat="false" customHeight="1" hidden="" ht="14" outlineLevel="0" r="7692">
      <c r="A7692" s="3" t="inlineStr">
        <is>
          <t>7660</t>
        </is>
      </c>
      <c r="B7692" s="4" t="s">
        <f>=HYPERLINK("http://anyluxury.ru/shop/odezhda/dzhempery/dzhemper-muzhskoy-golden-men-cherniy-90011312/" , "90011312 Джемпер мужской GOLDEN MEN черный, размер M")</f>
      </c>
      <c r="C7692" s="4" t="n">
        <v>3698.00</v>
      </c>
      <c r="D7692" s="4"/>
    </row>
    <row collapsed="" customFormat="false" customHeight="1" hidden="" ht="14" outlineLevel="0" r="7693">
      <c r="A7693" s="3" t="inlineStr">
        <is>
          <t>7661</t>
        </is>
      </c>
      <c r="B7693" s="4" t="s">
        <f>=HYPERLINK("http://anyluxury.ru/shop/odezhda/dzhempery/dzhemper-muzhskoy-golden-men-cherniy-90011312/" , "90011312 Джемпер мужской GOLDEN MEN черный, размер XL")</f>
      </c>
      <c r="C7693" s="4" t="n">
        <v>3698.00</v>
      </c>
      <c r="D7693" s="4"/>
    </row>
    <row collapsed="" customFormat="false" customHeight="1" hidden="" ht="14" outlineLevel="0" r="7694">
      <c r="A7694" s="3" t="inlineStr">
        <is>
          <t>7662</t>
        </is>
      </c>
      <c r="B7694" s="4" t="s">
        <f>=HYPERLINK("http://anyluxury.ru/shop/odezhda/dzhempery/dzhemper-muzhskoy-golden-men-cherniy-90011312/" , "90011312 Джемпер мужской GOLDEN MEN черный, размер 3XL")</f>
      </c>
      <c r="C7694" s="4" t="n">
        <v>4258.00</v>
      </c>
      <c r="D7694" s="4"/>
    </row>
    <row collapsed="" customFormat="false" customHeight="1" hidden="" ht="14" outlineLevel="0" r="7695">
      <c r="A7695" s="3" t="inlineStr">
        <is>
          <t>7663</t>
        </is>
      </c>
      <c r="B7695" s="4" t="s">
        <f>=HYPERLINK("http://anyluxury.ru/shop/odezhda/dzhempery/dzhemper-zhenskiy-golden-women-cherniy-90012312/" , "90012312 Джемпер женский GOLDEN WOMEN черный, размер S")</f>
      </c>
      <c r="C7695" s="4" t="n">
        <v>3662.00</v>
      </c>
      <c r="D7695" s="4"/>
    </row>
    <row collapsed="" customFormat="false" customHeight="1" hidden="" ht="14" outlineLevel="0" r="7696">
      <c r="A7696" s="3" t="inlineStr">
        <is>
          <t>7664</t>
        </is>
      </c>
      <c r="B7696" s="4" t="s">
        <f>=HYPERLINK("http://anyluxury.ru/shop/odezhda/dzhempery/dzhemper-zhenskiy-golden-women-cherniy-90012312/" , "90012312 Джемпер женский GOLDEN WOMEN черный, размер M")</f>
      </c>
      <c r="C7696" s="4" t="n">
        <v>3662.00</v>
      </c>
      <c r="D7696" s="4"/>
    </row>
    <row collapsed="" customFormat="false" customHeight="1" hidden="" ht="14" outlineLevel="0" r="7697">
      <c r="A7697" s="3" t="inlineStr">
        <is>
          <t>7665</t>
        </is>
      </c>
      <c r="B7697" s="4" t="s">
        <f>=HYPERLINK("http://anyluxury.ru/shop/odezhda/dzhempery/dzhemper-zhenskiy-golden-women-cherniy-90012312/" , "90012312 Джемпер женский GOLDEN WOMEN черный, размер L")</f>
      </c>
      <c r="C7697" s="4" t="n">
        <v>3662.00</v>
      </c>
      <c r="D7697" s="4"/>
    </row>
    <row collapsed="" customFormat="false" customHeight="1" hidden="" ht="14" outlineLevel="0" r="7698">
      <c r="A7698" s="3" t="inlineStr">
        <is>
          <t>7666</t>
        </is>
      </c>
      <c r="B7698" s="4" t="s">
        <f>=HYPERLINK("http://anyluxury.ru/shop/odezhda/dzhempery/dzhemper-zhenskiy-golden-women-cherniy-90012312/" , "90012312 Джемпер женский GOLDEN WOMEN черный, размер XL")</f>
      </c>
      <c r="C7698" s="4" t="n">
        <v>3662.00</v>
      </c>
      <c r="D7698" s="4"/>
    </row>
    <row collapsed="" customFormat="false" customHeight="1" hidden="" ht="14" outlineLevel="0" r="7699">
      <c r="A7699" s="3" t="inlineStr">
        <is>
          <t>7667</t>
        </is>
      </c>
      <c r="B7699" s="4" t="s">
        <f>=HYPERLINK("http://anyluxury.ru/shop/odezhda/dzhempery/dzhemper-zhenskiy-golden-women-cherniy-90012312/" , "90012312 Джемпер женский GOLDEN WOMEN черный, размер XXL")</f>
      </c>
      <c r="C7699" s="4" t="n">
        <v>3662.00</v>
      </c>
      <c r="D7699" s="4"/>
    </row>
    <row collapsed="" customFormat="false" customHeight="1" hidden="" ht="14" outlineLevel="0" r="7700">
      <c r="A7700" s="3" t="inlineStr">
        <is>
          <t>7668</t>
        </is>
      </c>
      <c r="B7700" s="4" t="s">
        <f>=HYPERLINK("http://anyluxury.ru/shop/odezhda/dzhempery/dzhemper-zhenskiy-golden-women-temnosiniy-90012318/" , "90012318 Джемпер женский GOLDEN WOMEN темно-синий, размер S")</f>
      </c>
      <c r="C7700" s="4" t="n">
        <v>3662.00</v>
      </c>
      <c r="D7700" s="4"/>
    </row>
    <row collapsed="" customFormat="false" customHeight="1" hidden="" ht="14" outlineLevel="0" r="7701">
      <c r="A7701" s="3" t="inlineStr">
        <is>
          <t>7669</t>
        </is>
      </c>
      <c r="B7701" s="4" t="s">
        <f>=HYPERLINK("http://anyluxury.ru/shop/odezhda/dzhempery/dzhemper-zhenskiy-golden-women-temnosiniy-90012318/" , "90012318 Джемпер женский GOLDEN WOMEN темно-синий, размер M")</f>
      </c>
      <c r="C7701" s="4" t="n">
        <v>3662.00</v>
      </c>
      <c r="D7701" s="4"/>
    </row>
    <row collapsed="" customFormat="false" customHeight="1" hidden="" ht="14" outlineLevel="0" r="7702">
      <c r="A7702" s="3" t="inlineStr">
        <is>
          <t>7670</t>
        </is>
      </c>
      <c r="B7702" s="4" t="s">
        <f>=HYPERLINK("http://anyluxury.ru/shop/odezhda/dzhempery/dzhemper-zhenskiy-golden-women-temnosiniy-90012318/" , "90012318 Джемпер женский GOLDEN WOMEN темно-синий, размер L")</f>
      </c>
      <c r="C7702" s="4" t="n">
        <v>3662.00</v>
      </c>
      <c r="D7702" s="4"/>
    </row>
    <row collapsed="" customFormat="false" customHeight="1" hidden="" ht="14" outlineLevel="0" r="7703">
      <c r="A7703" s="3" t="inlineStr">
        <is>
          <t>7671</t>
        </is>
      </c>
      <c r="B7703" s="4" t="s">
        <f>=HYPERLINK("http://anyluxury.ru/shop/odezhda/dzhempery/dzhemper-zhenskiy-golden-women-temnosiniy-90012318/" , "90012318 Джемпер женский GOLDEN WOMEN темно-синий, размер XL")</f>
      </c>
      <c r="C7703" s="4" t="n">
        <v>3662.00</v>
      </c>
      <c r="D7703" s="4"/>
    </row>
    <row collapsed="" customFormat="false" customHeight="1" hidden="" ht="14" outlineLevel="0" r="7704">
      <c r="A7704" s="3" t="inlineStr">
        <is>
          <t>7672</t>
        </is>
      </c>
      <c r="B7704" s="4" t="s">
        <f>=HYPERLINK("http://anyluxury.ru/shop/odezhda/dzhempery/dzhemper-zhenskiy-golden-women-temnosiniy-90012318/" , "90012318 Джемпер женский GOLDEN WOMEN темно-синий, размер XXL")</f>
      </c>
      <c r="C7704" s="4" t="n">
        <v>3662.00</v>
      </c>
      <c r="D7704" s="4"/>
    </row>
    <row collapsed="" customFormat="false" customHeight="1" hidden="" ht="14" outlineLevel="0" r="7705">
      <c r="A7705" s="3" t="inlineStr">
        <is>
          <t>7673</t>
        </is>
      </c>
      <c r="B7705" s="4" t="s">
        <f>=HYPERLINK("http://anyluxury.ru/shop/odezhda/dzhempery/dzhemper-muzhskoy-gordon-men-cherniy-00548312/" , "00548312 Свитер мужской GORDON MEN черный, размер S")</f>
      </c>
      <c r="C7705" s="4" t="n">
        <v>4208.00</v>
      </c>
      <c r="D7705" s="4"/>
    </row>
    <row collapsed="" customFormat="false" customHeight="1" hidden="" ht="14" outlineLevel="0" r="7706">
      <c r="A7706" s="3" t="inlineStr">
        <is>
          <t>7674</t>
        </is>
      </c>
      <c r="B7706" s="4" t="s">
        <f>=HYPERLINK("http://anyluxury.ru/shop/odezhda/dzhempery/dzhemper-muzhskoy-gordon-men-cherniy-00548312/" , "00548312 Свитер мужской GORDON MEN черный, размер M")</f>
      </c>
      <c r="C7706" s="4" t="n">
        <v>4208.00</v>
      </c>
      <c r="D7706" s="4"/>
    </row>
    <row collapsed="" customFormat="false" customHeight="1" hidden="" ht="14" outlineLevel="0" r="7707">
      <c r="A7707" s="3" t="inlineStr">
        <is>
          <t>7675</t>
        </is>
      </c>
      <c r="B7707" s="4" t="s">
        <f>=HYPERLINK("http://anyluxury.ru/shop/odezhda/dzhempery/dzhemper-muzhskoy-gordon-men-cherniy-00548312/" , "00548312 Свитер мужской GORDON MEN черный, размер XXL")</f>
      </c>
      <c r="C7707" s="4" t="n">
        <v>4208.00</v>
      </c>
      <c r="D7707" s="4"/>
    </row>
    <row collapsed="" customFormat="false" customHeight="1" hidden="" ht="14" outlineLevel="0" r="7708">
      <c r="A7708" s="3" t="inlineStr">
        <is>
          <t>7676</t>
        </is>
      </c>
      <c r="B7708" s="4" t="s">
        <f>=HYPERLINK("http://anyluxury.ru/shop/odezhda/dzhempery/dzhemper-muzhskoy-gordon-men-cherniy-00548312/" , "00548312 Свитер мужской GORDON MEN черный, размер 3XL")</f>
      </c>
      <c r="C7708" s="4" t="n">
        <v>4819.00</v>
      </c>
      <c r="D7708" s="4"/>
    </row>
    <row collapsed="" customFormat="false" customHeight="1" hidden="" ht="14" outlineLevel="0" r="7709">
      <c r="A7709" s="3" t="inlineStr">
        <is>
          <t>7677</t>
        </is>
      </c>
      <c r="B7709" s="4" t="s">
        <f>=HYPERLINK("http://anyluxury.ru/shop/odezhda/dzhempery/dzhemper-muzhskoy-gordon-men-seriy-00548340/" , "00548340 Свитер мужской GORDON MEN серый, размер S")</f>
      </c>
      <c r="C7709" s="4" t="n">
        <v>3929.00</v>
      </c>
      <c r="D7709" s="4"/>
    </row>
    <row collapsed="" customFormat="false" customHeight="1" hidden="" ht="14" outlineLevel="0" r="7710">
      <c r="A7710" s="3" t="inlineStr">
        <is>
          <t>7678</t>
        </is>
      </c>
      <c r="B7710" s="4" t="s">
        <f>=HYPERLINK("http://anyluxury.ru/shop/odezhda/dzhempery/dzhemper-muzhskoy-gordon-men-seriy-00548340/" , "00548340 Свитер мужской GORDON MEN серый, размер M")</f>
      </c>
      <c r="C7710" s="4" t="n">
        <v>3929.00</v>
      </c>
      <c r="D7710" s="4"/>
    </row>
    <row collapsed="" customFormat="false" customHeight="1" hidden="" ht="14" outlineLevel="0" r="7711">
      <c r="A7711" s="3" t="inlineStr">
        <is>
          <t>7679</t>
        </is>
      </c>
      <c r="B7711" s="4" t="s">
        <f>=HYPERLINK("http://anyluxury.ru/shop/odezhda/dzhempery/dzhemper-muzhskoy-gordon-men-seriy-00548340/" , "00548340 Свитер мужской GORDON MEN серый, размер L")</f>
      </c>
      <c r="C7711" s="4" t="n">
        <v>3929.00</v>
      </c>
      <c r="D7711" s="4"/>
    </row>
    <row collapsed="" customFormat="false" customHeight="1" hidden="" ht="14" outlineLevel="0" r="7712">
      <c r="A7712" s="3" t="inlineStr">
        <is>
          <t>7680</t>
        </is>
      </c>
      <c r="B7712" s="4" t="s">
        <f>=HYPERLINK("http://anyluxury.ru/shop/odezhda/dzhempery/dzhemper-muzhskoy-gordon-men-seriy-00548340/" , "00548340 Свитер мужской GORDON MEN серый, размер XL")</f>
      </c>
      <c r="C7712" s="4" t="n">
        <v>3929.00</v>
      </c>
      <c r="D7712" s="4"/>
    </row>
    <row collapsed="" customFormat="false" customHeight="1" hidden="" ht="14" outlineLevel="0" r="7713">
      <c r="A7713" s="3" t="inlineStr">
        <is>
          <t>7681</t>
        </is>
      </c>
      <c r="B7713" s="4" t="s">
        <f>=HYPERLINK("http://anyluxury.ru/shop/odezhda/dzhempery/dzhemper-muzhskoy-gordon-men-seriy-00548340/" , "00548340 Свитер мужской GORDON MEN серый, размер XXL")</f>
      </c>
      <c r="C7713" s="4" t="n">
        <v>3929.00</v>
      </c>
      <c r="D7713" s="4"/>
    </row>
    <row collapsed="" customFormat="false" customHeight="1" hidden="" ht="14" outlineLevel="0" r="7714">
      <c r="A7714" s="3" t="inlineStr">
        <is>
          <t>7682</t>
        </is>
      </c>
      <c r="B7714" s="4" t="s">
        <f>=HYPERLINK("http://anyluxury.ru/shop/odezhda/dzhempery/dzhemper-muzhskoy-gordon-men-seriy-00548340/" , "00548340 Свитер мужской GORDON MEN серый, размер 3XL")</f>
      </c>
      <c r="C7714" s="4" t="n">
        <v>4492.00</v>
      </c>
      <c r="D7714" s="4"/>
    </row>
    <row collapsed="" customFormat="false" customHeight="1" hidden="" ht="14" outlineLevel="0" r="7715">
      <c r="A7715" s="3" t="inlineStr">
        <is>
          <t>7683</t>
        </is>
      </c>
      <c r="B7715" s="4" t="s">
        <f>=HYPERLINK("http://anyluxury.ru/shop/odezhda/dzhempery/dzhemper-muzhskoy-gordon-men-temnosiniy-00548318/" , "00548318 Свитер мужской GORDON MEN темно-синий, размер S")</f>
      </c>
      <c r="C7715" s="4" t="n">
        <v>4208.00</v>
      </c>
      <c r="D7715" s="4"/>
    </row>
    <row collapsed="" customFormat="false" customHeight="1" hidden="" ht="14" outlineLevel="0" r="7716">
      <c r="A7716" s="3" t="inlineStr">
        <is>
          <t>7684</t>
        </is>
      </c>
      <c r="B7716" s="4" t="s">
        <f>=HYPERLINK("http://anyluxury.ru/shop/odezhda/dzhempery/dzhemper-muzhskoy-gordon-men-temnosiniy-00548318/" , "00548318 Свитер мужской GORDON MEN темно-синий, размер M")</f>
      </c>
      <c r="C7716" s="4" t="n">
        <v>4208.00</v>
      </c>
      <c r="D7716" s="4"/>
    </row>
    <row collapsed="" customFormat="false" customHeight="1" hidden="" ht="14" outlineLevel="0" r="7717">
      <c r="A7717" s="3" t="inlineStr">
        <is>
          <t>7685</t>
        </is>
      </c>
      <c r="B7717" s="4" t="s">
        <f>=HYPERLINK("http://anyluxury.ru/shop/odezhda/dzhempery/dzhemper-muzhskoy-gordon-men-temnosiniy-00548318/" , "00548318 Свитер мужской GORDON MEN темно-синий, размер L")</f>
      </c>
      <c r="C7717" s="4" t="n">
        <v>4208.00</v>
      </c>
      <c r="D7717" s="4"/>
    </row>
    <row collapsed="" customFormat="false" customHeight="1" hidden="" ht="14" outlineLevel="0" r="7718">
      <c r="A7718" s="3" t="inlineStr">
        <is>
          <t>7686</t>
        </is>
      </c>
      <c r="B7718" s="4" t="s">
        <f>=HYPERLINK("http://anyluxury.ru/shop/odezhda/dzhempery/dzhemper-muzhskoy-gordon-men-temnosiniy-00548318/" , "00548318 Свитер мужской GORDON MEN темно-синий, размер XL")</f>
      </c>
      <c r="C7718" s="4" t="n">
        <v>4208.00</v>
      </c>
      <c r="D7718" s="4"/>
    </row>
    <row collapsed="" customFormat="false" customHeight="1" hidden="" ht="14" outlineLevel="0" r="7719">
      <c r="A7719" s="3" t="inlineStr">
        <is>
          <t>7687</t>
        </is>
      </c>
      <c r="B7719" s="4" t="s">
        <f>=HYPERLINK("http://anyluxury.ru/shop/odezhda/dzhempery/dzhemper-muzhskoy-gordon-men-temnosiniy-00548318/" , "00548318 Свитер мужской GORDON MEN темно-синий, размер XXL")</f>
      </c>
      <c r="C7719" s="4" t="n">
        <v>4208.00</v>
      </c>
      <c r="D7719" s="4"/>
    </row>
    <row collapsed="" customFormat="false" customHeight="1" hidden="" ht="14" outlineLevel="0" r="7720">
      <c r="A7720" s="3" t="inlineStr">
        <is>
          <t>7688</t>
        </is>
      </c>
      <c r="B7720" s="4" t="s">
        <f>=HYPERLINK("http://anyluxury.ru/shop/odezhda/dzhempery/dzhemper-muzhskoy-gordon-men-temnosiniy-00548318/" , "00548318 Свитер мужской GORDON MEN темно-синий, размер 3XL")</f>
      </c>
      <c r="C7720" s="4" t="n">
        <v>4819.00</v>
      </c>
      <c r="D7720" s="4"/>
    </row>
    <row collapsed="" customFormat="false" customHeight="1" hidden="" ht="14" outlineLevel="0" r="7721">
      <c r="A7721" s="3" t="inlineStr">
        <is>
          <t>7689</t>
        </is>
      </c>
      <c r="B7721" s="4" t="s">
        <f>=HYPERLINK("http://anyluxury.ru/shop/odezhda/dzhempery/dzhemper-zhenskiy-gordon-women-cherniy-00550312/" , "00550312 Свитер женский GORDON WOMEN черный, размер S")</f>
      </c>
      <c r="C7721" s="4" t="n">
        <v>4158.00</v>
      </c>
      <c r="D7721" s="4"/>
    </row>
    <row collapsed="" customFormat="false" customHeight="1" hidden="" ht="14" outlineLevel="0" r="7722">
      <c r="A7722" s="3" t="inlineStr">
        <is>
          <t>7690</t>
        </is>
      </c>
      <c r="B7722" s="4" t="s">
        <f>=HYPERLINK("http://anyluxury.ru/shop/odezhda/dzhempery/dzhemper-zhenskiy-gordon-women-cherniy-00550312/" , "00550312 Свитер женский GORDON WOMEN черный, размер M")</f>
      </c>
      <c r="C7722" s="4" t="n">
        <v>4158.00</v>
      </c>
      <c r="D7722" s="4"/>
    </row>
    <row collapsed="" customFormat="false" customHeight="1" hidden="" ht="14" outlineLevel="0" r="7723">
      <c r="A7723" s="3" t="inlineStr">
        <is>
          <t>7691</t>
        </is>
      </c>
      <c r="B7723" s="4" t="s">
        <f>=HYPERLINK("http://anyluxury.ru/shop/odezhda/dzhempery/dzhemper-zhenskiy-gordon-women-cherniy-00550312/" , "00550312 Свитер женский GORDON WOMEN черный, размер L")</f>
      </c>
      <c r="C7723" s="4" t="n">
        <v>4158.00</v>
      </c>
      <c r="D7723" s="4"/>
    </row>
    <row collapsed="" customFormat="false" customHeight="1" hidden="" ht="14" outlineLevel="0" r="7724">
      <c r="A7724" s="3" t="inlineStr">
        <is>
          <t>7692</t>
        </is>
      </c>
      <c r="B7724" s="4" t="s">
        <f>=HYPERLINK("http://anyluxury.ru/shop/odezhda/dzhempery/dzhemper-zhenskiy-gordon-women-cherniy-00550312/" , "00550312 Свитер женский GORDON WOMEN черный, размер XL")</f>
      </c>
      <c r="C7724" s="4" t="n">
        <v>4158.00</v>
      </c>
      <c r="D7724" s="4"/>
    </row>
    <row collapsed="" customFormat="false" customHeight="1" hidden="" ht="14" outlineLevel="0" r="7725">
      <c r="A7725" s="3" t="inlineStr">
        <is>
          <t>7693</t>
        </is>
      </c>
      <c r="B7725" s="4" t="s">
        <f>=HYPERLINK("http://anyluxury.ru/shop/odezhda/dzhempery/dzhemper-zhenskiy-gordon-women-cherniy-00550312/" , "00550312 Свитер женский GORDON WOMEN черный, размер XXL")</f>
      </c>
      <c r="C7725" s="4" t="n">
        <v>4158.00</v>
      </c>
      <c r="D7725" s="4"/>
    </row>
    <row collapsed="" customFormat="false" customHeight="1" hidden="" ht="14" outlineLevel="0" r="7726">
      <c r="A7726" s="3" t="inlineStr">
        <is>
          <t>7694</t>
        </is>
      </c>
      <c r="B7726" s="4" t="s">
        <f>=HYPERLINK("http://anyluxury.ru/shop/odezhda/dzhempery/dzhemper-zhenskiy-gordon-women-seriy-00550340/" , "00550340 Свитер женский GORDON WOMEN серый, размер S")</f>
      </c>
      <c r="C7726" s="4" t="n">
        <v>3872.00</v>
      </c>
      <c r="D7726" s="4"/>
    </row>
    <row collapsed="" customFormat="false" customHeight="1" hidden="" ht="14" outlineLevel="0" r="7727">
      <c r="A7727" s="3" t="inlineStr">
        <is>
          <t>7695</t>
        </is>
      </c>
      <c r="B7727" s="4" t="s">
        <f>=HYPERLINK("http://anyluxury.ru/shop/odezhda/dzhempery/dzhemper-zhenskiy-gordon-women-seriy-00550340/" , "00550340 Свитер женский GORDON WOMEN серый, размер M")</f>
      </c>
      <c r="C7727" s="4" t="n">
        <v>3872.00</v>
      </c>
      <c r="D7727" s="4"/>
    </row>
    <row collapsed="" customFormat="false" customHeight="1" hidden="" ht="14" outlineLevel="0" r="7728">
      <c r="A7728" s="3" t="inlineStr">
        <is>
          <t>7696</t>
        </is>
      </c>
      <c r="B7728" s="4" t="s">
        <f>=HYPERLINK("http://anyluxury.ru/shop/odezhda/dzhempery/dzhemper-zhenskiy-gordon-women-seriy-00550340/" , "00550340 Свитер женский GORDON WOMEN серый, размер L")</f>
      </c>
      <c r="C7728" s="4" t="n">
        <v>3872.00</v>
      </c>
      <c r="D7728" s="4"/>
    </row>
    <row collapsed="" customFormat="false" customHeight="1" hidden="" ht="14" outlineLevel="0" r="7729">
      <c r="A7729" s="3" t="inlineStr">
        <is>
          <t>7697</t>
        </is>
      </c>
      <c r="B7729" s="4" t="s">
        <f>=HYPERLINK("http://anyluxury.ru/shop/odezhda/dzhempery/dzhemper-zhenskiy-gordon-women-seriy-00550340/" , "00550340 Свитер женский GORDON WOMEN серый, размер XL")</f>
      </c>
      <c r="C7729" s="4" t="n">
        <v>3872.00</v>
      </c>
      <c r="D7729" s="4"/>
    </row>
    <row collapsed="" customFormat="false" customHeight="1" hidden="" ht="14" outlineLevel="0" r="7730">
      <c r="A7730" s="3" t="inlineStr">
        <is>
          <t>7698</t>
        </is>
      </c>
      <c r="B7730" s="4" t="s">
        <f>=HYPERLINK("http://anyluxury.ru/shop/odezhda/dzhempery/dzhemper-zhenskiy-gordon-women-seriy-00550340/" , "00550340 Свитер женский GORDON WOMEN серый, размер XXL")</f>
      </c>
      <c r="C7730" s="4" t="n">
        <v>3872.00</v>
      </c>
      <c r="D7730" s="4"/>
    </row>
    <row collapsed="" customFormat="false" customHeight="1" hidden="" ht="14" outlineLevel="0" r="7731">
      <c r="A7731" s="3" t="inlineStr">
        <is>
          <t>7699</t>
        </is>
      </c>
      <c r="B7731" s="4" t="s">
        <f>=HYPERLINK("http://anyluxury.ru/shop/odezhda/dzhempery/dzhemper-zhenskiy-gordon-women-temnosiniy-00550318/" , "00550318 Свитер женский GORDON WOMEN темно-синий, размер S")</f>
      </c>
      <c r="C7731" s="4" t="n">
        <v>4158.00</v>
      </c>
      <c r="D7731" s="4"/>
    </row>
    <row collapsed="" customFormat="false" customHeight="1" hidden="" ht="14" outlineLevel="0" r="7732">
      <c r="A7732" s="3" t="inlineStr">
        <is>
          <t>7700</t>
        </is>
      </c>
      <c r="B7732" s="4" t="s">
        <f>=HYPERLINK("http://anyluxury.ru/shop/odezhda/dzhempery/dzhemper-zhenskiy-gordon-women-temnosiniy-00550318/" , "00550318 Свитер женский GORDON WOMEN темно-синий, размер L")</f>
      </c>
      <c r="C7732" s="4" t="n">
        <v>4158.00</v>
      </c>
      <c r="D7732" s="4"/>
    </row>
    <row collapsed="" customFormat="false" customHeight="1" hidden="" ht="14" outlineLevel="0" r="7733">
      <c r="A7733" s="3" t="inlineStr">
        <is>
          <t>7701</t>
        </is>
      </c>
      <c r="B7733" s="4" t="s">
        <f>=HYPERLINK("http://anyluxury.ru/shop/odezhda/dzhempery/dzhemper-zhenskiy-gordon-women-temnosiniy-00550318/" , "00550318 Свитер женский GORDON WOMEN темно-синий, размер XL")</f>
      </c>
      <c r="C7733" s="4" t="n">
        <v>4158.00</v>
      </c>
      <c r="D7733" s="4"/>
    </row>
    <row collapsed="" customFormat="false" customHeight="1" hidden="" ht="14" outlineLevel="0" r="7734">
      <c r="A7734" s="3" t="inlineStr">
        <is>
          <t>7702</t>
        </is>
      </c>
      <c r="B7734" s="4" t="s">
        <f>=HYPERLINK("http://anyluxury.ru/shop/odezhda/dzhempery/dzhemper-zhenskiy-gordon-women-temnosiniy-00550318/" , "00550318 Свитер женский GORDON WOMEN темно-синий, размер XXL")</f>
      </c>
      <c r="C7734" s="4" t="n">
        <v>4158.00</v>
      </c>
      <c r="D7734" s="4"/>
    </row>
    <row collapsed="" customFormat="false" customHeight="1" hidden="" ht="14" outlineLevel="0" r="7735">
      <c r="A7735" s="3" t="inlineStr">
        <is>
          <t>7703</t>
        </is>
      </c>
      <c r="B7735" s="4" t="s">
        <f>=HYPERLINK("http://anyluxury.ru/shop/odezhda/dzhempery/dzhemper-muzhskoy-ginger-men-cherniy-01712312/" , "01712312 Джемпер мужской GINGER MEN, черный, размер S")</f>
      </c>
      <c r="C7735" s="4" t="n">
        <v>2987.00</v>
      </c>
      <c r="D7735" s="4"/>
    </row>
    <row collapsed="" customFormat="false" customHeight="1" hidden="" ht="14" outlineLevel="0" r="7736">
      <c r="A7736" s="3" t="inlineStr">
        <is>
          <t>7704</t>
        </is>
      </c>
      <c r="B7736" s="4" t="s">
        <f>=HYPERLINK("http://anyluxury.ru/shop/odezhda/dzhempery/dzhemper-muzhskoy-ginger-men-cherniy-01712312/" , "01712312 Джемпер мужской GINGER MEN, черный, размер M")</f>
      </c>
      <c r="C7736" s="4" t="n">
        <v>2987.00</v>
      </c>
      <c r="D7736" s="4"/>
    </row>
    <row collapsed="" customFormat="false" customHeight="1" hidden="" ht="14" outlineLevel="0" r="7737">
      <c r="A7737" s="3" t="inlineStr">
        <is>
          <t>7705</t>
        </is>
      </c>
      <c r="B7737" s="4" t="s">
        <f>=HYPERLINK("http://anyluxury.ru/shop/odezhda/dzhempery/dzhemper-muzhskoy-ginger-men-cherniy-01712312/" , "01712312 Джемпер мужской GINGER MEN, черный, размер L")</f>
      </c>
      <c r="C7737" s="4" t="n">
        <v>2987.00</v>
      </c>
      <c r="D7737" s="4"/>
    </row>
    <row collapsed="" customFormat="false" customHeight="1" hidden="" ht="14" outlineLevel="0" r="7738">
      <c r="A7738" s="3" t="inlineStr">
        <is>
          <t>7706</t>
        </is>
      </c>
      <c r="B7738" s="4" t="s">
        <f>=HYPERLINK("http://anyluxury.ru/shop/odezhda/dzhempery/dzhemper-muzhskoy-ginger-men-cherniy-01712312/" , "01712312 Джемпер мужской GINGER MEN, черный, размер XL")</f>
      </c>
      <c r="C7738" s="4" t="n">
        <v>2987.00</v>
      </c>
      <c r="D7738" s="4"/>
    </row>
    <row collapsed="" customFormat="false" customHeight="1" hidden="" ht="14" outlineLevel="0" r="7739">
      <c r="A7739" s="3" t="inlineStr">
        <is>
          <t>7707</t>
        </is>
      </c>
      <c r="B7739" s="4" t="s">
        <f>=HYPERLINK("http://anyluxury.ru/shop/odezhda/dzhempery/dzhemper-muzhskoy-ginger-men-cherniy-01712312/" , "01712312 Джемпер мужской GINGER MEN, черный, размер XXL")</f>
      </c>
      <c r="C7739" s="4" t="n">
        <v>2987.00</v>
      </c>
      <c r="D7739" s="4"/>
    </row>
    <row collapsed="" customFormat="false" customHeight="1" hidden="" ht="14" outlineLevel="0" r="7740">
      <c r="A7740" s="3" t="inlineStr">
        <is>
          <t>7708</t>
        </is>
      </c>
      <c r="B7740" s="4" t="s">
        <f>=HYPERLINK("http://anyluxury.ru/shop/odezhda/dzhempery/dzhemper-muzhskoy-ginger-men-cherniy-01712312/" , "01712312 Джемпер мужской GINGER MEN, черный, размер 3XL")</f>
      </c>
      <c r="C7740" s="4" t="n">
        <v>3427.00</v>
      </c>
      <c r="D7740" s="4"/>
    </row>
    <row collapsed="" customFormat="false" customHeight="1" hidden="" ht="14" outlineLevel="0" r="7741">
      <c r="A7741" s="3" t="inlineStr">
        <is>
          <t>7709</t>
        </is>
      </c>
      <c r="B7741" s="4" t="s">
        <f>=HYPERLINK("http://anyluxury.ru/shop/odezhda/dzhempery/dzhemper-muzhskoy-ginger-men-cherniy-melanzh-01712348/" , "01712348 Джемпер мужской GINGER MEN, черный меланж, размер S")</f>
      </c>
      <c r="C7741" s="4" t="n">
        <v>2987.00</v>
      </c>
      <c r="D7741" s="4"/>
    </row>
    <row collapsed="" customFormat="false" customHeight="1" hidden="" ht="14" outlineLevel="0" r="7742">
      <c r="A7742" s="3" t="inlineStr">
        <is>
          <t>7710</t>
        </is>
      </c>
      <c r="B7742" s="4" t="s">
        <f>=HYPERLINK("http://anyluxury.ru/shop/odezhda/dzhempery/dzhemper-muzhskoy-ginger-men-cherniy-melanzh-01712348/" , "01712348 Джемпер мужской GINGER MEN, черный меланж, размер M")</f>
      </c>
      <c r="C7742" s="4" t="n">
        <v>2987.00</v>
      </c>
      <c r="D7742" s="4"/>
    </row>
    <row collapsed="" customFormat="false" customHeight="1" hidden="" ht="14" outlineLevel="0" r="7743">
      <c r="A7743" s="3" t="inlineStr">
        <is>
          <t>7711</t>
        </is>
      </c>
      <c r="B7743" s="4" t="s">
        <f>=HYPERLINK("http://anyluxury.ru/shop/odezhda/dzhempery/dzhemper-muzhskoy-ginger-men-cherniy-melanzh-01712348/" , "01712348 Джемпер мужской GINGER MEN, черный меланж, размер L")</f>
      </c>
      <c r="C7743" s="4" t="n">
        <v>2987.00</v>
      </c>
      <c r="D7743" s="4"/>
    </row>
    <row collapsed="" customFormat="false" customHeight="1" hidden="" ht="14" outlineLevel="0" r="7744">
      <c r="A7744" s="3" t="inlineStr">
        <is>
          <t>7712</t>
        </is>
      </c>
      <c r="B7744" s="4" t="s">
        <f>=HYPERLINK("http://anyluxury.ru/shop/odezhda/dzhempery/dzhemper-muzhskoy-ginger-men-cherniy-melanzh-01712348/" , "01712348 Джемпер мужской GINGER MEN, черный меланж, размер XL")</f>
      </c>
      <c r="C7744" s="4" t="n">
        <v>2987.00</v>
      </c>
      <c r="D7744" s="4"/>
    </row>
    <row collapsed="" customFormat="false" customHeight="1" hidden="" ht="14" outlineLevel="0" r="7745">
      <c r="A7745" s="3" t="inlineStr">
        <is>
          <t>7713</t>
        </is>
      </c>
      <c r="B7745" s="4" t="s">
        <f>=HYPERLINK("http://anyluxury.ru/shop/odezhda/dzhempery/dzhemper-muzhskoy-ginger-men-cherniy-melanzh-01712348/" , "01712348 Джемпер мужской GINGER MEN, черный меланж, размер XXL")</f>
      </c>
      <c r="C7745" s="4" t="n">
        <v>2987.00</v>
      </c>
      <c r="D7745" s="4"/>
    </row>
    <row collapsed="" customFormat="false" customHeight="1" hidden="" ht="14" outlineLevel="0" r="7746">
      <c r="A7746" s="3" t="inlineStr">
        <is>
          <t>7714</t>
        </is>
      </c>
      <c r="B7746" s="4" t="s">
        <f>=HYPERLINK("http://anyluxury.ru/shop/odezhda/dzhempery/dzhemper-muzhskoy-ginger-men-cherniy-melanzh-01712348/" , "01712348 Джемпер мужской GINGER MEN, черный меланж, размер 3XL")</f>
      </c>
      <c r="C7746" s="4" t="n">
        <v>3427.00</v>
      </c>
      <c r="D7746" s="4"/>
    </row>
    <row collapsed="" customFormat="false" customHeight="1" hidden="" ht="14" outlineLevel="0" r="7747">
      <c r="A7747" s="3" t="inlineStr">
        <is>
          <t>7715</t>
        </is>
      </c>
      <c r="B7747" s="4" t="s">
        <f>=HYPERLINK("http://anyluxury.ru/shop/odezhda/dzhempery/dzhemper-muzhskoy-ginger-men-temnosiniy-01712319/" , "01712319 Джемпер мужской GINGER MEN, темно-синий, размер S")</f>
      </c>
      <c r="C7747" s="4" t="n">
        <v>2987.00</v>
      </c>
      <c r="D7747" s="4"/>
    </row>
    <row collapsed="" customFormat="false" customHeight="1" hidden="" ht="14" outlineLevel="0" r="7748">
      <c r="A7748" s="3" t="inlineStr">
        <is>
          <t>7716</t>
        </is>
      </c>
      <c r="B7748" s="4" t="s">
        <f>=HYPERLINK("http://anyluxury.ru/shop/odezhda/dzhempery/dzhemper-muzhskoy-ginger-men-temnosiniy-01712319/" , "01712319 Джемпер мужской GINGER MEN, темно-синий, размер M")</f>
      </c>
      <c r="C7748" s="4" t="n">
        <v>2987.00</v>
      </c>
      <c r="D7748" s="4"/>
    </row>
    <row collapsed="" customFormat="false" customHeight="1" hidden="" ht="14" outlineLevel="0" r="7749">
      <c r="A7749" s="3" t="inlineStr">
        <is>
          <t>7717</t>
        </is>
      </c>
      <c r="B7749" s="4" t="s">
        <f>=HYPERLINK("http://anyluxury.ru/shop/odezhda/dzhempery/dzhemper-muzhskoy-ginger-men-temnosiniy-01712319/" , "01712319 Джемпер мужской GINGER MEN, темно-синий, размер L")</f>
      </c>
      <c r="C7749" s="4" t="n">
        <v>2987.00</v>
      </c>
      <c r="D7749" s="4"/>
    </row>
    <row collapsed="" customFormat="false" customHeight="1" hidden="" ht="14" outlineLevel="0" r="7750">
      <c r="A7750" s="3" t="inlineStr">
        <is>
          <t>7718</t>
        </is>
      </c>
      <c r="B7750" s="4" t="s">
        <f>=HYPERLINK("http://anyluxury.ru/shop/odezhda/dzhempery/dzhemper-muzhskoy-ginger-men-temnosiniy-01712319/" , "01712319 Джемпер мужской GINGER MEN, темно-синий, размер XL")</f>
      </c>
      <c r="C7750" s="4" t="n">
        <v>2987.00</v>
      </c>
      <c r="D7750" s="4"/>
    </row>
    <row collapsed="" customFormat="false" customHeight="1" hidden="" ht="14" outlineLevel="0" r="7751">
      <c r="A7751" s="3" t="inlineStr">
        <is>
          <t>7719</t>
        </is>
      </c>
      <c r="B7751" s="4" t="s">
        <f>=HYPERLINK("http://anyluxury.ru/shop/odezhda/dzhempery/dzhemper-muzhskoy-ginger-men-temnosiniy-01712319/" , "01712319 Джемпер мужской GINGER MEN, темно-синий, размер XXL")</f>
      </c>
      <c r="C7751" s="4" t="n">
        <v>2987.00</v>
      </c>
      <c r="D7751" s="4"/>
    </row>
    <row collapsed="" customFormat="false" customHeight="1" hidden="" ht="14" outlineLevel="0" r="7752">
      <c r="A7752" s="3" t="inlineStr">
        <is>
          <t>7720</t>
        </is>
      </c>
      <c r="B7752" s="4" t="s">
        <f>=HYPERLINK("http://anyluxury.ru/shop/odezhda/dzhempery/dzhemper-muzhskoy-ginger-men-temnosiniy-01712319/" , "01712319 Джемпер мужской GINGER MEN, темно-синий, размер 3XL")</f>
      </c>
      <c r="C7752" s="4" t="n">
        <v>3427.00</v>
      </c>
      <c r="D7752" s="4"/>
    </row>
    <row collapsed="" customFormat="false" customHeight="1" hidden="" ht="14" outlineLevel="0" r="7753">
      <c r="A7753" s="3" t="inlineStr">
        <is>
          <t>7721</t>
        </is>
      </c>
      <c r="B7753" s="4" t="s">
        <f>=HYPERLINK("http://anyluxury.ru/shop/odezhda/dzhempery/dzhemper-muzhskoy-ginger-men-seriy-melanzh-01712350/" , "01712350 Джемпер мужской GINGER MEN, серый меланж, размер S")</f>
      </c>
      <c r="C7753" s="4" t="n">
        <v>2987.00</v>
      </c>
      <c r="D7753" s="4"/>
    </row>
    <row collapsed="" customFormat="false" customHeight="1" hidden="" ht="14" outlineLevel="0" r="7754">
      <c r="A7754" s="3" t="inlineStr">
        <is>
          <t>7722</t>
        </is>
      </c>
      <c r="B7754" s="4" t="s">
        <f>=HYPERLINK("http://anyluxury.ru/shop/odezhda/dzhempery/dzhemper-muzhskoy-ginger-men-seriy-melanzh-01712350/" , "01712350 Джемпер мужской GINGER MEN, серый меланж, размер M")</f>
      </c>
      <c r="C7754" s="4" t="n">
        <v>2987.00</v>
      </c>
      <c r="D7754" s="4"/>
    </row>
    <row collapsed="" customFormat="false" customHeight="1" hidden="" ht="14" outlineLevel="0" r="7755">
      <c r="A7755" s="3" t="inlineStr">
        <is>
          <t>7723</t>
        </is>
      </c>
      <c r="B7755" s="4" t="s">
        <f>=HYPERLINK("http://anyluxury.ru/shop/odezhda/dzhempery/dzhemper-muzhskoy-ginger-men-seriy-melanzh-01712350/" , "01712350 Джемпер мужской GINGER MEN, серый меланж, размер L")</f>
      </c>
      <c r="C7755" s="4" t="n">
        <v>2987.00</v>
      </c>
      <c r="D7755" s="4"/>
    </row>
    <row collapsed="" customFormat="false" customHeight="1" hidden="" ht="14" outlineLevel="0" r="7756">
      <c r="A7756" s="3" t="inlineStr">
        <is>
          <t>7724</t>
        </is>
      </c>
      <c r="B7756" s="4" t="s">
        <f>=HYPERLINK("http://anyluxury.ru/shop/odezhda/dzhempery/dzhemper-muzhskoy-ginger-men-seriy-melanzh-01712350/" , "01712350 Джемпер мужской GINGER MEN, серый меланж, размер XL")</f>
      </c>
      <c r="C7756" s="4" t="n">
        <v>2987.00</v>
      </c>
      <c r="D7756" s="4"/>
    </row>
    <row collapsed="" customFormat="false" customHeight="1" hidden="" ht="14" outlineLevel="0" r="7757">
      <c r="A7757" s="3" t="inlineStr">
        <is>
          <t>7725</t>
        </is>
      </c>
      <c r="B7757" s="4" t="s">
        <f>=HYPERLINK("http://anyluxury.ru/shop/odezhda/dzhempery/dzhemper-muzhskoy-ginger-men-seriy-melanzh-01712350/" , "01712350 Джемпер мужской GINGER MEN, серый меланж, размер XXL")</f>
      </c>
      <c r="C7757" s="4" t="n">
        <v>2987.00</v>
      </c>
      <c r="D7757" s="4"/>
    </row>
    <row collapsed="" customFormat="false" customHeight="1" hidden="" ht="14" outlineLevel="0" r="7758">
      <c r="A7758" s="3" t="inlineStr">
        <is>
          <t>7726</t>
        </is>
      </c>
      <c r="B7758" s="4" t="s">
        <f>=HYPERLINK("http://anyluxury.ru/shop/odezhda/dzhempery/dzhemper-muzhskoy-ginger-men-seriy-melanzh-01712350/" , "01712350 Джемпер мужской GINGER MEN, серый меланж, размер 3XL")</f>
      </c>
      <c r="C7758" s="4" t="n">
        <v>3427.00</v>
      </c>
      <c r="D7758" s="4"/>
    </row>
    <row collapsed="" customFormat="false" customHeight="1" hidden="" ht="14" outlineLevel="0" r="7759">
      <c r="A7759" s="3" t="inlineStr">
        <is>
          <t>7727</t>
        </is>
      </c>
      <c r="B7759" s="4" t="s">
        <f>=HYPERLINK("http://anyluxury.ru/shop/odezhda/dzhempery/dzhemper-muzhskoy-ginger-men-siniy-ultramarin-01712238/" , "01712238 Джемпер мужской GINGER MEN, синий ультрамарин, размер S")</f>
      </c>
      <c r="C7759" s="4" t="n">
        <v>2987.00</v>
      </c>
      <c r="D7759" s="4"/>
    </row>
    <row collapsed="" customFormat="false" customHeight="1" hidden="" ht="14" outlineLevel="0" r="7760">
      <c r="A7760" s="3" t="inlineStr">
        <is>
          <t>7728</t>
        </is>
      </c>
      <c r="B7760" s="4" t="s">
        <f>=HYPERLINK("http://anyluxury.ru/shop/odezhda/dzhempery/dzhemper-muzhskoy-ginger-men-siniy-ultramarin-01712238/" , "01712238 Джемпер мужской GINGER MEN, синий ультрамарин, размер M")</f>
      </c>
      <c r="C7760" s="4" t="n">
        <v>2987.00</v>
      </c>
      <c r="D7760" s="4"/>
    </row>
    <row collapsed="" customFormat="false" customHeight="1" hidden="" ht="14" outlineLevel="0" r="7761">
      <c r="A7761" s="3" t="inlineStr">
        <is>
          <t>7729</t>
        </is>
      </c>
      <c r="B7761" s="4" t="s">
        <f>=HYPERLINK("http://anyluxury.ru/shop/odezhda/dzhempery/dzhemper-muzhskoy-ginger-men-siniy-ultramarin-01712238/" , "01712238 Джемпер мужской GINGER MEN, синий ультрамарин, размер L")</f>
      </c>
      <c r="C7761" s="4" t="n">
        <v>2987.00</v>
      </c>
      <c r="D7761" s="4"/>
    </row>
    <row collapsed="" customFormat="false" customHeight="1" hidden="" ht="14" outlineLevel="0" r="7762">
      <c r="A7762" s="3" t="inlineStr">
        <is>
          <t>7730</t>
        </is>
      </c>
      <c r="B7762" s="4" t="s">
        <f>=HYPERLINK("http://anyluxury.ru/shop/odezhda/dzhempery/dzhemper-muzhskoy-ginger-men-siniy-ultramarin-01712238/" , "01712238 Джемпер мужской GINGER MEN, синий ультрамарин, размер XL")</f>
      </c>
      <c r="C7762" s="4" t="n">
        <v>2987.00</v>
      </c>
      <c r="D7762" s="4"/>
    </row>
    <row collapsed="" customFormat="false" customHeight="1" hidden="" ht="14" outlineLevel="0" r="7763">
      <c r="A7763" s="3" t="inlineStr">
        <is>
          <t>7731</t>
        </is>
      </c>
      <c r="B7763" s="4" t="s">
        <f>=HYPERLINK("http://anyluxury.ru/shop/odezhda/dzhempery/dzhemper-muzhskoy-ginger-men-siniy-ultramarin-01712238/" , "01712238 Джемпер мужской GINGER MEN, синий ультрамарин, размер XXL")</f>
      </c>
      <c r="C7763" s="4" t="n">
        <v>2987.00</v>
      </c>
      <c r="D7763" s="4"/>
    </row>
    <row collapsed="" customFormat="false" customHeight="1" hidden="" ht="14" outlineLevel="0" r="7764">
      <c r="A7764" s="3" t="inlineStr">
        <is>
          <t>7732</t>
        </is>
      </c>
      <c r="B7764" s="4" t="s">
        <f>=HYPERLINK("http://anyluxury.ru/shop/odezhda/dzhempery/dzhemper-muzhskoy-ginger-men-siniy-ultramarin-01712238/" , "01712238 Джемпер мужской GINGER MEN, синий ультрамарин, размер 3XL")</f>
      </c>
      <c r="C7764" s="4" t="n">
        <v>3427.00</v>
      </c>
      <c r="D7764" s="4"/>
    </row>
    <row collapsed="" customFormat="false" customHeight="1" hidden="" ht="14" outlineLevel="0" r="7765">
      <c r="A7765" s="3" t="inlineStr">
        <is>
          <t>7733</t>
        </is>
      </c>
      <c r="B7765" s="4" t="s">
        <f>=HYPERLINK("http://anyluxury.ru/shop/odezhda/dzhempery/dzhemper-zhenskiy-ginger-women-cherniy-01713312/" , "01713312 Джемпер женский GINGER WOMEN, черный, размер XS")</f>
      </c>
      <c r="C7765" s="4" t="n">
        <v>2953.00</v>
      </c>
      <c r="D7765" s="4"/>
    </row>
    <row collapsed="" customFormat="false" customHeight="1" hidden="" ht="14" outlineLevel="0" r="7766">
      <c r="A7766" s="3" t="inlineStr">
        <is>
          <t>7734</t>
        </is>
      </c>
      <c r="B7766" s="4" t="s">
        <f>=HYPERLINK("http://anyluxury.ru/shop/odezhda/dzhempery/dzhemper-zhenskiy-ginger-women-cherniy-01713312/" , "01713312 Джемпер женский GINGER WOMEN, черный, размер S")</f>
      </c>
      <c r="C7766" s="4" t="n">
        <v>2953.00</v>
      </c>
      <c r="D7766" s="4"/>
    </row>
    <row collapsed="" customFormat="false" customHeight="1" hidden="" ht="14" outlineLevel="0" r="7767">
      <c r="A7767" s="3" t="inlineStr">
        <is>
          <t>7735</t>
        </is>
      </c>
      <c r="B7767" s="4" t="s">
        <f>=HYPERLINK("http://anyluxury.ru/shop/odezhda/dzhempery/dzhemper-zhenskiy-ginger-women-cherniy-01713312/" , "01713312 Джемпер женский GINGER WOMEN, черный, размер M")</f>
      </c>
      <c r="C7767" s="4" t="n">
        <v>2953.00</v>
      </c>
      <c r="D7767" s="4"/>
    </row>
    <row collapsed="" customFormat="false" customHeight="1" hidden="" ht="14" outlineLevel="0" r="7768">
      <c r="A7768" s="3" t="inlineStr">
        <is>
          <t>7736</t>
        </is>
      </c>
      <c r="B7768" s="4" t="s">
        <f>=HYPERLINK("http://anyluxury.ru/shop/odezhda/dzhempery/dzhemper-zhenskiy-ginger-women-cherniy-01713312/" , "01713312 Джемпер женский GINGER WOMEN, черный, размер L")</f>
      </c>
      <c r="C7768" s="4" t="n">
        <v>2953.00</v>
      </c>
      <c r="D7768" s="4"/>
    </row>
    <row collapsed="" customFormat="false" customHeight="1" hidden="" ht="14" outlineLevel="0" r="7769">
      <c r="A7769" s="3" t="inlineStr">
        <is>
          <t>7737</t>
        </is>
      </c>
      <c r="B7769" s="4" t="s">
        <f>=HYPERLINK("http://anyluxury.ru/shop/odezhda/dzhempery/dzhemper-zhenskiy-ginger-women-cherniy-01713312/" , "01713312 Джемпер женский GINGER WOMEN, черный, размер XL")</f>
      </c>
      <c r="C7769" s="4" t="n">
        <v>2953.00</v>
      </c>
      <c r="D7769" s="4"/>
    </row>
    <row collapsed="" customFormat="false" customHeight="1" hidden="" ht="14" outlineLevel="0" r="7770">
      <c r="A7770" s="3" t="inlineStr">
        <is>
          <t>7738</t>
        </is>
      </c>
      <c r="B7770" s="4" t="s">
        <f>=HYPERLINK("http://anyluxury.ru/shop/odezhda/dzhempery/dzhemper-zhenskiy-ginger-women-cherniy-01713312/" , "01713312 Джемпер женский GINGER WOMEN, черный, размер XXL")</f>
      </c>
      <c r="C7770" s="4" t="n">
        <v>2953.00</v>
      </c>
      <c r="D7770" s="4"/>
    </row>
    <row collapsed="" customFormat="false" customHeight="1" hidden="" ht="14" outlineLevel="0" r="7771">
      <c r="A7771" s="3" t="inlineStr">
        <is>
          <t>7739</t>
        </is>
      </c>
      <c r="B7771" s="4" t="s">
        <f>=HYPERLINK("http://anyluxury.ru/shop/odezhda/dzhempery/dzhemper-zhenskiy-ginger-women-cherniy-melanzh-01713348/" , "01713348 Джемпер женский GINGER WOMEN, черный меланж, размер XS")</f>
      </c>
      <c r="C7771" s="4" t="n">
        <v>2953.00</v>
      </c>
      <c r="D7771" s="4"/>
    </row>
    <row collapsed="" customFormat="false" customHeight="1" hidden="" ht="14" outlineLevel="0" r="7772">
      <c r="A7772" s="3" t="inlineStr">
        <is>
          <t>7740</t>
        </is>
      </c>
      <c r="B7772" s="4" t="s">
        <f>=HYPERLINK("http://anyluxury.ru/shop/odezhda/dzhempery/dzhemper-zhenskiy-ginger-women-cherniy-melanzh-01713348/" , "01713348 Джемпер женский GINGER WOMEN, черный меланж, размер S")</f>
      </c>
      <c r="C7772" s="4" t="n">
        <v>2953.00</v>
      </c>
      <c r="D7772" s="4"/>
    </row>
    <row collapsed="" customFormat="false" customHeight="1" hidden="" ht="14" outlineLevel="0" r="7773">
      <c r="A7773" s="3" t="inlineStr">
        <is>
          <t>7741</t>
        </is>
      </c>
      <c r="B7773" s="4" t="s">
        <f>=HYPERLINK("http://anyluxury.ru/shop/odezhda/dzhempery/dzhemper-zhenskiy-ginger-women-cherniy-melanzh-01713348/" , "01713348 Джемпер женский GINGER WOMEN, черный меланж, размер M")</f>
      </c>
      <c r="C7773" s="4" t="n">
        <v>2953.00</v>
      </c>
      <c r="D7773" s="4"/>
    </row>
    <row collapsed="" customFormat="false" customHeight="1" hidden="" ht="14" outlineLevel="0" r="7774">
      <c r="A7774" s="3" t="inlineStr">
        <is>
          <t>7742</t>
        </is>
      </c>
      <c r="B7774" s="4" t="s">
        <f>=HYPERLINK("http://anyluxury.ru/shop/odezhda/dzhempery/dzhemper-zhenskiy-ginger-women-cherniy-melanzh-01713348/" , "01713348 Джемпер женский GINGER WOMEN, черный меланж, размер L")</f>
      </c>
      <c r="C7774" s="4" t="n">
        <v>2953.00</v>
      </c>
      <c r="D7774" s="4"/>
    </row>
    <row collapsed="" customFormat="false" customHeight="1" hidden="" ht="14" outlineLevel="0" r="7775">
      <c r="A7775" s="3" t="inlineStr">
        <is>
          <t>7743</t>
        </is>
      </c>
      <c r="B7775" s="4" t="s">
        <f>=HYPERLINK("http://anyluxury.ru/shop/odezhda/dzhempery/dzhemper-zhenskiy-ginger-women-cherniy-melanzh-01713348/" , "01713348 Джемпер женский GINGER WOMEN, черный меланж, размер XL")</f>
      </c>
      <c r="C7775" s="4" t="n">
        <v>2953.00</v>
      </c>
      <c r="D7775" s="4"/>
    </row>
    <row collapsed="" customFormat="false" customHeight="1" hidden="" ht="14" outlineLevel="0" r="7776">
      <c r="A7776" s="3" t="inlineStr">
        <is>
          <t>7744</t>
        </is>
      </c>
      <c r="B7776" s="4" t="s">
        <f>=HYPERLINK("http://anyluxury.ru/shop/odezhda/dzhempery/dzhemper-zhenskiy-ginger-women-cherniy-melanzh-01713348/" , "01713348 Джемпер женский GINGER WOMEN, черный меланж, размер XXL")</f>
      </c>
      <c r="C7776" s="4" t="n">
        <v>2953.00</v>
      </c>
      <c r="D7776" s="4"/>
    </row>
    <row collapsed="" customFormat="false" customHeight="1" hidden="" ht="14" outlineLevel="0" r="7777">
      <c r="A7777" s="3" t="inlineStr">
        <is>
          <t>7745</t>
        </is>
      </c>
      <c r="B7777" s="4" t="s">
        <f>=HYPERLINK("http://anyluxury.ru/shop/odezhda/dzhempery/dzhemper-zhenskiy-ginger-women-temnosiniy-01713319/" , "01713319 Джемпер женский GINGER WOMEN, темно-синий, размер XS")</f>
      </c>
      <c r="C7777" s="4" t="n">
        <v>2953.00</v>
      </c>
      <c r="D7777" s="4"/>
    </row>
    <row collapsed="" customFormat="false" customHeight="1" hidden="" ht="14" outlineLevel="0" r="7778">
      <c r="A7778" s="3" t="inlineStr">
        <is>
          <t>7746</t>
        </is>
      </c>
      <c r="B7778" s="4" t="s">
        <f>=HYPERLINK("http://anyluxury.ru/shop/odezhda/dzhempery/dzhemper-zhenskiy-ginger-women-temnosiniy-01713319/" , "01713319 Джемпер женский GINGER WOMEN, темно-синий, размер S")</f>
      </c>
      <c r="C7778" s="4" t="n">
        <v>2953.00</v>
      </c>
      <c r="D7778" s="4"/>
    </row>
    <row collapsed="" customFormat="false" customHeight="1" hidden="" ht="14" outlineLevel="0" r="7779">
      <c r="A7779" s="3" t="inlineStr">
        <is>
          <t>7747</t>
        </is>
      </c>
      <c r="B7779" s="4" t="s">
        <f>=HYPERLINK("http://anyluxury.ru/shop/odezhda/dzhempery/dzhemper-zhenskiy-ginger-women-temnosiniy-01713319/" , "01713319 Джемпер женский GINGER WOMEN, темно-синий, размер M")</f>
      </c>
      <c r="C7779" s="4" t="n">
        <v>2953.00</v>
      </c>
      <c r="D7779" s="4"/>
    </row>
    <row collapsed="" customFormat="false" customHeight="1" hidden="" ht="14" outlineLevel="0" r="7780">
      <c r="A7780" s="3" t="inlineStr">
        <is>
          <t>7748</t>
        </is>
      </c>
      <c r="B7780" s="4" t="s">
        <f>=HYPERLINK("http://anyluxury.ru/shop/odezhda/dzhempery/dzhemper-zhenskiy-ginger-women-temnosiniy-01713319/" , "01713319 Джемпер женский GINGER WOMEN, темно-синий, размер L")</f>
      </c>
      <c r="C7780" s="4" t="n">
        <v>2953.00</v>
      </c>
      <c r="D7780" s="4"/>
    </row>
    <row collapsed="" customFormat="false" customHeight="1" hidden="" ht="14" outlineLevel="0" r="7781">
      <c r="A7781" s="3" t="inlineStr">
        <is>
          <t>7749</t>
        </is>
      </c>
      <c r="B7781" s="4" t="s">
        <f>=HYPERLINK("http://anyluxury.ru/shop/odezhda/dzhempery/dzhemper-zhenskiy-ginger-women-temnosiniy-01713319/" , "01713319 Джемпер женский GINGER WOMEN, темно-синий, размер XL")</f>
      </c>
      <c r="C7781" s="4" t="n">
        <v>2953.00</v>
      </c>
      <c r="D7781" s="4"/>
    </row>
    <row collapsed="" customFormat="false" customHeight="1" hidden="" ht="14" outlineLevel="0" r="7782">
      <c r="A7782" s="3" t="inlineStr">
        <is>
          <t>7750</t>
        </is>
      </c>
      <c r="B7782" s="4" t="s">
        <f>=HYPERLINK("http://anyluxury.ru/shop/odezhda/dzhempery/dzhemper-zhenskiy-ginger-women-temnosiniy-01713319/" , "01713319 Джемпер женский GINGER WOMEN, темно-синий, размер XXL")</f>
      </c>
      <c r="C7782" s="4" t="n">
        <v>2953.00</v>
      </c>
      <c r="D7782" s="4"/>
    </row>
    <row collapsed="" customFormat="false" customHeight="1" hidden="" ht="14" outlineLevel="0" r="7783">
      <c r="A7783" s="3" t="inlineStr">
        <is>
          <t>7751</t>
        </is>
      </c>
      <c r="B7783" s="4" t="s">
        <f>=HYPERLINK("http://anyluxury.ru/shop/odezhda/dzhempery/dzhemper-zhenskiy-ginger-women-seriy-melanzh-01713350/" , "01713350 Джемпер женский GINGER WOMEN, серый меланж, размер XS")</f>
      </c>
      <c r="C7783" s="4" t="n">
        <v>2953.00</v>
      </c>
      <c r="D7783" s="4"/>
    </row>
    <row collapsed="" customFormat="false" customHeight="1" hidden="" ht="14" outlineLevel="0" r="7784">
      <c r="A7784" s="3" t="inlineStr">
        <is>
          <t>7752</t>
        </is>
      </c>
      <c r="B7784" s="4" t="s">
        <f>=HYPERLINK("http://anyluxury.ru/shop/odezhda/dzhempery/dzhemper-zhenskiy-ginger-women-seriy-melanzh-01713350/" , "01713350 Джемпер женский GINGER WOMEN, серый меланж, размер S")</f>
      </c>
      <c r="C7784" s="4" t="n">
        <v>2953.00</v>
      </c>
      <c r="D7784" s="4"/>
    </row>
    <row collapsed="" customFormat="false" customHeight="1" hidden="" ht="14" outlineLevel="0" r="7785">
      <c r="A7785" s="3" t="inlineStr">
        <is>
          <t>7753</t>
        </is>
      </c>
      <c r="B7785" s="4" t="s">
        <f>=HYPERLINK("http://anyluxury.ru/shop/odezhda/dzhempery/dzhemper-zhenskiy-ginger-women-seriy-melanzh-01713350/" , "01713350 Джемпер женский GINGER WOMEN, серый меланж, размер M")</f>
      </c>
      <c r="C7785" s="4" t="n">
        <v>2953.00</v>
      </c>
      <c r="D7785" s="4"/>
    </row>
    <row collapsed="" customFormat="false" customHeight="1" hidden="" ht="14" outlineLevel="0" r="7786">
      <c r="A7786" s="3" t="inlineStr">
        <is>
          <t>7754</t>
        </is>
      </c>
      <c r="B7786" s="4" t="s">
        <f>=HYPERLINK("http://anyluxury.ru/shop/odezhda/dzhempery/dzhemper-zhenskiy-ginger-women-seriy-melanzh-01713350/" , "01713350 Джемпер женский GINGER WOMEN, серый меланж, размер L")</f>
      </c>
      <c r="C7786" s="4" t="n">
        <v>2953.00</v>
      </c>
      <c r="D7786" s="4"/>
    </row>
    <row collapsed="" customFormat="false" customHeight="1" hidden="" ht="14" outlineLevel="0" r="7787">
      <c r="A7787" s="3" t="inlineStr">
        <is>
          <t>7755</t>
        </is>
      </c>
      <c r="B7787" s="4" t="s">
        <f>=HYPERLINK("http://anyluxury.ru/shop/odezhda/dzhempery/dzhemper-zhenskiy-ginger-women-seriy-melanzh-01713350/" , "01713350 Джемпер женский GINGER WOMEN, серый меланж, размер XL")</f>
      </c>
      <c r="C7787" s="4" t="n">
        <v>2953.00</v>
      </c>
      <c r="D7787" s="4"/>
    </row>
    <row collapsed="" customFormat="false" customHeight="1" hidden="" ht="14" outlineLevel="0" r="7788">
      <c r="A7788" s="3" t="inlineStr">
        <is>
          <t>7756</t>
        </is>
      </c>
      <c r="B7788" s="4" t="s">
        <f>=HYPERLINK("http://anyluxury.ru/shop/odezhda/dzhempery/dzhemper-zhenskiy-ginger-women-seriy-melanzh-01713350/" , "01713350 Джемпер женский GINGER WOMEN, серый меланж, размер XXL")</f>
      </c>
      <c r="C7788" s="4" t="n">
        <v>2953.00</v>
      </c>
      <c r="D7788" s="4"/>
    </row>
    <row collapsed="" customFormat="false" customHeight="1" hidden="" ht="14" outlineLevel="0" r="7789">
      <c r="A7789" s="3" t="inlineStr">
        <is>
          <t>7757</t>
        </is>
      </c>
      <c r="B7789" s="4" t="s">
        <f>=HYPERLINK("http://anyluxury.ru/shop/odezhda/dzhempery/dzhemper-zhenskiy-ginger-women-bordoviy-01713167/" , "01713167 Джемпер женский GINGER WOMEN, бордовый, размер XS")</f>
      </c>
      <c r="C7789" s="4" t="n">
        <v>2953.00</v>
      </c>
      <c r="D7789" s="4"/>
    </row>
    <row collapsed="" customFormat="false" customHeight="1" hidden="" ht="14" outlineLevel="0" r="7790">
      <c r="A7790" s="3" t="inlineStr">
        <is>
          <t>7758</t>
        </is>
      </c>
      <c r="B7790" s="4" t="s">
        <f>=HYPERLINK("http://anyluxury.ru/shop/odezhda/dzhempery/dzhemper-zhenskiy-ginger-women-bordoviy-01713167/" , "01713167 Джемпер женский GINGER WOMEN, бордовый, размер S")</f>
      </c>
      <c r="C7790" s="4" t="n">
        <v>2953.00</v>
      </c>
      <c r="D7790" s="4"/>
    </row>
    <row collapsed="" customFormat="false" customHeight="1" hidden="" ht="14" outlineLevel="0" r="7791">
      <c r="A7791" s="3" t="inlineStr">
        <is>
          <t>7759</t>
        </is>
      </c>
      <c r="B7791" s="4" t="s">
        <f>=HYPERLINK("http://anyluxury.ru/shop/odezhda/dzhempery/dzhemper-zhenskiy-ginger-women-bordoviy-01713167/" , "01713167 Джемпер женский GINGER WOMEN, бордовый, размер M")</f>
      </c>
      <c r="C7791" s="4" t="n">
        <v>2953.00</v>
      </c>
      <c r="D7791" s="4"/>
    </row>
    <row collapsed="" customFormat="false" customHeight="1" hidden="" ht="14" outlineLevel="0" r="7792">
      <c r="A7792" s="3" t="inlineStr">
        <is>
          <t>7760</t>
        </is>
      </c>
      <c r="B7792" s="4" t="s">
        <f>=HYPERLINK("http://anyluxury.ru/shop/odezhda/dzhempery/dzhemper-zhenskiy-ginger-women-bordoviy-01713167/" , "01713167 Джемпер женский GINGER WOMEN, бордовый, размер L")</f>
      </c>
      <c r="C7792" s="4" t="n">
        <v>2953.00</v>
      </c>
      <c r="D7792" s="4"/>
    </row>
    <row collapsed="" customFormat="false" customHeight="1" hidden="" ht="14" outlineLevel="0" r="7793">
      <c r="A7793" s="3" t="inlineStr">
        <is>
          <t>7761</t>
        </is>
      </c>
      <c r="B7793" s="4" t="s">
        <f>=HYPERLINK("http://anyluxury.ru/shop/odezhda/dzhempery/dzhemper-zhenskiy-ginger-women-bordoviy-01713167/" , "01713167 Джемпер женский GINGER WOMEN, бордовый, размер XL")</f>
      </c>
      <c r="C7793" s="4" t="n">
        <v>2953.00</v>
      </c>
      <c r="D7793" s="4"/>
    </row>
    <row collapsed="" customFormat="false" customHeight="1" hidden="" ht="14" outlineLevel="0" r="7794">
      <c r="A7794" s="3" t="inlineStr">
        <is>
          <t>7762</t>
        </is>
      </c>
      <c r="B7794" s="4" t="s">
        <f>=HYPERLINK("http://anyluxury.ru/shop/odezhda/dzhempery/dzhemper-zhenskiy-ginger-women-bordoviy-01713167/" , "01713167 Джемпер женский GINGER WOMEN, бордовый, размер XXL")</f>
      </c>
      <c r="C7794" s="4" t="n">
        <v>2953.00</v>
      </c>
      <c r="D7794" s="4"/>
    </row>
    <row collapsed="" customFormat="false" customHeight="1" hidden="" ht="14" outlineLevel="0" r="7795">
      <c r="A7795" s="3" t="inlineStr">
        <is>
          <t>7763</t>
        </is>
      </c>
      <c r="B7795" s="4" t="s">
        <f>=HYPERLINK("http://anyluxury.ru/shop/odezhda/dzhempery/pulover-muzhskoy-glory-men-cherniy-melanzh-01710348/" , "01710348 Пуловер мужской GLORY MEN черный меланж, размер S")</f>
      </c>
      <c r="C7795" s="4" t="n">
        <v>3436.00</v>
      </c>
      <c r="D7795" s="4"/>
    </row>
    <row collapsed="" customFormat="false" customHeight="1" hidden="" ht="14" outlineLevel="0" r="7796">
      <c r="A7796" s="3" t="inlineStr">
        <is>
          <t>7764</t>
        </is>
      </c>
      <c r="B7796" s="4" t="s">
        <f>=HYPERLINK("http://anyluxury.ru/shop/odezhda/dzhempery/pulover-muzhskoy-glory-men-cherniy-melanzh-01710348/" , "01710348 Пуловер мужской GLORY MEN черный меланж, размер M")</f>
      </c>
      <c r="C7796" s="4" t="n">
        <v>3436.00</v>
      </c>
      <c r="D7796" s="4"/>
    </row>
    <row collapsed="" customFormat="false" customHeight="1" hidden="" ht="14" outlineLevel="0" r="7797">
      <c r="A7797" s="3" t="inlineStr">
        <is>
          <t>7765</t>
        </is>
      </c>
      <c r="B7797" s="4" t="s">
        <f>=HYPERLINK("http://anyluxury.ru/shop/odezhda/dzhempery/pulover-muzhskoy-glory-men-cherniy-melanzh-01710348/" , "01710348 Пуловер мужской GLORY MEN черный меланж, размер L")</f>
      </c>
      <c r="C7797" s="4" t="n">
        <v>3436.00</v>
      </c>
      <c r="D7797" s="4"/>
    </row>
    <row collapsed="" customFormat="false" customHeight="1" hidden="" ht="14" outlineLevel="0" r="7798">
      <c r="A7798" s="3" t="inlineStr">
        <is>
          <t>7766</t>
        </is>
      </c>
      <c r="B7798" s="4" t="s">
        <f>=HYPERLINK("http://anyluxury.ru/shop/odezhda/dzhempery/pulover-muzhskoy-glory-men-cherniy-melanzh-01710348/" , "01710348 Пуловер мужской GLORY MEN черный меланж, размер XL")</f>
      </c>
      <c r="C7798" s="4" t="n">
        <v>3436.00</v>
      </c>
      <c r="D7798" s="4"/>
    </row>
    <row collapsed="" customFormat="false" customHeight="1" hidden="" ht="14" outlineLevel="0" r="7799">
      <c r="A7799" s="3" t="inlineStr">
        <is>
          <t>7767</t>
        </is>
      </c>
      <c r="B7799" s="4" t="s">
        <f>=HYPERLINK("http://anyluxury.ru/shop/odezhda/dzhempery/pulover-muzhskoy-glory-men-cherniy-melanzh-01710348/" , "01710348 Пуловер мужской GLORY MEN черный меланж, размер XXL")</f>
      </c>
      <c r="C7799" s="4" t="n">
        <v>3436.00</v>
      </c>
      <c r="D7799" s="4"/>
    </row>
    <row collapsed="" customFormat="false" customHeight="1" hidden="" ht="14" outlineLevel="0" r="7800">
      <c r="A7800" s="3" t="inlineStr">
        <is>
          <t>7768</t>
        </is>
      </c>
      <c r="B7800" s="4" t="s">
        <f>=HYPERLINK("http://anyluxury.ru/shop/odezhda/dzhempery/pulover-muzhskoy-glory-men-cherniy-melanzh-01710348/" , "01710348 Пуловер мужской GLORY MEN черный меланж, размер 3XL")</f>
      </c>
      <c r="C7800" s="4" t="n">
        <v>3947.00</v>
      </c>
      <c r="D7800" s="4"/>
    </row>
    <row collapsed="" customFormat="false" customHeight="1" hidden="" ht="14" outlineLevel="0" r="7801">
      <c r="A7801" s="3" t="inlineStr">
        <is>
          <t>7769</t>
        </is>
      </c>
      <c r="B7801" s="4" t="s">
        <f>=HYPERLINK("http://anyluxury.ru/shop/odezhda/dzhempery/pulover-muzhskoy-glory-men-temnosiniy-01710319/" , "01710319 Пуловер мужской GLORY MEN темно-синий, размер S")</f>
      </c>
      <c r="C7801" s="4" t="n">
        <v>3436.00</v>
      </c>
      <c r="D7801" s="4"/>
    </row>
    <row collapsed="" customFormat="false" customHeight="1" hidden="" ht="14" outlineLevel="0" r="7802">
      <c r="A7802" s="3" t="inlineStr">
        <is>
          <t>7770</t>
        </is>
      </c>
      <c r="B7802" s="4" t="s">
        <f>=HYPERLINK("http://anyluxury.ru/shop/odezhda/dzhempery/pulover-muzhskoy-glory-men-temnosiniy-01710319/" , "01710319 Пуловер мужской GLORY MEN темно-синий, размер M")</f>
      </c>
      <c r="C7802" s="4" t="n">
        <v>3436.00</v>
      </c>
      <c r="D7802" s="4"/>
    </row>
    <row collapsed="" customFormat="false" customHeight="1" hidden="" ht="14" outlineLevel="0" r="7803">
      <c r="A7803" s="3" t="inlineStr">
        <is>
          <t>7771</t>
        </is>
      </c>
      <c r="B7803" s="4" t="s">
        <f>=HYPERLINK("http://anyluxury.ru/shop/odezhda/dzhempery/pulover-muzhskoy-glory-men-temnosiniy-01710319/" , "01710319 Пуловер мужской GLORY MEN темно-синий, размер L")</f>
      </c>
      <c r="C7803" s="4" t="n">
        <v>3436.00</v>
      </c>
      <c r="D7803" s="4"/>
    </row>
    <row collapsed="" customFormat="false" customHeight="1" hidden="" ht="14" outlineLevel="0" r="7804">
      <c r="A7804" s="3" t="inlineStr">
        <is>
          <t>7772</t>
        </is>
      </c>
      <c r="B7804" s="4" t="s">
        <f>=HYPERLINK("http://anyluxury.ru/shop/odezhda/dzhempery/pulover-muzhskoy-glory-men-temnosiniy-01710319/" , "01710319 Пуловер мужской GLORY MEN темно-синий, размер XL")</f>
      </c>
      <c r="C7804" s="4" t="n">
        <v>3436.00</v>
      </c>
      <c r="D7804" s="4"/>
    </row>
    <row collapsed="" customFormat="false" customHeight="1" hidden="" ht="14" outlineLevel="0" r="7805">
      <c r="A7805" s="3" t="inlineStr">
        <is>
          <t>7773</t>
        </is>
      </c>
      <c r="B7805" s="4" t="s">
        <f>=HYPERLINK("http://anyluxury.ru/shop/odezhda/dzhempery/pulover-muzhskoy-glory-men-temnosiniy-01710319/" , "01710319 Пуловер мужской GLORY MEN темно-синий, размер XXL")</f>
      </c>
      <c r="C7805" s="4" t="n">
        <v>3436.00</v>
      </c>
      <c r="D7805" s="4"/>
    </row>
    <row collapsed="" customFormat="false" customHeight="1" hidden="" ht="14" outlineLevel="0" r="7806">
      <c r="A7806" s="3" t="inlineStr">
        <is>
          <t>7774</t>
        </is>
      </c>
      <c r="B7806" s="4" t="s">
        <f>=HYPERLINK("http://anyluxury.ru/shop/odezhda/dzhempery/pulover-muzhskoy-glory-men-temnosiniy-01710319/" , "01710319 Пуловер мужской GLORY MEN темно-синий, размер 3XL")</f>
      </c>
      <c r="C7806" s="4" t="n">
        <v>3947.00</v>
      </c>
      <c r="D7806" s="4"/>
    </row>
    <row collapsed="" customFormat="false" customHeight="1" hidden="" ht="14" outlineLevel="0" r="7807">
      <c r="A7807" s="3" t="inlineStr">
        <is>
          <t>7775</t>
        </is>
      </c>
      <c r="B7807" s="4" t="s">
        <f>=HYPERLINK("http://anyluxury.ru/shop/odezhda/dzhempery/pulover-muzhskoy-glory-men-seriy-melanzh-01710350/" , "01710350 Пуловер мужской GLORY MEN серый меланж, размер S")</f>
      </c>
      <c r="C7807" s="4" t="n">
        <v>3436.00</v>
      </c>
      <c r="D7807" s="4"/>
    </row>
    <row collapsed="" customFormat="false" customHeight="1" hidden="" ht="14" outlineLevel="0" r="7808">
      <c r="A7808" s="3" t="inlineStr">
        <is>
          <t>7776</t>
        </is>
      </c>
      <c r="B7808" s="4" t="s">
        <f>=HYPERLINK("http://anyluxury.ru/shop/odezhda/dzhempery/pulover-muzhskoy-glory-men-seriy-melanzh-01710350/" , "01710350 Пуловер мужской GLORY MEN серый меланж, размер M")</f>
      </c>
      <c r="C7808" s="4" t="n">
        <v>3436.00</v>
      </c>
      <c r="D7808" s="4"/>
    </row>
    <row collapsed="" customFormat="false" customHeight="1" hidden="" ht="14" outlineLevel="0" r="7809">
      <c r="A7809" s="3" t="inlineStr">
        <is>
          <t>7777</t>
        </is>
      </c>
      <c r="B7809" s="4" t="s">
        <f>=HYPERLINK("http://anyluxury.ru/shop/odezhda/dzhempery/pulover-muzhskoy-glory-men-seriy-melanzh-01710350/" , "01710350 Пуловер мужской GLORY MEN серый меланж, размер L")</f>
      </c>
      <c r="C7809" s="4" t="n">
        <v>3436.00</v>
      </c>
      <c r="D7809" s="4"/>
    </row>
    <row collapsed="" customFormat="false" customHeight="1" hidden="" ht="14" outlineLevel="0" r="7810">
      <c r="A7810" s="3" t="inlineStr">
        <is>
          <t>7778</t>
        </is>
      </c>
      <c r="B7810" s="4" t="s">
        <f>=HYPERLINK("http://anyluxury.ru/shop/odezhda/dzhempery/pulover-muzhskoy-glory-men-seriy-melanzh-01710350/" , "01710350 Пуловер мужской GLORY MEN серый меланж, размер XL")</f>
      </c>
      <c r="C7810" s="4" t="n">
        <v>3436.00</v>
      </c>
      <c r="D7810" s="4"/>
    </row>
    <row collapsed="" customFormat="false" customHeight="1" hidden="" ht="14" outlineLevel="0" r="7811">
      <c r="A7811" s="3" t="inlineStr">
        <is>
          <t>7779</t>
        </is>
      </c>
      <c r="B7811" s="4" t="s">
        <f>=HYPERLINK("http://anyluxury.ru/shop/odezhda/dzhempery/pulover-muzhskoy-glory-men-seriy-melanzh-01710350/" , "01710350 Пуловер мужской GLORY MEN серый меланж, размер XXL")</f>
      </c>
      <c r="C7811" s="4" t="n">
        <v>3436.00</v>
      </c>
      <c r="D7811" s="4"/>
    </row>
    <row collapsed="" customFormat="false" customHeight="1" hidden="" ht="14" outlineLevel="0" r="7812">
      <c r="A7812" s="3" t="inlineStr">
        <is>
          <t>7780</t>
        </is>
      </c>
      <c r="B7812" s="4" t="s">
        <f>=HYPERLINK("http://anyluxury.ru/shop/odezhda/dzhempery/pulover-muzhskoy-glory-men-seriy-melanzh-01710350/" , "01710350 Пуловер мужской GLORY MEN серый меланж, размер 3XL")</f>
      </c>
      <c r="C7812" s="4" t="n">
        <v>3947.00</v>
      </c>
      <c r="D7812" s="4"/>
    </row>
    <row collapsed="" customFormat="false" customHeight="1" hidden="" ht="14" outlineLevel="0" r="7813">
      <c r="A7813" s="3" t="inlineStr">
        <is>
          <t>7781</t>
        </is>
      </c>
      <c r="B7813" s="4" t="s">
        <f>=HYPERLINK("http://anyluxury.ru/shop/odezhda/dzhempery/pulover-muzhskoy-glory-men-bordoviy-01710167/" , "01710167 Пуловер мужской GLORY MEN бордовый, размер S")</f>
      </c>
      <c r="C7813" s="4" t="n">
        <v>3201.00</v>
      </c>
      <c r="D7813" s="4"/>
    </row>
    <row collapsed="" customFormat="false" customHeight="1" hidden="" ht="14" outlineLevel="0" r="7814">
      <c r="A7814" s="3" t="inlineStr">
        <is>
          <t>7782</t>
        </is>
      </c>
      <c r="B7814" s="4" t="s">
        <f>=HYPERLINK("http://anyluxury.ru/shop/odezhda/dzhempery/pulover-muzhskoy-glory-men-bordoviy-01710167/" , "01710167 Пуловер мужской GLORY MEN бордовый, размер M")</f>
      </c>
      <c r="C7814" s="4" t="n">
        <v>3201.00</v>
      </c>
      <c r="D7814" s="4"/>
    </row>
    <row collapsed="" customFormat="false" customHeight="1" hidden="" ht="14" outlineLevel="0" r="7815">
      <c r="A7815" s="3" t="inlineStr">
        <is>
          <t>7783</t>
        </is>
      </c>
      <c r="B7815" s="4" t="s">
        <f>=HYPERLINK("http://anyluxury.ru/shop/odezhda/dzhempery/pulover-muzhskoy-glory-men-bordoviy-01710167/" , "01710167 Пуловер мужской GLORY MEN бордовый, размер L")</f>
      </c>
      <c r="C7815" s="4" t="n">
        <v>3201.00</v>
      </c>
      <c r="D7815" s="4"/>
    </row>
    <row collapsed="" customFormat="false" customHeight="1" hidden="" ht="14" outlineLevel="0" r="7816">
      <c r="A7816" s="3" t="inlineStr">
        <is>
          <t>7784</t>
        </is>
      </c>
      <c r="B7816" s="4" t="s">
        <f>=HYPERLINK("http://anyluxury.ru/shop/odezhda/dzhempery/pulover-muzhskoy-glory-men-bordoviy-01710167/" , "01710167 Пуловер мужской GLORY MEN бордовый, размер XL")</f>
      </c>
      <c r="C7816" s="4" t="n">
        <v>3201.00</v>
      </c>
      <c r="D7816" s="4"/>
    </row>
    <row collapsed="" customFormat="false" customHeight="1" hidden="" ht="14" outlineLevel="0" r="7817">
      <c r="A7817" s="3" t="inlineStr">
        <is>
          <t>7785</t>
        </is>
      </c>
      <c r="B7817" s="4" t="s">
        <f>=HYPERLINK("http://anyluxury.ru/shop/odezhda/dzhempery/pulover-muzhskoy-glory-men-bordoviy-01710167/" , "01710167 Пуловер мужской GLORY MEN бордовый, размер XXL")</f>
      </c>
      <c r="C7817" s="4" t="n">
        <v>3201.00</v>
      </c>
      <c r="D7817" s="4"/>
    </row>
    <row collapsed="" customFormat="false" customHeight="1" hidden="" ht="14" outlineLevel="0" r="7818">
      <c r="A7818" s="3" t="inlineStr">
        <is>
          <t>7786</t>
        </is>
      </c>
      <c r="B7818" s="4" t="s">
        <f>=HYPERLINK("http://anyluxury.ru/shop/odezhda/dzhempery/pulover-muzhskoy-glory-men-bordoviy-01710167/" , "01710167 Пуловер мужской GLORY MEN бордовый, размер 3XL")</f>
      </c>
      <c r="C7818" s="4" t="n">
        <v>3671.00</v>
      </c>
      <c r="D7818" s="4"/>
    </row>
    <row collapsed="" customFormat="false" customHeight="1" hidden="" ht="14" outlineLevel="0" r="7819">
      <c r="A7819" s="3" t="inlineStr">
        <is>
          <t>7787</t>
        </is>
      </c>
      <c r="B7819" s="4" t="s">
        <f>=HYPERLINK("http://anyluxury.ru/shop/odezhda/dzhempery/pulover-muzhskoy-glory-men-siniy-ultramarin-01710238/" , "01710238 Пуловер мужской GLORY MEN синий ультрамарин, размер S")</f>
      </c>
      <c r="C7819" s="4" t="n">
        <v>3302.00</v>
      </c>
      <c r="D7819" s="4"/>
    </row>
    <row collapsed="" customFormat="false" customHeight="1" hidden="" ht="14" outlineLevel="0" r="7820">
      <c r="A7820" s="3" t="inlineStr">
        <is>
          <t>7788</t>
        </is>
      </c>
      <c r="B7820" s="4" t="s">
        <f>=HYPERLINK("http://anyluxury.ru/shop/odezhda/dzhempery/pulover-muzhskoy-glory-men-siniy-ultramarin-01710238/" , "01710238 Пуловер мужской GLORY MEN синий ультрамарин, размер M")</f>
      </c>
      <c r="C7820" s="4" t="n">
        <v>3302.00</v>
      </c>
      <c r="D7820" s="4"/>
    </row>
    <row collapsed="" customFormat="false" customHeight="1" hidden="" ht="14" outlineLevel="0" r="7821">
      <c r="A7821" s="3" t="inlineStr">
        <is>
          <t>7789</t>
        </is>
      </c>
      <c r="B7821" s="4" t="s">
        <f>=HYPERLINK("http://anyluxury.ru/shop/odezhda/dzhempery/pulover-muzhskoy-glory-men-siniy-ultramarin-01710238/" , "01710238 Пуловер мужской GLORY MEN синий ультрамарин, размер L")</f>
      </c>
      <c r="C7821" s="4" t="n">
        <v>3302.00</v>
      </c>
      <c r="D7821" s="4"/>
    </row>
    <row collapsed="" customFormat="false" customHeight="1" hidden="" ht="14" outlineLevel="0" r="7822">
      <c r="A7822" s="3" t="inlineStr">
        <is>
          <t>7790</t>
        </is>
      </c>
      <c r="B7822" s="4" t="s">
        <f>=HYPERLINK("http://anyluxury.ru/shop/odezhda/dzhempery/pulover-muzhskoy-glory-men-siniy-ultramarin-01710238/" , "01710238 Пуловер мужской GLORY MEN синий ультрамарин, размер XL")</f>
      </c>
      <c r="C7822" s="4" t="n">
        <v>3302.00</v>
      </c>
      <c r="D7822" s="4"/>
    </row>
    <row collapsed="" customFormat="false" customHeight="1" hidden="" ht="14" outlineLevel="0" r="7823">
      <c r="A7823" s="3" t="inlineStr">
        <is>
          <t>7791</t>
        </is>
      </c>
      <c r="B7823" s="4" t="s">
        <f>=HYPERLINK("http://anyluxury.ru/shop/odezhda/dzhempery/pulover-muzhskoy-glory-men-siniy-ultramarin-01710238/" , "01710238 Пуловер мужской GLORY MEN синий ультрамарин, размер XXL")</f>
      </c>
      <c r="C7823" s="4" t="n">
        <v>3302.00</v>
      </c>
      <c r="D7823" s="4"/>
    </row>
    <row collapsed="" customFormat="false" customHeight="1" hidden="" ht="14" outlineLevel="0" r="7824">
      <c r="A7824" s="3" t="inlineStr">
        <is>
          <t>7792</t>
        </is>
      </c>
      <c r="B7824" s="4" t="s">
        <f>=HYPERLINK("http://anyluxury.ru/shop/odezhda/dzhempery/pulover-muzhskoy-glory-men-siniy-ultramarin-01710238/" , "01710238 Пуловер мужской GLORY MEN синий ультрамарин, размер 3XL")</f>
      </c>
      <c r="C7824" s="4" t="n">
        <v>3794.00</v>
      </c>
      <c r="D7824" s="4"/>
    </row>
    <row collapsed="" customFormat="false" customHeight="1" hidden="" ht="14" outlineLevel="0" r="7825">
      <c r="A7825" s="3" t="inlineStr">
        <is>
          <t>7793</t>
        </is>
      </c>
      <c r="B7825" s="4" t="s">
        <f>=HYPERLINK("http://anyluxury.ru/shop/odezhda/dzhempery/pulover-zhenskiy-glory-women-cherniy-01711312/" , "01711312 Пуловер женский GLORY WOMEN черный, размер XS")</f>
      </c>
      <c r="C7825" s="4" t="n">
        <v>3379.00</v>
      </c>
      <c r="D7825" s="4"/>
    </row>
    <row collapsed="" customFormat="false" customHeight="1" hidden="" ht="14" outlineLevel="0" r="7826">
      <c r="A7826" s="3" t="inlineStr">
        <is>
          <t>7794</t>
        </is>
      </c>
      <c r="B7826" s="4" t="s">
        <f>=HYPERLINK("http://anyluxury.ru/shop/odezhda/dzhempery/pulover-zhenskiy-glory-women-cherniy-01711312/" , "01711312 Пуловер женский GLORY WOMEN черный, размер S")</f>
      </c>
      <c r="C7826" s="4" t="n">
        <v>3379.00</v>
      </c>
      <c r="D7826" s="4"/>
    </row>
    <row collapsed="" customFormat="false" customHeight="1" hidden="" ht="14" outlineLevel="0" r="7827">
      <c r="A7827" s="3" t="inlineStr">
        <is>
          <t>7795</t>
        </is>
      </c>
      <c r="B7827" s="4" t="s">
        <f>=HYPERLINK("http://anyluxury.ru/shop/odezhda/dzhempery/pulover-zhenskiy-glory-women-cherniy-01711312/" , "01711312 Пуловер женский GLORY WOMEN черный, размер M")</f>
      </c>
      <c r="C7827" s="4" t="n">
        <v>3379.00</v>
      </c>
      <c r="D7827" s="4"/>
    </row>
    <row collapsed="" customFormat="false" customHeight="1" hidden="" ht="14" outlineLevel="0" r="7828">
      <c r="A7828" s="3" t="inlineStr">
        <is>
          <t>7796</t>
        </is>
      </c>
      <c r="B7828" s="4" t="s">
        <f>=HYPERLINK("http://anyluxury.ru/shop/odezhda/dzhempery/pulover-zhenskiy-glory-women-cherniy-01711312/" , "01711312 Пуловер женский GLORY WOMEN черный, размер L")</f>
      </c>
      <c r="C7828" s="4" t="n">
        <v>3379.00</v>
      </c>
      <c r="D7828" s="4"/>
    </row>
    <row collapsed="" customFormat="false" customHeight="1" hidden="" ht="14" outlineLevel="0" r="7829">
      <c r="A7829" s="3" t="inlineStr">
        <is>
          <t>7797</t>
        </is>
      </c>
      <c r="B7829" s="4" t="s">
        <f>=HYPERLINK("http://anyluxury.ru/shop/odezhda/dzhempery/pulover-zhenskiy-glory-women-cherniy-01711312/" , "01711312 Пуловер женский GLORY WOMEN черный, размер XL")</f>
      </c>
      <c r="C7829" s="4" t="n">
        <v>3379.00</v>
      </c>
      <c r="D7829" s="4"/>
    </row>
    <row collapsed="" customFormat="false" customHeight="1" hidden="" ht="14" outlineLevel="0" r="7830">
      <c r="A7830" s="3" t="inlineStr">
        <is>
          <t>7798</t>
        </is>
      </c>
      <c r="B7830" s="4" t="s">
        <f>=HYPERLINK("http://anyluxury.ru/shop/odezhda/dzhempery/pulover-zhenskiy-glory-women-cherniy-01711312/" , "01711312 Пуловер женский GLORY WOMEN черный, размер XXL")</f>
      </c>
      <c r="C7830" s="4" t="n">
        <v>3379.00</v>
      </c>
      <c r="D7830" s="4"/>
    </row>
    <row collapsed="" customFormat="false" customHeight="1" hidden="" ht="14" outlineLevel="0" r="7831">
      <c r="A7831" s="3" t="inlineStr">
        <is>
          <t>7799</t>
        </is>
      </c>
      <c r="B7831" s="4" t="s">
        <f>=HYPERLINK("http://anyluxury.ru/shop/odezhda/dzhempery/pulover-zhenskiy-glory-women-cherniy-melanzh-01711348/" , "01711348 Пуловер женский GLORY WOMEN черный меланж, размер XS")</f>
      </c>
      <c r="C7831" s="4" t="n">
        <v>3379.00</v>
      </c>
      <c r="D7831" s="4"/>
    </row>
    <row collapsed="" customFormat="false" customHeight="1" hidden="" ht="14" outlineLevel="0" r="7832">
      <c r="A7832" s="3" t="inlineStr">
        <is>
          <t>7800</t>
        </is>
      </c>
      <c r="B7832" s="4" t="s">
        <f>=HYPERLINK("http://anyluxury.ru/shop/odezhda/dzhempery/pulover-zhenskiy-glory-women-cherniy-melanzh-01711348/" , "01711348 Пуловер женский GLORY WOMEN черный меланж, размер S")</f>
      </c>
      <c r="C7832" s="4" t="n">
        <v>3379.00</v>
      </c>
      <c r="D7832" s="4"/>
    </row>
    <row collapsed="" customFormat="false" customHeight="1" hidden="" ht="14" outlineLevel="0" r="7833">
      <c r="A7833" s="3" t="inlineStr">
        <is>
          <t>7801</t>
        </is>
      </c>
      <c r="B7833" s="4" t="s">
        <f>=HYPERLINK("http://anyluxury.ru/shop/odezhda/dzhempery/pulover-zhenskiy-glory-women-cherniy-melanzh-01711348/" , "01711348 Пуловер женский GLORY WOMEN черный меланж, размер M")</f>
      </c>
      <c r="C7833" s="4" t="n">
        <v>3379.00</v>
      </c>
      <c r="D7833" s="4"/>
    </row>
    <row collapsed="" customFormat="false" customHeight="1" hidden="" ht="14" outlineLevel="0" r="7834">
      <c r="A7834" s="3" t="inlineStr">
        <is>
          <t>7802</t>
        </is>
      </c>
      <c r="B7834" s="4" t="s">
        <f>=HYPERLINK("http://anyluxury.ru/shop/odezhda/dzhempery/pulover-zhenskiy-glory-women-cherniy-melanzh-01711348/" , "01711348 Пуловер женский GLORY WOMEN черный меланж, размер L")</f>
      </c>
      <c r="C7834" s="4" t="n">
        <v>3379.00</v>
      </c>
      <c r="D7834" s="4"/>
    </row>
    <row collapsed="" customFormat="false" customHeight="1" hidden="" ht="14" outlineLevel="0" r="7835">
      <c r="A7835" s="3" t="inlineStr">
        <is>
          <t>7803</t>
        </is>
      </c>
      <c r="B7835" s="4" t="s">
        <f>=HYPERLINK("http://anyluxury.ru/shop/odezhda/dzhempery/pulover-zhenskiy-glory-women-cherniy-melanzh-01711348/" , "01711348 Пуловер женский GLORY WOMEN черный меланж, размер XL")</f>
      </c>
      <c r="C7835" s="4" t="n">
        <v>3379.00</v>
      </c>
      <c r="D7835" s="4"/>
    </row>
    <row collapsed="" customFormat="false" customHeight="1" hidden="" ht="14" outlineLevel="0" r="7836">
      <c r="A7836" s="3" t="inlineStr">
        <is>
          <t>7804</t>
        </is>
      </c>
      <c r="B7836" s="4" t="s">
        <f>=HYPERLINK("http://anyluxury.ru/shop/odezhda/dzhempery/pulover-zhenskiy-glory-women-cherniy-melanzh-01711348/" , "01711348 Пуловер женский GLORY WOMEN черный меланж, размер XXL")</f>
      </c>
      <c r="C7836" s="4" t="n">
        <v>3379.00</v>
      </c>
      <c r="D7836" s="4"/>
    </row>
    <row collapsed="" customFormat="false" customHeight="1" hidden="" ht="14" outlineLevel="0" r="7837">
      <c r="A7837" s="3" t="inlineStr">
        <is>
          <t>7805</t>
        </is>
      </c>
      <c r="B7837" s="4" t="s">
        <f>=HYPERLINK("http://anyluxury.ru/shop/odezhda/dzhempery/pulover-zhenskiy-glory-women-temnosiniy-01711319/" , "01711319 Пуловер женский GLORY WOMEN темно-синий, размер XS")</f>
      </c>
      <c r="C7837" s="4" t="n">
        <v>3379.00</v>
      </c>
      <c r="D7837" s="4"/>
    </row>
    <row collapsed="" customFormat="false" customHeight="1" hidden="" ht="14" outlineLevel="0" r="7838">
      <c r="A7838" s="3" t="inlineStr">
        <is>
          <t>7806</t>
        </is>
      </c>
      <c r="B7838" s="4" t="s">
        <f>=HYPERLINK("http://anyluxury.ru/shop/odezhda/dzhempery/pulover-zhenskiy-glory-women-temnosiniy-01711319/" , "01711319 Пуловер женский GLORY WOMEN темно-синий, размер S")</f>
      </c>
      <c r="C7838" s="4" t="n">
        <v>3379.00</v>
      </c>
      <c r="D7838" s="4"/>
    </row>
    <row collapsed="" customFormat="false" customHeight="1" hidden="" ht="14" outlineLevel="0" r="7839">
      <c r="A7839" s="3" t="inlineStr">
        <is>
          <t>7807</t>
        </is>
      </c>
      <c r="B7839" s="4" t="s">
        <f>=HYPERLINK("http://anyluxury.ru/shop/odezhda/dzhempery/pulover-zhenskiy-glory-women-temnosiniy-01711319/" , "01711319 Пуловер женский GLORY WOMEN темно-синий, размер M")</f>
      </c>
      <c r="C7839" s="4" t="n">
        <v>3379.00</v>
      </c>
      <c r="D7839" s="4"/>
    </row>
    <row collapsed="" customFormat="false" customHeight="1" hidden="" ht="14" outlineLevel="0" r="7840">
      <c r="A7840" s="3" t="inlineStr">
        <is>
          <t>7808</t>
        </is>
      </c>
      <c r="B7840" s="4" t="s">
        <f>=HYPERLINK("http://anyluxury.ru/shop/odezhda/dzhempery/pulover-zhenskiy-glory-women-temnosiniy-01711319/" , "01711319 Пуловер женский GLORY WOMEN темно-синий, размер L")</f>
      </c>
      <c r="C7840" s="4" t="n">
        <v>3379.00</v>
      </c>
      <c r="D7840" s="4"/>
    </row>
    <row collapsed="" customFormat="false" customHeight="1" hidden="" ht="14" outlineLevel="0" r="7841">
      <c r="A7841" s="3" t="inlineStr">
        <is>
          <t>7809</t>
        </is>
      </c>
      <c r="B7841" s="4" t="s">
        <f>=HYPERLINK("http://anyluxury.ru/shop/odezhda/dzhempery/pulover-zhenskiy-glory-women-temnosiniy-01711319/" , "01711319 Пуловер женский GLORY WOMEN темно-синий, размер XL")</f>
      </c>
      <c r="C7841" s="4" t="n">
        <v>3379.00</v>
      </c>
      <c r="D7841" s="4"/>
    </row>
    <row collapsed="" customFormat="false" customHeight="1" hidden="" ht="14" outlineLevel="0" r="7842">
      <c r="A7842" s="3" t="inlineStr">
        <is>
          <t>7810</t>
        </is>
      </c>
      <c r="B7842" s="4" t="s">
        <f>=HYPERLINK("http://anyluxury.ru/shop/odezhda/dzhempery/pulover-zhenskiy-glory-women-temnosiniy-01711319/" , "01711319 Пуловер женский GLORY WOMEN темно-синий, размер XXL")</f>
      </c>
      <c r="C7842" s="4" t="n">
        <v>3379.00</v>
      </c>
      <c r="D7842" s="4"/>
    </row>
    <row collapsed="" customFormat="false" customHeight="1" hidden="" ht="14" outlineLevel="0" r="7843">
      <c r="A7843" s="3" t="inlineStr">
        <is>
          <t>7811</t>
        </is>
      </c>
      <c r="B7843" s="4" t="s">
        <f>=HYPERLINK("http://anyluxury.ru/shop/odezhda/dzhempery/pulover-zhenskiy-glory-women-seriy-melanzh-01711350/" , "01711350 Пуловер женский GLORY WOMEN серый меланж, размер XS")</f>
      </c>
      <c r="C7843" s="4" t="n">
        <v>3379.00</v>
      </c>
      <c r="D7843" s="4"/>
    </row>
    <row collapsed="" customFormat="false" customHeight="1" hidden="" ht="14" outlineLevel="0" r="7844">
      <c r="A7844" s="3" t="inlineStr">
        <is>
          <t>7812</t>
        </is>
      </c>
      <c r="B7844" s="4" t="s">
        <f>=HYPERLINK("http://anyluxury.ru/shop/odezhda/dzhempery/pulover-zhenskiy-glory-women-seriy-melanzh-01711350/" , "01711350 Пуловер женский GLORY WOMEN серый меланж, размер S")</f>
      </c>
      <c r="C7844" s="4" t="n">
        <v>3379.00</v>
      </c>
      <c r="D7844" s="4"/>
    </row>
    <row collapsed="" customFormat="false" customHeight="1" hidden="" ht="14" outlineLevel="0" r="7845">
      <c r="A7845" s="3" t="inlineStr">
        <is>
          <t>7813</t>
        </is>
      </c>
      <c r="B7845" s="4" t="s">
        <f>=HYPERLINK("http://anyluxury.ru/shop/odezhda/dzhempery/pulover-zhenskiy-glory-women-seriy-melanzh-01711350/" , "01711350 Пуловер женский GLORY WOMEN серый меланж, размер M")</f>
      </c>
      <c r="C7845" s="4" t="n">
        <v>3379.00</v>
      </c>
      <c r="D7845" s="4"/>
    </row>
    <row collapsed="" customFormat="false" customHeight="1" hidden="" ht="14" outlineLevel="0" r="7846">
      <c r="A7846" s="3" t="inlineStr">
        <is>
          <t>7814</t>
        </is>
      </c>
      <c r="B7846" s="4" t="s">
        <f>=HYPERLINK("http://anyluxury.ru/shop/odezhda/dzhempery/pulover-zhenskiy-glory-women-seriy-melanzh-01711350/" , "01711350 Пуловер женский GLORY WOMEN серый меланж, размер L")</f>
      </c>
      <c r="C7846" s="4" t="n">
        <v>3379.00</v>
      </c>
      <c r="D7846" s="4"/>
    </row>
    <row collapsed="" customFormat="false" customHeight="1" hidden="" ht="14" outlineLevel="0" r="7847">
      <c r="A7847" s="3" t="inlineStr">
        <is>
          <t>7815</t>
        </is>
      </c>
      <c r="B7847" s="4" t="s">
        <f>=HYPERLINK("http://anyluxury.ru/shop/odezhda/dzhempery/pulover-zhenskiy-glory-women-seriy-melanzh-01711350/" , "01711350 Пуловер женский GLORY WOMEN серый меланж, размер XL")</f>
      </c>
      <c r="C7847" s="4" t="n">
        <v>3379.00</v>
      </c>
      <c r="D7847" s="4"/>
    </row>
    <row collapsed="" customFormat="false" customHeight="1" hidden="" ht="14" outlineLevel="0" r="7848">
      <c r="A7848" s="3" t="inlineStr">
        <is>
          <t>7816</t>
        </is>
      </c>
      <c r="B7848" s="4" t="s">
        <f>=HYPERLINK("http://anyluxury.ru/shop/odezhda/dzhempery/pulover-zhenskiy-glory-women-seriy-melanzh-01711350/" , "01711350 Пуловер женский GLORY WOMEN серый меланж, размер XXL")</f>
      </c>
      <c r="C7848" s="4" t="n">
        <v>3379.00</v>
      </c>
      <c r="D7848" s="4"/>
    </row>
    <row collapsed="" customFormat="false" customHeight="1" hidden="" ht="14" outlineLevel="0" r="7849">
      <c r="A7849" s="3" t="inlineStr">
        <is>
          <t>7817</t>
        </is>
      </c>
      <c r="B7849" s="4" t="s">
        <f>=HYPERLINK("http://anyluxury.ru/shop/odezhda/dzhempery/pulover-zhenskiy-glory-women-bordoviy-01711167/" , "01711167 Пуловер женский GLORY WOMEN бордовый, размер XS")</f>
      </c>
      <c r="C7849" s="4" t="n">
        <v>3136.00</v>
      </c>
      <c r="D7849" s="4"/>
    </row>
    <row collapsed="" customFormat="false" customHeight="1" hidden="" ht="14" outlineLevel="0" r="7850">
      <c r="A7850" s="3" t="inlineStr">
        <is>
          <t>7818</t>
        </is>
      </c>
      <c r="B7850" s="4" t="s">
        <f>=HYPERLINK("http://anyluxury.ru/shop/odezhda/dzhempery/pulover-zhenskiy-glory-women-bordoviy-01711167/" , "01711167 Пуловер женский GLORY WOMEN бордовый, размер S")</f>
      </c>
      <c r="C7850" s="4" t="n">
        <v>3136.00</v>
      </c>
      <c r="D7850" s="4"/>
    </row>
    <row collapsed="" customFormat="false" customHeight="1" hidden="" ht="14" outlineLevel="0" r="7851">
      <c r="A7851" s="3" t="inlineStr">
        <is>
          <t>7819</t>
        </is>
      </c>
      <c r="B7851" s="4" t="s">
        <f>=HYPERLINK("http://anyluxury.ru/shop/odezhda/dzhempery/pulover-zhenskiy-glory-women-bordoviy-01711167/" , "01711167 Пуловер женский GLORY WOMEN бордовый, размер M")</f>
      </c>
      <c r="C7851" s="4" t="n">
        <v>3136.00</v>
      </c>
      <c r="D7851" s="4"/>
    </row>
    <row collapsed="" customFormat="false" customHeight="1" hidden="" ht="14" outlineLevel="0" r="7852">
      <c r="A7852" s="3" t="inlineStr">
        <is>
          <t>7820</t>
        </is>
      </c>
      <c r="B7852" s="4" t="s">
        <f>=HYPERLINK("http://anyluxury.ru/shop/odezhda/dzhempery/pulover-zhenskiy-glory-women-bordoviy-01711167/" , "01711167 Пуловер женский GLORY WOMEN бордовый, размер L")</f>
      </c>
      <c r="C7852" s="4" t="n">
        <v>3136.00</v>
      </c>
      <c r="D7852" s="4"/>
    </row>
    <row collapsed="" customFormat="false" customHeight="1" hidden="" ht="14" outlineLevel="0" r="7853">
      <c r="A7853" s="3" t="inlineStr">
        <is>
          <t>7821</t>
        </is>
      </c>
      <c r="B7853" s="4" t="s">
        <f>=HYPERLINK("http://anyluxury.ru/shop/odezhda/dzhempery/pulover-zhenskiy-glory-women-bordoviy-01711167/" , "01711167 Пуловер женский GLORY WOMEN бордовый, размер XL")</f>
      </c>
      <c r="C7853" s="4" t="n">
        <v>3136.00</v>
      </c>
      <c r="D7853" s="4"/>
    </row>
    <row collapsed="" customFormat="false" customHeight="1" hidden="" ht="14" outlineLevel="0" r="7854">
      <c r="A7854" s="3" t="inlineStr">
        <is>
          <t>7822</t>
        </is>
      </c>
      <c r="B7854" s="4" t="s">
        <f>=HYPERLINK("http://anyluxury.ru/shop/odezhda/dzhempery/pulover-zhenskiy-glory-women-bordoviy-01711167/" , "01711167 Пуловер женский GLORY WOMEN бордовый, размер XXL")</f>
      </c>
      <c r="C7854" s="4" t="n">
        <v>3136.00</v>
      </c>
      <c r="D7854" s="4"/>
    </row>
    <row collapsed="" customFormat="false" customHeight="1" hidden="" ht="14" outlineLevel="0" r="7855">
      <c r="A7855" s="3" t="inlineStr">
        <is>
          <t>7823</t>
        </is>
      </c>
      <c r="B7855" s="4" t="s">
        <f>=HYPERLINK("http://anyluxury.ru/shop/odezhda/dzhempery/pulover-zhenskiy-glory-women-siniy-ultramarin-01711238/" , "01711238 Пуловер женский GLORY WOMEN синий ультрамарин, размер XS")</f>
      </c>
      <c r="C7855" s="4" t="n">
        <v>3246.00</v>
      </c>
      <c r="D7855" s="4"/>
    </row>
    <row collapsed="" customFormat="false" customHeight="1" hidden="" ht="14" outlineLevel="0" r="7856">
      <c r="A7856" s="3" t="inlineStr">
        <is>
          <t>7824</t>
        </is>
      </c>
      <c r="B7856" s="4" t="s">
        <f>=HYPERLINK("http://anyluxury.ru/shop/odezhda/dzhempery/pulover-zhenskiy-glory-women-siniy-ultramarin-01711238/" , "01711238 Пуловер женский GLORY WOMEN синий ультрамарин, размер S")</f>
      </c>
      <c r="C7856" s="4" t="n">
        <v>3246.00</v>
      </c>
      <c r="D7856" s="4"/>
    </row>
    <row collapsed="" customFormat="false" customHeight="1" hidden="" ht="14" outlineLevel="0" r="7857">
      <c r="A7857" s="3" t="inlineStr">
        <is>
          <t>7825</t>
        </is>
      </c>
      <c r="B7857" s="4" t="s">
        <f>=HYPERLINK("http://anyluxury.ru/shop/odezhda/dzhempery/pulover-zhenskiy-glory-women-siniy-ultramarin-01711238/" , "01711238 Пуловер женский GLORY WOMEN синий ультрамарин, размер M")</f>
      </c>
      <c r="C7857" s="4" t="n">
        <v>3246.00</v>
      </c>
      <c r="D7857" s="4"/>
    </row>
    <row collapsed="" customFormat="false" customHeight="1" hidden="" ht="14" outlineLevel="0" r="7858">
      <c r="A7858" s="3" t="inlineStr">
        <is>
          <t>7826</t>
        </is>
      </c>
      <c r="B7858" s="4" t="s">
        <f>=HYPERLINK("http://anyluxury.ru/shop/odezhda/dzhempery/pulover-zhenskiy-glory-women-siniy-ultramarin-01711238/" , "01711238 Пуловер женский GLORY WOMEN синий ультрамарин, размер L")</f>
      </c>
      <c r="C7858" s="4" t="n">
        <v>3246.00</v>
      </c>
      <c r="D7858" s="4"/>
    </row>
    <row collapsed="" customFormat="false" customHeight="1" hidden="" ht="14" outlineLevel="0" r="7859">
      <c r="A7859" s="3" t="inlineStr">
        <is>
          <t>7827</t>
        </is>
      </c>
      <c r="B7859" s="4" t="s">
        <f>=HYPERLINK("http://anyluxury.ru/shop/odezhda/dzhempery/pulover-zhenskiy-glory-women-siniy-ultramarin-01711238/" , "01711238 Пуловер женский GLORY WOMEN синий ультрамарин, размер XL")</f>
      </c>
      <c r="C7859" s="4" t="n">
        <v>3246.00</v>
      </c>
      <c r="D7859" s="4"/>
    </row>
    <row collapsed="" customFormat="false" customHeight="1" hidden="" ht="14" outlineLevel="0" r="7860">
      <c r="A7860" s="3" t="inlineStr">
        <is>
          <t>7828</t>
        </is>
      </c>
      <c r="B7860" s="4" t="s">
        <f>=HYPERLINK("http://anyluxury.ru/shop/odezhda/dzhempery/pulover-zhenskiy-glory-women-siniy-ultramarin-01711238/" , "01711238 Пуловер женский GLORY WOMEN синий ультрамарин, размер XXL")</f>
      </c>
      <c r="C7860" s="4" t="n">
        <v>3246.00</v>
      </c>
      <c r="D7860" s="4"/>
    </row>
    <row collapsed="" customFormat="false" customHeight="1" hidden="" ht="14" outlineLevel="0" r="7861">
      <c r="A7861" s="3" t="inlineStr">
        <is>
          <t>7829</t>
        </is>
      </c>
      <c r="B7861" s="4" t="s">
        <f>=HYPERLINK("http://anyluxury.ru/shop/odezhda/dzhempery/kardigan-zhenskiy-griffin-cherniy-01716312/" , "01716312 Кардиган женский GRIFFIN черный, размер XS")</f>
      </c>
      <c r="C7861" s="4" t="n">
        <v>3262.00</v>
      </c>
      <c r="D7861" s="4"/>
    </row>
    <row collapsed="" customFormat="false" customHeight="1" hidden="" ht="14" outlineLevel="0" r="7862">
      <c r="A7862" s="3" t="inlineStr">
        <is>
          <t>7830</t>
        </is>
      </c>
      <c r="B7862" s="4" t="s">
        <f>=HYPERLINK("http://anyluxury.ru/shop/odezhda/dzhempery/kardigan-zhenskiy-griffin-cherniy-01716312/" , "01716312 Кардиган женский GRIFFIN черный, размер S")</f>
      </c>
      <c r="C7862" s="4" t="n">
        <v>3262.00</v>
      </c>
      <c r="D7862" s="4"/>
    </row>
    <row collapsed="" customFormat="false" customHeight="1" hidden="" ht="14" outlineLevel="0" r="7863">
      <c r="A7863" s="3" t="inlineStr">
        <is>
          <t>7831</t>
        </is>
      </c>
      <c r="B7863" s="4" t="s">
        <f>=HYPERLINK("http://anyluxury.ru/shop/odezhda/dzhempery/kardigan-zhenskiy-griffin-cherniy-01716312/" , "01716312 Кардиган женский GRIFFIN черный, размер M")</f>
      </c>
      <c r="C7863" s="4" t="n">
        <v>3262.00</v>
      </c>
      <c r="D7863" s="4"/>
    </row>
    <row collapsed="" customFormat="false" customHeight="1" hidden="" ht="14" outlineLevel="0" r="7864">
      <c r="A7864" s="3" t="inlineStr">
        <is>
          <t>7832</t>
        </is>
      </c>
      <c r="B7864" s="4" t="s">
        <f>=HYPERLINK("http://anyluxury.ru/shop/odezhda/dzhempery/kardigan-zhenskiy-griffin-cherniy-01716312/" , "01716312 Кардиган женский GRIFFIN черный, размер L")</f>
      </c>
      <c r="C7864" s="4" t="n">
        <v>3262.00</v>
      </c>
      <c r="D7864" s="4"/>
    </row>
    <row collapsed="" customFormat="false" customHeight="1" hidden="" ht="14" outlineLevel="0" r="7865">
      <c r="A7865" s="3" t="inlineStr">
        <is>
          <t>7833</t>
        </is>
      </c>
      <c r="B7865" s="4" t="s">
        <f>=HYPERLINK("http://anyluxury.ru/shop/odezhda/dzhempery/kardigan-zhenskiy-griffin-cherniy-01716312/" , "01716312 Кардиган женский GRIFFIN черный, размер XL")</f>
      </c>
      <c r="C7865" s="4" t="n">
        <v>3262.00</v>
      </c>
      <c r="D7865" s="4"/>
    </row>
    <row collapsed="" customFormat="false" customHeight="1" hidden="" ht="14" outlineLevel="0" r="7866">
      <c r="A7866" s="3" t="inlineStr">
        <is>
          <t>7834</t>
        </is>
      </c>
      <c r="B7866" s="4" t="s">
        <f>=HYPERLINK("http://anyluxury.ru/shop/odezhda/dzhempery/kardigan-zhenskiy-griffin-cherniy-01716312/" , "01716312 Кардиган женский GRIFFIN черный, размер XXL")</f>
      </c>
      <c r="C7866" s="4" t="n">
        <v>3262.00</v>
      </c>
      <c r="D7866" s="4"/>
    </row>
    <row collapsed="" customFormat="false" customHeight="1" hidden="" ht="14" outlineLevel="0" r="7867">
      <c r="A7867" s="3" t="inlineStr">
        <is>
          <t>7835</t>
        </is>
      </c>
      <c r="B7867" s="4" t="s">
        <f>=HYPERLINK("http://anyluxury.ru/shop/odezhda/dzhempery/kardigan-zhenskiy-griffin-cherniy-melanzh-01716348/" , "01716348 Кардиган женский GRIFFIN черный меланж, размер XS")</f>
      </c>
      <c r="C7867" s="4" t="n">
        <v>3262.00</v>
      </c>
      <c r="D7867" s="4"/>
    </row>
    <row collapsed="" customFormat="false" customHeight="1" hidden="" ht="14" outlineLevel="0" r="7868">
      <c r="A7868" s="3" t="inlineStr">
        <is>
          <t>7836</t>
        </is>
      </c>
      <c r="B7868" s="4" t="s">
        <f>=HYPERLINK("http://anyluxury.ru/shop/odezhda/dzhempery/kardigan-zhenskiy-griffin-cherniy-melanzh-01716348/" , "01716348 Кардиган женский GRIFFIN черный меланж, размер S")</f>
      </c>
      <c r="C7868" s="4" t="n">
        <v>3262.00</v>
      </c>
      <c r="D7868" s="4"/>
    </row>
    <row collapsed="" customFormat="false" customHeight="1" hidden="" ht="14" outlineLevel="0" r="7869">
      <c r="A7869" s="3" t="inlineStr">
        <is>
          <t>7837</t>
        </is>
      </c>
      <c r="B7869" s="4" t="s">
        <f>=HYPERLINK("http://anyluxury.ru/shop/odezhda/dzhempery/kardigan-zhenskiy-griffin-cherniy-melanzh-01716348/" , "01716348 Кардиган женский GRIFFIN черный меланж, размер M")</f>
      </c>
      <c r="C7869" s="4" t="n">
        <v>3262.00</v>
      </c>
      <c r="D7869" s="4"/>
    </row>
    <row collapsed="" customFormat="false" customHeight="1" hidden="" ht="14" outlineLevel="0" r="7870">
      <c r="A7870" s="3" t="inlineStr">
        <is>
          <t>7838</t>
        </is>
      </c>
      <c r="B7870" s="4" t="s">
        <f>=HYPERLINK("http://anyluxury.ru/shop/odezhda/dzhempery/kardigan-zhenskiy-griffin-cherniy-melanzh-01716348/" , "01716348 Кардиган женский GRIFFIN черный меланж, размер L")</f>
      </c>
      <c r="C7870" s="4" t="n">
        <v>3262.00</v>
      </c>
      <c r="D7870" s="4"/>
    </row>
    <row collapsed="" customFormat="false" customHeight="1" hidden="" ht="14" outlineLevel="0" r="7871">
      <c r="A7871" s="3" t="inlineStr">
        <is>
          <t>7839</t>
        </is>
      </c>
      <c r="B7871" s="4" t="s">
        <f>=HYPERLINK("http://anyluxury.ru/shop/odezhda/dzhempery/kardigan-zhenskiy-griffin-cherniy-melanzh-01716348/" , "01716348 Кардиган женский GRIFFIN черный меланж, размер XL")</f>
      </c>
      <c r="C7871" s="4" t="n">
        <v>3262.00</v>
      </c>
      <c r="D7871" s="4"/>
    </row>
    <row collapsed="" customFormat="false" customHeight="1" hidden="" ht="14" outlineLevel="0" r="7872">
      <c r="A7872" s="3" t="inlineStr">
        <is>
          <t>7840</t>
        </is>
      </c>
      <c r="B7872" s="4" t="s">
        <f>=HYPERLINK("http://anyluxury.ru/shop/odezhda/dzhempery/kardigan-zhenskiy-griffin-cherniy-melanzh-01716348/" , "01716348 Кардиган женский GRIFFIN черный меланж, размер XXL")</f>
      </c>
      <c r="C7872" s="4" t="n">
        <v>3262.00</v>
      </c>
      <c r="D7872" s="4"/>
    </row>
    <row collapsed="" customFormat="false" customHeight="1" hidden="" ht="14" outlineLevel="0" r="7873">
      <c r="A7873" s="3" t="inlineStr">
        <is>
          <t>7841</t>
        </is>
      </c>
      <c r="B7873" s="4" t="s">
        <f>=HYPERLINK("http://anyluxury.ru/shop/odezhda/dzhempery/kardigan-zhenskiy-griffin-seriy-melanzh-01716350/" , "01716350 Кардиган женский GRIFFIN серый меланж, размер XS")</f>
      </c>
      <c r="C7873" s="4" t="n">
        <v>3262.00</v>
      </c>
      <c r="D7873" s="4"/>
    </row>
    <row collapsed="" customFormat="false" customHeight="1" hidden="" ht="14" outlineLevel="0" r="7874">
      <c r="A7874" s="3" t="inlineStr">
        <is>
          <t>7842</t>
        </is>
      </c>
      <c r="B7874" s="4" t="s">
        <f>=HYPERLINK("http://anyluxury.ru/shop/odezhda/dzhempery/kardigan-zhenskiy-griffin-seriy-melanzh-01716350/" , "01716350 Кардиган женский GRIFFIN серый меланж, размер S")</f>
      </c>
      <c r="C7874" s="4" t="n">
        <v>3262.00</v>
      </c>
      <c r="D7874" s="4"/>
    </row>
    <row collapsed="" customFormat="false" customHeight="1" hidden="" ht="14" outlineLevel="0" r="7875">
      <c r="A7875" s="3" t="inlineStr">
        <is>
          <t>7843</t>
        </is>
      </c>
      <c r="B7875" s="4" t="s">
        <f>=HYPERLINK("http://anyluxury.ru/shop/odezhda/dzhempery/kardigan-zhenskiy-griffin-seriy-melanzh-01716350/" , "01716350 Кардиган женский GRIFFIN серый меланж, размер M")</f>
      </c>
      <c r="C7875" s="4" t="n">
        <v>3262.00</v>
      </c>
      <c r="D7875" s="4"/>
    </row>
    <row collapsed="" customFormat="false" customHeight="1" hidden="" ht="14" outlineLevel="0" r="7876">
      <c r="A7876" s="3" t="inlineStr">
        <is>
          <t>7844</t>
        </is>
      </c>
      <c r="B7876" s="4" t="s">
        <f>=HYPERLINK("http://anyluxury.ru/shop/odezhda/dzhempery/kardigan-zhenskiy-griffin-seriy-melanzh-01716350/" , "01716350 Кардиган женский GRIFFIN серый меланж, размер L")</f>
      </c>
      <c r="C7876" s="4" t="n">
        <v>3262.00</v>
      </c>
      <c r="D7876" s="4"/>
    </row>
    <row collapsed="" customFormat="false" customHeight="1" hidden="" ht="14" outlineLevel="0" r="7877">
      <c r="A7877" s="3" t="inlineStr">
        <is>
          <t>7845</t>
        </is>
      </c>
      <c r="B7877" s="4" t="s">
        <f>=HYPERLINK("http://anyluxury.ru/shop/odezhda/dzhempery/kardigan-zhenskiy-griffin-seriy-melanzh-01716350/" , "01716350 Кардиган женский GRIFFIN серый меланж, размер XL")</f>
      </c>
      <c r="C7877" s="4" t="n">
        <v>3262.00</v>
      </c>
      <c r="D7877" s="4"/>
    </row>
    <row collapsed="" customFormat="false" customHeight="1" hidden="" ht="14" outlineLevel="0" r="7878">
      <c r="A7878" s="3" t="inlineStr">
        <is>
          <t>7846</t>
        </is>
      </c>
      <c r="B7878" s="4" t="s">
        <f>=HYPERLINK("http://anyluxury.ru/shop/odezhda/dzhempery/kardigan-zhenskiy-griffin-seriy-melanzh-01716350/" , "01716350 Кардиган женский GRIFFIN серый меланж, размер XXL")</f>
      </c>
      <c r="C7878" s="4" t="n">
        <v>3262.00</v>
      </c>
      <c r="D7878" s="4"/>
    </row>
    <row collapsed="" customFormat="false" customHeight="1" hidden="" ht="14" outlineLevel="0" r="7879">
      <c r="A7879" s="3" t="inlineStr">
        <is>
          <t>7847</t>
        </is>
      </c>
      <c r="B7879" s="4" t="s">
        <f>=HYPERLINK("http://anyluxury.ru/shop/odezhda/dzhempery/kardigan-muzhskoy-griffith-cherniy-01715312/" , "01715312 Кардиган мужской GRIFFITH черный, размер S")</f>
      </c>
      <c r="C7879" s="4" t="n">
        <v>3308.00</v>
      </c>
      <c r="D7879" s="4"/>
    </row>
    <row collapsed="" customFormat="false" customHeight="1" hidden="" ht="14" outlineLevel="0" r="7880">
      <c r="A7880" s="3" t="inlineStr">
        <is>
          <t>7848</t>
        </is>
      </c>
      <c r="B7880" s="4" t="s">
        <f>=HYPERLINK("http://anyluxury.ru/shop/odezhda/dzhempery/kardigan-muzhskoy-griffith-cherniy-01715312/" , "01715312 Кардиган мужской GRIFFITH черный, размер M")</f>
      </c>
      <c r="C7880" s="4" t="n">
        <v>3308.00</v>
      </c>
      <c r="D7880" s="4"/>
    </row>
    <row collapsed="" customFormat="false" customHeight="1" hidden="" ht="14" outlineLevel="0" r="7881">
      <c r="A7881" s="3" t="inlineStr">
        <is>
          <t>7849</t>
        </is>
      </c>
      <c r="B7881" s="4" t="s">
        <f>=HYPERLINK("http://anyluxury.ru/shop/odezhda/dzhempery/kardigan-muzhskoy-griffith-cherniy-01715312/" , "01715312 Кардиган мужской GRIFFITH черный, размер L")</f>
      </c>
      <c r="C7881" s="4" t="n">
        <v>3308.00</v>
      </c>
      <c r="D7881" s="4"/>
    </row>
    <row collapsed="" customFormat="false" customHeight="1" hidden="" ht="14" outlineLevel="0" r="7882">
      <c r="A7882" s="3" t="inlineStr">
        <is>
          <t>7850</t>
        </is>
      </c>
      <c r="B7882" s="4" t="s">
        <f>=HYPERLINK("http://anyluxury.ru/shop/odezhda/dzhempery/kardigan-muzhskoy-griffith-cherniy-01715312/" , "01715312 Кардиган мужской GRIFFITH черный, размер XL")</f>
      </c>
      <c r="C7882" s="4" t="n">
        <v>3308.00</v>
      </c>
      <c r="D7882" s="4"/>
    </row>
    <row collapsed="" customFormat="false" customHeight="1" hidden="" ht="14" outlineLevel="0" r="7883">
      <c r="A7883" s="3" t="inlineStr">
        <is>
          <t>7851</t>
        </is>
      </c>
      <c r="B7883" s="4" t="s">
        <f>=HYPERLINK("http://anyluxury.ru/shop/odezhda/dzhempery/kardigan-muzhskoy-griffith-cherniy-01715312/" , "01715312 Кардиган мужской GRIFFITH черный, размер XXL")</f>
      </c>
      <c r="C7883" s="4" t="n">
        <v>3308.00</v>
      </c>
      <c r="D7883" s="4"/>
    </row>
    <row collapsed="" customFormat="false" customHeight="1" hidden="" ht="14" outlineLevel="0" r="7884">
      <c r="A7884" s="3" t="inlineStr">
        <is>
          <t>7852</t>
        </is>
      </c>
      <c r="B7884" s="4" t="s">
        <f>=HYPERLINK("http://anyluxury.ru/shop/odezhda/dzhempery/kardigan-muzhskoy-griffith-cherniy-01715312/" , "01715312 Кардиган мужской GRIFFITH черный, размер 3XL")</f>
      </c>
      <c r="C7884" s="4" t="n">
        <v>3808.00</v>
      </c>
      <c r="D7884" s="4"/>
    </row>
    <row collapsed="" customFormat="false" customHeight="1" hidden="" ht="14" outlineLevel="0" r="7885">
      <c r="A7885" s="3" t="inlineStr">
        <is>
          <t>7853</t>
        </is>
      </c>
      <c r="B7885" s="4" t="s">
        <f>=HYPERLINK("http://anyluxury.ru/shop/odezhda/dzhempery/kardigan-muzhskoy-griffith-cherniy-melanzh-01715348/" , "01715348 Кардиган мужской GRIFFITH черный меланж, размер S")</f>
      </c>
      <c r="C7885" s="4" t="n">
        <v>3308.00</v>
      </c>
      <c r="D7885" s="4"/>
    </row>
    <row collapsed="" customFormat="false" customHeight="1" hidden="" ht="14" outlineLevel="0" r="7886">
      <c r="A7886" s="3" t="inlineStr">
        <is>
          <t>7854</t>
        </is>
      </c>
      <c r="B7886" s="4" t="s">
        <f>=HYPERLINK("http://anyluxury.ru/shop/odezhda/dzhempery/kardigan-muzhskoy-griffith-cherniy-melanzh-01715348/" , "01715348 Кардиган мужской GRIFFITH черный меланж, размер M")</f>
      </c>
      <c r="C7886" s="4" t="n">
        <v>3308.00</v>
      </c>
      <c r="D7886" s="4"/>
    </row>
    <row collapsed="" customFormat="false" customHeight="1" hidden="" ht="14" outlineLevel="0" r="7887">
      <c r="A7887" s="3" t="inlineStr">
        <is>
          <t>7855</t>
        </is>
      </c>
      <c r="B7887" s="4" t="s">
        <f>=HYPERLINK("http://anyluxury.ru/shop/odezhda/dzhempery/kardigan-muzhskoy-griffith-cherniy-melanzh-01715348/" , "01715348 Кардиган мужской GRIFFITH черный меланж, размер L")</f>
      </c>
      <c r="C7887" s="4" t="n">
        <v>3308.00</v>
      </c>
      <c r="D7887" s="4"/>
    </row>
    <row collapsed="" customFormat="false" customHeight="1" hidden="" ht="14" outlineLevel="0" r="7888">
      <c r="A7888" s="3" t="inlineStr">
        <is>
          <t>7856</t>
        </is>
      </c>
      <c r="B7888" s="4" t="s">
        <f>=HYPERLINK("http://anyluxury.ru/shop/odezhda/dzhempery/kardigan-muzhskoy-griffith-cherniy-melanzh-01715348/" , "01715348 Кардиган мужской GRIFFITH черный меланж, размер XL")</f>
      </c>
      <c r="C7888" s="4" t="n">
        <v>3308.00</v>
      </c>
      <c r="D7888" s="4"/>
    </row>
    <row collapsed="" customFormat="false" customHeight="1" hidden="" ht="14" outlineLevel="0" r="7889">
      <c r="A7889" s="3" t="inlineStr">
        <is>
          <t>7857</t>
        </is>
      </c>
      <c r="B7889" s="4" t="s">
        <f>=HYPERLINK("http://anyluxury.ru/shop/odezhda/dzhempery/kardigan-muzhskoy-griffith-cherniy-melanzh-01715348/" , "01715348 Кардиган мужской GRIFFITH черный меланж, размер XXL")</f>
      </c>
      <c r="C7889" s="4" t="n">
        <v>3308.00</v>
      </c>
      <c r="D7889" s="4"/>
    </row>
    <row collapsed="" customFormat="false" customHeight="1" hidden="" ht="14" outlineLevel="0" r="7890">
      <c r="A7890" s="3" t="inlineStr">
        <is>
          <t>7858</t>
        </is>
      </c>
      <c r="B7890" s="4" t="s">
        <f>=HYPERLINK("http://anyluxury.ru/shop/odezhda/dzhempery/kardigan-muzhskoy-griffith-cherniy-melanzh-01715348/" , "01715348 Кардиган мужской GRIFFITH черный меланж, размер 3XL")</f>
      </c>
      <c r="C7890" s="4" t="n">
        <v>3808.00</v>
      </c>
      <c r="D7890" s="4"/>
    </row>
    <row collapsed="" customFormat="false" customHeight="1" hidden="" ht="14" outlineLevel="0" r="7891">
      <c r="A7891" s="3" t="inlineStr">
        <is>
          <t>7859</t>
        </is>
      </c>
      <c r="B7891" s="4" t="s">
        <f>=HYPERLINK("http://anyluxury.ru/shop/odezhda/dzhempery/kardigan-muzhskoy-griffith-seriy-melanzh-01715350/" , "01715350 Кардиган мужской GRIFFITH серый меланж, размер S")</f>
      </c>
      <c r="C7891" s="4" t="n">
        <v>3308.00</v>
      </c>
      <c r="D7891" s="4"/>
    </row>
    <row collapsed="" customFormat="false" customHeight="1" hidden="" ht="14" outlineLevel="0" r="7892">
      <c r="A7892" s="3" t="inlineStr">
        <is>
          <t>7860</t>
        </is>
      </c>
      <c r="B7892" s="4" t="s">
        <f>=HYPERLINK("http://anyluxury.ru/shop/odezhda/dzhempery/kardigan-muzhskoy-griffith-seriy-melanzh-01715350/" , "01715350 Кардиган мужской GRIFFITH серый меланж, размер M")</f>
      </c>
      <c r="C7892" s="4" t="n">
        <v>3308.00</v>
      </c>
      <c r="D7892" s="4"/>
    </row>
    <row collapsed="" customFormat="false" customHeight="1" hidden="" ht="14" outlineLevel="0" r="7893">
      <c r="A7893" s="3" t="inlineStr">
        <is>
          <t>7861</t>
        </is>
      </c>
      <c r="B7893" s="4" t="s">
        <f>=HYPERLINK("http://anyluxury.ru/shop/odezhda/dzhempery/kardigan-muzhskoy-griffith-seriy-melanzh-01715350/" , "01715350 Кардиган мужской GRIFFITH серый меланж, размер L")</f>
      </c>
      <c r="C7893" s="4" t="n">
        <v>3308.00</v>
      </c>
      <c r="D7893" s="4"/>
    </row>
    <row collapsed="" customFormat="false" customHeight="1" hidden="" ht="14" outlineLevel="0" r="7894">
      <c r="A7894" s="3" t="inlineStr">
        <is>
          <t>7862</t>
        </is>
      </c>
      <c r="B7894" s="4" t="s">
        <f>=HYPERLINK("http://anyluxury.ru/shop/odezhda/dzhempery/kardigan-muzhskoy-griffith-seriy-melanzh-01715350/" , "01715350 Кардиган мужской GRIFFITH серый меланж, размер XL")</f>
      </c>
      <c r="C7894" s="4" t="n">
        <v>3308.00</v>
      </c>
      <c r="D7894" s="4"/>
    </row>
    <row collapsed="" customFormat="false" customHeight="1" hidden="" ht="14" outlineLevel="0" r="7895">
      <c r="A7895" s="3" t="inlineStr">
        <is>
          <t>7863</t>
        </is>
      </c>
      <c r="B7895" s="4" t="s">
        <f>=HYPERLINK("http://anyluxury.ru/shop/odezhda/dzhempery/kardigan-muzhskoy-griffith-seriy-melanzh-01715350/" , "01715350 Кардиган мужской GRIFFITH серый меланж, размер XXL")</f>
      </c>
      <c r="C7895" s="4" t="n">
        <v>3308.00</v>
      </c>
      <c r="D7895" s="4"/>
    </row>
    <row collapsed="" customFormat="false" customHeight="1" hidden="" ht="14" outlineLevel="0" r="7896">
      <c r="A7896" s="3" t="inlineStr">
        <is>
          <t>7864</t>
        </is>
      </c>
      <c r="B7896" s="4" t="s">
        <f>=HYPERLINK("http://anyluxury.ru/shop/odezhda/dzhempery/kardigan-muzhskoy-griffith-seriy-melanzh-01715350/" , "01715350 Кардиган мужской GRIFFITH серый меланж, размер 3XL")</f>
      </c>
      <c r="C7896" s="4" t="n">
        <v>3808.00</v>
      </c>
      <c r="D7896" s="4"/>
    </row>
    <row collapsed="" customFormat="false" customHeight="1" hidden="" ht="14" outlineLevel="0" r="7897">
      <c r="A7897" s="3" t="inlineStr">
        <is>
          <t>7865</t>
        </is>
      </c>
      <c r="B7897" s="4" t="s">
        <f>=HYPERLINK("http://anyluxury.ru/shop/odezhda/dzhempery/dzhemper-madmade-1007750/" , "10077.50 Джемпер MadMade, размер S")</f>
      </c>
      <c r="C7897" s="4" t="n">
        <v>1573.00</v>
      </c>
      <c r="D7897" s="4"/>
    </row>
    <row collapsed="" customFormat="false" customHeight="1" hidden="" ht="14" outlineLevel="0" r="7898">
      <c r="A7898" s="3" t="inlineStr">
        <is>
          <t>7866</t>
        </is>
      </c>
      <c r="B7898" s="4" t="s">
        <f>=HYPERLINK("http://anyluxury.ru/shop/odezhda/dzhempery/dzhemper-madmade-1007750/" , "10077.50 Джемпер MadMade, размер XS")</f>
      </c>
      <c r="C7898" s="4" t="n">
        <v>1573.00</v>
      </c>
      <c r="D7898" s="4"/>
    </row>
    <row collapsed="" customFormat="false" customHeight="1" hidden="" ht="14" outlineLevel="0" r="7899">
      <c r="A7899" s="3" t="inlineStr">
        <is>
          <t>7867</t>
        </is>
      </c>
      <c r="B7899" s="4" t="s">
        <f>=HYPERLINK("http://anyluxury.ru/shop/odezhda/dzhempery/dzhemper-pick-the-berry-siniy-1032945/" , "10329.45 Джемпер Брусника, синий, размер XS")</f>
      </c>
      <c r="C7899" s="4" t="n">
        <v>1200.00</v>
      </c>
      <c r="D7899" s="4"/>
    </row>
    <row collapsed="" customFormat="false" customHeight="1" hidden="" ht="14" outlineLevel="0" r="7900">
      <c r="A7900" s="3" t="inlineStr">
        <is>
          <t>7868</t>
        </is>
      </c>
      <c r="B7900" s="4" t="s">
        <f>=HYPERLINK("http://anyluxury.ru/shop/odezhda/dzhempery/dzhemper-pick-the-berry-siniy-1032945/" , "10329.45 Джемпер Брусника, синий, размер S")</f>
      </c>
      <c r="C7900" s="4" t="n">
        <v>1200.00</v>
      </c>
      <c r="D7900" s="4"/>
    </row>
    <row collapsed="" customFormat="false" customHeight="1" hidden="" ht="14" outlineLevel="0" r="7901">
      <c r="A7901" s="3" t="inlineStr">
        <is>
          <t>7869</t>
        </is>
      </c>
      <c r="B7901" s="4" t="s">
        <f>=HYPERLINK("http://anyluxury.ru/shop/odezhda/dzhempery/dzhemper-merry-fellow-1107640/" , "11076.40 Джемпер Пингвины, размер XS")</f>
      </c>
      <c r="C7901" s="4" t="n">
        <v>1320.00</v>
      </c>
      <c r="D7901" s="4"/>
    </row>
    <row collapsed="" customFormat="false" customHeight="1" hidden="" ht="14" outlineLevel="0" r="7902">
      <c r="A7902" s="3" t="inlineStr">
        <is>
          <t>7870</t>
        </is>
      </c>
      <c r="B7902" s="4" t="s">
        <f>=HYPERLINK("http://anyluxury.ru/shop/odezhda/dzhempery/dzhemper-merry-fellow-1107640/" , "11076.40 Джемпер Пингвины, размер S")</f>
      </c>
      <c r="C7902" s="4" t="n">
        <v>1320.00</v>
      </c>
      <c r="D7902" s="4"/>
    </row>
    <row collapsed="" customFormat="false" customHeight="1" hidden="" ht="14" outlineLevel="0" r="7903">
      <c r="A7903" s="3" t="inlineStr">
        <is>
          <t>7871</t>
        </is>
      </c>
      <c r="B7903" s="4" t="s">
        <f>=HYPERLINK("http://anyluxury.ru/shop/odezhda/dzhempery/dzhemper-merry-fellow-1107640/" , "11076.40 Джемпер Пингвины, размер M")</f>
      </c>
      <c r="C7903" s="4" t="n">
        <v>1320.00</v>
      </c>
      <c r="D7903" s="4"/>
    </row>
    <row collapsed="" customFormat="false" customHeight="1" hidden="" ht="14" outlineLevel="0" r="7904">
      <c r="A7904" s="3" t="inlineStr">
        <is>
          <t>7872</t>
        </is>
      </c>
      <c r="B7904" s="4" t="s">
        <f>=HYPERLINK("http://anyluxury.ru/shop/odezhda/dzhempery/dzhemper-merry-fellow-1107640/" , "11076.40 Джемпер Пингвины, размер L")</f>
      </c>
      <c r="C7904" s="4" t="n">
        <v>1320.00</v>
      </c>
      <c r="D7904" s="4"/>
    </row>
    <row collapsed="" customFormat="false" customHeight="1" hidden="" ht="14" outlineLevel="0" r="7905">
      <c r="A7905" s="3" t="inlineStr">
        <is>
          <t>7873</t>
        </is>
      </c>
      <c r="B7905" s="4" t="s">
        <f>=HYPERLINK("http://anyluxury.ru/shop/odezhda/dzhempery/dzhemper-merry-fellow-1107640/" , "11076.40 Джемпер Пингвины, размер XL")</f>
      </c>
      <c r="C7905" s="4" t="n">
        <v>1320.00</v>
      </c>
      <c r="D7905" s="4"/>
    </row>
    <row collapsed="" customFormat="false" customHeight="1" hidden="" ht="14" outlineLevel="0" r="7906">
      <c r="A7906" s="3" t="inlineStr">
        <is>
          <t>7874</t>
        </is>
      </c>
      <c r="B7906" s="4" t="s">
        <f>=HYPERLINK("http://anyluxury.ru/shop/odezhda/dzhempery/dzhemper-stitch-s-kontrastnoy-otdelkoy-seriy-s-bordovim-1212211/" , "12122.11 Джемпер Stitch с контрастной отделкой, серый с бордовым, размер S")</f>
      </c>
      <c r="C7906" s="4" t="n">
        <v>2735.00</v>
      </c>
      <c r="D7906" s="4"/>
    </row>
    <row collapsed="" customFormat="false" customHeight="1" hidden="" ht="14" outlineLevel="0" r="7907">
      <c r="A7907" s="3" t="inlineStr">
        <is>
          <t>7875</t>
        </is>
      </c>
      <c r="B7907" s="4" t="s">
        <f>=HYPERLINK("http://anyluxury.ru/shop/odezhda/dzhempery/dzhemper-stitch-s-kontrastnoy-otdelkoy-seriy-s-bordovim-1212211/" , "12122.11 Джемпер Stitch с контрастной отделкой, серый с бордовым, размер M")</f>
      </c>
      <c r="C7907" s="4" t="n">
        <v>2735.00</v>
      </c>
      <c r="D7907" s="4"/>
    </row>
    <row collapsed="" customFormat="false" customHeight="1" hidden="" ht="14" outlineLevel="0" r="7908">
      <c r="A7908" s="3" t="inlineStr">
        <is>
          <t>7876</t>
        </is>
      </c>
      <c r="B7908" s="4" t="s">
        <f>=HYPERLINK("http://anyluxury.ru/shop/odezhda/dzhempery/dzhemper-stitch-s-kontrastnoy-otdelkoy-seriy-s-bordovim-1212211/" , "12122.11 Джемпер Stitch с контрастной отделкой, серый с бордовым, размер L")</f>
      </c>
      <c r="C7908" s="4" t="n">
        <v>2735.00</v>
      </c>
      <c r="D7908" s="4"/>
    </row>
    <row collapsed="" customFormat="false" customHeight="1" hidden="" ht="14" outlineLevel="0" r="7909">
      <c r="A7909" s="3" t="inlineStr">
        <is>
          <t>7877</t>
        </is>
      </c>
      <c r="B7909" s="4" t="s">
        <f>=HYPERLINK("http://anyluxury.ru/shop/odezhda/dzhempery/dzhemper-stitch-s-kontrastnoy-otdelkoy-seriy-s-bordovim-1212211/" , "12122.11 Джемпер Stitch с контрастной отделкой, серый с бордовым, размер XL")</f>
      </c>
      <c r="C7909" s="4" t="n">
        <v>2735.00</v>
      </c>
      <c r="D7909" s="4"/>
    </row>
    <row collapsed="" customFormat="false" customHeight="1" hidden="" ht="14" outlineLevel="0" r="7910">
      <c r="A7910" s="3" t="inlineStr">
        <is>
          <t>7878</t>
        </is>
      </c>
      <c r="B7910" s="4" t="s">
        <f>=HYPERLINK("http://anyluxury.ru/shop/odezhda/dzhempery/dzhemper-stitch-s-kontrastnoy-otdelkoy-siniy-s-zelenim-1212249/" , "12122.49 Джемпер Stitch с контрастной отделкой, синий с зеленым, размер S")</f>
      </c>
      <c r="C7910" s="4" t="n">
        <v>2735.00</v>
      </c>
      <c r="D7910" s="4"/>
    </row>
    <row collapsed="" customFormat="false" customHeight="1" hidden="" ht="14" outlineLevel="0" r="7911">
      <c r="A7911" s="3" t="inlineStr">
        <is>
          <t>7879</t>
        </is>
      </c>
      <c r="B7911" s="4" t="s">
        <f>=HYPERLINK("http://anyluxury.ru/shop/odezhda/dzhempery/dzhemper-stitch-s-kontrastnoy-otdelkoy-siniy-s-zelenim-1212249/" , "12122.49 Джемпер Stitch с контрастной отделкой, синий с зеленым, размер M")</f>
      </c>
      <c r="C7911" s="4" t="n">
        <v>2735.00</v>
      </c>
      <c r="D7911" s="4"/>
    </row>
    <row collapsed="" customFormat="false" customHeight="1" hidden="" ht="14" outlineLevel="0" r="7912">
      <c r="A7912" s="3" t="inlineStr">
        <is>
          <t>7880</t>
        </is>
      </c>
      <c r="B7912" s="4" t="s">
        <f>=HYPERLINK("http://anyluxury.ru/shop/odezhda/dzhempery/dzhemper-stitch-s-kontrastnoy-otdelkoy-siniy-s-zelenim-1212249/" , "12122.49 Джемпер Stitch с контрастной отделкой, синий с зеленым, размер L")</f>
      </c>
      <c r="C7912" s="4" t="n">
        <v>2735.00</v>
      </c>
      <c r="D7912" s="4"/>
    </row>
    <row collapsed="" customFormat="false" customHeight="1" hidden="" ht="14" outlineLevel="0" r="7913">
      <c r="A7913" s="3" t="inlineStr">
        <is>
          <t>7881</t>
        </is>
      </c>
      <c r="B7913" s="4" t="s">
        <f>=HYPERLINK("http://anyluxury.ru/shop/odezhda/dzhempery/dzhemper-stitch-s-kontrastnoy-otdelkoy-siniy-s-zelenim-1212249/" , "12122.49 Джемпер Stitch с контрастной отделкой, синий с зеленым, размер XL")</f>
      </c>
      <c r="C7913" s="4" t="n">
        <v>2735.00</v>
      </c>
      <c r="D7913" s="4"/>
    </row>
    <row collapsed="" customFormat="false" customHeight="1" hidden="" ht="14" outlineLevel="0" r="7914">
      <c r="A7914" s="3" t="inlineStr">
        <is>
          <t>7882</t>
        </is>
      </c>
      <c r="B7914" s="4" t="s">
        <f>=HYPERLINK("http://anyluxury.ru/shop/odezhda/dzhempery/dzhemper-stitch-s-kontrastnoy-otdelkoy-bordoviy-s-sinim-1212255/" , "12122.55 Джемпер Stitch с контрастной отделкой, бордовый с синим, размер S")</f>
      </c>
      <c r="C7914" s="4" t="n">
        <v>2735.00</v>
      </c>
      <c r="D7914" s="4"/>
    </row>
    <row collapsed="" customFormat="false" customHeight="1" hidden="" ht="14" outlineLevel="0" r="7915">
      <c r="A7915" s="3" t="inlineStr">
        <is>
          <t>7883</t>
        </is>
      </c>
      <c r="B7915" s="4" t="s">
        <f>=HYPERLINK("http://anyluxury.ru/shop/odezhda/dzhempery/dzhemper-stitch-s-kontrastnoy-otdelkoy-bordoviy-s-sinim-1212255/" , "12122.55 Джемпер Stitch с контрастной отделкой, бордовый с синим, размер M")</f>
      </c>
      <c r="C7915" s="4" t="n">
        <v>2735.00</v>
      </c>
      <c r="D7915" s="4"/>
    </row>
    <row collapsed="" customFormat="false" customHeight="1" hidden="" ht="14" outlineLevel="0" r="7916">
      <c r="A7916" s="3" t="inlineStr">
        <is>
          <t>7884</t>
        </is>
      </c>
      <c r="B7916" s="4" t="s">
        <f>=HYPERLINK("http://anyluxury.ru/shop/odezhda/dzhempery/dzhemper-stitch-s-kontrastnoy-otdelkoy-bordoviy-s-sinim-1212255/" , "12122.55 Джемпер Stitch с контрастной отделкой, бордовый с синим, размер L")</f>
      </c>
      <c r="C7916" s="4" t="n">
        <v>2735.00</v>
      </c>
      <c r="D7916" s="4"/>
    </row>
    <row collapsed="" customFormat="false" customHeight="1" hidden="" ht="14" outlineLevel="0" r="7917">
      <c r="A7917" s="3" t="inlineStr">
        <is>
          <t>7885</t>
        </is>
      </c>
      <c r="B7917" s="4" t="s">
        <f>=HYPERLINK("http://anyluxury.ru/shop/odezhda/dzhempery/dzhemper-stitch-s-kontrastnoy-otdelkoy-bordoviy-s-sinim-1212255/" , "12122.55 Джемпер Stitch с контрастной отделкой, бордовый с синим, размер XL")</f>
      </c>
      <c r="C7917" s="4" t="n">
        <v>2735.00</v>
      </c>
      <c r="D7917" s="4"/>
    </row>
    <row collapsed="" customFormat="false" customHeight="1" hidden="" ht="14" outlineLevel="0" r="7918">
      <c r="A7918" s="3" t="inlineStr">
        <is>
          <t>7886</t>
        </is>
      </c>
      <c r="B7918" s="4" t="s">
        <f>=HYPERLINK("http://anyluxury.ru/shop/odezhda/dzhempery/kardigan-zhenskiy-free-flow-seriy-melanzh-1099610/" , "10996.10 Кардиган женский Free Flow, серый меланж, размер M")</f>
      </c>
      <c r="C7918" s="4" t="n">
        <v>5942.00</v>
      </c>
      <c r="D7918" s="4"/>
    </row>
    <row collapsed="" customFormat="false" customHeight="1" hidden="" ht="14" outlineLevel="0" r="7919">
      <c r="A7919" s="3" t="inlineStr">
        <is>
          <t>7887</t>
        </is>
      </c>
      <c r="B7919" s="4" t="s">
        <f>=HYPERLINK("http://anyluxury.ru/shop/odezhda/dzhempery/kardigan-zhenskiy-warmheart-korichneviy-1100059/" , "11000.59 Кардиган женский Warmheart, коричневый, размер L")</f>
      </c>
      <c r="C7919" s="4" t="n">
        <v>8317.00</v>
      </c>
      <c r="D7919" s="4"/>
    </row>
    <row collapsed="" customFormat="false" customHeight="1" hidden="" ht="14" outlineLevel="0" r="7920">
      <c r="A7920" s="3" t="inlineStr">
        <is>
          <t>7888</t>
        </is>
      </c>
      <c r="B7920" s="4" t="s">
        <f>=HYPERLINK("http://anyluxury.ru/shop/odezhda/dzhempery/dzhemper-totem-kudu-siniy-4770101/" , "47701.01 Джемпер Totem Kudu, размер XS")</f>
      </c>
      <c r="C7920" s="4" t="n">
        <v>2369.00</v>
      </c>
      <c r="D7920" s="4"/>
    </row>
    <row collapsed="" customFormat="false" customHeight="1" hidden="" ht="14" outlineLevel="0" r="7921">
      <c r="A7921" s="3" t="inlineStr">
        <is>
          <t>7889</t>
        </is>
      </c>
      <c r="B7921" s="4" t="s">
        <f>=HYPERLINK("http://anyluxury.ru/shop/odezhda/dzhempery/dzhemper-totem-kudu-siniy-4770101/" , "47701.01 Джемпер Totem Kudu, размер S")</f>
      </c>
      <c r="C7921" s="4" t="n">
        <v>2369.00</v>
      </c>
      <c r="D7921" s="4"/>
    </row>
    <row collapsed="" customFormat="false" customHeight="1" hidden="" ht="14" outlineLevel="0" r="7922">
      <c r="A7922" s="3" t="inlineStr">
        <is>
          <t>7890</t>
        </is>
      </c>
      <c r="B7922" s="4" t="s">
        <f>=HYPERLINK("http://anyluxury.ru/shop/odezhda/dzhempery/dzhemper-totem-kudu-siniy-4770101/" , "47701.01 Джемпер Totem Kudu, размер M")</f>
      </c>
      <c r="C7922" s="4" t="n">
        <v>2369.00</v>
      </c>
      <c r="D7922" s="4"/>
    </row>
    <row collapsed="" customFormat="false" customHeight="1" hidden="" ht="14" outlineLevel="0" r="7923">
      <c r="A7923" s="3" t="inlineStr">
        <is>
          <t>7891</t>
        </is>
      </c>
      <c r="B7923" s="4" t="s">
        <f>=HYPERLINK("http://anyluxury.ru/shop/odezhda/dzhempery/dzhemper-totem-kudu-siniy-4770101/" , "47701.01 Джемпер Totem Kudu, размер L")</f>
      </c>
      <c r="C7923" s="4" t="n">
        <v>2369.00</v>
      </c>
      <c r="D7923" s="4"/>
    </row>
    <row collapsed="" customFormat="false" customHeight="1" hidden="" ht="14" outlineLevel="0" r="7924">
      <c r="A7924" s="3" t="inlineStr">
        <is>
          <t>7892</t>
        </is>
      </c>
      <c r="B7924" s="4" t="s">
        <f>=HYPERLINK("http://anyluxury.ru/shop/odezhda/dzhempery/dzhemper-totem-kudu-siniy-4770101/" , "47701.01 Джемпер Totem Kudu, размер XL")</f>
      </c>
      <c r="C7924" s="4" t="n">
        <v>2369.00</v>
      </c>
      <c r="D7924" s="4"/>
    </row>
    <row collapsed="" customFormat="false" customHeight="1" hidden="" ht="14" outlineLevel="0" r="7925">
      <c r="A7925" s="3" t="inlineStr">
        <is>
          <t>7893</t>
        </is>
      </c>
      <c r="B7925" s="4" t="s">
        <f>=HYPERLINK("http://anyluxury.ru/shop/odezhda/dzhempery/dzhemper-totem-tiger-korichneviy-4770102/" , "47701.02 Джемпер Totem Tiger, размер XS")</f>
      </c>
      <c r="C7925" s="4" t="n">
        <v>2369.00</v>
      </c>
      <c r="D7925" s="4"/>
    </row>
    <row collapsed="" customFormat="false" customHeight="1" hidden="" ht="14" outlineLevel="0" r="7926">
      <c r="A7926" s="3" t="inlineStr">
        <is>
          <t>7894</t>
        </is>
      </c>
      <c r="B7926" s="4" t="s">
        <f>=HYPERLINK("http://anyluxury.ru/shop/odezhda/dzhempery/dzhemper-totem-tiger-korichneviy-4770102/" , "47701.02 Джемпер Totem Tiger, размер S")</f>
      </c>
      <c r="C7926" s="4" t="n">
        <v>2369.00</v>
      </c>
      <c r="D7926" s="4"/>
    </row>
    <row collapsed="" customFormat="false" customHeight="1" hidden="" ht="14" outlineLevel="0" r="7927">
      <c r="A7927" s="3" t="inlineStr">
        <is>
          <t>7895</t>
        </is>
      </c>
      <c r="B7927" s="4" t="s">
        <f>=HYPERLINK("http://anyluxury.ru/shop/odezhda/dzhempery/dzhemper-totem-tiger-korichneviy-4770102/" , "47701.02 Джемпер Totem Tiger, размер M")</f>
      </c>
      <c r="C7927" s="4" t="n">
        <v>2369.00</v>
      </c>
      <c r="D7927" s="4"/>
    </row>
    <row collapsed="" customFormat="false" customHeight="1" hidden="" ht="14" outlineLevel="0" r="7928">
      <c r="A7928" s="3" t="inlineStr">
        <is>
          <t>7896</t>
        </is>
      </c>
      <c r="B7928" s="4" t="s">
        <f>=HYPERLINK("http://anyluxury.ru/shop/odezhda/dzhempery/dzhemper-totem-tiger-korichneviy-4770102/" , "47701.02 Джемпер Totem Tiger, размер L")</f>
      </c>
      <c r="C7928" s="4" t="n">
        <v>2369.00</v>
      </c>
      <c r="D7928" s="4"/>
    </row>
    <row collapsed="" customFormat="false" customHeight="1" hidden="" ht="14" outlineLevel="0" r="7929">
      <c r="A7929" s="3" t="inlineStr">
        <is>
          <t>7897</t>
        </is>
      </c>
      <c r="B7929" s="4" t="s">
        <f>=HYPERLINK("http://anyluxury.ru/shop/odezhda/dzhempery/dzhemper-totem-tiger-korichneviy-4770102/" , "47701.02 Джемпер Totem Tiger, размер XL")</f>
      </c>
      <c r="C7929" s="4" t="n">
        <v>2369.00</v>
      </c>
      <c r="D7929" s="4"/>
    </row>
    <row collapsed="" customFormat="false" customHeight="1" hidden="" ht="14" outlineLevel="0" r="7930">
      <c r="A7930" s="3" t="inlineStr">
        <is>
          <t>7898</t>
        </is>
      </c>
      <c r="B7930" s="4" t="s">
        <f>=HYPERLINK("http://anyluxury.ru/shop/odezhda/dzhempery/dzhemper-totem-wolf-cherniy-4770103/" , "47701.03 Джемпер Totem Wolf, размер XS")</f>
      </c>
      <c r="C7930" s="4" t="n">
        <v>2369.00</v>
      </c>
      <c r="D7930" s="4"/>
    </row>
    <row collapsed="" customFormat="false" customHeight="1" hidden="" ht="14" outlineLevel="0" r="7931">
      <c r="A7931" s="3" t="inlineStr">
        <is>
          <t>7899</t>
        </is>
      </c>
      <c r="B7931" s="4" t="s">
        <f>=HYPERLINK("http://anyluxury.ru/shop/odezhda/dzhempery/dzhemper-totem-wolf-cherniy-4770103/" , "47701.03 Джемпер Totem Wolf, размер S")</f>
      </c>
      <c r="C7931" s="4" t="n">
        <v>2369.00</v>
      </c>
      <c r="D7931" s="4"/>
    </row>
    <row collapsed="" customFormat="false" customHeight="1" hidden="" ht="14" outlineLevel="0" r="7932">
      <c r="A7932" s="3" t="inlineStr">
        <is>
          <t>7900</t>
        </is>
      </c>
      <c r="B7932" s="4" t="s">
        <f>=HYPERLINK("http://anyluxury.ru/shop/odezhda/dzhempery/dzhemper-totem-wolf-cherniy-4770103/" , "47701.03 Джемпер Totem Wolf, размер M")</f>
      </c>
      <c r="C7932" s="4" t="n">
        <v>2369.00</v>
      </c>
      <c r="D7932" s="4"/>
    </row>
    <row collapsed="" customFormat="false" customHeight="1" hidden="" ht="14" outlineLevel="0" r="7933">
      <c r="A7933" s="3" t="inlineStr">
        <is>
          <t>7901</t>
        </is>
      </c>
      <c r="B7933" s="4" t="s">
        <f>=HYPERLINK("http://anyluxury.ru/shop/odezhda/dzhempery/dzhemper-totem-wolf-cherniy-4770103/" , "47701.03 Джемпер Totem Wolf, размер L")</f>
      </c>
      <c r="C7933" s="4" t="n">
        <v>2369.00</v>
      </c>
      <c r="D7933" s="4"/>
    </row>
    <row collapsed="" customFormat="false" customHeight="1" hidden="" ht="14" outlineLevel="0" r="7934">
      <c r="A7934" s="3" t="inlineStr">
        <is>
          <t>7902</t>
        </is>
      </c>
      <c r="B7934" s="4" t="s">
        <f>=HYPERLINK("http://anyluxury.ru/shop/odezhda/dzhempery/dzhemper-totem-wolf-cherniy-4770103/" , "47701.03 Джемпер Totem Wolf, размер XL")</f>
      </c>
      <c r="C7934" s="4" t="n">
        <v>2369.00</v>
      </c>
      <c r="D7934" s="4"/>
    </row>
    <row collapsed="" customFormat="false" customHeight="1" hidden="" ht="14" outlineLevel="0" r="7935">
      <c r="A7935" s="3" t="inlineStr">
        <is>
          <t>7903</t>
        </is>
      </c>
      <c r="B7935" s="4" t="s">
        <f>=HYPERLINK("http://anyluxury.ru/shop/odezhda/dzhempery/dzhemper-totem-fox-krasniy-4770104/" , "47701.04 Джемпер Totem Fox, размер M")</f>
      </c>
      <c r="C7935" s="4" t="n">
        <v>2369.00</v>
      </c>
      <c r="D7935" s="4"/>
    </row>
    <row collapsed="" customFormat="false" customHeight="1" hidden="" ht="14" outlineLevel="0" r="7936">
      <c r="A7936" s="3" t="inlineStr">
        <is>
          <t>7904</t>
        </is>
      </c>
      <c r="B7936" s="4" t="s">
        <f>=HYPERLINK("http://anyluxury.ru/shop/odezhda/dzhempery/dzhemper-totem-fox-krasniy-4770104/" , "47701.04 Джемпер Totem Fox, размер L")</f>
      </c>
      <c r="C7936" s="4" t="n">
        <v>2369.00</v>
      </c>
      <c r="D7936" s="4"/>
    </row>
    <row collapsed="" customFormat="false" customHeight="1" hidden="" ht="14" outlineLevel="0" r="7937">
      <c r="A7937" s="3" t="inlineStr">
        <is>
          <t>7905</t>
        </is>
      </c>
      <c r="B7937" s="4" t="s">
        <f>=HYPERLINK("http://anyluxury.ru/shop/odezhda/dzhempery/dzhemper-totem-fox-krasniy-4770104/" , "47701.04 Джемпер Totem Fox, размер XL")</f>
      </c>
      <c r="C7937" s="4" t="n">
        <v>2369.00</v>
      </c>
      <c r="D7937" s="4"/>
    </row>
    <row collapsed="" customFormat="false" customHeight="1" hidden="" ht="14" outlineLevel="0" r="7938">
      <c r="A7938" s="3" t="inlineStr">
        <is>
          <t>7906</t>
        </is>
      </c>
      <c r="B7938" s="4" t="s">
        <f>=HYPERLINK("http://anyluxury.ru/shop/odezhda/dzhempery/dzhemper-totem-bear-seriy-4770105/" , "47701.05 Джемпер Totem Bear, размер XS")</f>
      </c>
      <c r="C7938" s="4" t="n">
        <v>2369.00</v>
      </c>
      <c r="D7938" s="4"/>
    </row>
    <row collapsed="" customFormat="false" customHeight="1" hidden="" ht="14" outlineLevel="0" r="7939">
      <c r="A7939" s="3" t="inlineStr">
        <is>
          <t>7907</t>
        </is>
      </c>
      <c r="B7939" s="4" t="s">
        <f>=HYPERLINK("http://anyluxury.ru/shop/odezhda/dzhempery/dzhemper-totem-bear-seriy-4770105/" , "47701.05 Джемпер Totem Bear, размер S")</f>
      </c>
      <c r="C7939" s="4" t="n">
        <v>2369.00</v>
      </c>
      <c r="D7939" s="4"/>
    </row>
    <row collapsed="" customFormat="false" customHeight="1" hidden="" ht="14" outlineLevel="0" r="7940">
      <c r="A7940" s="3" t="inlineStr">
        <is>
          <t>7908</t>
        </is>
      </c>
      <c r="B7940" s="4" t="s">
        <f>=HYPERLINK("http://anyluxury.ru/shop/odezhda/dzhempery/dzhemper-totem-bear-seriy-4770105/" , "47701.05 Джемпер Totem Bear, размер M")</f>
      </c>
      <c r="C7940" s="4" t="n">
        <v>2369.00</v>
      </c>
      <c r="D7940" s="4"/>
    </row>
    <row collapsed="" customFormat="false" customHeight="1" hidden="" ht="14" outlineLevel="0" r="7941">
      <c r="A7941" s="3" t="inlineStr">
        <is>
          <t>7909</t>
        </is>
      </c>
      <c r="B7941" s="4" t="s">
        <f>=HYPERLINK("http://anyluxury.ru/shop/odezhda/dzhempery/dzhemper-totem-bear-seriy-4770105/" , "47701.05 Джемпер Totem Bear, размер L")</f>
      </c>
      <c r="C7941" s="4" t="n">
        <v>2369.00</v>
      </c>
      <c r="D7941" s="4"/>
    </row>
    <row collapsed="" customFormat="false" customHeight="1" hidden="" ht="14" outlineLevel="0" r="7942">
      <c r="A7942" s="3" t="inlineStr">
        <is>
          <t>7910</t>
        </is>
      </c>
      <c r="B7942" s="4" t="s">
        <f>=HYPERLINK("http://anyluxury.ru/shop/odezhda/dzhempery/dzhemper-totem-bear-seriy-4770105/" , "47701.05 Джемпер Totem Bear, размер XL")</f>
      </c>
      <c r="C7942" s="4" t="n">
        <v>2369.00</v>
      </c>
      <c r="D7942" s="4"/>
    </row>
    <row collapsed="" customFormat="false" customHeight="1" hidden="" ht="14" outlineLevel="0" r="7943">
      <c r="A7943" s="3" t="inlineStr">
        <is>
          <t>7911</t>
        </is>
      </c>
      <c r="B7943" s="4" t="s">
        <f>=HYPERLINK("http://anyluxury.ru/shop/odezhda/dzhempery/dzhemper-moola-2021258/" , "20212.58 Джемпер Moola, размер XS")</f>
      </c>
      <c r="C7943" s="4" t="n">
        <v>1200.00</v>
      </c>
      <c r="D7943" s="4"/>
    </row>
    <row collapsed="" customFormat="false" customHeight="1" hidden="" ht="14" outlineLevel="0" r="7944">
      <c r="A7944" s="3" t="inlineStr">
        <is>
          <t>7912</t>
        </is>
      </c>
      <c r="B7944" s="4" t="s">
        <f>=HYPERLINK("http://anyluxury.ru/shop/odezhda/dzhempery/dzhemper-moola-2021258/" , "20212.58 Джемпер Moola, размер S")</f>
      </c>
      <c r="C7944" s="4" t="n">
        <v>1200.00</v>
      </c>
      <c r="D7944" s="4"/>
    </row>
    <row collapsed="" customFormat="false" customHeight="1" hidden="" ht="14" outlineLevel="0" r="7945">
      <c r="A7945" s="3" t="inlineStr">
        <is>
          <t>7913</t>
        </is>
      </c>
      <c r="B7945" s="4" t="s">
        <f>=HYPERLINK("http://anyluxury.ru/shop/odezhda/dzhempery/dzhemper-moola-2021258/" , "20212.58 Джемпер Moola, размер M")</f>
      </c>
      <c r="C7945" s="4" t="n">
        <v>1200.00</v>
      </c>
      <c r="D7945" s="4"/>
    </row>
    <row collapsed="" customFormat="false" customHeight="1" hidden="" ht="14" outlineLevel="0" r="7946">
      <c r="A7946" s="3" t="inlineStr">
        <is>
          <t>7914</t>
        </is>
      </c>
      <c r="B7946" s="4" t="s">
        <f>=HYPERLINK("http://anyluxury.ru/shop/odezhda/dzhempery/dzhemper-moola-2021258/" , "20212.58 Джемпер Moola, размер L")</f>
      </c>
      <c r="C7946" s="4" t="n">
        <v>1200.00</v>
      </c>
      <c r="D7946" s="4"/>
    </row>
    <row collapsed="" customFormat="false" customHeight="1" hidden="" ht="14" outlineLevel="0" r="7947">
      <c r="A7947" s="3" t="inlineStr">
        <is>
          <t>7915</t>
        </is>
      </c>
      <c r="B7947" s="4" t="s">
        <f>=HYPERLINK("http://anyluxury.ru/shop/odezhda/dzhempery/dzhemper-kuranti-1265130/" , "12651.30 Джемпер «Куранты», размер XS")</f>
      </c>
      <c r="C7947" s="4" t="n">
        <v>2748.00</v>
      </c>
      <c r="D7947" s="4"/>
    </row>
    <row collapsed="" customFormat="false" customHeight="1" hidden="" ht="14" outlineLevel="0" r="7948">
      <c r="A7948" s="3" t="inlineStr">
        <is>
          <t>7916</t>
        </is>
      </c>
      <c r="B7948" s="4" t="s">
        <f>=HYPERLINK("http://anyluxury.ru/shop/odezhda/dzhempery/dzhemper-kuranti-1265130/" , "12651.30 Джемпер «Куранты», размер S")</f>
      </c>
      <c r="C7948" s="4" t="n">
        <v>2748.00</v>
      </c>
      <c r="D7948" s="4"/>
    </row>
    <row collapsed="" customFormat="false" customHeight="1" hidden="" ht="14" outlineLevel="0" r="7949">
      <c r="A7949" s="3" t="inlineStr">
        <is>
          <t>7917</t>
        </is>
      </c>
      <c r="B7949" s="4" t="s">
        <f>=HYPERLINK("http://anyluxury.ru/shop/odezhda/dzhempery/dzhemper-kuranti-1265130/" , "12651.30 Джемпер «Куранты», размер M")</f>
      </c>
      <c r="C7949" s="4" t="n">
        <v>2748.00</v>
      </c>
      <c r="D7949" s="4"/>
    </row>
    <row collapsed="" customFormat="false" customHeight="1" hidden="" ht="14" outlineLevel="0" r="7950">
      <c r="A7950" s="3" t="inlineStr">
        <is>
          <t>7918</t>
        </is>
      </c>
      <c r="B7950" s="4" t="s">
        <f>=HYPERLINK("http://anyluxury.ru/shop/odezhda/dzhempery/dzhemper-birds-and-berries-1538215/" , "15382.15 Джемпер Birds and Berries, размер XS")</f>
      </c>
      <c r="C7950" s="4" t="n">
        <v>2349.00</v>
      </c>
      <c r="D7950" s="4"/>
    </row>
    <row collapsed="" customFormat="false" customHeight="1" hidden="" ht="14" outlineLevel="0" r="7951">
      <c r="A7951" s="3" t="inlineStr">
        <is>
          <t>7919</t>
        </is>
      </c>
      <c r="B7951" s="4" t="s">
        <f>=HYPERLINK("http://anyluxury.ru/shop/odezhda/dzhempery/dzhemper-birds-and-berries-1538215/" , "15382.15 Джемпер Birds and Berries, размер S")</f>
      </c>
      <c r="C7951" s="4" t="n">
        <v>2349.00</v>
      </c>
      <c r="D7951" s="4"/>
    </row>
    <row collapsed="" customFormat="false" customHeight="1" hidden="" ht="14" outlineLevel="0" r="7952">
      <c r="A7952" s="3" t="inlineStr">
        <is>
          <t>7920</t>
        </is>
      </c>
      <c r="B7952" s="4" t="s">
        <f>=HYPERLINK("http://anyluxury.ru/shop/odezhda/dzhempery/dzhemper-birds-and-berries-1538215/" , "15382.15 Джемпер Birds and Berries, размер M")</f>
      </c>
      <c r="C7952" s="4" t="n">
        <v>2349.00</v>
      </c>
      <c r="D7952" s="4"/>
    </row>
    <row collapsed="" customFormat="false" customHeight="1" hidden="" ht="14" outlineLevel="0" r="7953">
      <c r="A7953" s="3" t="inlineStr">
        <is>
          <t>7921</t>
        </is>
      </c>
      <c r="B7953" s="4" t="s">
        <f>=HYPERLINK("http://anyluxury.ru/shop/odezhda/dzhempery/dzhemper-birds-and-berries-1538215/" , "15382.15 Джемпер Birds and Berries, размер L")</f>
      </c>
      <c r="C7953" s="4" t="n">
        <v>2349.00</v>
      </c>
      <c r="D7953" s="4"/>
    </row>
    <row collapsed="" customFormat="false" customHeight="1" hidden="" ht="14" outlineLevel="0" r="7954">
      <c r="A7954" s="3" t="inlineStr">
        <is>
          <t>7922</t>
        </is>
      </c>
      <c r="B7954" s="4" t="s">
        <f>=HYPERLINK("http://anyluxury.ru/shop/odezhda/dzhempery/sviter-na-zakaz-tricksy-fint-akril-1882901/" , "18829.01 Свитер на заказ Tricksy Fint, акрил")</f>
      </c>
      <c r="C7954" s="4" t="n">
        <v>5457.00</v>
      </c>
      <c r="D7954" s="4"/>
    </row>
    <row collapsed="" customFormat="false" customHeight="1" hidden="" ht="14" outlineLevel="0" r="7955">
      <c r="A7955" s="3" t="inlineStr">
        <is>
          <t>7923</t>
        </is>
      </c>
      <c r="B7955" s="4" t="s">
        <f>=HYPERLINK("http://anyluxury.ru/shop/odezhda/dzhempery/sviter-na-zakaz-tricksy-fint-polusherst-1882902/" , "18829.02 Свитер на заказ Tricksy Fint, полушерсть")</f>
      </c>
      <c r="C7955" s="4" t="n">
        <v>7288.00</v>
      </c>
      <c r="D7955" s="4"/>
    </row>
    <row collapsed="" customFormat="false" customHeight="1" hidden="" ht="14" outlineLevel="0" r="7956">
      <c r="A7956" s="3" t="inlineStr">
        <is>
          <t>7924</t>
        </is>
      </c>
      <c r="B7956" s="4" t="s">
        <f>=HYPERLINK("http://anyluxury.ru/shop/odezhda/dzhempery/sviter-na-zakaz-tricksy-net-akril-1883001/" , "18830.01 Свитер на заказ Tricksy Net, акрил")</f>
      </c>
      <c r="C7956" s="4" t="n">
        <v>6520.00</v>
      </c>
      <c r="D7956" s="4"/>
    </row>
    <row collapsed="" customFormat="false" customHeight="1" hidden="" ht="14" outlineLevel="0" r="7957">
      <c r="A7957" s="3" t="inlineStr">
        <is>
          <t>7925</t>
        </is>
      </c>
      <c r="B7957" s="4" t="s">
        <f>=HYPERLINK("http://anyluxury.ru/shop/odezhda/dzhempery/sviter-na-zakaz-tricksy-net-polusherst-1883002/" , "18830.02 Свитер на заказ Tricksy Net, полушерсть")</f>
      </c>
      <c r="C7957" s="4" t="n">
        <v>8135.00</v>
      </c>
      <c r="D7957" s="4"/>
    </row>
    <row collapsed="" customFormat="false" customHeight="1" hidden="" ht="14" outlineLevel="0" r="7958">
      <c r="A7958" s="3" t="inlineStr">
        <is>
          <t>7926</t>
        </is>
      </c>
      <c r="B7958" s="4" t="s">
        <f>=HYPERLINK("http://anyluxury.ru/shop/odezhda/dzhempery/sviter-na-zakaz-tricksy-terra-akril-1883101/" , "18831.01 Свитер на заказ Tricksy Terra, акрил")</f>
      </c>
      <c r="C7958" s="4" t="n">
        <v>5794.00</v>
      </c>
      <c r="D7958" s="4"/>
    </row>
    <row collapsed="" customFormat="false" customHeight="1" hidden="" ht="14" outlineLevel="0" r="7959">
      <c r="A7959" s="3" t="inlineStr">
        <is>
          <t>7927</t>
        </is>
      </c>
      <c r="B7959" s="4" t="s">
        <f>=HYPERLINK("http://anyluxury.ru/shop/odezhda/dzhempery/vyazanoe-hudi-uniseks-na-zakaz-betta-akril-1883201/" , "18832.01 Вязаное худи унисекс на заказ Betta, акрил")</f>
      </c>
      <c r="C7959" s="4" t="n">
        <v>5720.00</v>
      </c>
      <c r="D7959" s="4"/>
    </row>
    <row collapsed="" customFormat="false" customHeight="1" hidden="" ht="14" outlineLevel="0" r="7960">
      <c r="A7960" s="3" t="inlineStr">
        <is>
          <t>7928</t>
        </is>
      </c>
      <c r="B7960" s="4" t="s">
        <f>=HYPERLINK("http://anyluxury.ru/shop/odezhda/dzhempery/vyazanoe-hudi-uniseks-na-zakaz-betta-polusherst-1883202/" , "18832.02 Вязаное худи унисекс на заказ Betta, полушерсть")</f>
      </c>
      <c r="C7960" s="4" t="n">
        <v>7500.00</v>
      </c>
      <c r="D7960" s="4"/>
    </row>
    <row collapsed="" customFormat="false" customHeight="1" hidden="" ht="14" outlineLevel="0" r="7961">
      <c r="A7961" s="3" t="inlineStr">
        <is>
          <t>7929</t>
        </is>
      </c>
      <c r="B7961" s="4" t="s">
        <f>=HYPERLINK("http://anyluxury.ru/shop/odezhda/dzhempery/sviter-oversayz-na-zakaz-tricksy-intar-akril-1883301/" , "18833.01 Свитер оверсайз на заказ Tricksy Intar, акрил")</f>
      </c>
      <c r="C7961" s="4" t="n">
        <v>3381.00</v>
      </c>
      <c r="D7961" s="4"/>
    </row>
    <row collapsed="" customFormat="false" customHeight="1" hidden="" ht="14" outlineLevel="0" r="7962">
      <c r="A7962" s="3" t="inlineStr">
        <is>
          <t>7930</t>
        </is>
      </c>
      <c r="B7962" s="4" t="s">
        <f>=HYPERLINK("http://anyluxury.ru/shop/odezhda/dzhempery/sviter-oversayz-na-zakaz-tricksy-intar-polusherst-1883302/" , "18833.02 Свитер оверсайз на заказ Tricksy Intar, полушерсть")</f>
      </c>
      <c r="C7962" s="4" t="n">
        <v>5002.00</v>
      </c>
      <c r="D7962" s="4"/>
    </row>
    <row collapsed="" customFormat="false" customHeight="1" hidden="" ht="14" outlineLevel="0" r="7963">
      <c r="A7963" s="3" t="inlineStr">
        <is>
          <t>7931</t>
        </is>
      </c>
      <c r="B7963" s="4" t="s">
        <f>=HYPERLINK("http://anyluxury.ru/shop/odezhda/dzhempery/sviter-oversayz-na-zakaz-tricksy-net-akril-1883601/" , "18836.01 Свитер оверсайз на заказ Tricksy Net, акрил")</f>
      </c>
      <c r="C7963" s="4" t="n">
        <v>6520.00</v>
      </c>
      <c r="D7963" s="4"/>
    </row>
    <row collapsed="" customFormat="false" customHeight="1" hidden="" ht="14" outlineLevel="0" r="7964">
      <c r="A7964" s="3" t="inlineStr">
        <is>
          <t>7932</t>
        </is>
      </c>
      <c r="B7964" s="4" t="s">
        <f>=HYPERLINK("http://anyluxury.ru/shop/odezhda/dzhempery/sviter-oversayz-na-zakaz-tricksy-net-polusherst-1883602/" , "18836.02 Свитер оверсайз на заказ Tricksy Net, полушерсть")</f>
      </c>
      <c r="C7964" s="4" t="n">
        <v>8135.00</v>
      </c>
      <c r="D7964" s="4"/>
    </row>
    <row collapsed="" customFormat="false" customHeight="1" hidden="" ht="14" outlineLevel="0" r="7965">
      <c r="A7965" s="3" t="inlineStr">
        <is>
          <t>7933</t>
        </is>
      </c>
      <c r="B7965" s="4" t="s">
        <f>=HYPERLINK("http://anyluxury.ru/shop/odezhda/dzhempery/sviter-uniseks-na-zakaz-tricksy-reglan-intar-akril-1885401/" , "18854.01 Свитер унисекс на заказ Tricksy Reglan Intar, акрил")</f>
      </c>
      <c r="C7965" s="4" t="n">
        <v>4058.00</v>
      </c>
      <c r="D7965" s="4"/>
    </row>
    <row collapsed="" customFormat="false" customHeight="1" hidden="" ht="14" outlineLevel="0" r="7966">
      <c r="A7966" s="3" t="inlineStr">
        <is>
          <t>7934</t>
        </is>
      </c>
      <c r="B7966" s="4" t="s">
        <f>=HYPERLINK("http://anyluxury.ru/shop/odezhda/dzhempery/sviter-uniseks-na-zakaz-tricksy-reglan-intar-polusherst-1885402/" , "18854.02 Свитер унисекс на заказ Tricksy Reglan Intar, полушерсть")</f>
      </c>
      <c r="C7966" s="4" t="n">
        <v>6166.00</v>
      </c>
      <c r="D7966" s="4"/>
    </row>
    <row collapsed="" customFormat="false" customHeight="1" hidden="" ht="14" outlineLevel="0" r="7967">
      <c r="A7967" s="3" t="inlineStr">
        <is>
          <t>7935</t>
        </is>
      </c>
      <c r="B7967" s="4" t="s">
        <f>=HYPERLINK("http://anyluxury.ru/shop/odezhda/dzhempery/sviter-oversayz-na-zakaz-tricksy-terra-grand-na-zakaz-akril-1808601/" , "18086.01 Свитер оверсайз на заказ Tricksy Terra Grand на заказ, акрил")</f>
      </c>
      <c r="C7967" s="4" t="n">
        <v>4875.00</v>
      </c>
      <c r="D7967" s="4"/>
    </row>
    <row collapsed="" customFormat="false" customHeight="1" hidden="" ht="14" outlineLevel="0" r="7968">
      <c r="A7968" s="3" t="inlineStr">
        <is>
          <t>7936</t>
        </is>
      </c>
      <c r="B7968" s="4" t="s">
        <f>=HYPERLINK("http://anyluxury.ru/shop/odezhda/dzhempery/sviter-oversayz-na-zakaz-tricksy-terra-grand-polusherst-1808602/" , "18086.02 Свитер оверсайз на заказ Tricksy Terra Grand, полушерсть")</f>
      </c>
      <c r="C7968" s="4" t="n">
        <v>7277.00</v>
      </c>
      <c r="D7968" s="4"/>
    </row>
    <row collapsed="" customFormat="false" customHeight="1" hidden="" ht="14" outlineLevel="0" r="7969">
      <c r="A7969" s="3" t="inlineStr">
        <is>
          <t>7937</t>
        </is>
      </c>
      <c r="B7969" s="4" t="s">
        <f>=HYPERLINK("http://anyluxury.ru/shop/odezhda/dzhempery/dzhemper-oversayz-uniseks-stated-v-sumke-krasniy-1676050/" , "16760.50 Джемпер оверсайз унисекс Stated в сумке, красный, размер S/M")</f>
      </c>
      <c r="C7969" s="4" t="n">
        <v>4085.00</v>
      </c>
      <c r="D7969" s="4"/>
    </row>
    <row collapsed="" customFormat="false" customHeight="1" hidden="" ht="14" outlineLevel="0" r="7970">
      <c r="A7970" s="3" t="inlineStr">
        <is>
          <t>7938</t>
        </is>
      </c>
      <c r="B7970" s="4" t="s">
        <f>=HYPERLINK("http://anyluxury.ru/shop/odezhda/dzhempery/dzhemper-oversayz-uniseks-stated-v-sumke-zheltiy-1676080/" , "16760.80 Джемпер оверсайз унисекс Stated в сумке, желтый, размер L/XL")</f>
      </c>
      <c r="C7970" s="4" t="n">
        <v>4085.00</v>
      </c>
      <c r="D7970" s="4"/>
    </row>
    <row collapsed="" customFormat="false" customHeight="1" hidden="" ht="14" outlineLevel="0" r="7971">
      <c r="A7971" s="3" t="inlineStr">
        <is>
          <t>7939</t>
        </is>
      </c>
      <c r="B7971" s="4" t="s">
        <f>=HYPERLINK("http://anyluxury.ru/shop/odezhda/dzhempery/dzhemper-oversayz-uniseks-stated-v-sumke-cherniy-1676030/" , "16760.30 Джемпер оверсайз унисекс Stated в сумке, черный, размер S/M")</f>
      </c>
      <c r="C7971" s="4" t="n">
        <v>4085.00</v>
      </c>
      <c r="D7971" s="4"/>
    </row>
    <row collapsed="" customFormat="false" customHeight="1" hidden="" ht="14" outlineLevel="0" r="7972">
      <c r="A7972" s="3" t="inlineStr">
        <is>
          <t>7940</t>
        </is>
      </c>
      <c r="B7972" s="4" t="s">
        <f>=HYPERLINK("http://anyluxury.ru/shop/odezhda/dzhempery/dzhemper-oversayz-uniseks-grunge-v-sumke-seriy-1643411/" , "16434.11 Свитер оверсайз унисекс Grunge в сумке, серый, размер S/M")</f>
      </c>
      <c r="C7972" s="4" t="n">
        <v>4273.00</v>
      </c>
      <c r="D7972" s="4"/>
    </row>
    <row collapsed="" customFormat="false" customHeight="1" hidden="" ht="14" outlineLevel="0" r="7973">
      <c r="A7973" s="3" t="inlineStr">
        <is>
          <t>7941</t>
        </is>
      </c>
      <c r="B7973" s="4" t="s">
        <f>=HYPERLINK("http://anyluxury.ru/shop/odezhda/dzhempery/dzhemper-oversayz-uniseks-grunge-v-sumke-seriy-1643411/" , "16434.11 Джемпер оверсайз унисекс Grunge в сумке, серый, размер L/XL")</f>
      </c>
      <c r="C7973" s="4" t="n">
        <v>4273.00</v>
      </c>
      <c r="D7973" s="4"/>
    </row>
    <row collapsed="" customFormat="false" customHeight="1" hidden="" ht="14" outlineLevel="0" r="7974">
      <c r="A7974" s="3" t="inlineStr">
        <is>
          <t>7942</t>
        </is>
      </c>
      <c r="B7974" s="4" t="s">
        <f>=HYPERLINK("http://anyluxury.ru/shop/odezhda/dzhempery/dzhemper-oversayz-uniseks-grunge-v-sumke-cherniy-1643430/" , "16434.30 Джемпер оверсайз унисекс Grunge в сумке, черный, размер S/M")</f>
      </c>
      <c r="C7974" s="4" t="n">
        <v>4273.00</v>
      </c>
      <c r="D7974" s="4"/>
    </row>
    <row collapsed="" customFormat="false" customHeight="1" hidden="" ht="14" outlineLevel="0" r="7975">
      <c r="A7975" s="3" t="inlineStr">
        <is>
          <t>7943</t>
        </is>
      </c>
      <c r="B7975" s="4" t="s">
        <f>=HYPERLINK("http://anyluxury.ru/shop/odezhda/dzhempery/dzhemper-oversayz-uniseks-grunge-v-sumke-cherniy-1643430/" , "16434.30 Джемпер оверсайз унисекс Grunge в сумке, черный, размер L/XL")</f>
      </c>
      <c r="C7975" s="4" t="n">
        <v>4273.00</v>
      </c>
      <c r="D7975" s="4"/>
    </row>
    <row collapsed="" customFormat="false" customHeight="1" hidden="" ht="14" outlineLevel="0" r="7976">
      <c r="A7976" s="3" t="inlineStr">
        <is>
          <t>7944</t>
        </is>
      </c>
      <c r="B7976" s="4" t="s">
        <f>=HYPERLINK("http://anyluxury.ru/shop/odezhda/dzhempery/dzhemper-na-zakaz-tricksy-net-reglan-akril-1824401/" , "18244.01 Джемпер на заказ Tricksy Net Reglan, акрил")</f>
      </c>
      <c r="C7976" s="4" t="n">
        <v>4645.00</v>
      </c>
      <c r="D7976" s="4"/>
    </row>
    <row collapsed="" customFormat="false" customHeight="1" hidden="" ht="14" outlineLevel="0" r="7977">
      <c r="A7977" s="3" t="inlineStr">
        <is>
          <t>7945</t>
        </is>
      </c>
      <c r="B7977" s="4" t="s">
        <f>=HYPERLINK("http://anyluxury.ru/shop/odezhda/dzhempery/dzhemper-na-zakaz-tricksy-net-reglan-polusherst-1824402/" , "18244.02 Джемпер на заказ Tricksy Net Reglan, полушерсть")</f>
      </c>
      <c r="C7977" s="4" t="n">
        <v>5539.00</v>
      </c>
      <c r="D7977" s="4"/>
    </row>
    <row collapsed="" customFormat="false" customHeight="" hidden="" ht="12.1" outlineLevel="0" r="7978">
      <c r="A7978" s="5" t="inlineStr">
        <is>
          <t> -  - Жилеты</t>
        </is>
      </c>
      <c r="B7978" s="6"/>
      <c r="C7978" s="6"/>
      <c r="D7978" s="6"/>
    </row>
    <row collapsed="" customFormat="false" customHeight="1" hidden="" ht="14" outlineLevel="0" r="7979">
      <c r="A7979" s="3" t="inlineStr">
        <is>
          <t>7946</t>
        </is>
      </c>
      <c r="B7979" s="4" t="s">
        <f>=HYPERLINK("http://anyluxury.ru/shop/odezhda/zhilety/zhilet-norway-temnosiniy-navy-155440/" , "1554.40 Жилет Norway темно-синий, размер XS")</f>
      </c>
      <c r="C7979" s="4" t="n">
        <v>2372.00</v>
      </c>
      <c r="D7979" s="4"/>
    </row>
    <row collapsed="" customFormat="false" customHeight="1" hidden="" ht="14" outlineLevel="0" r="7980">
      <c r="A7980" s="3" t="inlineStr">
        <is>
          <t>7947</t>
        </is>
      </c>
      <c r="B7980" s="4" t="s">
        <f>=HYPERLINK("http://anyluxury.ru/shop/odezhda/zhilety/zhilet-norway-temnosiniy-navy-155440/" , "1554.40 Жилет Norway темно-синий, размер 3XL")</f>
      </c>
      <c r="C7980" s="4" t="n">
        <v>2804.00</v>
      </c>
      <c r="D7980" s="4"/>
    </row>
    <row collapsed="" customFormat="false" customHeight="1" hidden="" ht="14" outlineLevel="0" r="7981">
      <c r="A7981" s="3" t="inlineStr">
        <is>
          <t>7948</t>
        </is>
      </c>
      <c r="B7981" s="4" t="s">
        <f>=HYPERLINK("http://anyluxury.ru/shop/odezhda/zhilety/zhilet-norway-temnosiniy-navy-155440/" , "1554.40 Жилет Norway темно-синий, размер 4XL")</f>
      </c>
      <c r="C7981" s="4" t="n">
        <v>3288.00</v>
      </c>
      <c r="D7981" s="4"/>
    </row>
    <row collapsed="" customFormat="false" customHeight="1" hidden="" ht="14" outlineLevel="0" r="7982">
      <c r="A7982" s="3" t="inlineStr">
        <is>
          <t>7949</t>
        </is>
      </c>
      <c r="B7982" s="4" t="s">
        <f>=HYPERLINK("http://anyluxury.ru/shop/odezhda/zhilety/zhilet-norway-temnosiniy-navy-155440/" , "1554.40 Жилет Norway темно-синий, размер 5XL")</f>
      </c>
      <c r="C7982" s="4" t="n">
        <v>3288.00</v>
      </c>
      <c r="D7982" s="4"/>
    </row>
    <row collapsed="" customFormat="false" customHeight="1" hidden="" ht="14" outlineLevel="0" r="7983">
      <c r="A7983" s="3" t="inlineStr">
        <is>
          <t>7950</t>
        </is>
      </c>
      <c r="B7983" s="4" t="s">
        <f>=HYPERLINK("http://anyluxury.ru/shop/odezhda/zhilety/zhilet-norway-temnosiniy-navy-155440/" , "1554.40 Жилет Norway темно-синий, размер L")</f>
      </c>
      <c r="C7983" s="4" t="n">
        <v>2372.00</v>
      </c>
      <c r="D7983" s="4"/>
    </row>
    <row collapsed="" customFormat="false" customHeight="1" hidden="" ht="14" outlineLevel="0" r="7984">
      <c r="A7984" s="3" t="inlineStr">
        <is>
          <t>7951</t>
        </is>
      </c>
      <c r="B7984" s="4" t="s">
        <f>=HYPERLINK("http://anyluxury.ru/shop/odezhda/zhilety/zhilet-norway-temnosiniy-navy-155440/" , "1554.40 Жилет Norway темно-синий, размер S")</f>
      </c>
      <c r="C7984" s="4" t="n">
        <v>2372.00</v>
      </c>
      <c r="D7984" s="4"/>
    </row>
    <row collapsed="" customFormat="false" customHeight="1" hidden="" ht="14" outlineLevel="0" r="7985">
      <c r="A7985" s="3" t="inlineStr">
        <is>
          <t>7952</t>
        </is>
      </c>
      <c r="B7985" s="4" t="s">
        <f>=HYPERLINK("http://anyluxury.ru/shop/odezhda/zhilety/zhilet-norway-temnosiniy-navy-155440/" , "1554.40 Жилет Norway темно-синий, размер M")</f>
      </c>
      <c r="C7985" s="4" t="n">
        <v>2372.00</v>
      </c>
      <c r="D7985" s="4"/>
    </row>
    <row collapsed="" customFormat="false" customHeight="1" hidden="" ht="14" outlineLevel="0" r="7986">
      <c r="A7986" s="3" t="inlineStr">
        <is>
          <t>7953</t>
        </is>
      </c>
      <c r="B7986" s="4" t="s">
        <f>=HYPERLINK("http://anyluxury.ru/shop/odezhda/zhilety/zhilet-norway-temnosiniy-navy-155440/" , "1554.40 Жилет Norway темно-синий, размер XL")</f>
      </c>
      <c r="C7986" s="4" t="n">
        <v>2372.00</v>
      </c>
      <c r="D7986" s="4"/>
    </row>
    <row collapsed="" customFormat="false" customHeight="1" hidden="" ht="14" outlineLevel="0" r="7987">
      <c r="A7987" s="3" t="inlineStr">
        <is>
          <t>7954</t>
        </is>
      </c>
      <c r="B7987" s="4" t="s">
        <f>=HYPERLINK("http://anyluxury.ru/shop/odezhda/zhilety/zhilet-norway-temnosiniy-navy-155440/" , "1554.40 Жилет Norway темно-синий, размер XXL")</f>
      </c>
      <c r="C7987" s="4" t="n">
        <v>2372.00</v>
      </c>
      <c r="D7987" s="4"/>
    </row>
    <row collapsed="" customFormat="false" customHeight="1" hidden="" ht="14" outlineLevel="0" r="7988">
      <c r="A7988" s="3" t="inlineStr">
        <is>
          <t>7955</t>
        </is>
      </c>
      <c r="B7988" s="4" t="s">
        <f>=HYPERLINK("http://anyluxury.ru/shop/odezhda/zhilety/zhilet-norway-krasniy-155450/" , "1554.50 Жилет Norway красный, размер XS")</f>
      </c>
      <c r="C7988" s="4" t="n">
        <v>2372.00</v>
      </c>
      <c r="D7988" s="4"/>
    </row>
    <row collapsed="" customFormat="false" customHeight="1" hidden="" ht="14" outlineLevel="0" r="7989">
      <c r="A7989" s="3" t="inlineStr">
        <is>
          <t>7956</t>
        </is>
      </c>
      <c r="B7989" s="4" t="s">
        <f>=HYPERLINK("http://anyluxury.ru/shop/odezhda/zhilety/zhilet-norway-krasniy-155450/" , "1554.50 Жилет Norway красный, размер 3XL")</f>
      </c>
      <c r="C7989" s="4" t="n">
        <v>2804.00</v>
      </c>
      <c r="D7989" s="4"/>
    </row>
    <row collapsed="" customFormat="false" customHeight="1" hidden="" ht="14" outlineLevel="0" r="7990">
      <c r="A7990" s="3" t="inlineStr">
        <is>
          <t>7957</t>
        </is>
      </c>
      <c r="B7990" s="4" t="s">
        <f>=HYPERLINK("http://anyluxury.ru/shop/odezhda/zhilety/zhilet-norway-krasniy-155450/" , "1554.50 Жилет Norway красный, размер S")</f>
      </c>
      <c r="C7990" s="4" t="n">
        <v>2372.00</v>
      </c>
      <c r="D7990" s="4"/>
    </row>
    <row collapsed="" customFormat="false" customHeight="1" hidden="" ht="14" outlineLevel="0" r="7991">
      <c r="A7991" s="3" t="inlineStr">
        <is>
          <t>7958</t>
        </is>
      </c>
      <c r="B7991" s="4" t="s">
        <f>=HYPERLINK("http://anyluxury.ru/shop/odezhda/zhilety/zhilet-norway-krasniy-155450/" , "1554.50 Жилет Norway красный, размер M")</f>
      </c>
      <c r="C7991" s="4" t="n">
        <v>2372.00</v>
      </c>
      <c r="D7991" s="4"/>
    </row>
    <row collapsed="" customFormat="false" customHeight="1" hidden="" ht="14" outlineLevel="0" r="7992">
      <c r="A7992" s="3" t="inlineStr">
        <is>
          <t>7959</t>
        </is>
      </c>
      <c r="B7992" s="4" t="s">
        <f>=HYPERLINK("http://anyluxury.ru/shop/odezhda/zhilety/zhilet-norway-krasniy-155450/" , "1554.50 Жилет Norway красный, размер L")</f>
      </c>
      <c r="C7992" s="4" t="n">
        <v>2372.00</v>
      </c>
      <c r="D7992" s="4"/>
    </row>
    <row collapsed="" customFormat="false" customHeight="1" hidden="" ht="14" outlineLevel="0" r="7993">
      <c r="A7993" s="3" t="inlineStr">
        <is>
          <t>7960</t>
        </is>
      </c>
      <c r="B7993" s="4" t="s">
        <f>=HYPERLINK("http://anyluxury.ru/shop/odezhda/zhilety/zhilet-norway-krasniy-155450/" , "1554.50 Жилет Norway красный, размер XL")</f>
      </c>
      <c r="C7993" s="4" t="n">
        <v>2372.00</v>
      </c>
      <c r="D7993" s="4"/>
    </row>
    <row collapsed="" customFormat="false" customHeight="1" hidden="" ht="14" outlineLevel="0" r="7994">
      <c r="A7994" s="3" t="inlineStr">
        <is>
          <t>7961</t>
        </is>
      </c>
      <c r="B7994" s="4" t="s">
        <f>=HYPERLINK("http://anyluxury.ru/shop/odezhda/zhilety/zhilet-norway-krasniy-155450/" , "1554.50 Жилет Norway красный, размер XXL")</f>
      </c>
      <c r="C7994" s="4" t="n">
        <v>2372.00</v>
      </c>
      <c r="D7994" s="4"/>
    </row>
    <row collapsed="" customFormat="false" customHeight="1" hidden="" ht="14" outlineLevel="0" r="7995">
      <c r="A7995" s="3" t="inlineStr">
        <is>
          <t>7962</t>
        </is>
      </c>
      <c r="B7995" s="4" t="s">
        <f>=HYPERLINK("http://anyluxury.ru/shop/odezhda/zhilety/zhilet-dvustoronniy-winner-temnosiniy-267140/" , "2671.40 Жилет двусторонний WINNER, темно-синий, размер XS")</f>
      </c>
      <c r="C7995" s="4" t="n">
        <v>2731.00</v>
      </c>
      <c r="D7995" s="4"/>
    </row>
    <row collapsed="" customFormat="false" customHeight="1" hidden="" ht="14" outlineLevel="0" r="7996">
      <c r="A7996" s="3" t="inlineStr">
        <is>
          <t>7963</t>
        </is>
      </c>
      <c r="B7996" s="4" t="s">
        <f>=HYPERLINK("http://anyluxury.ru/shop/odezhda/zhilety/zhilet-dvustoronniy-winner-temnosiniy-267140/" , "2671.40 Жилет двусторонний WINNER, темно-синий, размер S")</f>
      </c>
      <c r="C7996" s="4" t="n">
        <v>2731.00</v>
      </c>
      <c r="D7996" s="4"/>
    </row>
    <row collapsed="" customFormat="false" customHeight="1" hidden="" ht="14" outlineLevel="0" r="7997">
      <c r="A7997" s="3" t="inlineStr">
        <is>
          <t>7964</t>
        </is>
      </c>
      <c r="B7997" s="4" t="s">
        <f>=HYPERLINK("http://anyluxury.ru/shop/odezhda/zhilety/zhilet-dvustoronniy-winner-temnosiniy-267140/" , "2671.40 Жилет двусторонний WINNER, темно-синий, размер M")</f>
      </c>
      <c r="C7997" s="4" t="n">
        <v>2731.00</v>
      </c>
      <c r="D7997" s="4"/>
    </row>
    <row collapsed="" customFormat="false" customHeight="1" hidden="" ht="14" outlineLevel="0" r="7998">
      <c r="A7998" s="3" t="inlineStr">
        <is>
          <t>7965</t>
        </is>
      </c>
      <c r="B7998" s="4" t="s">
        <f>=HYPERLINK("http://anyluxury.ru/shop/odezhda/zhilety/zhilet-dvustoronniy-winner-temnosiniy-267140/" , "2671.40 Жилет двусторонний WINNER, темно-синий, размер L")</f>
      </c>
      <c r="C7998" s="4" t="n">
        <v>2731.00</v>
      </c>
      <c r="D7998" s="4"/>
    </row>
    <row collapsed="" customFormat="false" customHeight="1" hidden="" ht="14" outlineLevel="0" r="7999">
      <c r="A7999" s="3" t="inlineStr">
        <is>
          <t>7966</t>
        </is>
      </c>
      <c r="B7999" s="4" t="s">
        <f>=HYPERLINK("http://anyluxury.ru/shop/odezhda/zhilety/zhilet-dvustoronniy-winner-temnosiniy-267140/" , "2671.40 Жилет двусторонний WINNER, темно-синий, размер XL")</f>
      </c>
      <c r="C7999" s="4" t="n">
        <v>2731.00</v>
      </c>
      <c r="D7999" s="4"/>
    </row>
    <row collapsed="" customFormat="false" customHeight="1" hidden="" ht="14" outlineLevel="0" r="8000">
      <c r="A8000" s="3" t="inlineStr">
        <is>
          <t>7967</t>
        </is>
      </c>
      <c r="B8000" s="4" t="s">
        <f>=HYPERLINK("http://anyluxury.ru/shop/odezhda/zhilety/zhilet-dvustoronniy-winner-temnosiniy-267140/" , "2671.40 Жилет двусторонний WINNER, темно-синий, размер XXL")</f>
      </c>
      <c r="C8000" s="4" t="n">
        <v>2731.00</v>
      </c>
      <c r="D8000" s="4"/>
    </row>
    <row collapsed="" customFormat="false" customHeight="1" hidden="" ht="14" outlineLevel="0" r="8001">
      <c r="A8001" s="3" t="inlineStr">
        <is>
          <t>7968</t>
        </is>
      </c>
      <c r="B8001" s="4" t="s">
        <f>=HYPERLINK("http://anyluxury.ru/shop/odezhda/zhilety/zhilet-fotografa-wild-200-bezheviy-609310/" , "6093.10 Жилет фотографа Wild 200 бежевый, размер S")</f>
      </c>
      <c r="C8001" s="4" t="n">
        <v>3135.00</v>
      </c>
      <c r="D8001" s="4"/>
    </row>
    <row collapsed="" customFormat="false" customHeight="1" hidden="" ht="14" outlineLevel="0" r="8002">
      <c r="A8002" s="3" t="inlineStr">
        <is>
          <t>7969</t>
        </is>
      </c>
      <c r="B8002" s="4" t="s">
        <f>=HYPERLINK("http://anyluxury.ru/shop/odezhda/zhilety/zhilet-fotografa-wild-200-bezheviy-609310/" , "6093.10 Жилет фотографа Wild 200 бежевый, размер M")</f>
      </c>
      <c r="C8002" s="4" t="n">
        <v>3135.00</v>
      </c>
      <c r="D8002" s="4"/>
    </row>
    <row collapsed="" customFormat="false" customHeight="1" hidden="" ht="14" outlineLevel="0" r="8003">
      <c r="A8003" s="3" t="inlineStr">
        <is>
          <t>7970</t>
        </is>
      </c>
      <c r="B8003" s="4" t="s">
        <f>=HYPERLINK("http://anyluxury.ru/shop/odezhda/zhilety/zhilet-fotografa-wild-200-bezheviy-609310/" , "6093.10 Жилет фотографа Wild 200 бежевый, размер XXL")</f>
      </c>
      <c r="C8003" s="4" t="n">
        <v>2580.00</v>
      </c>
      <c r="D8003" s="4"/>
    </row>
    <row collapsed="" customFormat="false" customHeight="1" hidden="" ht="14" outlineLevel="0" r="8004">
      <c r="A8004" s="3" t="inlineStr">
        <is>
          <t>7971</t>
        </is>
      </c>
      <c r="B8004" s="4" t="s">
        <f>=HYPERLINK("http://anyluxury.ru/shop/odezhda/zhilety/zhilet-fotografa-wild-200-bezheviy-609310/" , "6093.10 Жилет фотографа Wild 200 бежевый, размер L")</f>
      </c>
      <c r="C8004" s="4" t="n">
        <v>2580.00</v>
      </c>
      <c r="D8004" s="4"/>
    </row>
    <row collapsed="" customFormat="false" customHeight="1" hidden="" ht="14" outlineLevel="0" r="8005">
      <c r="A8005" s="3" t="inlineStr">
        <is>
          <t>7972</t>
        </is>
      </c>
      <c r="B8005" s="4" t="s">
        <f>=HYPERLINK("http://anyluxury.ru/shop/odezhda/zhilety/zhilet-fotografa-wild-200-bezheviy-609310/" , "6093.10 Жилет фотографа Wild 200 бежевый, размер XL")</f>
      </c>
      <c r="C8005" s="4" t="n">
        <v>2580.00</v>
      </c>
      <c r="D8005" s="4"/>
    </row>
    <row collapsed="" customFormat="false" customHeight="1" hidden="" ht="14" outlineLevel="0" r="8006">
      <c r="A8006" s="3" t="inlineStr">
        <is>
          <t>7973</t>
        </is>
      </c>
      <c r="B8006" s="4" t="s">
        <f>=HYPERLINK("http://anyluxury.ru/shop/odezhda/zhilety/zhilet-wells-temnosiniy-566640/" , "5666.40 Жилет Wells, темно-синий, размер S")</f>
      </c>
      <c r="C8006" s="4" t="n">
        <v>5740.00</v>
      </c>
      <c r="D8006" s="4"/>
    </row>
    <row collapsed="" customFormat="false" customHeight="1" hidden="" ht="14" outlineLevel="0" r="8007">
      <c r="A8007" s="3" t="inlineStr">
        <is>
          <t>7974</t>
        </is>
      </c>
      <c r="B8007" s="4" t="s">
        <f>=HYPERLINK("http://anyluxury.ru/shop/odezhda/zhilety/zhilet-wells-temnosiniy-566640/" , "5666.40 Жилет Wells, темно-синий, размер M")</f>
      </c>
      <c r="C8007" s="4" t="n">
        <v>5740.00</v>
      </c>
      <c r="D8007" s="4"/>
    </row>
    <row collapsed="" customFormat="false" customHeight="1" hidden="" ht="14" outlineLevel="0" r="8008">
      <c r="A8008" s="3" t="inlineStr">
        <is>
          <t>7975</t>
        </is>
      </c>
      <c r="B8008" s="4" t="s">
        <f>=HYPERLINK("http://anyluxury.ru/shop/odezhda/zhilety/zhilet-wells-temnosiniy-566640/" , "5666.40 Жилет Wells, темно-синий, размер XXL")</f>
      </c>
      <c r="C8008" s="4" t="n">
        <v>5740.00</v>
      </c>
      <c r="D8008" s="4"/>
    </row>
    <row collapsed="" customFormat="false" customHeight="1" hidden="" ht="14" outlineLevel="0" r="8009">
      <c r="A8009" s="3" t="inlineStr">
        <is>
          <t>7976</t>
        </is>
      </c>
      <c r="B8009" s="4" t="s">
        <f>=HYPERLINK("http://anyluxury.ru/shop/odezhda/zhilety/zhilet-wells-temnosiniy-566640/" , "5666.40 Жилет Wells темно-синий, размер 3XL")</f>
      </c>
      <c r="C8009" s="4" t="n">
        <v>7055.00</v>
      </c>
      <c r="D8009" s="4"/>
    </row>
    <row collapsed="" customFormat="false" customHeight="1" hidden="" ht="14" outlineLevel="0" r="8010">
      <c r="A8010" s="3" t="inlineStr">
        <is>
          <t>7977</t>
        </is>
      </c>
      <c r="B8010" s="4" t="s">
        <f>=HYPERLINK("http://anyluxury.ru/shop/odezhda/zhilety/zhilet-wells-cherniy-566630/" , "5666.30 Жилет Wells, черный, размер S")</f>
      </c>
      <c r="C8010" s="4" t="n">
        <v>5740.00</v>
      </c>
      <c r="D8010" s="4"/>
    </row>
    <row collapsed="" customFormat="false" customHeight="1" hidden="" ht="14" outlineLevel="0" r="8011">
      <c r="A8011" s="3" t="inlineStr">
        <is>
          <t>7978</t>
        </is>
      </c>
      <c r="B8011" s="4" t="s">
        <f>=HYPERLINK("http://anyluxury.ru/shop/odezhda/zhilety/zhilet-wells-cherniy-566630/" , "5666.30 Жилет Wells черная, размер 3XL")</f>
      </c>
      <c r="C8011" s="4" t="n">
        <v>7055.00</v>
      </c>
      <c r="D8011" s="4"/>
    </row>
    <row collapsed="" customFormat="false" customHeight="1" hidden="" ht="14" outlineLevel="0" r="8012">
      <c r="A8012" s="3" t="inlineStr">
        <is>
          <t>7979</t>
        </is>
      </c>
      <c r="B8012" s="4" t="s">
        <f>=HYPERLINK("http://anyluxury.ru/shop/odezhda/zhilety/zhilet-viper-zeleniy-59000263/" , "59000263 Жилет VIPER зеленый, размер S")</f>
      </c>
      <c r="C8012" s="4" t="n">
        <v>5618.00</v>
      </c>
      <c r="D8012" s="4"/>
    </row>
    <row collapsed="" customFormat="false" customHeight="1" hidden="" ht="14" outlineLevel="0" r="8013">
      <c r="A8013" s="3" t="inlineStr">
        <is>
          <t>7980</t>
        </is>
      </c>
      <c r="B8013" s="4" t="s">
        <f>=HYPERLINK("http://anyluxury.ru/shop/odezhda/zhilety/zhilet-viper-zeleniy-59000263/" , "59000263 Жилет VIPER зеленый, размер M")</f>
      </c>
      <c r="C8013" s="4" t="n">
        <v>5618.00</v>
      </c>
      <c r="D8013" s="4"/>
    </row>
    <row collapsed="" customFormat="false" customHeight="1" hidden="" ht="14" outlineLevel="0" r="8014">
      <c r="A8014" s="3" t="inlineStr">
        <is>
          <t>7981</t>
        </is>
      </c>
      <c r="B8014" s="4" t="s">
        <f>=HYPERLINK("http://anyluxury.ru/shop/odezhda/zhilety/zhilet-viper-zeleniy-59000263/" , "59000263 Жилет VIPER зеленый, размер L")</f>
      </c>
      <c r="C8014" s="4" t="n">
        <v>5618.00</v>
      </c>
      <c r="D8014" s="4"/>
    </row>
    <row collapsed="" customFormat="false" customHeight="1" hidden="" ht="14" outlineLevel="0" r="8015">
      <c r="A8015" s="3" t="inlineStr">
        <is>
          <t>7982</t>
        </is>
      </c>
      <c r="B8015" s="4" t="s">
        <f>=HYPERLINK("http://anyluxury.ru/shop/odezhda/zhilety/zhilet-viper-zeleniy-59000263/" , "59000263 Жилет VIPER зеленый, размер XL")</f>
      </c>
      <c r="C8015" s="4" t="n">
        <v>5618.00</v>
      </c>
      <c r="D8015" s="4"/>
    </row>
    <row collapsed="" customFormat="false" customHeight="1" hidden="" ht="14" outlineLevel="0" r="8016">
      <c r="A8016" s="3" t="inlineStr">
        <is>
          <t>7983</t>
        </is>
      </c>
      <c r="B8016" s="4" t="s">
        <f>=HYPERLINK("http://anyluxury.ru/shop/odezhda/zhilety/zhilet-viper-zeleniy-59000263/" , "59000263 Жилет VIPER зеленый, размер XXL")</f>
      </c>
      <c r="C8016" s="4" t="n">
        <v>5618.00</v>
      </c>
      <c r="D8016" s="4"/>
    </row>
    <row collapsed="" customFormat="false" customHeight="1" hidden="" ht="14" outlineLevel="0" r="8017">
      <c r="A8017" s="3" t="inlineStr">
        <is>
          <t>7984</t>
        </is>
      </c>
      <c r="B8017" s="4" t="s">
        <f>=HYPERLINK("http://anyluxury.ru/shop/odezhda/zhilety/zhilet-viper-oranzheviy-59000400/" , "59000400 Жилет VIPER оранжевый, размер S")</f>
      </c>
      <c r="C8017" s="4" t="n">
        <v>3961.00</v>
      </c>
      <c r="D8017" s="4"/>
    </row>
    <row collapsed="" customFormat="false" customHeight="1" hidden="" ht="14" outlineLevel="0" r="8018">
      <c r="A8018" s="3" t="inlineStr">
        <is>
          <t>7985</t>
        </is>
      </c>
      <c r="B8018" s="4" t="s">
        <f>=HYPERLINK("http://anyluxury.ru/shop/odezhda/zhilety/zhilet-viper-oranzheviy-59000400/" , "59000400 Жилет VIPER оранжевый, размер M")</f>
      </c>
      <c r="C8018" s="4" t="n">
        <v>3961.00</v>
      </c>
      <c r="D8018" s="4"/>
    </row>
    <row collapsed="" customFormat="false" customHeight="1" hidden="" ht="14" outlineLevel="0" r="8019">
      <c r="A8019" s="3" t="inlineStr">
        <is>
          <t>7986</t>
        </is>
      </c>
      <c r="B8019" s="4" t="s">
        <f>=HYPERLINK("http://anyluxury.ru/shop/odezhda/zhilety/zhilet-viper-oranzheviy-59000400/" , "59000400 Жилет VIPER оранжевый, размер L")</f>
      </c>
      <c r="C8019" s="4" t="n">
        <v>3961.00</v>
      </c>
      <c r="D8019" s="4"/>
    </row>
    <row collapsed="" customFormat="false" customHeight="1" hidden="" ht="14" outlineLevel="0" r="8020">
      <c r="A8020" s="3" t="inlineStr">
        <is>
          <t>7987</t>
        </is>
      </c>
      <c r="B8020" s="4" t="s">
        <f>=HYPERLINK("http://anyluxury.ru/shop/odezhda/zhilety/zhilet-viper-oranzheviy-59000400/" , "59000400 Жилет VIPER оранжевый, размер XL")</f>
      </c>
      <c r="C8020" s="4" t="n">
        <v>3961.00</v>
      </c>
      <c r="D8020" s="4"/>
    </row>
    <row collapsed="" customFormat="false" customHeight="1" hidden="" ht="14" outlineLevel="0" r="8021">
      <c r="A8021" s="3" t="inlineStr">
        <is>
          <t>7988</t>
        </is>
      </c>
      <c r="B8021" s="4" t="s">
        <f>=HYPERLINK("http://anyluxury.ru/shop/odezhda/zhilety/zhilet-viper-oranzheviy-59000400/" , "59000400 Жилет VIPER оранжевый, размер XXL")</f>
      </c>
      <c r="C8021" s="4" t="n">
        <v>3961.00</v>
      </c>
      <c r="D8021" s="4"/>
    </row>
    <row collapsed="" customFormat="false" customHeight="1" hidden="" ht="14" outlineLevel="0" r="8022">
      <c r="A8022" s="3" t="inlineStr">
        <is>
          <t>7989</t>
        </is>
      </c>
      <c r="B8022" s="4" t="s">
        <f>=HYPERLINK("http://anyluxury.ru/shop/odezhda/zhilety/zhilet-warm-cherniy-44002312/" , "44002312 Жилет WARM черный, размер S")</f>
      </c>
      <c r="C8022" s="4" t="n">
        <v>4158.00</v>
      </c>
      <c r="D8022" s="4"/>
    </row>
    <row collapsed="" customFormat="false" customHeight="1" hidden="" ht="14" outlineLevel="0" r="8023">
      <c r="A8023" s="3" t="inlineStr">
        <is>
          <t>7990</t>
        </is>
      </c>
      <c r="B8023" s="4" t="s">
        <f>=HYPERLINK("http://anyluxury.ru/shop/odezhda/zhilety/zhilet-warm-cherniy-44002312/" , "44002312 Жилет WARM черный, размер M")</f>
      </c>
      <c r="C8023" s="4" t="n">
        <v>4158.00</v>
      </c>
      <c r="D8023" s="4"/>
    </row>
    <row collapsed="" customFormat="false" customHeight="1" hidden="" ht="14" outlineLevel="0" r="8024">
      <c r="A8024" s="3" t="inlineStr">
        <is>
          <t>7991</t>
        </is>
      </c>
      <c r="B8024" s="4" t="s">
        <f>=HYPERLINK("http://anyluxury.ru/shop/odezhda/zhilety/zhilet-warm-cherniy-44002312/" , "44002312 Жилет WARM черный, размер L")</f>
      </c>
      <c r="C8024" s="4" t="n">
        <v>4158.00</v>
      </c>
      <c r="D8024" s="4"/>
    </row>
    <row collapsed="" customFormat="false" customHeight="1" hidden="" ht="14" outlineLevel="0" r="8025">
      <c r="A8025" s="3" t="inlineStr">
        <is>
          <t>7992</t>
        </is>
      </c>
      <c r="B8025" s="4" t="s">
        <f>=HYPERLINK("http://anyluxury.ru/shop/odezhda/zhilety/zhilet-warm-cherniy-44002312/" , "44002312 Жилет WARM черный, размер XXL")</f>
      </c>
      <c r="C8025" s="4" t="n">
        <v>4158.00</v>
      </c>
      <c r="D8025" s="4"/>
    </row>
    <row collapsed="" customFormat="false" customHeight="1" hidden="" ht="14" outlineLevel="0" r="8026">
      <c r="A8026" s="3" t="inlineStr">
        <is>
          <t>7993</t>
        </is>
      </c>
      <c r="B8026" s="4" t="s">
        <f>=HYPERLINK("http://anyluxury.ru/shop/odezhda/zhilety/zhilet-warm-cherniy-44002312/" , "44002312 Жилет WARM черный, размер 3XL")</f>
      </c>
      <c r="C8026" s="4" t="n">
        <v>5112.00</v>
      </c>
      <c r="D8026" s="4"/>
    </row>
    <row collapsed="" customFormat="false" customHeight="1" hidden="" ht="14" outlineLevel="0" r="8027">
      <c r="A8027" s="3" t="inlineStr">
        <is>
          <t>7994</t>
        </is>
      </c>
      <c r="B8027" s="4" t="s">
        <f>=HYPERLINK("http://anyluxury.ru/shop/odezhda/zhilety/zhilet-warm-cherniy-44002312/" , "44002312 Жилет WARM черный, размер 4XL")</f>
      </c>
      <c r="C8027" s="4" t="n">
        <v>5112.00</v>
      </c>
      <c r="D8027" s="4"/>
    </row>
    <row collapsed="" customFormat="false" customHeight="1" hidden="" ht="14" outlineLevel="0" r="8028">
      <c r="A8028" s="3" t="inlineStr">
        <is>
          <t>7995</t>
        </is>
      </c>
      <c r="B8028" s="4" t="s">
        <f>=HYPERLINK("http://anyluxury.ru/shop/odezhda/zhilety/zhilet-warm-cherniy-44002312/" , "44002312 Жилет WARM черный, размер 5XL")</f>
      </c>
      <c r="C8028" s="4" t="n">
        <v>5112.00</v>
      </c>
      <c r="D8028" s="4"/>
    </row>
    <row collapsed="" customFormat="false" customHeight="1" hidden="" ht="14" outlineLevel="0" r="8029">
      <c r="A8029" s="3" t="inlineStr">
        <is>
          <t>7996</t>
        </is>
      </c>
      <c r="B8029" s="4" t="s">
        <f>=HYPERLINK("http://anyluxury.ru/shop/odezhda/zhilety/zhilet-warm-zeleniy-44002266/" , "44002266 Жилет WARM зеленый, размер S")</f>
      </c>
      <c r="C8029" s="4" t="n">
        <v>4158.00</v>
      </c>
      <c r="D8029" s="4"/>
    </row>
    <row collapsed="" customFormat="false" customHeight="1" hidden="" ht="14" outlineLevel="0" r="8030">
      <c r="A8030" s="3" t="inlineStr">
        <is>
          <t>7997</t>
        </is>
      </c>
      <c r="B8030" s="4" t="s">
        <f>=HYPERLINK("http://anyluxury.ru/shop/odezhda/zhilety/zhilet-warm-zeleniy-44002266/" , "44002266 Жилет WARM зеленый, размер M")</f>
      </c>
      <c r="C8030" s="4" t="n">
        <v>4158.00</v>
      </c>
      <c r="D8030" s="4"/>
    </row>
    <row collapsed="" customFormat="false" customHeight="1" hidden="" ht="14" outlineLevel="0" r="8031">
      <c r="A8031" s="3" t="inlineStr">
        <is>
          <t>7998</t>
        </is>
      </c>
      <c r="B8031" s="4" t="s">
        <f>=HYPERLINK("http://anyluxury.ru/shop/odezhda/zhilety/zhilet-warm-zeleniy-44002266/" , "44002266 Жилет WARM зеленый, размер L")</f>
      </c>
      <c r="C8031" s="4" t="n">
        <v>4158.00</v>
      </c>
      <c r="D8031" s="4"/>
    </row>
    <row collapsed="" customFormat="false" customHeight="1" hidden="" ht="14" outlineLevel="0" r="8032">
      <c r="A8032" s="3" t="inlineStr">
        <is>
          <t>7999</t>
        </is>
      </c>
      <c r="B8032" s="4" t="s">
        <f>=HYPERLINK("http://anyluxury.ru/shop/odezhda/zhilety/zhilet-warm-zeleniy-44002266/" , "44002266 Жилет WARM зеленый, размер XL")</f>
      </c>
      <c r="C8032" s="4" t="n">
        <v>4158.00</v>
      </c>
      <c r="D8032" s="4"/>
    </row>
    <row collapsed="" customFormat="false" customHeight="1" hidden="" ht="14" outlineLevel="0" r="8033">
      <c r="A8033" s="3" t="inlineStr">
        <is>
          <t>8000</t>
        </is>
      </c>
      <c r="B8033" s="4" t="s">
        <f>=HYPERLINK("http://anyluxury.ru/shop/odezhda/zhilety/zhilet-warm-zeleniy-44002266/" , "44002266 Жилет WARM зеленый, размер XXL")</f>
      </c>
      <c r="C8033" s="4" t="n">
        <v>4158.00</v>
      </c>
      <c r="D8033" s="4"/>
    </row>
    <row collapsed="" customFormat="false" customHeight="1" hidden="" ht="14" outlineLevel="0" r="8034">
      <c r="A8034" s="3" t="inlineStr">
        <is>
          <t>8001</t>
        </is>
      </c>
      <c r="B8034" s="4" t="s">
        <f>=HYPERLINK("http://anyluxury.ru/shop/odezhda/zhilety/zhilet-warm-zeleniy-44002266/" , "44002266 Жилет WARM зеленый, размер 3XL")</f>
      </c>
      <c r="C8034" s="4" t="n">
        <v>5112.00</v>
      </c>
      <c r="D8034" s="4"/>
    </row>
    <row collapsed="" customFormat="false" customHeight="1" hidden="" ht="14" outlineLevel="0" r="8035">
      <c r="A8035" s="3" t="inlineStr">
        <is>
          <t>8002</t>
        </is>
      </c>
      <c r="B8035" s="4" t="s">
        <f>=HYPERLINK("http://anyluxury.ru/shop/odezhda/zhilety/zhilet-warm-zeleniy-44002266/" , "44002266 Жилет Warm зеленый, размер 4XL")</f>
      </c>
      <c r="C8035" s="4" t="n">
        <v>5112.00</v>
      </c>
      <c r="D8035" s="4"/>
    </row>
    <row collapsed="" customFormat="false" customHeight="1" hidden="" ht="14" outlineLevel="0" r="8036">
      <c r="A8036" s="3" t="inlineStr">
        <is>
          <t>8003</t>
        </is>
      </c>
      <c r="B8036" s="4" t="s">
        <f>=HYPERLINK("http://anyluxury.ru/shop/odezhda/zhilety/zhilet-warm-zeleniy-44002266/" , "44002266 Жилет Warm зеленый, размер 5XL")</f>
      </c>
      <c r="C8036" s="4" t="n">
        <v>5112.00</v>
      </c>
      <c r="D8036" s="4"/>
    </row>
    <row collapsed="" customFormat="false" customHeight="1" hidden="" ht="14" outlineLevel="0" r="8037">
      <c r="A8037" s="3" t="inlineStr">
        <is>
          <t>8004</t>
        </is>
      </c>
      <c r="B8037" s="4" t="s">
        <f>=HYPERLINK("http://anyluxury.ru/shop/odezhda/zhilety/zhilet-warm-temnosiniy-44002318/" , "44002318 Жилет WARM темно-синий, размер S")</f>
      </c>
      <c r="C8037" s="4" t="n">
        <v>4158.00</v>
      </c>
      <c r="D8037" s="4"/>
    </row>
    <row collapsed="" customFormat="false" customHeight="1" hidden="" ht="14" outlineLevel="0" r="8038">
      <c r="A8038" s="3" t="inlineStr">
        <is>
          <t>8005</t>
        </is>
      </c>
      <c r="B8038" s="4" t="s">
        <f>=HYPERLINK("http://anyluxury.ru/shop/odezhda/zhilety/zhilet-warm-temnosiniy-44002318/" , "44002318 Жилет WARM темно-синий, размер M")</f>
      </c>
      <c r="C8038" s="4" t="n">
        <v>4158.00</v>
      </c>
      <c r="D8038" s="4"/>
    </row>
    <row collapsed="" customFormat="false" customHeight="1" hidden="" ht="14" outlineLevel="0" r="8039">
      <c r="A8039" s="3" t="inlineStr">
        <is>
          <t>8006</t>
        </is>
      </c>
      <c r="B8039" s="4" t="s">
        <f>=HYPERLINK("http://anyluxury.ru/shop/odezhda/zhilety/zhilet-warm-temnosiniy-44002318/" , "44002318 Жилет WARM темно-синий, размер L")</f>
      </c>
      <c r="C8039" s="4" t="n">
        <v>4158.00</v>
      </c>
      <c r="D8039" s="4"/>
    </row>
    <row collapsed="" customFormat="false" customHeight="1" hidden="" ht="14" outlineLevel="0" r="8040">
      <c r="A8040" s="3" t="inlineStr">
        <is>
          <t>8007</t>
        </is>
      </c>
      <c r="B8040" s="4" t="s">
        <f>=HYPERLINK("http://anyluxury.ru/shop/odezhda/zhilety/zhilet-warm-temnosiniy-44002318/" , "44002318 Жилет WARM темно-синий, размер XL")</f>
      </c>
      <c r="C8040" s="4" t="n">
        <v>4158.00</v>
      </c>
      <c r="D8040" s="4"/>
    </row>
    <row collapsed="" customFormat="false" customHeight="1" hidden="" ht="14" outlineLevel="0" r="8041">
      <c r="A8041" s="3" t="inlineStr">
        <is>
          <t>8008</t>
        </is>
      </c>
      <c r="B8041" s="4" t="s">
        <f>=HYPERLINK("http://anyluxury.ru/shop/odezhda/zhilety/zhilet-warm-temnosiniy-44002318/" , "44002318 Жилет WARM темно-синий, размер XXL")</f>
      </c>
      <c r="C8041" s="4" t="n">
        <v>4158.00</v>
      </c>
      <c r="D8041" s="4"/>
    </row>
    <row collapsed="" customFormat="false" customHeight="1" hidden="" ht="14" outlineLevel="0" r="8042">
      <c r="A8042" s="3" t="inlineStr">
        <is>
          <t>8009</t>
        </is>
      </c>
      <c r="B8042" s="4" t="s">
        <f>=HYPERLINK("http://anyluxury.ru/shop/odezhda/zhilety/zhilet-warm-temnosiniy-44002318/" , "44002318 Жилет WARM темно-синий, размер 3XL")</f>
      </c>
      <c r="C8042" s="4" t="n">
        <v>5112.00</v>
      </c>
      <c r="D8042" s="4"/>
    </row>
    <row collapsed="" customFormat="false" customHeight="1" hidden="" ht="14" outlineLevel="0" r="8043">
      <c r="A8043" s="3" t="inlineStr">
        <is>
          <t>8010</t>
        </is>
      </c>
      <c r="B8043" s="4" t="s">
        <f>=HYPERLINK("http://anyluxury.ru/shop/odezhda/zhilety/zhilet-warm-temnosiniy-44002318/" , "44002318 Жилет WARM темно-синий, размер 4XL")</f>
      </c>
      <c r="C8043" s="4" t="n">
        <v>5112.00</v>
      </c>
      <c r="D8043" s="4"/>
    </row>
    <row collapsed="" customFormat="false" customHeight="1" hidden="" ht="14" outlineLevel="0" r="8044">
      <c r="A8044" s="3" t="inlineStr">
        <is>
          <t>8011</t>
        </is>
      </c>
      <c r="B8044" s="4" t="s">
        <f>=HYPERLINK("http://anyluxury.ru/shop/odezhda/zhilety/zhilet-warm-temnosiniy-44002318/" , "44002318 Жилет WARM темно-синий, размер 5XL")</f>
      </c>
      <c r="C8044" s="4" t="n">
        <v>5112.00</v>
      </c>
      <c r="D8044" s="4"/>
    </row>
    <row collapsed="" customFormat="false" customHeight="1" hidden="" ht="14" outlineLevel="0" r="8045">
      <c r="A8045" s="3" t="inlineStr">
        <is>
          <t>8012</t>
        </is>
      </c>
      <c r="B8045" s="4" t="s">
        <f>=HYPERLINK("http://anyluxury.ru/shop/odezhda/zhilety/zhilet-warm-oranzheviy-44002400/" , "44002400 Жилет WARM оранжевый, размер S")</f>
      </c>
      <c r="C8045" s="4" t="n">
        <v>4158.00</v>
      </c>
      <c r="D8045" s="4"/>
    </row>
    <row collapsed="" customFormat="false" customHeight="1" hidden="" ht="14" outlineLevel="0" r="8046">
      <c r="A8046" s="3" t="inlineStr">
        <is>
          <t>8013</t>
        </is>
      </c>
      <c r="B8046" s="4" t="s">
        <f>=HYPERLINK("http://anyluxury.ru/shop/odezhda/zhilety/zhilet-warm-oranzheviy-44002400/" , "44002400 Жилет WARM оранжевый, размер M")</f>
      </c>
      <c r="C8046" s="4" t="n">
        <v>4158.00</v>
      </c>
      <c r="D8046" s="4"/>
    </row>
    <row collapsed="" customFormat="false" customHeight="1" hidden="" ht="14" outlineLevel="0" r="8047">
      <c r="A8047" s="3" t="inlineStr">
        <is>
          <t>8014</t>
        </is>
      </c>
      <c r="B8047" s="4" t="s">
        <f>=HYPERLINK("http://anyluxury.ru/shop/odezhda/zhilety/zhilet-warm-oranzheviy-44002400/" , "44002400 Жилет WARM оранжевый, размер L")</f>
      </c>
      <c r="C8047" s="4" t="n">
        <v>4158.00</v>
      </c>
      <c r="D8047" s="4"/>
    </row>
    <row collapsed="" customFormat="false" customHeight="1" hidden="" ht="14" outlineLevel="0" r="8048">
      <c r="A8048" s="3" t="inlineStr">
        <is>
          <t>8015</t>
        </is>
      </c>
      <c r="B8048" s="4" t="s">
        <f>=HYPERLINK("http://anyluxury.ru/shop/odezhda/zhilety/zhilet-warm-oranzheviy-44002400/" , "44002400 Жилет WARM оранжевый, размер XL")</f>
      </c>
      <c r="C8048" s="4" t="n">
        <v>4158.00</v>
      </c>
      <c r="D8048" s="4"/>
    </row>
    <row collapsed="" customFormat="false" customHeight="1" hidden="" ht="14" outlineLevel="0" r="8049">
      <c r="A8049" s="3" t="inlineStr">
        <is>
          <t>8016</t>
        </is>
      </c>
      <c r="B8049" s="4" t="s">
        <f>=HYPERLINK("http://anyluxury.ru/shop/odezhda/zhilety/zhilet-warm-oranzheviy-44002400/" , "44002400 Жилет WARM оранжевый, размер XXL")</f>
      </c>
      <c r="C8049" s="4" t="n">
        <v>4158.00</v>
      </c>
      <c r="D8049" s="4"/>
    </row>
    <row collapsed="" customFormat="false" customHeight="1" hidden="" ht="14" outlineLevel="0" r="8050">
      <c r="A8050" s="3" t="inlineStr">
        <is>
          <t>8017</t>
        </is>
      </c>
      <c r="B8050" s="4" t="s">
        <f>=HYPERLINK("http://anyluxury.ru/shop/odezhda/zhilety/zhilet-warm-oranzheviy-44002400/" , "44002400 Жилет WARM оранжевый, размер 3XL")</f>
      </c>
      <c r="C8050" s="4" t="n">
        <v>5112.00</v>
      </c>
      <c r="D8050" s="4"/>
    </row>
    <row collapsed="" customFormat="false" customHeight="1" hidden="" ht="14" outlineLevel="0" r="8051">
      <c r="A8051" s="3" t="inlineStr">
        <is>
          <t>8018</t>
        </is>
      </c>
      <c r="B8051" s="4" t="s">
        <f>=HYPERLINK("http://anyluxury.ru/shop/odezhda/zhilety/zhilet-warm-oranzheviy-44002400/" , "44002400 Жилет Warm оранжевый, размер 4XL")</f>
      </c>
      <c r="C8051" s="4" t="n">
        <v>5112.00</v>
      </c>
      <c r="D8051" s="4"/>
    </row>
    <row collapsed="" customFormat="false" customHeight="1" hidden="" ht="14" outlineLevel="0" r="8052">
      <c r="A8052" s="3" t="inlineStr">
        <is>
          <t>8019</t>
        </is>
      </c>
      <c r="B8052" s="4" t="s">
        <f>=HYPERLINK("http://anyluxury.ru/shop/odezhda/zhilety/zhilet-warm-krasniy-44002145/" , "44002145 Жилет WARM красный, размер S")</f>
      </c>
      <c r="C8052" s="4" t="n">
        <v>4158.00</v>
      </c>
      <c r="D8052" s="4"/>
    </row>
    <row collapsed="" customFormat="false" customHeight="1" hidden="" ht="14" outlineLevel="0" r="8053">
      <c r="A8053" s="3" t="inlineStr">
        <is>
          <t>8020</t>
        </is>
      </c>
      <c r="B8053" s="4" t="s">
        <f>=HYPERLINK("http://anyluxury.ru/shop/odezhda/zhilety/zhilet-warm-krasniy-44002145/" , "44002145 Жилет WARM красный, размер M")</f>
      </c>
      <c r="C8053" s="4" t="n">
        <v>4158.00</v>
      </c>
      <c r="D8053" s="4"/>
    </row>
    <row collapsed="" customFormat="false" customHeight="1" hidden="" ht="14" outlineLevel="0" r="8054">
      <c r="A8054" s="3" t="inlineStr">
        <is>
          <t>8021</t>
        </is>
      </c>
      <c r="B8054" s="4" t="s">
        <f>=HYPERLINK("http://anyluxury.ru/shop/odezhda/zhilety/zhilet-warm-krasniy-44002145/" , "44002145 Жилет WARM красный, размер L")</f>
      </c>
      <c r="C8054" s="4" t="n">
        <v>4158.00</v>
      </c>
      <c r="D8054" s="4"/>
    </row>
    <row collapsed="" customFormat="false" customHeight="1" hidden="" ht="14" outlineLevel="0" r="8055">
      <c r="A8055" s="3" t="inlineStr">
        <is>
          <t>8022</t>
        </is>
      </c>
      <c r="B8055" s="4" t="s">
        <f>=HYPERLINK("http://anyluxury.ru/shop/odezhda/zhilety/zhilet-warm-krasniy-44002145/" , "44002145 Жилет WARM красный, размер XL")</f>
      </c>
      <c r="C8055" s="4" t="n">
        <v>4158.00</v>
      </c>
      <c r="D8055" s="4"/>
    </row>
    <row collapsed="" customFormat="false" customHeight="1" hidden="" ht="14" outlineLevel="0" r="8056">
      <c r="A8056" s="3" t="inlineStr">
        <is>
          <t>8023</t>
        </is>
      </c>
      <c r="B8056" s="4" t="s">
        <f>=HYPERLINK("http://anyluxury.ru/shop/odezhda/zhilety/zhilet-warm-krasniy-44002145/" , "44002145 Жилет WARM красный, размер XXL")</f>
      </c>
      <c r="C8056" s="4" t="n">
        <v>4158.00</v>
      </c>
      <c r="D8056" s="4"/>
    </row>
    <row collapsed="" customFormat="false" customHeight="1" hidden="" ht="14" outlineLevel="0" r="8057">
      <c r="A8057" s="3" t="inlineStr">
        <is>
          <t>8024</t>
        </is>
      </c>
      <c r="B8057" s="4" t="s">
        <f>=HYPERLINK("http://anyluxury.ru/shop/odezhda/zhilety/zhilet-warm-krasniy-44002145/" , "44002145 Жилет WARM красный, размер 3XL")</f>
      </c>
      <c r="C8057" s="4" t="n">
        <v>5112.00</v>
      </c>
      <c r="D8057" s="4"/>
    </row>
    <row collapsed="" customFormat="false" customHeight="1" hidden="" ht="14" outlineLevel="0" r="8058">
      <c r="A8058" s="3" t="inlineStr">
        <is>
          <t>8025</t>
        </is>
      </c>
      <c r="B8058" s="4" t="s">
        <f>=HYPERLINK("http://anyluxury.ru/shop/odezhda/zhilety/zhilet-uniseks-gentlemen-cherniy-00591312/" , "00591312 Жилет унисекс GENTLEMEN черный, размер XXS")</f>
      </c>
      <c r="C8058" s="4" t="n">
        <v>2686.00</v>
      </c>
      <c r="D8058" s="4"/>
    </row>
    <row collapsed="" customFormat="false" customHeight="1" hidden="" ht="14" outlineLevel="0" r="8059">
      <c r="A8059" s="3" t="inlineStr">
        <is>
          <t>8026</t>
        </is>
      </c>
      <c r="B8059" s="4" t="s">
        <f>=HYPERLINK("http://anyluxury.ru/shop/odezhda/zhilety/zhilet-uniseks-gentlemen-cherniy-00591312/" , "00591312 Жилет унисекс GENTLEMEN черный, размер XS")</f>
      </c>
      <c r="C8059" s="4" t="n">
        <v>2686.00</v>
      </c>
      <c r="D8059" s="4"/>
    </row>
    <row collapsed="" customFormat="false" customHeight="1" hidden="" ht="14" outlineLevel="0" r="8060">
      <c r="A8060" s="3" t="inlineStr">
        <is>
          <t>8027</t>
        </is>
      </c>
      <c r="B8060" s="4" t="s">
        <f>=HYPERLINK("http://anyluxury.ru/shop/odezhda/zhilety/zhilet-uniseks-gentlemen-cherniy-00591312/" , "00591312 Жилет унисекс GENTLEMEN черный, размер S")</f>
      </c>
      <c r="C8060" s="4" t="n">
        <v>2686.00</v>
      </c>
      <c r="D8060" s="4"/>
    </row>
    <row collapsed="" customFormat="false" customHeight="1" hidden="" ht="14" outlineLevel="0" r="8061">
      <c r="A8061" s="3" t="inlineStr">
        <is>
          <t>8028</t>
        </is>
      </c>
      <c r="B8061" s="4" t="s">
        <f>=HYPERLINK("http://anyluxury.ru/shop/odezhda/zhilety/zhilet-uniseks-gentlemen-cherniy-00591312/" , "00591312 Жилет унисекс GENTLEMEN черный, размер M")</f>
      </c>
      <c r="C8061" s="4" t="n">
        <v>2686.00</v>
      </c>
      <c r="D8061" s="4"/>
    </row>
    <row collapsed="" customFormat="false" customHeight="1" hidden="" ht="14" outlineLevel="0" r="8062">
      <c r="A8062" s="3" t="inlineStr">
        <is>
          <t>8029</t>
        </is>
      </c>
      <c r="B8062" s="4" t="s">
        <f>=HYPERLINK("http://anyluxury.ru/shop/odezhda/zhilety/zhilet-uniseks-gentlemen-cherniy-00591312/" , "00591312 Жилет унисекс GENTLEMEN черный, размер L")</f>
      </c>
      <c r="C8062" s="4" t="n">
        <v>2686.00</v>
      </c>
      <c r="D8062" s="4"/>
    </row>
    <row collapsed="" customFormat="false" customHeight="1" hidden="" ht="14" outlineLevel="0" r="8063">
      <c r="A8063" s="3" t="inlineStr">
        <is>
          <t>8030</t>
        </is>
      </c>
      <c r="B8063" s="4" t="s">
        <f>=HYPERLINK("http://anyluxury.ru/shop/odezhda/zhilety/zhilet-uniseks-gentlemen-cherniy-00591312/" , "00591312 Жилет унисекс GENTLEMEN черный, размер XL")</f>
      </c>
      <c r="C8063" s="4" t="n">
        <v>2686.00</v>
      </c>
      <c r="D8063" s="4"/>
    </row>
    <row collapsed="" customFormat="false" customHeight="1" hidden="" ht="14" outlineLevel="0" r="8064">
      <c r="A8064" s="3" t="inlineStr">
        <is>
          <t>8031</t>
        </is>
      </c>
      <c r="B8064" s="4" t="s">
        <f>=HYPERLINK("http://anyluxury.ru/shop/odezhda/zhilety/zhilet-uniseks-gentlemen-cherniy-00591312/" , "00591312 Жилет унисекс GENTLEMEN черный, размер XXL")</f>
      </c>
      <c r="C8064" s="4" t="n">
        <v>2686.00</v>
      </c>
      <c r="D8064" s="4"/>
    </row>
    <row collapsed="" customFormat="false" customHeight="1" hidden="" ht="14" outlineLevel="0" r="8065">
      <c r="A8065" s="3" t="inlineStr">
        <is>
          <t>8032</t>
        </is>
      </c>
      <c r="B8065" s="4" t="s">
        <f>=HYPERLINK("http://anyluxury.ru/shop/odezhda/zhilety/zhilet-uniseks-gentlemen-cherniy-00591312/" , "00591312 Жилет унисекс GENTLEMEN черный, размер 3XL")</f>
      </c>
      <c r="C8065" s="4" t="n">
        <v>3095.00</v>
      </c>
      <c r="D8065" s="4"/>
    </row>
    <row collapsed="" customFormat="false" customHeight="1" hidden="" ht="14" outlineLevel="0" r="8066">
      <c r="A8066" s="3" t="inlineStr">
        <is>
          <t>8033</t>
        </is>
      </c>
      <c r="B8066" s="4" t="s">
        <f>=HYPERLINK("http://anyluxury.ru/shop/odezhda/zhilety/zhilet-muzhskoy-softshell-rallye-men-cherniy-46601312/" , "46601312 Жилет мужской софтшелл RALLYE MEN черный, размер S")</f>
      </c>
      <c r="C8066" s="4" t="n">
        <v>4327.00</v>
      </c>
      <c r="D8066" s="4"/>
    </row>
    <row collapsed="" customFormat="false" customHeight="1" hidden="" ht="14" outlineLevel="0" r="8067">
      <c r="A8067" s="3" t="inlineStr">
        <is>
          <t>8034</t>
        </is>
      </c>
      <c r="B8067" s="4" t="s">
        <f>=HYPERLINK("http://anyluxury.ru/shop/odezhda/zhilety/zhilet-muzhskoy-softshell-rallye-men-cherniy-46601312/" , "46601312 Жилет мужской софтшелл RALLYE MEN черный, размер M")</f>
      </c>
      <c r="C8067" s="4" t="n">
        <v>4327.00</v>
      </c>
      <c r="D8067" s="4"/>
    </row>
    <row collapsed="" customFormat="false" customHeight="1" hidden="" ht="14" outlineLevel="0" r="8068">
      <c r="A8068" s="3" t="inlineStr">
        <is>
          <t>8035</t>
        </is>
      </c>
      <c r="B8068" s="4" t="s">
        <f>=HYPERLINK("http://anyluxury.ru/shop/odezhda/zhilety/zhilet-muzhskoy-softshell-rallye-men-cherniy-46601312/" , "46601312 Жилет мужской софтшелл RALLYE MEN черный, размер L")</f>
      </c>
      <c r="C8068" s="4" t="n">
        <v>4327.00</v>
      </c>
      <c r="D8068" s="4"/>
    </row>
    <row collapsed="" customFormat="false" customHeight="1" hidden="" ht="14" outlineLevel="0" r="8069">
      <c r="A8069" s="3" t="inlineStr">
        <is>
          <t>8036</t>
        </is>
      </c>
      <c r="B8069" s="4" t="s">
        <f>=HYPERLINK("http://anyluxury.ru/shop/odezhda/zhilety/zhilet-muzhskoy-softshell-rallye-men-cherniy-46601312/" , "46601312 Жилет мужской софтшелл RALLYE MEN черный, размер XL")</f>
      </c>
      <c r="C8069" s="4" t="n">
        <v>4327.00</v>
      </c>
      <c r="D8069" s="4"/>
    </row>
    <row collapsed="" customFormat="false" customHeight="1" hidden="" ht="14" outlineLevel="0" r="8070">
      <c r="A8070" s="3" t="inlineStr">
        <is>
          <t>8037</t>
        </is>
      </c>
      <c r="B8070" s="4" t="s">
        <f>=HYPERLINK("http://anyluxury.ru/shop/odezhda/zhilety/zhilet-muzhskoy-softshell-rallye-men-cherniy-46601312/" , "46601312 Жилет мужской софтшелл RALLYE MEN черный, размер XXL")</f>
      </c>
      <c r="C8070" s="4" t="n">
        <v>4327.00</v>
      </c>
      <c r="D8070" s="4"/>
    </row>
    <row collapsed="" customFormat="false" customHeight="1" hidden="" ht="14" outlineLevel="0" r="8071">
      <c r="A8071" s="3" t="inlineStr">
        <is>
          <t>8038</t>
        </is>
      </c>
      <c r="B8071" s="4" t="s">
        <f>=HYPERLINK("http://anyluxury.ru/shop/odezhda/zhilety/zhilet-muzhskoy-softshell-rallye-men-cherniy-46601312/" , "46601312 Жилет мужской софтшелл RALLYE MEN черный, размер 3XL")</f>
      </c>
      <c r="C8071" s="4" t="n">
        <v>5156.00</v>
      </c>
      <c r="D8071" s="4"/>
    </row>
    <row collapsed="" customFormat="false" customHeight="1" hidden="" ht="14" outlineLevel="0" r="8072">
      <c r="A8072" s="3" t="inlineStr">
        <is>
          <t>8039</t>
        </is>
      </c>
      <c r="B8072" s="4" t="s">
        <f>=HYPERLINK("http://anyluxury.ru/shop/odezhda/zhilety/zhilet-muzhskoy-softshell-rallye-men-krasniy-46601162/" , "46601162 Жилет мужской софтшелл RALLYE MEN красный, размер S")</f>
      </c>
      <c r="C8072" s="4" t="n">
        <v>4327.00</v>
      </c>
      <c r="D8072" s="4"/>
    </row>
    <row collapsed="" customFormat="false" customHeight="1" hidden="" ht="14" outlineLevel="0" r="8073">
      <c r="A8073" s="3" t="inlineStr">
        <is>
          <t>8040</t>
        </is>
      </c>
      <c r="B8073" s="4" t="s">
        <f>=HYPERLINK("http://anyluxury.ru/shop/odezhda/zhilety/zhilet-muzhskoy-softshell-rallye-men-krasniy-46601162/" , "46601162 Жилет мужской софтшелл RALLYE MEN красный, размер M")</f>
      </c>
      <c r="C8073" s="4" t="n">
        <v>4327.00</v>
      </c>
      <c r="D8073" s="4"/>
    </row>
    <row collapsed="" customFormat="false" customHeight="1" hidden="" ht="14" outlineLevel="0" r="8074">
      <c r="A8074" s="3" t="inlineStr">
        <is>
          <t>8041</t>
        </is>
      </c>
      <c r="B8074" s="4" t="s">
        <f>=HYPERLINK("http://anyluxury.ru/shop/odezhda/zhilety/zhilet-muzhskoy-softshell-rallye-men-krasniy-46601162/" , "46601162 Жилет мужской софтшелл RALLYE MEN красный, размер L")</f>
      </c>
      <c r="C8074" s="4" t="n">
        <v>4327.00</v>
      </c>
      <c r="D8074" s="4"/>
    </row>
    <row collapsed="" customFormat="false" customHeight="1" hidden="" ht="14" outlineLevel="0" r="8075">
      <c r="A8075" s="3" t="inlineStr">
        <is>
          <t>8042</t>
        </is>
      </c>
      <c r="B8075" s="4" t="s">
        <f>=HYPERLINK("http://anyluxury.ru/shop/odezhda/zhilety/zhilet-muzhskoy-softshell-rallye-men-krasniy-46601162/" , "46601162 Жилет мужской софтшелл RALLYE MEN красный, размер XL")</f>
      </c>
      <c r="C8075" s="4" t="n">
        <v>4327.00</v>
      </c>
      <c r="D8075" s="4"/>
    </row>
    <row collapsed="" customFormat="false" customHeight="1" hidden="" ht="14" outlineLevel="0" r="8076">
      <c r="A8076" s="3" t="inlineStr">
        <is>
          <t>8043</t>
        </is>
      </c>
      <c r="B8076" s="4" t="s">
        <f>=HYPERLINK("http://anyluxury.ru/shop/odezhda/zhilety/zhilet-muzhskoy-softshell-rallye-men-krasniy-46601162/" , "46601162 Жилет мужской софтшелл RALLYE MEN красный, размер XXL")</f>
      </c>
      <c r="C8076" s="4" t="n">
        <v>4327.00</v>
      </c>
      <c r="D8076" s="4"/>
    </row>
    <row collapsed="" customFormat="false" customHeight="1" hidden="" ht="14" outlineLevel="0" r="8077">
      <c r="A8077" s="3" t="inlineStr">
        <is>
          <t>8044</t>
        </is>
      </c>
      <c r="B8077" s="4" t="s">
        <f>=HYPERLINK("http://anyluxury.ru/shop/odezhda/zhilety/zhilet-muzhskoy-softshell-rallye-men-krasniy-46601162/" , "46601162 Жилет мужской софтшелл RALLYE MEN красный, размер 3XL")</f>
      </c>
      <c r="C8077" s="4" t="n">
        <v>5156.00</v>
      </c>
      <c r="D8077" s="4"/>
    </row>
    <row collapsed="" customFormat="false" customHeight="1" hidden="" ht="14" outlineLevel="0" r="8078">
      <c r="A8078" s="3" t="inlineStr">
        <is>
          <t>8045</t>
        </is>
      </c>
      <c r="B8078" s="4" t="s">
        <f>=HYPERLINK("http://anyluxury.ru/shop/odezhda/zhilety/zhilet-muzhskoy-softshell-rallye-men-yarkosiniy-46601241/" , "46601241 Жилет мужской софтшелл RALLYE MEN ярко-синий, размер S")</f>
      </c>
      <c r="C8078" s="4" t="n">
        <v>4327.00</v>
      </c>
      <c r="D8078" s="4"/>
    </row>
    <row collapsed="" customFormat="false" customHeight="1" hidden="" ht="14" outlineLevel="0" r="8079">
      <c r="A8079" s="3" t="inlineStr">
        <is>
          <t>8046</t>
        </is>
      </c>
      <c r="B8079" s="4" t="s">
        <f>=HYPERLINK("http://anyluxury.ru/shop/odezhda/zhilety/zhilet-muzhskoy-softshell-rallye-men-yarkosiniy-46601241/" , "46601241 Жилет мужской софтшелл RALLYE MEN ярко-синий, размер M")</f>
      </c>
      <c r="C8079" s="4" t="n">
        <v>4327.00</v>
      </c>
      <c r="D8079" s="4"/>
    </row>
    <row collapsed="" customFormat="false" customHeight="1" hidden="" ht="14" outlineLevel="0" r="8080">
      <c r="A8080" s="3" t="inlineStr">
        <is>
          <t>8047</t>
        </is>
      </c>
      <c r="B8080" s="4" t="s">
        <f>=HYPERLINK("http://anyluxury.ru/shop/odezhda/zhilety/zhilet-muzhskoy-softshell-rallye-men-yarkosiniy-46601241/" , "46601241 Жилет мужской софтшелл RALLYE MEN ярко-синий, размер L")</f>
      </c>
      <c r="C8080" s="4" t="n">
        <v>4327.00</v>
      </c>
      <c r="D8080" s="4"/>
    </row>
    <row collapsed="" customFormat="false" customHeight="1" hidden="" ht="14" outlineLevel="0" r="8081">
      <c r="A8081" s="3" t="inlineStr">
        <is>
          <t>8048</t>
        </is>
      </c>
      <c r="B8081" s="4" t="s">
        <f>=HYPERLINK("http://anyluxury.ru/shop/odezhda/zhilety/zhilet-muzhskoy-softshell-rallye-men-yarkosiniy-46601241/" , "46601241 Жилет мужской софтшелл RALLYE MEN ярко-синий, размер XL")</f>
      </c>
      <c r="C8081" s="4" t="n">
        <v>4327.00</v>
      </c>
      <c r="D8081" s="4"/>
    </row>
    <row collapsed="" customFormat="false" customHeight="1" hidden="" ht="14" outlineLevel="0" r="8082">
      <c r="A8082" s="3" t="inlineStr">
        <is>
          <t>8049</t>
        </is>
      </c>
      <c r="B8082" s="4" t="s">
        <f>=HYPERLINK("http://anyluxury.ru/shop/odezhda/zhilety/zhilet-muzhskoy-softshell-rallye-men-yarkosiniy-46601241/" , "46601241 Жилет мужской софтшелл RALLYE MEN ярко-синий, размер XXL")</f>
      </c>
      <c r="C8082" s="4" t="n">
        <v>4327.00</v>
      </c>
      <c r="D8082" s="4"/>
    </row>
    <row collapsed="" customFormat="false" customHeight="1" hidden="" ht="14" outlineLevel="0" r="8083">
      <c r="A8083" s="3" t="inlineStr">
        <is>
          <t>8050</t>
        </is>
      </c>
      <c r="B8083" s="4" t="s">
        <f>=HYPERLINK("http://anyluxury.ru/shop/odezhda/zhilety/zhilet-muzhskoy-softshell-rallye-men-yarkosiniy-46601241/" , "46601241 Жилет мужской софтшелл RALLYE MEN ярко-синий, размер 3XL")</f>
      </c>
      <c r="C8083" s="4" t="n">
        <v>5156.00</v>
      </c>
      <c r="D8083" s="4"/>
    </row>
    <row collapsed="" customFormat="false" customHeight="1" hidden="" ht="14" outlineLevel="0" r="8084">
      <c r="A8084" s="3" t="inlineStr">
        <is>
          <t>8051</t>
        </is>
      </c>
      <c r="B8084" s="4" t="s">
        <f>=HYPERLINK("http://anyluxury.ru/shop/odezhda/zhilety/zhilet-zhenskiy-softshell-rallye-women-cherniy-46801312/" , "46801312 Жилет женский софтшелл RALLYE WOMEN черный, размер S")</f>
      </c>
      <c r="C8084" s="4" t="n">
        <v>4252.00</v>
      </c>
      <c r="D8084" s="4"/>
    </row>
    <row collapsed="" customFormat="false" customHeight="1" hidden="" ht="14" outlineLevel="0" r="8085">
      <c r="A8085" s="3" t="inlineStr">
        <is>
          <t>8052</t>
        </is>
      </c>
      <c r="B8085" s="4" t="s">
        <f>=HYPERLINK("http://anyluxury.ru/shop/odezhda/zhilety/zhilet-zhenskiy-softshell-rallye-women-cherniy-46801312/" , "46801312 Жилет женский софтшелл RALLYE WOMEN черный, размер M")</f>
      </c>
      <c r="C8085" s="4" t="n">
        <v>4252.00</v>
      </c>
      <c r="D8085" s="4"/>
    </row>
    <row collapsed="" customFormat="false" customHeight="1" hidden="" ht="14" outlineLevel="0" r="8086">
      <c r="A8086" s="3" t="inlineStr">
        <is>
          <t>8053</t>
        </is>
      </c>
      <c r="B8086" s="4" t="s">
        <f>=HYPERLINK("http://anyluxury.ru/shop/odezhda/zhilety/zhilet-zhenskiy-softshell-rallye-women-cherniy-46801312/" , "46801312 Жилет женский софтшелл RALLYE WOMEN черный, размер L")</f>
      </c>
      <c r="C8086" s="4" t="n">
        <v>4252.00</v>
      </c>
      <c r="D8086" s="4"/>
    </row>
    <row collapsed="" customFormat="false" customHeight="1" hidden="" ht="14" outlineLevel="0" r="8087">
      <c r="A8087" s="3" t="inlineStr">
        <is>
          <t>8054</t>
        </is>
      </c>
      <c r="B8087" s="4" t="s">
        <f>=HYPERLINK("http://anyluxury.ru/shop/odezhda/zhilety/zhilet-zhenskiy-softshell-rallye-women-cherniy-46801312/" , "46801312 Жилет женский софтшелл RALLYE WOMEN черный, размер XL")</f>
      </c>
      <c r="C8087" s="4" t="n">
        <v>4252.00</v>
      </c>
      <c r="D8087" s="4"/>
    </row>
    <row collapsed="" customFormat="false" customHeight="1" hidden="" ht="14" outlineLevel="0" r="8088">
      <c r="A8088" s="3" t="inlineStr">
        <is>
          <t>8055</t>
        </is>
      </c>
      <c r="B8088" s="4" t="s">
        <f>=HYPERLINK("http://anyluxury.ru/shop/odezhda/zhilety/zhilet-zhenskiy-softshell-rallye-women-cherniy-46801312/" , "46801312 Жилет женский софтшелл RALLYE WOMEN черный, размер XXL")</f>
      </c>
      <c r="C8088" s="4" t="n">
        <v>4252.00</v>
      </c>
      <c r="D8088" s="4"/>
    </row>
    <row collapsed="" customFormat="false" customHeight="1" hidden="" ht="14" outlineLevel="0" r="8089">
      <c r="A8089" s="3" t="inlineStr">
        <is>
          <t>8056</t>
        </is>
      </c>
      <c r="B8089" s="4" t="s">
        <f>=HYPERLINK("http://anyluxury.ru/shop/odezhda/zhilety/zhilet-zhenskiy-softshell-rallye-women-shokoladnokorichneviy-46801394/" , "46801394 Жилет женский софтшелл RALLYE WOMEN шоколадно-коричневый, размер S")</f>
      </c>
      <c r="C8089" s="4" t="n">
        <v>4252.00</v>
      </c>
      <c r="D8089" s="4"/>
    </row>
    <row collapsed="" customFormat="false" customHeight="1" hidden="" ht="14" outlineLevel="0" r="8090">
      <c r="A8090" s="3" t="inlineStr">
        <is>
          <t>8057</t>
        </is>
      </c>
      <c r="B8090" s="4" t="s">
        <f>=HYPERLINK("http://anyluxury.ru/shop/odezhda/zhilety/zhilet-zhenskiy-softshell-rallye-women-shokoladnokorichneviy-46801394/" , "46801394 Жилет женский софтшелл RALLYE WOMEN шоколадно-коричневый, размер M")</f>
      </c>
      <c r="C8090" s="4" t="n">
        <v>4252.00</v>
      </c>
      <c r="D8090" s="4"/>
    </row>
    <row collapsed="" customFormat="false" customHeight="1" hidden="" ht="14" outlineLevel="0" r="8091">
      <c r="A8091" s="3" t="inlineStr">
        <is>
          <t>8058</t>
        </is>
      </c>
      <c r="B8091" s="4" t="s">
        <f>=HYPERLINK("http://anyluxury.ru/shop/odezhda/zhilety/zhilet-zhenskiy-softshell-rallye-women-shokoladnokorichneviy-46801394/" , "46801394 Жилет женский софтшелл RALLYE WOMEN шоколадно-коричневый, размер L")</f>
      </c>
      <c r="C8091" s="4" t="n">
        <v>4252.00</v>
      </c>
      <c r="D8091" s="4"/>
    </row>
    <row collapsed="" customFormat="false" customHeight="1" hidden="" ht="14" outlineLevel="0" r="8092">
      <c r="A8092" s="3" t="inlineStr">
        <is>
          <t>8059</t>
        </is>
      </c>
      <c r="B8092" s="4" t="s">
        <f>=HYPERLINK("http://anyluxury.ru/shop/odezhda/zhilety/zhilet-zhenskiy-softshell-rallye-women-shokoladnokorichneviy-46801394/" , "46801394 Жилет женский софтшелл RALLYE WOMEN шоколадно-коричневый, размер XL")</f>
      </c>
      <c r="C8092" s="4" t="n">
        <v>4252.00</v>
      </c>
      <c r="D8092" s="4"/>
    </row>
    <row collapsed="" customFormat="false" customHeight="1" hidden="" ht="14" outlineLevel="0" r="8093">
      <c r="A8093" s="3" t="inlineStr">
        <is>
          <t>8060</t>
        </is>
      </c>
      <c r="B8093" s="4" t="s">
        <f>=HYPERLINK("http://anyluxury.ru/shop/odezhda/zhilety/zhilet-zhenskiy-softshell-rallye-women-shokoladnokorichneviy-46801394/" , "46801394 Жилет женский софтшелл RALLYE WOMEN шоколадно-коричневый, размер XXL")</f>
      </c>
      <c r="C8093" s="4" t="n">
        <v>4252.00</v>
      </c>
      <c r="D8093" s="4"/>
    </row>
    <row collapsed="" customFormat="false" customHeight="1" hidden="" ht="14" outlineLevel="0" r="8094">
      <c r="A8094" s="3" t="inlineStr">
        <is>
          <t>8061</t>
        </is>
      </c>
      <c r="B8094" s="4" t="s">
        <f>=HYPERLINK("http://anyluxury.ru/shop/odezhda/zhilety/zhilet-zhenskiy-softshell-rallye-women-krasniy-46801162/" , "46801162 Жилет женский софтшелл RALLYE WOMEN красный, размер S")</f>
      </c>
      <c r="C8094" s="4" t="n">
        <v>4252.00</v>
      </c>
      <c r="D8094" s="4"/>
    </row>
    <row collapsed="" customFormat="false" customHeight="1" hidden="" ht="14" outlineLevel="0" r="8095">
      <c r="A8095" s="3" t="inlineStr">
        <is>
          <t>8062</t>
        </is>
      </c>
      <c r="B8095" s="4" t="s">
        <f>=HYPERLINK("http://anyluxury.ru/shop/odezhda/zhilety/zhilet-zhenskiy-softshell-rallye-women-krasniy-46801162/" , "46801162 Жилет женский софтшелл RALLYE WOMEN красный, размер M")</f>
      </c>
      <c r="C8095" s="4" t="n">
        <v>4252.00</v>
      </c>
      <c r="D8095" s="4"/>
    </row>
    <row collapsed="" customFormat="false" customHeight="1" hidden="" ht="14" outlineLevel="0" r="8096">
      <c r="A8096" s="3" t="inlineStr">
        <is>
          <t>8063</t>
        </is>
      </c>
      <c r="B8096" s="4" t="s">
        <f>=HYPERLINK("http://anyluxury.ru/shop/odezhda/zhilety/zhilet-zhenskiy-softshell-rallye-women-krasniy-46801162/" , "46801162 Жилет женский софтшелл RALLYE WOMEN красный, размер L")</f>
      </c>
      <c r="C8096" s="4" t="n">
        <v>4252.00</v>
      </c>
      <c r="D8096" s="4"/>
    </row>
    <row collapsed="" customFormat="false" customHeight="1" hidden="" ht="14" outlineLevel="0" r="8097">
      <c r="A8097" s="3" t="inlineStr">
        <is>
          <t>8064</t>
        </is>
      </c>
      <c r="B8097" s="4" t="s">
        <f>=HYPERLINK("http://anyluxury.ru/shop/odezhda/zhilety/zhilet-zhenskiy-softshell-rallye-women-krasniy-46801162/" , "46801162 Жилет женский софтшелл RALLYE WOMEN красный, размер XL")</f>
      </c>
      <c r="C8097" s="4" t="n">
        <v>4252.00</v>
      </c>
      <c r="D8097" s="4"/>
    </row>
    <row collapsed="" customFormat="false" customHeight="1" hidden="" ht="14" outlineLevel="0" r="8098">
      <c r="A8098" s="3" t="inlineStr">
        <is>
          <t>8065</t>
        </is>
      </c>
      <c r="B8098" s="4" t="s">
        <f>=HYPERLINK("http://anyluxury.ru/shop/odezhda/zhilety/zhilet-zhenskiy-softshell-rallye-women-krasniy-46801162/" , "46801162 Жилет женский софтшелл RALLYE WOMEN красный, размер XXL")</f>
      </c>
      <c r="C8098" s="4" t="n">
        <v>4252.00</v>
      </c>
      <c r="D8098" s="4"/>
    </row>
    <row collapsed="" customFormat="false" customHeight="1" hidden="" ht="14" outlineLevel="0" r="8099">
      <c r="A8099" s="3" t="inlineStr">
        <is>
          <t>8066</t>
        </is>
      </c>
      <c r="B8099" s="4" t="s">
        <f>=HYPERLINK("http://anyluxury.ru/shop/odezhda/zhilety/zhilet-norway-temnoseriy-155410/" , "1554.10 Жилет Norway темно-серый, размер XS")</f>
      </c>
      <c r="C8099" s="4" t="n">
        <v>2372.00</v>
      </c>
      <c r="D8099" s="4"/>
    </row>
    <row collapsed="" customFormat="false" customHeight="1" hidden="" ht="14" outlineLevel="0" r="8100">
      <c r="A8100" s="3" t="inlineStr">
        <is>
          <t>8067</t>
        </is>
      </c>
      <c r="B8100" s="4" t="s">
        <f>=HYPERLINK("http://anyluxury.ru/shop/odezhda/zhilety/zhilet-norway-temnoseriy-155410/" , "1554.10 Жилет Norway темно-серый, размер S")</f>
      </c>
      <c r="C8100" s="4" t="n">
        <v>2372.00</v>
      </c>
      <c r="D8100" s="4"/>
    </row>
    <row collapsed="" customFormat="false" customHeight="1" hidden="" ht="14" outlineLevel="0" r="8101">
      <c r="A8101" s="3" t="inlineStr">
        <is>
          <t>8068</t>
        </is>
      </c>
      <c r="B8101" s="4" t="s">
        <f>=HYPERLINK("http://anyluxury.ru/shop/odezhda/zhilety/zhilet-norway-temnoseriy-155410/" , "1554.10 Жилет Norway темно-серый, размер M")</f>
      </c>
      <c r="C8101" s="4" t="n">
        <v>2372.00</v>
      </c>
      <c r="D8101" s="4"/>
    </row>
    <row collapsed="" customFormat="false" customHeight="1" hidden="" ht="14" outlineLevel="0" r="8102">
      <c r="A8102" s="3" t="inlineStr">
        <is>
          <t>8069</t>
        </is>
      </c>
      <c r="B8102" s="4" t="s">
        <f>=HYPERLINK("http://anyluxury.ru/shop/odezhda/zhilety/zhilet-norway-temnoseriy-155410/" , "1554.10 Жилет Norway темно-серый, размер L")</f>
      </c>
      <c r="C8102" s="4" t="n">
        <v>2372.00</v>
      </c>
      <c r="D8102" s="4"/>
    </row>
    <row collapsed="" customFormat="false" customHeight="1" hidden="" ht="14" outlineLevel="0" r="8103">
      <c r="A8103" s="3" t="inlineStr">
        <is>
          <t>8070</t>
        </is>
      </c>
      <c r="B8103" s="4" t="s">
        <f>=HYPERLINK("http://anyluxury.ru/shop/odezhda/zhilety/zhilet-norway-temnoseriy-155410/" , "1554.10 Жилет Norway темно-серый, размер XL")</f>
      </c>
      <c r="C8103" s="4" t="n">
        <v>2372.00</v>
      </c>
      <c r="D8103" s="4"/>
    </row>
    <row collapsed="" customFormat="false" customHeight="1" hidden="" ht="14" outlineLevel="0" r="8104">
      <c r="A8104" s="3" t="inlineStr">
        <is>
          <t>8071</t>
        </is>
      </c>
      <c r="B8104" s="4" t="s">
        <f>=HYPERLINK("http://anyluxury.ru/shop/odezhda/zhilety/zhilet-norway-temnoseriy-155410/" , "1554.10 Жилет Norway темно-серый, размер XXL")</f>
      </c>
      <c r="C8104" s="4" t="n">
        <v>2372.00</v>
      </c>
      <c r="D8104" s="4"/>
    </row>
    <row collapsed="" customFormat="false" customHeight="1" hidden="" ht="14" outlineLevel="0" r="8105">
      <c r="A8105" s="3" t="inlineStr">
        <is>
          <t>8072</t>
        </is>
      </c>
      <c r="B8105" s="4" t="s">
        <f>=HYPERLINK("http://anyluxury.ru/shop/odezhda/zhilety/zhilet-norway-temnoseriy-155410/" , "1554.10 Жилет Norway темно-серый, размер 3XL")</f>
      </c>
      <c r="C8105" s="4" t="n">
        <v>2804.00</v>
      </c>
      <c r="D8105" s="4"/>
    </row>
    <row collapsed="" customFormat="false" customHeight="1" hidden="" ht="14" outlineLevel="0" r="8106">
      <c r="A8106" s="3" t="inlineStr">
        <is>
          <t>8073</t>
        </is>
      </c>
      <c r="B8106" s="4" t="s">
        <f>=HYPERLINK("http://anyluxury.ru/shop/odezhda/zhilety/zhilet-norway-oranzheviy-155420/" , "1554.20 Жилет Norway оранжевый, размер XS")</f>
      </c>
      <c r="C8106" s="4" t="n">
        <v>2372.00</v>
      </c>
      <c r="D8106" s="4"/>
    </row>
    <row collapsed="" customFormat="false" customHeight="1" hidden="" ht="14" outlineLevel="0" r="8107">
      <c r="A8107" s="3" t="inlineStr">
        <is>
          <t>8074</t>
        </is>
      </c>
      <c r="B8107" s="4" t="s">
        <f>=HYPERLINK("http://anyluxury.ru/shop/odezhda/zhilety/zhilet-norway-oranzheviy-155420/" , "1554.20 Жилет Norway оранжевый, размер XL")</f>
      </c>
      <c r="C8107" s="4" t="n">
        <v>2372.00</v>
      </c>
      <c r="D8107" s="4"/>
    </row>
    <row collapsed="" customFormat="false" customHeight="1" hidden="" ht="14" outlineLevel="0" r="8108">
      <c r="A8108" s="3" t="inlineStr">
        <is>
          <t>8075</t>
        </is>
      </c>
      <c r="B8108" s="4" t="s">
        <f>=HYPERLINK("http://anyluxury.ru/shop/odezhda/zhilety/zhilet-norway-oranzheviy-155420/" , "1554.20 Жилет Norway оранжевый, размер 3XL")</f>
      </c>
      <c r="C8108" s="4" t="n">
        <v>2804.00</v>
      </c>
      <c r="D8108" s="4"/>
    </row>
    <row collapsed="" customFormat="false" customHeight="1" hidden="" ht="14" outlineLevel="0" r="8109">
      <c r="A8109" s="3" t="inlineStr">
        <is>
          <t>8076</t>
        </is>
      </c>
      <c r="B8109" s="4" t="s">
        <f>=HYPERLINK("http://anyluxury.ru/shop/odezhda/zhilety/zhilet-norway-cherniy-155430/" , "1554.30 Жилет Norway черный, размер XS")</f>
      </c>
      <c r="C8109" s="4" t="n">
        <v>2372.00</v>
      </c>
      <c r="D8109" s="4"/>
    </row>
    <row collapsed="" customFormat="false" customHeight="1" hidden="" ht="14" outlineLevel="0" r="8110">
      <c r="A8110" s="3" t="inlineStr">
        <is>
          <t>8077</t>
        </is>
      </c>
      <c r="B8110" s="4" t="s">
        <f>=HYPERLINK("http://anyluxury.ru/shop/odezhda/zhilety/zhilet-norway-cherniy-155430/" , "1554.30 Жилет Norway черный, размер S")</f>
      </c>
      <c r="C8110" s="4" t="n">
        <v>2372.00</v>
      </c>
      <c r="D8110" s="4"/>
    </row>
    <row collapsed="" customFormat="false" customHeight="1" hidden="" ht="14" outlineLevel="0" r="8111">
      <c r="A8111" s="3" t="inlineStr">
        <is>
          <t>8078</t>
        </is>
      </c>
      <c r="B8111" s="4" t="s">
        <f>=HYPERLINK("http://anyluxury.ru/shop/odezhda/zhilety/zhilet-norway-cherniy-155430/" , "1554.30 Жилет Norway черный, размер M")</f>
      </c>
      <c r="C8111" s="4" t="n">
        <v>2372.00</v>
      </c>
      <c r="D8111" s="4"/>
    </row>
    <row collapsed="" customFormat="false" customHeight="1" hidden="" ht="14" outlineLevel="0" r="8112">
      <c r="A8112" s="3" t="inlineStr">
        <is>
          <t>8079</t>
        </is>
      </c>
      <c r="B8112" s="4" t="s">
        <f>=HYPERLINK("http://anyluxury.ru/shop/odezhda/zhilety/zhilet-norway-cherniy-155430/" , "1554.30 Жилет Norway черный, размер L")</f>
      </c>
      <c r="C8112" s="4" t="n">
        <v>2372.00</v>
      </c>
      <c r="D8112" s="4"/>
    </row>
    <row collapsed="" customFormat="false" customHeight="1" hidden="" ht="14" outlineLevel="0" r="8113">
      <c r="A8113" s="3" t="inlineStr">
        <is>
          <t>8080</t>
        </is>
      </c>
      <c r="B8113" s="4" t="s">
        <f>=HYPERLINK("http://anyluxury.ru/shop/odezhda/zhilety/zhilet-norway-cherniy-155430/" , "1554.30 Жилет Norway черный, размер XL")</f>
      </c>
      <c r="C8113" s="4" t="n">
        <v>2372.00</v>
      </c>
      <c r="D8113" s="4"/>
    </row>
    <row collapsed="" customFormat="false" customHeight="1" hidden="" ht="14" outlineLevel="0" r="8114">
      <c r="A8114" s="3" t="inlineStr">
        <is>
          <t>8081</t>
        </is>
      </c>
      <c r="B8114" s="4" t="s">
        <f>=HYPERLINK("http://anyluxury.ru/shop/odezhda/zhilety/zhilet-norway-cherniy-155430/" , "1554.30 Жилет Norway черный, размер XXL")</f>
      </c>
      <c r="C8114" s="4" t="n">
        <v>2372.00</v>
      </c>
      <c r="D8114" s="4"/>
    </row>
    <row collapsed="" customFormat="false" customHeight="1" hidden="" ht="14" outlineLevel="0" r="8115">
      <c r="A8115" s="3" t="inlineStr">
        <is>
          <t>8082</t>
        </is>
      </c>
      <c r="B8115" s="4" t="s">
        <f>=HYPERLINK("http://anyluxury.ru/shop/odezhda/zhilety/zhilet-norway-cherniy-155430/" , "1554.30 Жилет Norway черный, размер 3XL")</f>
      </c>
      <c r="C8115" s="4" t="n">
        <v>2804.00</v>
      </c>
      <c r="D8115" s="4"/>
    </row>
    <row collapsed="" customFormat="false" customHeight="1" hidden="" ht="14" outlineLevel="0" r="8116">
      <c r="A8116" s="3" t="inlineStr">
        <is>
          <t>8083</t>
        </is>
      </c>
      <c r="B8116" s="4" t="s">
        <f>=HYPERLINK("http://anyluxury.ru/shop/odezhda/zhilety/zhilet-norway-cherniy-155430/" , "1554.30 Жилет Norway черный, размер 4XL")</f>
      </c>
      <c r="C8116" s="4" t="n">
        <v>3288.00</v>
      </c>
      <c r="D8116" s="4"/>
    </row>
    <row collapsed="" customFormat="false" customHeight="1" hidden="" ht="14" outlineLevel="0" r="8117">
      <c r="A8117" s="3" t="inlineStr">
        <is>
          <t>8084</t>
        </is>
      </c>
      <c r="B8117" s="4" t="s">
        <f>=HYPERLINK("http://anyluxury.ru/shop/odezhda/zhilety/zhilet-norway-cherniy-155430/" , "1554.30 Жилет Norway черный, размер 5XL")</f>
      </c>
      <c r="C8117" s="4" t="n">
        <v>3288.00</v>
      </c>
      <c r="D8117" s="4"/>
    </row>
    <row collapsed="" customFormat="false" customHeight="1" hidden="" ht="14" outlineLevel="0" r="8118">
      <c r="A8118" s="3" t="inlineStr">
        <is>
          <t>8085</t>
        </is>
      </c>
      <c r="B8118" s="4" t="s">
        <f>=HYPERLINK("http://anyluxury.ru/shop/odezhda/zhilety/zhilet-norway-yarkosiniy-155444/" , "1554.44 Жилет Norway ярко-синий, размер XS")</f>
      </c>
      <c r="C8118" s="4" t="n">
        <v>2372.00</v>
      </c>
      <c r="D8118" s="4"/>
    </row>
    <row collapsed="" customFormat="false" customHeight="1" hidden="" ht="14" outlineLevel="0" r="8119">
      <c r="A8119" s="3" t="inlineStr">
        <is>
          <t>8086</t>
        </is>
      </c>
      <c r="B8119" s="4" t="s">
        <f>=HYPERLINK("http://anyluxury.ru/shop/odezhda/zhilety/zhilet-norway-yarkosiniy-155444/" , "1554.44 Жилет Norway ярко-синий, размер S")</f>
      </c>
      <c r="C8119" s="4" t="n">
        <v>2372.00</v>
      </c>
      <c r="D8119" s="4"/>
    </row>
    <row collapsed="" customFormat="false" customHeight="1" hidden="" ht="14" outlineLevel="0" r="8120">
      <c r="A8120" s="3" t="inlineStr">
        <is>
          <t>8087</t>
        </is>
      </c>
      <c r="B8120" s="4" t="s">
        <f>=HYPERLINK("http://anyluxury.ru/shop/odezhda/zhilety/zhilet-norway-yarkosiniy-155444/" , "1554.44 Жилет Norway ярко-синий, размер M")</f>
      </c>
      <c r="C8120" s="4" t="n">
        <v>2372.00</v>
      </c>
      <c r="D8120" s="4"/>
    </row>
    <row collapsed="" customFormat="false" customHeight="1" hidden="" ht="14" outlineLevel="0" r="8121">
      <c r="A8121" s="3" t="inlineStr">
        <is>
          <t>8088</t>
        </is>
      </c>
      <c r="B8121" s="4" t="s">
        <f>=HYPERLINK("http://anyluxury.ru/shop/odezhda/zhilety/zhilet-norway-yarkosiniy-155444/" , "1554.44 Жилет Norway ярко-синий, размер L")</f>
      </c>
      <c r="C8121" s="4" t="n">
        <v>2372.00</v>
      </c>
      <c r="D8121" s="4"/>
    </row>
    <row collapsed="" customFormat="false" customHeight="1" hidden="" ht="14" outlineLevel="0" r="8122">
      <c r="A8122" s="3" t="inlineStr">
        <is>
          <t>8089</t>
        </is>
      </c>
      <c r="B8122" s="4" t="s">
        <f>=HYPERLINK("http://anyluxury.ru/shop/odezhda/zhilety/zhilet-norway-yarkosiniy-155444/" , "1554.44 Жилет Norway ярко-синий, размер XL")</f>
      </c>
      <c r="C8122" s="4" t="n">
        <v>2372.00</v>
      </c>
      <c r="D8122" s="4"/>
    </row>
    <row collapsed="" customFormat="false" customHeight="1" hidden="" ht="14" outlineLevel="0" r="8123">
      <c r="A8123" s="3" t="inlineStr">
        <is>
          <t>8090</t>
        </is>
      </c>
      <c r="B8123" s="4" t="s">
        <f>=HYPERLINK("http://anyluxury.ru/shop/odezhda/zhilety/zhilet-norway-yarkosiniy-155444/" , "1554.44 Жилет Norway ярко-синий, размер XXL")</f>
      </c>
      <c r="C8123" s="4" t="n">
        <v>2372.00</v>
      </c>
      <c r="D8123" s="4"/>
    </row>
    <row collapsed="" customFormat="false" customHeight="1" hidden="" ht="14" outlineLevel="0" r="8124">
      <c r="A8124" s="3" t="inlineStr">
        <is>
          <t>8091</t>
        </is>
      </c>
      <c r="B8124" s="4" t="s">
        <f>=HYPERLINK("http://anyluxury.ru/shop/odezhda/zhilety/zhilet-norway-yarkosiniy-155444/" , "1554.44 Жилет Norway ярко-синий, размер 3XL")</f>
      </c>
      <c r="C8124" s="4" t="n">
        <v>2804.00</v>
      </c>
      <c r="D8124" s="4"/>
    </row>
    <row collapsed="" customFormat="false" customHeight="1" hidden="" ht="14" outlineLevel="0" r="8125">
      <c r="A8125" s="3" t="inlineStr">
        <is>
          <t>8092</t>
        </is>
      </c>
      <c r="B8125" s="4" t="s">
        <f>=HYPERLINK("http://anyluxury.ru/shop/odezhda/zhilety/zhilet-dvustoronniy-winner-yarkosiniy-267144/" , "2671.44 Жилет двусторонний WINNER, ярко-синий, размер XS")</f>
      </c>
      <c r="C8125" s="4" t="n">
        <v>2731.00</v>
      </c>
      <c r="D8125" s="4"/>
    </row>
    <row collapsed="" customFormat="false" customHeight="1" hidden="" ht="14" outlineLevel="0" r="8126">
      <c r="A8126" s="3" t="inlineStr">
        <is>
          <t>8093</t>
        </is>
      </c>
      <c r="B8126" s="4" t="s">
        <f>=HYPERLINK("http://anyluxury.ru/shop/odezhda/zhilety/zhilet-dvustoronniy-winner-yarkosiniy-267144/" , "2671.44 Жилет двусторонний WINNER, ярко-синий, размер S")</f>
      </c>
      <c r="C8126" s="4" t="n">
        <v>2731.00</v>
      </c>
      <c r="D8126" s="4"/>
    </row>
    <row collapsed="" customFormat="false" customHeight="1" hidden="" ht="14" outlineLevel="0" r="8127">
      <c r="A8127" s="3" t="inlineStr">
        <is>
          <t>8094</t>
        </is>
      </c>
      <c r="B8127" s="4" t="s">
        <f>=HYPERLINK("http://anyluxury.ru/shop/odezhda/zhilety/zhilet-dvustoronniy-winner-yarkosiniy-267144/" , "2671.44 Жилет двусторонний WINNER, ярко-синий, размер M")</f>
      </c>
      <c r="C8127" s="4" t="n">
        <v>2731.00</v>
      </c>
      <c r="D8127" s="4"/>
    </row>
    <row collapsed="" customFormat="false" customHeight="1" hidden="" ht="14" outlineLevel="0" r="8128">
      <c r="A8128" s="3" t="inlineStr">
        <is>
          <t>8095</t>
        </is>
      </c>
      <c r="B8128" s="4" t="s">
        <f>=HYPERLINK("http://anyluxury.ru/shop/odezhda/zhilety/zhilet-dvustoronniy-winner-yarkosiniy-267144/" , "2671.44 Жилет двусторонний WINNER, ярко-синий, размер L")</f>
      </c>
      <c r="C8128" s="4" t="n">
        <v>2731.00</v>
      </c>
      <c r="D8128" s="4"/>
    </row>
    <row collapsed="" customFormat="false" customHeight="1" hidden="" ht="14" outlineLevel="0" r="8129">
      <c r="A8129" s="3" t="inlineStr">
        <is>
          <t>8096</t>
        </is>
      </c>
      <c r="B8129" s="4" t="s">
        <f>=HYPERLINK("http://anyluxury.ru/shop/odezhda/zhilety/zhilet-dvustoronniy-winner-yarkosiniy-267144/" , "2671.44 Жилет двусторонний WINNER, ярко-синий, размер XL")</f>
      </c>
      <c r="C8129" s="4" t="n">
        <v>2731.00</v>
      </c>
      <c r="D8129" s="4"/>
    </row>
    <row collapsed="" customFormat="false" customHeight="1" hidden="" ht="14" outlineLevel="0" r="8130">
      <c r="A8130" s="3" t="inlineStr">
        <is>
          <t>8097</t>
        </is>
      </c>
      <c r="B8130" s="4" t="s">
        <f>=HYPERLINK("http://anyluxury.ru/shop/odezhda/zhilety/zhilet-dvustoronniy-winner-yarkosiniy-267144/" , "2671.44 Жилет двусторонний WINNER, ярко-синий, размер XXL")</f>
      </c>
      <c r="C8130" s="4" t="n">
        <v>2731.00</v>
      </c>
      <c r="D8130" s="4"/>
    </row>
    <row collapsed="" customFormat="false" customHeight="1" hidden="" ht="14" outlineLevel="0" r="8131">
      <c r="A8131" s="3" t="inlineStr">
        <is>
          <t>8098</t>
        </is>
      </c>
      <c r="B8131" s="4" t="s">
        <f>=HYPERLINK("http://anyluxury.ru/shop/odezhda/zhilety/zhilet-dvustoronniy-winner-zeleniy-267190/" , "2671.90 Жилет двусторонний WINNER зеленый, размер XS")</f>
      </c>
      <c r="C8131" s="4" t="n">
        <v>2731.00</v>
      </c>
      <c r="D8131" s="4"/>
    </row>
    <row collapsed="" customFormat="false" customHeight="1" hidden="" ht="14" outlineLevel="0" r="8132">
      <c r="A8132" s="3" t="inlineStr">
        <is>
          <t>8099</t>
        </is>
      </c>
      <c r="B8132" s="4" t="s">
        <f>=HYPERLINK("http://anyluxury.ru/shop/odezhda/zhilety/zhilet-dvustoronniy-winner-zeleniy-267190/" , "2671.90 Жилет двусторонний WINNER зеленый, размер S")</f>
      </c>
      <c r="C8132" s="4" t="n">
        <v>2731.00</v>
      </c>
      <c r="D8132" s="4"/>
    </row>
    <row collapsed="" customFormat="false" customHeight="1" hidden="" ht="14" outlineLevel="0" r="8133">
      <c r="A8133" s="3" t="inlineStr">
        <is>
          <t>8100</t>
        </is>
      </c>
      <c r="B8133" s="4" t="s">
        <f>=HYPERLINK("http://anyluxury.ru/shop/odezhda/zhilety/zhilet-dvustoronniy-winner-zeleniy-267190/" , "2671.90 Жилет двусторонний WINNER зеленый, размер M")</f>
      </c>
      <c r="C8133" s="4" t="n">
        <v>2731.00</v>
      </c>
      <c r="D8133" s="4"/>
    </row>
    <row collapsed="" customFormat="false" customHeight="1" hidden="" ht="14" outlineLevel="0" r="8134">
      <c r="A8134" s="3" t="inlineStr">
        <is>
          <t>8101</t>
        </is>
      </c>
      <c r="B8134" s="4" t="s">
        <f>=HYPERLINK("http://anyluxury.ru/shop/odezhda/zhilety/zhilet-dvustoronniy-winner-zeleniy-267190/" , "2671.90 Жилет двусторонний WINNER зеленый, размер L")</f>
      </c>
      <c r="C8134" s="4" t="n">
        <v>2731.00</v>
      </c>
      <c r="D8134" s="4"/>
    </row>
    <row collapsed="" customFormat="false" customHeight="1" hidden="" ht="14" outlineLevel="0" r="8135">
      <c r="A8135" s="3" t="inlineStr">
        <is>
          <t>8102</t>
        </is>
      </c>
      <c r="B8135" s="4" t="s">
        <f>=HYPERLINK("http://anyluxury.ru/shop/odezhda/zhilety/zhilet-dvustoronniy-winner-zeleniy-267190/" , "2671.90 Жилет двусторонний WINNER зеленый, размер XL")</f>
      </c>
      <c r="C8135" s="4" t="n">
        <v>2731.00</v>
      </c>
      <c r="D8135" s="4"/>
    </row>
    <row collapsed="" customFormat="false" customHeight="1" hidden="" ht="14" outlineLevel="0" r="8136">
      <c r="A8136" s="3" t="inlineStr">
        <is>
          <t>8103</t>
        </is>
      </c>
      <c r="B8136" s="4" t="s">
        <f>=HYPERLINK("http://anyluxury.ru/shop/odezhda/zhilety/zhilet-dvustoronniy-winner-zeleniy-267190/" , "2671.90 Жилет двусторонний WINNER зеленый, размер XXL")</f>
      </c>
      <c r="C8136" s="4" t="n">
        <v>2731.00</v>
      </c>
      <c r="D8136" s="4"/>
    </row>
    <row collapsed="" customFormat="false" customHeight="1" hidden="" ht="14" outlineLevel="0" r="8137">
      <c r="A8137" s="3" t="inlineStr">
        <is>
          <t>8104</t>
        </is>
      </c>
      <c r="B8137" s="4" t="s">
        <f>=HYPERLINK("http://anyluxury.ru/shop/odezhda/zhilety/zhilet-equinox-pro-cherniy-584730/" , "5847.30 Жилет EQUINOX PRO, черный, размер S")</f>
      </c>
      <c r="C8137" s="4" t="n">
        <v>4394.00</v>
      </c>
      <c r="D8137" s="4"/>
    </row>
    <row collapsed="" customFormat="false" customHeight="1" hidden="" ht="14" outlineLevel="0" r="8138">
      <c r="A8138" s="3" t="inlineStr">
        <is>
          <t>8105</t>
        </is>
      </c>
      <c r="B8138" s="4" t="s">
        <f>=HYPERLINK("http://anyluxury.ru/shop/odezhda/zhilety/zhilet-equinox-pro-cherniy-584730/" , "5847.30 Жилет EQUINOX PRO, черный, размер M")</f>
      </c>
      <c r="C8138" s="4" t="n">
        <v>4394.00</v>
      </c>
      <c r="D8138" s="4"/>
    </row>
    <row collapsed="" customFormat="false" customHeight="1" hidden="" ht="14" outlineLevel="0" r="8139">
      <c r="A8139" s="3" t="inlineStr">
        <is>
          <t>8106</t>
        </is>
      </c>
      <c r="B8139" s="4" t="s">
        <f>=HYPERLINK("http://anyluxury.ru/shop/odezhda/zhilety/zhilet-equinox-pro-cherniy-584730/" , "5847.30 Жилет EQUINOX PRO, черный, размер L")</f>
      </c>
      <c r="C8139" s="4" t="n">
        <v>4394.00</v>
      </c>
      <c r="D8139" s="4"/>
    </row>
    <row collapsed="" customFormat="false" customHeight="1" hidden="" ht="14" outlineLevel="0" r="8140">
      <c r="A8140" s="3" t="inlineStr">
        <is>
          <t>8107</t>
        </is>
      </c>
      <c r="B8140" s="4" t="s">
        <f>=HYPERLINK("http://anyluxury.ru/shop/odezhda/zhilety/zhilet-equinox-pro-cherniy-584730/" , "5847.30 Жилет EQUINOX PRO, черный, размер XL")</f>
      </c>
      <c r="C8140" s="4" t="n">
        <v>4394.00</v>
      </c>
      <c r="D8140" s="4"/>
    </row>
    <row collapsed="" customFormat="false" customHeight="1" hidden="" ht="14" outlineLevel="0" r="8141">
      <c r="A8141" s="3" t="inlineStr">
        <is>
          <t>8108</t>
        </is>
      </c>
      <c r="B8141" s="4" t="s">
        <f>=HYPERLINK("http://anyluxury.ru/shop/odezhda/zhilety/zhilet-equinox-pro-cherniy-584730/" , "5847.30 Жилет EQUINOX PRO, черный, размер XXL")</f>
      </c>
      <c r="C8141" s="4" t="n">
        <v>4394.00</v>
      </c>
      <c r="D8141" s="4"/>
    </row>
    <row collapsed="" customFormat="false" customHeight="1" hidden="" ht="14" outlineLevel="0" r="8142">
      <c r="A8142" s="3" t="inlineStr">
        <is>
          <t>8109</t>
        </is>
      </c>
      <c r="B8142" s="4" t="s">
        <f>=HYPERLINK("http://anyluxury.ru/shop/odezhda/zhilety/zhilet-equinox-pro-cherniy-584730/" , "5847.30 Жилет EQUINOX PRO, черный, размер 3XL")</f>
      </c>
      <c r="C8142" s="4" t="n">
        <v>4394.00</v>
      </c>
      <c r="D8142" s="4"/>
    </row>
    <row collapsed="" customFormat="false" customHeight="1" hidden="" ht="14" outlineLevel="0" r="8143">
      <c r="A8143" s="3" t="inlineStr">
        <is>
          <t>8110</t>
        </is>
      </c>
      <c r="B8143" s="4" t="s">
        <f>=HYPERLINK("http://anyluxury.ru/shop/odezhda/zhilety/zhilet-equinox-pro-cherniy-584730/" , "5847.30 Жилет EQUINOX PRO, черный, размер 4XL")</f>
      </c>
      <c r="C8143" s="4" t="n">
        <v>4394.00</v>
      </c>
      <c r="D8143" s="4"/>
    </row>
    <row collapsed="" customFormat="false" customHeight="1" hidden="" ht="14" outlineLevel="0" r="8144">
      <c r="A8144" s="3" t="inlineStr">
        <is>
          <t>8111</t>
        </is>
      </c>
      <c r="B8144" s="4" t="s">
        <f>=HYPERLINK("http://anyluxury.ru/shop/odezhda/zhilety/zhilet-equinox-pro-cherniy-584730/" , "5847.30 Жилет EQUINOX PRO, черный, размер 5XL")</f>
      </c>
      <c r="C8144" s="4" t="n">
        <v>4394.00</v>
      </c>
      <c r="D8144" s="4"/>
    </row>
    <row collapsed="" customFormat="false" customHeight="1" hidden="" ht="14" outlineLevel="0" r="8145">
      <c r="A8145" s="3" t="inlineStr">
        <is>
          <t>8112</t>
        </is>
      </c>
      <c r="B8145" s="4" t="s">
        <f>=HYPERLINK("http://anyluxury.ru/shop/odezhda/zhilety/zhilet-equinox-pro-temnosiniy-584740/" , "5847.40 Жилет EQUINOX PRO, темно-синий, размер S")</f>
      </c>
      <c r="C8145" s="4" t="n">
        <v>4394.00</v>
      </c>
      <c r="D8145" s="4"/>
    </row>
    <row collapsed="" customFormat="false" customHeight="1" hidden="" ht="14" outlineLevel="0" r="8146">
      <c r="A8146" s="3" t="inlineStr">
        <is>
          <t>8113</t>
        </is>
      </c>
      <c r="B8146" s="4" t="s">
        <f>=HYPERLINK("http://anyluxury.ru/shop/odezhda/zhilety/zhilet-equinox-pro-temnosiniy-584740/" , "5847.40 Жилет EQUINOX PRO, темно-синий, размер M")</f>
      </c>
      <c r="C8146" s="4" t="n">
        <v>4394.00</v>
      </c>
      <c r="D8146" s="4"/>
    </row>
    <row collapsed="" customFormat="false" customHeight="1" hidden="" ht="14" outlineLevel="0" r="8147">
      <c r="A8147" s="3" t="inlineStr">
        <is>
          <t>8114</t>
        </is>
      </c>
      <c r="B8147" s="4" t="s">
        <f>=HYPERLINK("http://anyluxury.ru/shop/odezhda/zhilety/zhilet-equinox-pro-temnosiniy-584740/" , "5847.40 Жилет EQUINOX PRO, темно-синий, размер L")</f>
      </c>
      <c r="C8147" s="4" t="n">
        <v>4394.00</v>
      </c>
      <c r="D8147" s="4"/>
    </row>
    <row collapsed="" customFormat="false" customHeight="1" hidden="" ht="14" outlineLevel="0" r="8148">
      <c r="A8148" s="3" t="inlineStr">
        <is>
          <t>8115</t>
        </is>
      </c>
      <c r="B8148" s="4" t="s">
        <f>=HYPERLINK("http://anyluxury.ru/shop/odezhda/zhilety/zhilet-equinox-pro-temnosiniy-584740/" , "5847.40 Жилет EQUINOX PRO, темно-синий, размер XL")</f>
      </c>
      <c r="C8148" s="4" t="n">
        <v>4394.00</v>
      </c>
      <c r="D8148" s="4"/>
    </row>
    <row collapsed="" customFormat="false" customHeight="1" hidden="" ht="14" outlineLevel="0" r="8149">
      <c r="A8149" s="3" t="inlineStr">
        <is>
          <t>8116</t>
        </is>
      </c>
      <c r="B8149" s="4" t="s">
        <f>=HYPERLINK("http://anyluxury.ru/shop/odezhda/zhilety/zhilet-equinox-pro-temnosiniy-584740/" , "5847.40 Жилет EQUINOX PRO, темно-синий, размер XXL")</f>
      </c>
      <c r="C8149" s="4" t="n">
        <v>4394.00</v>
      </c>
      <c r="D8149" s="4"/>
    </row>
    <row collapsed="" customFormat="false" customHeight="1" hidden="" ht="14" outlineLevel="0" r="8150">
      <c r="A8150" s="3" t="inlineStr">
        <is>
          <t>8117</t>
        </is>
      </c>
      <c r="B8150" s="4" t="s">
        <f>=HYPERLINK("http://anyluxury.ru/shop/odezhda/zhilety/zhilet-equinox-pro-temnosiniy-584740/" , "5847.40 Жилет EQUINOX PRO, темно-синий, размер 3XL")</f>
      </c>
      <c r="C8150" s="4" t="n">
        <v>4394.00</v>
      </c>
      <c r="D8150" s="4"/>
    </row>
    <row collapsed="" customFormat="false" customHeight="1" hidden="" ht="14" outlineLevel="0" r="8151">
      <c r="A8151" s="3" t="inlineStr">
        <is>
          <t>8118</t>
        </is>
      </c>
      <c r="B8151" s="4" t="s">
        <f>=HYPERLINK("http://anyluxury.ru/shop/odezhda/zhilety/zhilet-equinox-pro-temnosiniy-584740/" , "5847.40 Жилет EQUINOX PRO, темно-синий, размер 4XL")</f>
      </c>
      <c r="C8151" s="4" t="n">
        <v>4394.00</v>
      </c>
      <c r="D8151" s="4"/>
    </row>
    <row collapsed="" customFormat="false" customHeight="1" hidden="" ht="14" outlineLevel="0" r="8152">
      <c r="A8152" s="3" t="inlineStr">
        <is>
          <t>8119</t>
        </is>
      </c>
      <c r="B8152" s="4" t="s">
        <f>=HYPERLINK("http://anyluxury.ru/shop/odezhda/zhilety/zhilet-equinox-pro-temnosiniy-584740/" , "5847.40 Жилет EQUINOX PRO, темно-синий, размер 5XL")</f>
      </c>
      <c r="C8152" s="4" t="n">
        <v>4394.00</v>
      </c>
      <c r="D8152" s="4"/>
    </row>
    <row collapsed="" customFormat="false" customHeight="1" hidden="" ht="14" outlineLevel="0" r="8153">
      <c r="A8153" s="3" t="inlineStr">
        <is>
          <t>8120</t>
        </is>
      </c>
      <c r="B8153" s="4" t="s">
        <f>=HYPERLINK("http://anyluxury.ru/shop/odezhda/zhilety/zhilet-wave-men-cherniy-01436312/" , "01436312 Жилет WAVE MEN черная, размер S")</f>
      </c>
      <c r="C8153" s="4" t="n">
        <v>4888.00</v>
      </c>
      <c r="D8153" s="4"/>
    </row>
    <row collapsed="" customFormat="false" customHeight="1" hidden="" ht="14" outlineLevel="0" r="8154">
      <c r="A8154" s="3" t="inlineStr">
        <is>
          <t>8121</t>
        </is>
      </c>
      <c r="B8154" s="4" t="s">
        <f>=HYPERLINK("http://anyluxury.ru/shop/odezhda/zhilety/zhilet-wave-men-cherniy-01436312/" , "01436312 Жилет WAVE MEN черная, размер M")</f>
      </c>
      <c r="C8154" s="4" t="n">
        <v>4888.00</v>
      </c>
      <c r="D8154" s="4"/>
    </row>
    <row collapsed="" customFormat="false" customHeight="1" hidden="" ht="14" outlineLevel="0" r="8155">
      <c r="A8155" s="3" t="inlineStr">
        <is>
          <t>8122</t>
        </is>
      </c>
      <c r="B8155" s="4" t="s">
        <f>=HYPERLINK("http://anyluxury.ru/shop/odezhda/zhilety/zhilet-wave-men-cherniy-01436312/" , "01436312 Жилет WAVE MEN черный, размер 3XL")</f>
      </c>
      <c r="C8155" s="4" t="n">
        <v>5565.00</v>
      </c>
      <c r="D8155" s="4"/>
    </row>
    <row collapsed="" customFormat="false" customHeight="1" hidden="" ht="14" outlineLevel="0" r="8156">
      <c r="A8156" s="3" t="inlineStr">
        <is>
          <t>8123</t>
        </is>
      </c>
      <c r="B8156" s="4" t="s">
        <f>=HYPERLINK("http://anyluxury.ru/shop/odezhda/zhilety/zhilet-wave-men-temnosiniy-01436318/" , "01436318 Жилет WAVE MEN темно-синий, размер S")</f>
      </c>
      <c r="C8156" s="4" t="n">
        <v>4888.00</v>
      </c>
      <c r="D8156" s="4"/>
    </row>
    <row collapsed="" customFormat="false" customHeight="1" hidden="" ht="14" outlineLevel="0" r="8157">
      <c r="A8157" s="3" t="inlineStr">
        <is>
          <t>8124</t>
        </is>
      </c>
      <c r="B8157" s="4" t="s">
        <f>=HYPERLINK("http://anyluxury.ru/shop/odezhda/zhilety/zhilet-wave-men-temnosiniy-01436318/" , "01436318 Жилет WAVE MEN темно-синий, размер M")</f>
      </c>
      <c r="C8157" s="4" t="n">
        <v>4888.00</v>
      </c>
      <c r="D8157" s="4"/>
    </row>
    <row collapsed="" customFormat="false" customHeight="1" hidden="" ht="14" outlineLevel="0" r="8158">
      <c r="A8158" s="3" t="inlineStr">
        <is>
          <t>8125</t>
        </is>
      </c>
      <c r="B8158" s="4" t="s">
        <f>=HYPERLINK("http://anyluxury.ru/shop/odezhda/zhilety/zhilet-wave-men-temnosiniy-01436318/" , "01436318 Жилет WAVE MEN темно-синий, размер L")</f>
      </c>
      <c r="C8158" s="4" t="n">
        <v>4888.00</v>
      </c>
      <c r="D8158" s="4"/>
    </row>
    <row collapsed="" customFormat="false" customHeight="1" hidden="" ht="14" outlineLevel="0" r="8159">
      <c r="A8159" s="3" t="inlineStr">
        <is>
          <t>8126</t>
        </is>
      </c>
      <c r="B8159" s="4" t="s">
        <f>=HYPERLINK("http://anyluxury.ru/shop/odezhda/zhilety/zhilet-wave-men-temnosiniy-01436318/" , "01436318 Жилет WAVE MEN темно-синий, размер XL")</f>
      </c>
      <c r="C8159" s="4" t="n">
        <v>4888.00</v>
      </c>
      <c r="D8159" s="4"/>
    </row>
    <row collapsed="" customFormat="false" customHeight="1" hidden="" ht="14" outlineLevel="0" r="8160">
      <c r="A8160" s="3" t="inlineStr">
        <is>
          <t>8127</t>
        </is>
      </c>
      <c r="B8160" s="4" t="s">
        <f>=HYPERLINK("http://anyluxury.ru/shop/odezhda/zhilety/zhilet-wave-men-temnosiniy-01436318/" , "01436318 Жилет WAVE MEN темно-синий, размер XXL")</f>
      </c>
      <c r="C8160" s="4" t="n">
        <v>4888.00</v>
      </c>
      <c r="D8160" s="4"/>
    </row>
    <row collapsed="" customFormat="false" customHeight="1" hidden="" ht="14" outlineLevel="0" r="8161">
      <c r="A8161" s="3" t="inlineStr">
        <is>
          <t>8128</t>
        </is>
      </c>
      <c r="B8161" s="4" t="s">
        <f>=HYPERLINK("http://anyluxury.ru/shop/odezhda/zhilety/zhilet-wave-men-temnosiniy-01436318/" , "01436318 Жилет WAVE MEN темно-синий, размер 3XL")</f>
      </c>
      <c r="C8161" s="4" t="n">
        <v>5565.00</v>
      </c>
      <c r="D8161" s="4"/>
    </row>
    <row collapsed="" customFormat="false" customHeight="1" hidden="" ht="14" outlineLevel="0" r="8162">
      <c r="A8162" s="3" t="inlineStr">
        <is>
          <t>8129</t>
        </is>
      </c>
      <c r="B8162" s="4" t="s">
        <f>=HYPERLINK("http://anyluxury.ru/shop/odezhda/zhilety/zhilet-wave-men-neonoviy-zeleniy-laym-01436282/" , "01436282 Жилет WAVE MEN неоновый зеленый (лайм), размер S")</f>
      </c>
      <c r="C8162" s="4" t="n">
        <v>4888.00</v>
      </c>
      <c r="D8162" s="4"/>
    </row>
    <row collapsed="" customFormat="false" customHeight="1" hidden="" ht="14" outlineLevel="0" r="8163">
      <c r="A8163" s="3" t="inlineStr">
        <is>
          <t>8130</t>
        </is>
      </c>
      <c r="B8163" s="4" t="s">
        <f>=HYPERLINK("http://anyluxury.ru/shop/odezhda/zhilety/zhilet-wave-men-neonoviy-zeleniy-laym-01436282/" , "01436282 Жилет WAVE MEN неоновый зеленый (лайм), размер M")</f>
      </c>
      <c r="C8163" s="4" t="n">
        <v>4888.00</v>
      </c>
      <c r="D8163" s="4"/>
    </row>
    <row collapsed="" customFormat="false" customHeight="1" hidden="" ht="14" outlineLevel="0" r="8164">
      <c r="A8164" s="3" t="inlineStr">
        <is>
          <t>8131</t>
        </is>
      </c>
      <c r="B8164" s="4" t="s">
        <f>=HYPERLINK("http://anyluxury.ru/shop/odezhda/zhilety/zhilet-wave-men-neonoviy-zeleniy-laym-01436282/" , "01436282 Жилет WAVE MEN неоновый зеленый (лайм), размер L")</f>
      </c>
      <c r="C8164" s="4" t="n">
        <v>4888.00</v>
      </c>
      <c r="D8164" s="4"/>
    </row>
    <row collapsed="" customFormat="false" customHeight="1" hidden="" ht="14" outlineLevel="0" r="8165">
      <c r="A8165" s="3" t="inlineStr">
        <is>
          <t>8132</t>
        </is>
      </c>
      <c r="B8165" s="4" t="s">
        <f>=HYPERLINK("http://anyluxury.ru/shop/odezhda/zhilety/zhilet-wave-men-neonoviy-zeleniy-laym-01436282/" , "01436282 Жилет WAVE MEN неоновый зеленый (лайм), размер XL")</f>
      </c>
      <c r="C8165" s="4" t="n">
        <v>4888.00</v>
      </c>
      <c r="D8165" s="4"/>
    </row>
    <row collapsed="" customFormat="false" customHeight="1" hidden="" ht="14" outlineLevel="0" r="8166">
      <c r="A8166" s="3" t="inlineStr">
        <is>
          <t>8133</t>
        </is>
      </c>
      <c r="B8166" s="4" t="s">
        <f>=HYPERLINK("http://anyluxury.ru/shop/odezhda/zhilety/zhilet-wave-men-neonoviy-zeleniy-laym-01436282/" , "01436282 Жилет WAVE MEN неоновый зеленый (лайм), размер XXL")</f>
      </c>
      <c r="C8166" s="4" t="n">
        <v>4888.00</v>
      </c>
      <c r="D8166" s="4"/>
    </row>
    <row collapsed="" customFormat="false" customHeight="1" hidden="" ht="14" outlineLevel="0" r="8167">
      <c r="A8167" s="3" t="inlineStr">
        <is>
          <t>8134</t>
        </is>
      </c>
      <c r="B8167" s="4" t="s">
        <f>=HYPERLINK("http://anyluxury.ru/shop/odezhda/zhilety/zhilet-wave-men-neonoviy-zeleniy-laym-01436282/" , "01436282 Жилет WAVE MEN неоновый зеленый (лайм), размер 3XL")</f>
      </c>
      <c r="C8167" s="4" t="n">
        <v>5565.00</v>
      </c>
      <c r="D8167" s="4"/>
    </row>
    <row collapsed="" customFormat="false" customHeight="1" hidden="" ht="14" outlineLevel="0" r="8168">
      <c r="A8168" s="3" t="inlineStr">
        <is>
          <t>8135</t>
        </is>
      </c>
      <c r="B8168" s="4" t="s">
        <f>=HYPERLINK("http://anyluxury.ru/shop/odezhda/zhilety/zhilet-wave-women-temnosiniy-01437318/" , "01437318 Жилет WAVE WOMEN темно-синий, размер S")</f>
      </c>
      <c r="C8168" s="4" t="n">
        <v>4888.00</v>
      </c>
      <c r="D8168" s="4"/>
    </row>
    <row collapsed="" customFormat="false" customHeight="1" hidden="" ht="14" outlineLevel="0" r="8169">
      <c r="A8169" s="3" t="inlineStr">
        <is>
          <t>8136</t>
        </is>
      </c>
      <c r="B8169" s="4" t="s">
        <f>=HYPERLINK("http://anyluxury.ru/shop/odezhda/zhilety/zhilet-wave-women-temnosiniy-01437318/" , "01437318 Жилет WAVE WOMEN темно-синий, размер M")</f>
      </c>
      <c r="C8169" s="4" t="n">
        <v>4888.00</v>
      </c>
      <c r="D8169" s="4"/>
    </row>
    <row collapsed="" customFormat="false" customHeight="1" hidden="" ht="14" outlineLevel="0" r="8170">
      <c r="A8170" s="3" t="inlineStr">
        <is>
          <t>8137</t>
        </is>
      </c>
      <c r="B8170" s="4" t="s">
        <f>=HYPERLINK("http://anyluxury.ru/shop/odezhda/zhilety/zhilet-wave-women-temnosiniy-01437318/" , "01437318 Жилет WAVE WOMEN темно-синий, размер L")</f>
      </c>
      <c r="C8170" s="4" t="n">
        <v>4888.00</v>
      </c>
      <c r="D8170" s="4"/>
    </row>
    <row collapsed="" customFormat="false" customHeight="1" hidden="" ht="14" outlineLevel="0" r="8171">
      <c r="A8171" s="3" t="inlineStr">
        <is>
          <t>8138</t>
        </is>
      </c>
      <c r="B8171" s="4" t="s">
        <f>=HYPERLINK("http://anyluxury.ru/shop/odezhda/zhilety/zhilet-wave-women-temnosiniy-01437318/" , "01437318 Жилет WAVE WOMEN темно-синий, размер XL")</f>
      </c>
      <c r="C8171" s="4" t="n">
        <v>4888.00</v>
      </c>
      <c r="D8171" s="4"/>
    </row>
    <row collapsed="" customFormat="false" customHeight="1" hidden="" ht="14" outlineLevel="0" r="8172">
      <c r="A8172" s="3" t="inlineStr">
        <is>
          <t>8139</t>
        </is>
      </c>
      <c r="B8172" s="4" t="s">
        <f>=HYPERLINK("http://anyluxury.ru/shop/odezhda/zhilety/zhilet-wave-women-temnosiniy-01437318/" , "01437318 Жилет WAVE WOMEN темно-синий, размер XXL")</f>
      </c>
      <c r="C8172" s="4" t="n">
        <v>4888.00</v>
      </c>
      <c r="D8172" s="4"/>
    </row>
    <row collapsed="" customFormat="false" customHeight="1" hidden="" ht="14" outlineLevel="0" r="8173">
      <c r="A8173" s="3" t="inlineStr">
        <is>
          <t>8140</t>
        </is>
      </c>
      <c r="B8173" s="4" t="s">
        <f>=HYPERLINK("http://anyluxury.ru/shop/odezhda/zhilety/zhilet-wave-women-neonoviy-zeleniy-laym-01437282/" , "01437282 Жилет WAVE WOMEN неоновый зеленый (лайм), размер S")</f>
      </c>
      <c r="C8173" s="4" t="n">
        <v>4888.00</v>
      </c>
      <c r="D8173" s="4"/>
    </row>
    <row collapsed="" customFormat="false" customHeight="1" hidden="" ht="14" outlineLevel="0" r="8174">
      <c r="A8174" s="3" t="inlineStr">
        <is>
          <t>8141</t>
        </is>
      </c>
      <c r="B8174" s="4" t="s">
        <f>=HYPERLINK("http://anyluxury.ru/shop/odezhda/zhilety/zhilet-wave-women-neonoviy-zeleniy-laym-01437282/" , "01437282 Жилет WAVE WOMEN неоновый зеленый (лайм), размер M")</f>
      </c>
      <c r="C8174" s="4" t="n">
        <v>4888.00</v>
      </c>
      <c r="D8174" s="4"/>
    </row>
    <row collapsed="" customFormat="false" customHeight="1" hidden="" ht="14" outlineLevel="0" r="8175">
      <c r="A8175" s="3" t="inlineStr">
        <is>
          <t>8142</t>
        </is>
      </c>
      <c r="B8175" s="4" t="s">
        <f>=HYPERLINK("http://anyluxury.ru/shop/odezhda/zhilety/zhilet-wave-women-neonoviy-zeleniy-laym-01437282/" , "01437282 Жилет WAVE WOMEN неоновый зеленый (лайм), размер L")</f>
      </c>
      <c r="C8175" s="4" t="n">
        <v>4888.00</v>
      </c>
      <c r="D8175" s="4"/>
    </row>
    <row collapsed="" customFormat="false" customHeight="1" hidden="" ht="14" outlineLevel="0" r="8176">
      <c r="A8176" s="3" t="inlineStr">
        <is>
          <t>8143</t>
        </is>
      </c>
      <c r="B8176" s="4" t="s">
        <f>=HYPERLINK("http://anyluxury.ru/shop/odezhda/zhilety/zhilet-wave-women-neonoviy-zeleniy-laym-01437282/" , "01437282 Жилет WAVE WOMEN неоновый зеленый (лайм), размер XL")</f>
      </c>
      <c r="C8176" s="4" t="n">
        <v>4888.00</v>
      </c>
      <c r="D8176" s="4"/>
    </row>
    <row collapsed="" customFormat="false" customHeight="1" hidden="" ht="14" outlineLevel="0" r="8177">
      <c r="A8177" s="3" t="inlineStr">
        <is>
          <t>8144</t>
        </is>
      </c>
      <c r="B8177" s="4" t="s">
        <f>=HYPERLINK("http://anyluxury.ru/shop/odezhda/zhilety/zhilet-wave-women-neonoviy-zeleniy-laym-01437282/" , "01437282 Жилет WAVE WOMEN неоновый зеленый (лайм), размер XXL")</f>
      </c>
      <c r="C8177" s="4" t="n">
        <v>4888.00</v>
      </c>
      <c r="D8177" s="4"/>
    </row>
    <row collapsed="" customFormat="false" customHeight="1" hidden="" ht="14" outlineLevel="0" r="8178">
      <c r="A8178" s="3" t="inlineStr">
        <is>
          <t>8145</t>
        </is>
      </c>
      <c r="B8178" s="4" t="s">
        <f>=HYPERLINK("http://anyluxury.ru/shop/odezhda/zhilety/zhilet-unit-kama-yarkosiniy-672844/" , "6728.44 Жилет Unit Kama ярко-синий, размер XS")</f>
      </c>
      <c r="C8178" s="4" t="n">
        <v>3390.00</v>
      </c>
      <c r="D8178" s="4"/>
    </row>
    <row collapsed="" customFormat="false" customHeight="1" hidden="" ht="14" outlineLevel="0" r="8179">
      <c r="A8179" s="3" t="inlineStr">
        <is>
          <t>8146</t>
        </is>
      </c>
      <c r="B8179" s="4" t="s">
        <f>=HYPERLINK("http://anyluxury.ru/shop/odezhda/zhilety/zhilet-unit-kama-yarkosiniy-672844/" , "6728.44 Жилет Unit Kama ярко-синий, размер S")</f>
      </c>
      <c r="C8179" s="4" t="n">
        <v>3390.00</v>
      </c>
      <c r="D8179" s="4"/>
    </row>
    <row collapsed="" customFormat="false" customHeight="1" hidden="" ht="14" outlineLevel="0" r="8180">
      <c r="A8180" s="3" t="inlineStr">
        <is>
          <t>8147</t>
        </is>
      </c>
      <c r="B8180" s="4" t="s">
        <f>=HYPERLINK("http://anyluxury.ru/shop/odezhda/zhilety/zhilet-unit-kama-yarkosiniy-672844/" , "6728.44 Жилет Unit Kama ярко-синий, размер 3XL")</f>
      </c>
      <c r="C8180" s="4" t="n">
        <v>3390.00</v>
      </c>
      <c r="D8180" s="4"/>
    </row>
    <row collapsed="" customFormat="false" customHeight="1" hidden="" ht="14" outlineLevel="0" r="8181">
      <c r="A8181" s="3" t="inlineStr">
        <is>
          <t>8148</t>
        </is>
      </c>
      <c r="B8181" s="4" t="s">
        <f>=HYPERLINK("http://anyluxury.ru/shop/odezhda/zhilety/zhilet-unit-kama-beliy-672860/" , "6728.60 Жилет Unit Kama белый, размер S")</f>
      </c>
      <c r="C8181" s="4" t="n">
        <v>3390.00</v>
      </c>
      <c r="D8181" s="4"/>
    </row>
    <row collapsed="" customFormat="false" customHeight="1" hidden="" ht="14" outlineLevel="0" r="8182">
      <c r="A8182" s="3" t="inlineStr">
        <is>
          <t>8149</t>
        </is>
      </c>
      <c r="B8182" s="4" t="s">
        <f>=HYPERLINK("http://anyluxury.ru/shop/odezhda/zhilety/zhilet-unit-kama-beliy-672860/" , "6728.60 Жилет Unit Kama белый, размер XS")</f>
      </c>
      <c r="C8182" s="4" t="n">
        <v>3390.00</v>
      </c>
      <c r="D8182" s="4"/>
    </row>
    <row collapsed="" customFormat="false" customHeight="1" hidden="" ht="14" outlineLevel="0" r="8183">
      <c r="A8183" s="3" t="inlineStr">
        <is>
          <t>8150</t>
        </is>
      </c>
      <c r="B8183" s="4" t="s">
        <f>=HYPERLINK("http://anyluxury.ru/shop/odezhda/zhilety/zhilet-unit-kama-beliy-672860/" , "6728.60 Жилет Unit Kama белый, размер XXL")</f>
      </c>
      <c r="C8183" s="4" t="n">
        <v>3390.00</v>
      </c>
      <c r="D8183" s="4"/>
    </row>
    <row collapsed="" customFormat="false" customHeight="1" hidden="" ht="14" outlineLevel="0" r="8184">
      <c r="A8184" s="3" t="inlineStr">
        <is>
          <t>8151</t>
        </is>
      </c>
      <c r="B8184" s="4" t="s">
        <f>=HYPERLINK("http://anyluxury.ru/shop/odezhda/zhilety/zhilet-unit-kama-beliy-672860/" , "6728.60 Жилет Unit Kama белый, размер 3XL")</f>
      </c>
      <c r="C8184" s="4" t="n">
        <v>3390.00</v>
      </c>
      <c r="D8184" s="4"/>
    </row>
    <row collapsed="" customFormat="false" customHeight="1" hidden="" ht="14" outlineLevel="0" r="8185">
      <c r="A8185" s="3" t="inlineStr">
        <is>
          <t>8152</t>
        </is>
      </c>
      <c r="B8185" s="4" t="s">
        <f>=HYPERLINK("http://anyluxury.ru/shop/odezhda/zhilety/zhilet-unit-kama-beliy-672860/" , "6728.60 Жилет Unit Kama белый, размер 4XL")</f>
      </c>
      <c r="C8185" s="4" t="n">
        <v>3390.00</v>
      </c>
      <c r="D8185" s="4"/>
    </row>
    <row collapsed="" customFormat="false" customHeight="1" hidden="" ht="14" outlineLevel="0" r="8186">
      <c r="A8186" s="3" t="inlineStr">
        <is>
          <t>8153</t>
        </is>
      </c>
      <c r="B8186" s="4" t="s">
        <f>=HYPERLINK("http://anyluxury.ru/shop/odezhda/zhilety/zhilet-norway-zelenoe-yabloko-155494/" , "1554.94 Жилет NORWAY, зеленое яблоко, размер XS")</f>
      </c>
      <c r="C8186" s="4" t="n">
        <v>2415.00</v>
      </c>
      <c r="D8186" s="4"/>
    </row>
    <row collapsed="" customFormat="false" customHeight="1" hidden="" ht="14" outlineLevel="0" r="8187">
      <c r="A8187" s="3" t="inlineStr">
        <is>
          <t>8154</t>
        </is>
      </c>
      <c r="B8187" s="4" t="s">
        <f>=HYPERLINK("http://anyluxury.ru/shop/odezhda/zhilety/zhilet-norway-zelenoe-yabloko-155494/" , "1554.94 Жилет NORWAY, зеленое яблоко, размер S")</f>
      </c>
      <c r="C8187" s="4" t="n">
        <v>2415.00</v>
      </c>
      <c r="D8187" s="4"/>
    </row>
    <row collapsed="" customFormat="false" customHeight="1" hidden="" ht="14" outlineLevel="0" r="8188">
      <c r="A8188" s="3" t="inlineStr">
        <is>
          <t>8155</t>
        </is>
      </c>
      <c r="B8188" s="4" t="s">
        <f>=HYPERLINK("http://anyluxury.ru/shop/odezhda/zhilety/zhilet-warm-temnoseriy-44002370/" , "44002370 Жилет WARM, темно-серый, размер S")</f>
      </c>
      <c r="C8188" s="4" t="n">
        <v>4158.00</v>
      </c>
      <c r="D8188" s="4"/>
    </row>
    <row collapsed="" customFormat="false" customHeight="1" hidden="" ht="14" outlineLevel="0" r="8189">
      <c r="A8189" s="3" t="inlineStr">
        <is>
          <t>8156</t>
        </is>
      </c>
      <c r="B8189" s="4" t="s">
        <f>=HYPERLINK("http://anyluxury.ru/shop/odezhda/zhilety/zhilet-warm-temnoseriy-44002370/" , "44002370 Жилет WARM, темно-серый, размер M")</f>
      </c>
      <c r="C8189" s="4" t="n">
        <v>4158.00</v>
      </c>
      <c r="D8189" s="4"/>
    </row>
    <row collapsed="" customFormat="false" customHeight="1" hidden="" ht="14" outlineLevel="0" r="8190">
      <c r="A8190" s="3" t="inlineStr">
        <is>
          <t>8157</t>
        </is>
      </c>
      <c r="B8190" s="4" t="s">
        <f>=HYPERLINK("http://anyluxury.ru/shop/odezhda/zhilety/zhilet-warm-temnoseriy-44002370/" , "44002370 Жилет WARM, темно-серый, размер L")</f>
      </c>
      <c r="C8190" s="4" t="n">
        <v>4158.00</v>
      </c>
      <c r="D8190" s="4"/>
    </row>
    <row collapsed="" customFormat="false" customHeight="1" hidden="" ht="14" outlineLevel="0" r="8191">
      <c r="A8191" s="3" t="inlineStr">
        <is>
          <t>8158</t>
        </is>
      </c>
      <c r="B8191" s="4" t="s">
        <f>=HYPERLINK("http://anyluxury.ru/shop/odezhda/zhilety/zhilet-warm-temnoseriy-44002370/" , "44002370 Жилет WARM, темно-серый, размер XL")</f>
      </c>
      <c r="C8191" s="4" t="n">
        <v>4158.00</v>
      </c>
      <c r="D8191" s="4"/>
    </row>
    <row collapsed="" customFormat="false" customHeight="1" hidden="" ht="14" outlineLevel="0" r="8192">
      <c r="A8192" s="3" t="inlineStr">
        <is>
          <t>8159</t>
        </is>
      </c>
      <c r="B8192" s="4" t="s">
        <f>=HYPERLINK("http://anyluxury.ru/shop/odezhda/zhilety/zhilet-warm-temnoseriy-44002370/" , "44002370 Жилет WARM, темно-серый, размер XXL")</f>
      </c>
      <c r="C8192" s="4" t="n">
        <v>4158.00</v>
      </c>
      <c r="D8192" s="4"/>
    </row>
    <row collapsed="" customFormat="false" customHeight="1" hidden="" ht="14" outlineLevel="0" r="8193">
      <c r="A8193" s="3" t="inlineStr">
        <is>
          <t>8160</t>
        </is>
      </c>
      <c r="B8193" s="4" t="s">
        <f>=HYPERLINK("http://anyluxury.ru/shop/odezhda/zhilety/zhilet-warm-temnoseriy-44002370/" , "44002370 Жилет WARM, темно-серый, размер 3XL")</f>
      </c>
      <c r="C8193" s="4" t="n">
        <v>5112.00</v>
      </c>
      <c r="D8193" s="4"/>
    </row>
    <row collapsed="" customFormat="false" customHeight="1" hidden="" ht="14" outlineLevel="0" r="8194">
      <c r="A8194" s="3" t="inlineStr">
        <is>
          <t>8161</t>
        </is>
      </c>
      <c r="B8194" s="4" t="s">
        <f>=HYPERLINK("http://anyluxury.ru/shop/odezhda/zhilety/zhilet-warm-temnoseriy-44002370/" , "44002370 Жилет WARM, темно-серый, размер 4XL")</f>
      </c>
      <c r="C8194" s="4" t="n">
        <v>5112.00</v>
      </c>
      <c r="D8194" s="4"/>
    </row>
    <row collapsed="" customFormat="false" customHeight="1" hidden="" ht="14" outlineLevel="0" r="8195">
      <c r="A8195" s="3" t="inlineStr">
        <is>
          <t>8162</t>
        </is>
      </c>
      <c r="B8195" s="4" t="s">
        <f>=HYPERLINK("http://anyluxury.ru/shop/odezhda/zhilety/zhilet-warm-temnoseriy-44002370/" , "44002370 Жилет WARM, темно-серый, размер 5XL")</f>
      </c>
      <c r="C8195" s="4" t="n">
        <v>5112.00</v>
      </c>
      <c r="D8195" s="4"/>
    </row>
    <row collapsed="" customFormat="false" customHeight="1" hidden="" ht="14" outlineLevel="0" r="8196">
      <c r="A8196" s="3" t="inlineStr">
        <is>
          <t>8163</t>
        </is>
      </c>
      <c r="B8196" s="4" t="s">
        <f>=HYPERLINK("http://anyluxury.ru/shop/odezhda/zhilety/zhilet-warm-yarkosiniy-44002241/" , "44002241 Жилет WARM, ярко-синий, размер S")</f>
      </c>
      <c r="C8196" s="4" t="n">
        <v>4158.00</v>
      </c>
      <c r="D8196" s="4"/>
    </row>
    <row collapsed="" customFormat="false" customHeight="1" hidden="" ht="14" outlineLevel="0" r="8197">
      <c r="A8197" s="3" t="inlineStr">
        <is>
          <t>8164</t>
        </is>
      </c>
      <c r="B8197" s="4" t="s">
        <f>=HYPERLINK("http://anyluxury.ru/shop/odezhda/zhilety/zhilet-warm-yarkosiniy-44002241/" , "44002241 Жилет WARM, ярко-синий, размер M")</f>
      </c>
      <c r="C8197" s="4" t="n">
        <v>4158.00</v>
      </c>
      <c r="D8197" s="4"/>
    </row>
    <row collapsed="" customFormat="false" customHeight="1" hidden="" ht="14" outlineLevel="0" r="8198">
      <c r="A8198" s="3" t="inlineStr">
        <is>
          <t>8165</t>
        </is>
      </c>
      <c r="B8198" s="4" t="s">
        <f>=HYPERLINK("http://anyluxury.ru/shop/odezhda/zhilety/zhilet-warm-yarkosiniy-44002241/" , "44002241 Жилет WARM, ярко-синий, размер L")</f>
      </c>
      <c r="C8198" s="4" t="n">
        <v>4158.00</v>
      </c>
      <c r="D8198" s="4"/>
    </row>
    <row collapsed="" customFormat="false" customHeight="1" hidden="" ht="14" outlineLevel="0" r="8199">
      <c r="A8199" s="3" t="inlineStr">
        <is>
          <t>8166</t>
        </is>
      </c>
      <c r="B8199" s="4" t="s">
        <f>=HYPERLINK("http://anyluxury.ru/shop/odezhda/zhilety/zhilet-warm-yarkosiniy-44002241/" , "44002241 Жилет WARM, ярко-синий, размер XL")</f>
      </c>
      <c r="C8199" s="4" t="n">
        <v>4158.00</v>
      </c>
      <c r="D8199" s="4"/>
    </row>
    <row collapsed="" customFormat="false" customHeight="1" hidden="" ht="14" outlineLevel="0" r="8200">
      <c r="A8200" s="3" t="inlineStr">
        <is>
          <t>8167</t>
        </is>
      </c>
      <c r="B8200" s="4" t="s">
        <f>=HYPERLINK("http://anyluxury.ru/shop/odezhda/zhilety/zhilet-warm-yarkosiniy-44002241/" , "44002241 Жилет WARM, ярко-синий, размер XXL")</f>
      </c>
      <c r="C8200" s="4" t="n">
        <v>4158.00</v>
      </c>
      <c r="D8200" s="4"/>
    </row>
    <row collapsed="" customFormat="false" customHeight="1" hidden="" ht="14" outlineLevel="0" r="8201">
      <c r="A8201" s="3" t="inlineStr">
        <is>
          <t>8168</t>
        </is>
      </c>
      <c r="B8201" s="4" t="s">
        <f>=HYPERLINK("http://anyluxury.ru/shop/odezhda/zhilety/zhilet-warm-yarkosiniy-44002241/" , "44002241 Жилет WARM, ярко-синий, размер 3XL")</f>
      </c>
      <c r="C8201" s="4" t="n">
        <v>5112.00</v>
      </c>
      <c r="D8201" s="4"/>
    </row>
    <row collapsed="" customFormat="false" customHeight="1" hidden="" ht="14" outlineLevel="0" r="8202">
      <c r="A8202" s="3" t="inlineStr">
        <is>
          <t>8169</t>
        </is>
      </c>
      <c r="B8202" s="4" t="s">
        <f>=HYPERLINK("http://anyluxury.ru/shop/odezhda/zhilety/zhilet-warm-yarkosiniy-44002241/" , "44002241 Жилет WARM, ярко-синий, размер 4XL")</f>
      </c>
      <c r="C8202" s="4" t="n">
        <v>5112.00</v>
      </c>
      <c r="D8202" s="4"/>
    </row>
    <row collapsed="" customFormat="false" customHeight="1" hidden="" ht="14" outlineLevel="0" r="8203">
      <c r="A8203" s="3" t="inlineStr">
        <is>
          <t>8170</t>
        </is>
      </c>
      <c r="B8203" s="4" t="s">
        <f>=HYPERLINK("http://anyluxury.ru/shop/odezhda/zhilety/zhilet-warm-yarkosiniy-44002241/" , "44002241 Жилет WARM, ярко-синий, размер 5XL")</f>
      </c>
      <c r="C8203" s="4" t="n">
        <v>5112.00</v>
      </c>
      <c r="D8203" s="4"/>
    </row>
    <row collapsed="" customFormat="false" customHeight="1" hidden="" ht="14" outlineLevel="0" r="8204">
      <c r="A8204" s="3" t="inlineStr">
        <is>
          <t>8171</t>
        </is>
      </c>
      <c r="B8204" s="4" t="s">
        <f>=HYPERLINK("http://anyluxury.ru/shop/odezhda/zhilety/zhilet-warm-siniy-44002248/" , "44002248 Жилет WARM, синий, размер L")</f>
      </c>
      <c r="C8204" s="4" t="n">
        <v>3500.00</v>
      </c>
      <c r="D8204" s="4"/>
    </row>
    <row collapsed="" customFormat="false" customHeight="1" hidden="" ht="14" outlineLevel="0" r="8205">
      <c r="A8205" s="3" t="inlineStr">
        <is>
          <t>8172</t>
        </is>
      </c>
      <c r="B8205" s="4" t="s">
        <f>=HYPERLINK("http://anyluxury.ru/shop/odezhda/zhilety/zhilet-warm-siniy-44002248/" , "44002248 Жилет WARM, синий, размер 5XL")</f>
      </c>
      <c r="C8205" s="4" t="n">
        <v>4447.00</v>
      </c>
      <c r="D8205" s="4"/>
    </row>
    <row collapsed="" customFormat="false" customHeight="1" hidden="" ht="14" outlineLevel="0" r="8206">
      <c r="A8206" s="3" t="inlineStr">
        <is>
          <t>8173</t>
        </is>
      </c>
      <c r="B8206" s="4" t="s">
        <f>=HYPERLINK("http://anyluxury.ru/shop/odezhda/zhilety/zhilet-muzhskoy-victoire-bw-men-temnosiniy-02916319/" , "02916319 Жилет мужской VICTOIRE BW MEN темно-синий, размер S")</f>
      </c>
      <c r="C8206" s="4" t="n">
        <v>9955.00</v>
      </c>
      <c r="D8206" s="4"/>
    </row>
    <row collapsed="" customFormat="false" customHeight="1" hidden="" ht="14" outlineLevel="0" r="8207">
      <c r="A8207" s="3" t="inlineStr">
        <is>
          <t>8174</t>
        </is>
      </c>
      <c r="B8207" s="4" t="s">
        <f>=HYPERLINK("http://anyluxury.ru/shop/odezhda/zhilety/zhilet-muzhskoy-victoire-bw-men-temnosiniy-02916319/" , "02916319 Жилет мужской VICTOIRE BW MEN темно-синий, размер M")</f>
      </c>
      <c r="C8207" s="4" t="n">
        <v>9955.00</v>
      </c>
      <c r="D8207" s="4"/>
    </row>
    <row collapsed="" customFormat="false" customHeight="1" hidden="" ht="14" outlineLevel="0" r="8208">
      <c r="A8208" s="3" t="inlineStr">
        <is>
          <t>8175</t>
        </is>
      </c>
      <c r="B8208" s="4" t="s">
        <f>=HYPERLINK("http://anyluxury.ru/shop/odezhda/zhilety/zhilet-muzhskoy-victoire-bw-men-temnosiniy-02916319/" , "02916319 Жилет мужской VICTOIRE BW MEN темно-синий, размер L")</f>
      </c>
      <c r="C8208" s="4" t="n">
        <v>9955.00</v>
      </c>
      <c r="D8208" s="4"/>
    </row>
    <row collapsed="" customFormat="false" customHeight="1" hidden="" ht="14" outlineLevel="0" r="8209">
      <c r="A8209" s="3" t="inlineStr">
        <is>
          <t>8176</t>
        </is>
      </c>
      <c r="B8209" s="4" t="s">
        <f>=HYPERLINK("http://anyluxury.ru/shop/odezhda/zhilety/zhilet-muzhskoy-victoire-bw-men-temnosiniy-02916319/" , "02916319 Жилет мужской VICTOIRE BW MEN темно-синий, размер XL")</f>
      </c>
      <c r="C8209" s="4" t="n">
        <v>9955.00</v>
      </c>
      <c r="D8209" s="4"/>
    </row>
    <row collapsed="" customFormat="false" customHeight="1" hidden="" ht="14" outlineLevel="0" r="8210">
      <c r="A8210" s="3" t="inlineStr">
        <is>
          <t>8177</t>
        </is>
      </c>
      <c r="B8210" s="4" t="s">
        <f>=HYPERLINK("http://anyluxury.ru/shop/odezhda/zhilety/zhilet-muzhskoy-victoire-bw-men-temnosiniy-02916319/" , "02916319 Жилет мужской VICTOIRE BW MEN темно-синий, размер XXL")</f>
      </c>
      <c r="C8210" s="4" t="n">
        <v>9955.00</v>
      </c>
      <c r="D8210" s="4"/>
    </row>
    <row collapsed="" customFormat="false" customHeight="1" hidden="" ht="14" outlineLevel="0" r="8211">
      <c r="A8211" s="3" t="inlineStr">
        <is>
          <t>8178</t>
        </is>
      </c>
      <c r="B8211" s="4" t="s">
        <f>=HYPERLINK("http://anyluxury.ru/shop/odezhda/zhilety/zhilet-muzhskoy-victoire-bw-men-temnosiniy-02916319/" , "02916319 Жилет мужской VICTOIRE BW MEN темно-синий, размер 3XL")</f>
      </c>
      <c r="C8211" s="4" t="n">
        <v>10919.00</v>
      </c>
      <c r="D8211" s="4"/>
    </row>
    <row collapsed="" customFormat="false" customHeight="1" hidden="" ht="14" outlineLevel="0" r="8212">
      <c r="A8212" s="3" t="inlineStr">
        <is>
          <t>8179</t>
        </is>
      </c>
      <c r="B8212" s="4" t="s">
        <f>=HYPERLINK("http://anyluxury.ru/shop/odezhda/zhilety/zhilet-zhenskiy-victoire-bw-women-temnosiniy-02937319/" , "02937319 Жилет женский VICTOIRE BW WOMEN темно-синий, размер S")</f>
      </c>
      <c r="C8212" s="4" t="n">
        <v>9896.00</v>
      </c>
      <c r="D8212" s="4"/>
    </row>
    <row collapsed="" customFormat="false" customHeight="1" hidden="" ht="14" outlineLevel="0" r="8213">
      <c r="A8213" s="3" t="inlineStr">
        <is>
          <t>8180</t>
        </is>
      </c>
      <c r="B8213" s="4" t="s">
        <f>=HYPERLINK("http://anyluxury.ru/shop/odezhda/zhilety/zhilet-zhenskiy-victoire-bw-women-temnosiniy-02937319/" , "02937319 Жилет женский VICTOIRE BW WOMEN темно-синий, размер M")</f>
      </c>
      <c r="C8213" s="4" t="n">
        <v>9896.00</v>
      </c>
      <c r="D8213" s="4"/>
    </row>
    <row collapsed="" customFormat="false" customHeight="1" hidden="" ht="14" outlineLevel="0" r="8214">
      <c r="A8214" s="3" t="inlineStr">
        <is>
          <t>8181</t>
        </is>
      </c>
      <c r="B8214" s="4" t="s">
        <f>=HYPERLINK("http://anyluxury.ru/shop/odezhda/zhilety/zhilet-zhenskiy-victoire-bw-women-temnosiniy-02937319/" , "02937319 Жилет женский VICTOIRE BW WOMEN темно-синий, размер L")</f>
      </c>
      <c r="C8214" s="4" t="n">
        <v>9896.00</v>
      </c>
      <c r="D8214" s="4"/>
    </row>
    <row collapsed="" customFormat="false" customHeight="1" hidden="" ht="14" outlineLevel="0" r="8215">
      <c r="A8215" s="3" t="inlineStr">
        <is>
          <t>8182</t>
        </is>
      </c>
      <c r="B8215" s="4" t="s">
        <f>=HYPERLINK("http://anyluxury.ru/shop/odezhda/zhilety/zhilet-zhenskiy-victoire-bw-women-temnosiniy-02937319/" , "02937319 Жилет женский VICTOIRE BW WOMEN темно-синий, размер XL")</f>
      </c>
      <c r="C8215" s="4" t="n">
        <v>9896.00</v>
      </c>
      <c r="D8215" s="4"/>
    </row>
    <row collapsed="" customFormat="false" customHeight="1" hidden="" ht="14" outlineLevel="0" r="8216">
      <c r="A8216" s="3" t="inlineStr">
        <is>
          <t>8183</t>
        </is>
      </c>
      <c r="B8216" s="4" t="s">
        <f>=HYPERLINK("http://anyluxury.ru/shop/odezhda/zhilety/zhilet-zhenskiy-victoire-bw-women-temnosiniy-02937319/" , "02937319 Жилет женский VICTOIRE BW WOMEN темно-синий, размер XXL")</f>
      </c>
      <c r="C8216" s="4" t="n">
        <v>9896.00</v>
      </c>
      <c r="D8216" s="4"/>
    </row>
    <row collapsed="" customFormat="false" customHeight="1" hidden="" ht="14" outlineLevel="0" r="8217">
      <c r="A8217" s="3" t="inlineStr">
        <is>
          <t>8184</t>
        </is>
      </c>
      <c r="B8217" s="4" t="s">
        <f>=HYPERLINK("http://anyluxury.ru/shop/odezhda/zhilety/zhilet-muzhskoy-wilson-bw-men-cherniy-02889312/" , "02889312 Жилет мужской WILSON BW MEN черный, размер S")</f>
      </c>
      <c r="C8217" s="4" t="n">
        <v>7604.00</v>
      </c>
      <c r="D8217" s="4"/>
    </row>
    <row collapsed="" customFormat="false" customHeight="1" hidden="" ht="14" outlineLevel="0" r="8218">
      <c r="A8218" s="3" t="inlineStr">
        <is>
          <t>8185</t>
        </is>
      </c>
      <c r="B8218" s="4" t="s">
        <f>=HYPERLINK("http://anyluxury.ru/shop/odezhda/zhilety/zhilet-muzhskoy-wilson-bw-men-temnosiniy-02889319/" , "02889319 Жилет мужской WILSON BW MEN темно-синий, размер S")</f>
      </c>
      <c r="C8218" s="4" t="n">
        <v>7604.00</v>
      </c>
      <c r="D8218" s="4"/>
    </row>
    <row collapsed="" customFormat="false" customHeight="1" hidden="" ht="14" outlineLevel="0" r="8219">
      <c r="A8219" s="3" t="inlineStr">
        <is>
          <t>8186</t>
        </is>
      </c>
      <c r="B8219" s="4" t="s">
        <f>=HYPERLINK("http://anyluxury.ru/shop/odezhda/zhilety/zhilet-muzhskoy-wilson-bw-men-temnosiniy-02889319/" , "02889319 Жилет мужской WILSON BW MEN темно-синий, размер M")</f>
      </c>
      <c r="C8219" s="4" t="n">
        <v>7604.00</v>
      </c>
      <c r="D8219" s="4"/>
    </row>
    <row collapsed="" customFormat="false" customHeight="1" hidden="" ht="14" outlineLevel="0" r="8220">
      <c r="A8220" s="3" t="inlineStr">
        <is>
          <t>8187</t>
        </is>
      </c>
      <c r="B8220" s="4" t="s">
        <f>=HYPERLINK("http://anyluxury.ru/shop/odezhda/zhilety/zhilet-muzhskoy-wilson-bw-men-temnosiniy-02889319/" , "02889319 Жилет мужской WILSON BW MEN темно-синий, размер L")</f>
      </c>
      <c r="C8220" s="4" t="n">
        <v>7604.00</v>
      </c>
      <c r="D8220" s="4"/>
    </row>
    <row collapsed="" customFormat="false" customHeight="1" hidden="" ht="14" outlineLevel="0" r="8221">
      <c r="A8221" s="3" t="inlineStr">
        <is>
          <t>8188</t>
        </is>
      </c>
      <c r="B8221" s="4" t="s">
        <f>=HYPERLINK("http://anyluxury.ru/shop/odezhda/zhilety/zhilet-muzhskoy-wilson-bw-men-temnosiniy-02889319/" , "02889319 Жилет мужской WILSON BW MEN темно-синий, размер XL")</f>
      </c>
      <c r="C8221" s="4" t="n">
        <v>7604.00</v>
      </c>
      <c r="D8221" s="4"/>
    </row>
    <row collapsed="" customFormat="false" customHeight="1" hidden="" ht="14" outlineLevel="0" r="8222">
      <c r="A8222" s="3" t="inlineStr">
        <is>
          <t>8189</t>
        </is>
      </c>
      <c r="B8222" s="4" t="s">
        <f>=HYPERLINK("http://anyluxury.ru/shop/odezhda/zhilety/zhilet-muzhskoy-wilson-bw-men-temnosiniy-02889319/" , "02889319 Жилет мужской WILSON BW MEN темно-синий, размер XXL")</f>
      </c>
      <c r="C8222" s="4" t="n">
        <v>7604.00</v>
      </c>
      <c r="D8222" s="4"/>
    </row>
    <row collapsed="" customFormat="false" customHeight="1" hidden="" ht="14" outlineLevel="0" r="8223">
      <c r="A8223" s="3" t="inlineStr">
        <is>
          <t>8190</t>
        </is>
      </c>
      <c r="B8223" s="4" t="s">
        <f>=HYPERLINK("http://anyluxury.ru/shop/odezhda/zhilety/zhilet-muzhskoy-wilson-bw-men-temnosiniy-02889319/" , "02889319 Жилет мужской WILSON BW MEN темно-синий, размер 3XL")</f>
      </c>
      <c r="C8223" s="4" t="n">
        <v>8335.00</v>
      </c>
      <c r="D8223" s="4"/>
    </row>
    <row collapsed="" customFormat="false" customHeight="1" hidden="" ht="14" outlineLevel="0" r="8224">
      <c r="A8224" s="3" t="inlineStr">
        <is>
          <t>8191</t>
        </is>
      </c>
      <c r="B8224" s="4" t="s">
        <f>=HYPERLINK("http://anyluxury.ru/shop/odezhda/zhilety/zhilet-muzhskoy-wilson-bw-men-seriy-02889351/" , "02889351 Жилет мужской WILSON BW MEN серый, размер S")</f>
      </c>
      <c r="C8224" s="4" t="n">
        <v>7272.00</v>
      </c>
      <c r="D8224" s="4"/>
    </row>
    <row collapsed="" customFormat="false" customHeight="1" hidden="" ht="14" outlineLevel="0" r="8225">
      <c r="A8225" s="3" t="inlineStr">
        <is>
          <t>8192</t>
        </is>
      </c>
      <c r="B8225" s="4" t="s">
        <f>=HYPERLINK("http://anyluxury.ru/shop/odezhda/zhilety/zhilet-muzhskoy-wilson-bw-men-seriy-02889351/" , "02889351 Жилет мужской WILSON BW MEN серый, размер M")</f>
      </c>
      <c r="C8225" s="4" t="n">
        <v>7272.00</v>
      </c>
      <c r="D8225" s="4"/>
    </row>
    <row collapsed="" customFormat="false" customHeight="1" hidden="" ht="14" outlineLevel="0" r="8226">
      <c r="A8226" s="3" t="inlineStr">
        <is>
          <t>8193</t>
        </is>
      </c>
      <c r="B8226" s="4" t="s">
        <f>=HYPERLINK("http://anyluxury.ru/shop/odezhda/zhilety/zhilet-muzhskoy-wilson-bw-men-seriy-02889351/" , "02889351 Жилет мужской WILSON BW MEN серый, размер L")</f>
      </c>
      <c r="C8226" s="4" t="n">
        <v>7272.00</v>
      </c>
      <c r="D8226" s="4"/>
    </row>
    <row collapsed="" customFormat="false" customHeight="1" hidden="" ht="14" outlineLevel="0" r="8227">
      <c r="A8227" s="3" t="inlineStr">
        <is>
          <t>8194</t>
        </is>
      </c>
      <c r="B8227" s="4" t="s">
        <f>=HYPERLINK("http://anyluxury.ru/shop/odezhda/zhilety/zhilet-muzhskoy-wilson-bw-men-seriy-02889351/" , "02889351 Жилет мужской WILSON BW MEN серый, размер XL")</f>
      </c>
      <c r="C8227" s="4" t="n">
        <v>7272.00</v>
      </c>
      <c r="D8227" s="4"/>
    </row>
    <row collapsed="" customFormat="false" customHeight="1" hidden="" ht="14" outlineLevel="0" r="8228">
      <c r="A8228" s="3" t="inlineStr">
        <is>
          <t>8195</t>
        </is>
      </c>
      <c r="B8228" s="4" t="s">
        <f>=HYPERLINK("http://anyluxury.ru/shop/odezhda/zhilety/zhilet-muzhskoy-wilson-bw-men-seriy-02889351/" , "02889351 Жилет мужской WILSON BW MEN серый, размер 3XL")</f>
      </c>
      <c r="C8228" s="4" t="n">
        <v>7973.00</v>
      </c>
      <c r="D8228" s="4"/>
    </row>
    <row collapsed="" customFormat="false" customHeight="1" hidden="" ht="14" outlineLevel="0" r="8229">
      <c r="A8229" s="3" t="inlineStr">
        <is>
          <t>8196</t>
        </is>
      </c>
      <c r="B8229" s="4" t="s">
        <f>=HYPERLINK("http://anyluxury.ru/shop/odezhda/zhilety/zhilet-muzhskoy-wilson-bw-men-yarkosiniy-02889241/" , "02889241 Жилет мужской WILSON BW MEN ярко-синий, размер S")</f>
      </c>
      <c r="C8229" s="4" t="n">
        <v>7272.00</v>
      </c>
      <c r="D8229" s="4"/>
    </row>
    <row collapsed="" customFormat="false" customHeight="1" hidden="" ht="14" outlineLevel="0" r="8230">
      <c r="A8230" s="3" t="inlineStr">
        <is>
          <t>8197</t>
        </is>
      </c>
      <c r="B8230" s="4" t="s">
        <f>=HYPERLINK("http://anyluxury.ru/shop/odezhda/zhilety/zhilet-muzhskoy-wilson-bw-men-yarkosiniy-02889241/" , "02889241 Жилет мужской WILSON BW MEN ярко-синий, размер M")</f>
      </c>
      <c r="C8230" s="4" t="n">
        <v>7272.00</v>
      </c>
      <c r="D8230" s="4"/>
    </row>
    <row collapsed="" customFormat="false" customHeight="1" hidden="" ht="14" outlineLevel="0" r="8231">
      <c r="A8231" s="3" t="inlineStr">
        <is>
          <t>8198</t>
        </is>
      </c>
      <c r="B8231" s="4" t="s">
        <f>=HYPERLINK("http://anyluxury.ru/shop/odezhda/zhilety/zhilet-muzhskoy-wilson-bw-men-yarkosiniy-02889241/" , "02889241 Жилет мужской WILSON BW MEN ярко-синий, размер L")</f>
      </c>
      <c r="C8231" s="4" t="n">
        <v>7272.00</v>
      </c>
      <c r="D8231" s="4"/>
    </row>
    <row collapsed="" customFormat="false" customHeight="1" hidden="" ht="14" outlineLevel="0" r="8232">
      <c r="A8232" s="3" t="inlineStr">
        <is>
          <t>8199</t>
        </is>
      </c>
      <c r="B8232" s="4" t="s">
        <f>=HYPERLINK("http://anyluxury.ru/shop/odezhda/zhilety/zhilet-muzhskoy-wilson-bw-men-yarkosiniy-02889241/" , "02889241 Жилет мужской WILSON BW MEN ярко-синий, размер XL")</f>
      </c>
      <c r="C8232" s="4" t="n">
        <v>7272.00</v>
      </c>
      <c r="D8232" s="4"/>
    </row>
    <row collapsed="" customFormat="false" customHeight="1" hidden="" ht="14" outlineLevel="0" r="8233">
      <c r="A8233" s="3" t="inlineStr">
        <is>
          <t>8200</t>
        </is>
      </c>
      <c r="B8233" s="4" t="s">
        <f>=HYPERLINK("http://anyluxury.ru/shop/odezhda/zhilety/zhilet-muzhskoy-wilson-bw-men-yarkosiniy-02889241/" , "02889241 Жилет мужской WILSON BW MEN ярко-синий, размер XXL")</f>
      </c>
      <c r="C8233" s="4" t="n">
        <v>7272.00</v>
      </c>
      <c r="D8233" s="4"/>
    </row>
    <row collapsed="" customFormat="false" customHeight="1" hidden="" ht="14" outlineLevel="0" r="8234">
      <c r="A8234" s="3" t="inlineStr">
        <is>
          <t>8201</t>
        </is>
      </c>
      <c r="B8234" s="4" t="s">
        <f>=HYPERLINK("http://anyluxury.ru/shop/odezhda/zhilety/zhilet-muzhskoy-wilson-bw-men-yarkosiniy-02889241/" , "02889241 Жилет мужской WILSON BW MEN ярко-синий, размер 3XL")</f>
      </c>
      <c r="C8234" s="4" t="n">
        <v>7973.00</v>
      </c>
      <c r="D8234" s="4"/>
    </row>
    <row collapsed="" customFormat="false" customHeight="1" hidden="" ht="14" outlineLevel="0" r="8235">
      <c r="A8235" s="3" t="inlineStr">
        <is>
          <t>8202</t>
        </is>
      </c>
      <c r="B8235" s="4" t="s">
        <f>=HYPERLINK("http://anyluxury.ru/shop/odezhda/zhilety/zhilet-zhenskiy-wilson-bw-women-cherniy-02890312/" , "02890312 Жилет женский WILSON BW WOMEN черный, размер S")</f>
      </c>
      <c r="C8235" s="4" t="n">
        <v>7572.00</v>
      </c>
      <c r="D8235" s="4"/>
    </row>
    <row collapsed="" customFormat="false" customHeight="1" hidden="" ht="14" outlineLevel="0" r="8236">
      <c r="A8236" s="3" t="inlineStr">
        <is>
          <t>8203</t>
        </is>
      </c>
      <c r="B8236" s="4" t="s">
        <f>=HYPERLINK("http://anyluxury.ru/shop/odezhda/zhilety/zhilet-zhenskiy-wilson-bw-women-cherniy-02890312/" , "02890312 Жилет женский WILSON BW WOMEN черный, размер L")</f>
      </c>
      <c r="C8236" s="4" t="n">
        <v>7572.00</v>
      </c>
      <c r="D8236" s="4"/>
    </row>
    <row collapsed="" customFormat="false" customHeight="1" hidden="" ht="14" outlineLevel="0" r="8237">
      <c r="A8237" s="3" t="inlineStr">
        <is>
          <t>8204</t>
        </is>
      </c>
      <c r="B8237" s="4" t="s">
        <f>=HYPERLINK("http://anyluxury.ru/shop/odezhda/zhilety/zhilet-zhenskiy-wilson-bw-women-cherniy-02890312/" , "02890312 Жилет женский WILSON BW WOMEN черный, размер XL")</f>
      </c>
      <c r="C8237" s="4" t="n">
        <v>7572.00</v>
      </c>
      <c r="D8237" s="4"/>
    </row>
    <row collapsed="" customFormat="false" customHeight="1" hidden="" ht="14" outlineLevel="0" r="8238">
      <c r="A8238" s="3" t="inlineStr">
        <is>
          <t>8205</t>
        </is>
      </c>
      <c r="B8238" s="4" t="s">
        <f>=HYPERLINK("http://anyluxury.ru/shop/odezhda/zhilety/zhilet-zhenskiy-wilson-bw-women-cherniy-02890312/" , "02890312 Жилет женский WILSON BW WOMEN черный, размер XXL")</f>
      </c>
      <c r="C8238" s="4" t="n">
        <v>7572.00</v>
      </c>
      <c r="D8238" s="4"/>
    </row>
    <row collapsed="" customFormat="false" customHeight="1" hidden="" ht="14" outlineLevel="0" r="8239">
      <c r="A8239" s="3" t="inlineStr">
        <is>
          <t>8206</t>
        </is>
      </c>
      <c r="B8239" s="4" t="s">
        <f>=HYPERLINK("http://anyluxury.ru/shop/odezhda/zhilety/zhilet-zhenskiy-wilson-bw-women-temnosiniy-02890319/" , "02890319 Жилет женский WILSON BW WOMEN темно-синий, размер S")</f>
      </c>
      <c r="C8239" s="4" t="n">
        <v>7572.00</v>
      </c>
      <c r="D8239" s="4"/>
    </row>
    <row collapsed="" customFormat="false" customHeight="1" hidden="" ht="14" outlineLevel="0" r="8240">
      <c r="A8240" s="3" t="inlineStr">
        <is>
          <t>8207</t>
        </is>
      </c>
      <c r="B8240" s="4" t="s">
        <f>=HYPERLINK("http://anyluxury.ru/shop/odezhda/zhilety/zhilet-zhenskiy-wilson-bw-women-temnosiniy-02890319/" , "02890319 Жилет женский WILSON BW WOMEN темно-синий, размер L")</f>
      </c>
      <c r="C8240" s="4" t="n">
        <v>7572.00</v>
      </c>
      <c r="D8240" s="4"/>
    </row>
    <row collapsed="" customFormat="false" customHeight="1" hidden="" ht="14" outlineLevel="0" r="8241">
      <c r="A8241" s="3" t="inlineStr">
        <is>
          <t>8208</t>
        </is>
      </c>
      <c r="B8241" s="4" t="s">
        <f>=HYPERLINK("http://anyluxury.ru/shop/odezhda/zhilety/zhilet-zhenskiy-wilson-bw-women-temnosiniy-02890319/" , "02890319 Жилет женский WILSON BW WOMEN темно-синий, размер XL")</f>
      </c>
      <c r="C8241" s="4" t="n">
        <v>7572.00</v>
      </c>
      <c r="D8241" s="4"/>
    </row>
    <row collapsed="" customFormat="false" customHeight="1" hidden="" ht="14" outlineLevel="0" r="8242">
      <c r="A8242" s="3" t="inlineStr">
        <is>
          <t>8209</t>
        </is>
      </c>
      <c r="B8242" s="4" t="s">
        <f>=HYPERLINK("http://anyluxury.ru/shop/odezhda/zhilety/zhilet-zhenskiy-wilson-bw-women-temnosiniy-02890319/" , "02890319 Жилет женский WILSON BW WOMEN темно-синий, размер XXL")</f>
      </c>
      <c r="C8242" s="4" t="n">
        <v>7572.00</v>
      </c>
      <c r="D8242" s="4"/>
    </row>
    <row collapsed="" customFormat="false" customHeight="1" hidden="" ht="14" outlineLevel="0" r="8243">
      <c r="A8243" s="3" t="inlineStr">
        <is>
          <t>8210</t>
        </is>
      </c>
      <c r="B8243" s="4" t="s">
        <f>=HYPERLINK("http://anyluxury.ru/shop/odezhda/zhilety/zhilet-zhenskiy-wilson-bw-women-seriy-02890351/" , "02890351 Жилет женский WILSON BW WOMEN серый, размер XL")</f>
      </c>
      <c r="C8243" s="4" t="n">
        <v>7248.00</v>
      </c>
      <c r="D8243" s="4"/>
    </row>
    <row collapsed="" customFormat="false" customHeight="1" hidden="" ht="14" outlineLevel="0" r="8244">
      <c r="A8244" s="3" t="inlineStr">
        <is>
          <t>8211</t>
        </is>
      </c>
      <c r="B8244" s="4" t="s">
        <f>=HYPERLINK("http://anyluxury.ru/shop/odezhda/zhilety/zhilet-zhenskiy-wilson-bw-women-seriy-02890351/" , "02890351 Жилет женский WILSON BW WOMEN серый, размер XXL")</f>
      </c>
      <c r="C8244" s="4" t="n">
        <v>7248.00</v>
      </c>
      <c r="D8244" s="4"/>
    </row>
    <row collapsed="" customFormat="false" customHeight="1" hidden="" ht="14" outlineLevel="0" r="8245">
      <c r="A8245" s="3" t="inlineStr">
        <is>
          <t>8212</t>
        </is>
      </c>
      <c r="B8245" s="4" t="s">
        <f>=HYPERLINK("http://anyluxury.ru/shop/odezhda/zhilety/zhilet-zhenskiy-wilson-bw-women-yarkosiniy-02890241/" , "02890241 Жилет женский WILSON BW WOMEN ярко-синий, размер XL")</f>
      </c>
      <c r="C8245" s="4" t="n">
        <v>7248.00</v>
      </c>
      <c r="D8245" s="4"/>
    </row>
    <row collapsed="" customFormat="false" customHeight="1" hidden="" ht="14" outlineLevel="0" r="8246">
      <c r="A8246" s="3" t="inlineStr">
        <is>
          <t>8213</t>
        </is>
      </c>
      <c r="B8246" s="4" t="s">
        <f>=HYPERLINK("http://anyluxury.ru/shop/odezhda/zhilety/zhilet-zhenskiy-wilson-bw-women-yarkosiniy-02890241/" , "02890241 Жилет женский WILSON BW WOMEN ярко-синий, размер XXL")</f>
      </c>
      <c r="C8246" s="4" t="n">
        <v>7248.00</v>
      </c>
      <c r="D8246" s="4"/>
    </row>
    <row collapsed="" customFormat="false" customHeight="1" hidden="" ht="14" outlineLevel="0" r="8247">
      <c r="A8247" s="3" t="inlineStr">
        <is>
          <t>8214</t>
        </is>
      </c>
      <c r="B8247" s="4" t="s">
        <f>=HYPERLINK("http://anyluxury.ru/shop/odezhda/zhilety/zhilet-unit-kama-yarkosiniy-sapfir-672843/" , "6728.43 Жилет Unit Kama ярко-синий (сапфир), размер XS")</f>
      </c>
      <c r="C8247" s="4" t="n">
        <v>3390.00</v>
      </c>
      <c r="D8247" s="4"/>
    </row>
    <row collapsed="" customFormat="false" customHeight="1" hidden="" ht="14" outlineLevel="0" r="8248">
      <c r="A8248" s="3" t="inlineStr">
        <is>
          <t>8215</t>
        </is>
      </c>
      <c r="B8248" s="4" t="s">
        <f>=HYPERLINK("http://anyluxury.ru/shop/odezhda/zhilety/zhilet-unit-kama-yarkosiniy-sapfir-672843/" , "6728.43 Жилет Unit Kama ярко-синий (сапфир), размер XL")</f>
      </c>
      <c r="C8248" s="4" t="n">
        <v>1950.00</v>
      </c>
      <c r="D8248" s="4"/>
    </row>
    <row collapsed="" customFormat="false" customHeight="1" hidden="" ht="14" outlineLevel="0" r="8249">
      <c r="A8249" s="3" t="inlineStr">
        <is>
          <t>8216</t>
        </is>
      </c>
      <c r="B8249" s="4" t="s">
        <f>=HYPERLINK("http://anyluxury.ru/shop/odezhda/zhilety/zhilet-unit-kama-yarkosiniy-sapfir-672843/" , "6728.43 Жилет Unit Kama ярко-синий (сапфир), размер XXL")</f>
      </c>
      <c r="C8249" s="4" t="n">
        <v>1950.00</v>
      </c>
      <c r="D8249" s="4"/>
    </row>
    <row collapsed="" customFormat="false" customHeight="1" hidden="" ht="14" outlineLevel="0" r="8250">
      <c r="A8250" s="3" t="inlineStr">
        <is>
          <t>8217</t>
        </is>
      </c>
      <c r="B8250" s="4" t="s">
        <f>=HYPERLINK("http://anyluxury.ru/shop/odezhda/zhilety/zhilet-unit-kama-yarkosiniy-sapfir-672843/" , "6728.43 Жилет Unit Kama ярко-синий (сапфир), размер 3XL")</f>
      </c>
      <c r="C8250" s="4" t="n">
        <v>1950.00</v>
      </c>
      <c r="D8250" s="4"/>
    </row>
    <row collapsed="" customFormat="false" customHeight="1" hidden="" ht="14" outlineLevel="0" r="8251">
      <c r="A8251" s="3" t="inlineStr">
        <is>
          <t>8218</t>
        </is>
      </c>
      <c r="B8251" s="4" t="s">
        <f>=HYPERLINK("http://anyluxury.ru/shop/odezhda/zhilety/zhilet-unit-kama-yarkosiniy-sapfir-672843/" , "6728.43 Жилет Unit Kama ярко-синий (сапфир), размер 4XL")</f>
      </c>
      <c r="C8251" s="4" t="n">
        <v>1950.00</v>
      </c>
      <c r="D8251" s="4"/>
    </row>
    <row collapsed="" customFormat="false" customHeight="1" hidden="" ht="14" outlineLevel="0" r="8252">
      <c r="A8252" s="3" t="inlineStr">
        <is>
          <t>8219</t>
        </is>
      </c>
      <c r="B8252" s="4" t="s">
        <f>=HYPERLINK("http://anyluxury.ru/shop/odezhda/zhilety/zhilet-unit-kama-yarkosiniy-sapfir-672843/" , "6728.43 Жилет Unit Kama ярко-синий (сапфир), размер XS")</f>
      </c>
      <c r="C8252" s="4" t="n">
        <v>3390.00</v>
      </c>
      <c r="D8252" s="4"/>
    </row>
    <row collapsed="" customFormat="false" customHeight="1" hidden="" ht="14" outlineLevel="0" r="8253">
      <c r="A8253" s="3" t="inlineStr">
        <is>
          <t>8220</t>
        </is>
      </c>
      <c r="B8253" s="4" t="s">
        <f>=HYPERLINK("http://anyluxury.ru/shop/odezhda/zhilety/zhilet-unit-kama-yarkosiniy-sapfir-672843/" , "6728.43 Жилет Unit Kama ярко-синий (сапфир), размер S")</f>
      </c>
      <c r="C8253" s="4" t="n">
        <v>3390.00</v>
      </c>
      <c r="D8253" s="4"/>
    </row>
    <row collapsed="" customFormat="false" customHeight="1" hidden="" ht="14" outlineLevel="0" r="8254">
      <c r="A8254" s="3" t="inlineStr">
        <is>
          <t>8221</t>
        </is>
      </c>
      <c r="B8254" s="4" t="s">
        <f>=HYPERLINK("http://anyluxury.ru/shop/odezhda/zhilety/zhilet-unit-kama-yarkosiniy-sapfir-672843/" , "6728.43 Жилет Unit Kama ярко-синий (сапфир), размер XXL")</f>
      </c>
      <c r="C8254" s="4" t="n">
        <v>3390.00</v>
      </c>
      <c r="D8254" s="4"/>
    </row>
    <row collapsed="" customFormat="false" customHeight="1" hidden="" ht="14" outlineLevel="0" r="8255">
      <c r="A8255" s="3" t="inlineStr">
        <is>
          <t>8222</t>
        </is>
      </c>
      <c r="B8255" s="4" t="s">
        <f>=HYPERLINK("http://anyluxury.ru/shop/odezhda/zhilety/zhilet-unit-kama-yarkosiniy-sapfir-672843/" , "6728.43 Жилет Unit Kama ярко-синий (сапфир), размер 3XL")</f>
      </c>
      <c r="C8255" s="4" t="n">
        <v>3390.00</v>
      </c>
      <c r="D8255" s="4"/>
    </row>
    <row collapsed="" customFormat="false" customHeight="1" hidden="" ht="14" outlineLevel="0" r="8256">
      <c r="A8256" s="3" t="inlineStr">
        <is>
          <t>8223</t>
        </is>
      </c>
      <c r="B8256" s="4" t="s">
        <f>=HYPERLINK("http://anyluxury.ru/shop/odezhda/zhilety/zhilet-unit-kama-yarkosiniy-sapfir-672843/" , "6728.43 Жилет Unit Kama ярко-синий (сапфир), размер 4XL")</f>
      </c>
      <c r="C8256" s="4" t="n">
        <v>3390.00</v>
      </c>
      <c r="D8256" s="4"/>
    </row>
    <row collapsed="" customFormat="false" customHeight="1" hidden="" ht="14" outlineLevel="0" r="8257">
      <c r="A8257" s="3" t="inlineStr">
        <is>
          <t>8224</t>
        </is>
      </c>
      <c r="B8257" s="4" t="s">
        <f>=HYPERLINK("http://anyluxury.ru/shop/odezhda/zhilety/zhilet-fotografa-wild-200-temnosiniy-609340/" , "6093.40 Жилет фотографа Wild 200 темно-синий, размер S")</f>
      </c>
      <c r="C8257" s="4" t="n">
        <v>3310.00</v>
      </c>
      <c r="D8257" s="4"/>
    </row>
    <row collapsed="" customFormat="false" customHeight="1" hidden="" ht="14" outlineLevel="0" r="8258">
      <c r="A8258" s="3" t="inlineStr">
        <is>
          <t>8225</t>
        </is>
      </c>
      <c r="B8258" s="4" t="s">
        <f>=HYPERLINK("http://anyluxury.ru/shop/odezhda/zhilety/zhilet-fotografa-wild-200-temnosiniy-609340/" , "6093.40 Жилет фотографа Wild 200 темно-синий, размер M")</f>
      </c>
      <c r="C8258" s="4" t="n">
        <v>3310.00</v>
      </c>
      <c r="D8258" s="4"/>
    </row>
    <row collapsed="" customFormat="false" customHeight="1" hidden="" ht="14" outlineLevel="0" r="8259">
      <c r="A8259" s="3" t="inlineStr">
        <is>
          <t>8226</t>
        </is>
      </c>
      <c r="B8259" s="4" t="s">
        <f>=HYPERLINK("http://anyluxury.ru/shop/odezhda/zhilety/zhilet-fotografa-wild-200-temnosiniy-609340/" , "6093.40 Жилет фотографа Wild 200 темно-синий, размер L")</f>
      </c>
      <c r="C8259" s="4" t="n">
        <v>3310.00</v>
      </c>
      <c r="D8259" s="4"/>
    </row>
    <row collapsed="" customFormat="false" customHeight="1" hidden="" ht="14" outlineLevel="0" r="8260">
      <c r="A8260" s="3" t="inlineStr">
        <is>
          <t>8227</t>
        </is>
      </c>
      <c r="B8260" s="4" t="s">
        <f>=HYPERLINK("http://anyluxury.ru/shop/odezhda/zhilety/zhilet-fotografa-wild-200-temnosiniy-609340/" , "6093.40 Жилет фотографа Wild 200 темно-синий, размер XL")</f>
      </c>
      <c r="C8260" s="4" t="n">
        <v>3310.00</v>
      </c>
      <c r="D8260" s="4"/>
    </row>
    <row collapsed="" customFormat="false" customHeight="1" hidden="" ht="14" outlineLevel="0" r="8261">
      <c r="A8261" s="3" t="inlineStr">
        <is>
          <t>8228</t>
        </is>
      </c>
      <c r="B8261" s="4" t="s">
        <f>=HYPERLINK("http://anyluxury.ru/shop/odezhda/zhilety/zhilet-fotografa-wild-200-temnosiniy-609340/" , "6093.40 Жилет фотографа Wild 200 темно-синий, размер XXL")</f>
      </c>
      <c r="C8261" s="4" t="n">
        <v>3310.00</v>
      </c>
      <c r="D8261" s="4"/>
    </row>
    <row collapsed="" customFormat="false" customHeight="1" hidden="" ht="14" outlineLevel="0" r="8262">
      <c r="A8262" s="3" t="inlineStr">
        <is>
          <t>8229</t>
        </is>
      </c>
      <c r="B8262" s="4" t="s">
        <f>=HYPERLINK("http://anyluxury.ru/shop/odezhda/zhilety/zhilet-fotografa-wild-200-temnosiniy-609340/" , "6093.40 Жилет фотографа Wild 200 темно-синий, размер 3XL")</f>
      </c>
      <c r="C8262" s="4" t="n">
        <v>3804.00</v>
      </c>
      <c r="D8262" s="4"/>
    </row>
    <row collapsed="" customFormat="false" customHeight="1" hidden="" ht="14" outlineLevel="0" r="8263">
      <c r="A8263" s="3" t="inlineStr">
        <is>
          <t>8230</t>
        </is>
      </c>
      <c r="B8263" s="4" t="s">
        <f>=HYPERLINK("http://anyluxury.ru/shop/odezhda/zhilety/zhilet-unit-kama-yarkozeleniy-672892/" , "6728.92 Жилет Unit Kama ярко-зеленый, размер XS")</f>
      </c>
      <c r="C8263" s="4" t="n">
        <v>3390.00</v>
      </c>
      <c r="D8263" s="4"/>
    </row>
    <row collapsed="" customFormat="false" customHeight="1" hidden="" ht="14" outlineLevel="0" r="8264">
      <c r="A8264" s="3" t="inlineStr">
        <is>
          <t>8231</t>
        </is>
      </c>
      <c r="B8264" s="4" t="s">
        <f>=HYPERLINK("http://anyluxury.ru/shop/odezhda/zhilety/zhilet-unit-kama-yarkozeleniy-672892/" , "6728.92 Жилет Unit Kama ярко-зеленый, размер S")</f>
      </c>
      <c r="C8264" s="4" t="n">
        <v>3390.00</v>
      </c>
      <c r="D8264" s="4"/>
    </row>
    <row collapsed="" customFormat="false" customHeight="1" hidden="" ht="14" outlineLevel="0" r="8265">
      <c r="A8265" s="3" t="inlineStr">
        <is>
          <t>8232</t>
        </is>
      </c>
      <c r="B8265" s="4" t="s">
        <f>=HYPERLINK("http://anyluxury.ru/shop/odezhda/zhilety/zhilet-muzhskoy-race-bw-men-krasniy-02887162/" , "02887162 Жилет мужской Race BW Men, красный, размер S")</f>
      </c>
      <c r="C8265" s="4" t="n">
        <v>2897.00</v>
      </c>
      <c r="D8265" s="4"/>
    </row>
    <row collapsed="" customFormat="false" customHeight="1" hidden="" ht="14" outlineLevel="0" r="8266">
      <c r="A8266" s="3" t="inlineStr">
        <is>
          <t>8233</t>
        </is>
      </c>
      <c r="B8266" s="4" t="s">
        <f>=HYPERLINK("http://anyluxury.ru/shop/odezhda/zhilety/zhilet-muzhskoy-race-bw-men-yarkosiniy-02887241/" , "02887241 Жилет мужской Race BW Men, ярко-синий, размер S")</f>
      </c>
      <c r="C8266" s="4" t="n">
        <v>2897.00</v>
      </c>
      <c r="D8266" s="4"/>
    </row>
    <row collapsed="" customFormat="false" customHeight="1" hidden="" ht="14" outlineLevel="0" r="8267">
      <c r="A8267" s="3" t="inlineStr">
        <is>
          <t>8234</t>
        </is>
      </c>
      <c r="B8267" s="4" t="s">
        <f>=HYPERLINK("http://anyluxury.ru/shop/odezhda/zhilety/zhilet-zhenskiy-race-bw-women-krasniy-02888162/" , "02888162 Жилет женский Race BW Women, красный, размер XXL")</f>
      </c>
      <c r="C8267" s="4" t="n">
        <v>2843.00</v>
      </c>
      <c r="D8267" s="4"/>
    </row>
    <row collapsed="" customFormat="false" customHeight="1" hidden="" ht="14" outlineLevel="0" r="8268">
      <c r="A8268" s="3" t="inlineStr">
        <is>
          <t>8235</t>
        </is>
      </c>
      <c r="B8268" s="4" t="s">
        <f>=HYPERLINK("http://anyluxury.ru/shop/odezhda/zhilety/zhilet-zhenskiy-race-bw-women-yarkosiniy-02888241/" , "02888241 Жилет женский Race BW Women, ярко-синий, размер XL")</f>
      </c>
      <c r="C8268" s="4" t="n">
        <v>2843.00</v>
      </c>
      <c r="D8268" s="4"/>
    </row>
    <row collapsed="" customFormat="false" customHeight="1" hidden="" ht="14" outlineLevel="0" r="8269">
      <c r="A8269" s="3" t="inlineStr">
        <is>
          <t>8236</t>
        </is>
      </c>
      <c r="B8269" s="4" t="s">
        <f>=HYPERLINK("http://anyluxury.ru/shop/odezhda/zhilety/zhilet-zhenskiy-race-bw-women-yarkosiniy-02888241/" , "02888241 Жилет женский Race BW Women, ярко-синий, размер XXL")</f>
      </c>
      <c r="C8269" s="4" t="n">
        <v>2843.00</v>
      </c>
      <c r="D8269" s="4"/>
    </row>
    <row collapsed="" customFormat="false" customHeight="1" hidden="" ht="14" outlineLevel="0" r="8270">
      <c r="A8270" s="3" t="inlineStr">
        <is>
          <t>8237</t>
        </is>
      </c>
      <c r="B8270" s="4" t="s">
        <f>=HYPERLINK("http://anyluxury.ru/shop/odezhda/zhilety/zhilet-zhenskiy-race-bw-women-cherniy-02888312/" , "02888312 Жилет женский Race BW Women, черный, размер XXL")</f>
      </c>
      <c r="C8270" s="4" t="n">
        <v>2843.00</v>
      </c>
      <c r="D8270" s="4"/>
    </row>
    <row collapsed="" customFormat="false" customHeight="1" hidden="" ht="14" outlineLevel="0" r="8271">
      <c r="A8271" s="3" t="inlineStr">
        <is>
          <t>8238</t>
        </is>
      </c>
      <c r="B8271" s="4" t="s">
        <f>=HYPERLINK("http://anyluxury.ru/shop/odezhda/zhilety/zhilet-zhenskiy-race-bw-women-kobalt-temnosiniy-02888319/" , "02888319 Жилет женский Race BW Women, кобальт (темно-синий), размер S")</f>
      </c>
      <c r="C8271" s="4" t="n">
        <v>2843.00</v>
      </c>
      <c r="D8271" s="4"/>
    </row>
    <row collapsed="" customFormat="false" customHeight="1" hidden="" ht="14" outlineLevel="0" r="8272">
      <c r="A8272" s="3" t="inlineStr">
        <is>
          <t>8239</t>
        </is>
      </c>
      <c r="B8272" s="4" t="s">
        <f>=HYPERLINK("http://anyluxury.ru/shop/odezhda/zhilety/zhilet-kompaktniy-muzhskoy-stavanger-cherniy-1161531/" , "11615.31 Жилет компактный мужской Stavanger черный с серым, размер S")</f>
      </c>
      <c r="C8272" s="4" t="n">
        <v>11622.00</v>
      </c>
      <c r="D8272" s="4"/>
    </row>
    <row collapsed="" customFormat="false" customHeight="1" hidden="" ht="14" outlineLevel="0" r="8273">
      <c r="A8273" s="3" t="inlineStr">
        <is>
          <t>8240</t>
        </is>
      </c>
      <c r="B8273" s="4" t="s">
        <f>=HYPERLINK("http://anyluxury.ru/shop/odezhda/zhilety/zhilet-kompaktniy-muzhskoy-stavanger-temnosiniy-1161541/" , "11615.41 Жилет компактный мужской Stavanger темно-синий с серым, размер S")</f>
      </c>
      <c r="C8273" s="4" t="n">
        <v>11622.00</v>
      </c>
      <c r="D8273" s="4"/>
    </row>
    <row collapsed="" customFormat="false" customHeight="1" hidden="" ht="14" outlineLevel="0" r="8274">
      <c r="A8274" s="3" t="inlineStr">
        <is>
          <t>8241</t>
        </is>
      </c>
      <c r="B8274" s="4" t="s">
        <f>=HYPERLINK("http://anyluxury.ru/shop/odezhda/zhilety/zhilet-kompaktniy-muzhskoy-stavanger-temnosiniy-1161541/" , "11615.41 Жилет компактный мужской Stavanger темно-синий с серым, размер XL")</f>
      </c>
      <c r="C8274" s="4" t="n">
        <v>11622.00</v>
      </c>
      <c r="D8274" s="4"/>
    </row>
    <row collapsed="" customFormat="false" customHeight="1" hidden="" ht="14" outlineLevel="0" r="8275">
      <c r="A8275" s="3" t="inlineStr">
        <is>
          <t>8242</t>
        </is>
      </c>
      <c r="B8275" s="4" t="s">
        <f>=HYPERLINK("http://anyluxury.ru/shop/odezhda/zhilety/zhilet-kompaktniy-muzhskoy-stavanger-temnosiniy-1161541/" , "11615.41 Жилет компактный мужской Stavanger темно-синий с серым, размер XXL")</f>
      </c>
      <c r="C8275" s="4" t="n">
        <v>11622.00</v>
      </c>
      <c r="D8275" s="4"/>
    </row>
    <row collapsed="" customFormat="false" customHeight="1" hidden="" ht="14" outlineLevel="0" r="8276">
      <c r="A8276" s="3" t="inlineStr">
        <is>
          <t>8243</t>
        </is>
      </c>
      <c r="B8276" s="4" t="s">
        <f>=HYPERLINK("http://anyluxury.ru/shop/odezhda/zhilety/zhilet-kompaktniy-zhenskiy-stavanger-cherniy-1161631/" , "11616.31 Жилет компактный женский Stavanger черный с серым, размер XS")</f>
      </c>
      <c r="C8276" s="4" t="n">
        <v>11622.00</v>
      </c>
      <c r="D8276" s="4"/>
    </row>
    <row collapsed="" customFormat="false" customHeight="1" hidden="" ht="14" outlineLevel="0" r="8277">
      <c r="A8277" s="3" t="inlineStr">
        <is>
          <t>8244</t>
        </is>
      </c>
      <c r="B8277" s="4" t="s">
        <f>=HYPERLINK("http://anyluxury.ru/shop/odezhda/zhilety/zhilet-kompaktniy-zhenskiy-stavanger-cherniy-1161631/" , "11616.31 Жилет компактный женский Stavanger черный с серым, размер L")</f>
      </c>
      <c r="C8277" s="4" t="n">
        <v>11622.00</v>
      </c>
      <c r="D8277" s="4"/>
    </row>
    <row collapsed="" customFormat="false" customHeight="1" hidden="" ht="14" outlineLevel="0" r="8278">
      <c r="A8278" s="3" t="inlineStr">
        <is>
          <t>8245</t>
        </is>
      </c>
      <c r="B8278" s="4" t="s">
        <f>=HYPERLINK("http://anyluxury.ru/shop/odezhda/zhilety/zhilet-kompaktniy-zhenskiy-stavanger-cherniy-1161631/" , "11616.31 Жилет компактный женский Stavanger черный с серым, размер XL")</f>
      </c>
      <c r="C8278" s="4" t="n">
        <v>11622.00</v>
      </c>
      <c r="D8278" s="4"/>
    </row>
    <row collapsed="" customFormat="false" customHeight="1" hidden="" ht="14" outlineLevel="0" r="8279">
      <c r="A8279" s="3" t="inlineStr">
        <is>
          <t>8246</t>
        </is>
      </c>
      <c r="B8279" s="4" t="s">
        <f>=HYPERLINK("http://anyluxury.ru/shop/odezhda/zhilety/zhilet-kompaktniy-zhenskiy-stavanger-cherniy-1161631/" , "11616.31 Жилет компактный женский Stavanger черный с серым, размер XXL")</f>
      </c>
      <c r="C8279" s="4" t="n">
        <v>11622.00</v>
      </c>
      <c r="D8279" s="4"/>
    </row>
    <row collapsed="" customFormat="false" customHeight="1" hidden="" ht="14" outlineLevel="0" r="8280">
      <c r="A8280" s="3" t="inlineStr">
        <is>
          <t>8247</t>
        </is>
      </c>
      <c r="B8280" s="4" t="s">
        <f>=HYPERLINK("http://anyluxury.ru/shop/odezhda/zhilety/zhilet-kompaktniy-zhenskiy-stavanger-temnosiniy-1161641/" , "11616.41 Жилет компактный женский Stavanger темно-синий с серым, размер L")</f>
      </c>
      <c r="C8280" s="4" t="n">
        <v>11622.00</v>
      </c>
      <c r="D8280" s="4"/>
    </row>
    <row collapsed="" customFormat="false" customHeight="1" hidden="" ht="14" outlineLevel="0" r="8281">
      <c r="A8281" s="3" t="inlineStr">
        <is>
          <t>8248</t>
        </is>
      </c>
      <c r="B8281" s="4" t="s">
        <f>=HYPERLINK("http://anyluxury.ru/shop/odezhda/zhilety/zhilet-s-podogrevom-thermalli-zermatt-cherniy-1167730/" , "11677.30 Жилет с подогревом Thermalli Zermatt черный, размер S")</f>
      </c>
      <c r="C8281" s="4" t="n">
        <v>8254.00</v>
      </c>
      <c r="D8281" s="4"/>
    </row>
    <row collapsed="" customFormat="false" customHeight="1" hidden="" ht="14" outlineLevel="0" r="8282">
      <c r="A8282" s="3" t="inlineStr">
        <is>
          <t>8249</t>
        </is>
      </c>
      <c r="B8282" s="4" t="s">
        <f>=HYPERLINK("http://anyluxury.ru/shop/odezhda/zhilety/zhilet-s-podogrevom-thermalli-zermatt-cherniy-1167730/" , "11677.30 Жилет с подогревом Thermalli Zermatt черный, размер M")</f>
      </c>
      <c r="C8282" s="4" t="n">
        <v>8254.00</v>
      </c>
      <c r="D8282" s="4"/>
    </row>
    <row collapsed="" customFormat="false" customHeight="1" hidden="" ht="14" outlineLevel="0" r="8283">
      <c r="A8283" s="3" t="inlineStr">
        <is>
          <t>8250</t>
        </is>
      </c>
      <c r="B8283" s="4" t="s">
        <f>=HYPERLINK("http://anyluxury.ru/shop/odezhda/zhilety/zhilet-s-podogrevom-thermalli-zermatt-cherniy-1167730/" , "11677.30 Жилет с подогревом Thermalli Zermatt черный, размер XXXL")</f>
      </c>
      <c r="C8283" s="4" t="n">
        <v>7510.00</v>
      </c>
      <c r="D8283" s="4"/>
    </row>
    <row collapsed="" customFormat="false" customHeight="1" hidden="" ht="14" outlineLevel="0" r="8284">
      <c r="A8284" s="3" t="inlineStr">
        <is>
          <t>8251</t>
        </is>
      </c>
      <c r="B8284" s="4" t="s">
        <f>=HYPERLINK("http://anyluxury.ru/shop/odezhda/zhilety/zhilet-s-podogrevom-thermalli-zermatt-temnosiniy-1167740/" , "11677.40 Жилет с подогревом Thermalli Zermatt темно-синий, размер S")</f>
      </c>
      <c r="C8284" s="4" t="n">
        <v>8254.00</v>
      </c>
      <c r="D8284" s="4"/>
    </row>
    <row collapsed="" customFormat="false" customHeight="1" hidden="" ht="14" outlineLevel="0" r="8285">
      <c r="A8285" s="3" t="inlineStr">
        <is>
          <t>8252</t>
        </is>
      </c>
      <c r="B8285" s="4" t="s">
        <f>=HYPERLINK("http://anyluxury.ru/shop/odezhda/zhilety/zhilet-s-podogrevom-thermalli-zermatt-temnosiniy-1167740/" , "11677.40 Жилет с подогревом Thermalli Zermatt темно-синий, размер M")</f>
      </c>
      <c r="C8285" s="4" t="n">
        <v>8254.00</v>
      </c>
      <c r="D8285" s="4"/>
    </row>
    <row collapsed="" customFormat="false" customHeight="1" hidden="" ht="14" outlineLevel="0" r="8286">
      <c r="A8286" s="3" t="inlineStr">
        <is>
          <t>8253</t>
        </is>
      </c>
      <c r="B8286" s="4" t="s">
        <f>=HYPERLINK("http://anyluxury.ru/shop/odezhda/zhilety/zhilet-s-podogrevom-thermalli-zermatt-temnosiniy-1167740/" , "11677.40 Жилет с подогревом Thermalli Zermatt темно-синий, размер XXXL")</f>
      </c>
      <c r="C8286" s="4" t="n">
        <v>7510.00</v>
      </c>
      <c r="D8286" s="4"/>
    </row>
    <row collapsed="" customFormat="false" customHeight="1" hidden="" ht="14" outlineLevel="0" r="8287">
      <c r="A8287" s="3" t="inlineStr">
        <is>
          <t>8254</t>
        </is>
      </c>
      <c r="B8287" s="4" t="s">
        <f>=HYPERLINK("http://anyluxury.ru/shop/odezhda/zhilety/zhilet-norway-zheltiy-neon-155489/" , "1554.89 Жилет Norway желтый неон, размер S")</f>
      </c>
      <c r="C8287" s="4" t="n">
        <v>2822.00</v>
      </c>
      <c r="D8287" s="4"/>
    </row>
    <row collapsed="" customFormat="false" customHeight="1" hidden="" ht="14" outlineLevel="0" r="8288">
      <c r="A8288" s="3" t="inlineStr">
        <is>
          <t>8255</t>
        </is>
      </c>
      <c r="B8288" s="4" t="s">
        <f>=HYPERLINK("http://anyluxury.ru/shop/odezhda/zhilety/zhilet-norway-zheltiy-neon-155489/" , "1554.89 Жилет Norway желтый неон, размер M")</f>
      </c>
      <c r="C8288" s="4" t="n">
        <v>2822.00</v>
      </c>
      <c r="D8288" s="4"/>
    </row>
    <row collapsed="" customFormat="false" customHeight="1" hidden="" ht="14" outlineLevel="0" r="8289">
      <c r="A8289" s="3" t="inlineStr">
        <is>
          <t>8256</t>
        </is>
      </c>
      <c r="B8289" s="4" t="s">
        <f>=HYPERLINK("http://anyluxury.ru/shop/odezhda/zhilety/zhilet-norway-zheltiy-neon-155489/" , "1554.89 Жилет Norway желтый неон, размер L")</f>
      </c>
      <c r="C8289" s="4" t="n">
        <v>2822.00</v>
      </c>
      <c r="D8289" s="4"/>
    </row>
    <row collapsed="" customFormat="false" customHeight="1" hidden="" ht="14" outlineLevel="0" r="8290">
      <c r="A8290" s="3" t="inlineStr">
        <is>
          <t>8257</t>
        </is>
      </c>
      <c r="B8290" s="4" t="s">
        <f>=HYPERLINK("http://anyluxury.ru/shop/odezhda/zhilety/zhilet-norway-zheltiy-neon-155489/" , "1554.89 Жилет Norway желтый неон, размер XL")</f>
      </c>
      <c r="C8290" s="4" t="n">
        <v>2822.00</v>
      </c>
      <c r="D8290" s="4"/>
    </row>
    <row collapsed="" customFormat="false" customHeight="1" hidden="" ht="14" outlineLevel="0" r="8291">
      <c r="A8291" s="3" t="inlineStr">
        <is>
          <t>8258</t>
        </is>
      </c>
      <c r="B8291" s="4" t="s">
        <f>=HYPERLINK("http://anyluxury.ru/shop/odezhda/zhilety/zhilet-norway-zheltiy-neon-155489/" , "1554.89 Жилет Norway желтый неон, размер XXL")</f>
      </c>
      <c r="C8291" s="4" t="n">
        <v>2822.00</v>
      </c>
      <c r="D8291" s="4"/>
    </row>
    <row collapsed="" customFormat="false" customHeight="1" hidden="" ht="14" outlineLevel="0" r="8292">
      <c r="A8292" s="3" t="inlineStr">
        <is>
          <t>8259</t>
        </is>
      </c>
      <c r="B8292" s="4" t="s">
        <f>=HYPERLINK("http://anyluxury.ru/shop/odezhda/zhilety/zhilet-norway-zheltiy-neon-155489/" , "1554.89 Жилет Norway желтый неон, размер 3XL")</f>
      </c>
      <c r="C8292" s="4" t="n">
        <v>3362.00</v>
      </c>
      <c r="D8292" s="4"/>
    </row>
    <row collapsed="" customFormat="false" customHeight="1" hidden="" ht="14" outlineLevel="0" r="8293">
      <c r="A8293" s="3" t="inlineStr">
        <is>
          <t>8260</t>
        </is>
      </c>
      <c r="B8293" s="4" t="s">
        <f>=HYPERLINK("http://anyluxury.ru/shop/odezhda/zhilety/zhilet-norway-zheltiy-neon-155489/" , "1554.89 Жилет Norway желтый неон, размер 4XL")</f>
      </c>
      <c r="C8293" s="4" t="n">
        <v>3973.00</v>
      </c>
      <c r="D8293" s="4"/>
    </row>
    <row collapsed="" customFormat="false" customHeight="1" hidden="" ht="14" outlineLevel="0" r="8294">
      <c r="A8294" s="3" t="inlineStr">
        <is>
          <t>8261</t>
        </is>
      </c>
      <c r="B8294" s="4" t="s">
        <f>=HYPERLINK("http://anyluxury.ru/shop/odezhda/zhilety/zhilet-norway-zheltiy-neon-155489/" , "1554.89 Жилет Norway желтый неон, размер 5XL")</f>
      </c>
      <c r="C8294" s="4" t="n">
        <v>3973.00</v>
      </c>
      <c r="D8294" s="4"/>
    </row>
    <row collapsed="" customFormat="false" customHeight="1" hidden="" ht="14" outlineLevel="0" r="8295">
      <c r="A8295" s="3" t="inlineStr">
        <is>
          <t>8262</t>
        </is>
      </c>
      <c r="B8295" s="4" t="s">
        <f>=HYPERLINK("http://anyluxury.ru/shop/odezhda/zhilety/zhilet-leven-cherniy-1411630/" , "14116.30 Жилет Leven, черный, размер XS")</f>
      </c>
      <c r="C8295" s="4" t="n">
        <v>3190.00</v>
      </c>
      <c r="D8295" s="4"/>
    </row>
    <row collapsed="" customFormat="false" customHeight="1" hidden="" ht="14" outlineLevel="0" r="8296">
      <c r="A8296" s="3" t="inlineStr">
        <is>
          <t>8263</t>
        </is>
      </c>
      <c r="B8296" s="4" t="s">
        <f>=HYPERLINK("http://anyluxury.ru/shop/odezhda/zhilety/zhilet-leven-cherniy-1411630/" , "14116.30 Жилет Leven, черный, размер S")</f>
      </c>
      <c r="C8296" s="4" t="n">
        <v>3190.00</v>
      </c>
      <c r="D8296" s="4"/>
    </row>
    <row collapsed="" customFormat="false" customHeight="1" hidden="" ht="14" outlineLevel="0" r="8297">
      <c r="A8297" s="3" t="inlineStr">
        <is>
          <t>8264</t>
        </is>
      </c>
      <c r="B8297" s="4" t="s">
        <f>=HYPERLINK("http://anyluxury.ru/shop/odezhda/zhilety/zhilet-leven-cherniy-1411630/" , "14116.30 Жилет Leven, черный, размер M")</f>
      </c>
      <c r="C8297" s="4" t="n">
        <v>3190.00</v>
      </c>
      <c r="D8297" s="4"/>
    </row>
    <row collapsed="" customFormat="false" customHeight="1" hidden="" ht="14" outlineLevel="0" r="8298">
      <c r="A8298" s="3" t="inlineStr">
        <is>
          <t>8265</t>
        </is>
      </c>
      <c r="B8298" s="4" t="s">
        <f>=HYPERLINK("http://anyluxury.ru/shop/odezhda/zhilety/zhilet-leven-cherniy-1411630/" , "14116.30 Жилет Leven, черный, размер L")</f>
      </c>
      <c r="C8298" s="4" t="n">
        <v>3190.00</v>
      </c>
      <c r="D8298" s="4"/>
    </row>
    <row collapsed="" customFormat="false" customHeight="1" hidden="" ht="14" outlineLevel="0" r="8299">
      <c r="A8299" s="3" t="inlineStr">
        <is>
          <t>8266</t>
        </is>
      </c>
      <c r="B8299" s="4" t="s">
        <f>=HYPERLINK("http://anyluxury.ru/shop/odezhda/zhilety/zhilet-leven-cherniy-1411630/" , "14116.30 Жилет Leven, черный, размер XL")</f>
      </c>
      <c r="C8299" s="4" t="n">
        <v>3190.00</v>
      </c>
      <c r="D8299" s="4"/>
    </row>
    <row collapsed="" customFormat="false" customHeight="1" hidden="" ht="14" outlineLevel="0" r="8300">
      <c r="A8300" s="3" t="inlineStr">
        <is>
          <t>8267</t>
        </is>
      </c>
      <c r="B8300" s="4" t="s">
        <f>=HYPERLINK("http://anyluxury.ru/shop/odezhda/zhilety/zhilet-leven-cherniy-1411630/" , "14116.30 Жилет Leven, черный, размер XXL")</f>
      </c>
      <c r="C8300" s="4" t="n">
        <v>3190.00</v>
      </c>
      <c r="D8300" s="4"/>
    </row>
    <row collapsed="" customFormat="false" customHeight="1" hidden="" ht="14" outlineLevel="0" r="8301">
      <c r="A8301" s="3" t="inlineStr">
        <is>
          <t>8268</t>
        </is>
      </c>
      <c r="B8301" s="4" t="s">
        <f>=HYPERLINK("http://anyluxury.ru/shop/odezhda/zhilety/zhilet-leven-cherniy-1411630/" , "14116.30 Жилет Leven, черный, размер 3XL")</f>
      </c>
      <c r="C8301" s="4" t="n">
        <v>3190.00</v>
      </c>
      <c r="D8301" s="4"/>
    </row>
    <row collapsed="" customFormat="false" customHeight="1" hidden="" ht="14" outlineLevel="0" r="8302">
      <c r="A8302" s="3" t="inlineStr">
        <is>
          <t>8269</t>
        </is>
      </c>
      <c r="B8302" s="4" t="s">
        <f>=HYPERLINK("http://anyluxury.ru/shop/odezhda/zhilety/zhilet-leven-yarkosiniy-1411644/" , "14116.44 Жилет Leven, ярко-синий, размер XS")</f>
      </c>
      <c r="C8302" s="4" t="n">
        <v>3190.00</v>
      </c>
      <c r="D8302" s="4"/>
    </row>
    <row collapsed="" customFormat="false" customHeight="1" hidden="" ht="14" outlineLevel="0" r="8303">
      <c r="A8303" s="3" t="inlineStr">
        <is>
          <t>8270</t>
        </is>
      </c>
      <c r="B8303" s="4" t="s">
        <f>=HYPERLINK("http://anyluxury.ru/shop/odezhda/zhilety/zhilet-leven-yarkosiniy-1411644/" , "14116.44 Жилет Leven, ярко-синий, размер S")</f>
      </c>
      <c r="C8303" s="4" t="n">
        <v>3190.00</v>
      </c>
      <c r="D8303" s="4"/>
    </row>
    <row collapsed="" customFormat="false" customHeight="1" hidden="" ht="14" outlineLevel="0" r="8304">
      <c r="A8304" s="3" t="inlineStr">
        <is>
          <t>8271</t>
        </is>
      </c>
      <c r="B8304" s="4" t="s">
        <f>=HYPERLINK("http://anyluxury.ru/shop/odezhda/zhilety/zhilet-leven-yarkosiniy-1411644/" , "14116.44 Жилет Leven, ярко-синий, размер M")</f>
      </c>
      <c r="C8304" s="4" t="n">
        <v>3190.00</v>
      </c>
      <c r="D8304" s="4"/>
    </row>
    <row collapsed="" customFormat="false" customHeight="1" hidden="" ht="14" outlineLevel="0" r="8305">
      <c r="A8305" s="3" t="inlineStr">
        <is>
          <t>8272</t>
        </is>
      </c>
      <c r="B8305" s="4" t="s">
        <f>=HYPERLINK("http://anyluxury.ru/shop/odezhda/zhilety/zhilet-leven-yarkosiniy-1411644/" , "14116.44 Жилет Leven, ярко-синий, размер L")</f>
      </c>
      <c r="C8305" s="4" t="n">
        <v>3190.00</v>
      </c>
      <c r="D8305" s="4"/>
    </row>
    <row collapsed="" customFormat="false" customHeight="1" hidden="" ht="14" outlineLevel="0" r="8306">
      <c r="A8306" s="3" t="inlineStr">
        <is>
          <t>8273</t>
        </is>
      </c>
      <c r="B8306" s="4" t="s">
        <f>=HYPERLINK("http://anyluxury.ru/shop/odezhda/zhilety/zhilet-leven-yarkosiniy-1411644/" , "14116.44 Жилет Leven, ярко-синий, размер XL")</f>
      </c>
      <c r="C8306" s="4" t="n">
        <v>3190.00</v>
      </c>
      <c r="D8306" s="4"/>
    </row>
    <row collapsed="" customFormat="false" customHeight="1" hidden="" ht="14" outlineLevel="0" r="8307">
      <c r="A8307" s="3" t="inlineStr">
        <is>
          <t>8274</t>
        </is>
      </c>
      <c r="B8307" s="4" t="s">
        <f>=HYPERLINK("http://anyluxury.ru/shop/odezhda/zhilety/zhilet-leven-yarkosiniy-1411644/" , "14116.44 Жилет Leven, ярко-синий, размер XXL")</f>
      </c>
      <c r="C8307" s="4" t="n">
        <v>3190.00</v>
      </c>
      <c r="D8307" s="4"/>
    </row>
    <row collapsed="" customFormat="false" customHeight="1" hidden="" ht="14" outlineLevel="0" r="8308">
      <c r="A8308" s="3" t="inlineStr">
        <is>
          <t>8275</t>
        </is>
      </c>
      <c r="B8308" s="4" t="s">
        <f>=HYPERLINK("http://anyluxury.ru/shop/odezhda/zhilety/zhilet-leven-yarkosiniy-1411644/" , "14116.44 Жилет Leven, ярко-синий, размер 3XL")</f>
      </c>
      <c r="C8308" s="4" t="n">
        <v>3190.00</v>
      </c>
      <c r="D8308" s="4"/>
    </row>
    <row collapsed="" customFormat="false" customHeight="1" hidden="" ht="14" outlineLevel="0" r="8309">
      <c r="A8309" s="3" t="inlineStr">
        <is>
          <t>8276</t>
        </is>
      </c>
      <c r="B8309" s="4" t="s">
        <f>=HYPERLINK("http://anyluxury.ru/shop/odezhda/zhilety/zhilet-leven-beliy-1411660/" , "14116.60 Жилет Leven, белый, размер XS")</f>
      </c>
      <c r="C8309" s="4" t="n">
        <v>3190.00</v>
      </c>
      <c r="D8309" s="4"/>
    </row>
    <row collapsed="" customFormat="false" customHeight="1" hidden="" ht="14" outlineLevel="0" r="8310">
      <c r="A8310" s="3" t="inlineStr">
        <is>
          <t>8277</t>
        </is>
      </c>
      <c r="B8310" s="4" t="s">
        <f>=HYPERLINK("http://anyluxury.ru/shop/odezhda/zhilety/zhilet-leven-beliy-1411660/" , "14116.60 Жилет Leven, белый, размер S")</f>
      </c>
      <c r="C8310" s="4" t="n">
        <v>3190.00</v>
      </c>
      <c r="D8310" s="4"/>
    </row>
    <row collapsed="" customFormat="false" customHeight="1" hidden="" ht="14" outlineLevel="0" r="8311">
      <c r="A8311" s="3" t="inlineStr">
        <is>
          <t>8278</t>
        </is>
      </c>
      <c r="B8311" s="4" t="s">
        <f>=HYPERLINK("http://anyluxury.ru/shop/odezhda/zhilety/zhilet-leven-beliy-1411660/" , "14116.60 Жилет Leven, белый, размер XXL")</f>
      </c>
      <c r="C8311" s="4" t="n">
        <v>3190.00</v>
      </c>
      <c r="D8311" s="4"/>
    </row>
    <row collapsed="" customFormat="false" customHeight="1" hidden="" ht="14" outlineLevel="0" r="8312">
      <c r="A8312" s="3" t="inlineStr">
        <is>
          <t>8279</t>
        </is>
      </c>
      <c r="B8312" s="4" t="s">
        <f>=HYPERLINK("http://anyluxury.ru/shop/odezhda/zhilety/zhilet-leven-beliy-1411660/" , "14116.60 Жилет Leven, белый, размер 3XL")</f>
      </c>
      <c r="C8312" s="4" t="n">
        <v>3190.00</v>
      </c>
      <c r="D8312" s="4"/>
    </row>
    <row collapsed="" customFormat="false" customHeight="1" hidden="" ht="14" outlineLevel="0" r="8313">
      <c r="A8313" s="3" t="inlineStr">
        <is>
          <t>8280</t>
        </is>
      </c>
      <c r="B8313" s="4" t="s">
        <f>=HYPERLINK("http://anyluxury.ru/shop/odezhda/zhilety/zhilet-svetootrazhayushhiy-lattvind-temnosiniy-1411840/" , "14118.40 Жилет светоотражающий Lattvind темно-синий, размер XS")</f>
      </c>
      <c r="C8313" s="4" t="n">
        <v>3920.00</v>
      </c>
      <c r="D8313" s="4"/>
    </row>
    <row collapsed="" customFormat="false" customHeight="1" hidden="" ht="14" outlineLevel="0" r="8314">
      <c r="A8314" s="3" t="inlineStr">
        <is>
          <t>8281</t>
        </is>
      </c>
      <c r="B8314" s="4" t="s">
        <f>=HYPERLINK("http://anyluxury.ru/shop/odezhda/zhilety/zhilet-svetootrazhayushhiy-lattvind-temnosiniy-1411840/" , "14118.40 Жилет светоотражающий Lattvind темно-синий, размер S")</f>
      </c>
      <c r="C8314" s="4" t="n">
        <v>3920.00</v>
      </c>
      <c r="D8314" s="4"/>
    </row>
    <row collapsed="" customFormat="false" customHeight="1" hidden="" ht="14" outlineLevel="0" r="8315">
      <c r="A8315" s="3" t="inlineStr">
        <is>
          <t>8282</t>
        </is>
      </c>
      <c r="B8315" s="4" t="s">
        <f>=HYPERLINK("http://anyluxury.ru/shop/odezhda/zhilety/zhilet-svetootrazhayushhiy-lattvind-temnosiniy-1411840/" , "14118.40 Жилет светоотражающий Lattvind темно-синий, размер M")</f>
      </c>
      <c r="C8315" s="4" t="n">
        <v>3920.00</v>
      </c>
      <c r="D8315" s="4"/>
    </row>
    <row collapsed="" customFormat="false" customHeight="1" hidden="" ht="14" outlineLevel="0" r="8316">
      <c r="A8316" s="3" t="inlineStr">
        <is>
          <t>8283</t>
        </is>
      </c>
      <c r="B8316" s="4" t="s">
        <f>=HYPERLINK("http://anyluxury.ru/shop/odezhda/zhilety/zhilet-dvustoronniy-climb-cherniy-1432030/" , "14320.30 Жилет двусторонний Climb, черный, размер XS")</f>
      </c>
      <c r="C8316" s="4" t="n">
        <v>4493.00</v>
      </c>
      <c r="D8316" s="4"/>
    </row>
    <row collapsed="" customFormat="false" customHeight="1" hidden="" ht="14" outlineLevel="0" r="8317">
      <c r="A8317" s="3" t="inlineStr">
        <is>
          <t>8284</t>
        </is>
      </c>
      <c r="B8317" s="4" t="s">
        <f>=HYPERLINK("http://anyluxury.ru/shop/odezhda/zhilety/zhilet-dvustoronniy-climb-cherniy-1432030/" , "14320.30 Жилет двусторонний Climb, черный, размер S")</f>
      </c>
      <c r="C8317" s="4" t="n">
        <v>4493.00</v>
      </c>
      <c r="D8317" s="4"/>
    </row>
    <row collapsed="" customFormat="false" customHeight="1" hidden="" ht="14" outlineLevel="0" r="8318">
      <c r="A8318" s="3" t="inlineStr">
        <is>
          <t>8285</t>
        </is>
      </c>
      <c r="B8318" s="4" t="s">
        <f>=HYPERLINK("http://anyluxury.ru/shop/odezhda/zhilety/zhilet-dvustoronniy-climb-cherniy-1432030/" , "14320.30 Жилет двусторонний Climb, черный, размер M")</f>
      </c>
      <c r="C8318" s="4" t="n">
        <v>4493.00</v>
      </c>
      <c r="D8318" s="4"/>
    </row>
    <row collapsed="" customFormat="false" customHeight="1" hidden="" ht="14" outlineLevel="0" r="8319">
      <c r="A8319" s="3" t="inlineStr">
        <is>
          <t>8286</t>
        </is>
      </c>
      <c r="B8319" s="4" t="s">
        <f>=HYPERLINK("http://anyluxury.ru/shop/odezhda/zhilety/zhilet-dvustoronniy-climb-cherniy-1432030/" , "14320.30 Жилет двусторонний Climb, черный, размер L")</f>
      </c>
      <c r="C8319" s="4" t="n">
        <v>4493.00</v>
      </c>
      <c r="D8319" s="4"/>
    </row>
    <row collapsed="" customFormat="false" customHeight="1" hidden="" ht="14" outlineLevel="0" r="8320">
      <c r="A8320" s="3" t="inlineStr">
        <is>
          <t>8287</t>
        </is>
      </c>
      <c r="B8320" s="4" t="s">
        <f>=HYPERLINK("http://anyluxury.ru/shop/odezhda/zhilety/zhilet-dvustoronniy-climb-cherniy-1432030/" , "14320.30 Жилет двусторонний Climb, черный, размер XL")</f>
      </c>
      <c r="C8320" s="4" t="n">
        <v>4493.00</v>
      </c>
      <c r="D8320" s="4"/>
    </row>
    <row collapsed="" customFormat="false" customHeight="1" hidden="" ht="14" outlineLevel="0" r="8321">
      <c r="A8321" s="3" t="inlineStr">
        <is>
          <t>8288</t>
        </is>
      </c>
      <c r="B8321" s="4" t="s">
        <f>=HYPERLINK("http://anyluxury.ru/shop/odezhda/zhilety/zhilet-dvustoronniy-climb-cherniy-1432030/" , "14320.30 Жилет двусторонний Climb, черный, размер XXL")</f>
      </c>
      <c r="C8321" s="4" t="n">
        <v>4493.00</v>
      </c>
      <c r="D8321" s="4"/>
    </row>
    <row collapsed="" customFormat="false" customHeight="1" hidden="" ht="14" outlineLevel="0" r="8322">
      <c r="A8322" s="3" t="inlineStr">
        <is>
          <t>8289</t>
        </is>
      </c>
      <c r="B8322" s="4" t="s">
        <f>=HYPERLINK("http://anyluxury.ru/shop/odezhda/zhilety/zhilet-dvustoronniy-climb-cherniy-1432030/" , "14320.30 Жилет двусторонний Climb, черный, размер 3XL")</f>
      </c>
      <c r="C8322" s="4" t="n">
        <v>4493.00</v>
      </c>
      <c r="D8322" s="4"/>
    </row>
    <row collapsed="" customFormat="false" customHeight="1" hidden="" ht="14" outlineLevel="0" r="8323">
      <c r="A8323" s="3" t="inlineStr">
        <is>
          <t>8290</t>
        </is>
      </c>
      <c r="B8323" s="4" t="s">
        <f>=HYPERLINK("http://anyluxury.ru/shop/odezhda/zhilety/zhilet-dvustoronniy-climb-yarkosiniy-sapfir-1432040/" , "14320.40 Жилет двусторонний Climb, ярко-синий (сапфир), размер XS")</f>
      </c>
      <c r="C8323" s="4" t="n">
        <v>3920.00</v>
      </c>
      <c r="D8323" s="4"/>
    </row>
    <row collapsed="" customFormat="false" customHeight="1" hidden="" ht="14" outlineLevel="0" r="8324">
      <c r="A8324" s="3" t="inlineStr">
        <is>
          <t>8291</t>
        </is>
      </c>
      <c r="B8324" s="4" t="s">
        <f>=HYPERLINK("http://anyluxury.ru/shop/odezhda/zhilety/zhilet-dvustoronniy-climb-yarkosiniy-sapfir-1432040/" , "14320.40 Жилет двусторонний Climb, ярко-синий (сапфир), размер S")</f>
      </c>
      <c r="C8324" s="4" t="n">
        <v>3920.00</v>
      </c>
      <c r="D8324" s="4"/>
    </row>
    <row collapsed="" customFormat="false" customHeight="1" hidden="" ht="14" outlineLevel="0" r="8325">
      <c r="A8325" s="3" t="inlineStr">
        <is>
          <t>8292</t>
        </is>
      </c>
      <c r="B8325" s="4" t="s">
        <f>=HYPERLINK("http://anyluxury.ru/shop/odezhda/zhilety/zhilet-dvustoronniy-climb-yarkosiniy-sapfir-1432040/" , "14320.40 Жилет двусторонний Climb, ярко-синий (сапфир), размер M")</f>
      </c>
      <c r="C8325" s="4" t="n">
        <v>3920.00</v>
      </c>
      <c r="D8325" s="4"/>
    </row>
    <row collapsed="" customFormat="false" customHeight="1" hidden="" ht="14" outlineLevel="0" r="8326">
      <c r="A8326" s="3" t="inlineStr">
        <is>
          <t>8293</t>
        </is>
      </c>
      <c r="B8326" s="4" t="s">
        <f>=HYPERLINK("http://anyluxury.ru/shop/odezhda/zhilety/zhilet-dvustoronniy-climb-yarkosiniy-sapfir-1432040/" , "14320.40 Жилет двусторонний Climb, ярко-синий (сапфир), размер L")</f>
      </c>
      <c r="C8326" s="4" t="n">
        <v>3920.00</v>
      </c>
      <c r="D8326" s="4"/>
    </row>
    <row collapsed="" customFormat="false" customHeight="1" hidden="" ht="14" outlineLevel="0" r="8327">
      <c r="A8327" s="3" t="inlineStr">
        <is>
          <t>8294</t>
        </is>
      </c>
      <c r="B8327" s="4" t="s">
        <f>=HYPERLINK("http://anyluxury.ru/shop/odezhda/zhilety/zhilet-dvustoronniy-climb-yarkosiniy-sapfir-1432040/" , "14320.40 Жилет двусторонний Climb, ярко-синий (сапфир), размер XL")</f>
      </c>
      <c r="C8327" s="4" t="n">
        <v>3920.00</v>
      </c>
      <c r="D8327" s="4"/>
    </row>
    <row collapsed="" customFormat="false" customHeight="1" hidden="" ht="14" outlineLevel="0" r="8328">
      <c r="A8328" s="3" t="inlineStr">
        <is>
          <t>8295</t>
        </is>
      </c>
      <c r="B8328" s="4" t="s">
        <f>=HYPERLINK("http://anyluxury.ru/shop/odezhda/zhilety/zhilet-dvustoronniy-climb-yarkosiniy-sapfir-1432040/" , "14320.40 Жилет двусторонний Climb, ярко-синий (сапфир), размер XXL")</f>
      </c>
      <c r="C8328" s="4" t="n">
        <v>3920.00</v>
      </c>
      <c r="D8328" s="4"/>
    </row>
    <row collapsed="" customFormat="false" customHeight="1" hidden="" ht="14" outlineLevel="0" r="8329">
      <c r="A8329" s="3" t="inlineStr">
        <is>
          <t>8296</t>
        </is>
      </c>
      <c r="B8329" s="4" t="s">
        <f>=HYPERLINK("http://anyluxury.ru/shop/odezhda/zhilety/zhilet-dvustoronniy-climb-yarkosiniy-sapfir-1432040/" , "14320.40 Жилет двусторонний Climb, ярко-синий (сапфир), размер 3XL")</f>
      </c>
      <c r="C8329" s="4" t="n">
        <v>3920.00</v>
      </c>
      <c r="D8329" s="4"/>
    </row>
    <row collapsed="" customFormat="false" customHeight="1" hidden="" ht="14" outlineLevel="0" r="8330">
      <c r="A8330" s="3" t="inlineStr">
        <is>
          <t>8297</t>
        </is>
      </c>
      <c r="B8330" s="4" t="s">
        <f>=HYPERLINK("http://anyluxury.ru/shop/odezhda/zhilety/zhilet-dvustoronniy-climb-beliy-1432060/" , "14320.60 Жилет двусторонний Climb, белый, размер XS")</f>
      </c>
      <c r="C8330" s="4" t="n">
        <v>4143.00</v>
      </c>
      <c r="D8330" s="4"/>
    </row>
    <row collapsed="" customFormat="false" customHeight="1" hidden="" ht="14" outlineLevel="0" r="8331">
      <c r="A8331" s="3" t="inlineStr">
        <is>
          <t>8298</t>
        </is>
      </c>
      <c r="B8331" s="4" t="s">
        <f>=HYPERLINK("http://anyluxury.ru/shop/odezhda/zhilety/zhilet-dvustoronniy-climb-beliy-1432060/" , "14320.60 Жилет двусторонний Climb, белый, размер S")</f>
      </c>
      <c r="C8331" s="4" t="n">
        <v>4143.00</v>
      </c>
      <c r="D8331" s="4"/>
    </row>
    <row collapsed="" customFormat="false" customHeight="1" hidden="" ht="14" outlineLevel="0" r="8332">
      <c r="A8332" s="3" t="inlineStr">
        <is>
          <t>8299</t>
        </is>
      </c>
      <c r="B8332" s="4" t="s">
        <f>=HYPERLINK("http://anyluxury.ru/shop/odezhda/zhilety/zhilet-dvustoronniy-climb-beliy-1432060/" , "14320.60 Жилет двусторонний Climb, белый, размер M")</f>
      </c>
      <c r="C8332" s="4" t="n">
        <v>4143.00</v>
      </c>
      <c r="D8332" s="4"/>
    </row>
    <row collapsed="" customFormat="false" customHeight="1" hidden="" ht="14" outlineLevel="0" r="8333">
      <c r="A8333" s="3" t="inlineStr">
        <is>
          <t>8300</t>
        </is>
      </c>
      <c r="B8333" s="4" t="s">
        <f>=HYPERLINK("http://anyluxury.ru/shop/odezhda/zhilety/zhilet-dvustoronniy-climb-beliy-1432060/" , "14320.60 Жилет двусторонний Climb, белый, размер L")</f>
      </c>
      <c r="C8333" s="4" t="n">
        <v>4143.00</v>
      </c>
      <c r="D8333" s="4"/>
    </row>
    <row collapsed="" customFormat="false" customHeight="1" hidden="" ht="14" outlineLevel="0" r="8334">
      <c r="A8334" s="3" t="inlineStr">
        <is>
          <t>8301</t>
        </is>
      </c>
      <c r="B8334" s="4" t="s">
        <f>=HYPERLINK("http://anyluxury.ru/shop/odezhda/zhilety/zhilet-dvustoronniy-climb-beliy-1432060/" , "14320.60 Жилет двусторонний Climb, белый, размер XL")</f>
      </c>
      <c r="C8334" s="4" t="n">
        <v>4143.00</v>
      </c>
      <c r="D8334" s="4"/>
    </row>
    <row collapsed="" customFormat="false" customHeight="1" hidden="" ht="14" outlineLevel="0" r="8335">
      <c r="A8335" s="3" t="inlineStr">
        <is>
          <t>8302</t>
        </is>
      </c>
      <c r="B8335" s="4" t="s">
        <f>=HYPERLINK("http://anyluxury.ru/shop/odezhda/zhilety/zhilet-dvustoronniy-climb-beliy-1432060/" , "14320.60 Жилет двусторонний Climb, белый, размер XXL")</f>
      </c>
      <c r="C8335" s="4" t="n">
        <v>4143.00</v>
      </c>
      <c r="D8335" s="4"/>
    </row>
    <row collapsed="" customFormat="false" customHeight="1" hidden="" ht="14" outlineLevel="0" r="8336">
      <c r="A8336" s="3" t="inlineStr">
        <is>
          <t>8303</t>
        </is>
      </c>
      <c r="B8336" s="4" t="s">
        <f>=HYPERLINK("http://anyluxury.ru/shop/odezhda/zhilety/zhilet-dvustoronniy-climb-beliy-1432060/" , "14320.60 Жилет двусторонний Climb, белый, размер 3XL")</f>
      </c>
      <c r="C8336" s="4" t="n">
        <v>4143.00</v>
      </c>
      <c r="D8336" s="4"/>
    </row>
    <row collapsed="" customFormat="false" customHeight="1" hidden="" ht="14" outlineLevel="0" r="8337">
      <c r="A8337" s="3" t="inlineStr">
        <is>
          <t>8304</t>
        </is>
      </c>
      <c r="B8337" s="4" t="s">
        <f>=HYPERLINK("http://anyluxury.ru/shop/odezhda/zhilety/zhilet-factor-bw-cherniy-03822312/" , "03822312 Жилет Factor BW, черный, размер XS")</f>
      </c>
      <c r="C8337" s="4" t="n">
        <v>2244.00</v>
      </c>
      <c r="D8337" s="4"/>
    </row>
    <row collapsed="" customFormat="false" customHeight="1" hidden="" ht="14" outlineLevel="0" r="8338">
      <c r="A8338" s="3" t="inlineStr">
        <is>
          <t>8305</t>
        </is>
      </c>
      <c r="B8338" s="4" t="s">
        <f>=HYPERLINK("http://anyluxury.ru/shop/odezhda/zhilety/zhilet-factor-bw-cherniy-03822312/" , "03822312 Жилет Factor BW, черный, размер S")</f>
      </c>
      <c r="C8338" s="4" t="n">
        <v>2244.00</v>
      </c>
      <c r="D8338" s="4"/>
    </row>
    <row collapsed="" customFormat="false" customHeight="1" hidden="" ht="14" outlineLevel="0" r="8339">
      <c r="A8339" s="3" t="inlineStr">
        <is>
          <t>8306</t>
        </is>
      </c>
      <c r="B8339" s="4" t="s">
        <f>=HYPERLINK("http://anyluxury.ru/shop/odezhda/zhilety/zhilet-factor-bw-cherniy-03822312/" , "03822312 Жилет Factor BW, черный, размер M")</f>
      </c>
      <c r="C8339" s="4" t="n">
        <v>2244.00</v>
      </c>
      <c r="D8339" s="4"/>
    </row>
    <row collapsed="" customFormat="false" customHeight="1" hidden="" ht="14" outlineLevel="0" r="8340">
      <c r="A8340" s="3" t="inlineStr">
        <is>
          <t>8307</t>
        </is>
      </c>
      <c r="B8340" s="4" t="s">
        <f>=HYPERLINK("http://anyluxury.ru/shop/odezhda/zhilety/zhilet-factor-bw-cherniy-03822312/" , "03822312 Жилет Factor BW, черный, размер L")</f>
      </c>
      <c r="C8340" s="4" t="n">
        <v>2244.00</v>
      </c>
      <c r="D8340" s="4"/>
    </row>
    <row collapsed="" customFormat="false" customHeight="1" hidden="" ht="14" outlineLevel="0" r="8341">
      <c r="A8341" s="3" t="inlineStr">
        <is>
          <t>8308</t>
        </is>
      </c>
      <c r="B8341" s="4" t="s">
        <f>=HYPERLINK("http://anyluxury.ru/shop/odezhda/zhilety/zhilet-factor-bw-cherniy-03822312/" , "03822312 Жилет Factor BW, черный, размер XL")</f>
      </c>
      <c r="C8341" s="4" t="n">
        <v>2244.00</v>
      </c>
      <c r="D8341" s="4"/>
    </row>
    <row collapsed="" customFormat="false" customHeight="1" hidden="" ht="14" outlineLevel="0" r="8342">
      <c r="A8342" s="3" t="inlineStr">
        <is>
          <t>8309</t>
        </is>
      </c>
      <c r="B8342" s="4" t="s">
        <f>=HYPERLINK("http://anyluxury.ru/shop/odezhda/zhilety/zhilet-factor-bw-cherniy-03822312/" , "03822312 Жилет Factor BW, черный, размер XXL")</f>
      </c>
      <c r="C8342" s="4" t="n">
        <v>2244.00</v>
      </c>
      <c r="D8342" s="4"/>
    </row>
    <row collapsed="" customFormat="false" customHeight="1" hidden="" ht="14" outlineLevel="0" r="8343">
      <c r="A8343" s="3" t="inlineStr">
        <is>
          <t>8310</t>
        </is>
      </c>
      <c r="B8343" s="4" t="s">
        <f>=HYPERLINK("http://anyluxury.ru/shop/odezhda/zhilety/zhilet-factor-bw-cherniy-03822312/" , "03822312 Жилет Factor BW, черный, размер 3XL")</f>
      </c>
      <c r="C8343" s="4" t="n">
        <v>2528.00</v>
      </c>
      <c r="D8343" s="4"/>
    </row>
    <row collapsed="" customFormat="false" customHeight="1" hidden="" ht="14" outlineLevel="0" r="8344">
      <c r="A8344" s="3" t="inlineStr">
        <is>
          <t>8311</t>
        </is>
      </c>
      <c r="B8344" s="4" t="s">
        <f>=HYPERLINK("http://anyluxury.ru/shop/odezhda/zhilety/zhilet-factor-bw-cherniy-03822312/" , "03822312 Жилет Factor BW, черный, размер 4XL")</f>
      </c>
      <c r="C8344" s="4" t="n">
        <v>2743.00</v>
      </c>
      <c r="D8344" s="4"/>
    </row>
    <row collapsed="" customFormat="false" customHeight="1" hidden="" ht="14" outlineLevel="0" r="8345">
      <c r="A8345" s="3" t="inlineStr">
        <is>
          <t>8312</t>
        </is>
      </c>
      <c r="B8345" s="4" t="s">
        <f>=HYPERLINK("http://anyluxury.ru/shop/odezhda/zhilety/zhilet-factor-bw-cherniy-03822312/" , "03822312 Жилет Factor BW, черный, размер 5XL")</f>
      </c>
      <c r="C8345" s="4" t="n">
        <v>2743.00</v>
      </c>
      <c r="D8345" s="4"/>
    </row>
    <row collapsed="" customFormat="false" customHeight="1" hidden="" ht="14" outlineLevel="0" r="8346">
      <c r="A8346" s="3" t="inlineStr">
        <is>
          <t>8313</t>
        </is>
      </c>
      <c r="B8346" s="4" t="s">
        <f>=HYPERLINK("http://anyluxury.ru/shop/odezhda/zhilety/zhilet-factor-bw-temnoseriy-03822370/" , "03822370 Жилет Factor BW, темно-серый, размер XS")</f>
      </c>
      <c r="C8346" s="4" t="n">
        <v>2244.00</v>
      </c>
      <c r="D8346" s="4"/>
    </row>
    <row collapsed="" customFormat="false" customHeight="1" hidden="" ht="14" outlineLevel="0" r="8347">
      <c r="A8347" s="3" t="inlineStr">
        <is>
          <t>8314</t>
        </is>
      </c>
      <c r="B8347" s="4" t="s">
        <f>=HYPERLINK("http://anyluxury.ru/shop/odezhda/zhilety/zhilet-factor-bw-temnoseriy-03822370/" , "03822370 Жилет Factor BW, темно-серый, размер S")</f>
      </c>
      <c r="C8347" s="4" t="n">
        <v>2244.00</v>
      </c>
      <c r="D8347" s="4"/>
    </row>
    <row collapsed="" customFormat="false" customHeight="1" hidden="" ht="14" outlineLevel="0" r="8348">
      <c r="A8348" s="3" t="inlineStr">
        <is>
          <t>8315</t>
        </is>
      </c>
      <c r="B8348" s="4" t="s">
        <f>=HYPERLINK("http://anyluxury.ru/shop/odezhda/zhilety/zhilet-factor-bw-temnoseriy-03822370/" , "03822370 Жилет Factor BW, темно-серый, размер M")</f>
      </c>
      <c r="C8348" s="4" t="n">
        <v>2244.00</v>
      </c>
      <c r="D8348" s="4"/>
    </row>
    <row collapsed="" customFormat="false" customHeight="1" hidden="" ht="14" outlineLevel="0" r="8349">
      <c r="A8349" s="3" t="inlineStr">
        <is>
          <t>8316</t>
        </is>
      </c>
      <c r="B8349" s="4" t="s">
        <f>=HYPERLINK("http://anyluxury.ru/shop/odezhda/zhilety/zhilet-factor-bw-temnoseriy-03822370/" , "03822370 Жилет Factor BW, темно-серый, размер L")</f>
      </c>
      <c r="C8349" s="4" t="n">
        <v>2244.00</v>
      </c>
      <c r="D8349" s="4"/>
    </row>
    <row collapsed="" customFormat="false" customHeight="1" hidden="" ht="14" outlineLevel="0" r="8350">
      <c r="A8350" s="3" t="inlineStr">
        <is>
          <t>8317</t>
        </is>
      </c>
      <c r="B8350" s="4" t="s">
        <f>=HYPERLINK("http://anyluxury.ru/shop/odezhda/zhilety/zhilet-factor-bw-temnoseriy-03822370/" , "03822370 Жилет Factor BW, темно-серый, размер XL")</f>
      </c>
      <c r="C8350" s="4" t="n">
        <v>2244.00</v>
      </c>
      <c r="D8350" s="4"/>
    </row>
    <row collapsed="" customFormat="false" customHeight="1" hidden="" ht="14" outlineLevel="0" r="8351">
      <c r="A8351" s="3" t="inlineStr">
        <is>
          <t>8318</t>
        </is>
      </c>
      <c r="B8351" s="4" t="s">
        <f>=HYPERLINK("http://anyluxury.ru/shop/odezhda/zhilety/zhilet-factor-bw-temnoseriy-03822370/" , "03822370 Жилет Factor BW, темно-серый, размер XXL")</f>
      </c>
      <c r="C8351" s="4" t="n">
        <v>2244.00</v>
      </c>
      <c r="D8351" s="4"/>
    </row>
    <row collapsed="" customFormat="false" customHeight="1" hidden="" ht="14" outlineLevel="0" r="8352">
      <c r="A8352" s="3" t="inlineStr">
        <is>
          <t>8319</t>
        </is>
      </c>
      <c r="B8352" s="4" t="s">
        <f>=HYPERLINK("http://anyluxury.ru/shop/odezhda/zhilety/zhilet-factor-bw-temnoseriy-03822370/" , "03822370 Жилет Factor BW, темно-серый, размер 3XL")</f>
      </c>
      <c r="C8352" s="4" t="n">
        <v>2528.00</v>
      </c>
      <c r="D8352" s="4"/>
    </row>
    <row collapsed="" customFormat="false" customHeight="1" hidden="" ht="14" outlineLevel="0" r="8353">
      <c r="A8353" s="3" t="inlineStr">
        <is>
          <t>8320</t>
        </is>
      </c>
      <c r="B8353" s="4" t="s">
        <f>=HYPERLINK("http://anyluxury.ru/shop/odezhda/zhilety/zhilet-factor-bw-temnoseriy-03822370/" , "03822370 Жилет Factor BW, темно-серый, размер 4XL")</f>
      </c>
      <c r="C8353" s="4" t="n">
        <v>2743.00</v>
      </c>
      <c r="D8353" s="4"/>
    </row>
    <row collapsed="" customFormat="false" customHeight="1" hidden="" ht="14" outlineLevel="0" r="8354">
      <c r="A8354" s="3" t="inlineStr">
        <is>
          <t>8321</t>
        </is>
      </c>
      <c r="B8354" s="4" t="s">
        <f>=HYPERLINK("http://anyluxury.ru/shop/odezhda/zhilety/zhilet-factor-bw-temnoseriy-03822370/" , "03822370 Жилет Factor BW, темно-серый, размер 5XL")</f>
      </c>
      <c r="C8354" s="4" t="n">
        <v>2743.00</v>
      </c>
      <c r="D8354" s="4"/>
    </row>
    <row collapsed="" customFormat="false" customHeight="1" hidden="" ht="14" outlineLevel="0" r="8355">
      <c r="A8355" s="3" t="inlineStr">
        <is>
          <t>8322</t>
        </is>
      </c>
      <c r="B8355" s="4" t="s">
        <f>=HYPERLINK("http://anyluxury.ru/shop/odezhda/zhilety/zhilet-factor-bw-temnozeleniy-03822266/" , "03822266 Жилет Factor BW, темно-зеленый, размер XS")</f>
      </c>
      <c r="C8355" s="4" t="n">
        <v>2244.00</v>
      </c>
      <c r="D8355" s="4"/>
    </row>
    <row collapsed="" customFormat="false" customHeight="1" hidden="" ht="14" outlineLevel="0" r="8356">
      <c r="A8356" s="3" t="inlineStr">
        <is>
          <t>8323</t>
        </is>
      </c>
      <c r="B8356" s="4" t="s">
        <f>=HYPERLINK("http://anyluxury.ru/shop/odezhda/zhilety/zhilet-factor-bw-temnozeleniy-03822266/" , "03822266 Жилет Factor BW, темно-зеленый, размер S")</f>
      </c>
      <c r="C8356" s="4" t="n">
        <v>2244.00</v>
      </c>
      <c r="D8356" s="4"/>
    </row>
    <row collapsed="" customFormat="false" customHeight="1" hidden="" ht="14" outlineLevel="0" r="8357">
      <c r="A8357" s="3" t="inlineStr">
        <is>
          <t>8324</t>
        </is>
      </c>
      <c r="B8357" s="4" t="s">
        <f>=HYPERLINK("http://anyluxury.ru/shop/odezhda/zhilety/zhilet-factor-bw-temnozeleniy-03822266/" , "03822266 Жилет Factor BW, темно-зеленый, размер M")</f>
      </c>
      <c r="C8357" s="4" t="n">
        <v>2244.00</v>
      </c>
      <c r="D8357" s="4"/>
    </row>
    <row collapsed="" customFormat="false" customHeight="1" hidden="" ht="14" outlineLevel="0" r="8358">
      <c r="A8358" s="3" t="inlineStr">
        <is>
          <t>8325</t>
        </is>
      </c>
      <c r="B8358" s="4" t="s">
        <f>=HYPERLINK("http://anyluxury.ru/shop/odezhda/zhilety/zhilet-factor-bw-temnozeleniy-03822266/" , "03822266 Жилет Factor BW, темно-зеленый, размер L")</f>
      </c>
      <c r="C8358" s="4" t="n">
        <v>2244.00</v>
      </c>
      <c r="D8358" s="4"/>
    </row>
    <row collapsed="" customFormat="false" customHeight="1" hidden="" ht="14" outlineLevel="0" r="8359">
      <c r="A8359" s="3" t="inlineStr">
        <is>
          <t>8326</t>
        </is>
      </c>
      <c r="B8359" s="4" t="s">
        <f>=HYPERLINK("http://anyluxury.ru/shop/odezhda/zhilety/zhilet-factor-bw-temnozeleniy-03822266/" , "03822266 Жилет Factor BW, темно-зеленый, размер XL")</f>
      </c>
      <c r="C8359" s="4" t="n">
        <v>2244.00</v>
      </c>
      <c r="D8359" s="4"/>
    </row>
    <row collapsed="" customFormat="false" customHeight="1" hidden="" ht="14" outlineLevel="0" r="8360">
      <c r="A8360" s="3" t="inlineStr">
        <is>
          <t>8327</t>
        </is>
      </c>
      <c r="B8360" s="4" t="s">
        <f>=HYPERLINK("http://anyluxury.ru/shop/odezhda/zhilety/zhilet-factor-bw-temnozeleniy-03822266/" , "03822266 Жилет Factor BW, темно-зеленый, размер XXL")</f>
      </c>
      <c r="C8360" s="4" t="n">
        <v>2244.00</v>
      </c>
      <c r="D8360" s="4"/>
    </row>
    <row collapsed="" customFormat="false" customHeight="1" hidden="" ht="14" outlineLevel="0" r="8361">
      <c r="A8361" s="3" t="inlineStr">
        <is>
          <t>8328</t>
        </is>
      </c>
      <c r="B8361" s="4" t="s">
        <f>=HYPERLINK("http://anyluxury.ru/shop/odezhda/zhilety/zhilet-factor-bw-temnozeleniy-03822266/" , "03822266 Жилет Factor BW, темно-зеленый, размер 3XL")</f>
      </c>
      <c r="C8361" s="4" t="n">
        <v>2528.00</v>
      </c>
      <c r="D8361" s="4"/>
    </row>
    <row collapsed="" customFormat="false" customHeight="1" hidden="" ht="14" outlineLevel="0" r="8362">
      <c r="A8362" s="3" t="inlineStr">
        <is>
          <t>8329</t>
        </is>
      </c>
      <c r="B8362" s="4" t="s">
        <f>=HYPERLINK("http://anyluxury.ru/shop/odezhda/zhilety/zhilet-factor-bw-temnozeleniy-03822266/" , "03822266 Жилет Factor BW, темно-зеленый, размер 4XL")</f>
      </c>
      <c r="C8362" s="4" t="n">
        <v>2743.00</v>
      </c>
      <c r="D8362" s="4"/>
    </row>
    <row collapsed="" customFormat="false" customHeight="1" hidden="" ht="14" outlineLevel="0" r="8363">
      <c r="A8363" s="3" t="inlineStr">
        <is>
          <t>8330</t>
        </is>
      </c>
      <c r="B8363" s="4" t="s">
        <f>=HYPERLINK("http://anyluxury.ru/shop/odezhda/zhilety/zhilet-factor-bw-temnozeleniy-03822266/" , "03822266 Жилет Factor BW, темно-зеленый, размер 5XL")</f>
      </c>
      <c r="C8363" s="4" t="n">
        <v>2743.00</v>
      </c>
      <c r="D8363" s="4"/>
    </row>
    <row collapsed="" customFormat="false" customHeight="1" hidden="" ht="14" outlineLevel="0" r="8364">
      <c r="A8364" s="3" t="inlineStr">
        <is>
          <t>8331</t>
        </is>
      </c>
      <c r="B8364" s="4" t="s">
        <f>=HYPERLINK("http://anyluxury.ru/shop/odezhda/zhilety/zhilet-factor-bw-temnosiniy-03822318/" , "03822318 Жилет Factor BW, темно-синий, размер XS")</f>
      </c>
      <c r="C8364" s="4" t="n">
        <v>2244.00</v>
      </c>
      <c r="D8364" s="4"/>
    </row>
    <row collapsed="" customFormat="false" customHeight="1" hidden="" ht="14" outlineLevel="0" r="8365">
      <c r="A8365" s="3" t="inlineStr">
        <is>
          <t>8332</t>
        </is>
      </c>
      <c r="B8365" s="4" t="s">
        <f>=HYPERLINK("http://anyluxury.ru/shop/odezhda/zhilety/zhilet-factor-bw-temnosiniy-03822318/" , "03822318 Жилет Factor BW, темно-синий, размер S")</f>
      </c>
      <c r="C8365" s="4" t="n">
        <v>2244.00</v>
      </c>
      <c r="D8365" s="4"/>
    </row>
    <row collapsed="" customFormat="false" customHeight="1" hidden="" ht="14" outlineLevel="0" r="8366">
      <c r="A8366" s="3" t="inlineStr">
        <is>
          <t>8333</t>
        </is>
      </c>
      <c r="B8366" s="4" t="s">
        <f>=HYPERLINK("http://anyluxury.ru/shop/odezhda/zhilety/zhilet-factor-bw-temnosiniy-03822318/" , "03822318 Жилет Factor BW, темно-синий, размер M")</f>
      </c>
      <c r="C8366" s="4" t="n">
        <v>2244.00</v>
      </c>
      <c r="D8366" s="4"/>
    </row>
    <row collapsed="" customFormat="false" customHeight="1" hidden="" ht="14" outlineLevel="0" r="8367">
      <c r="A8367" s="3" t="inlineStr">
        <is>
          <t>8334</t>
        </is>
      </c>
      <c r="B8367" s="4" t="s">
        <f>=HYPERLINK("http://anyluxury.ru/shop/odezhda/zhilety/zhilet-factor-bw-temnosiniy-03822318/" , "03822318 Жилет Factor BW, темно-синий, размер L")</f>
      </c>
      <c r="C8367" s="4" t="n">
        <v>2244.00</v>
      </c>
      <c r="D8367" s="4"/>
    </row>
    <row collapsed="" customFormat="false" customHeight="1" hidden="" ht="14" outlineLevel="0" r="8368">
      <c r="A8368" s="3" t="inlineStr">
        <is>
          <t>8335</t>
        </is>
      </c>
      <c r="B8368" s="4" t="s">
        <f>=HYPERLINK("http://anyluxury.ru/shop/odezhda/zhilety/zhilet-factor-bw-temnosiniy-03822318/" , "03822318 Жилет Factor BW, темно-синий, размер XL")</f>
      </c>
      <c r="C8368" s="4" t="n">
        <v>2244.00</v>
      </c>
      <c r="D8368" s="4"/>
    </row>
    <row collapsed="" customFormat="false" customHeight="1" hidden="" ht="14" outlineLevel="0" r="8369">
      <c r="A8369" s="3" t="inlineStr">
        <is>
          <t>8336</t>
        </is>
      </c>
      <c r="B8369" s="4" t="s">
        <f>=HYPERLINK("http://anyluxury.ru/shop/odezhda/zhilety/zhilet-factor-bw-temnosiniy-03822318/" , "03822318 Жилет Factor BW, темно-синий, размер XXL")</f>
      </c>
      <c r="C8369" s="4" t="n">
        <v>2244.00</v>
      </c>
      <c r="D8369" s="4"/>
    </row>
    <row collapsed="" customFormat="false" customHeight="1" hidden="" ht="14" outlineLevel="0" r="8370">
      <c r="A8370" s="3" t="inlineStr">
        <is>
          <t>8337</t>
        </is>
      </c>
      <c r="B8370" s="4" t="s">
        <f>=HYPERLINK("http://anyluxury.ru/shop/odezhda/zhilety/zhilet-factor-bw-temnosiniy-03822318/" , "03822318 Жилет Factor BW, темно-синий, размер 3XL")</f>
      </c>
      <c r="C8370" s="4" t="n">
        <v>2528.00</v>
      </c>
      <c r="D8370" s="4"/>
    </row>
    <row collapsed="" customFormat="false" customHeight="1" hidden="" ht="14" outlineLevel="0" r="8371">
      <c r="A8371" s="3" t="inlineStr">
        <is>
          <t>8338</t>
        </is>
      </c>
      <c r="B8371" s="4" t="s">
        <f>=HYPERLINK("http://anyluxury.ru/shop/odezhda/zhilety/zhilet-factor-bw-temnosiniy-03822318/" , "03822318 Жилет Factor BW, темно-синий, размер 4XL")</f>
      </c>
      <c r="C8371" s="4" t="n">
        <v>2743.00</v>
      </c>
      <c r="D8371" s="4"/>
    </row>
    <row collapsed="" customFormat="false" customHeight="1" hidden="" ht="14" outlineLevel="0" r="8372">
      <c r="A8372" s="3" t="inlineStr">
        <is>
          <t>8339</t>
        </is>
      </c>
      <c r="B8372" s="4" t="s">
        <f>=HYPERLINK("http://anyluxury.ru/shop/odezhda/zhilety/zhilet-factor-bw-temnosiniy-03822318/" , "03822318 Жилет Factor BW, темно-синий, размер 5XL")</f>
      </c>
      <c r="C8372" s="4" t="n">
        <v>2743.00</v>
      </c>
      <c r="D8372" s="4"/>
    </row>
    <row collapsed="" customFormat="false" customHeight="1" hidden="" ht="14" outlineLevel="0" r="8373">
      <c r="A8373" s="3" t="inlineStr">
        <is>
          <t>8340</t>
        </is>
      </c>
      <c r="B8373" s="4" t="s">
        <f>=HYPERLINK("http://anyluxury.ru/shop/odezhda/zhilety/zhilet-factor-bw-oranzheviy-03822400/" , "03822400 Жилет Factor BW, оранжевый, размер XS")</f>
      </c>
      <c r="C8373" s="4" t="n">
        <v>2244.00</v>
      </c>
      <c r="D8373" s="4"/>
    </row>
    <row collapsed="" customFormat="false" customHeight="1" hidden="" ht="14" outlineLevel="0" r="8374">
      <c r="A8374" s="3" t="inlineStr">
        <is>
          <t>8341</t>
        </is>
      </c>
      <c r="B8374" s="4" t="s">
        <f>=HYPERLINK("http://anyluxury.ru/shop/odezhda/zhilety/zhilet-factor-bw-oranzheviy-03822400/" , "03822400 Жилет Factor BW, оранжевый, размер S")</f>
      </c>
      <c r="C8374" s="4" t="n">
        <v>2244.00</v>
      </c>
      <c r="D8374" s="4"/>
    </row>
    <row collapsed="" customFormat="false" customHeight="1" hidden="" ht="14" outlineLevel="0" r="8375">
      <c r="A8375" s="3" t="inlineStr">
        <is>
          <t>8342</t>
        </is>
      </c>
      <c r="B8375" s="4" t="s">
        <f>=HYPERLINK("http://anyluxury.ru/shop/odezhda/zhilety/zhilet-factor-bw-oranzheviy-03822400/" , "03822400 Жилет Factor BW, оранжевый, размер M")</f>
      </c>
      <c r="C8375" s="4" t="n">
        <v>2244.00</v>
      </c>
      <c r="D8375" s="4"/>
    </row>
    <row collapsed="" customFormat="false" customHeight="1" hidden="" ht="14" outlineLevel="0" r="8376">
      <c r="A8376" s="3" t="inlineStr">
        <is>
          <t>8343</t>
        </is>
      </c>
      <c r="B8376" s="4" t="s">
        <f>=HYPERLINK("http://anyluxury.ru/shop/odezhda/zhilety/zhilet-factor-bw-oranzheviy-03822400/" , "03822400 Жилет Factor BW, оранжевый, размер L")</f>
      </c>
      <c r="C8376" s="4" t="n">
        <v>2244.00</v>
      </c>
      <c r="D8376" s="4"/>
    </row>
    <row collapsed="" customFormat="false" customHeight="1" hidden="" ht="14" outlineLevel="0" r="8377">
      <c r="A8377" s="3" t="inlineStr">
        <is>
          <t>8344</t>
        </is>
      </c>
      <c r="B8377" s="4" t="s">
        <f>=HYPERLINK("http://anyluxury.ru/shop/odezhda/zhilety/zhilet-factor-bw-oranzheviy-03822400/" , "03822400 Жилет Factor BW, оранжевый, размер XL")</f>
      </c>
      <c r="C8377" s="4" t="n">
        <v>2244.00</v>
      </c>
      <c r="D8377" s="4"/>
    </row>
    <row collapsed="" customFormat="false" customHeight="1" hidden="" ht="14" outlineLevel="0" r="8378">
      <c r="A8378" s="3" t="inlineStr">
        <is>
          <t>8345</t>
        </is>
      </c>
      <c r="B8378" s="4" t="s">
        <f>=HYPERLINK("http://anyluxury.ru/shop/odezhda/zhilety/zhilet-factor-bw-oranzheviy-03822400/" , "03822400 Жилет Factor BW, оранжевый, размер XXL")</f>
      </c>
      <c r="C8378" s="4" t="n">
        <v>2244.00</v>
      </c>
      <c r="D8378" s="4"/>
    </row>
    <row collapsed="" customFormat="false" customHeight="1" hidden="" ht="14" outlineLevel="0" r="8379">
      <c r="A8379" s="3" t="inlineStr">
        <is>
          <t>8346</t>
        </is>
      </c>
      <c r="B8379" s="4" t="s">
        <f>=HYPERLINK("http://anyluxury.ru/shop/odezhda/zhilety/zhilet-factor-bw-oranzheviy-03822400/" , "03822400 Жилет Factor BW, оранжевый, размер 3XL")</f>
      </c>
      <c r="C8379" s="4" t="n">
        <v>2528.00</v>
      </c>
      <c r="D8379" s="4"/>
    </row>
    <row collapsed="" customFormat="false" customHeight="1" hidden="" ht="14" outlineLevel="0" r="8380">
      <c r="A8380" s="3" t="inlineStr">
        <is>
          <t>8347</t>
        </is>
      </c>
      <c r="B8380" s="4" t="s">
        <f>=HYPERLINK("http://anyluxury.ru/shop/odezhda/zhilety/zhilet-factor-bw-oranzheviy-03822400/" , "03822400 Жилет Factor BW, оранжевый, размер 4XL")</f>
      </c>
      <c r="C8380" s="4" t="n">
        <v>2743.00</v>
      </c>
      <c r="D8380" s="4"/>
    </row>
    <row collapsed="" customFormat="false" customHeight="1" hidden="" ht="14" outlineLevel="0" r="8381">
      <c r="A8381" s="3" t="inlineStr">
        <is>
          <t>8348</t>
        </is>
      </c>
      <c r="B8381" s="4" t="s">
        <f>=HYPERLINK("http://anyluxury.ru/shop/odezhda/zhilety/zhilet-factor-bw-oranzheviy-03822400/" , "03822400 Жилет Factor BW, оранжевый, размер 5XL")</f>
      </c>
      <c r="C8381" s="4" t="n">
        <v>2743.00</v>
      </c>
      <c r="D8381" s="4"/>
    </row>
    <row collapsed="" customFormat="false" customHeight="1" hidden="" ht="14" outlineLevel="0" r="8382">
      <c r="A8382" s="3" t="inlineStr">
        <is>
          <t>8349</t>
        </is>
      </c>
      <c r="B8382" s="4" t="s">
        <f>=HYPERLINK("http://anyluxury.ru/shop/odezhda/zhilety/zhilet-factor-bw-krasniy-03822145/" , "03822145 Жилет Factor BW, красный, размер XS")</f>
      </c>
      <c r="C8382" s="4" t="n">
        <v>2244.00</v>
      </c>
      <c r="D8382" s="4"/>
    </row>
    <row collapsed="" customFormat="false" customHeight="1" hidden="" ht="14" outlineLevel="0" r="8383">
      <c r="A8383" s="3" t="inlineStr">
        <is>
          <t>8350</t>
        </is>
      </c>
      <c r="B8383" s="4" t="s">
        <f>=HYPERLINK("http://anyluxury.ru/shop/odezhda/zhilety/zhilet-factor-bw-krasniy-03822145/" , "03822145 Жилет Factor BW, красный, размер S")</f>
      </c>
      <c r="C8383" s="4" t="n">
        <v>2244.00</v>
      </c>
      <c r="D8383" s="4"/>
    </row>
    <row collapsed="" customFormat="false" customHeight="1" hidden="" ht="14" outlineLevel="0" r="8384">
      <c r="A8384" s="3" t="inlineStr">
        <is>
          <t>8351</t>
        </is>
      </c>
      <c r="B8384" s="4" t="s">
        <f>=HYPERLINK("http://anyluxury.ru/shop/odezhda/zhilety/zhilet-factor-bw-krasniy-03822145/" , "03822145 Жилет Factor BW, красный, размер M")</f>
      </c>
      <c r="C8384" s="4" t="n">
        <v>2244.00</v>
      </c>
      <c r="D8384" s="4"/>
    </row>
    <row collapsed="" customFormat="false" customHeight="1" hidden="" ht="14" outlineLevel="0" r="8385">
      <c r="A8385" s="3" t="inlineStr">
        <is>
          <t>8352</t>
        </is>
      </c>
      <c r="B8385" s="4" t="s">
        <f>=HYPERLINK("http://anyluxury.ru/shop/odezhda/zhilety/zhilet-factor-bw-krasniy-03822145/" , "03822145 Жилет Factor BW, красный, размер L")</f>
      </c>
      <c r="C8385" s="4" t="n">
        <v>2244.00</v>
      </c>
      <c r="D8385" s="4"/>
    </row>
    <row collapsed="" customFormat="false" customHeight="1" hidden="" ht="14" outlineLevel="0" r="8386">
      <c r="A8386" s="3" t="inlineStr">
        <is>
          <t>8353</t>
        </is>
      </c>
      <c r="B8386" s="4" t="s">
        <f>=HYPERLINK("http://anyluxury.ru/shop/odezhda/zhilety/zhilet-factor-bw-krasniy-03822145/" , "03822145 Жилет Factor BW, красный, размер XL")</f>
      </c>
      <c r="C8386" s="4" t="n">
        <v>2244.00</v>
      </c>
      <c r="D8386" s="4"/>
    </row>
    <row collapsed="" customFormat="false" customHeight="1" hidden="" ht="14" outlineLevel="0" r="8387">
      <c r="A8387" s="3" t="inlineStr">
        <is>
          <t>8354</t>
        </is>
      </c>
      <c r="B8387" s="4" t="s">
        <f>=HYPERLINK("http://anyluxury.ru/shop/odezhda/zhilety/zhilet-factor-bw-krasniy-03822145/" , "03822145 Жилет Factor BW, красный, размер XXL")</f>
      </c>
      <c r="C8387" s="4" t="n">
        <v>2244.00</v>
      </c>
      <c r="D8387" s="4"/>
    </row>
    <row collapsed="" customFormat="false" customHeight="1" hidden="" ht="14" outlineLevel="0" r="8388">
      <c r="A8388" s="3" t="inlineStr">
        <is>
          <t>8355</t>
        </is>
      </c>
      <c r="B8388" s="4" t="s">
        <f>=HYPERLINK("http://anyluxury.ru/shop/odezhda/zhilety/zhilet-factor-bw-krasniy-03822145/" , "03822145 Жилет Factor BW, красный, размер 3XL")</f>
      </c>
      <c r="C8388" s="4" t="n">
        <v>2528.00</v>
      </c>
      <c r="D8388" s="4"/>
    </row>
    <row collapsed="" customFormat="false" customHeight="1" hidden="" ht="14" outlineLevel="0" r="8389">
      <c r="A8389" s="3" t="inlineStr">
        <is>
          <t>8356</t>
        </is>
      </c>
      <c r="B8389" s="4" t="s">
        <f>=HYPERLINK("http://anyluxury.ru/shop/odezhda/zhilety/zhilet-factor-bw-krasniy-03822145/" , "03822145 Жилет Factor BW, красный, размер 4XL")</f>
      </c>
      <c r="C8389" s="4" t="n">
        <v>2743.00</v>
      </c>
      <c r="D8389" s="4"/>
    </row>
    <row collapsed="" customFormat="false" customHeight="1" hidden="" ht="14" outlineLevel="0" r="8390">
      <c r="A8390" s="3" t="inlineStr">
        <is>
          <t>8357</t>
        </is>
      </c>
      <c r="B8390" s="4" t="s">
        <f>=HYPERLINK("http://anyluxury.ru/shop/odezhda/zhilety/zhilet-factor-bw-krasniy-03822145/" , "03822145 Жилет Factor BW, красный, размер 5XL")</f>
      </c>
      <c r="C8390" s="4" t="n">
        <v>2743.00</v>
      </c>
      <c r="D8390" s="4"/>
    </row>
    <row collapsed="" customFormat="false" customHeight="1" hidden="" ht="14" outlineLevel="0" r="8391">
      <c r="A8391" s="3" t="inlineStr">
        <is>
          <t>8358</t>
        </is>
      </c>
      <c r="B8391" s="4" t="s">
        <f>=HYPERLINK("http://anyluxury.ru/shop/odezhda/zhilety/zhilet-factor-bw-bezheviy-03822123/" , "03822123 Жилет Factor BW, бежевый, размер XS")</f>
      </c>
      <c r="C8391" s="4" t="n">
        <v>2244.00</v>
      </c>
      <c r="D8391" s="4"/>
    </row>
    <row collapsed="" customFormat="false" customHeight="1" hidden="" ht="14" outlineLevel="0" r="8392">
      <c r="A8392" s="3" t="inlineStr">
        <is>
          <t>8359</t>
        </is>
      </c>
      <c r="B8392" s="4" t="s">
        <f>=HYPERLINK("http://anyluxury.ru/shop/odezhda/zhilety/zhilet-factor-bw-bezheviy-03822123/" , "03822123 Жилет Factor BW, бежевый, размер S")</f>
      </c>
      <c r="C8392" s="4" t="n">
        <v>2244.00</v>
      </c>
      <c r="D8392" s="4"/>
    </row>
    <row collapsed="" customFormat="false" customHeight="1" hidden="" ht="14" outlineLevel="0" r="8393">
      <c r="A8393" s="3" t="inlineStr">
        <is>
          <t>8360</t>
        </is>
      </c>
      <c r="B8393" s="4" t="s">
        <f>=HYPERLINK("http://anyluxury.ru/shop/odezhda/zhilety/zhilet-factor-bw-bezheviy-03822123/" , "03822123 Жилет Factor BW, бежевый, размер M")</f>
      </c>
      <c r="C8393" s="4" t="n">
        <v>2244.00</v>
      </c>
      <c r="D8393" s="4"/>
    </row>
    <row collapsed="" customFormat="false" customHeight="1" hidden="" ht="14" outlineLevel="0" r="8394">
      <c r="A8394" s="3" t="inlineStr">
        <is>
          <t>8361</t>
        </is>
      </c>
      <c r="B8394" s="4" t="s">
        <f>=HYPERLINK("http://anyluxury.ru/shop/odezhda/zhilety/zhilet-factor-bw-bezheviy-03822123/" , "03822123 Жилет Factor BW, бежевый, размер L")</f>
      </c>
      <c r="C8394" s="4" t="n">
        <v>2244.00</v>
      </c>
      <c r="D8394" s="4"/>
    </row>
    <row collapsed="" customFormat="false" customHeight="1" hidden="" ht="14" outlineLevel="0" r="8395">
      <c r="A8395" s="3" t="inlineStr">
        <is>
          <t>8362</t>
        </is>
      </c>
      <c r="B8395" s="4" t="s">
        <f>=HYPERLINK("http://anyluxury.ru/shop/odezhda/zhilety/zhilet-factor-bw-bezheviy-03822123/" , "03822123 Жилет Factor BW, бежевый, размер XL")</f>
      </c>
      <c r="C8395" s="4" t="n">
        <v>2244.00</v>
      </c>
      <c r="D8395" s="4"/>
    </row>
    <row collapsed="" customFormat="false" customHeight="1" hidden="" ht="14" outlineLevel="0" r="8396">
      <c r="A8396" s="3" t="inlineStr">
        <is>
          <t>8363</t>
        </is>
      </c>
      <c r="B8396" s="4" t="s">
        <f>=HYPERLINK("http://anyluxury.ru/shop/odezhda/zhilety/zhilet-factor-bw-bezheviy-03822123/" , "03822123 Жилет Factor BW, бежевый, размер XXL")</f>
      </c>
      <c r="C8396" s="4" t="n">
        <v>2244.00</v>
      </c>
      <c r="D8396" s="4"/>
    </row>
    <row collapsed="" customFormat="false" customHeight="1" hidden="" ht="14" outlineLevel="0" r="8397">
      <c r="A8397" s="3" t="inlineStr">
        <is>
          <t>8364</t>
        </is>
      </c>
      <c r="B8397" s="4" t="s">
        <f>=HYPERLINK("http://anyluxury.ru/shop/odezhda/zhilety/zhilet-factor-bw-bezheviy-03822123/" , "03822123 Жилет Factor BW, бежевый, размер 3XL")</f>
      </c>
      <c r="C8397" s="4" t="n">
        <v>2528.00</v>
      </c>
      <c r="D8397" s="4"/>
    </row>
    <row collapsed="" customFormat="false" customHeight="1" hidden="" ht="14" outlineLevel="0" r="8398">
      <c r="A8398" s="3" t="inlineStr">
        <is>
          <t>8365</t>
        </is>
      </c>
      <c r="B8398" s="4" t="s">
        <f>=HYPERLINK("http://anyluxury.ru/shop/odezhda/zhilety/zhilet-factor-bw-bezheviy-03822123/" , "03822123 Жилет Factor BW, бежевый, размер 4XL")</f>
      </c>
      <c r="C8398" s="4" t="n">
        <v>2743.00</v>
      </c>
      <c r="D8398" s="4"/>
    </row>
    <row collapsed="" customFormat="false" customHeight="1" hidden="" ht="14" outlineLevel="0" r="8399">
      <c r="A8399" s="3" t="inlineStr">
        <is>
          <t>8366</t>
        </is>
      </c>
      <c r="B8399" s="4" t="s">
        <f>=HYPERLINK("http://anyluxury.ru/shop/odezhda/zhilety/zhilet-factor-bw-bezheviy-03822123/" , "03822123 Жилет Factor BW, бежевый, размер 5XL")</f>
      </c>
      <c r="C8399" s="4" t="n">
        <v>2743.00</v>
      </c>
      <c r="D8399" s="4"/>
    </row>
    <row collapsed="" customFormat="false" customHeight="1" hidden="" ht="14" outlineLevel="0" r="8400">
      <c r="A8400" s="3" t="inlineStr">
        <is>
          <t>8367</t>
        </is>
      </c>
      <c r="B8400" s="4" t="s">
        <f>=HYPERLINK("http://anyluxury.ru/shop/odezhda/zhilety/zhilet-factor-bw-yarkosiniy-03822241/" , "03822241 Жилет Factor BW, ярко-синий, размер XS")</f>
      </c>
      <c r="C8400" s="4" t="n">
        <v>2244.00</v>
      </c>
      <c r="D8400" s="4"/>
    </row>
    <row collapsed="" customFormat="false" customHeight="1" hidden="" ht="14" outlineLevel="0" r="8401">
      <c r="A8401" s="3" t="inlineStr">
        <is>
          <t>8368</t>
        </is>
      </c>
      <c r="B8401" s="4" t="s">
        <f>=HYPERLINK("http://anyluxury.ru/shop/odezhda/zhilety/zhilet-factor-bw-yarkosiniy-03822241/" , "03822241 Жилет Factor BW, ярко-синий, размер S")</f>
      </c>
      <c r="C8401" s="4" t="n">
        <v>2244.00</v>
      </c>
      <c r="D8401" s="4"/>
    </row>
    <row collapsed="" customFormat="false" customHeight="1" hidden="" ht="14" outlineLevel="0" r="8402">
      <c r="A8402" s="3" t="inlineStr">
        <is>
          <t>8369</t>
        </is>
      </c>
      <c r="B8402" s="4" t="s">
        <f>=HYPERLINK("http://anyluxury.ru/shop/odezhda/zhilety/zhilet-factor-bw-yarkosiniy-03822241/" , "03822241 Жилет Factor BW, ярко-синий, размер M")</f>
      </c>
      <c r="C8402" s="4" t="n">
        <v>2244.00</v>
      </c>
      <c r="D8402" s="4"/>
    </row>
    <row collapsed="" customFormat="false" customHeight="1" hidden="" ht="14" outlineLevel="0" r="8403">
      <c r="A8403" s="3" t="inlineStr">
        <is>
          <t>8370</t>
        </is>
      </c>
      <c r="B8403" s="4" t="s">
        <f>=HYPERLINK("http://anyluxury.ru/shop/odezhda/zhilety/zhilet-factor-bw-yarkosiniy-03822241/" , "03822241 Жилет Factor BW, ярко-синий, размер L")</f>
      </c>
      <c r="C8403" s="4" t="n">
        <v>2244.00</v>
      </c>
      <c r="D8403" s="4"/>
    </row>
    <row collapsed="" customFormat="false" customHeight="1" hidden="" ht="14" outlineLevel="0" r="8404">
      <c r="A8404" s="3" t="inlineStr">
        <is>
          <t>8371</t>
        </is>
      </c>
      <c r="B8404" s="4" t="s">
        <f>=HYPERLINK("http://anyluxury.ru/shop/odezhda/zhilety/zhilet-factor-bw-yarkosiniy-03822241/" , "03822241 Жилет Factor BW, ярко-синий, размер XL")</f>
      </c>
      <c r="C8404" s="4" t="n">
        <v>2244.00</v>
      </c>
      <c r="D8404" s="4"/>
    </row>
    <row collapsed="" customFormat="false" customHeight="1" hidden="" ht="14" outlineLevel="0" r="8405">
      <c r="A8405" s="3" t="inlineStr">
        <is>
          <t>8372</t>
        </is>
      </c>
      <c r="B8405" s="4" t="s">
        <f>=HYPERLINK("http://anyluxury.ru/shop/odezhda/zhilety/zhilet-factor-bw-yarkosiniy-03822241/" , "03822241 Жилет Factor BW, ярко-синий, размер XXL")</f>
      </c>
      <c r="C8405" s="4" t="n">
        <v>2244.00</v>
      </c>
      <c r="D8405" s="4"/>
    </row>
    <row collapsed="" customFormat="false" customHeight="1" hidden="" ht="14" outlineLevel="0" r="8406">
      <c r="A8406" s="3" t="inlineStr">
        <is>
          <t>8373</t>
        </is>
      </c>
      <c r="B8406" s="4" t="s">
        <f>=HYPERLINK("http://anyluxury.ru/shop/odezhda/zhilety/zhilet-factor-bw-yarkosiniy-03822241/" , "03822241 Жилет Factor BW, ярко-синий, размер 3XL")</f>
      </c>
      <c r="C8406" s="4" t="n">
        <v>2528.00</v>
      </c>
      <c r="D8406" s="4"/>
    </row>
    <row collapsed="" customFormat="false" customHeight="1" hidden="" ht="14" outlineLevel="0" r="8407">
      <c r="A8407" s="3" t="inlineStr">
        <is>
          <t>8374</t>
        </is>
      </c>
      <c r="B8407" s="4" t="s">
        <f>=HYPERLINK("http://anyluxury.ru/shop/odezhda/zhilety/zhilet-factor-bw-yarkosiniy-03822241/" , "03822241 Жилет Factor BW, ярко-синий, размер 4XL")</f>
      </c>
      <c r="C8407" s="4" t="n">
        <v>2743.00</v>
      </c>
      <c r="D8407" s="4"/>
    </row>
    <row collapsed="" customFormat="false" customHeight="1" hidden="" ht="14" outlineLevel="0" r="8408">
      <c r="A8408" s="3" t="inlineStr">
        <is>
          <t>8375</t>
        </is>
      </c>
      <c r="B8408" s="4" t="s">
        <f>=HYPERLINK("http://anyluxury.ru/shop/odezhda/zhilety/zhilet-factor-bw-yarkosiniy-03822241/" , "03822241 Жилет Factor BW, ярко-синий, размер 5XL")</f>
      </c>
      <c r="C8408" s="4" t="n">
        <v>2743.00</v>
      </c>
      <c r="D8408" s="4"/>
    </row>
    <row collapsed="" customFormat="false" customHeight="1" hidden="" ht="14" outlineLevel="0" r="8409">
      <c r="A8409" s="3" t="inlineStr">
        <is>
          <t>8376</t>
        </is>
      </c>
      <c r="B8409" s="4" t="s">
        <f>=HYPERLINK("http://anyluxury.ru/shop/odezhda/zhilety/zhilet-falcon-bw-men-siniy-03825232/" , "03825232 Жилет Falcon BW Men, синий, размер S")</f>
      </c>
      <c r="C8409" s="4" t="n">
        <v>4219.00</v>
      </c>
      <c r="D8409" s="4"/>
    </row>
    <row collapsed="" customFormat="false" customHeight="1" hidden="" ht="14" outlineLevel="0" r="8410">
      <c r="A8410" s="3" t="inlineStr">
        <is>
          <t>8377</t>
        </is>
      </c>
      <c r="B8410" s="4" t="s">
        <f>=HYPERLINK("http://anyluxury.ru/shop/odezhda/zhilety/zhilet-falcon-bw-men-siniy-03825232/" , "03825232 Жилет Falcon BW Men, синий, размер M")</f>
      </c>
      <c r="C8410" s="4" t="n">
        <v>4219.00</v>
      </c>
      <c r="D8410" s="4"/>
    </row>
    <row collapsed="" customFormat="false" customHeight="1" hidden="" ht="14" outlineLevel="0" r="8411">
      <c r="A8411" s="3" t="inlineStr">
        <is>
          <t>8378</t>
        </is>
      </c>
      <c r="B8411" s="4" t="s">
        <f>=HYPERLINK("http://anyluxury.ru/shop/odezhda/zhilety/zhilet-falcon-bw-men-siniy-03825232/" , "03825232 Жилет Falcon BW Men, синий, размер L")</f>
      </c>
      <c r="C8411" s="4" t="n">
        <v>4219.00</v>
      </c>
      <c r="D8411" s="4"/>
    </row>
    <row collapsed="" customFormat="false" customHeight="1" hidden="" ht="14" outlineLevel="0" r="8412">
      <c r="A8412" s="3" t="inlineStr">
        <is>
          <t>8379</t>
        </is>
      </c>
      <c r="B8412" s="4" t="s">
        <f>=HYPERLINK("http://anyluxury.ru/shop/odezhda/zhilety/zhilet-falcon-bw-men-siniy-03825232/" , "03825232 Жилет Falcon BW Men, синий, размер XL")</f>
      </c>
      <c r="C8412" s="4" t="n">
        <v>4219.00</v>
      </c>
      <c r="D8412" s="4"/>
    </row>
    <row collapsed="" customFormat="false" customHeight="1" hidden="" ht="14" outlineLevel="0" r="8413">
      <c r="A8413" s="3" t="inlineStr">
        <is>
          <t>8380</t>
        </is>
      </c>
      <c r="B8413" s="4" t="s">
        <f>=HYPERLINK("http://anyluxury.ru/shop/odezhda/zhilety/zhilet-falcon-bw-men-siniy-03825232/" , "03825232 Жилет Falcon BW Men, синий, размер XXL")</f>
      </c>
      <c r="C8413" s="4" t="n">
        <v>4219.00</v>
      </c>
      <c r="D8413" s="4"/>
    </row>
    <row collapsed="" customFormat="false" customHeight="1" hidden="" ht="14" outlineLevel="0" r="8414">
      <c r="A8414" s="3" t="inlineStr">
        <is>
          <t>8381</t>
        </is>
      </c>
      <c r="B8414" s="4" t="s">
        <f>=HYPERLINK("http://anyluxury.ru/shop/odezhda/zhilety/zhilet-falcon-bw-men-siniy-03825232/" , "03825232 Жилет Falcon BW Men, синий, размер 3XL")</f>
      </c>
      <c r="C8414" s="4" t="n">
        <v>4802.00</v>
      </c>
      <c r="D8414" s="4"/>
    </row>
    <row collapsed="" customFormat="false" customHeight="1" hidden="" ht="14" outlineLevel="0" r="8415">
      <c r="A8415" s="3" t="inlineStr">
        <is>
          <t>8382</t>
        </is>
      </c>
      <c r="B8415" s="4" t="s">
        <f>=HYPERLINK("http://anyluxury.ru/shop/odezhda/zhilety/zhilet-falcon-bw-men-siniy-03825232/" , "03825232 Жилет Falcon BW Men, синий, размер 4XL")</f>
      </c>
      <c r="C8415" s="4" t="n">
        <v>5250.00</v>
      </c>
      <c r="D8415" s="4"/>
    </row>
    <row collapsed="" customFormat="false" customHeight="1" hidden="" ht="14" outlineLevel="0" r="8416">
      <c r="A8416" s="3" t="inlineStr">
        <is>
          <t>8383</t>
        </is>
      </c>
      <c r="B8416" s="4" t="s">
        <f>=HYPERLINK("http://anyluxury.ru/shop/odezhda/zhilety/zhilet-falcon-bw-men-cherniy-03825312/" , "03825312 Жилет Falcon BW Men, черный, размер S")</f>
      </c>
      <c r="C8416" s="4" t="n">
        <v>4219.00</v>
      </c>
      <c r="D8416" s="4"/>
    </row>
    <row collapsed="" customFormat="false" customHeight="1" hidden="" ht="14" outlineLevel="0" r="8417">
      <c r="A8417" s="3" t="inlineStr">
        <is>
          <t>8384</t>
        </is>
      </c>
      <c r="B8417" s="4" t="s">
        <f>=HYPERLINK("http://anyluxury.ru/shop/odezhda/zhilety/zhilet-falcon-bw-men-cherniy-03825312/" , "03825312 Жилет Falcon BW Men, черный, размер M")</f>
      </c>
      <c r="C8417" s="4" t="n">
        <v>4219.00</v>
      </c>
      <c r="D8417" s="4"/>
    </row>
    <row collapsed="" customFormat="false" customHeight="1" hidden="" ht="14" outlineLevel="0" r="8418">
      <c r="A8418" s="3" t="inlineStr">
        <is>
          <t>8385</t>
        </is>
      </c>
      <c r="B8418" s="4" t="s">
        <f>=HYPERLINK("http://anyluxury.ru/shop/odezhda/zhilety/zhilet-falcon-bw-men-cherniy-03825312/" , "03825312 Жилет Falcon BW Men, черный, размер L")</f>
      </c>
      <c r="C8418" s="4" t="n">
        <v>4219.00</v>
      </c>
      <c r="D8418" s="4"/>
    </row>
    <row collapsed="" customFormat="false" customHeight="1" hidden="" ht="14" outlineLevel="0" r="8419">
      <c r="A8419" s="3" t="inlineStr">
        <is>
          <t>8386</t>
        </is>
      </c>
      <c r="B8419" s="4" t="s">
        <f>=HYPERLINK("http://anyluxury.ru/shop/odezhda/zhilety/zhilet-falcon-bw-men-cherniy-03825312/" , "03825312 Жилет Falcon BW Men, черный, размер XL")</f>
      </c>
      <c r="C8419" s="4" t="n">
        <v>4219.00</v>
      </c>
      <c r="D8419" s="4"/>
    </row>
    <row collapsed="" customFormat="false" customHeight="1" hidden="" ht="14" outlineLevel="0" r="8420">
      <c r="A8420" s="3" t="inlineStr">
        <is>
          <t>8387</t>
        </is>
      </c>
      <c r="B8420" s="4" t="s">
        <f>=HYPERLINK("http://anyluxury.ru/shop/odezhda/zhilety/zhilet-falcon-bw-men-cherniy-03825312/" , "03825312 Жилет Falcon BW Men, черный, размер XXL")</f>
      </c>
      <c r="C8420" s="4" t="n">
        <v>4219.00</v>
      </c>
      <c r="D8420" s="4"/>
    </row>
    <row collapsed="" customFormat="false" customHeight="1" hidden="" ht="14" outlineLevel="0" r="8421">
      <c r="A8421" s="3" t="inlineStr">
        <is>
          <t>8388</t>
        </is>
      </c>
      <c r="B8421" s="4" t="s">
        <f>=HYPERLINK("http://anyluxury.ru/shop/odezhda/zhilety/zhilet-falcon-bw-men-cherniy-03825312/" , "03825312 Жилет Falcon BW Men, черный, размер 3XL")</f>
      </c>
      <c r="C8421" s="4" t="n">
        <v>4802.00</v>
      </c>
      <c r="D8421" s="4"/>
    </row>
    <row collapsed="" customFormat="false" customHeight="1" hidden="" ht="14" outlineLevel="0" r="8422">
      <c r="A8422" s="3" t="inlineStr">
        <is>
          <t>8389</t>
        </is>
      </c>
      <c r="B8422" s="4" t="s">
        <f>=HYPERLINK("http://anyluxury.ru/shop/odezhda/zhilety/zhilet-falcon-bw-men-cherniy-03825312/" , "03825312 Жилет Falcon BW Men, черный, размер 4XL")</f>
      </c>
      <c r="C8422" s="4" t="n">
        <v>5250.00</v>
      </c>
      <c r="D8422" s="4"/>
    </row>
    <row collapsed="" customFormat="false" customHeight="1" hidden="" ht="14" outlineLevel="0" r="8423">
      <c r="A8423" s="3" t="inlineStr">
        <is>
          <t>8390</t>
        </is>
      </c>
      <c r="B8423" s="4" t="s">
        <f>=HYPERLINK("http://anyluxury.ru/shop/odezhda/zhilety/zhilet-falcon-bw-men-temnoseriy-03825370/" , "03825370 Жилет Falcon BW Men, темно-серый, размер S")</f>
      </c>
      <c r="C8423" s="4" t="n">
        <v>4219.00</v>
      </c>
      <c r="D8423" s="4"/>
    </row>
    <row collapsed="" customFormat="false" customHeight="1" hidden="" ht="14" outlineLevel="0" r="8424">
      <c r="A8424" s="3" t="inlineStr">
        <is>
          <t>8391</t>
        </is>
      </c>
      <c r="B8424" s="4" t="s">
        <f>=HYPERLINK("http://anyluxury.ru/shop/odezhda/zhilety/zhilet-falcon-bw-men-temnoseriy-03825370/" , "03825370 Жилет Falcon BW Men, темно-серый, размер M")</f>
      </c>
      <c r="C8424" s="4" t="n">
        <v>4219.00</v>
      </c>
      <c r="D8424" s="4"/>
    </row>
    <row collapsed="" customFormat="false" customHeight="1" hidden="" ht="14" outlineLevel="0" r="8425">
      <c r="A8425" s="3" t="inlineStr">
        <is>
          <t>8392</t>
        </is>
      </c>
      <c r="B8425" s="4" t="s">
        <f>=HYPERLINK("http://anyluxury.ru/shop/odezhda/zhilety/zhilet-falcon-bw-men-temnoseriy-03825370/" , "03825370 Жилет Falcon BW Men, темно-серый, размер L")</f>
      </c>
      <c r="C8425" s="4" t="n">
        <v>4219.00</v>
      </c>
      <c r="D8425" s="4"/>
    </row>
    <row collapsed="" customFormat="false" customHeight="1" hidden="" ht="14" outlineLevel="0" r="8426">
      <c r="A8426" s="3" t="inlineStr">
        <is>
          <t>8393</t>
        </is>
      </c>
      <c r="B8426" s="4" t="s">
        <f>=HYPERLINK("http://anyluxury.ru/shop/odezhda/zhilety/zhilet-falcon-bw-men-temnoseriy-03825370/" , "03825370 Жилет Falcon BW Men, темно-серый, размер XL")</f>
      </c>
      <c r="C8426" s="4" t="n">
        <v>4219.00</v>
      </c>
      <c r="D8426" s="4"/>
    </row>
    <row collapsed="" customFormat="false" customHeight="1" hidden="" ht="14" outlineLevel="0" r="8427">
      <c r="A8427" s="3" t="inlineStr">
        <is>
          <t>8394</t>
        </is>
      </c>
      <c r="B8427" s="4" t="s">
        <f>=HYPERLINK("http://anyluxury.ru/shop/odezhda/zhilety/zhilet-falcon-bw-men-temnoseriy-03825370/" , "03825370 Жилет Falcon BW Men, темно-серый, размер XXL")</f>
      </c>
      <c r="C8427" s="4" t="n">
        <v>4219.00</v>
      </c>
      <c r="D8427" s="4"/>
    </row>
    <row collapsed="" customFormat="false" customHeight="1" hidden="" ht="14" outlineLevel="0" r="8428">
      <c r="A8428" s="3" t="inlineStr">
        <is>
          <t>8395</t>
        </is>
      </c>
      <c r="B8428" s="4" t="s">
        <f>=HYPERLINK("http://anyluxury.ru/shop/odezhda/zhilety/zhilet-falcon-bw-men-temnoseriy-03825370/" , "03825370 Жилет Falcon BW Men, темно-серый, размер 3XL")</f>
      </c>
      <c r="C8428" s="4" t="n">
        <v>4802.00</v>
      </c>
      <c r="D8428" s="4"/>
    </row>
    <row collapsed="" customFormat="false" customHeight="1" hidden="" ht="14" outlineLevel="0" r="8429">
      <c r="A8429" s="3" t="inlineStr">
        <is>
          <t>8396</t>
        </is>
      </c>
      <c r="B8429" s="4" t="s">
        <f>=HYPERLINK("http://anyluxury.ru/shop/odezhda/zhilety/zhilet-falcon-bw-men-temnoseriy-03825370/" , "03825370 Жилет Falcon BW Men, темно-серый, размер 4XL")</f>
      </c>
      <c r="C8429" s="4" t="n">
        <v>5250.00</v>
      </c>
      <c r="D8429" s="4"/>
    </row>
    <row collapsed="" customFormat="false" customHeight="1" hidden="" ht="14" outlineLevel="0" r="8430">
      <c r="A8430" s="3" t="inlineStr">
        <is>
          <t>8397</t>
        </is>
      </c>
      <c r="B8430" s="4" t="s">
        <f>=HYPERLINK("http://anyluxury.ru/shop/odezhda/zhilety/zhilet-falcon-bw-men-temnozeleniy-03825266/" , "03825266 Жилет Falcon BW Men, темно-зеленый, размер S")</f>
      </c>
      <c r="C8430" s="4" t="n">
        <v>4219.00</v>
      </c>
      <c r="D8430" s="4"/>
    </row>
    <row collapsed="" customFormat="false" customHeight="1" hidden="" ht="14" outlineLevel="0" r="8431">
      <c r="A8431" s="3" t="inlineStr">
        <is>
          <t>8398</t>
        </is>
      </c>
      <c r="B8431" s="4" t="s">
        <f>=HYPERLINK("http://anyluxury.ru/shop/odezhda/zhilety/zhilet-falcon-bw-men-temnozeleniy-03825266/" , "03825266 Жилет Falcon BW Men, темно-зеленый, размер M")</f>
      </c>
      <c r="C8431" s="4" t="n">
        <v>4219.00</v>
      </c>
      <c r="D8431" s="4"/>
    </row>
    <row collapsed="" customFormat="false" customHeight="1" hidden="" ht="14" outlineLevel="0" r="8432">
      <c r="A8432" s="3" t="inlineStr">
        <is>
          <t>8399</t>
        </is>
      </c>
      <c r="B8432" s="4" t="s">
        <f>=HYPERLINK("http://anyluxury.ru/shop/odezhda/zhilety/zhilet-falcon-bw-men-temnozeleniy-03825266/" , "03825266 Жилет Falcon BW Men, темно-зеленый, размер L")</f>
      </c>
      <c r="C8432" s="4" t="n">
        <v>4219.00</v>
      </c>
      <c r="D8432" s="4"/>
    </row>
    <row collapsed="" customFormat="false" customHeight="1" hidden="" ht="14" outlineLevel="0" r="8433">
      <c r="A8433" s="3" t="inlineStr">
        <is>
          <t>8400</t>
        </is>
      </c>
      <c r="B8433" s="4" t="s">
        <f>=HYPERLINK("http://anyluxury.ru/shop/odezhda/zhilety/zhilet-falcon-bw-men-temnozeleniy-03825266/" , "03825266 Жилет Falcon BW Men, темно-зеленый, размер XL")</f>
      </c>
      <c r="C8433" s="4" t="n">
        <v>4219.00</v>
      </c>
      <c r="D8433" s="4"/>
    </row>
    <row collapsed="" customFormat="false" customHeight="1" hidden="" ht="14" outlineLevel="0" r="8434">
      <c r="A8434" s="3" t="inlineStr">
        <is>
          <t>8401</t>
        </is>
      </c>
      <c r="B8434" s="4" t="s">
        <f>=HYPERLINK("http://anyluxury.ru/shop/odezhda/zhilety/zhilet-falcon-bw-men-temnozeleniy-03825266/" , "03825266 Жилет Falcon BW Men, темно-зеленый, размер XXL")</f>
      </c>
      <c r="C8434" s="4" t="n">
        <v>4219.00</v>
      </c>
      <c r="D8434" s="4"/>
    </row>
    <row collapsed="" customFormat="false" customHeight="1" hidden="" ht="14" outlineLevel="0" r="8435">
      <c r="A8435" s="3" t="inlineStr">
        <is>
          <t>8402</t>
        </is>
      </c>
      <c r="B8435" s="4" t="s">
        <f>=HYPERLINK("http://anyluxury.ru/shop/odezhda/zhilety/zhilet-falcon-bw-men-temnozeleniy-03825266/" , "03825266 Жилет Falcon BW Men, темно-зеленый, размер 3XL")</f>
      </c>
      <c r="C8435" s="4" t="n">
        <v>4802.00</v>
      </c>
      <c r="D8435" s="4"/>
    </row>
    <row collapsed="" customFormat="false" customHeight="1" hidden="" ht="14" outlineLevel="0" r="8436">
      <c r="A8436" s="3" t="inlineStr">
        <is>
          <t>8403</t>
        </is>
      </c>
      <c r="B8436" s="4" t="s">
        <f>=HYPERLINK("http://anyluxury.ru/shop/odezhda/zhilety/zhilet-falcon-bw-men-temnozeleniy-03825266/" , "03825266 Жилет Falcon BW Men, темно-зеленый, размер 4XL")</f>
      </c>
      <c r="C8436" s="4" t="n">
        <v>5250.00</v>
      </c>
      <c r="D8436" s="4"/>
    </row>
    <row collapsed="" customFormat="false" customHeight="1" hidden="" ht="14" outlineLevel="0" r="8437">
      <c r="A8437" s="3" t="inlineStr">
        <is>
          <t>8404</t>
        </is>
      </c>
      <c r="B8437" s="4" t="s">
        <f>=HYPERLINK("http://anyluxury.ru/shop/odezhda/zhilety/zhilet-falcon-bw-men-krasniy-03825162/" , "03825162 Жилет Falcon BW Men, красный, размер S")</f>
      </c>
      <c r="C8437" s="4" t="n">
        <v>4219.00</v>
      </c>
      <c r="D8437" s="4"/>
    </row>
    <row collapsed="" customFormat="false" customHeight="1" hidden="" ht="14" outlineLevel="0" r="8438">
      <c r="A8438" s="3" t="inlineStr">
        <is>
          <t>8405</t>
        </is>
      </c>
      <c r="B8438" s="4" t="s">
        <f>=HYPERLINK("http://anyluxury.ru/shop/odezhda/zhilety/zhilet-falcon-bw-men-krasniy-03825162/" , "03825162 Жилет Falcon BW Men, красный, размер M")</f>
      </c>
      <c r="C8438" s="4" t="n">
        <v>4219.00</v>
      </c>
      <c r="D8438" s="4"/>
    </row>
    <row collapsed="" customFormat="false" customHeight="1" hidden="" ht="14" outlineLevel="0" r="8439">
      <c r="A8439" s="3" t="inlineStr">
        <is>
          <t>8406</t>
        </is>
      </c>
      <c r="B8439" s="4" t="s">
        <f>=HYPERLINK("http://anyluxury.ru/shop/odezhda/zhilety/zhilet-falcon-bw-men-krasniy-03825162/" , "03825162 Жилет Falcon BW Men, красный, размер L")</f>
      </c>
      <c r="C8439" s="4" t="n">
        <v>4219.00</v>
      </c>
      <c r="D8439" s="4"/>
    </row>
    <row collapsed="" customFormat="false" customHeight="1" hidden="" ht="14" outlineLevel="0" r="8440">
      <c r="A8440" s="3" t="inlineStr">
        <is>
          <t>8407</t>
        </is>
      </c>
      <c r="B8440" s="4" t="s">
        <f>=HYPERLINK("http://anyluxury.ru/shop/odezhda/zhilety/zhilet-falcon-bw-men-krasniy-03825162/" , "03825162 Жилет Falcon BW Men, красный, размер XL")</f>
      </c>
      <c r="C8440" s="4" t="n">
        <v>4219.00</v>
      </c>
      <c r="D8440" s="4"/>
    </row>
    <row collapsed="" customFormat="false" customHeight="1" hidden="" ht="14" outlineLevel="0" r="8441">
      <c r="A8441" s="3" t="inlineStr">
        <is>
          <t>8408</t>
        </is>
      </c>
      <c r="B8441" s="4" t="s">
        <f>=HYPERLINK("http://anyluxury.ru/shop/odezhda/zhilety/zhilet-falcon-bw-men-krasniy-03825162/" , "03825162 Жилет Falcon BW Men, красный, размер XXL")</f>
      </c>
      <c r="C8441" s="4" t="n">
        <v>4219.00</v>
      </c>
      <c r="D8441" s="4"/>
    </row>
    <row collapsed="" customFormat="false" customHeight="1" hidden="" ht="14" outlineLevel="0" r="8442">
      <c r="A8442" s="3" t="inlineStr">
        <is>
          <t>8409</t>
        </is>
      </c>
      <c r="B8442" s="4" t="s">
        <f>=HYPERLINK("http://anyluxury.ru/shop/odezhda/zhilety/zhilet-falcon-bw-men-krasniy-03825162/" , "03825162 Жилет Falcon BW Men, красный, размер 3XL")</f>
      </c>
      <c r="C8442" s="4" t="n">
        <v>4802.00</v>
      </c>
      <c r="D8442" s="4"/>
    </row>
    <row collapsed="" customFormat="false" customHeight="1" hidden="" ht="14" outlineLevel="0" r="8443">
      <c r="A8443" s="3" t="inlineStr">
        <is>
          <t>8410</t>
        </is>
      </c>
      <c r="B8443" s="4" t="s">
        <f>=HYPERLINK("http://anyluxury.ru/shop/odezhda/zhilety/zhilet-falcon-bw-men-krasniy-03825162/" , "03825162 Жилет Falcon BW Men, красный, размер 4XL")</f>
      </c>
      <c r="C8443" s="4" t="n">
        <v>5250.00</v>
      </c>
      <c r="D8443" s="4"/>
    </row>
    <row collapsed="" customFormat="false" customHeight="1" hidden="" ht="14" outlineLevel="0" r="8444">
      <c r="A8444" s="3" t="inlineStr">
        <is>
          <t>8411</t>
        </is>
      </c>
      <c r="B8444" s="4" t="s">
        <f>=HYPERLINK("http://anyluxury.ru/shop/odezhda/zhilety/zhilet-falcon-bw-men-yarkosiniy-03825241/" , "03825241 Жилет Falcon BW Men, ярко-синий, размер S")</f>
      </c>
      <c r="C8444" s="4" t="n">
        <v>4219.00</v>
      </c>
      <c r="D8444" s="4"/>
    </row>
    <row collapsed="" customFormat="false" customHeight="1" hidden="" ht="14" outlineLevel="0" r="8445">
      <c r="A8445" s="3" t="inlineStr">
        <is>
          <t>8412</t>
        </is>
      </c>
      <c r="B8445" s="4" t="s">
        <f>=HYPERLINK("http://anyluxury.ru/shop/odezhda/zhilety/zhilet-falcon-bw-men-yarkosiniy-03825241/" , "03825241 Жилет Falcon BW Men, ярко-синий, размер M")</f>
      </c>
      <c r="C8445" s="4" t="n">
        <v>4219.00</v>
      </c>
      <c r="D8445" s="4"/>
    </row>
    <row collapsed="" customFormat="false" customHeight="1" hidden="" ht="14" outlineLevel="0" r="8446">
      <c r="A8446" s="3" t="inlineStr">
        <is>
          <t>8413</t>
        </is>
      </c>
      <c r="B8446" s="4" t="s">
        <f>=HYPERLINK("http://anyluxury.ru/shop/odezhda/zhilety/zhilet-falcon-bw-men-yarkosiniy-03825241/" , "03825241 Жилет Falcon BW Men, ярко-синий, размер L")</f>
      </c>
      <c r="C8446" s="4" t="n">
        <v>4219.00</v>
      </c>
      <c r="D8446" s="4"/>
    </row>
    <row collapsed="" customFormat="false" customHeight="1" hidden="" ht="14" outlineLevel="0" r="8447">
      <c r="A8447" s="3" t="inlineStr">
        <is>
          <t>8414</t>
        </is>
      </c>
      <c r="B8447" s="4" t="s">
        <f>=HYPERLINK("http://anyluxury.ru/shop/odezhda/zhilety/zhilet-falcon-bw-men-yarkosiniy-03825241/" , "03825241 Жилет Falcon BW Men, ярко-синий, размер XL")</f>
      </c>
      <c r="C8447" s="4" t="n">
        <v>4219.00</v>
      </c>
      <c r="D8447" s="4"/>
    </row>
    <row collapsed="" customFormat="false" customHeight="1" hidden="" ht="14" outlineLevel="0" r="8448">
      <c r="A8448" s="3" t="inlineStr">
        <is>
          <t>8415</t>
        </is>
      </c>
      <c r="B8448" s="4" t="s">
        <f>=HYPERLINK("http://anyluxury.ru/shop/odezhda/zhilety/zhilet-falcon-bw-men-yarkosiniy-03825241/" , "03825241 Жилет Falcon BW Men, ярко-синий, размер XXL")</f>
      </c>
      <c r="C8448" s="4" t="n">
        <v>4219.00</v>
      </c>
      <c r="D8448" s="4"/>
    </row>
    <row collapsed="" customFormat="false" customHeight="1" hidden="" ht="14" outlineLevel="0" r="8449">
      <c r="A8449" s="3" t="inlineStr">
        <is>
          <t>8416</t>
        </is>
      </c>
      <c r="B8449" s="4" t="s">
        <f>=HYPERLINK("http://anyluxury.ru/shop/odezhda/zhilety/zhilet-falcon-bw-men-yarkosiniy-03825241/" , "03825241 Жилет Falcon BW Men, ярко-синий, размер 3XL")</f>
      </c>
      <c r="C8449" s="4" t="n">
        <v>4802.00</v>
      </c>
      <c r="D8449" s="4"/>
    </row>
    <row collapsed="" customFormat="false" customHeight="1" hidden="" ht="14" outlineLevel="0" r="8450">
      <c r="A8450" s="3" t="inlineStr">
        <is>
          <t>8417</t>
        </is>
      </c>
      <c r="B8450" s="4" t="s">
        <f>=HYPERLINK("http://anyluxury.ru/shop/odezhda/zhilety/zhilet-falcon-bw-men-yarkosiniy-03825241/" , "03825241 Жилет Falcon BW Men, ярко-синий, размер 4XL")</f>
      </c>
      <c r="C8450" s="4" t="n">
        <v>5250.00</v>
      </c>
      <c r="D8450" s="4"/>
    </row>
    <row collapsed="" customFormat="false" customHeight="1" hidden="" ht="14" outlineLevel="0" r="8451">
      <c r="A8451" s="3" t="inlineStr">
        <is>
          <t>8418</t>
        </is>
      </c>
      <c r="B8451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XS/S")</f>
      </c>
      <c r="C8451" s="4" t="n">
        <v>2480.00</v>
      </c>
      <c r="D8451" s="4"/>
    </row>
    <row collapsed="" customFormat="false" customHeight="1" hidden="" ht="14" outlineLevel="0" r="8452">
      <c r="A8452" s="3" t="inlineStr">
        <is>
          <t>8419</t>
        </is>
      </c>
      <c r="B8452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M/L")</f>
      </c>
      <c r="C8452" s="4" t="n">
        <v>2480.00</v>
      </c>
      <c r="D8452" s="4"/>
    </row>
    <row collapsed="" customFormat="false" customHeight="1" hidden="" ht="14" outlineLevel="0" r="8453">
      <c r="A8453" s="3" t="inlineStr">
        <is>
          <t>8420</t>
        </is>
      </c>
      <c r="B8453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XL/XXL")</f>
      </c>
      <c r="C8453" s="4" t="n">
        <v>2480.00</v>
      </c>
      <c r="D8453" s="4"/>
    </row>
    <row collapsed="" customFormat="false" customHeight="1" hidden="" ht="14" outlineLevel="0" r="8454">
      <c r="A8454" s="3" t="inlineStr">
        <is>
          <t>8421</t>
        </is>
      </c>
      <c r="B8454" s="4" t="s">
        <f>=HYPERLINK("http://anyluxury.ru/shop/odezhda/zhilety/zhilet-flisoviy-manakin-krasniy-1496650/" , "14966.50 Жилет флисовый Manakin, красный, размер XS/S")</f>
      </c>
      <c r="C8454" s="4" t="n">
        <v>2390.00</v>
      </c>
      <c r="D8454" s="4"/>
    </row>
    <row collapsed="" customFormat="false" customHeight="1" hidden="" ht="14" outlineLevel="0" r="8455">
      <c r="A8455" s="3" t="inlineStr">
        <is>
          <t>8422</t>
        </is>
      </c>
      <c r="B8455" s="4" t="s">
        <f>=HYPERLINK("http://anyluxury.ru/shop/odezhda/zhilety/zhilet-flisoviy-manakin-krasniy-1496650/" , "14966.50 Жилет флисовый Manakin, красный, размер M/L")</f>
      </c>
      <c r="C8455" s="4" t="n">
        <v>2390.00</v>
      </c>
      <c r="D8455" s="4"/>
    </row>
    <row collapsed="" customFormat="false" customHeight="1" hidden="" ht="14" outlineLevel="0" r="8456">
      <c r="A8456" s="3" t="inlineStr">
        <is>
          <t>8423</t>
        </is>
      </c>
      <c r="B8456" s="4" t="s">
        <f>=HYPERLINK("http://anyluxury.ru/shop/odezhda/zhilety/zhilet-flisoviy-manakin-krasniy-1496650/" , "14966.50 Жилет флисовый Manakin, красный, размер XL/XXL")</f>
      </c>
      <c r="C8456" s="4" t="n">
        <v>2390.00</v>
      </c>
      <c r="D8456" s="4"/>
    </row>
    <row collapsed="" customFormat="false" customHeight="1" hidden="" ht="14" outlineLevel="0" r="8457">
      <c r="A8457" s="3" t="inlineStr">
        <is>
          <t>8424</t>
        </is>
      </c>
      <c r="B8457" s="4" t="s">
        <f>=HYPERLINK("http://anyluxury.ru/shop/odezhda/zhilety/zhilet-flisoviy-manakin-temnosiniy-1496640/" , "14966.40 Жилет флисовый Manakin, темно-синий, размер XS/S")</f>
      </c>
      <c r="C8457" s="4" t="n">
        <v>2390.00</v>
      </c>
      <c r="D8457" s="4"/>
    </row>
    <row collapsed="" customFormat="false" customHeight="1" hidden="" ht="14" outlineLevel="0" r="8458">
      <c r="A8458" s="3" t="inlineStr">
        <is>
          <t>8425</t>
        </is>
      </c>
      <c r="B8458" s="4" t="s">
        <f>=HYPERLINK("http://anyluxury.ru/shop/odezhda/zhilety/zhilet-flisoviy-manakin-temnosiniy-1496640/" , "14966.40 Жилет флисовый Manakin, темно-синий, размер M/L")</f>
      </c>
      <c r="C8458" s="4" t="n">
        <v>2390.00</v>
      </c>
      <c r="D8458" s="4"/>
    </row>
    <row collapsed="" customFormat="false" customHeight="1" hidden="" ht="14" outlineLevel="0" r="8459">
      <c r="A8459" s="3" t="inlineStr">
        <is>
          <t>8426</t>
        </is>
      </c>
      <c r="B8459" s="4" t="s">
        <f>=HYPERLINK("http://anyluxury.ru/shop/odezhda/zhilety/zhilet-flisoviy-manakin-temnosiniy-1496640/" , "14966.40 Жилет флисовый Manakin, темно-синий, размер XL/XXL")</f>
      </c>
      <c r="C8459" s="4" t="n">
        <v>2390.00</v>
      </c>
      <c r="D8459" s="4"/>
    </row>
    <row collapsed="" customFormat="false" customHeight="1" hidden="" ht="14" outlineLevel="0" r="8460">
      <c r="A8460" s="3" t="inlineStr">
        <is>
          <t>8427</t>
        </is>
      </c>
      <c r="B8460" s="4" t="s">
        <f>=HYPERLINK("http://anyluxury.ru/shop/odezhda/zhilety/zhilet-flisoviy-manakin-temnoseriy-1496612/" , "14966.12 Жилет флисовый Manakin, темно-серый, размер XS/S")</f>
      </c>
      <c r="C8460" s="4" t="n">
        <v>2390.00</v>
      </c>
      <c r="D8460" s="4"/>
    </row>
    <row collapsed="" customFormat="false" customHeight="1" hidden="" ht="14" outlineLevel="0" r="8461">
      <c r="A8461" s="3" t="inlineStr">
        <is>
          <t>8428</t>
        </is>
      </c>
      <c r="B8461" s="4" t="s">
        <f>=HYPERLINK("http://anyluxury.ru/shop/odezhda/zhilety/zhilet-flisoviy-manakin-temnoseriy-1496612/" , "14966.12 Жилет флисовый Manakin, темно-серый, размер M/L")</f>
      </c>
      <c r="C8461" s="4" t="n">
        <v>2390.00</v>
      </c>
      <c r="D8461" s="4"/>
    </row>
    <row collapsed="" customFormat="false" customHeight="1" hidden="" ht="14" outlineLevel="0" r="8462">
      <c r="A8462" s="3" t="inlineStr">
        <is>
          <t>8429</t>
        </is>
      </c>
      <c r="B8462" s="4" t="s">
        <f>=HYPERLINK("http://anyluxury.ru/shop/odezhda/zhilety/zhilet-flisoviy-manakin-temnoseriy-1496612/" , "14966.12 Жилет флисовый Manakin, темно-серый, размер XL/XXL")</f>
      </c>
      <c r="C8462" s="4" t="n">
        <v>2390.00</v>
      </c>
      <c r="D8462" s="4"/>
    </row>
    <row collapsed="" customFormat="false" customHeight="1" hidden="" ht="14" outlineLevel="0" r="8463">
      <c r="A8463" s="3" t="inlineStr">
        <is>
          <t>8430</t>
        </is>
      </c>
      <c r="B8463" s="4" t="s">
        <f>=HYPERLINK("http://anyluxury.ru/shop/odezhda/zhilety/zhilet-flisoviy-manakin-cherniy-1496630/" , "14966.30 Жилет флисовый Manakin, черный, размер XS/S")</f>
      </c>
      <c r="C8463" s="4" t="n">
        <v>2890.00</v>
      </c>
      <c r="D8463" s="4"/>
    </row>
    <row collapsed="" customFormat="false" customHeight="1" hidden="" ht="14" outlineLevel="0" r="8464">
      <c r="A8464" s="3" t="inlineStr">
        <is>
          <t>8431</t>
        </is>
      </c>
      <c r="B8464" s="4" t="s">
        <f>=HYPERLINK("http://anyluxury.ru/shop/odezhda/zhilety/zhilet-flisoviy-manakin-cherniy-1496630/" , "14966.30 Жилет флисовый Manakin, черный, размер M/L")</f>
      </c>
      <c r="C8464" s="4" t="n">
        <v>2890.00</v>
      </c>
      <c r="D8464" s="4"/>
    </row>
    <row collapsed="" customFormat="false" customHeight="1" hidden="" ht="14" outlineLevel="0" r="8465">
      <c r="A8465" s="3" t="inlineStr">
        <is>
          <t>8432</t>
        </is>
      </c>
      <c r="B8465" s="4" t="s">
        <f>=HYPERLINK("http://anyluxury.ru/shop/odezhda/zhilety/zhilet-flisoviy-manakin-cherniy-1496630/" , "14966.30 Жилет флисовый Manakin, черный, размер XL/XXL")</f>
      </c>
      <c r="C8465" s="4" t="n">
        <v>2890.00</v>
      </c>
      <c r="D8465" s="4"/>
    </row>
    <row collapsed="" customFormat="false" customHeight="1" hidden="" ht="14" outlineLevel="0" r="8466">
      <c r="A8466" s="3" t="inlineStr">
        <is>
          <t>8433</t>
        </is>
      </c>
      <c r="B8466" s="4" t="s">
        <f>=HYPERLINK("http://anyluxury.ru/shop/odezhda/zhilety/zhilet-flisoviy-manakin-beliy-1496660/" , "14966.60 Жилет флисовый Manakin, белый, размер XS/S")</f>
      </c>
      <c r="C8466" s="4" t="n">
        <v>2890.00</v>
      </c>
      <c r="D8466" s="4"/>
    </row>
    <row collapsed="" customFormat="false" customHeight="1" hidden="" ht="14" outlineLevel="0" r="8467">
      <c r="A8467" s="3" t="inlineStr">
        <is>
          <t>8434</t>
        </is>
      </c>
      <c r="B8467" s="4" t="s">
        <f>=HYPERLINK("http://anyluxury.ru/shop/odezhda/zhilety/zhilet-flisoviy-manakin-beliy-1496660/" , "14966.60 Жилет флисовый Manakin, белый, размер M/L")</f>
      </c>
      <c r="C8467" s="4" t="n">
        <v>2890.00</v>
      </c>
      <c r="D8467" s="4"/>
    </row>
    <row collapsed="" customFormat="false" customHeight="1" hidden="" ht="14" outlineLevel="0" r="8468">
      <c r="A8468" s="3" t="inlineStr">
        <is>
          <t>8435</t>
        </is>
      </c>
      <c r="B8468" s="4" t="s">
        <f>=HYPERLINK("http://anyluxury.ru/shop/odezhda/zhilety/zhilet-flisoviy-manakin-beliy-1496660/" , "14966.60 Жилет флисовый Manakin, белый, размер XL/XXL")</f>
      </c>
      <c r="C8468" s="4" t="n">
        <v>2890.00</v>
      </c>
      <c r="D8468" s="4"/>
    </row>
    <row collapsed="" customFormat="false" customHeight="1" hidden="" ht="14" outlineLevel="0" r="8469">
      <c r="A8469" s="3" t="inlineStr">
        <is>
          <t>8436</t>
        </is>
      </c>
      <c r="B8469" s="4" t="s">
        <f>=HYPERLINK("http://anyluxury.ru/shop/odezhda/zhilety/zhilet-flisoviy-manakin-bezheviy-1496610/" , "14966.10 Жилет флисовый Manakin, бежевый, размер XS/S")</f>
      </c>
      <c r="C8469" s="4" t="n">
        <v>2890.00</v>
      </c>
      <c r="D8469" s="4"/>
    </row>
    <row collapsed="" customFormat="false" customHeight="1" hidden="" ht="14" outlineLevel="0" r="8470">
      <c r="A8470" s="3" t="inlineStr">
        <is>
          <t>8437</t>
        </is>
      </c>
      <c r="B8470" s="4" t="s">
        <f>=HYPERLINK("http://anyluxury.ru/shop/odezhda/zhilety/zhilet-flisoviy-manakin-bezheviy-1496610/" , "14966.10 Жилет флисовый Manakin, бежевый, размер M/L")</f>
      </c>
      <c r="C8470" s="4" t="n">
        <v>2890.00</v>
      </c>
      <c r="D8470" s="4"/>
    </row>
    <row collapsed="" customFormat="false" customHeight="1" hidden="" ht="14" outlineLevel="0" r="8471">
      <c r="A8471" s="3" t="inlineStr">
        <is>
          <t>8438</t>
        </is>
      </c>
      <c r="B8471" s="4" t="s">
        <f>=HYPERLINK("http://anyluxury.ru/shop/odezhda/zhilety/zhilet-flisoviy-manakin-bezheviy-1496610/" , "14966.10 Жилет флисовый Manakin, бежевый, размер XL/XXL")</f>
      </c>
      <c r="C8471" s="4" t="n">
        <v>2890.00</v>
      </c>
      <c r="D8471" s="4"/>
    </row>
    <row collapsed="" customFormat="false" customHeight="1" hidden="" ht="14" outlineLevel="0" r="8472">
      <c r="A8472" s="3" t="inlineStr">
        <is>
          <t>8439</t>
        </is>
      </c>
      <c r="B8472" s="4" t="s">
        <f>=HYPERLINK("http://anyluxury.ru/shop/odezhda/zhilety/zhilet-flisoviy-manakin-oranzheviy-1496620/" , "14966.20 Жилет флисовый Manakin, оранжевый, размер XS/S")</f>
      </c>
      <c r="C8472" s="4" t="n">
        <v>2890.00</v>
      </c>
      <c r="D8472" s="4"/>
    </row>
    <row collapsed="" customFormat="false" customHeight="1" hidden="" ht="14" outlineLevel="0" r="8473">
      <c r="A8473" s="3" t="inlineStr">
        <is>
          <t>8440</t>
        </is>
      </c>
      <c r="B8473" s="4" t="s">
        <f>=HYPERLINK("http://anyluxury.ru/shop/odezhda/zhilety/zhilet-flisoviy-manakin-oranzheviy-1496620/" , "14966.20 Жилет флисовый Manakin, оранжевый, размер M/L")</f>
      </c>
      <c r="C8473" s="4" t="n">
        <v>2890.00</v>
      </c>
      <c r="D8473" s="4"/>
    </row>
    <row collapsed="" customFormat="false" customHeight="1" hidden="" ht="14" outlineLevel="0" r="8474">
      <c r="A8474" s="3" t="inlineStr">
        <is>
          <t>8441</t>
        </is>
      </c>
      <c r="B8474" s="4" t="s">
        <f>=HYPERLINK("http://anyluxury.ru/shop/odezhda/zhilety/zhilet-flisoviy-manakin-oranzheviy-1496620/" , "14966.20 Жилет флисовый Manakin, оранжевый, размер XL/XXL")</f>
      </c>
      <c r="C8474" s="4" t="n">
        <v>2890.00</v>
      </c>
      <c r="D8474" s="4"/>
    </row>
    <row collapsed="" customFormat="false" customHeight="1" hidden="" ht="14" outlineLevel="0" r="8475">
      <c r="A8475" s="3" t="inlineStr">
        <is>
          <t>8442</t>
        </is>
      </c>
      <c r="B8475" s="4" t="s">
        <f>=HYPERLINK("http://anyluxury.ru/shop/odezhda/zhilety/zhilet-flisoviy-manakin-zheltiy-1496680/" , "14966.80 Жилет флисовый Manakin, желтый, размер XS/S")</f>
      </c>
      <c r="C8475" s="4" t="n">
        <v>2890.00</v>
      </c>
      <c r="D8475" s="4"/>
    </row>
    <row collapsed="" customFormat="false" customHeight="1" hidden="" ht="14" outlineLevel="0" r="8476">
      <c r="A8476" s="3" t="inlineStr">
        <is>
          <t>8443</t>
        </is>
      </c>
      <c r="B8476" s="4" t="s">
        <f>=HYPERLINK("http://anyluxury.ru/shop/odezhda/zhilety/zhilet-flisoviy-manakin-zheltiy-1496680/" , "14966.80 Жилет флисовый Manakin, желтый, размер M/L")</f>
      </c>
      <c r="C8476" s="4" t="n">
        <v>2890.00</v>
      </c>
      <c r="D8476" s="4"/>
    </row>
    <row collapsed="" customFormat="false" customHeight="1" hidden="" ht="14" outlineLevel="0" r="8477">
      <c r="A8477" s="3" t="inlineStr">
        <is>
          <t>8444</t>
        </is>
      </c>
      <c r="B8477" s="4" t="s">
        <f>=HYPERLINK("http://anyluxury.ru/shop/odezhda/zhilety/zhilet-flisoviy-manakin-zheltiy-1496680/" , "14966.80 Жилет флисовый Manakin, желтый, размер XL/XXL")</f>
      </c>
      <c r="C8477" s="4" t="n">
        <v>2890.00</v>
      </c>
      <c r="D8477" s="4"/>
    </row>
    <row collapsed="" customFormat="false" customHeight="1" hidden="" ht="14" outlineLevel="0" r="8478">
      <c r="A8478" s="3" t="inlineStr">
        <is>
          <t>8445</t>
        </is>
      </c>
      <c r="B8478" s="4" t="s">
        <f>=HYPERLINK("http://anyluxury.ru/shop/odezhda/zhilety/zhilet-flisoviy-manakin-biryuzoviy-1496642/" , "14966.42 Жилет флисовый Manakin, бирюзовый, размер XS/S")</f>
      </c>
      <c r="C8478" s="4" t="n">
        <v>2890.00</v>
      </c>
      <c r="D8478" s="4"/>
    </row>
    <row collapsed="" customFormat="false" customHeight="1" hidden="" ht="14" outlineLevel="0" r="8479">
      <c r="A8479" s="3" t="inlineStr">
        <is>
          <t>8446</t>
        </is>
      </c>
      <c r="B8479" s="4" t="s">
        <f>=HYPERLINK("http://anyluxury.ru/shop/odezhda/zhilety/zhilet-flisoviy-manakin-biryuzoviy-1496642/" , "14966.42 Жилет флисовый Manakin, бирюзовый, размер M/L")</f>
      </c>
      <c r="C8479" s="4" t="n">
        <v>2890.00</v>
      </c>
      <c r="D8479" s="4"/>
    </row>
    <row collapsed="" customFormat="false" customHeight="1" hidden="" ht="14" outlineLevel="0" r="8480">
      <c r="A8480" s="3" t="inlineStr">
        <is>
          <t>8447</t>
        </is>
      </c>
      <c r="B8480" s="4" t="s">
        <f>=HYPERLINK("http://anyluxury.ru/shop/odezhda/zhilety/zhilet-flisoviy-manakin-biryuzoviy-1496642/" , "14966.42 Жилет флисовый Manakin, бирюзовый, размер XL/XXL")</f>
      </c>
      <c r="C8480" s="4" t="n">
        <v>2890.00</v>
      </c>
      <c r="D8480" s="4"/>
    </row>
    <row collapsed="" customFormat="false" customHeight="1" hidden="" ht="14" outlineLevel="0" r="8481">
      <c r="A8481" s="3" t="inlineStr">
        <is>
          <t>8448</t>
        </is>
      </c>
      <c r="B8481" s="4" t="s">
        <f>=HYPERLINK("http://anyluxury.ru/shop/odezhda/zhilety/zhilet-flisoviy-manakin-yarkosiniy-1496644/" , "14966.44 Жилет флисовый Manakin, ярко-синий, размер XS/S")</f>
      </c>
      <c r="C8481" s="4" t="n">
        <v>2890.00</v>
      </c>
      <c r="D8481" s="4"/>
    </row>
    <row collapsed="" customFormat="false" customHeight="1" hidden="" ht="14" outlineLevel="0" r="8482">
      <c r="A8482" s="3" t="inlineStr">
        <is>
          <t>8449</t>
        </is>
      </c>
      <c r="B8482" s="4" t="s">
        <f>=HYPERLINK("http://anyluxury.ru/shop/odezhda/zhilety/zhilet-flisoviy-manakin-yarkosiniy-1496644/" , "14966.44 Жилет флисовый Manakin, ярко-синий, размер M/L")</f>
      </c>
      <c r="C8482" s="4" t="n">
        <v>2890.00</v>
      </c>
      <c r="D8482" s="4"/>
    </row>
    <row collapsed="" customFormat="false" customHeight="1" hidden="" ht="14" outlineLevel="0" r="8483">
      <c r="A8483" s="3" t="inlineStr">
        <is>
          <t>8450</t>
        </is>
      </c>
      <c r="B8483" s="4" t="s">
        <f>=HYPERLINK("http://anyluxury.ru/shop/odezhda/zhilety/zhilet-flisoviy-manakin-yarkosiniy-1496644/" , "14966.44 Жилет флисовый Manakin, ярко-синий, размер XL/XXL")</f>
      </c>
      <c r="C8483" s="4" t="n">
        <v>2890.00</v>
      </c>
      <c r="D8483" s="4"/>
    </row>
    <row collapsed="" customFormat="false" customHeight="1" hidden="" ht="14" outlineLevel="0" r="8484">
      <c r="A8484" s="3" t="inlineStr">
        <is>
          <t>8451</t>
        </is>
      </c>
      <c r="B8484" s="4" t="s">
        <f>=HYPERLINK("http://anyluxury.ru/shop/odezhda/zhilety/zhilet-flisoviy-manakin-zelenoe-yabloko-1496694/" , "14966.94 Жилет флисовый Manakin, зеленое яблоко, размер XS/S")</f>
      </c>
      <c r="C8484" s="4" t="n">
        <v>2890.00</v>
      </c>
      <c r="D8484" s="4"/>
    </row>
    <row collapsed="" customFormat="false" customHeight="1" hidden="" ht="14" outlineLevel="0" r="8485">
      <c r="A8485" s="3" t="inlineStr">
        <is>
          <t>8452</t>
        </is>
      </c>
      <c r="B8485" s="4" t="s">
        <f>=HYPERLINK("http://anyluxury.ru/shop/odezhda/zhilety/zhilet-flisoviy-manakin-zelenoe-yabloko-1496694/" , "14966.94 Жилет флисовый Manakin, зеленое яблоко, размер M/L")</f>
      </c>
      <c r="C8485" s="4" t="n">
        <v>2890.00</v>
      </c>
      <c r="D8485" s="4"/>
    </row>
    <row collapsed="" customFormat="false" customHeight="1" hidden="" ht="14" outlineLevel="0" r="8486">
      <c r="A8486" s="3" t="inlineStr">
        <is>
          <t>8453</t>
        </is>
      </c>
      <c r="B8486" s="4" t="s">
        <f>=HYPERLINK("http://anyluxury.ru/shop/odezhda/zhilety/zhilet-flisoviy-manakin-zelenoe-yabloko-1496694/" , "14966.94 Жилет флисовый Manakin, зеленое яблоко, размер XL/XXL")</f>
      </c>
      <c r="C8486" s="4" t="n">
        <v>2890.00</v>
      </c>
      <c r="D8486" s="4"/>
    </row>
    <row collapsed="" customFormat="false" customHeight="1" hidden="" ht="14" outlineLevel="0" r="8487">
      <c r="A8487" s="3" t="inlineStr">
        <is>
          <t>8454</t>
        </is>
      </c>
      <c r="B8487" s="4" t="s">
        <f>=HYPERLINK("http://anyluxury.ru/shop/odezhda/zhilety/zhilet-flisoviy-manakin-fuksiya-1496657/" , "14966.57 Жилет флисовый Manakin, фуксия, размер XS/S")</f>
      </c>
      <c r="C8487" s="4" t="n">
        <v>2890.00</v>
      </c>
      <c r="D8487" s="4"/>
    </row>
    <row collapsed="" customFormat="false" customHeight="1" hidden="" ht="14" outlineLevel="0" r="8488">
      <c r="A8488" s="3" t="inlineStr">
        <is>
          <t>8455</t>
        </is>
      </c>
      <c r="B8488" s="4" t="s">
        <f>=HYPERLINK("http://anyluxury.ru/shop/odezhda/zhilety/zhilet-flisoviy-manakin-fuksiya-1496657/" , "14966.57 Жилет флисовый Manakin, фуксия, размер M/L")</f>
      </c>
      <c r="C8488" s="4" t="n">
        <v>2890.00</v>
      </c>
      <c r="D8488" s="4"/>
    </row>
    <row collapsed="" customFormat="false" customHeight="1" hidden="" ht="14" outlineLevel="0" r="8489">
      <c r="A8489" s="3" t="inlineStr">
        <is>
          <t>8456</t>
        </is>
      </c>
      <c r="B8489" s="4" t="s">
        <f>=HYPERLINK("http://anyluxury.ru/shop/odezhda/zhilety/zhilet-flisoviy-manakin-fuksiya-1496657/" , "14966.57 Жилет флисовый Manakin, фуксия, размер XL/XXL")</f>
      </c>
      <c r="C8489" s="4" t="n">
        <v>2890.00</v>
      </c>
      <c r="D8489" s="4"/>
    </row>
    <row collapsed="" customFormat="false" customHeight="1" hidden="" ht="14" outlineLevel="0" r="8490">
      <c r="A8490" s="3" t="inlineStr">
        <is>
          <t>8457</t>
        </is>
      </c>
      <c r="B8490" s="4" t="s">
        <f>=HYPERLINK("http://anyluxury.ru/shop/odezhda/zhilety/zhilet-flisoviy-manakin-sireneviy-1496677/" , "14966.77 Жилет флисовый Manakin, сиреневый, размер XS/S")</f>
      </c>
      <c r="C8490" s="4" t="n">
        <v>2890.00</v>
      </c>
      <c r="D8490" s="4"/>
    </row>
    <row collapsed="" customFormat="false" customHeight="1" hidden="" ht="14" outlineLevel="0" r="8491">
      <c r="A8491" s="3" t="inlineStr">
        <is>
          <t>8458</t>
        </is>
      </c>
      <c r="B8491" s="4" t="s">
        <f>=HYPERLINK("http://anyluxury.ru/shop/odezhda/zhilety/zhilet-flisoviy-manakin-sireneviy-1496677/" , "14966.77 Жилет флисовый Manakin, сиреневый, размер M/L")</f>
      </c>
      <c r="C8491" s="4" t="n">
        <v>2890.00</v>
      </c>
      <c r="D8491" s="4"/>
    </row>
    <row collapsed="" customFormat="false" customHeight="1" hidden="" ht="14" outlineLevel="0" r="8492">
      <c r="A8492" s="3" t="inlineStr">
        <is>
          <t>8459</t>
        </is>
      </c>
      <c r="B8492" s="4" t="s">
        <f>=HYPERLINK("http://anyluxury.ru/shop/odezhda/zhilety/zhilet-flisoviy-manakin-sireneviy-1496677/" , "14966.77 Жилет флисовый Manakin, сиреневый, размер XL/XXL")</f>
      </c>
      <c r="C8492" s="4" t="n">
        <v>2890.00</v>
      </c>
      <c r="D8492" s="4"/>
    </row>
    <row collapsed="" customFormat="false" customHeight="1" hidden="" ht="14" outlineLevel="0" r="8493">
      <c r="A8493" s="3" t="inlineStr">
        <is>
          <t>8460</t>
        </is>
      </c>
      <c r="B8493" s="4" t="s">
        <f>=HYPERLINK("http://anyluxury.ru/shop/odezhda/zhilety/zhilet-flisoviy-manakin-fioletoviy-1496678/" , "14966.78 Жилет флисовый Manakin, фиолетовый, размер XS/S")</f>
      </c>
      <c r="C8493" s="4" t="n">
        <v>2890.00</v>
      </c>
      <c r="D8493" s="4"/>
    </row>
    <row collapsed="" customFormat="false" customHeight="1" hidden="" ht="14" outlineLevel="0" r="8494">
      <c r="A8494" s="3" t="inlineStr">
        <is>
          <t>8461</t>
        </is>
      </c>
      <c r="B8494" s="4" t="s">
        <f>=HYPERLINK("http://anyluxury.ru/shop/odezhda/zhilety/zhilet-flisoviy-manakin-fioletoviy-1496678/" , "14966.78 Жилет флисовый Manakin, фиолетовый, размер M/L")</f>
      </c>
      <c r="C8494" s="4" t="n">
        <v>2890.00</v>
      </c>
      <c r="D8494" s="4"/>
    </row>
    <row collapsed="" customFormat="false" customHeight="1" hidden="" ht="14" outlineLevel="0" r="8495">
      <c r="A8495" s="3" t="inlineStr">
        <is>
          <t>8462</t>
        </is>
      </c>
      <c r="B8495" s="4" t="s">
        <f>=HYPERLINK("http://anyluxury.ru/shop/odezhda/zhilety/zhilet-flisoviy-manakin-fioletoviy-1496678/" , "14966.78 Жилет флисовый Manakin, фиолетовый, размер XL/XXL")</f>
      </c>
      <c r="C8495" s="4" t="n">
        <v>2890.00</v>
      </c>
      <c r="D8495" s="4"/>
    </row>
    <row collapsed="" customFormat="false" customHeight="1" hidden="" ht="14" outlineLevel="0" r="8496">
      <c r="A8496" s="3" t="inlineStr">
        <is>
          <t>8463</t>
        </is>
      </c>
      <c r="B8496" s="4" t="s">
        <f>=HYPERLINK("http://anyluxury.ru/shop/odezhda/zhilety/zhilet-orkney-s-kapyushonom-cherniy-1522230/" , "15222.30 Жилет Orkney с капюшоном, черный, размер XS/S")</f>
      </c>
      <c r="C8496" s="4" t="n">
        <v>4540.00</v>
      </c>
      <c r="D8496" s="4"/>
    </row>
    <row collapsed="" customFormat="false" customHeight="1" hidden="" ht="14" outlineLevel="0" r="8497">
      <c r="A8497" s="3" t="inlineStr">
        <is>
          <t>8464</t>
        </is>
      </c>
      <c r="B8497" s="4" t="s">
        <f>=HYPERLINK("http://anyluxury.ru/shop/odezhda/zhilety/zhilet-uniseks-fury-bw-haki-04041870/" , "04041870 Жилет унисекс Fury BW, хаки, размер XS")</f>
      </c>
      <c r="C8497" s="4" t="n">
        <v>5272.00</v>
      </c>
      <c r="D8497" s="4"/>
    </row>
    <row collapsed="" customFormat="false" customHeight="1" hidden="" ht="14" outlineLevel="0" r="8498">
      <c r="A8498" s="3" t="inlineStr">
        <is>
          <t>8465</t>
        </is>
      </c>
      <c r="B8498" s="4" t="s">
        <f>=HYPERLINK("http://anyluxury.ru/shop/odezhda/zhilety/zhilet-uniseks-fury-bw-haki-04041870/" , "04041870 Жилет унисекс Fury BW, хаки, размер S")</f>
      </c>
      <c r="C8498" s="4" t="n">
        <v>5272.00</v>
      </c>
      <c r="D8498" s="4"/>
    </row>
    <row collapsed="" customFormat="false" customHeight="1" hidden="" ht="14" outlineLevel="0" r="8499">
      <c r="A8499" s="3" t="inlineStr">
        <is>
          <t>8466</t>
        </is>
      </c>
      <c r="B8499" s="4" t="s">
        <f>=HYPERLINK("http://anyluxury.ru/shop/odezhda/zhilety/zhilet-uniseks-fury-bw-haki-04041870/" , "04041870 Жилет унисекс Fury BW, хаки, размер M")</f>
      </c>
      <c r="C8499" s="4" t="n">
        <v>5272.00</v>
      </c>
      <c r="D8499" s="4"/>
    </row>
    <row collapsed="" customFormat="false" customHeight="1" hidden="" ht="14" outlineLevel="0" r="8500">
      <c r="A8500" s="3" t="inlineStr">
        <is>
          <t>8467</t>
        </is>
      </c>
      <c r="B8500" s="4" t="s">
        <f>=HYPERLINK("http://anyluxury.ru/shop/odezhda/zhilety/zhilet-uniseks-fury-bw-haki-04041870/" , "04041870 Жилет унисекс Fury BW, хаки, размер L")</f>
      </c>
      <c r="C8500" s="4" t="n">
        <v>5272.00</v>
      </c>
      <c r="D8500" s="4"/>
    </row>
    <row collapsed="" customFormat="false" customHeight="1" hidden="" ht="14" outlineLevel="0" r="8501">
      <c r="A8501" s="3" t="inlineStr">
        <is>
          <t>8468</t>
        </is>
      </c>
      <c r="B8501" s="4" t="s">
        <f>=HYPERLINK("http://anyluxury.ru/shop/odezhda/zhilety/zhilet-uniseks-fury-bw-haki-04041870/" , "04041870 Жилет унисекс Fury BW, хаки, размер XL")</f>
      </c>
      <c r="C8501" s="4" t="n">
        <v>5272.00</v>
      </c>
      <c r="D8501" s="4"/>
    </row>
    <row collapsed="" customFormat="false" customHeight="1" hidden="" ht="14" outlineLevel="0" r="8502">
      <c r="A8502" s="3" t="inlineStr">
        <is>
          <t>8469</t>
        </is>
      </c>
      <c r="B8502" s="4" t="s">
        <f>=HYPERLINK("http://anyluxury.ru/shop/odezhda/zhilety/zhilet-uniseks-fury-bw-haki-04041870/" , "04041870 Жилет унисекс Fury BW, хаки, размер XXL")</f>
      </c>
      <c r="C8502" s="4" t="n">
        <v>5272.00</v>
      </c>
      <c r="D8502" s="4"/>
    </row>
    <row collapsed="" customFormat="false" customHeight="1" hidden="" ht="14" outlineLevel="0" r="8503">
      <c r="A8503" s="3" t="inlineStr">
        <is>
          <t>8470</t>
        </is>
      </c>
      <c r="B8503" s="4" t="s">
        <f>=HYPERLINK("http://anyluxury.ru/shop/odezhda/zhilety/zhilet-uniseks-fury-bw-haki-04041870/" , "04041870 Жилет унисекс Fury BW, хаки, размер 3XL")</f>
      </c>
      <c r="C8503" s="4" t="n">
        <v>6108.00</v>
      </c>
      <c r="D8503" s="4"/>
    </row>
    <row collapsed="" customFormat="false" customHeight="1" hidden="" ht="14" outlineLevel="0" r="8504">
      <c r="A8504" s="3" t="inlineStr">
        <is>
          <t>8471</t>
        </is>
      </c>
      <c r="B8504" s="4" t="s">
        <f>=HYPERLINK("http://anyluxury.ru/shop/odezhda/zhilety/zhilet-uniseks-fury-bw-temnoseriy-grafit-04041869/" , "04041869 Жилет унисекс Fury BW, темно-серый (графит), размер XS")</f>
      </c>
      <c r="C8504" s="4" t="n">
        <v>5272.00</v>
      </c>
      <c r="D8504" s="4"/>
    </row>
    <row collapsed="" customFormat="false" customHeight="1" hidden="" ht="14" outlineLevel="0" r="8505">
      <c r="A8505" s="3" t="inlineStr">
        <is>
          <t>8472</t>
        </is>
      </c>
      <c r="B8505" s="4" t="s">
        <f>=HYPERLINK("http://anyluxury.ru/shop/odezhda/zhilety/zhilet-uniseks-fury-bw-temnoseriy-grafit-04041869/" , "04041869 Жилет унисекс Fury BW, темно-серый (графит), размер S")</f>
      </c>
      <c r="C8505" s="4" t="n">
        <v>5272.00</v>
      </c>
      <c r="D8505" s="4"/>
    </row>
    <row collapsed="" customFormat="false" customHeight="1" hidden="" ht="14" outlineLevel="0" r="8506">
      <c r="A8506" s="3" t="inlineStr">
        <is>
          <t>8473</t>
        </is>
      </c>
      <c r="B8506" s="4" t="s">
        <f>=HYPERLINK("http://anyluxury.ru/shop/odezhda/zhilety/zhilet-uniseks-fury-bw-temnoseriy-grafit-04041869/" , "04041869 Жилет унисекс Fury BW, темно-серый (графит), размер M")</f>
      </c>
      <c r="C8506" s="4" t="n">
        <v>5272.00</v>
      </c>
      <c r="D8506" s="4"/>
    </row>
    <row collapsed="" customFormat="false" customHeight="1" hidden="" ht="14" outlineLevel="0" r="8507">
      <c r="A8507" s="3" t="inlineStr">
        <is>
          <t>8474</t>
        </is>
      </c>
      <c r="B8507" s="4" t="s">
        <f>=HYPERLINK("http://anyluxury.ru/shop/odezhda/zhilety/zhilet-uniseks-fury-bw-temnoseriy-grafit-04041869/" , "04041869 Жилет унисекс Fury BW, темно-серый (графит), размер L")</f>
      </c>
      <c r="C8507" s="4" t="n">
        <v>5272.00</v>
      </c>
      <c r="D8507" s="4"/>
    </row>
    <row collapsed="" customFormat="false" customHeight="1" hidden="" ht="14" outlineLevel="0" r="8508">
      <c r="A8508" s="3" t="inlineStr">
        <is>
          <t>8475</t>
        </is>
      </c>
      <c r="B8508" s="4" t="s">
        <f>=HYPERLINK("http://anyluxury.ru/shop/odezhda/zhilety/zhilet-uniseks-fury-bw-temnoseriy-grafit-04041869/" , "04041869 Жилет унисекс Fury BW, темно-серый (графит), размер XL")</f>
      </c>
      <c r="C8508" s="4" t="n">
        <v>5272.00</v>
      </c>
      <c r="D8508" s="4"/>
    </row>
    <row collapsed="" customFormat="false" customHeight="1" hidden="" ht="14" outlineLevel="0" r="8509">
      <c r="A8509" s="3" t="inlineStr">
        <is>
          <t>8476</t>
        </is>
      </c>
      <c r="B8509" s="4" t="s">
        <f>=HYPERLINK("http://anyluxury.ru/shop/odezhda/zhilety/zhilet-uniseks-fury-bw-temnoseriy-grafit-04041869/" , "04041869 Жилет унисекс Fury BW, темно-серый (графит), размер XXL")</f>
      </c>
      <c r="C8509" s="4" t="n">
        <v>5272.00</v>
      </c>
      <c r="D8509" s="4"/>
    </row>
    <row collapsed="" customFormat="false" customHeight="1" hidden="" ht="14" outlineLevel="0" r="8510">
      <c r="A8510" s="3" t="inlineStr">
        <is>
          <t>8477</t>
        </is>
      </c>
      <c r="B8510" s="4" t="s">
        <f>=HYPERLINK("http://anyluxury.ru/shop/odezhda/zhilety/zhilet-uniseks-fury-bw-temnoseriy-grafit-04041869/" , "04041869 Жилет унисекс Fury BW, темно-серый (графит), размер 3XL")</f>
      </c>
      <c r="C8510" s="4" t="n">
        <v>6108.00</v>
      </c>
      <c r="D8510" s="4"/>
    </row>
    <row collapsed="" customFormat="false" customHeight="1" hidden="" ht="14" outlineLevel="0" r="8511">
      <c r="A8511" s="3" t="inlineStr">
        <is>
          <t>8478</t>
        </is>
      </c>
      <c r="B8511" s="4" t="s">
        <f>=HYPERLINK("http://anyluxury.ru/shop/odezhda/zhilety/zhilet-uniseks-fury-bw-bezheviy-04041871/" , "04041871 Жилет унисекс Fury BW, бежевый, размер XS")</f>
      </c>
      <c r="C8511" s="4" t="n">
        <v>5272.00</v>
      </c>
      <c r="D8511" s="4"/>
    </row>
    <row collapsed="" customFormat="false" customHeight="1" hidden="" ht="14" outlineLevel="0" r="8512">
      <c r="A8512" s="3" t="inlineStr">
        <is>
          <t>8479</t>
        </is>
      </c>
      <c r="B8512" s="4" t="s">
        <f>=HYPERLINK("http://anyluxury.ru/shop/odezhda/zhilety/zhilet-uniseks-fury-bw-bezheviy-04041871/" , "04041871 Жилет унисекс Fury BW, бежевый, размер S")</f>
      </c>
      <c r="C8512" s="4" t="n">
        <v>5272.00</v>
      </c>
      <c r="D8512" s="4"/>
    </row>
    <row collapsed="" customFormat="false" customHeight="1" hidden="" ht="14" outlineLevel="0" r="8513">
      <c r="A8513" s="3" t="inlineStr">
        <is>
          <t>8480</t>
        </is>
      </c>
      <c r="B8513" s="4" t="s">
        <f>=HYPERLINK("http://anyluxury.ru/shop/odezhda/zhilety/zhilet-uniseks-fury-bw-bezheviy-04041871/" , "04041871 Жилет унисекс Fury BW, бежевый, размер M")</f>
      </c>
      <c r="C8513" s="4" t="n">
        <v>5272.00</v>
      </c>
      <c r="D8513" s="4"/>
    </row>
    <row collapsed="" customFormat="false" customHeight="1" hidden="" ht="14" outlineLevel="0" r="8514">
      <c r="A8514" s="3" t="inlineStr">
        <is>
          <t>8481</t>
        </is>
      </c>
      <c r="B8514" s="4" t="s">
        <f>=HYPERLINK("http://anyluxury.ru/shop/odezhda/zhilety/zhilet-uniseks-fury-bw-bezheviy-04041871/" , "04041871 Жилет унисекс Fury BW, бежевый, размер L")</f>
      </c>
      <c r="C8514" s="4" t="n">
        <v>5272.00</v>
      </c>
      <c r="D8514" s="4"/>
    </row>
    <row collapsed="" customFormat="false" customHeight="1" hidden="" ht="14" outlineLevel="0" r="8515">
      <c r="A8515" s="3" t="inlineStr">
        <is>
          <t>8482</t>
        </is>
      </c>
      <c r="B8515" s="4" t="s">
        <f>=HYPERLINK("http://anyluxury.ru/shop/odezhda/zhilety/zhilet-uniseks-fury-bw-bezheviy-04041871/" , "04041871 Жилет унисекс Fury BW, бежевый, размер XL")</f>
      </c>
      <c r="C8515" s="4" t="n">
        <v>5272.00</v>
      </c>
      <c r="D8515" s="4"/>
    </row>
    <row collapsed="" customFormat="false" customHeight="1" hidden="" ht="14" outlineLevel="0" r="8516">
      <c r="A8516" s="3" t="inlineStr">
        <is>
          <t>8483</t>
        </is>
      </c>
      <c r="B8516" s="4" t="s">
        <f>=HYPERLINK("http://anyluxury.ru/shop/odezhda/zhilety/zhilet-uniseks-fury-bw-bezheviy-04041871/" , "04041871 Жилет унисекс Fury BW, бежевый, размер XXL")</f>
      </c>
      <c r="C8516" s="4" t="n">
        <v>5272.00</v>
      </c>
      <c r="D8516" s="4"/>
    </row>
    <row collapsed="" customFormat="false" customHeight="1" hidden="" ht="14" outlineLevel="0" r="8517">
      <c r="A8517" s="3" t="inlineStr">
        <is>
          <t>8484</t>
        </is>
      </c>
      <c r="B8517" s="4" t="s">
        <f>=HYPERLINK("http://anyluxury.ru/shop/odezhda/zhilety/zhilet-uniseks-fury-bw-bezheviy-04041871/" , "04041871 Жилет унисекс Fury BW, бежевый, размер 3XL")</f>
      </c>
      <c r="C8517" s="4" t="n">
        <v>6108.00</v>
      </c>
      <c r="D8517" s="4"/>
    </row>
    <row collapsed="" customFormat="false" customHeight="1" hidden="" ht="14" outlineLevel="0" r="8518">
      <c r="A8518" s="3" t="inlineStr">
        <is>
          <t>8485</t>
        </is>
      </c>
      <c r="B8518" s="4" t="s">
        <f>=HYPERLINK("http://anyluxury.ru/shop/odezhda/zhilety/zhilet-leven-temnosiniy-1411640/" , "14116.40 Жилет Leven, темно-синий, размер S")</f>
      </c>
      <c r="C8518" s="4" t="n">
        <v>3190.00</v>
      </c>
      <c r="D8518" s="4"/>
    </row>
    <row collapsed="" customFormat="false" customHeight="1" hidden="" ht="14" outlineLevel="0" r="8519">
      <c r="A8519" s="3" t="inlineStr">
        <is>
          <t>8486</t>
        </is>
      </c>
      <c r="B8519" s="4" t="s">
        <f>=HYPERLINK("http://anyluxury.ru/shop/odezhda/zhilety/zhilet-leven-temnosiniy-1411640/" , "14116.40 Жилет Leven, темно-синий, размер M")</f>
      </c>
      <c r="C8519" s="4" t="n">
        <v>3190.00</v>
      </c>
      <c r="D8519" s="4"/>
    </row>
    <row collapsed="" customFormat="false" customHeight="1" hidden="" ht="14" outlineLevel="0" r="8520">
      <c r="A8520" s="3" t="inlineStr">
        <is>
          <t>8487</t>
        </is>
      </c>
      <c r="B8520" s="4" t="s">
        <f>=HYPERLINK("http://anyluxury.ru/shop/odezhda/zhilety/zhilet-leven-temnosiniy-1411640/" , "14116.40 Жилет Leven, темно-синий, размер L")</f>
      </c>
      <c r="C8520" s="4" t="n">
        <v>3190.00</v>
      </c>
      <c r="D8520" s="4"/>
    </row>
    <row collapsed="" customFormat="false" customHeight="1" hidden="" ht="14" outlineLevel="0" r="8521">
      <c r="A8521" s="3" t="inlineStr">
        <is>
          <t>8488</t>
        </is>
      </c>
      <c r="B8521" s="4" t="s">
        <f>=HYPERLINK("http://anyluxury.ru/shop/odezhda/zhilety/zhilet-leven-temnosiniy-1411640/" , "14116.40 Жилет Leven, темно-синий, размер XL")</f>
      </c>
      <c r="C8521" s="4" t="n">
        <v>3190.00</v>
      </c>
      <c r="D8521" s="4"/>
    </row>
    <row collapsed="" customFormat="false" customHeight="1" hidden="" ht="14" outlineLevel="0" r="8522">
      <c r="A8522" s="3" t="inlineStr">
        <is>
          <t>8489</t>
        </is>
      </c>
      <c r="B8522" s="4" t="s">
        <f>=HYPERLINK("http://anyluxury.ru/shop/odezhda/zhilety/zhilet-leven-temnosiniy-1411640/" , "14116.40 Жилет Leven, темно-синий, размер XXL")</f>
      </c>
      <c r="C8522" s="4" t="n">
        <v>3190.00</v>
      </c>
      <c r="D8522" s="4"/>
    </row>
    <row collapsed="" customFormat="false" customHeight="1" hidden="" ht="14" outlineLevel="0" r="8523">
      <c r="A8523" s="3" t="inlineStr">
        <is>
          <t>8490</t>
        </is>
      </c>
      <c r="B8523" s="4" t="s">
        <f>=HYPERLINK("http://anyluxury.ru/shop/odezhda/zhilety/zhilet-leven-temnosiniy-1411640/" , "14116.40 Жилет Leven, темно-синий, размер 3XL")</f>
      </c>
      <c r="C8523" s="4" t="n">
        <v>3190.00</v>
      </c>
      <c r="D8523" s="4"/>
    </row>
    <row collapsed="" customFormat="false" customHeight="1" hidden="" ht="14" outlineLevel="0" r="8524">
      <c r="A8524" s="3" t="inlineStr">
        <is>
          <t>8491</t>
        </is>
      </c>
      <c r="B8524" s="4" t="s">
        <f>=HYPERLINK("http://anyluxury.ru/shop/odezhda/zhilety/zhilet-oversayz-tricksy-net-na-zakaz-akril-1883401/" , "18834.01 Жилет оверсайз Tricksy Net на заказ, акрил")</f>
      </c>
      <c r="C8524" s="4" t="n">
        <v>4838.00</v>
      </c>
      <c r="D8524" s="4"/>
    </row>
    <row collapsed="" customFormat="false" customHeight="1" hidden="" ht="14" outlineLevel="0" r="8525">
      <c r="A8525" s="3" t="inlineStr">
        <is>
          <t>8492</t>
        </is>
      </c>
      <c r="B8525" s="4" t="s">
        <f>=HYPERLINK("http://anyluxury.ru/shop/odezhda/zhilety/zhilet-oversayz-na-zakaz-tricksy-terra-akril-1883501/" , "18835.01 Жилет оверсайз на заказ Tricksy Terra, акрил")</f>
      </c>
      <c r="C8525" s="4" t="n">
        <v>5174.00</v>
      </c>
      <c r="D8525" s="4"/>
    </row>
    <row collapsed="" customFormat="false" customHeight="1" hidden="" ht="14" outlineLevel="0" r="8526">
      <c r="A8526" s="3" t="inlineStr">
        <is>
          <t>8493</t>
        </is>
      </c>
      <c r="B8526" s="4" t="s">
        <f>=HYPERLINK("http://anyluxury.ru/shop/odezhda/zhilety/zhilet-na-zakaz-classic-fint-akril-1899501/" , "18995.01 Жилет на заказ Classic Fint, акрил")</f>
      </c>
      <c r="C8526" s="4" t="n">
        <v>3478.00</v>
      </c>
      <c r="D8526" s="4"/>
    </row>
    <row collapsed="" customFormat="false" customHeight="1" hidden="" ht="14" outlineLevel="0" r="8527">
      <c r="A8527" s="3" t="inlineStr">
        <is>
          <t>8494</t>
        </is>
      </c>
      <c r="B8527" s="4" t="s">
        <f>=HYPERLINK("http://anyluxury.ru/shop/odezhda/zhilety/zhilet-na-zakaz-classic-fint-polusherst-1899502/" , "18995.02 Жилет на заказ Classic Fint, полушерсть")</f>
      </c>
      <c r="C8527" s="4" t="n">
        <v>3859.00</v>
      </c>
      <c r="D8527" s="4"/>
    </row>
    <row collapsed="" customFormat="false" customHeight="1" hidden="" ht="14" outlineLevel="0" r="8528">
      <c r="A8528" s="3" t="inlineStr">
        <is>
          <t>8495</t>
        </is>
      </c>
      <c r="B8528" s="4" t="s">
        <f>=HYPERLINK("http://anyluxury.ru/shop/odezhda/zhilety/zhilet-leven-temnoseriy-grafit-1411610/" , "14116.10 Жилет Leven, темно-серый (графит), размер XS")</f>
      </c>
      <c r="C8528" s="4" t="n">
        <v>3190.00</v>
      </c>
      <c r="D8528" s="4"/>
    </row>
    <row collapsed="" customFormat="false" customHeight="1" hidden="" ht="14" outlineLevel="0" r="8529">
      <c r="A8529" s="3" t="inlineStr">
        <is>
          <t>8496</t>
        </is>
      </c>
      <c r="B8529" s="4" t="s">
        <f>=HYPERLINK("http://anyluxury.ru/shop/odezhda/zhilety/zhilet-leven-temnoseriy-grafit-1411610/" , "14116.10 Жилет Leven, темно-серый (графит), размер S")</f>
      </c>
      <c r="C8529" s="4" t="n">
        <v>3190.00</v>
      </c>
      <c r="D8529" s="4"/>
    </row>
    <row collapsed="" customFormat="false" customHeight="1" hidden="" ht="14" outlineLevel="0" r="8530">
      <c r="A8530" s="3" t="inlineStr">
        <is>
          <t>8497</t>
        </is>
      </c>
      <c r="B8530" s="4" t="s">
        <f>=HYPERLINK("http://anyluxury.ru/shop/odezhda/zhilety/zhilet-leven-temnoseriy-grafit-1411610/" , "14116.10 Жилет Leven, темно-серый (графит), размер M")</f>
      </c>
      <c r="C8530" s="4" t="n">
        <v>3190.00</v>
      </c>
      <c r="D8530" s="4"/>
    </row>
    <row collapsed="" customFormat="false" customHeight="1" hidden="" ht="14" outlineLevel="0" r="8531">
      <c r="A8531" s="3" t="inlineStr">
        <is>
          <t>8498</t>
        </is>
      </c>
      <c r="B8531" s="4" t="s">
        <f>=HYPERLINK("http://anyluxury.ru/shop/odezhda/zhilety/zhilet-leven-temnoseriy-grafit-1411610/" , "14116.10 Жилет Leven, темно-серый (графит), размер XL")</f>
      </c>
      <c r="C8531" s="4" t="n">
        <v>3190.00</v>
      </c>
      <c r="D8531" s="4"/>
    </row>
    <row collapsed="" customFormat="false" customHeight="1" hidden="" ht="14" outlineLevel="0" r="8532">
      <c r="A8532" s="3" t="inlineStr">
        <is>
          <t>8499</t>
        </is>
      </c>
      <c r="B8532" s="4" t="s">
        <f>=HYPERLINK("http://anyluxury.ru/shop/odezhda/zhilety/zhilet-leven-temnoseriy-grafit-1411610/" , "14116.10 Жилет Leven, темно-серый (графит), размер XXL")</f>
      </c>
      <c r="C8532" s="4" t="n">
        <v>3190.00</v>
      </c>
      <c r="D8532" s="4"/>
    </row>
    <row collapsed="" customFormat="false" customHeight="1" hidden="" ht="14" outlineLevel="0" r="8533">
      <c r="A8533" s="3" t="inlineStr">
        <is>
          <t>8500</t>
        </is>
      </c>
      <c r="B8533" s="4" t="s">
        <f>=HYPERLINK("http://anyluxury.ru/shop/odezhda/zhilety/zhilet-leven-temnoseriy-grafit-1411610/" , "14116.10 Жилет Leven, темно-серый (графит), размер 3XL")</f>
      </c>
      <c r="C8533" s="4" t="n">
        <v>3190.00</v>
      </c>
      <c r="D8533" s="4"/>
    </row>
    <row collapsed="" customFormat="false" customHeight="1" hidden="" ht="14" outlineLevel="0" r="8534">
      <c r="A8534" s="3" t="inlineStr">
        <is>
          <t>8501</t>
        </is>
      </c>
      <c r="B8534" s="4" t="s">
        <f>=HYPERLINK("http://anyluxury.ru/shop/odezhda/zhilety/zhilet-leven-krasniy-1411650/" , "14116.50 Жилет Leven, красный, размер XS")</f>
      </c>
      <c r="C8534" s="4" t="n">
        <v>3190.00</v>
      </c>
      <c r="D8534" s="4"/>
    </row>
    <row collapsed="" customFormat="false" customHeight="1" hidden="" ht="14" outlineLevel="0" r="8535">
      <c r="A8535" s="3" t="inlineStr">
        <is>
          <t>8502</t>
        </is>
      </c>
      <c r="B8535" s="4" t="s">
        <f>=HYPERLINK("http://anyluxury.ru/shop/odezhda/zhilety/zhilet-leven-krasniy-1411650/" , "14116.50 Жилет Leven, красный, размер S")</f>
      </c>
      <c r="C8535" s="4" t="n">
        <v>3190.00</v>
      </c>
      <c r="D8535" s="4"/>
    </row>
    <row collapsed="" customFormat="false" customHeight="1" hidden="" ht="14" outlineLevel="0" r="8536">
      <c r="A8536" s="3" t="inlineStr">
        <is>
          <t>8503</t>
        </is>
      </c>
      <c r="B8536" s="4" t="s">
        <f>=HYPERLINK("http://anyluxury.ru/shop/odezhda/zhilety/zhilet-leven-krasniy-1411650/" , "14116.50 Жилет Leven, красный, размер M")</f>
      </c>
      <c r="C8536" s="4" t="n">
        <v>3190.00</v>
      </c>
      <c r="D8536" s="4"/>
    </row>
    <row collapsed="" customFormat="false" customHeight="1" hidden="" ht="14" outlineLevel="0" r="8537">
      <c r="A8537" s="3" t="inlineStr">
        <is>
          <t>8504</t>
        </is>
      </c>
      <c r="B8537" s="4" t="s">
        <f>=HYPERLINK("http://anyluxury.ru/shop/odezhda/zhilety/zhilet-leven-krasniy-1411650/" , "14116.50 Жилет Leven, красный, размер L")</f>
      </c>
      <c r="C8537" s="4" t="n">
        <v>3190.00</v>
      </c>
      <c r="D8537" s="4"/>
    </row>
    <row collapsed="" customFormat="false" customHeight="1" hidden="" ht="14" outlineLevel="0" r="8538">
      <c r="A8538" s="3" t="inlineStr">
        <is>
          <t>8505</t>
        </is>
      </c>
      <c r="B8538" s="4" t="s">
        <f>=HYPERLINK("http://anyluxury.ru/shop/odezhda/zhilety/zhilet-leven-krasniy-1411650/" , "14116.50 Жилет Leven, красный, размер XL")</f>
      </c>
      <c r="C8538" s="4" t="n">
        <v>3190.00</v>
      </c>
      <c r="D8538" s="4"/>
    </row>
    <row collapsed="" customFormat="false" customHeight="1" hidden="" ht="14" outlineLevel="0" r="8539">
      <c r="A8539" s="3" t="inlineStr">
        <is>
          <t>8506</t>
        </is>
      </c>
      <c r="B8539" s="4" t="s">
        <f>=HYPERLINK("http://anyluxury.ru/shop/odezhda/zhilety/zhilet-leven-krasniy-1411650/" , "14116.50 Жилет Leven, красный, размер XXL")</f>
      </c>
      <c r="C8539" s="4" t="n">
        <v>3190.00</v>
      </c>
      <c r="D8539" s="4"/>
    </row>
    <row collapsed="" customFormat="false" customHeight="1" hidden="" ht="14" outlineLevel="0" r="8540">
      <c r="A8540" s="3" t="inlineStr">
        <is>
          <t>8507</t>
        </is>
      </c>
      <c r="B8540" s="4" t="s">
        <f>=HYPERLINK("http://anyluxury.ru/shop/odezhda/zhilety/zhilet-muzhskoy-stockholm-seriy-1627010/" , "16270.10 Жилет мужской Stokholm, серый, размер S")</f>
      </c>
      <c r="C8540" s="4" t="n">
        <v>4619.00</v>
      </c>
      <c r="D8540" s="4"/>
    </row>
    <row collapsed="" customFormat="false" customHeight="1" hidden="" ht="14" outlineLevel="0" r="8541">
      <c r="A8541" s="3" t="inlineStr">
        <is>
          <t>8508</t>
        </is>
      </c>
      <c r="B8541" s="4" t="s">
        <f>=HYPERLINK("http://anyluxury.ru/shop/odezhda/zhilety/zhilet-muzhskoy-stockholm-seriy-1627010/" , "16270.10 Жилет мужской Stokholm, серый, размер M")</f>
      </c>
      <c r="C8541" s="4" t="n">
        <v>4619.00</v>
      </c>
      <c r="D8541" s="4"/>
    </row>
    <row collapsed="" customFormat="false" customHeight="1" hidden="" ht="14" outlineLevel="0" r="8542">
      <c r="A8542" s="3" t="inlineStr">
        <is>
          <t>8509</t>
        </is>
      </c>
      <c r="B8542" s="4" t="s">
        <f>=HYPERLINK("http://anyluxury.ru/shop/odezhda/zhilety/zhilet-muzhskoy-stockholm-seriy-1627010/" , "16270.10 Жилет мужской Stokholm, серый, размер L")</f>
      </c>
      <c r="C8542" s="4" t="n">
        <v>4619.00</v>
      </c>
      <c r="D8542" s="4"/>
    </row>
    <row collapsed="" customFormat="false" customHeight="1" hidden="" ht="14" outlineLevel="0" r="8543">
      <c r="A8543" s="3" t="inlineStr">
        <is>
          <t>8510</t>
        </is>
      </c>
      <c r="B8543" s="4" t="s">
        <f>=HYPERLINK("http://anyluxury.ru/shop/odezhda/zhilety/zhilet-muzhskoy-stockholm-seriy-1627010/" , "16270.10 Жилет мужской Stokholm, серый, размер XL")</f>
      </c>
      <c r="C8543" s="4" t="n">
        <v>4619.00</v>
      </c>
      <c r="D8543" s="4"/>
    </row>
    <row collapsed="" customFormat="false" customHeight="1" hidden="" ht="14" outlineLevel="0" r="8544">
      <c r="A8544" s="3" t="inlineStr">
        <is>
          <t>8511</t>
        </is>
      </c>
      <c r="B8544" s="4" t="s">
        <f>=HYPERLINK("http://anyluxury.ru/shop/odezhda/zhilety/zhilet-muzhskoy-stockholm-seriy-1627010/" , "16270.10 Жилет мужской Stokholm, серый, размер XXL")</f>
      </c>
      <c r="C8544" s="4" t="n">
        <v>4619.00</v>
      </c>
      <c r="D8544" s="4"/>
    </row>
    <row collapsed="" customFormat="false" customHeight="1" hidden="" ht="14" outlineLevel="0" r="8545">
      <c r="A8545" s="3" t="inlineStr">
        <is>
          <t>8512</t>
        </is>
      </c>
      <c r="B8545" s="4" t="s">
        <f>=HYPERLINK("http://anyluxury.ru/shop/odezhda/zhilety/zhilet-muzhskoy-stockholm-seriy-1627010/" , "16270.10 Жилет мужской Stokholm, серый, размер 3XL")</f>
      </c>
      <c r="C8545" s="4" t="n">
        <v>4619.00</v>
      </c>
      <c r="D8545" s="4"/>
    </row>
    <row collapsed="" customFormat="false" customHeight="1" hidden="" ht="14" outlineLevel="0" r="8546">
      <c r="A8546" s="3" t="inlineStr">
        <is>
          <t>8513</t>
        </is>
      </c>
      <c r="B8546" s="4" t="s">
        <f>=HYPERLINK("http://anyluxury.ru/shop/odezhda/zhilety/zhilet-muzhskoy-stockholm-temnosiniy-1627040/" , "16270.40 Жилет мужской Stokholm, темно-синий, размер S")</f>
      </c>
      <c r="C8546" s="4" t="n">
        <v>4619.00</v>
      </c>
      <c r="D8546" s="4"/>
    </row>
    <row collapsed="" customFormat="false" customHeight="1" hidden="" ht="14" outlineLevel="0" r="8547">
      <c r="A8547" s="3" t="inlineStr">
        <is>
          <t>8514</t>
        </is>
      </c>
      <c r="B8547" s="4" t="s">
        <f>=HYPERLINK("http://anyluxury.ru/shop/odezhda/zhilety/zhilet-muzhskoy-stockholm-temnosiniy-1627040/" , "16270.40 Жилет мужской Stokholm, темно-синий, размер M")</f>
      </c>
      <c r="C8547" s="4" t="n">
        <v>4619.00</v>
      </c>
      <c r="D8547" s="4"/>
    </row>
    <row collapsed="" customFormat="false" customHeight="1" hidden="" ht="14" outlineLevel="0" r="8548">
      <c r="A8548" s="3" t="inlineStr">
        <is>
          <t>8515</t>
        </is>
      </c>
      <c r="B8548" s="4" t="s">
        <f>=HYPERLINK("http://anyluxury.ru/shop/odezhda/zhilety/zhilet-muzhskoy-stockholm-temnosiniy-1627040/" , "16270.40 Жилет мужской Stokholm, темно-синий, размер XXL")</f>
      </c>
      <c r="C8548" s="4" t="n">
        <v>4619.00</v>
      </c>
      <c r="D8548" s="4"/>
    </row>
    <row collapsed="" customFormat="false" customHeight="1" hidden="" ht="14" outlineLevel="0" r="8549">
      <c r="A8549" s="3" t="inlineStr">
        <is>
          <t>8516</t>
        </is>
      </c>
      <c r="B8549" s="4" t="s">
        <f>=HYPERLINK("http://anyluxury.ru/shop/odezhda/zhilety/zhilet-muzhskoy-stockholm-temnosiniy-1627040/" , "16270.40 Жилет мужской Stokholm, темно-синий, размер 3XL")</f>
      </c>
      <c r="C8549" s="4" t="n">
        <v>4619.00</v>
      </c>
      <c r="D8549" s="4"/>
    </row>
    <row collapsed="" customFormat="false" customHeight="1" hidden="" ht="14" outlineLevel="0" r="8550">
      <c r="A8550" s="3" t="inlineStr">
        <is>
          <t>8517</t>
        </is>
      </c>
      <c r="B8550" s="4" t="s">
        <f>=HYPERLINK("http://anyluxury.ru/shop/odezhda/zhilety/zhilet-muzhskoy-stockholm-cherniy-1627030/" , "16270.30 Жилет мужской Stokholm, черный, размер S")</f>
      </c>
      <c r="C8550" s="4" t="n">
        <v>4619.00</v>
      </c>
      <c r="D8550" s="4"/>
    </row>
    <row collapsed="" customFormat="false" customHeight="1" hidden="" ht="14" outlineLevel="0" r="8551">
      <c r="A8551" s="3" t="inlineStr">
        <is>
          <t>8518</t>
        </is>
      </c>
      <c r="B8551" s="4" t="s">
        <f>=HYPERLINK("http://anyluxury.ru/shop/odezhda/zhilety/zhilet-muzhskoy-stockholm-cherniy-1627030/" , "16270.30 Жилет мужской Stokholm, черный, размер M")</f>
      </c>
      <c r="C8551" s="4" t="n">
        <v>4619.00</v>
      </c>
      <c r="D8551" s="4"/>
    </row>
    <row collapsed="" customFormat="false" customHeight="1" hidden="" ht="14" outlineLevel="0" r="8552">
      <c r="A8552" s="3" t="inlineStr">
        <is>
          <t>8519</t>
        </is>
      </c>
      <c r="B8552" s="4" t="s">
        <f>=HYPERLINK("http://anyluxury.ru/shop/odezhda/zhilety/zhilet-muzhskoy-stockholm-cherniy-1627030/" , "16270.30 Жилет мужской Stokholm, черный, размер L")</f>
      </c>
      <c r="C8552" s="4" t="n">
        <v>4619.00</v>
      </c>
      <c r="D8552" s="4"/>
    </row>
    <row collapsed="" customFormat="false" customHeight="1" hidden="" ht="14" outlineLevel="0" r="8553">
      <c r="A8553" s="3" t="inlineStr">
        <is>
          <t>8520</t>
        </is>
      </c>
      <c r="B8553" s="4" t="s">
        <f>=HYPERLINK("http://anyluxury.ru/shop/odezhda/zhilety/zhilet-muzhskoy-stockholm-cherniy-1627030/" , "16270.30 Жилет мужской Stokholm, черный, размер XL")</f>
      </c>
      <c r="C8553" s="4" t="n">
        <v>4619.00</v>
      </c>
      <c r="D8553" s="4"/>
    </row>
    <row collapsed="" customFormat="false" customHeight="1" hidden="" ht="14" outlineLevel="0" r="8554">
      <c r="A8554" s="3" t="inlineStr">
        <is>
          <t>8521</t>
        </is>
      </c>
      <c r="B8554" s="4" t="s">
        <f>=HYPERLINK("http://anyluxury.ru/shop/odezhda/zhilety/zhilet-muzhskoy-stockholm-cherniy-1627030/" , "16270.30 Жилет мужской Stokholm, черный, размер XXL")</f>
      </c>
      <c r="C8554" s="4" t="n">
        <v>4619.00</v>
      </c>
      <c r="D8554" s="4"/>
    </row>
    <row collapsed="" customFormat="false" customHeight="1" hidden="" ht="14" outlineLevel="0" r="8555">
      <c r="A8555" s="3" t="inlineStr">
        <is>
          <t>8522</t>
        </is>
      </c>
      <c r="B8555" s="4" t="s">
        <f>=HYPERLINK("http://anyluxury.ru/shop/odezhda/zhilety/zhilet-muzhskoy-stockholm-cherniy-1627030/" , "16270.30 Жилет мужской Stokholm, черный, размер 3XL")</f>
      </c>
      <c r="C8555" s="4" t="n">
        <v>4619.00</v>
      </c>
      <c r="D8555" s="4"/>
    </row>
    <row collapsed="" customFormat="false" customHeight="1" hidden="" ht="14" outlineLevel="0" r="8556">
      <c r="A8556" s="3" t="inlineStr">
        <is>
          <t>8523</t>
        </is>
      </c>
      <c r="B8556" s="4" t="s">
        <f>=HYPERLINK("http://anyluxury.ru/shop/odezhda/zhilety/zhilet-flisoviy-manakin-seriy-1496611/" , "14966.11 Жилет флисовый Manakin, серый, размер XS/S")</f>
      </c>
      <c r="C8556" s="4" t="n">
        <v>2390.00</v>
      </c>
      <c r="D8556" s="4"/>
    </row>
    <row collapsed="" customFormat="false" customHeight="1" hidden="" ht="14" outlineLevel="0" r="8557">
      <c r="A8557" s="3" t="inlineStr">
        <is>
          <t>8524</t>
        </is>
      </c>
      <c r="B8557" s="4" t="s">
        <f>=HYPERLINK("http://anyluxury.ru/shop/odezhda/zhilety/zhilet-flisoviy-manakin-seriy-1496611/" , "14966.11 Жилет флисовый Manakin, серый, размер M/L")</f>
      </c>
      <c r="C8557" s="4" t="n">
        <v>2390.00</v>
      </c>
      <c r="D8557" s="4"/>
    </row>
    <row collapsed="" customFormat="false" customHeight="1" hidden="" ht="14" outlineLevel="0" r="8558">
      <c r="A8558" s="3" t="inlineStr">
        <is>
          <t>8525</t>
        </is>
      </c>
      <c r="B8558" s="4" t="s">
        <f>=HYPERLINK("http://anyluxury.ru/shop/odezhda/zhilety/zhilet-flisoviy-manakin-seriy-1496611/" , "14966.11 Жилет флисовый Manakin, серый, размер XL/XXL")</f>
      </c>
      <c r="C8558" s="4" t="n">
        <v>2390.00</v>
      </c>
      <c r="D8558" s="4"/>
    </row>
    <row collapsed="" customFormat="false" customHeight="1" hidden="" ht="14" outlineLevel="0" r="8559">
      <c r="A8559" s="3" t="inlineStr">
        <is>
          <t>8526</t>
        </is>
      </c>
      <c r="B8559" s="4" t="s">
        <f>=HYPERLINK("http://anyluxury.ru/shop/odezhda/zhilety/zhilet-falcon-bw-women-siniy-03826232/" , "03826232 Жилет Falcon BW Women, синий, размер S")</f>
      </c>
      <c r="C8559" s="4" t="n">
        <v>4219.00</v>
      </c>
      <c r="D8559" s="4"/>
    </row>
    <row collapsed="" customFormat="false" customHeight="1" hidden="" ht="14" outlineLevel="0" r="8560">
      <c r="A8560" s="3" t="inlineStr">
        <is>
          <t>8527</t>
        </is>
      </c>
      <c r="B8560" s="4" t="s">
        <f>=HYPERLINK("http://anyluxury.ru/shop/odezhda/zhilety/zhilet-falcon-bw-women-siniy-03826232/" , "03826232 Жилет Falcon BW Women, синий, размер M")</f>
      </c>
      <c r="C8560" s="4" t="n">
        <v>4219.00</v>
      </c>
      <c r="D8560" s="4"/>
    </row>
    <row collapsed="" customFormat="false" customHeight="1" hidden="" ht="14" outlineLevel="0" r="8561">
      <c r="A8561" s="3" t="inlineStr">
        <is>
          <t>8528</t>
        </is>
      </c>
      <c r="B8561" s="4" t="s">
        <f>=HYPERLINK("http://anyluxury.ru/shop/odezhda/zhilety/zhilet-falcon-bw-women-siniy-03826232/" , "03826232 Жилет Falcon BW Women, синий, размер L")</f>
      </c>
      <c r="C8561" s="4" t="n">
        <v>4219.00</v>
      </c>
      <c r="D8561" s="4"/>
    </row>
    <row collapsed="" customFormat="false" customHeight="1" hidden="" ht="14" outlineLevel="0" r="8562">
      <c r="A8562" s="3" t="inlineStr">
        <is>
          <t>8529</t>
        </is>
      </c>
      <c r="B8562" s="4" t="s">
        <f>=HYPERLINK("http://anyluxury.ru/shop/odezhda/zhilety/zhilet-falcon-bw-women-siniy-03826232/" , "03826232 Жилет Falcon BW Women, синий, размер XL")</f>
      </c>
      <c r="C8562" s="4" t="n">
        <v>4219.00</v>
      </c>
      <c r="D8562" s="4"/>
    </row>
    <row collapsed="" customFormat="false" customHeight="1" hidden="" ht="14" outlineLevel="0" r="8563">
      <c r="A8563" s="3" t="inlineStr">
        <is>
          <t>8530</t>
        </is>
      </c>
      <c r="B8563" s="4" t="s">
        <f>=HYPERLINK("http://anyluxury.ru/shop/odezhda/zhilety/zhilet-falcon-bw-women-siniy-03826232/" , "03826232 Жилет Falcon BW Women, синий, размер XXL")</f>
      </c>
      <c r="C8563" s="4" t="n">
        <v>4219.00</v>
      </c>
      <c r="D8563" s="4"/>
    </row>
    <row collapsed="" customFormat="false" customHeight="1" hidden="" ht="14" outlineLevel="0" r="8564">
      <c r="A8564" s="3" t="inlineStr">
        <is>
          <t>8531</t>
        </is>
      </c>
      <c r="B8564" s="4" t="s">
        <f>=HYPERLINK("http://anyluxury.ru/shop/odezhda/zhilety/zhilet-falcon-bw-women-siniy-03826232/" , "03826232 Жилет Falcon BW Women, синий, размер 3XL")</f>
      </c>
      <c r="C8564" s="4" t="n">
        <v>4802.00</v>
      </c>
      <c r="D8564" s="4"/>
    </row>
    <row collapsed="" customFormat="false" customHeight="1" hidden="" ht="14" outlineLevel="0" r="8565">
      <c r="A8565" s="3" t="inlineStr">
        <is>
          <t>8532</t>
        </is>
      </c>
      <c r="B8565" s="4" t="s">
        <f>=HYPERLINK("http://anyluxury.ru/shop/odezhda/zhilety/zhilet-falcon-bw-women-cherniy-03826312/" , "03826312 Жилет Falcon BW Women, черный, размер S")</f>
      </c>
      <c r="C8565" s="4" t="n">
        <v>4219.00</v>
      </c>
      <c r="D8565" s="4"/>
    </row>
    <row collapsed="" customFormat="false" customHeight="1" hidden="" ht="14" outlineLevel="0" r="8566">
      <c r="A8566" s="3" t="inlineStr">
        <is>
          <t>8533</t>
        </is>
      </c>
      <c r="B8566" s="4" t="s">
        <f>=HYPERLINK("http://anyluxury.ru/shop/odezhda/zhilety/zhilet-falcon-bw-women-cherniy-03826312/" , "03826312 Жилет Falcon BW Women, черный размер M")</f>
      </c>
      <c r="C8566" s="4" t="n">
        <v>4219.00</v>
      </c>
      <c r="D8566" s="4"/>
    </row>
    <row collapsed="" customFormat="false" customHeight="1" hidden="" ht="14" outlineLevel="0" r="8567">
      <c r="A8567" s="3" t="inlineStr">
        <is>
          <t>8534</t>
        </is>
      </c>
      <c r="B8567" s="4" t="s">
        <f>=HYPERLINK("http://anyluxury.ru/shop/odezhda/zhilety/zhilet-falcon-bw-women-cherniy-03826312/" , "03826312 Жилет Falcon BW Women, черный, размер L")</f>
      </c>
      <c r="C8567" s="4" t="n">
        <v>4219.00</v>
      </c>
      <c r="D8567" s="4"/>
    </row>
    <row collapsed="" customFormat="false" customHeight="1" hidden="" ht="14" outlineLevel="0" r="8568">
      <c r="A8568" s="3" t="inlineStr">
        <is>
          <t>8535</t>
        </is>
      </c>
      <c r="B8568" s="4" t="s">
        <f>=HYPERLINK("http://anyluxury.ru/shop/odezhda/zhilety/zhilet-falcon-bw-women-cherniy-03826312/" , "03826312 Жилет Falcon BW Women, черный, размер XL")</f>
      </c>
      <c r="C8568" s="4" t="n">
        <v>4219.00</v>
      </c>
      <c r="D8568" s="4"/>
    </row>
    <row collapsed="" customFormat="false" customHeight="1" hidden="" ht="14" outlineLevel="0" r="8569">
      <c r="A8569" s="3" t="inlineStr">
        <is>
          <t>8536</t>
        </is>
      </c>
      <c r="B8569" s="4" t="s">
        <f>=HYPERLINK("http://anyluxury.ru/shop/odezhda/zhilety/zhilet-falcon-bw-women-cherniy-03826312/" , "03826312 Жилет Falcon BW Women, черный, размер XXL")</f>
      </c>
      <c r="C8569" s="4" t="n">
        <v>4219.00</v>
      </c>
      <c r="D8569" s="4"/>
    </row>
    <row collapsed="" customFormat="false" customHeight="1" hidden="" ht="14" outlineLevel="0" r="8570">
      <c r="A8570" s="3" t="inlineStr">
        <is>
          <t>8537</t>
        </is>
      </c>
      <c r="B8570" s="4" t="s">
        <f>=HYPERLINK("http://anyluxury.ru/shop/odezhda/zhilety/zhilet-falcon-bw-women-cherniy-03826312/" , "03826312 Жилет Falcon BW Women, черный, размер 3XL")</f>
      </c>
      <c r="C8570" s="4" t="n">
        <v>4802.00</v>
      </c>
      <c r="D8570" s="4"/>
    </row>
    <row collapsed="" customFormat="false" customHeight="1" hidden="" ht="14" outlineLevel="0" r="8571">
      <c r="A8571" s="3" t="inlineStr">
        <is>
          <t>8538</t>
        </is>
      </c>
      <c r="B8571" s="4" t="s">
        <f>=HYPERLINK("http://anyluxury.ru/shop/odezhda/zhilety/zhilet-falcon-bw-women-temnoseriy-03826370/" , "03826370 Жилет Falcon BW Women, темно-серый, размер S")</f>
      </c>
      <c r="C8571" s="4" t="n">
        <v>4219.00</v>
      </c>
      <c r="D8571" s="4"/>
    </row>
    <row collapsed="" customFormat="false" customHeight="1" hidden="" ht="14" outlineLevel="0" r="8572">
      <c r="A8572" s="3" t="inlineStr">
        <is>
          <t>8539</t>
        </is>
      </c>
      <c r="B8572" s="4" t="s">
        <f>=HYPERLINK("http://anyluxury.ru/shop/odezhda/zhilety/zhilet-falcon-bw-women-temnoseriy-03826370/" , "03826370 Жилет Falcon BW Women, темно-серый, размер M")</f>
      </c>
      <c r="C8572" s="4" t="n">
        <v>4219.00</v>
      </c>
      <c r="D8572" s="4"/>
    </row>
    <row collapsed="" customFormat="false" customHeight="1" hidden="" ht="14" outlineLevel="0" r="8573">
      <c r="A8573" s="3" t="inlineStr">
        <is>
          <t>8540</t>
        </is>
      </c>
      <c r="B8573" s="4" t="s">
        <f>=HYPERLINK("http://anyluxury.ru/shop/odezhda/zhilety/zhilet-falcon-bw-women-temnoseriy-03826370/" , "03826370 Жилет Falcon BW Women, темно-серый, размер L")</f>
      </c>
      <c r="C8573" s="4" t="n">
        <v>4219.00</v>
      </c>
      <c r="D8573" s="4"/>
    </row>
    <row collapsed="" customFormat="false" customHeight="1" hidden="" ht="14" outlineLevel="0" r="8574">
      <c r="A8574" s="3" t="inlineStr">
        <is>
          <t>8541</t>
        </is>
      </c>
      <c r="B8574" s="4" t="s">
        <f>=HYPERLINK("http://anyluxury.ru/shop/odezhda/zhilety/zhilet-falcon-bw-women-temnoseriy-03826370/" , "03826370 Жилет Falcon BW Women, темно-серый, размер XL")</f>
      </c>
      <c r="C8574" s="4" t="n">
        <v>4219.00</v>
      </c>
      <c r="D8574" s="4"/>
    </row>
    <row collapsed="" customFormat="false" customHeight="1" hidden="" ht="14" outlineLevel="0" r="8575">
      <c r="A8575" s="3" t="inlineStr">
        <is>
          <t>8542</t>
        </is>
      </c>
      <c r="B8575" s="4" t="s">
        <f>=HYPERLINK("http://anyluxury.ru/shop/odezhda/zhilety/zhilet-falcon-bw-women-temnoseriy-03826370/" , "03826370 Жилет Falcon BW Women, темно-серый, размер XXL")</f>
      </c>
      <c r="C8575" s="4" t="n">
        <v>4219.00</v>
      </c>
      <c r="D8575" s="4"/>
    </row>
    <row collapsed="" customFormat="false" customHeight="1" hidden="" ht="14" outlineLevel="0" r="8576">
      <c r="A8576" s="3" t="inlineStr">
        <is>
          <t>8543</t>
        </is>
      </c>
      <c r="B8576" s="4" t="s">
        <f>=HYPERLINK("http://anyluxury.ru/shop/odezhda/zhilety/zhilet-falcon-bw-women-temnoseriy-03826370/" , "03826370 Жилет Falcon BW Women, темно-серый, размер 3XL")</f>
      </c>
      <c r="C8576" s="4" t="n">
        <v>4802.00</v>
      </c>
      <c r="D8576" s="4"/>
    </row>
    <row collapsed="" customFormat="false" customHeight="1" hidden="" ht="14" outlineLevel="0" r="8577">
      <c r="A8577" s="3" t="inlineStr">
        <is>
          <t>8544</t>
        </is>
      </c>
      <c r="B8577" s="4" t="s">
        <f>=HYPERLINK("http://anyluxury.ru/shop/odezhda/zhilety/zhilet-falcon-bw-women-temnozeleniy-03826266/" , "03826266 Жилет Falcon BW Women, темно-зеленый, размер S")</f>
      </c>
      <c r="C8577" s="4" t="n">
        <v>4219.00</v>
      </c>
      <c r="D8577" s="4"/>
    </row>
    <row collapsed="" customFormat="false" customHeight="1" hidden="" ht="14" outlineLevel="0" r="8578">
      <c r="A8578" s="3" t="inlineStr">
        <is>
          <t>8545</t>
        </is>
      </c>
      <c r="B8578" s="4" t="s">
        <f>=HYPERLINK("http://anyluxury.ru/shop/odezhda/zhilety/zhilet-falcon-bw-women-temnozeleniy-03826266/" , "03826266 Жилет Falcon BW Women, темно-зеленый, размер M")</f>
      </c>
      <c r="C8578" s="4" t="n">
        <v>4219.00</v>
      </c>
      <c r="D8578" s="4"/>
    </row>
    <row collapsed="" customFormat="false" customHeight="1" hidden="" ht="14" outlineLevel="0" r="8579">
      <c r="A8579" s="3" t="inlineStr">
        <is>
          <t>8546</t>
        </is>
      </c>
      <c r="B8579" s="4" t="s">
        <f>=HYPERLINK("http://anyluxury.ru/shop/odezhda/zhilety/zhilet-falcon-bw-women-temnozeleniy-03826266/" , "03826266 Жилет Falcon BW Women, темно-зеленый, размер L")</f>
      </c>
      <c r="C8579" s="4" t="n">
        <v>4219.00</v>
      </c>
      <c r="D8579" s="4"/>
    </row>
    <row collapsed="" customFormat="false" customHeight="1" hidden="" ht="14" outlineLevel="0" r="8580">
      <c r="A8580" s="3" t="inlineStr">
        <is>
          <t>8547</t>
        </is>
      </c>
      <c r="B8580" s="4" t="s">
        <f>=HYPERLINK("http://anyluxury.ru/shop/odezhda/zhilety/zhilet-falcon-bw-women-temnozeleniy-03826266/" , "03826266 Жилет Falcon BW Women, темно-зеленый, размер XL")</f>
      </c>
      <c r="C8580" s="4" t="n">
        <v>4219.00</v>
      </c>
      <c r="D8580" s="4"/>
    </row>
    <row collapsed="" customFormat="false" customHeight="1" hidden="" ht="14" outlineLevel="0" r="8581">
      <c r="A8581" s="3" t="inlineStr">
        <is>
          <t>8548</t>
        </is>
      </c>
      <c r="B8581" s="4" t="s">
        <f>=HYPERLINK("http://anyluxury.ru/shop/odezhda/zhilety/zhilet-falcon-bw-women-temnozeleniy-03826266/" , "03826266 Жилет Falcon BW Women, темно-зеленый, размер XXL")</f>
      </c>
      <c r="C8581" s="4" t="n">
        <v>4219.00</v>
      </c>
      <c r="D8581" s="4"/>
    </row>
    <row collapsed="" customFormat="false" customHeight="1" hidden="" ht="14" outlineLevel="0" r="8582">
      <c r="A8582" s="3" t="inlineStr">
        <is>
          <t>8549</t>
        </is>
      </c>
      <c r="B8582" s="4" t="s">
        <f>=HYPERLINK("http://anyluxury.ru/shop/odezhda/zhilety/zhilet-falcon-bw-women-temnozeleniy-03826266/" , "03826266 Жилет Falcon BW Women, темно-зеленый, размер 3XL")</f>
      </c>
      <c r="C8582" s="4" t="n">
        <v>4802.00</v>
      </c>
      <c r="D8582" s="4"/>
    </row>
    <row collapsed="" customFormat="false" customHeight="1" hidden="" ht="14" outlineLevel="0" r="8583">
      <c r="A8583" s="3" t="inlineStr">
        <is>
          <t>8550</t>
        </is>
      </c>
      <c r="B8583" s="4" t="s">
        <f>=HYPERLINK("http://anyluxury.ru/shop/odezhda/zhilety/zhilet-falcon-bw-women-krasniy-03826162/" , "03826162 Жилет Falcon BW Women, красный, размер S")</f>
      </c>
      <c r="C8583" s="4" t="n">
        <v>4219.00</v>
      </c>
      <c r="D8583" s="4"/>
    </row>
    <row collapsed="" customFormat="false" customHeight="1" hidden="" ht="14" outlineLevel="0" r="8584">
      <c r="A8584" s="3" t="inlineStr">
        <is>
          <t>8551</t>
        </is>
      </c>
      <c r="B8584" s="4" t="s">
        <f>=HYPERLINK("http://anyluxury.ru/shop/odezhda/zhilety/zhilet-falcon-bw-women-krasniy-03826162/" , "03826162 Жилет Falcon BW Women, красный, размер M")</f>
      </c>
      <c r="C8584" s="4" t="n">
        <v>4219.00</v>
      </c>
      <c r="D8584" s="4"/>
    </row>
    <row collapsed="" customFormat="false" customHeight="1" hidden="" ht="14" outlineLevel="0" r="8585">
      <c r="A8585" s="3" t="inlineStr">
        <is>
          <t>8552</t>
        </is>
      </c>
      <c r="B8585" s="4" t="s">
        <f>=HYPERLINK("http://anyluxury.ru/shop/odezhda/zhilety/zhilet-falcon-bw-women-krasniy-03826162/" , "03826162 Жилет Falcon BW Women, красный, размер L")</f>
      </c>
      <c r="C8585" s="4" t="n">
        <v>4219.00</v>
      </c>
      <c r="D8585" s="4"/>
    </row>
    <row collapsed="" customFormat="false" customHeight="1" hidden="" ht="14" outlineLevel="0" r="8586">
      <c r="A8586" s="3" t="inlineStr">
        <is>
          <t>8553</t>
        </is>
      </c>
      <c r="B8586" s="4" t="s">
        <f>=HYPERLINK("http://anyluxury.ru/shop/odezhda/zhilety/zhilet-falcon-bw-women-krasniy-03826162/" , "03826162 Жилет Falcon BW Women, красный, размер XL")</f>
      </c>
      <c r="C8586" s="4" t="n">
        <v>4219.00</v>
      </c>
      <c r="D8586" s="4"/>
    </row>
    <row collapsed="" customFormat="false" customHeight="1" hidden="" ht="14" outlineLevel="0" r="8587">
      <c r="A8587" s="3" t="inlineStr">
        <is>
          <t>8554</t>
        </is>
      </c>
      <c r="B8587" s="4" t="s">
        <f>=HYPERLINK("http://anyluxury.ru/shop/odezhda/zhilety/zhilet-falcon-bw-women-krasniy-03826162/" , "03826162 Жилет Falcon BW Women, красный, размер XXL")</f>
      </c>
      <c r="C8587" s="4" t="n">
        <v>4219.00</v>
      </c>
      <c r="D8587" s="4"/>
    </row>
    <row collapsed="" customFormat="false" customHeight="1" hidden="" ht="14" outlineLevel="0" r="8588">
      <c r="A8588" s="3" t="inlineStr">
        <is>
          <t>8555</t>
        </is>
      </c>
      <c r="B8588" s="4" t="s">
        <f>=HYPERLINK("http://anyluxury.ru/shop/odezhda/zhilety/zhilet-falcon-bw-women-krasniy-03826162/" , "03826162 Жилет Falcon BW Women, красный, размер 3XL")</f>
      </c>
      <c r="C8588" s="4" t="n">
        <v>4802.00</v>
      </c>
      <c r="D8588" s="4"/>
    </row>
    <row collapsed="" customFormat="false" customHeight="1" hidden="" ht="14" outlineLevel="0" r="8589">
      <c r="A8589" s="3" t="inlineStr">
        <is>
          <t>8556</t>
        </is>
      </c>
      <c r="B8589" s="4" t="s">
        <f>=HYPERLINK("http://anyluxury.ru/shop/odezhda/zhilety/zhilet-falcon-bw-women-yarkosiniy-03826241/" , "03826241 Жилет Falcon BW Women, ярко-синий, размер S")</f>
      </c>
      <c r="C8589" s="4" t="n">
        <v>4219.00</v>
      </c>
      <c r="D8589" s="4"/>
    </row>
    <row collapsed="" customFormat="false" customHeight="1" hidden="" ht="14" outlineLevel="0" r="8590">
      <c r="A8590" s="3" t="inlineStr">
        <is>
          <t>8557</t>
        </is>
      </c>
      <c r="B8590" s="4" t="s">
        <f>=HYPERLINK("http://anyluxury.ru/shop/odezhda/zhilety/zhilet-falcon-bw-women-yarkosiniy-03826241/" , "03826241 Жилет Falcon BW Women, ярко-синий, размер M")</f>
      </c>
      <c r="C8590" s="4" t="n">
        <v>4219.00</v>
      </c>
      <c r="D8590" s="4"/>
    </row>
    <row collapsed="" customFormat="false" customHeight="1" hidden="" ht="14" outlineLevel="0" r="8591">
      <c r="A8591" s="3" t="inlineStr">
        <is>
          <t>8558</t>
        </is>
      </c>
      <c r="B8591" s="4" t="s">
        <f>=HYPERLINK("http://anyluxury.ru/shop/odezhda/zhilety/zhilet-falcon-bw-women-yarkosiniy-03826241/" , "03826241 Жилет Falcon BW Women, ярко-синий, размер L")</f>
      </c>
      <c r="C8591" s="4" t="n">
        <v>4219.00</v>
      </c>
      <c r="D8591" s="4"/>
    </row>
    <row collapsed="" customFormat="false" customHeight="1" hidden="" ht="14" outlineLevel="0" r="8592">
      <c r="A8592" s="3" t="inlineStr">
        <is>
          <t>8559</t>
        </is>
      </c>
      <c r="B8592" s="4" t="s">
        <f>=HYPERLINK("http://anyluxury.ru/shop/odezhda/zhilety/zhilet-falcon-bw-women-yarkosiniy-03826241/" , "03826241 Жилет Falcon BW Women, ярко-синий, размер XL")</f>
      </c>
      <c r="C8592" s="4" t="n">
        <v>4219.00</v>
      </c>
      <c r="D8592" s="4"/>
    </row>
    <row collapsed="" customFormat="false" customHeight="1" hidden="" ht="14" outlineLevel="0" r="8593">
      <c r="A8593" s="3" t="inlineStr">
        <is>
          <t>8560</t>
        </is>
      </c>
      <c r="B8593" s="4" t="s">
        <f>=HYPERLINK("http://anyluxury.ru/shop/odezhda/zhilety/zhilet-falcon-bw-women-yarkosiniy-03826241/" , "03826241 Жилет Falcon BW Women, ярко-синий, размер XXL")</f>
      </c>
      <c r="C8593" s="4" t="n">
        <v>4219.00</v>
      </c>
      <c r="D8593" s="4"/>
    </row>
    <row collapsed="" customFormat="false" customHeight="1" hidden="" ht="14" outlineLevel="0" r="8594">
      <c r="A8594" s="3" t="inlineStr">
        <is>
          <t>8561</t>
        </is>
      </c>
      <c r="B8594" s="4" t="s">
        <f>=HYPERLINK("http://anyluxury.ru/shop/odezhda/zhilety/zhilet-falcon-bw-women-yarkosiniy-03826241/" , "03826241 Жилет Falcon BW Women, ярко-синий, размер 3XL")</f>
      </c>
      <c r="C8594" s="4" t="n">
        <v>4802.00</v>
      </c>
      <c r="D8594" s="4"/>
    </row>
    <row collapsed="" customFormat="false" customHeight="1" hidden="" ht="14" outlineLevel="0" r="8595">
      <c r="A8595" s="3" t="inlineStr">
        <is>
          <t>8562</t>
        </is>
      </c>
      <c r="B8595" s="4" t="s">
        <f>=HYPERLINK("http://anyluxury.ru/shop/odezhda/zhilety/zhilet-oversayz-uniseks-tad-v-sumke-krasniy-1643550/" , "16435.50 Жилет оверсайз унисекс Tad в сумке, красный, размер S/M")</f>
      </c>
      <c r="C8595" s="4" t="n">
        <v>3540.00</v>
      </c>
      <c r="D8595" s="4"/>
    </row>
    <row collapsed="" customFormat="false" customHeight="1" hidden="" ht="14" outlineLevel="0" r="8596">
      <c r="A8596" s="3" t="inlineStr">
        <is>
          <t>8563</t>
        </is>
      </c>
      <c r="B8596" s="4" t="s">
        <f>=HYPERLINK("http://anyluxury.ru/shop/odezhda/zhilety/zhilet-oversayz-uniseks-tad-v-sumke-krasniy-1643550/" , "16435.50 Жилет оверсайз унисекс Tad в сумке, красный, размер L/XL")</f>
      </c>
      <c r="C8596" s="4" t="n">
        <v>3540.00</v>
      </c>
      <c r="D8596" s="4"/>
    </row>
    <row collapsed="" customFormat="false" customHeight="1" hidden="" ht="14" outlineLevel="0" r="8597">
      <c r="A8597" s="3" t="inlineStr">
        <is>
          <t>8564</t>
        </is>
      </c>
      <c r="B8597" s="4" t="s">
        <f>=HYPERLINK("http://anyluxury.ru/shop/odezhda/zhilety/zhilet-oversayz-uniseks-tad-v-sumke-molochnobeliy-1643561/" , "16435.61 Жилет оверсайз унисекс Tad в сумке, молочно-белый, размер S/M")</f>
      </c>
      <c r="C8597" s="4" t="n">
        <v>3540.00</v>
      </c>
      <c r="D8597" s="4"/>
    </row>
    <row collapsed="" customFormat="false" customHeight="1" hidden="" ht="14" outlineLevel="0" r="8598">
      <c r="A8598" s="3" t="inlineStr">
        <is>
          <t>8565</t>
        </is>
      </c>
      <c r="B8598" s="4" t="s">
        <f>=HYPERLINK("http://anyluxury.ru/shop/odezhda/zhilety/zhilet-oversayz-uniseks-tad-v-sumke-molochnobeliy-1643561/" , "16435.61 Жилет оверсайз унисекс Tad в сумке, молочно-белый, размер L/XL")</f>
      </c>
      <c r="C8598" s="4" t="n">
        <v>3540.00</v>
      </c>
      <c r="D8598" s="4"/>
    </row>
    <row collapsed="" customFormat="false" customHeight="1" hidden="" ht="14" outlineLevel="0" r="8599">
      <c r="A8599" s="3" t="inlineStr">
        <is>
          <t>8566</t>
        </is>
      </c>
      <c r="B8599" s="4" t="s">
        <f>=HYPERLINK("http://anyluxury.ru/shop/odezhda/zhilety/zhilet-oversayz-uniseks-cornell-v-sumke-bezheviy-1643612/" , "16436.12 Жилет оверсайз унисекс Cornell в сумке, бежевый, размер S/M")</f>
      </c>
      <c r="C8599" s="4" t="n">
        <v>3540.00</v>
      </c>
      <c r="D8599" s="4"/>
    </row>
    <row collapsed="" customFormat="false" customHeight="1" hidden="" ht="14" outlineLevel="0" r="8600">
      <c r="A8600" s="3" t="inlineStr">
        <is>
          <t>8567</t>
        </is>
      </c>
      <c r="B8600" s="4" t="s">
        <f>=HYPERLINK("http://anyluxury.ru/shop/odezhda/zhilety/zhilet-oversayz-uniseks-cornell-v-sumke-bezheviy-1643612/" , "16436.12 Жилет оверсайз унисекс Cornell в сумке, бежевый, размер L/XL")</f>
      </c>
      <c r="C8600" s="4" t="n">
        <v>3540.00</v>
      </c>
      <c r="D8600" s="4"/>
    </row>
    <row collapsed="" customFormat="false" customHeight="1" hidden="" ht="14" outlineLevel="0" r="8601">
      <c r="A8601" s="3" t="inlineStr">
        <is>
          <t>8568</t>
        </is>
      </c>
      <c r="B8601" s="4" t="s">
        <f>=HYPERLINK("http://anyluxury.ru/shop/odezhda/zhilety/zhilet-oversayz-uniseks-cornell-v-sumke-molochnobeliy-1643661/" , "16436.61 Жилет оверсайз унисекс Cornell в сумке, молочно-белый, размер S/M")</f>
      </c>
      <c r="C8601" s="4" t="n">
        <v>3540.00</v>
      </c>
      <c r="D8601" s="4"/>
    </row>
    <row collapsed="" customFormat="false" customHeight="1" hidden="" ht="14" outlineLevel="0" r="8602">
      <c r="A8602" s="3" t="inlineStr">
        <is>
          <t>8569</t>
        </is>
      </c>
      <c r="B8602" s="4" t="s">
        <f>=HYPERLINK("http://anyluxury.ru/shop/odezhda/zhilety/zhilet-oversayz-uniseks-cornell-v-sumke-molochnobeliy-1643661/" , "16436.61 Жилет оверсайз унисекс Cornell в сумке, молочно-белый, размер L/XL")</f>
      </c>
      <c r="C8602" s="4" t="n">
        <v>3540.00</v>
      </c>
      <c r="D8602" s="4"/>
    </row>
    <row collapsed="" customFormat="false" customHeight="1" hidden="" ht="14" outlineLevel="0" r="8603">
      <c r="A8603" s="3" t="inlineStr">
        <is>
          <t>8570</t>
        </is>
      </c>
      <c r="B8603" s="4" t="s">
        <f>=HYPERLINK("http://anyluxury.ru/shop/odezhda/zhilety/zhilet-oversayz-uniseks-cornell-v-sumke-cherniy-1643630/" , "16436.30 Жилет оверсайз унисекс Cornell в сумке, черный, размер S/M")</f>
      </c>
      <c r="C8603" s="4" t="n">
        <v>3540.00</v>
      </c>
      <c r="D8603" s="4"/>
    </row>
    <row collapsed="" customFormat="false" customHeight="1" hidden="" ht="14" outlineLevel="0" r="8604">
      <c r="A8604" s="3" t="inlineStr">
        <is>
          <t>8571</t>
        </is>
      </c>
      <c r="B8604" s="4" t="s">
        <f>=HYPERLINK("http://anyluxury.ru/shop/odezhda/zhilety/zhilet-oversayz-uniseks-cornell-v-sumke-cherniy-1643630/" , "16436.30 Жилет оверсайз унисекс Cornell в сумке, черный, размер L/XL")</f>
      </c>
      <c r="C8604" s="4" t="n">
        <v>3540.00</v>
      </c>
      <c r="D8604" s="4"/>
    </row>
    <row collapsed="" customFormat="false" customHeight="1" hidden="" ht="14" outlineLevel="0" r="8605">
      <c r="A8605" s="3" t="inlineStr">
        <is>
          <t>8572</t>
        </is>
      </c>
      <c r="B8605" s="4" t="s">
        <f>=HYPERLINK("http://anyluxury.ru/shop/odezhda/zhilety/zhilet-oversayz-uniseks-cornell-v-sumke-svetloseriy-1643610/" , "16436.10 Жилет оверсайз унисекс Cornell в сумке, светло-серый, размер S/M")</f>
      </c>
      <c r="C8605" s="4" t="n">
        <v>3540.00</v>
      </c>
      <c r="D8605" s="4"/>
    </row>
    <row collapsed="" customFormat="false" customHeight="1" hidden="" ht="14" outlineLevel="0" r="8606">
      <c r="A8606" s="3" t="inlineStr">
        <is>
          <t>8573</t>
        </is>
      </c>
      <c r="B8606" s="4" t="s">
        <f>=HYPERLINK("http://anyluxury.ru/shop/odezhda/zhilety/zhilet-oversayz-uniseks-cornell-v-sumke-svetloseriy-1643610/" , "16436.10 Жилет оверсайз унисекс Cornell в сумке, светло-серый, размер L/XL")</f>
      </c>
      <c r="C8606" s="4" t="n">
        <v>3540.00</v>
      </c>
      <c r="D8606" s="4"/>
    </row>
    <row collapsed="" customFormat="false" customHeight="1" hidden="" ht="14" outlineLevel="0" r="8607">
      <c r="A8607" s="3" t="inlineStr">
        <is>
          <t>8574</t>
        </is>
      </c>
      <c r="B8607" s="4" t="s">
        <f>=HYPERLINK("http://anyluxury.ru/shop/odezhda/zhilety/zhilet-wave-men-seriy-01436351/" , "01436351 Жилет Wave Men, серый, размер S")</f>
      </c>
      <c r="C8607" s="4" t="n">
        <v>4888.00</v>
      </c>
      <c r="D8607" s="4"/>
    </row>
    <row collapsed="" customFormat="false" customHeight="1" hidden="" ht="14" outlineLevel="0" r="8608">
      <c r="A8608" s="3" t="inlineStr">
        <is>
          <t>8575</t>
        </is>
      </c>
      <c r="B8608" s="4" t="s">
        <f>=HYPERLINK("http://anyluxury.ru/shop/odezhda/zhilety/zhilet-wave-men-seriy-01436351/" , "01436351 Жилет Wave Men, серый, размер M")</f>
      </c>
      <c r="C8608" s="4" t="n">
        <v>4888.00</v>
      </c>
      <c r="D8608" s="4"/>
    </row>
    <row collapsed="" customFormat="false" customHeight="1" hidden="" ht="14" outlineLevel="0" r="8609">
      <c r="A8609" s="3" t="inlineStr">
        <is>
          <t>8576</t>
        </is>
      </c>
      <c r="B8609" s="4" t="s">
        <f>=HYPERLINK("http://anyluxury.ru/shop/odezhda/zhilety/zhilet-wave-men-seriy-01436351/" , "01436351 Жилет Wave Men, серый, размер L")</f>
      </c>
      <c r="C8609" s="4" t="n">
        <v>4888.00</v>
      </c>
      <c r="D8609" s="4"/>
    </row>
    <row collapsed="" customFormat="false" customHeight="1" hidden="" ht="14" outlineLevel="0" r="8610">
      <c r="A8610" s="3" t="inlineStr">
        <is>
          <t>8577</t>
        </is>
      </c>
      <c r="B8610" s="4" t="s">
        <f>=HYPERLINK("http://anyluxury.ru/shop/odezhda/zhilety/zhilet-wave-men-seriy-01436351/" , "01436351 Жилет Wave Men, серый, размер XL")</f>
      </c>
      <c r="C8610" s="4" t="n">
        <v>4888.00</v>
      </c>
      <c r="D8610" s="4"/>
    </row>
    <row collapsed="" customFormat="false" customHeight="1" hidden="" ht="14" outlineLevel="0" r="8611">
      <c r="A8611" s="3" t="inlineStr">
        <is>
          <t>8578</t>
        </is>
      </c>
      <c r="B8611" s="4" t="s">
        <f>=HYPERLINK("http://anyluxury.ru/shop/odezhda/zhilety/zhilet-wave-men-seriy-01436351/" , "01436351 Жилет Wave Men, серый, размер XXL")</f>
      </c>
      <c r="C8611" s="4" t="n">
        <v>4888.00</v>
      </c>
      <c r="D8611" s="4"/>
    </row>
    <row collapsed="" customFormat="false" customHeight="1" hidden="" ht="14" outlineLevel="0" r="8612">
      <c r="A8612" s="3" t="inlineStr">
        <is>
          <t>8579</t>
        </is>
      </c>
      <c r="B8612" s="4" t="s">
        <f>=HYPERLINK("http://anyluxury.ru/shop/odezhda/zhilety/zhilet-wave-men-seriy-01436351/" , "01436351 Жилет Wave Men, серый, размер 3XL")</f>
      </c>
      <c r="C8612" s="4" t="n">
        <v>5565.00</v>
      </c>
      <c r="D8612" s="4"/>
    </row>
    <row collapsed="" customFormat="false" customHeight="1" hidden="" ht="14" outlineLevel="0" r="8613">
      <c r="A8613" s="3" t="inlineStr">
        <is>
          <t>8580</t>
        </is>
      </c>
      <c r="B8613" s="4" t="s">
        <f>=HYPERLINK("http://anyluxury.ru/shop/odezhda/zhilety/zhilet-muzhskoy-stream-bw-men-cherniy-04020312/" , "04020312 Жилет мужской Stream BW Men, черный, размер S")</f>
      </c>
      <c r="C8613" s="4" t="n">
        <v>3483.00</v>
      </c>
      <c r="D8613" s="4"/>
    </row>
    <row collapsed="" customFormat="false" customHeight="1" hidden="" ht="14" outlineLevel="0" r="8614">
      <c r="A8614" s="3" t="inlineStr">
        <is>
          <t>8581</t>
        </is>
      </c>
      <c r="B8614" s="4" t="s">
        <f>=HYPERLINK("http://anyluxury.ru/shop/odezhda/zhilety/zhilet-muzhskoy-stream-bw-men-cherniy-04020312/" , "04020312 Жилет мужской Stream BW Men, черный, размер M")</f>
      </c>
      <c r="C8614" s="4" t="n">
        <v>3483.00</v>
      </c>
      <c r="D8614" s="4"/>
    </row>
    <row collapsed="" customFormat="false" customHeight="1" hidden="" ht="14" outlineLevel="0" r="8615">
      <c r="A8615" s="3" t="inlineStr">
        <is>
          <t>8582</t>
        </is>
      </c>
      <c r="B8615" s="4" t="s">
        <f>=HYPERLINK("http://anyluxury.ru/shop/odezhda/zhilety/zhilet-muzhskoy-stream-bw-men-cherniy-04020312/" , "04020312 Жилет мужской Stream BW Men, черный, размер L")</f>
      </c>
      <c r="C8615" s="4" t="n">
        <v>3483.00</v>
      </c>
      <c r="D8615" s="4"/>
    </row>
    <row collapsed="" customFormat="false" customHeight="1" hidden="" ht="14" outlineLevel="0" r="8616">
      <c r="A8616" s="3" t="inlineStr">
        <is>
          <t>8583</t>
        </is>
      </c>
      <c r="B8616" s="4" t="s">
        <f>=HYPERLINK("http://anyluxury.ru/shop/odezhda/zhilety/zhilet-muzhskoy-stream-bw-men-cherniy-04020312/" , "04020312 Жилет мужской Stream BW Men, черный, размер XL")</f>
      </c>
      <c r="C8616" s="4" t="n">
        <v>3483.00</v>
      </c>
      <c r="D8616" s="4"/>
    </row>
    <row collapsed="" customFormat="false" customHeight="1" hidden="" ht="14" outlineLevel="0" r="8617">
      <c r="A8617" s="3" t="inlineStr">
        <is>
          <t>8584</t>
        </is>
      </c>
      <c r="B8617" s="4" t="s">
        <f>=HYPERLINK("http://anyluxury.ru/shop/odezhda/zhilety/zhilet-muzhskoy-stream-bw-men-cherniy-04020312/" , "04020312 Жилет мужской Stream BW Men, черный, размер XXL")</f>
      </c>
      <c r="C8617" s="4" t="n">
        <v>3483.00</v>
      </c>
      <c r="D8617" s="4"/>
    </row>
    <row collapsed="" customFormat="false" customHeight="1" hidden="" ht="14" outlineLevel="0" r="8618">
      <c r="A8618" s="3" t="inlineStr">
        <is>
          <t>8585</t>
        </is>
      </c>
      <c r="B8618" s="4" t="s">
        <f>=HYPERLINK("http://anyluxury.ru/shop/odezhda/zhilety/zhilet-muzhskoy-stream-bw-men-cherniy-04020312/" , "04020312 Жилет мужской Stream BW Men, черный, размер 3XL")</f>
      </c>
      <c r="C8618" s="4" t="n">
        <v>3936.00</v>
      </c>
      <c r="D8618" s="4"/>
    </row>
    <row collapsed="" customFormat="false" customHeight="1" hidden="" ht="14" outlineLevel="0" r="8619">
      <c r="A8619" s="3" t="inlineStr">
        <is>
          <t>8586</t>
        </is>
      </c>
      <c r="B8619" s="4" t="s">
        <f>=HYPERLINK("http://anyluxury.ru/shop/odezhda/zhilety/zhilet-muzhskoy-stream-bw-men-temnoseriy-04020370/" , "04020370 Жилет мужской Stream BW Men, темно-серый, размер S")</f>
      </c>
      <c r="C8619" s="4" t="n">
        <v>3483.00</v>
      </c>
      <c r="D8619" s="4"/>
    </row>
    <row collapsed="" customFormat="false" customHeight="1" hidden="" ht="14" outlineLevel="0" r="8620">
      <c r="A8620" s="3" t="inlineStr">
        <is>
          <t>8587</t>
        </is>
      </c>
      <c r="B8620" s="4" t="s">
        <f>=HYPERLINK("http://anyluxury.ru/shop/odezhda/zhilety/zhilet-muzhskoy-stream-bw-men-temnoseriy-04020370/" , "04020370 Жилет мужской Stream BW Men, темно-серый, размер M")</f>
      </c>
      <c r="C8620" s="4" t="n">
        <v>3483.00</v>
      </c>
      <c r="D8620" s="4"/>
    </row>
    <row collapsed="" customFormat="false" customHeight="1" hidden="" ht="14" outlineLevel="0" r="8621">
      <c r="A8621" s="3" t="inlineStr">
        <is>
          <t>8588</t>
        </is>
      </c>
      <c r="B8621" s="4" t="s">
        <f>=HYPERLINK("http://anyluxury.ru/shop/odezhda/zhilety/zhilet-muzhskoy-stream-bw-men-temnoseriy-04020370/" , "04020370 Жилет мужской Stream BW Men, темно-серый, размер L")</f>
      </c>
      <c r="C8621" s="4" t="n">
        <v>3483.00</v>
      </c>
      <c r="D8621" s="4"/>
    </row>
    <row collapsed="" customFormat="false" customHeight="1" hidden="" ht="14" outlineLevel="0" r="8622">
      <c r="A8622" s="3" t="inlineStr">
        <is>
          <t>8589</t>
        </is>
      </c>
      <c r="B8622" s="4" t="s">
        <f>=HYPERLINK("http://anyluxury.ru/shop/odezhda/zhilety/zhilet-muzhskoy-stream-bw-men-temnoseriy-04020370/" , "04020370 Жилет мужской Stream BW Men, темно-серый, размер XL")</f>
      </c>
      <c r="C8622" s="4" t="n">
        <v>3483.00</v>
      </c>
      <c r="D8622" s="4"/>
    </row>
    <row collapsed="" customFormat="false" customHeight="1" hidden="" ht="14" outlineLevel="0" r="8623">
      <c r="A8623" s="3" t="inlineStr">
        <is>
          <t>8590</t>
        </is>
      </c>
      <c r="B8623" s="4" t="s">
        <f>=HYPERLINK("http://anyluxury.ru/shop/odezhda/zhilety/zhilet-muzhskoy-stream-bw-men-temnoseriy-04020370/" , "04020370 Жилет мужской Stream BW Men, темно-серый, размер XXL")</f>
      </c>
      <c r="C8623" s="4" t="n">
        <v>3483.00</v>
      </c>
      <c r="D8623" s="4"/>
    </row>
    <row collapsed="" customFormat="false" customHeight="1" hidden="" ht="14" outlineLevel="0" r="8624">
      <c r="A8624" s="3" t="inlineStr">
        <is>
          <t>8591</t>
        </is>
      </c>
      <c r="B8624" s="4" t="s">
        <f>=HYPERLINK("http://anyluxury.ru/shop/odezhda/zhilety/zhilet-muzhskoy-stream-bw-men-temnoseriy-04020370/" , "04020370 Жилет мужской Stream BW Men, темно-серый, размер 3XL")</f>
      </c>
      <c r="C8624" s="4" t="n">
        <v>3936.00</v>
      </c>
      <c r="D8624" s="4"/>
    </row>
    <row collapsed="" customFormat="false" customHeight="1" hidden="" ht="14" outlineLevel="0" r="8625">
      <c r="A8625" s="3" t="inlineStr">
        <is>
          <t>8592</t>
        </is>
      </c>
      <c r="B8625" s="4" t="s">
        <f>=HYPERLINK("http://anyluxury.ru/shop/odezhda/zhilety/zhilet-muzhskoy-stream-bw-men-temnosiniy-04020319/" , "04020319 Жилет мужской Stream BW Men, темно-синий, размер S")</f>
      </c>
      <c r="C8625" s="4" t="n">
        <v>3483.00</v>
      </c>
      <c r="D8625" s="4"/>
    </row>
    <row collapsed="" customFormat="false" customHeight="1" hidden="" ht="14" outlineLevel="0" r="8626">
      <c r="A8626" s="3" t="inlineStr">
        <is>
          <t>8593</t>
        </is>
      </c>
      <c r="B8626" s="4" t="s">
        <f>=HYPERLINK("http://anyluxury.ru/shop/odezhda/zhilety/zhilet-muzhskoy-stream-bw-men-temnosiniy-04020319/" , "04020319 Жилет мужской Stream BW Men, темно-синий, размер M")</f>
      </c>
      <c r="C8626" s="4" t="n">
        <v>3483.00</v>
      </c>
      <c r="D8626" s="4"/>
    </row>
    <row collapsed="" customFormat="false" customHeight="1" hidden="" ht="14" outlineLevel="0" r="8627">
      <c r="A8627" s="3" t="inlineStr">
        <is>
          <t>8594</t>
        </is>
      </c>
      <c r="B8627" s="4" t="s">
        <f>=HYPERLINK("http://anyluxury.ru/shop/odezhda/zhilety/zhilet-muzhskoy-stream-bw-men-temnosiniy-04020319/" , "04020319 Жилет мужской Stream BW Men, темно-синий, размер L")</f>
      </c>
      <c r="C8627" s="4" t="n">
        <v>3483.00</v>
      </c>
      <c r="D8627" s="4"/>
    </row>
    <row collapsed="" customFormat="false" customHeight="1" hidden="" ht="14" outlineLevel="0" r="8628">
      <c r="A8628" s="3" t="inlineStr">
        <is>
          <t>8595</t>
        </is>
      </c>
      <c r="B8628" s="4" t="s">
        <f>=HYPERLINK("http://anyluxury.ru/shop/odezhda/zhilety/zhilet-muzhskoy-stream-bw-men-temnosiniy-04020319/" , "04020319 Жилет мужской Stream BW Men, темно-синий, размер XL")</f>
      </c>
      <c r="C8628" s="4" t="n">
        <v>3483.00</v>
      </c>
      <c r="D8628" s="4"/>
    </row>
    <row collapsed="" customFormat="false" customHeight="1" hidden="" ht="14" outlineLevel="0" r="8629">
      <c r="A8629" s="3" t="inlineStr">
        <is>
          <t>8596</t>
        </is>
      </c>
      <c r="B8629" s="4" t="s">
        <f>=HYPERLINK("http://anyluxury.ru/shop/odezhda/zhilety/zhilet-muzhskoy-stream-bw-men-temnosiniy-04020319/" , "04020319 Жилет мужской Stream BW Men, темно-синий, размер XXL")</f>
      </c>
      <c r="C8629" s="4" t="n">
        <v>3483.00</v>
      </c>
      <c r="D8629" s="4"/>
    </row>
    <row collapsed="" customFormat="false" customHeight="1" hidden="" ht="14" outlineLevel="0" r="8630">
      <c r="A8630" s="3" t="inlineStr">
        <is>
          <t>8597</t>
        </is>
      </c>
      <c r="B8630" s="4" t="s">
        <f>=HYPERLINK("http://anyluxury.ru/shop/odezhda/zhilety/zhilet-muzhskoy-stream-bw-men-temnosiniy-04020319/" , "04020319 Жилет мужской Stream BW Men, темно-синий, размер 3XL")</f>
      </c>
      <c r="C8630" s="4" t="n">
        <v>3936.00</v>
      </c>
      <c r="D8630" s="4"/>
    </row>
    <row collapsed="" customFormat="false" customHeight="1" hidden="" ht="14" outlineLevel="0" r="8631">
      <c r="A8631" s="3" t="inlineStr">
        <is>
          <t>8598</t>
        </is>
      </c>
      <c r="B8631" s="4" t="s">
        <f>=HYPERLINK("http://anyluxury.ru/shop/odezhda/zhilety/zhilet-zhenskiy-stream-bw-women-cherniy-04021312/" , "04021312 Жилет женский Stream BW Women, черный, размер S")</f>
      </c>
      <c r="C8631" s="4" t="n">
        <v>3483.00</v>
      </c>
      <c r="D8631" s="4"/>
    </row>
    <row collapsed="" customFormat="false" customHeight="1" hidden="" ht="14" outlineLevel="0" r="8632">
      <c r="A8632" s="3" t="inlineStr">
        <is>
          <t>8599</t>
        </is>
      </c>
      <c r="B8632" s="4" t="s">
        <f>=HYPERLINK("http://anyluxury.ru/shop/odezhda/zhilety/zhilet-zhenskiy-stream-bw-women-cherniy-04021312/" , "04021312 Жилет женский Stream BW Women, черный, размер M")</f>
      </c>
      <c r="C8632" s="4" t="n">
        <v>3483.00</v>
      </c>
      <c r="D8632" s="4"/>
    </row>
    <row collapsed="" customFormat="false" customHeight="1" hidden="" ht="14" outlineLevel="0" r="8633">
      <c r="A8633" s="3" t="inlineStr">
        <is>
          <t>8600</t>
        </is>
      </c>
      <c r="B8633" s="4" t="s">
        <f>=HYPERLINK("http://anyluxury.ru/shop/odezhda/zhilety/zhilet-zhenskiy-stream-bw-women-cherniy-04021312/" , "04021312 Жилет женский Stream BW Women, черный, размер L")</f>
      </c>
      <c r="C8633" s="4" t="n">
        <v>3483.00</v>
      </c>
      <c r="D8633" s="4"/>
    </row>
    <row collapsed="" customFormat="false" customHeight="1" hidden="" ht="14" outlineLevel="0" r="8634">
      <c r="A8634" s="3" t="inlineStr">
        <is>
          <t>8601</t>
        </is>
      </c>
      <c r="B8634" s="4" t="s">
        <f>=HYPERLINK("http://anyluxury.ru/shop/odezhda/zhilety/zhilet-zhenskiy-stream-bw-women-cherniy-04021312/" , "04021312 Жилет женский Stream BW Women, черный, размер XL")</f>
      </c>
      <c r="C8634" s="4" t="n">
        <v>3483.00</v>
      </c>
      <c r="D8634" s="4"/>
    </row>
    <row collapsed="" customFormat="false" customHeight="1" hidden="" ht="14" outlineLevel="0" r="8635">
      <c r="A8635" s="3" t="inlineStr">
        <is>
          <t>8602</t>
        </is>
      </c>
      <c r="B8635" s="4" t="s">
        <f>=HYPERLINK("http://anyluxury.ru/shop/odezhda/zhilety/zhilet-zhenskiy-stream-bw-women-cherniy-04021312/" , "04021312 Жилет женский Stream BW Women, черный, размер XXL")</f>
      </c>
      <c r="C8635" s="4" t="n">
        <v>3483.00</v>
      </c>
      <c r="D8635" s="4"/>
    </row>
    <row collapsed="" customFormat="false" customHeight="1" hidden="" ht="14" outlineLevel="0" r="8636">
      <c r="A8636" s="3" t="inlineStr">
        <is>
          <t>8603</t>
        </is>
      </c>
      <c r="B8636" s="4" t="s">
        <f>=HYPERLINK("http://anyluxury.ru/shop/odezhda/zhilety/zhilet-zhenskiy-stream-bw-women-temnoseriy-04021370/" , "04021370 Жилет женский Stream BW Women, темно-серый, размер S")</f>
      </c>
      <c r="C8636" s="4" t="n">
        <v>3483.00</v>
      </c>
      <c r="D8636" s="4"/>
    </row>
    <row collapsed="" customFormat="false" customHeight="1" hidden="" ht="14" outlineLevel="0" r="8637">
      <c r="A8637" s="3" t="inlineStr">
        <is>
          <t>8604</t>
        </is>
      </c>
      <c r="B8637" s="4" t="s">
        <f>=HYPERLINK("http://anyluxury.ru/shop/odezhda/zhilety/zhilet-zhenskiy-stream-bw-women-temnoseriy-04021370/" , "04021370 Жилет женский Stream BW Women, темно-серый, размер M")</f>
      </c>
      <c r="C8637" s="4" t="n">
        <v>3483.00</v>
      </c>
      <c r="D8637" s="4"/>
    </row>
    <row collapsed="" customFormat="false" customHeight="1" hidden="" ht="14" outlineLevel="0" r="8638">
      <c r="A8638" s="3" t="inlineStr">
        <is>
          <t>8605</t>
        </is>
      </c>
      <c r="B8638" s="4" t="s">
        <f>=HYPERLINK("http://anyluxury.ru/shop/odezhda/zhilety/zhilet-zhenskiy-stream-bw-women-temnoseriy-04021370/" , "04021370 Жилет женский Stream BW Women, темно-серый, размер L")</f>
      </c>
      <c r="C8638" s="4" t="n">
        <v>3483.00</v>
      </c>
      <c r="D8638" s="4"/>
    </row>
    <row collapsed="" customFormat="false" customHeight="1" hidden="" ht="14" outlineLevel="0" r="8639">
      <c r="A8639" s="3" t="inlineStr">
        <is>
          <t>8606</t>
        </is>
      </c>
      <c r="B8639" s="4" t="s">
        <f>=HYPERLINK("http://anyluxury.ru/shop/odezhda/zhilety/zhilet-zhenskiy-stream-bw-women-temnoseriy-04021370/" , "04021370 Жилет женский Stream BW Women, темно-серый, размер XL")</f>
      </c>
      <c r="C8639" s="4" t="n">
        <v>3483.00</v>
      </c>
      <c r="D8639" s="4"/>
    </row>
    <row collapsed="" customFormat="false" customHeight="1" hidden="" ht="14" outlineLevel="0" r="8640">
      <c r="A8640" s="3" t="inlineStr">
        <is>
          <t>8607</t>
        </is>
      </c>
      <c r="B8640" s="4" t="s">
        <f>=HYPERLINK("http://anyluxury.ru/shop/odezhda/zhilety/zhilet-zhenskiy-stream-bw-women-temnoseriy-04021370/" , "04021370 Жилет женский Stream BW Women, темно-серый, размер XXL")</f>
      </c>
      <c r="C8640" s="4" t="n">
        <v>3483.00</v>
      </c>
      <c r="D8640" s="4"/>
    </row>
    <row collapsed="" customFormat="false" customHeight="1" hidden="" ht="14" outlineLevel="0" r="8641">
      <c r="A8641" s="3" t="inlineStr">
        <is>
          <t>8608</t>
        </is>
      </c>
      <c r="B8641" s="4" t="s">
        <f>=HYPERLINK("http://anyluxury.ru/shop/odezhda/zhilety/zhilet-zhenskiy-stream-bw-women-temnosiniy-04021319/" , "04021319 Жилет женский Stream BW Women, темно-синий, размер S")</f>
      </c>
      <c r="C8641" s="4" t="n">
        <v>3483.00</v>
      </c>
      <c r="D8641" s="4"/>
    </row>
    <row collapsed="" customFormat="false" customHeight="1" hidden="" ht="14" outlineLevel="0" r="8642">
      <c r="A8642" s="3" t="inlineStr">
        <is>
          <t>8609</t>
        </is>
      </c>
      <c r="B8642" s="4" t="s">
        <f>=HYPERLINK("http://anyluxury.ru/shop/odezhda/zhilety/zhilet-zhenskiy-stream-bw-women-temnosiniy-04021319/" , "04021319 Жилет женский Stream BW Women, темно-синий, размер M")</f>
      </c>
      <c r="C8642" s="4" t="n">
        <v>3483.00</v>
      </c>
      <c r="D8642" s="4"/>
    </row>
    <row collapsed="" customFormat="false" customHeight="1" hidden="" ht="14" outlineLevel="0" r="8643">
      <c r="A8643" s="3" t="inlineStr">
        <is>
          <t>8610</t>
        </is>
      </c>
      <c r="B8643" s="4" t="s">
        <f>=HYPERLINK("http://anyluxury.ru/shop/odezhda/zhilety/zhilet-zhenskiy-stream-bw-women-temnosiniy-04021319/" , "04021319 Жилет женский Stream BW Women, темно-синий, размер L")</f>
      </c>
      <c r="C8643" s="4" t="n">
        <v>3483.00</v>
      </c>
      <c r="D8643" s="4"/>
    </row>
    <row collapsed="" customFormat="false" customHeight="1" hidden="" ht="14" outlineLevel="0" r="8644">
      <c r="A8644" s="3" t="inlineStr">
        <is>
          <t>8611</t>
        </is>
      </c>
      <c r="B8644" s="4" t="s">
        <f>=HYPERLINK("http://anyluxury.ru/shop/odezhda/zhilety/zhilet-zhenskiy-stream-bw-women-temnosiniy-04021319/" , "04021319 Жилет женский Stream BW Women, темно-синий, размер XL")</f>
      </c>
      <c r="C8644" s="4" t="n">
        <v>3483.00</v>
      </c>
      <c r="D8644" s="4"/>
    </row>
    <row collapsed="" customFormat="false" customHeight="1" hidden="" ht="14" outlineLevel="0" r="8645">
      <c r="A8645" s="3" t="inlineStr">
        <is>
          <t>8612</t>
        </is>
      </c>
      <c r="B8645" s="4" t="s">
        <f>=HYPERLINK("http://anyluxury.ru/shop/odezhda/zhilety/zhilet-zhenskiy-stream-bw-women-temnosiniy-04021319/" , "04021319 Жилет женский Stream BW Women, темно-синий, размер XXL")</f>
      </c>
      <c r="C8645" s="4" t="n">
        <v>3483.00</v>
      </c>
      <c r="D8645" s="4"/>
    </row>
    <row collapsed="" customFormat="false" customHeight="1" hidden="" ht="14" outlineLevel="0" r="8646">
      <c r="A8646" s="3" t="inlineStr">
        <is>
          <t>8613</t>
        </is>
      </c>
      <c r="B8646" s="4" t="s">
        <f>=HYPERLINK("http://anyluxury.ru/shop/odezhda/zhilety/zhilet-dvustoronniy-v2-cherniy-1526030/" , "15260.30 Жилет двусторонний V2, черный, размер XS/S")</f>
      </c>
      <c r="C8646" s="4" t="n">
        <v>5490.00</v>
      </c>
      <c r="D8646" s="4"/>
    </row>
    <row collapsed="" customFormat="false" customHeight="1" hidden="" ht="14" outlineLevel="0" r="8647">
      <c r="A8647" s="3" t="inlineStr">
        <is>
          <t>8614</t>
        </is>
      </c>
      <c r="B8647" s="4" t="s">
        <f>=HYPERLINK("http://anyluxury.ru/shop/odezhda/zhilety/zhilet-dvustoronniy-v2-cherniy-1526030/" , "15260.30 Жилет двусторонний V2, черный, размер M/L")</f>
      </c>
      <c r="C8647" s="4" t="n">
        <v>5490.00</v>
      </c>
      <c r="D8647" s="4"/>
    </row>
    <row collapsed="" customFormat="false" customHeight="1" hidden="" ht="14" outlineLevel="0" r="8648">
      <c r="A8648" s="3" t="inlineStr">
        <is>
          <t>8615</t>
        </is>
      </c>
      <c r="B8648" s="4" t="s">
        <f>=HYPERLINK("http://anyluxury.ru/shop/odezhda/zhilety/zhilet-dvustoronniy-v2-cherniy-1526030/" , "15260.30 Жилет двусторонний V2, черный, размер XL/XXL")</f>
      </c>
      <c r="C8648" s="4" t="n">
        <v>5490.00</v>
      </c>
      <c r="D8648" s="4"/>
    </row>
    <row collapsed="" customFormat="false" customHeight="1" hidden="" ht="14" outlineLevel="0" r="8649">
      <c r="A8649" s="3" t="inlineStr">
        <is>
          <t>8616</t>
        </is>
      </c>
      <c r="B8649" s="4" t="s">
        <f>=HYPERLINK("http://anyluxury.ru/shop/odezhda/zhilety/zhilet-dvustoronniy-v2-siniy-1526040/" , "15260.40 Жилет двусторонний V2, синий, размер XS/S")</f>
      </c>
      <c r="C8649" s="4" t="n">
        <v>5490.00</v>
      </c>
      <c r="D8649" s="4"/>
    </row>
    <row collapsed="" customFormat="false" customHeight="1" hidden="" ht="14" outlineLevel="0" r="8650">
      <c r="A8650" s="3" t="inlineStr">
        <is>
          <t>8617</t>
        </is>
      </c>
      <c r="B8650" s="4" t="s">
        <f>=HYPERLINK("http://anyluxury.ru/shop/odezhda/zhilety/zhilet-dvustoronniy-v2-siniy-1526040/" , "15260.40 Жилет двусторонний V2, синий, размер M/L")</f>
      </c>
      <c r="C8650" s="4" t="n">
        <v>5490.00</v>
      </c>
      <c r="D8650" s="4"/>
    </row>
    <row collapsed="" customFormat="false" customHeight="1" hidden="" ht="14" outlineLevel="0" r="8651">
      <c r="A8651" s="3" t="inlineStr">
        <is>
          <t>8618</t>
        </is>
      </c>
      <c r="B8651" s="4" t="s">
        <f>=HYPERLINK("http://anyluxury.ru/shop/odezhda/zhilety/zhilet-dvustoronniy-v2-siniy-1526040/" , "15260.40 Жилет двусторонний V2, синий, размер XL/XXL")</f>
      </c>
      <c r="C8651" s="4" t="n">
        <v>5490.00</v>
      </c>
      <c r="D8651" s="4"/>
    </row>
    <row collapsed="" customFormat="false" customHeight="1" hidden="" ht="14" outlineLevel="0" r="8652">
      <c r="A8652" s="3" t="inlineStr">
        <is>
          <t>8619</t>
        </is>
      </c>
      <c r="B8652" s="4" t="s">
        <f>=HYPERLINK("http://anyluxury.ru/shop/odezhda/zhilety/zhilet-dvustoronniy-v2-seriy-1526011/" , "15260.11 Жилет двусторонний V2, серый, размер XS/S")</f>
      </c>
      <c r="C8652" s="4" t="n">
        <v>5490.00</v>
      </c>
      <c r="D8652" s="4"/>
    </row>
    <row collapsed="" customFormat="false" customHeight="1" hidden="" ht="14" outlineLevel="0" r="8653">
      <c r="A8653" s="3" t="inlineStr">
        <is>
          <t>8620</t>
        </is>
      </c>
      <c r="B8653" s="4" t="s">
        <f>=HYPERLINK("http://anyluxury.ru/shop/odezhda/zhilety/zhilet-dvustoronniy-v2-seriy-1526011/" , "15260.11 Жилет двусторонний V2, серый, размер M/L")</f>
      </c>
      <c r="C8653" s="4" t="n">
        <v>5490.00</v>
      </c>
      <c r="D8653" s="4"/>
    </row>
    <row collapsed="" customFormat="false" customHeight="1" hidden="" ht="14" outlineLevel="0" r="8654">
      <c r="A8654" s="3" t="inlineStr">
        <is>
          <t>8621</t>
        </is>
      </c>
      <c r="B8654" s="4" t="s">
        <f>=HYPERLINK("http://anyluxury.ru/shop/odezhda/zhilety/zhilet-dvustoronniy-v2-seriy-1526011/" , "15260.11 Жилет двусторонний V2, серый, размер XL/XXL")</f>
      </c>
      <c r="C8654" s="4" t="n">
        <v>5490.00</v>
      </c>
      <c r="D8654" s="4"/>
    </row>
    <row collapsed="" customFormat="false" customHeight="1" hidden="" ht="14" outlineLevel="0" r="8655">
      <c r="A8655" s="3" t="inlineStr">
        <is>
          <t>8622</t>
        </is>
      </c>
      <c r="B8655" s="4" t="s">
        <f>=HYPERLINK("http://anyluxury.ru/shop/odezhda/zhilety/zhilet-s-podogrevom-thermalli-valmorel-cherniy-1633330/" , "16333.30 Жилет с подогревом Thermalli Valmorel, черный, размер S")</f>
      </c>
      <c r="C8655" s="4" t="n">
        <v>7990.00</v>
      </c>
      <c r="D8655" s="4"/>
    </row>
    <row collapsed="" customFormat="false" customHeight="1" hidden="" ht="14" outlineLevel="0" r="8656">
      <c r="A8656" s="3" t="inlineStr">
        <is>
          <t>8623</t>
        </is>
      </c>
      <c r="B8656" s="4" t="s">
        <f>=HYPERLINK("http://anyluxury.ru/shop/odezhda/zhilety/zhilet-s-podogrevom-thermalli-valmorel-cherniy-1633330/" , "16333.30 Жилет с подогревом Thermalli Valmorel, черный, размер M")</f>
      </c>
      <c r="C8656" s="4" t="n">
        <v>7990.00</v>
      </c>
      <c r="D8656" s="4"/>
    </row>
    <row collapsed="" customFormat="false" customHeight="1" hidden="" ht="14" outlineLevel="0" r="8657">
      <c r="A8657" s="3" t="inlineStr">
        <is>
          <t>8624</t>
        </is>
      </c>
      <c r="B8657" s="4" t="s">
        <f>=HYPERLINK("http://anyluxury.ru/shop/odezhda/zhilety/zhilet-s-podogrevom-thermalli-valmorel-cherniy-1633330/" , "16333.30 Жилет с подогревом Thermalli Valmorel, черный, размер L")</f>
      </c>
      <c r="C8657" s="4" t="n">
        <v>7990.00</v>
      </c>
      <c r="D8657" s="4"/>
    </row>
    <row collapsed="" customFormat="false" customHeight="1" hidden="" ht="14" outlineLevel="0" r="8658">
      <c r="A8658" s="3" t="inlineStr">
        <is>
          <t>8625</t>
        </is>
      </c>
      <c r="B8658" s="4" t="s">
        <f>=HYPERLINK("http://anyluxury.ru/shop/odezhda/zhilety/zhilet-s-podogrevom-thermalli-valmorel-cherniy-1633330/" , "16333.30 Жилет с подогревом Thermalli Valmorel, черный, размер XL")</f>
      </c>
      <c r="C8658" s="4" t="n">
        <v>7990.00</v>
      </c>
      <c r="D8658" s="4"/>
    </row>
    <row collapsed="" customFormat="false" customHeight="1" hidden="" ht="14" outlineLevel="0" r="8659">
      <c r="A8659" s="3" t="inlineStr">
        <is>
          <t>8626</t>
        </is>
      </c>
      <c r="B8659" s="4" t="s">
        <f>=HYPERLINK("http://anyluxury.ru/shop/odezhda/zhilety/zhilet-s-podogrevom-thermalli-valmorel-cherniy-1633330/" , "16333.30 Жилет с подогревом Thermalli Valmorel, черный, размер XXL")</f>
      </c>
      <c r="C8659" s="4" t="n">
        <v>7990.00</v>
      </c>
      <c r="D8659" s="4"/>
    </row>
    <row collapsed="" customFormat="false" customHeight="1" hidden="" ht="14" outlineLevel="0" r="8660">
      <c r="A8660" s="3" t="inlineStr">
        <is>
          <t>8627</t>
        </is>
      </c>
      <c r="B8660" s="4" t="s">
        <f>=HYPERLINK("http://anyluxury.ru/shop/odezhda/zhilety/zhilet-s-podogrevom-thermalli-valmorel-cherniy-1633330/" , "16333.30 Жилет с подогревом Thermalli Valmorel, черный, размер 3XL")</f>
      </c>
      <c r="C8660" s="4" t="n">
        <v>7990.00</v>
      </c>
      <c r="D8660" s="4"/>
    </row>
    <row collapsed="" customFormat="false" customHeight="1" hidden="" ht="14" outlineLevel="0" r="8661">
      <c r="A8661" s="3" t="inlineStr">
        <is>
          <t>8628</t>
        </is>
      </c>
      <c r="B8661" s="4" t="s">
        <f>=HYPERLINK("http://anyluxury.ru/shop/odezhda/zhilety/zhilet-s-podogrevom-thermalli-valmorel-cherniy-1633330/" , "16333.30 Жилет с подогревом Thermalli Valmorel, черный, размер 4XL")</f>
      </c>
      <c r="C8661" s="4" t="n">
        <v>7990.00</v>
      </c>
      <c r="D8661" s="4"/>
    </row>
    <row collapsed="" customFormat="false" customHeight="1" hidden="" ht="14" outlineLevel="0" r="8662">
      <c r="A8662" s="3" t="inlineStr">
        <is>
          <t>8629</t>
        </is>
      </c>
      <c r="B8662" s="4" t="s">
        <f>=HYPERLINK("http://anyluxury.ru/shop/odezhda/zhilety/zhilet-s-podogrevom-thermalli-valmorel-seriy-kamuflyazh-1633311/" , "16333.11 Жилет с подогревом Thermalli Valmorel, серый камуфляж, размер S")</f>
      </c>
      <c r="C8662" s="4" t="n">
        <v>7990.00</v>
      </c>
      <c r="D8662" s="4"/>
    </row>
    <row collapsed="" customFormat="false" customHeight="1" hidden="" ht="14" outlineLevel="0" r="8663">
      <c r="A8663" s="3" t="inlineStr">
        <is>
          <t>8630</t>
        </is>
      </c>
      <c r="B8663" s="4" t="s">
        <f>=HYPERLINK("http://anyluxury.ru/shop/odezhda/zhilety/zhilet-s-podogrevom-thermalli-valmorel-seriy-kamuflyazh-1633311/" , "16333.11 Жилет с подогревом Thermalli Valmorel, серый камуфляж, размер M")</f>
      </c>
      <c r="C8663" s="4" t="n">
        <v>7990.00</v>
      </c>
      <c r="D8663" s="4"/>
    </row>
    <row collapsed="" customFormat="false" customHeight="1" hidden="" ht="14" outlineLevel="0" r="8664">
      <c r="A8664" s="3" t="inlineStr">
        <is>
          <t>8631</t>
        </is>
      </c>
      <c r="B8664" s="4" t="s">
        <f>=HYPERLINK("http://anyluxury.ru/shop/odezhda/zhilety/zhilet-s-podogrevom-thermalli-valmorel-seriy-kamuflyazh-1633311/" , "16333.11 Жилет с подогревом Thermalli Valmorel, серый камуфляж, размер L")</f>
      </c>
      <c r="C8664" s="4" t="n">
        <v>7990.00</v>
      </c>
      <c r="D8664" s="4"/>
    </row>
    <row collapsed="" customFormat="false" customHeight="1" hidden="" ht="14" outlineLevel="0" r="8665">
      <c r="A8665" s="3" t="inlineStr">
        <is>
          <t>8632</t>
        </is>
      </c>
      <c r="B8665" s="4" t="s">
        <f>=HYPERLINK("http://anyluxury.ru/shop/odezhda/zhilety/zhilet-s-podogrevom-thermalli-valmorel-seriy-kamuflyazh-1633311/" , "16333.11 Жилет с подогревом Thermalli Valmorel, серый камуфляж, размер XL")</f>
      </c>
      <c r="C8665" s="4" t="n">
        <v>7990.00</v>
      </c>
      <c r="D8665" s="4"/>
    </row>
    <row collapsed="" customFormat="false" customHeight="1" hidden="" ht="14" outlineLevel="0" r="8666">
      <c r="A8666" s="3" t="inlineStr">
        <is>
          <t>8633</t>
        </is>
      </c>
      <c r="B8666" s="4" t="s">
        <f>=HYPERLINK("http://anyluxury.ru/shop/odezhda/zhilety/zhilet-s-podogrevom-thermalli-valmorel-seriy-kamuflyazh-1633311/" , "16333.11 Жилет с подогревом Thermalli Valmorel, серый камуфляж, размер XXL")</f>
      </c>
      <c r="C8666" s="4" t="n">
        <v>7990.00</v>
      </c>
      <c r="D8666" s="4"/>
    </row>
    <row collapsed="" customFormat="false" customHeight="1" hidden="" ht="14" outlineLevel="0" r="8667">
      <c r="A8667" s="3" t="inlineStr">
        <is>
          <t>8634</t>
        </is>
      </c>
      <c r="B8667" s="4" t="s">
        <f>=HYPERLINK("http://anyluxury.ru/shop/odezhda/zhilety/zhilet-s-podogrevom-thermalli-valmorel-temnosiniy-1633340/" , "16333.40 Жилет с подогревом Thermalli Valmorel, темно-синий, размер S")</f>
      </c>
      <c r="C8667" s="4" t="n">
        <v>7990.00</v>
      </c>
      <c r="D8667" s="4"/>
    </row>
    <row collapsed="" customFormat="false" customHeight="1" hidden="" ht="14" outlineLevel="0" r="8668">
      <c r="A8668" s="3" t="inlineStr">
        <is>
          <t>8635</t>
        </is>
      </c>
      <c r="B8668" s="4" t="s">
        <f>=HYPERLINK("http://anyluxury.ru/shop/odezhda/zhilety/zhilet-s-podogrevom-thermalli-valmorel-temnosiniy-1633340/" , "16333.40 Жилет с подогревом Thermalli Valmorel, темно-синий, размер M")</f>
      </c>
      <c r="C8668" s="4" t="n">
        <v>7990.00</v>
      </c>
      <c r="D8668" s="4"/>
    </row>
    <row collapsed="" customFormat="false" customHeight="1" hidden="" ht="14" outlineLevel="0" r="8669">
      <c r="A8669" s="3" t="inlineStr">
        <is>
          <t>8636</t>
        </is>
      </c>
      <c r="B8669" s="4" t="s">
        <f>=HYPERLINK("http://anyluxury.ru/shop/odezhda/zhilety/zhilet-s-podogrevom-thermalli-valmorel-temnosiniy-1633340/" , "16333.40 Жилет с подогревом Thermalli Valmorel, темно-синий, размер L")</f>
      </c>
      <c r="C8669" s="4" t="n">
        <v>7990.00</v>
      </c>
      <c r="D8669" s="4"/>
    </row>
    <row collapsed="" customFormat="false" customHeight="1" hidden="" ht="14" outlineLevel="0" r="8670">
      <c r="A8670" s="3" t="inlineStr">
        <is>
          <t>8637</t>
        </is>
      </c>
      <c r="B8670" s="4" t="s">
        <f>=HYPERLINK("http://anyluxury.ru/shop/odezhda/zhilety/zhilet-s-podogrevom-thermalli-valmorel-temnosiniy-1633340/" , "16333.40 Жилет с подогревом Thermalli Valmorel, темно-синий, размер XL")</f>
      </c>
      <c r="C8670" s="4" t="n">
        <v>7990.00</v>
      </c>
      <c r="D8670" s="4"/>
    </row>
    <row collapsed="" customFormat="false" customHeight="1" hidden="" ht="14" outlineLevel="0" r="8671">
      <c r="A8671" s="3" t="inlineStr">
        <is>
          <t>8638</t>
        </is>
      </c>
      <c r="B8671" s="4" t="s">
        <f>=HYPERLINK("http://anyluxury.ru/shop/odezhda/zhilety/zhilet-s-podogrevom-thermalli-valmorel-temnosiniy-1633340/" , "16333.40 Жилет с подогревом Thermalli Valmorel, темно-синий, размер XXL")</f>
      </c>
      <c r="C8671" s="4" t="n">
        <v>7990.00</v>
      </c>
      <c r="D8671" s="4"/>
    </row>
    <row collapsed="" customFormat="false" customHeight="1" hidden="" ht="14" outlineLevel="0" r="8672">
      <c r="A8672" s="3" t="inlineStr">
        <is>
          <t>8639</t>
        </is>
      </c>
      <c r="B8672" s="4" t="s">
        <f>=HYPERLINK("http://anyluxury.ru/shop/odezhda/zhilety/zhilet-s-podogrevom-thermalli-valmorel-temnosiniy-1633340/" , "16333.40 Жилет с подогревом Thermalli Valmorel, темно-синий, размер 3XL")</f>
      </c>
      <c r="C8672" s="4" t="n">
        <v>7990.00</v>
      </c>
      <c r="D8672" s="4"/>
    </row>
    <row collapsed="" customFormat="false" customHeight="1" hidden="" ht="14" outlineLevel="0" r="8673">
      <c r="A8673" s="3" t="inlineStr">
        <is>
          <t>8640</t>
        </is>
      </c>
      <c r="B8673" s="4" t="s">
        <f>=HYPERLINK("http://anyluxury.ru/shop/odezhda/zhilety/zhilet-s-podogrevom-thermalli-valmorel-temnosiniy-1633340/" , "16333.40 Жилет с подогревом Thermalli Valmorel, темно-синий, размер 4XL")</f>
      </c>
      <c r="C8673" s="4" t="n">
        <v>7990.00</v>
      </c>
      <c r="D8673" s="4"/>
    </row>
    <row collapsed="" customFormat="false" customHeight="" hidden="" ht="12.1" outlineLevel="0" r="8674">
      <c r="A8674" s="5" t="inlineStr">
        <is>
          <t> -  - Запонки</t>
        </is>
      </c>
      <c r="B8674" s="6"/>
      <c r="C8674" s="6"/>
      <c r="D8674" s="6"/>
    </row>
    <row collapsed="" customFormat="false" customHeight="1" hidden="" ht="14" outlineLevel="0" r="8675">
      <c r="A8675" s="3" t="inlineStr">
        <is>
          <t>8641</t>
        </is>
      </c>
      <c r="B8675" s="4" t="s">
        <f>=HYPERLINK("http://anyluxury.ru/shop/odezhda/zaponki/zaponki-bc0115/" , "BC0115 Запонки BC0115")</f>
      </c>
      <c r="C8675" s="4" t="n">
        <v>16200.00</v>
      </c>
      <c r="D8675" s="4"/>
    </row>
    <row collapsed="" customFormat="false" customHeight="1" hidden="" ht="14" outlineLevel="0" r="8676">
      <c r="A8676" s="3" t="inlineStr">
        <is>
          <t>8642</t>
        </is>
      </c>
      <c r="B8676" s="4" t="s">
        <f>=HYPERLINK("http://anyluxury.ru/shop/odezhda/zaponki/zaponki-kruglye-mars-stal-amazonit/" , "D70040 Запонки круглые 'Mars', сталь/амазонит")</f>
      </c>
      <c r="C8676" s="4" t="n">
        <v>8050.00</v>
      </c>
      <c r="D8676" s="4"/>
    </row>
    <row collapsed="" customFormat="false" customHeight="1" hidden="" ht="14" outlineLevel="0" r="8677">
      <c r="A8677" s="3" t="inlineStr">
        <is>
          <t>8643</t>
        </is>
      </c>
      <c r="B8677" s="4" t="s">
        <f>=HYPERLINK("http://anyluxury.ru/shop/odezhda/zaponki/zaponki-kruglye-mars-stal-belyy-kvarts/" , "D70035 Запонки круглые 'Mars', сталь/белый кварц")</f>
      </c>
      <c r="C8677" s="4" t="n">
        <v>8750.00</v>
      </c>
      <c r="D8677" s="4"/>
    </row>
    <row collapsed="" customFormat="false" customHeight="1" hidden="" ht="14" outlineLevel="0" r="8678">
      <c r="A8678" s="3" t="inlineStr">
        <is>
          <t>8644</t>
        </is>
      </c>
      <c r="B8678" s="4" t="s">
        <f>=HYPERLINK("http://anyluxury.ru/shop/odezhda/zaponki/zaponki-kruglye-titan-stal-brazilskiy-karnelian/" , "D70025 Запонки круглые 'Titan', сталь/бразильский карнелиан")</f>
      </c>
      <c r="C8678" s="4" t="n">
        <v>10920.00</v>
      </c>
      <c r="D8678" s="4"/>
    </row>
    <row collapsed="" customFormat="false" customHeight="1" hidden="" ht="14" outlineLevel="0" r="8679">
      <c r="A8679" s="3" t="inlineStr">
        <is>
          <t>8645</t>
        </is>
      </c>
      <c r="B8679" s="4" t="s">
        <f>=HYPERLINK("http://anyluxury.ru/shop/odezhda/zaponki/zaponki-kruglye-titan-stal-serafinit/" , "D70026 Запонки круглые 'Titan', сталь/серафинит")</f>
      </c>
      <c r="C8679" s="4" t="n">
        <v>10220.00</v>
      </c>
      <c r="D8679" s="4"/>
    </row>
    <row collapsed="" customFormat="false" customHeight="1" hidden="" ht="14" outlineLevel="0" r="8680">
      <c r="A8680" s="3" t="inlineStr">
        <is>
          <t>8646</t>
        </is>
      </c>
      <c r="B8680" s="4" t="s">
        <f>=HYPERLINK("http://anyluxury.ru/shop/odezhda/zaponki/zaponki-kruglye-titan-stal-snezhnyy-agat/" , "D70027 Запонки круглые 'Titan', сталь/снежный агат")</f>
      </c>
      <c r="C8680" s="4" t="n">
        <v>10220.00</v>
      </c>
      <c r="D8680" s="4"/>
    </row>
    <row collapsed="" customFormat="false" customHeight="1" hidden="" ht="14" outlineLevel="0" r="8681">
      <c r="A8681" s="3" t="inlineStr">
        <is>
          <t>8647</t>
        </is>
      </c>
      <c r="B8681" s="4" t="s">
        <f>=HYPERLINK("http://anyluxury.ru/shop/odezhda/zaponki/zaponki-kruglye-stal/" , "D482 Запонки круглые, сталь")</f>
      </c>
      <c r="C8681" s="4" t="n">
        <v>4900.00</v>
      </c>
      <c r="D8681" s="4"/>
    </row>
    <row collapsed="" customFormat="false" customHeight="1" hidden="" ht="14" outlineLevel="0" r="8682">
      <c r="A8682" s="3" t="inlineStr">
        <is>
          <t>8648</t>
        </is>
      </c>
      <c r="B8682" s="4" t="s">
        <f>=HYPERLINK("http://anyluxury.ru/shop/odezhda/zaponki/zaponki-ovalnye-kombinirovannye-zeppelin-horizon-perlamutr-malakhi/" , "D839 Запонки овальные  комбинированные “ZEPPELIN HORIZON”, перламутр, малахи")</f>
      </c>
      <c r="C8682" s="4" t="n">
        <v>16800.00</v>
      </c>
      <c r="D8682" s="4"/>
    </row>
    <row collapsed="" customFormat="false" customHeight="1" hidden="" ht="14" outlineLevel="0" r="8683">
      <c r="A8683" s="3" t="inlineStr">
        <is>
          <t>8649</t>
        </is>
      </c>
      <c r="B8683" s="4" t="s">
        <f>=HYPERLINK("http://anyluxury.ru/shop/odezhda/zaponki/zaponki-ovalnye-kombinirovannye-zeppelin-horizon-chernyy-oniks-tigrovyy-glaz/" , "D837 Запонки овальные  комбинированные “ZEPPELIN HORIZON”, черный оникс, тигровый глаз")</f>
      </c>
      <c r="C8683" s="4" t="n">
        <v>13230.00</v>
      </c>
      <c r="D8683" s="4"/>
    </row>
    <row collapsed="" customFormat="false" customHeight="1" hidden="" ht="14" outlineLevel="0" r="8684">
      <c r="A8684" s="3" t="inlineStr">
        <is>
          <t>8650</t>
        </is>
      </c>
      <c r="B8684" s="4" t="s">
        <f>=HYPERLINK("http://anyluxury.ru/shop/odezhda/zaponki/zaponki-ovalnye-jupiter-stal-belyy-kvarts/" , "D70043 Запонки овальные 'Jupiter', сталь/белый кварц")</f>
      </c>
      <c r="C8684" s="4" t="n">
        <v>10220.00</v>
      </c>
      <c r="D8684" s="4"/>
    </row>
    <row collapsed="" customFormat="false" customHeight="1" hidden="" ht="14" outlineLevel="0" r="8685">
      <c r="A8685" s="3" t="inlineStr">
        <is>
          <t>8651</t>
        </is>
      </c>
      <c r="B8685" s="4" t="s">
        <f>=HYPERLINK("http://anyluxury.ru/shop/odezhda/zaponki/zaponki-ovalnye-jupiter-stal-krasnyy-tigrovyy-glaz/" , "D70042 Запонки овальные 'Jupiter', сталь/красный тигровый глаз")</f>
      </c>
      <c r="C8685" s="4" t="n">
        <v>10220.00</v>
      </c>
      <c r="D8685" s="4"/>
    </row>
    <row collapsed="" customFormat="false" customHeight="1" hidden="" ht="14" outlineLevel="0" r="8686">
      <c r="A8686" s="3" t="inlineStr">
        <is>
          <t>8652</t>
        </is>
      </c>
      <c r="B8686" s="4" t="s">
        <f>=HYPERLINK("http://anyluxury.ru/shop/odezhda/zaponki/zaponki-ovalnye-jupiter-stal-rozovyy-kvarts/" , "D70046 Запонки овальные 'Jupiter', сталь/розовый кварц")</f>
      </c>
      <c r="C8686" s="4" t="n">
        <v>10220.00</v>
      </c>
      <c r="D8686" s="4"/>
    </row>
    <row collapsed="" customFormat="false" customHeight="1" hidden="" ht="14" outlineLevel="0" r="8687">
      <c r="A8687" s="3" t="inlineStr">
        <is>
          <t>8653</t>
        </is>
      </c>
      <c r="B8687" s="4" t="s">
        <f>=HYPERLINK("http://anyluxury.ru/shop/odezhda/zaponki/zaponki-ovalnye-jupiter-stal-serafinit/" , "D70044 Запонки овальные 'Jupiter', сталь/серафинит")</f>
      </c>
      <c r="C8687" s="4" t="n">
        <v>10220.00</v>
      </c>
      <c r="D8687" s="4"/>
    </row>
    <row collapsed="" customFormat="false" customHeight="1" hidden="" ht="14" outlineLevel="0" r="8688">
      <c r="A8688" s="3" t="inlineStr">
        <is>
          <t>8654</t>
        </is>
      </c>
      <c r="B8688" s="4" t="s">
        <f>=HYPERLINK("http://anyluxury.ru/shop/odezhda/zaponki/zaponki-ovalnye-jupiter-stal-chernyy-agat/" , "D70048 Запонки овальные 'Jupiter', сталь/черный агат")</f>
      </c>
      <c r="C8688" s="4" t="n">
        <v>10220.00</v>
      </c>
      <c r="D8688" s="4"/>
    </row>
    <row collapsed="" customFormat="false" customHeight="1" hidden="" ht="14" outlineLevel="0" r="8689">
      <c r="A8689" s="3" t="inlineStr">
        <is>
          <t>8655</t>
        </is>
      </c>
      <c r="B8689" s="4" t="s">
        <f>=HYPERLINK("http://anyluxury.ru/shop/odezhda/zaponki/zaponki-ovalnye-kombinirovannye-repp-perlamutr-malakhit/" , "D811 Запонки овальные комбинированные“REPP” перламутр, малахит")</f>
      </c>
      <c r="C8689" s="4" t="n">
        <v>13230.00</v>
      </c>
      <c r="D8689" s="4"/>
    </row>
    <row collapsed="" customFormat="false" customHeight="1" hidden="" ht="14" outlineLevel="0" r="8690">
      <c r="A8690" s="3" t="inlineStr">
        <is>
          <t>8656</t>
        </is>
      </c>
      <c r="B8690" s="4" t="s">
        <f>=HYPERLINK("http://anyluxury.ru/shop/odezhda/zaponki/zaponki-ovalnye-kombinirovannye-repp-chernyy-oniks-gematit/" , "D807 Запонки овальные комбинированные“REPP” черный оникс, гематит")</f>
      </c>
      <c r="C8690" s="4" t="n">
        <v>11620.00</v>
      </c>
      <c r="D8690" s="4"/>
    </row>
    <row collapsed="" customFormat="false" customHeight="1" hidden="" ht="14" outlineLevel="0" r="8691">
      <c r="A8691" s="3" t="inlineStr">
        <is>
          <t>8657</t>
        </is>
      </c>
      <c r="B8691" s="4" t="s">
        <f>=HYPERLINK("http://anyluxury.ru/shop/odezhda/zaponki/zaponki-ovalnye-kombinirovannye-repp-chernyy-oniks-perlamutr/" , "D806 Запонки овальные комбинированные“REPP” черный оникс, перламутр")</f>
      </c>
      <c r="C8691" s="4" t="n">
        <v>11620.00</v>
      </c>
      <c r="D8691" s="4"/>
    </row>
    <row collapsed="" customFormat="false" customHeight="1" hidden="" ht="14" outlineLevel="0" r="8692">
      <c r="A8692" s="3" t="inlineStr">
        <is>
          <t>8658</t>
        </is>
      </c>
      <c r="B8692" s="4" t="s">
        <f>=HYPERLINK("http://anyluxury.ru/shop/odezhda/zaponki/zaponki-pryamougolnye-grand-prix-gematit/" , "D832 Запонки прямоугольные “GRAND PRIX ,гематит")</f>
      </c>
      <c r="C8692" s="4" t="n">
        <v>16800.00</v>
      </c>
      <c r="D8692" s="4"/>
    </row>
    <row collapsed="" customFormat="false" customHeight="1" hidden="" ht="14" outlineLevel="0" r="8693">
      <c r="A8693" s="3" t="inlineStr">
        <is>
          <t>8659</t>
        </is>
      </c>
      <c r="B8693" s="4" t="s">
        <f>=HYPERLINK("http://anyluxury.ru/shop/odezhda/zaponki/zaponki-pryamougolnye-grand-prix-chernyy-oniks/" , "D831 Запонки прямоугольные “GRAND PRIX ,черный оникс")</f>
      </c>
      <c r="C8693" s="4" t="n">
        <v>16800.00</v>
      </c>
      <c r="D8693" s="4"/>
    </row>
    <row collapsed="" customFormat="false" customHeight="1" hidden="" ht="14" outlineLevel="0" r="8694">
      <c r="A8694" s="3" t="inlineStr">
        <is>
          <t>8660</t>
        </is>
      </c>
      <c r="B8694" s="4" t="s">
        <f>=HYPERLINK("http://anyluxury.ru/shop/odezhda/zaponki/zaponki-pugovichnye-belyy-oniks-stal/" , "D678 Запонки пуговичные, белый оникс, сталь")</f>
      </c>
      <c r="C8694" s="4" t="n">
        <v>7490.00</v>
      </c>
      <c r="D8694" s="4"/>
    </row>
    <row collapsed="" customFormat="false" customHeight="1" hidden="" ht="14" outlineLevel="0" r="8695">
      <c r="A8695" s="3" t="inlineStr">
        <is>
          <t>8661</t>
        </is>
      </c>
      <c r="B8695" s="4" t="s">
        <f>=HYPERLINK("http://anyluxury.ru/shop/odezhda/zaponki/zaponki-pugovichnye-krasnyy-oniks-stal/" , "D670 Запонки пуговичные, красный оникс, сталь")</f>
      </c>
      <c r="C8695" s="4" t="n">
        <v>7280.00</v>
      </c>
      <c r="D8695" s="4"/>
    </row>
    <row collapsed="" customFormat="false" customHeight="1" hidden="" ht="14" outlineLevel="0" r="8696">
      <c r="A8696" s="3" t="inlineStr">
        <is>
          <t>8662</t>
        </is>
      </c>
      <c r="B8696" s="4" t="s">
        <f>=HYPERLINK("http://anyluxury.ru/shop/odezhda/zaponki/zaponki-morskie-nerzhaveyushchaya-stal/" , "D726 Запонки 'МОРСКИЕ', нержавеющая сталь")</f>
      </c>
      <c r="C8696" s="4" t="n">
        <v>5460.00</v>
      </c>
      <c r="D8696" s="4"/>
    </row>
    <row collapsed="" customFormat="false" customHeight="1" hidden="" ht="14" outlineLevel="0" r="8697">
      <c r="A8697" s="3" t="inlineStr">
        <is>
          <t>8663</t>
        </is>
      </c>
      <c r="B8697" s="4" t="s">
        <f>=HYPERLINK("http://anyluxury.ru/shop/odezhda/zaponki/zaponki-propeller-tsvet-zheltoe-zoloto/" , "D783 Запонки 'Пропеллер', цвет желтое золото")</f>
      </c>
      <c r="C8697" s="4" t="n">
        <v>14980.00</v>
      </c>
      <c r="D8697" s="4"/>
    </row>
    <row collapsed="" customFormat="false" customHeight="" hidden="" ht="12.1" outlineLevel="0" r="8698">
      <c r="A8698" s="5" t="inlineStr">
        <is>
          <t> -  - Кепки и бейсболки</t>
        </is>
      </c>
      <c r="B8698" s="6"/>
      <c r="C8698" s="6"/>
      <c r="D8698" s="6"/>
    </row>
    <row collapsed="" customFormat="false" customHeight="1" hidden="" ht="14" outlineLevel="0" r="8699">
      <c r="A8699" s="3" t="inlineStr">
        <is>
          <t>8664</t>
        </is>
      </c>
      <c r="B8699" s="4" t="s">
        <f>=HYPERLINK("http://anyluxury.ru/shop/odezhda/kepki-i-beysbolki/beysbolka-buffalo-belaya-640460/" , "6404.60 Бейсболка Buffalo, белая")</f>
      </c>
      <c r="C8699" s="4" t="n">
        <v>454.00</v>
      </c>
      <c r="D8699" s="4"/>
    </row>
    <row collapsed="" customFormat="false" customHeight="1" hidden="" ht="14" outlineLevel="0" r="8700">
      <c r="A8700" s="3" t="inlineStr">
        <is>
          <t>8665</t>
        </is>
      </c>
      <c r="B8700" s="4" t="s">
        <f>=HYPERLINK("http://anyluxury.ru/shop/odezhda/kepki-i-beysbolki/beysbolka-buffalo-chernaya-640430/" , "6404.30 Бейсболка Buffalo, черная")</f>
      </c>
      <c r="C8700" s="4" t="n">
        <v>454.00</v>
      </c>
      <c r="D8700" s="4"/>
    </row>
    <row collapsed="" customFormat="false" customHeight="1" hidden="" ht="14" outlineLevel="0" r="8701">
      <c r="A8701" s="3" t="inlineStr">
        <is>
          <t>8666</t>
        </is>
      </c>
      <c r="B8701" s="4" t="s">
        <f>=HYPERLINK("http://anyluxury.ru/shop/odezhda/kepki-i-beysbolki/beysbolka-buffalo-krasnaya-s-belim-640456/" , "6404.56 Бейсболка Buffalo, красная с белым")</f>
      </c>
      <c r="C8701" s="4" t="n">
        <v>454.00</v>
      </c>
      <c r="D8701" s="4"/>
    </row>
    <row collapsed="" customFormat="false" customHeight="1" hidden="" ht="14" outlineLevel="0" r="8702">
      <c r="A8702" s="3" t="inlineStr">
        <is>
          <t>8667</t>
        </is>
      </c>
      <c r="B8702" s="4" t="s">
        <f>=HYPERLINK("http://anyluxury.ru/shop/odezhda/kepki-i-beysbolki/beysbolka-buffalo-yarkosinyaya-s-belim-640446/" , "6404.46 Бейсболка Buffalo, ярко-синяя с белым")</f>
      </c>
      <c r="C8702" s="4" t="n">
        <v>454.00</v>
      </c>
      <c r="D8702" s="4"/>
    </row>
    <row collapsed="" customFormat="false" customHeight="1" hidden="" ht="14" outlineLevel="0" r="8703">
      <c r="A8703" s="3" t="inlineStr">
        <is>
          <t>8668</t>
        </is>
      </c>
      <c r="B8703" s="4" t="s">
        <f>=HYPERLINK("http://anyluxury.ru/shop/odezhda/kepki-i-beysbolki/beysbolka-buffalo-yarkozelenaya-s-belim-640496/" , "6404.96 Бейсболка Buffalo, ярко-зеленая с белым")</f>
      </c>
      <c r="C8703" s="4" t="n">
        <v>454.00</v>
      </c>
      <c r="D8703" s="4"/>
    </row>
    <row collapsed="" customFormat="false" customHeight="1" hidden="" ht="14" outlineLevel="0" r="8704">
      <c r="A8704" s="3" t="inlineStr">
        <is>
          <t>8669</t>
        </is>
      </c>
      <c r="B8704" s="4" t="s">
        <f>=HYPERLINK("http://anyluxury.ru/shop/odezhda/kepki-i-beysbolki/beysbolka-buffalo-zheltaya-640480/" , "6404.80 Бейсболка Buffalo, желтая")</f>
      </c>
      <c r="C8704" s="4" t="n">
        <v>454.00</v>
      </c>
      <c r="D8704" s="4"/>
    </row>
    <row collapsed="" customFormat="false" customHeight="1" hidden="" ht="14" outlineLevel="0" r="8705">
      <c r="A8705" s="3" t="inlineStr">
        <is>
          <t>8670</t>
        </is>
      </c>
      <c r="B8705" s="4" t="s">
        <f>=HYPERLINK("http://anyluxury.ru/shop/odezhda/kepki-i-beysbolki/beysbolka-buffalo-chernaya-s-krasnim-640435/" , "6404.35 Бейсболка Buffalo, черная с красным")</f>
      </c>
      <c r="C8705" s="4" t="n">
        <v>454.00</v>
      </c>
      <c r="D8705" s="4"/>
    </row>
    <row collapsed="" customFormat="false" customHeight="1" hidden="" ht="14" outlineLevel="0" r="8706">
      <c r="A8706" s="3" t="inlineStr">
        <is>
          <t>8671</t>
        </is>
      </c>
      <c r="B8706" s="4" t="s">
        <f>=HYPERLINK("http://anyluxury.ru/shop/odezhda/kepki-i-beysbolki/beysbolka-buffalo-temnosinyaya-640440/" , "6404.40 Бейсболка Buffalo, темно-синяя")</f>
      </c>
      <c r="C8706" s="4" t="n">
        <v>454.00</v>
      </c>
      <c r="D8706" s="4"/>
    </row>
    <row collapsed="" customFormat="false" customHeight="1" hidden="" ht="14" outlineLevel="0" r="8707">
      <c r="A8707" s="3" t="inlineStr">
        <is>
          <t>8672</t>
        </is>
      </c>
      <c r="B8707" s="4" t="s">
        <f>=HYPERLINK("http://anyluxury.ru/shop/odezhda/kepki-i-beysbolki/beysbolka-sunny-krasnaya-582350/" , "5823.50 Бейсболка Sunny, красная")</f>
      </c>
      <c r="C8707" s="4" t="n">
        <v>368.00</v>
      </c>
      <c r="D8707" s="4"/>
    </row>
    <row collapsed="" customFormat="false" customHeight="1" hidden="" ht="14" outlineLevel="0" r="8708">
      <c r="A8708" s="3" t="inlineStr">
        <is>
          <t>8673</t>
        </is>
      </c>
      <c r="B8708" s="4" t="s">
        <f>=HYPERLINK("http://anyluxury.ru/shop/odezhda/kepki-i-beysbolki/bandana-unit-air-belaya-554360/" , "5543.60 Бандана Unit Air, белая")</f>
      </c>
      <c r="C8708" s="4" t="n">
        <v>210.00</v>
      </c>
      <c r="D8708" s="4"/>
    </row>
    <row collapsed="" customFormat="false" customHeight="1" hidden="" ht="14" outlineLevel="0" r="8709">
      <c r="A8709" s="3" t="inlineStr">
        <is>
          <t>8674</t>
        </is>
      </c>
      <c r="B8709" s="4" t="s">
        <f>=HYPERLINK("http://anyluxury.ru/shop/odezhda/kepki-i-beysbolki/beysbolka-buffalo-bezhevaya-640412/" , "6404.12 Бейсболка Buffalo, бежевая")</f>
      </c>
      <c r="C8709" s="4" t="n">
        <v>349.00</v>
      </c>
      <c r="D8709" s="4"/>
    </row>
    <row collapsed="" customFormat="false" customHeight="1" hidden="" ht="14" outlineLevel="0" r="8710">
      <c r="A8710" s="3" t="inlineStr">
        <is>
          <t>8675</t>
        </is>
      </c>
      <c r="B8710" s="4" t="s">
        <f>=HYPERLINK("http://anyluxury.ru/shop/odezhda/kepki-i-beysbolki/beysbolka-buffalo-temnosinyaya-s-belim-640476/" , "6404.76 Бейсболка Buffalo, темно-синяя с белым")</f>
      </c>
      <c r="C8710" s="4" t="n">
        <v>454.00</v>
      </c>
      <c r="D8710" s="4"/>
    </row>
    <row collapsed="" customFormat="false" customHeight="1" hidden="" ht="14" outlineLevel="0" r="8711">
      <c r="A8711" s="3" t="inlineStr">
        <is>
          <t>8676</t>
        </is>
      </c>
      <c r="B8711" s="4" t="s">
        <f>=HYPERLINK("http://anyluxury.ru/shop/odezhda/kepki-i-beysbolki/beysbolka-buffalo-biryuzovaya-s-belim-640441/" , "6404.41 Бейсболка Buffalo, бирюзовая с белым")</f>
      </c>
      <c r="C8711" s="4" t="n">
        <v>454.00</v>
      </c>
      <c r="D8711" s="4"/>
    </row>
    <row collapsed="" customFormat="false" customHeight="1" hidden="" ht="14" outlineLevel="0" r="8712">
      <c r="A8712" s="3" t="inlineStr">
        <is>
          <t>8677</t>
        </is>
      </c>
      <c r="B8712" s="4" t="s">
        <f>=HYPERLINK("http://anyluxury.ru/shop/odezhda/kepki-i-beysbolki/beysbolka-buzz-belaya-653660/" , "6536.60 Бейсболка Buzz, белая")</f>
      </c>
      <c r="C8712" s="4" t="n">
        <v>322.00</v>
      </c>
      <c r="D8712" s="4"/>
    </row>
    <row collapsed="" customFormat="false" customHeight="1" hidden="" ht="14" outlineLevel="0" r="8713">
      <c r="A8713" s="3" t="inlineStr">
        <is>
          <t>8678</t>
        </is>
      </c>
      <c r="B8713" s="4" t="s">
        <f>=HYPERLINK("http://anyluxury.ru/shop/odezhda/kepki-i-beysbolki/beysbolka-unit-classic-zelenoe-yabloko-s-chernim-kantom-184894/" , "1848.94 Бейсболка Unit Classic, зеленое яблоко с черным кантом")</f>
      </c>
      <c r="C8713" s="4" t="n">
        <v>329.00</v>
      </c>
      <c r="D8713" s="4"/>
    </row>
    <row collapsed="" customFormat="false" customHeight="1" hidden="" ht="14" outlineLevel="0" r="8714">
      <c r="A8714" s="3" t="inlineStr">
        <is>
          <t>8679</t>
        </is>
      </c>
      <c r="B8714" s="4" t="s">
        <f>=HYPERLINK("http://anyluxury.ru/shop/odezhda/kepki-i-beysbolki/beysbolka-sunny-yarkosinyaya-582344/" , "5823.44 Бейсболка Sunny, ярко-синяя")</f>
      </c>
      <c r="C8714" s="4" t="n">
        <v>381.00</v>
      </c>
      <c r="D8714" s="4"/>
    </row>
    <row collapsed="" customFormat="false" customHeight="1" hidden="" ht="14" outlineLevel="0" r="8715">
      <c r="A8715" s="3" t="inlineStr">
        <is>
          <t>8680</t>
        </is>
      </c>
      <c r="B8715" s="4" t="s">
        <f>=HYPERLINK("http://anyluxury.ru/shop/odezhda/kepki-i-beysbolki/beysbolka-sunny-belaya-582360/" , "5823.60 Бейсболка Sunny, белая")</f>
      </c>
      <c r="C8715" s="4" t="n">
        <v>381.00</v>
      </c>
      <c r="D8715" s="4"/>
    </row>
    <row collapsed="" customFormat="false" customHeight="1" hidden="" ht="14" outlineLevel="0" r="8716">
      <c r="A8716" s="3" t="inlineStr">
        <is>
          <t>8681</t>
        </is>
      </c>
      <c r="B8716" s="4" t="s">
        <f>=HYPERLINK("http://anyluxury.ru/shop/odezhda/kepki-i-beysbolki/beysbolka-sunny-krasnaya-s-belim-582358/" , "5823.58 Бейсболка SUNNY, красная с белым")</f>
      </c>
      <c r="C8716" s="4" t="n">
        <v>381.00</v>
      </c>
      <c r="D8716" s="4"/>
    </row>
    <row collapsed="" customFormat="false" customHeight="1" hidden="" ht="14" outlineLevel="0" r="8717">
      <c r="A8717" s="3" t="inlineStr">
        <is>
          <t>8682</t>
        </is>
      </c>
      <c r="B8717" s="4" t="s">
        <f>=HYPERLINK("http://anyluxury.ru/shop/odezhda/kepki-i-beysbolki/beysbolka-booster-yarkosinyaya-s-belim-653747/" , "6537.47 Бейсболка BOOSTER, ярко-синяя с белым")</f>
      </c>
      <c r="C8717" s="4" t="n">
        <v>519.00</v>
      </c>
      <c r="D8717" s="4"/>
    </row>
    <row collapsed="" customFormat="false" customHeight="1" hidden="" ht="14" outlineLevel="0" r="8718">
      <c r="A8718" s="3" t="inlineStr">
        <is>
          <t>8683</t>
        </is>
      </c>
      <c r="B8718" s="4" t="s">
        <f>=HYPERLINK("http://anyluxury.ru/shop/odezhda/kepki-i-beysbolki/beysbolka-long-beach-belaya-653860/" , "6538.60 Бейсболка Long Beach, белая")</f>
      </c>
      <c r="C8718" s="4" t="n">
        <v>450.00</v>
      </c>
      <c r="D8718" s="4"/>
    </row>
    <row collapsed="" customFormat="false" customHeight="1" hidden="" ht="14" outlineLevel="0" r="8719">
      <c r="A8719" s="3" t="inlineStr">
        <is>
          <t>8684</t>
        </is>
      </c>
      <c r="B8719" s="4" t="s">
        <f>=HYPERLINK("http://anyluxury.ru/shop/odezhda/kepki-i-beysbolki/beysbolka-long-beach-bezhevaya-653810/" , "6538.10 Бейсболка LONG BEACH, бежевая")</f>
      </c>
      <c r="C8719" s="4" t="n">
        <v>450.00</v>
      </c>
      <c r="D8719" s="4"/>
    </row>
    <row collapsed="" customFormat="false" customHeight="1" hidden="" ht="14" outlineLevel="0" r="8720">
      <c r="A8720" s="3" t="inlineStr">
        <is>
          <t>8685</t>
        </is>
      </c>
      <c r="B8720" s="4" t="s">
        <f>=HYPERLINK("http://anyluxury.ru/shop/odezhda/kepki-i-beysbolki/beysbolka-long-beach-krasnaya-653850/" , "6538.50 Бейсболка LONG BEACH, красная")</f>
      </c>
      <c r="C8720" s="4" t="n">
        <v>450.00</v>
      </c>
      <c r="D8720" s="4"/>
    </row>
    <row collapsed="" customFormat="false" customHeight="1" hidden="" ht="14" outlineLevel="0" r="8721">
      <c r="A8721" s="3" t="inlineStr">
        <is>
          <t>8686</t>
        </is>
      </c>
      <c r="B8721" s="4" t="s">
        <f>=HYPERLINK("http://anyluxury.ru/shop/odezhda/kepki-i-beysbolki/beysbolka-long-beach-yarkosinyaya-653844/" , "6538.44 Бейсболка LONG BEACH, ярко-синяя")</f>
      </c>
      <c r="C8721" s="4" t="n">
        <v>450.00</v>
      </c>
      <c r="D8721" s="4"/>
    </row>
    <row collapsed="" customFormat="false" customHeight="1" hidden="" ht="14" outlineLevel="0" r="8722">
      <c r="A8722" s="3" t="inlineStr">
        <is>
          <t>8687</t>
        </is>
      </c>
      <c r="B8722" s="4" t="s">
        <f>=HYPERLINK("http://anyluxury.ru/shop/odezhda/kepki-i-beysbolki/beysbolka-long-beach-chernaya-653830/" , "6538.30 Бейсболка LONG BEACH, черная")</f>
      </c>
      <c r="C8722" s="4" t="n">
        <v>450.00</v>
      </c>
      <c r="D8722" s="4"/>
    </row>
    <row collapsed="" customFormat="false" customHeight="1" hidden="" ht="14" outlineLevel="0" r="8723">
      <c r="A8723" s="3" t="inlineStr">
        <is>
          <t>8688</t>
        </is>
      </c>
      <c r="B8723" s="4" t="s">
        <f>=HYPERLINK("http://anyluxury.ru/shop/odezhda/kepki-i-beysbolki/beysbolka-long-beach-temnosinyaya-653840/" , "6538.40 Бейсболка LONG BEACH, темно-синяя")</f>
      </c>
      <c r="C8723" s="4" t="n">
        <v>450.00</v>
      </c>
      <c r="D8723" s="4"/>
    </row>
    <row collapsed="" customFormat="false" customHeight="1" hidden="" ht="14" outlineLevel="0" r="8724">
      <c r="A8724" s="3" t="inlineStr">
        <is>
          <t>8689</t>
        </is>
      </c>
      <c r="B8724" s="4" t="s">
        <f>=HYPERLINK("http://anyluxury.ru/shop/odezhda/kepki-i-beysbolki/beysbolka-long-beach-krasnaya-s-belim-653856/" , "6538.56 Бейсболка LONG BEACH, красная с белым")</f>
      </c>
      <c r="C8724" s="4" t="n">
        <v>450.00</v>
      </c>
      <c r="D8724" s="4"/>
    </row>
    <row collapsed="" customFormat="false" customHeight="1" hidden="" ht="14" outlineLevel="0" r="8725">
      <c r="A8725" s="3" t="inlineStr">
        <is>
          <t>8690</t>
        </is>
      </c>
      <c r="B8725" s="4" t="s">
        <f>=HYPERLINK("http://anyluxury.ru/shop/odezhda/kepki-i-beysbolki/beysbolka-long-beach-temnoseraya-so-svetloserim-653811/" , "6538.11 Бейсболка LONG BEACH, темно-серая со светло-серым")</f>
      </c>
      <c r="C8725" s="4" t="n">
        <v>450.00</v>
      </c>
      <c r="D8725" s="4"/>
    </row>
    <row collapsed="" customFormat="false" customHeight="1" hidden="" ht="14" outlineLevel="0" r="8726">
      <c r="A8726" s="3" t="inlineStr">
        <is>
          <t>8691</t>
        </is>
      </c>
      <c r="B8726" s="4" t="s">
        <f>=HYPERLINK("http://anyluxury.ru/shop/odezhda/kepki-i-beysbolki/beysbolka-long-beach-temnosinyaya-s-belim-653846/" , "6538.46 Бейсболка LONG BEACH, темно-синяя с белым")</f>
      </c>
      <c r="C8726" s="4" t="n">
        <v>450.00</v>
      </c>
      <c r="D8726" s="4"/>
    </row>
    <row collapsed="" customFormat="false" customHeight="1" hidden="" ht="14" outlineLevel="0" r="8727">
      <c r="A8727" s="3" t="inlineStr">
        <is>
          <t>8692</t>
        </is>
      </c>
      <c r="B8727" s="4" t="s">
        <f>=HYPERLINK("http://anyluxury.ru/shop/odezhda/kepki-i-beysbolki/beysbolka-long-beach-yarkosinyaya-s-belim-653847/" , "6538.47 Бейсболка LONG BEACH, ярко-синяя с белым")</f>
      </c>
      <c r="C8727" s="4" t="n">
        <v>450.00</v>
      </c>
      <c r="D8727" s="4"/>
    </row>
    <row collapsed="" customFormat="false" customHeight="1" hidden="" ht="14" outlineLevel="0" r="8728">
      <c r="A8728" s="3" t="inlineStr">
        <is>
          <t>8693</t>
        </is>
      </c>
      <c r="B8728" s="4" t="s">
        <f>=HYPERLINK("http://anyluxury.ru/shop/odezhda/kepki-i-beysbolki/beysbolka-long-beach-chernaya-s-krasnim-653835/" , "6538.35 Бейсболка LONG BEACH, черная с красным")</f>
      </c>
      <c r="C8728" s="4" t="n">
        <v>450.00</v>
      </c>
      <c r="D8728" s="4"/>
    </row>
    <row collapsed="" customFormat="false" customHeight="1" hidden="" ht="14" outlineLevel="0" r="8729">
      <c r="A8729" s="3" t="inlineStr">
        <is>
          <t>8694</t>
        </is>
      </c>
      <c r="B8729" s="4" t="s">
        <f>=HYPERLINK("http://anyluxury.ru/shop/odezhda/kepki-i-beysbolki/beysbolka-buzz-krasnaya-653650/" , "6536.50 Бейсболка Buzz, красная")</f>
      </c>
      <c r="C8729" s="4" t="n">
        <v>322.00</v>
      </c>
      <c r="D8729" s="4"/>
    </row>
    <row collapsed="" customFormat="false" customHeight="1" hidden="" ht="14" outlineLevel="0" r="8730">
      <c r="A8730" s="3" t="inlineStr">
        <is>
          <t>8695</t>
        </is>
      </c>
      <c r="B8730" s="4" t="s">
        <f>=HYPERLINK("http://anyluxury.ru/shop/odezhda/kepki-i-beysbolki/beysbolka-buzz-yarkosinyaya-653644/" , "6536.44 Бейсболка Buzz, ярко-синяя")</f>
      </c>
      <c r="C8730" s="4" t="n">
        <v>322.00</v>
      </c>
      <c r="D8730" s="4"/>
    </row>
    <row collapsed="" customFormat="false" customHeight="1" hidden="" ht="14" outlineLevel="0" r="8731">
      <c r="A8731" s="3" t="inlineStr">
        <is>
          <t>8696</t>
        </is>
      </c>
      <c r="B8731" s="4" t="s">
        <f>=HYPERLINK("http://anyluxury.ru/shop/odezhda/kepki-i-beysbolki/beysbolka-buzz-zheltaya-653680/" , "6536.80 Бейсболка Buzz, желтая")</f>
      </c>
      <c r="C8731" s="4" t="n">
        <v>322.00</v>
      </c>
      <c r="D8731" s="4"/>
    </row>
    <row collapsed="" customFormat="false" customHeight="1" hidden="" ht="14" outlineLevel="0" r="8732">
      <c r="A8732" s="3" t="inlineStr">
        <is>
          <t>8697</t>
        </is>
      </c>
      <c r="B8732" s="4" t="s">
        <f>=HYPERLINK("http://anyluxury.ru/shop/odezhda/kepki-i-beysbolki/beysbolka-buzz-chernaya-653630/" , "6536.30 Бейсболка Buzz, черная")</f>
      </c>
      <c r="C8732" s="4" t="n">
        <v>322.00</v>
      </c>
      <c r="D8732" s="4"/>
    </row>
    <row collapsed="" customFormat="false" customHeight="1" hidden="" ht="14" outlineLevel="0" r="8733">
      <c r="A8733" s="3" t="inlineStr">
        <is>
          <t>8698</t>
        </is>
      </c>
      <c r="B8733" s="4" t="s">
        <f>=HYPERLINK("http://anyluxury.ru/shop/odezhda/kepki-i-beysbolki/beysbolka-buzz-cerokorichnevaya-653611/" , "6536.11 Бейсболка Buzz, cеро-коричневая")</f>
      </c>
      <c r="C8733" s="4" t="n">
        <v>322.00</v>
      </c>
      <c r="D8733" s="4"/>
    </row>
    <row collapsed="" customFormat="false" customHeight="1" hidden="" ht="14" outlineLevel="0" r="8734">
      <c r="A8734" s="3" t="inlineStr">
        <is>
          <t>8699</t>
        </is>
      </c>
      <c r="B8734" s="4" t="s">
        <f>=HYPERLINK("http://anyluxury.ru/shop/odezhda/kepki-i-beysbolki/beysbolka-buffalo-krasnaya-640450/" , "6404.50 Бейсболка BUFFALO, красная")</f>
      </c>
      <c r="C8734" s="4" t="n">
        <v>454.00</v>
      </c>
      <c r="D8734" s="4"/>
    </row>
    <row collapsed="" customFormat="false" customHeight="1" hidden="" ht="14" outlineLevel="0" r="8735">
      <c r="A8735" s="3" t="inlineStr">
        <is>
          <t>8700</t>
        </is>
      </c>
      <c r="B8735" s="4" t="s">
        <f>=HYPERLINK("http://anyluxury.ru/shop/odezhda/kepki-i-beysbolki/beysbolka-buffalo-yarkosinyaya-640444/" , "6404.44 Бейсболка BUFFALO, ярко-синяя")</f>
      </c>
      <c r="C8735" s="4" t="n">
        <v>454.00</v>
      </c>
      <c r="D8735" s="4"/>
    </row>
    <row collapsed="" customFormat="false" customHeight="1" hidden="" ht="14" outlineLevel="0" r="8736">
      <c r="A8736" s="3" t="inlineStr">
        <is>
          <t>8701</t>
        </is>
      </c>
      <c r="B8736" s="4" t="s">
        <f>=HYPERLINK("http://anyluxury.ru/shop/odezhda/kepki-i-beysbolki/beysbolka-buffalo-oranzhevaya-640420/" , "6404.20 Бейсболка BUFFALO, оранжевая")</f>
      </c>
      <c r="C8736" s="4" t="n">
        <v>349.00</v>
      </c>
      <c r="D8736" s="4"/>
    </row>
    <row collapsed="" customFormat="false" customHeight="1" hidden="" ht="14" outlineLevel="0" r="8737">
      <c r="A8737" s="3" t="inlineStr">
        <is>
          <t>8702</t>
        </is>
      </c>
      <c r="B8737" s="4" t="s">
        <f>=HYPERLINK("http://anyluxury.ru/shop/odezhda/kepki-i-beysbolki/kozirek-ace-cherniy-s-belim-01196935tun/" , "01196935TUN Козырек Ace, черный с белым")</f>
      </c>
      <c r="C8737" s="4" t="n">
        <v>555.00</v>
      </c>
      <c r="D8737" s="4"/>
    </row>
    <row collapsed="" customFormat="false" customHeight="1" hidden="" ht="14" outlineLevel="0" r="8738">
      <c r="A8738" s="3" t="inlineStr">
        <is>
          <t>8703</t>
        </is>
      </c>
      <c r="B8738" s="4" t="s">
        <f>=HYPERLINK("http://anyluxury.ru/shop/odezhda/kepki-i-beysbolki/beysbolka-booster-chernaya-s-zheltim-653732/" , "6537.32 Бейсболка BOOSTER, черная с желтым")</f>
      </c>
      <c r="C8738" s="4" t="n">
        <v>519.00</v>
      </c>
      <c r="D8738" s="4"/>
    </row>
    <row collapsed="" customFormat="false" customHeight="1" hidden="" ht="14" outlineLevel="0" r="8739">
      <c r="A8739" s="3" t="inlineStr">
        <is>
          <t>8704</t>
        </is>
      </c>
      <c r="B8739" s="4" t="s">
        <f>=HYPERLINK("http://anyluxury.ru/shop/odezhda/kepki-i-beysbolki/beysbolka-booster-yarkosinyaya-s-zheltim-653748/" , "6537.48 Бейсболка BOOSTER, ярко-синяя с желтым")</f>
      </c>
      <c r="C8739" s="4" t="n">
        <v>509.00</v>
      </c>
      <c r="D8739" s="4"/>
    </row>
    <row collapsed="" customFormat="false" customHeight="1" hidden="" ht="14" outlineLevel="0" r="8740">
      <c r="A8740" s="3" t="inlineStr">
        <is>
          <t>8705</t>
        </is>
      </c>
      <c r="B8740" s="4" t="s">
        <f>=HYPERLINK("http://anyluxury.ru/shop/odezhda/kepki-i-beysbolki/beysbolka-booster-zheltaya-s-krasnim-653785/" , "6537.85 Бейсболка BOOSTER, желтая с красным")</f>
      </c>
      <c r="C8740" s="4" t="n">
        <v>519.00</v>
      </c>
      <c r="D8740" s="4"/>
    </row>
    <row collapsed="" customFormat="false" customHeight="1" hidden="" ht="14" outlineLevel="0" r="8741">
      <c r="A8741" s="3" t="inlineStr">
        <is>
          <t>8706</t>
        </is>
      </c>
      <c r="B8741" s="4" t="s">
        <f>=HYPERLINK("http://anyluxury.ru/shop/odezhda/kepki-i-beysbolki/beysbolka-buffalo-kamuflyazh-640417/" , "6404.17 Бейсболка Buffalo зеленый камуфляж")</f>
      </c>
      <c r="C8741" s="4" t="n">
        <v>559.00</v>
      </c>
      <c r="D8741" s="4"/>
    </row>
    <row collapsed="" customFormat="false" customHeight="1" hidden="" ht="14" outlineLevel="0" r="8742">
      <c r="A8742" s="3" t="inlineStr">
        <is>
          <t>8707</t>
        </is>
      </c>
      <c r="B8742" s="4" t="s">
        <f>=HYPERLINK("http://anyluxury.ru/shop/odezhda/kepki-i-beysbolki/beysbolka-che-bezhevaya-640512/" , "6405.12 Бейсболка Che, бежевая")</f>
      </c>
      <c r="C8742" s="4" t="n">
        <v>254.00</v>
      </c>
      <c r="D8742" s="4"/>
    </row>
    <row collapsed="" customFormat="false" customHeight="1" hidden="" ht="14" outlineLevel="0" r="8743">
      <c r="A8743" s="3" t="inlineStr">
        <is>
          <t>8708</t>
        </is>
      </c>
      <c r="B8743" s="4" t="s">
        <f>=HYPERLINK("http://anyluxury.ru/shop/odezhda/kepki-i-beysbolki/beysbolka-sunny-temnosinyaya-582340/" , "5823.40 Бейсболка SUNNY, темно-синяя")</f>
      </c>
      <c r="C8743" s="4" t="n">
        <v>381.00</v>
      </c>
      <c r="D8743" s="4"/>
    </row>
    <row collapsed="" customFormat="false" customHeight="1" hidden="" ht="14" outlineLevel="0" r="8744">
      <c r="A8744" s="3" t="inlineStr">
        <is>
          <t>8709</t>
        </is>
      </c>
      <c r="B8744" s="4" t="s">
        <f>=HYPERLINK("http://anyluxury.ru/shop/odezhda/kepki-i-beysbolki/beysbolka-sunny-yarkosinyaya-s-belim-582346/" , "5823.46 Бейсболка SUNNY, ярко-синяя с белым")</f>
      </c>
      <c r="C8744" s="4" t="n">
        <v>381.00</v>
      </c>
      <c r="D8744" s="4"/>
    </row>
    <row collapsed="" customFormat="false" customHeight="1" hidden="" ht="14" outlineLevel="0" r="8745">
      <c r="A8745" s="3" t="inlineStr">
        <is>
          <t>8710</t>
        </is>
      </c>
      <c r="B8745" s="4" t="s">
        <f>=HYPERLINK("http://anyluxury.ru/shop/odezhda/kepki-i-beysbolki/beysbolka-sunny-yarkorozovaya-fuksiya-582357/" , "5823.57 Бейсболка SUNNY, ярко-розовая (фуксия)")</f>
      </c>
      <c r="C8745" s="4" t="n">
        <v>381.00</v>
      </c>
      <c r="D8745" s="4"/>
    </row>
    <row collapsed="" customFormat="false" customHeight="1" hidden="" ht="14" outlineLevel="0" r="8746">
      <c r="A8746" s="3" t="inlineStr">
        <is>
          <t>8711</t>
        </is>
      </c>
      <c r="B8746" s="4" t="s">
        <f>=HYPERLINK("http://anyluxury.ru/shop/odezhda/kepki-i-beysbolki/beysbolka-buffalo-seraya-s-oranzhevim-88100799tun/" , "88100799TUN Бейсболка BUFFALO, серая с оранжевым")</f>
      </c>
      <c r="C8746" s="4" t="n">
        <v>454.00</v>
      </c>
      <c r="D8746" s="4"/>
    </row>
    <row collapsed="" customFormat="false" customHeight="1" hidden="" ht="14" outlineLevel="0" r="8747">
      <c r="A8747" s="3" t="inlineStr">
        <is>
          <t>8712</t>
        </is>
      </c>
      <c r="B8747" s="4" t="s">
        <f>=HYPERLINK("http://anyluxury.ru/shop/odezhda/kepki-i-beysbolki/beysbolka-meteor-neonovozelenaya-88109286tun/" , "88109286TUN Бейсболка METEOR, неоново-зеленая")</f>
      </c>
      <c r="C8747" s="4" t="n">
        <v>451.00</v>
      </c>
      <c r="D8747" s="4"/>
    </row>
    <row collapsed="" customFormat="false" customHeight="1" hidden="" ht="14" outlineLevel="0" r="8748">
      <c r="A8748" s="3" t="inlineStr">
        <is>
          <t>8713</t>
        </is>
      </c>
      <c r="B8748" s="4" t="s">
        <f>=HYPERLINK("http://anyluxury.ru/shop/odezhda/kepki-i-beysbolki/beysbolka-meteor-neonovozheltaya-88109306tun/" , "88109306TUN Бейсболка METEOR неоново-желтая")</f>
      </c>
      <c r="C8748" s="4" t="n">
        <v>451.00</v>
      </c>
      <c r="D8748" s="4"/>
    </row>
    <row collapsed="" customFormat="false" customHeight="1" hidden="" ht="14" outlineLevel="0" r="8749">
      <c r="A8749" s="3" t="inlineStr">
        <is>
          <t>8714</t>
        </is>
      </c>
      <c r="B8749" s="4" t="s">
        <f>=HYPERLINK("http://anyluxury.ru/shop/odezhda/kepki-i-beysbolki/beysbolka-sunny-yarkobiryuzovaya-88110321tun/" , "88110321TUN Бейсболка SUNNY, ярко-бирюзовая")</f>
      </c>
      <c r="C8749" s="4" t="n">
        <v>381.00</v>
      </c>
      <c r="D8749" s="4"/>
    </row>
    <row collapsed="" customFormat="false" customHeight="1" hidden="" ht="14" outlineLevel="0" r="8750">
      <c r="A8750" s="3" t="inlineStr">
        <is>
          <t>8715</t>
        </is>
      </c>
      <c r="B8750" s="4" t="s">
        <f>=HYPERLINK("http://anyluxury.ru/shop/odezhda/kepki-i-beysbolki/beysbolka-sunny-temnoseraya-88110384tun/" , "88110384TUN Бейсболка SUNNY, темно-серая")</f>
      </c>
      <c r="C8750" s="4" t="n">
        <v>381.00</v>
      </c>
      <c r="D8750" s="4"/>
    </row>
    <row collapsed="" customFormat="false" customHeight="1" hidden="" ht="14" outlineLevel="0" r="8751">
      <c r="A8751" s="3" t="inlineStr">
        <is>
          <t>8716</t>
        </is>
      </c>
      <c r="B8751" s="4" t="s">
        <f>=HYPERLINK("http://anyluxury.ru/shop/odezhda/kepki-i-beysbolki/beysbolka-bubble-chernaya-01668312tun/" , "01668312TUN Бейсболка BUBBLE, черная")</f>
      </c>
      <c r="C8751" s="4" t="n">
        <v>556.00</v>
      </c>
      <c r="D8751" s="4"/>
    </row>
    <row collapsed="" customFormat="false" customHeight="1" hidden="" ht="14" outlineLevel="0" r="8752">
      <c r="A8752" s="3" t="inlineStr">
        <is>
          <t>8717</t>
        </is>
      </c>
      <c r="B8752" s="4" t="s">
        <f>=HYPERLINK("http://anyluxury.ru/shop/odezhda/kepki-i-beysbolki/beysbolka-bubble-temnosinyaya-01668319tun/" , "01668319TUN Бейсболка BUBBLE, темно-синяя")</f>
      </c>
      <c r="C8752" s="4" t="n">
        <v>556.00</v>
      </c>
      <c r="D8752" s="4"/>
    </row>
    <row collapsed="" customFormat="false" customHeight="1" hidden="" ht="14" outlineLevel="0" r="8753">
      <c r="A8753" s="3" t="inlineStr">
        <is>
          <t>8718</t>
        </is>
      </c>
      <c r="B8753" s="4" t="s">
        <f>=HYPERLINK("http://anyluxury.ru/shop/odezhda/kepki-i-beysbolki/beysbolka-bubble-belaya-01668102tun/" , "01668102TUN Бейсболка BUBBLE, белая")</f>
      </c>
      <c r="C8753" s="4" t="n">
        <v>556.00</v>
      </c>
      <c r="D8753" s="4"/>
    </row>
    <row collapsed="" customFormat="false" customHeight="1" hidden="" ht="14" outlineLevel="0" r="8754">
      <c r="A8754" s="3" t="inlineStr">
        <is>
          <t>8719</t>
        </is>
      </c>
      <c r="B8754" s="4" t="s">
        <f>=HYPERLINK("http://anyluxury.ru/shop/odezhda/kepki-i-beysbolki/beysbolka-bubble-chernaya-s-belim-01668906tun/" , "01668906TUN Бейсболка BUBBLE, черная с белым")</f>
      </c>
      <c r="C8754" s="4" t="n">
        <v>556.00</v>
      </c>
      <c r="D8754" s="4"/>
    </row>
    <row collapsed="" customFormat="false" customHeight="1" hidden="" ht="14" outlineLevel="0" r="8755">
      <c r="A8755" s="3" t="inlineStr">
        <is>
          <t>8720</t>
        </is>
      </c>
      <c r="B8755" s="4" t="s">
        <f>=HYPERLINK("http://anyluxury.ru/shop/odezhda/kepki-i-beysbolki/beysbolka-bubble-temnosinyaya-s-belim-01668989tun/" , "01668989TUN Бейсболка BUBBLE, темно-синяя с белым")</f>
      </c>
      <c r="C8755" s="4" t="n">
        <v>556.00</v>
      </c>
      <c r="D8755" s="4"/>
    </row>
    <row collapsed="" customFormat="false" customHeight="1" hidden="" ht="14" outlineLevel="0" r="8756">
      <c r="A8756" s="3" t="inlineStr">
        <is>
          <t>8721</t>
        </is>
      </c>
      <c r="B8756" s="4" t="s">
        <f>=HYPERLINK("http://anyluxury.ru/shop/odezhda/kepki-i-beysbolki/beysbolka-bubble-rozoviy-neon-s-belim-01668515tun/" , "01668515TUN Бейсболка BUBBLE, розовый неон с белым")</f>
      </c>
      <c r="C8756" s="4" t="n">
        <v>556.00</v>
      </c>
      <c r="D8756" s="4"/>
    </row>
    <row collapsed="" customFormat="false" customHeight="1" hidden="" ht="14" outlineLevel="0" r="8757">
      <c r="A8757" s="3" t="inlineStr">
        <is>
          <t>8722</t>
        </is>
      </c>
      <c r="B8757" s="4" t="s">
        <f>=HYPERLINK("http://anyluxury.ru/shop/odezhda/kepki-i-beysbolki/beysbolka-bubble-zeleniy-neon-s-belim-01668516tun/" , "01668516TUN Бейсболка BUBBLE, зеленый неон с белым")</f>
      </c>
      <c r="C8757" s="4" t="n">
        <v>556.00</v>
      </c>
      <c r="D8757" s="4"/>
    </row>
    <row collapsed="" customFormat="false" customHeight="1" hidden="" ht="14" outlineLevel="0" r="8758">
      <c r="A8758" s="3" t="inlineStr">
        <is>
          <t>8723</t>
        </is>
      </c>
      <c r="B8758" s="4" t="s">
        <f>=HYPERLINK("http://anyluxury.ru/shop/odezhda/kepki-i-beysbolki/beysbolka-bubble-oranzheviy-neon-s-belim-01668517tun/" , "01668517TUN Бейсболка BUBBLE, оранжевый неон с белым")</f>
      </c>
      <c r="C8758" s="4" t="n">
        <v>556.00</v>
      </c>
      <c r="D8758" s="4"/>
    </row>
    <row collapsed="" customFormat="false" customHeight="1" hidden="" ht="14" outlineLevel="0" r="8759">
      <c r="A8759" s="3" t="inlineStr">
        <is>
          <t>8724</t>
        </is>
      </c>
      <c r="B8759" s="4" t="s">
        <f>=HYPERLINK("http://anyluxury.ru/shop/odezhda/kepki-i-beysbolki/beysbolka-bubble-krasnaya-s-belim-01668987tun/" , "01668987TUN Бейсболка BUBBLE, красная с белым")</f>
      </c>
      <c r="C8759" s="4" t="n">
        <v>556.00</v>
      </c>
      <c r="D8759" s="4"/>
    </row>
    <row collapsed="" customFormat="false" customHeight="1" hidden="" ht="14" outlineLevel="0" r="8760">
      <c r="A8760" s="3" t="inlineStr">
        <is>
          <t>8725</t>
        </is>
      </c>
      <c r="B8760" s="4" t="s">
        <f>=HYPERLINK("http://anyluxury.ru/shop/odezhda/kepki-i-beysbolki/beysbolka-bubble-sinyaya-s-belim-01668907tun/" , "01668907TUN Бейсболка BUBBLE, синяя с белым")</f>
      </c>
      <c r="C8760" s="4" t="n">
        <v>556.00</v>
      </c>
      <c r="D8760" s="4"/>
    </row>
    <row collapsed="" customFormat="false" customHeight="1" hidden="" ht="14" outlineLevel="0" r="8761">
      <c r="A8761" s="3" t="inlineStr">
        <is>
          <t>8726</t>
        </is>
      </c>
      <c r="B8761" s="4" t="s">
        <f>=HYPERLINK("http://anyluxury.ru/shop/odezhda/kepki-i-beysbolki/beysbolka-sonic-temnoseraya-01661384tun/" , "01661384TUN Бейсболка SONIC, темно-серая")</f>
      </c>
      <c r="C8761" s="4" t="n">
        <v>529.00</v>
      </c>
      <c r="D8761" s="4"/>
    </row>
    <row collapsed="" customFormat="false" customHeight="1" hidden="" ht="14" outlineLevel="0" r="8762">
      <c r="A8762" s="3" t="inlineStr">
        <is>
          <t>8727</t>
        </is>
      </c>
      <c r="B8762" s="4" t="s">
        <f>=HYPERLINK("http://anyluxury.ru/shop/odezhda/kepki-i-beysbolki/beysbolka-sonic-temnosinyaya-01661319tun/" , "01661319TUN Бейсболка SONIC, темно-синяя")</f>
      </c>
      <c r="C8762" s="4" t="n">
        <v>529.00</v>
      </c>
      <c r="D8762" s="4"/>
    </row>
    <row collapsed="" customFormat="false" customHeight="1" hidden="" ht="14" outlineLevel="0" r="8763">
      <c r="A8763" s="3" t="inlineStr">
        <is>
          <t>8728</t>
        </is>
      </c>
      <c r="B8763" s="4" t="s">
        <f>=HYPERLINK("http://anyluxury.ru/shop/odezhda/kepki-i-beysbolki/beysbolka-sonic-krasnaya-01661145tun/" , "01661145TUN Бейсболка SONIC, красная")</f>
      </c>
      <c r="C8763" s="4" t="n">
        <v>529.00</v>
      </c>
      <c r="D8763" s="4"/>
    </row>
    <row collapsed="" customFormat="false" customHeight="1" hidden="" ht="14" outlineLevel="0" r="8764">
      <c r="A8764" s="3" t="inlineStr">
        <is>
          <t>8729</t>
        </is>
      </c>
      <c r="B8764" s="4" t="s">
        <f>=HYPERLINK("http://anyluxury.ru/shop/odezhda/kepki-i-beysbolki/beysbolka-sonic-yarkosinyaya-01661241tun/" , "01661241TUN Бейсболка SONIC, ярко-синяя")</f>
      </c>
      <c r="C8764" s="4" t="n">
        <v>529.00</v>
      </c>
      <c r="D8764" s="4"/>
    </row>
    <row collapsed="" customFormat="false" customHeight="1" hidden="" ht="14" outlineLevel="0" r="8765">
      <c r="A8765" s="3" t="inlineStr">
        <is>
          <t>8730</t>
        </is>
      </c>
      <c r="B8765" s="4" t="s">
        <f>=HYPERLINK("http://anyluxury.ru/shop/odezhda/kepki-i-beysbolki/beysbolka-taylor-belaya-s-temnosinim-01687989tun/" , "01687989TUN Бейсболка TAYLOR, белая с темно-синим")</f>
      </c>
      <c r="C8765" s="4" t="n">
        <v>451.00</v>
      </c>
      <c r="D8765" s="4"/>
    </row>
    <row collapsed="" customFormat="false" customHeight="1" hidden="" ht="14" outlineLevel="0" r="8766">
      <c r="A8766" s="3" t="inlineStr">
        <is>
          <t>8731</t>
        </is>
      </c>
      <c r="B8766" s="4" t="s">
        <f>=HYPERLINK("http://anyluxury.ru/shop/odezhda/kepki-i-beysbolki/beysbolka-skladnaya-ben-lomond-krasnaya-238650/" , "2386.50 Бейсболка складная Ben Lomond, красная")</f>
      </c>
      <c r="C8766" s="4" t="n">
        <v>495.00</v>
      </c>
      <c r="D8766" s="4"/>
    </row>
    <row collapsed="" customFormat="false" customHeight="1" hidden="" ht="14" outlineLevel="0" r="8767">
      <c r="A8767" s="3" t="inlineStr">
        <is>
          <t>8732</t>
        </is>
      </c>
      <c r="B8767" s="4" t="s">
        <f>=HYPERLINK("http://anyluxury.ru/shop/odezhda/kepki-i-beysbolki/beysbolka-skladnaya-ben-lomond-yarkosinyaya-238644/" , "2386.44 Бейсболка складная Ben Lomond, ярко-синяя")</f>
      </c>
      <c r="C8767" s="4" t="n">
        <v>495.00</v>
      </c>
      <c r="D8767" s="4"/>
    </row>
    <row collapsed="" customFormat="false" customHeight="1" hidden="" ht="14" outlineLevel="0" r="8768">
      <c r="A8768" s="3" t="inlineStr">
        <is>
          <t>8733</t>
        </is>
      </c>
      <c r="B8768" s="4" t="s">
        <f>=HYPERLINK("http://anyluxury.ru/shop/odezhda/kepki-i-beysbolki/beysbolka-buzz-zelenoe-yabloko-653694/" , "6536.94 Бейсболка Buzz, зеленое яблоко")</f>
      </c>
      <c r="C8768" s="4" t="n">
        <v>322.00</v>
      </c>
      <c r="D8768" s="4"/>
    </row>
    <row collapsed="" customFormat="false" customHeight="1" hidden="" ht="14" outlineLevel="0" r="8769">
      <c r="A8769" s="3" t="inlineStr">
        <is>
          <t>8734</t>
        </is>
      </c>
      <c r="B8769" s="4" t="s">
        <f>=HYPERLINK("http://anyluxury.ru/shop/odezhda/kepki-i-beysbolki/beysbolka-long-beach-zheltaya-653880/" , "6538.80 Бейсболка LONG BEACH, желтая")</f>
      </c>
      <c r="C8769" s="4" t="n">
        <v>450.00</v>
      </c>
      <c r="D8769" s="4"/>
    </row>
    <row collapsed="" customFormat="false" customHeight="1" hidden="" ht="14" outlineLevel="0" r="8770">
      <c r="A8770" s="3" t="inlineStr">
        <is>
          <t>8735</t>
        </is>
      </c>
      <c r="B8770" s="4" t="s">
        <f>=HYPERLINK("http://anyluxury.ru/shop/odezhda/kepki-i-beysbolki/beysbolka-long-beach-zelenoe-yabloko-653894/" , "6538.94 Бейсболка LONG BEACH, зеленое яблоко")</f>
      </c>
      <c r="C8770" s="4" t="n">
        <v>450.00</v>
      </c>
      <c r="D8770" s="4"/>
    </row>
    <row collapsed="" customFormat="false" customHeight="1" hidden="" ht="14" outlineLevel="0" r="8771">
      <c r="A8771" s="3" t="inlineStr">
        <is>
          <t>8736</t>
        </is>
      </c>
      <c r="B8771" s="4" t="s">
        <f>=HYPERLINK("http://anyluxury.ru/shop/odezhda/kepki-i-beysbolki/beysbolka-long-beach-haki-s-bezhevim-653899/" , "6538.99 Бейсболка Long Beach, хаки с бежевым")</f>
      </c>
      <c r="C8771" s="4" t="n">
        <v>450.00</v>
      </c>
      <c r="D8771" s="4"/>
    </row>
    <row collapsed="" customFormat="false" customHeight="1" hidden="" ht="14" outlineLevel="0" r="8772">
      <c r="A8772" s="3" t="inlineStr">
        <is>
          <t>8737</t>
        </is>
      </c>
      <c r="B8772" s="4" t="s">
        <f>=HYPERLINK("http://anyluxury.ru/shop/odezhda/kepki-i-beysbolki/beysbolka-buffalo-zelenoe-yabloko-640494/" , "6404.94 Бейсболка BUFFALO, зеленое яблоко")</f>
      </c>
      <c r="C8772" s="4" t="n">
        <v>454.00</v>
      </c>
      <c r="D8772" s="4"/>
    </row>
    <row collapsed="" customFormat="false" customHeight="1" hidden="" ht="14" outlineLevel="0" r="8773">
      <c r="A8773" s="3" t="inlineStr">
        <is>
          <t>8738</t>
        </is>
      </c>
      <c r="B8773" s="4" t="s">
        <f>=HYPERLINK("http://anyluxury.ru/shop/odezhda/kepki-i-beysbolki/beysbolka-buffalo-sinyaya-dzhins-640443/" , "6404.43 Бейсболка BUFFALO, синяя (джинс)")</f>
      </c>
      <c r="C8773" s="4" t="n">
        <v>454.00</v>
      </c>
      <c r="D8773" s="4"/>
    </row>
    <row collapsed="" customFormat="false" customHeight="1" hidden="" ht="14" outlineLevel="0" r="8774">
      <c r="A8774" s="3" t="inlineStr">
        <is>
          <t>8739</t>
        </is>
      </c>
      <c r="B8774" s="4" t="s">
        <f>=HYPERLINK("http://anyluxury.ru/shop/odezhda/kepki-i-beysbolki/beysbolka-longchamp-temnosinyaya-02116319tun/" , "02116319TUN Бейсболка Longchamp, темно-синяя")</f>
      </c>
      <c r="C8774" s="4" t="n">
        <v>621.00</v>
      </c>
      <c r="D8774" s="4"/>
    </row>
    <row collapsed="" customFormat="false" customHeight="1" hidden="" ht="14" outlineLevel="0" r="8775">
      <c r="A8775" s="3" t="inlineStr">
        <is>
          <t>8740</t>
        </is>
      </c>
      <c r="B8775" s="4" t="s">
        <f>=HYPERLINK("http://anyluxury.ru/shop/odezhda/kepki-i-beysbolki/beysbolka-ronas-hill-krasnaya-725850/" , "7258.50 Бейсболка Ronas Hill, красная")</f>
      </c>
      <c r="C8775" s="4" t="n">
        <v>470.00</v>
      </c>
      <c r="D8775" s="4"/>
    </row>
    <row collapsed="" customFormat="false" customHeight="1" hidden="" ht="14" outlineLevel="0" r="8776">
      <c r="A8776" s="3" t="inlineStr">
        <is>
          <t>8741</t>
        </is>
      </c>
      <c r="B8776" s="4" t="s">
        <f>=HYPERLINK("http://anyluxury.ru/shop/odezhda/kepki-i-beysbolki/beysbolka-ben-more-krasnaya-725950/" , "7259.50 Бейсболка Ben More, красная")</f>
      </c>
      <c r="C8776" s="4" t="n">
        <v>415.00</v>
      </c>
      <c r="D8776" s="4"/>
    </row>
    <row collapsed="" customFormat="false" customHeight="1" hidden="" ht="14" outlineLevel="0" r="8777">
      <c r="A8777" s="3" t="inlineStr">
        <is>
          <t>8742</t>
        </is>
      </c>
      <c r="B8777" s="4" t="s">
        <f>=HYPERLINK("http://anyluxury.ru/shop/odezhda/kepki-i-beysbolki/beysbolka-ben-more-chernaya-725930/" , "7259.30 Бейсболка Ben More, черная")</f>
      </c>
      <c r="C8777" s="4" t="n">
        <v>415.00</v>
      </c>
      <c r="D8777" s="4"/>
    </row>
    <row collapsed="" customFormat="false" customHeight="1" hidden="" ht="14" outlineLevel="0" r="8778">
      <c r="A8778" s="3" t="inlineStr">
        <is>
          <t>8743</t>
        </is>
      </c>
      <c r="B8778" s="4" t="s">
        <f>=HYPERLINK("http://anyluxury.ru/shop/odezhda/kepki-i-beysbolki/beysbolka-ben-more-seraya-725911/" , "7259.11 Бейсболка Ben More, серая")</f>
      </c>
      <c r="C8778" s="4" t="n">
        <v>415.00</v>
      </c>
      <c r="D8778" s="4"/>
    </row>
    <row collapsed="" customFormat="false" customHeight="1" hidden="" ht="14" outlineLevel="0" r="8779">
      <c r="A8779" s="3" t="inlineStr">
        <is>
          <t>8744</t>
        </is>
      </c>
      <c r="B8779" s="4" t="s">
        <f>=HYPERLINK("http://anyluxury.ru/shop/odezhda/kepki-i-beysbolki/beysbolka-ben-more-belaya-725960/" , "7259.60 Бейсболка Ben More, белая")</f>
      </c>
      <c r="C8779" s="4" t="n">
        <v>415.00</v>
      </c>
      <c r="D8779" s="4"/>
    </row>
    <row collapsed="" customFormat="false" customHeight="1" hidden="" ht="14" outlineLevel="0" r="8780">
      <c r="A8780" s="3" t="inlineStr">
        <is>
          <t>8745</t>
        </is>
      </c>
      <c r="B8780" s="4" t="s">
        <f>=HYPERLINK("http://anyluxury.ru/shop/odezhda/kepki-i-beysbolki/beysbolka-ben-loyal-chernaya-s-serim-726211/" , "7262.11 Бейсболка Ben Loyal, черная с серым")</f>
      </c>
      <c r="C8780" s="4" t="n">
        <v>480.00</v>
      </c>
      <c r="D8780" s="4"/>
    </row>
    <row collapsed="" customFormat="false" customHeight="1" hidden="" ht="14" outlineLevel="0" r="8781">
      <c r="A8781" s="3" t="inlineStr">
        <is>
          <t>8746</t>
        </is>
      </c>
      <c r="B8781" s="4" t="s">
        <f>=HYPERLINK("http://anyluxury.ru/shop/odezhda/kepki-i-beysbolki/beysbolka-ben-loyal-chernaya-s-sinim-726244/" , "7262.44 Бейсболка Ben Loyal, черная с синим")</f>
      </c>
      <c r="C8781" s="4" t="n">
        <v>480.00</v>
      </c>
      <c r="D8781" s="4"/>
    </row>
    <row collapsed="" customFormat="false" customHeight="1" hidden="" ht="14" outlineLevel="0" r="8782">
      <c r="A8782" s="3" t="inlineStr">
        <is>
          <t>8747</t>
        </is>
      </c>
      <c r="B8782" s="4" t="s">
        <f>=HYPERLINK("http://anyluxury.ru/shop/odezhda/kepki-i-beysbolki/beysbolka-buffalo-bordovaya-640455/" , "6404.55 Бейсболка BUFFALO, бордовая")</f>
      </c>
      <c r="C8782" s="4" t="n">
        <v>454.00</v>
      </c>
      <c r="D8782" s="4"/>
    </row>
    <row collapsed="" customFormat="false" customHeight="1" hidden="" ht="14" outlineLevel="0" r="8783">
      <c r="A8783" s="3" t="inlineStr">
        <is>
          <t>8748</t>
        </is>
      </c>
      <c r="B8783" s="4" t="s">
        <f>=HYPERLINK("http://anyluxury.ru/shop/odezhda/kepki-i-beysbolki/beysbolka-blaze-krasnaya-03093145tun/" , "03093145TUN Бейсболка Blaze, красная")</f>
      </c>
      <c r="C8783" s="4" t="n">
        <v>735.00</v>
      </c>
      <c r="D8783" s="4"/>
    </row>
    <row collapsed="" customFormat="false" customHeight="1" hidden="" ht="14" outlineLevel="0" r="8784">
      <c r="A8784" s="3" t="inlineStr">
        <is>
          <t>8749</t>
        </is>
      </c>
      <c r="B8784" s="4" t="s">
        <f>=HYPERLINK("http://anyluxury.ru/shop/odezhda/kepki-i-beysbolki/beysbolka-blaze-yarkosinyaya-royal-03093241tun/" , "03093241TUN Бейсболка Blaze, ярко-синяя (royal)")</f>
      </c>
      <c r="C8784" s="4" t="n">
        <v>735.00</v>
      </c>
      <c r="D8784" s="4"/>
    </row>
    <row collapsed="" customFormat="false" customHeight="1" hidden="" ht="14" outlineLevel="0" r="8785">
      <c r="A8785" s="3" t="inlineStr">
        <is>
          <t>8750</t>
        </is>
      </c>
      <c r="B8785" s="4" t="s">
        <f>=HYPERLINK("http://anyluxury.ru/shop/odezhda/kepki-i-beysbolki/beysbolka-blaze-temnozelenaya-03093264tun/" , "03093264TUN Бейсболка Blaze, темно-зеленая")</f>
      </c>
      <c r="C8785" s="4" t="n">
        <v>746.00</v>
      </c>
      <c r="D8785" s="4"/>
    </row>
    <row collapsed="" customFormat="false" customHeight="1" hidden="" ht="14" outlineLevel="0" r="8786">
      <c r="A8786" s="3" t="inlineStr">
        <is>
          <t>8751</t>
        </is>
      </c>
      <c r="B8786" s="4" t="s">
        <f>=HYPERLINK("http://anyluxury.ru/shop/odezhda/kepki-i-beysbolki/beysbolka-blaze-kobalt-temnosinyaya-03093319tun/" , "03093319TUN Бейсболка Blaze, кобальт (темно-синяя)")</f>
      </c>
      <c r="C8786" s="4" t="n">
        <v>735.00</v>
      </c>
      <c r="D8786" s="4"/>
    </row>
    <row collapsed="" customFormat="false" customHeight="1" hidden="" ht="14" outlineLevel="0" r="8787">
      <c r="A8787" s="3" t="inlineStr">
        <is>
          <t>8752</t>
        </is>
      </c>
      <c r="B8787" s="4" t="s">
        <f>=HYPERLINK("http://anyluxury.ru/shop/odezhda/kepki-i-beysbolki/beysbolka-blaze-seraya-03093342tun/" , "03093342TUN Бейсболка Blaze, серая")</f>
      </c>
      <c r="C8787" s="4" t="n">
        <v>735.00</v>
      </c>
      <c r="D8787" s="4"/>
    </row>
    <row collapsed="" customFormat="false" customHeight="1" hidden="" ht="14" outlineLevel="0" r="8788">
      <c r="A8788" s="3" t="inlineStr">
        <is>
          <t>8753</t>
        </is>
      </c>
      <c r="B8788" s="4" t="s">
        <f>=HYPERLINK("http://anyluxury.ru/shop/odezhda/kepki-i-beysbolki/beysbolka-blaze-temnoseraya-03093384tun/" , "03093384TUN Бейсболка Blaze, темно-серая")</f>
      </c>
      <c r="C8788" s="4" t="n">
        <v>746.00</v>
      </c>
      <c r="D8788" s="4"/>
    </row>
    <row collapsed="" customFormat="false" customHeight="1" hidden="" ht="14" outlineLevel="0" r="8789">
      <c r="A8789" s="3" t="inlineStr">
        <is>
          <t>8754</t>
        </is>
      </c>
      <c r="B8789" s="4" t="s">
        <f>=HYPERLINK("http://anyluxury.ru/shop/odezhda/kepki-i-beysbolki/beysbolka-buzz-yarkorozovaya-fuksiya-653657/" , "6536.57 Бейсболка Buzz, ярко-розовая (фуксия)")</f>
      </c>
      <c r="C8789" s="4" t="n">
        <v>322.00</v>
      </c>
      <c r="D8789" s="4"/>
    </row>
    <row collapsed="" customFormat="false" customHeight="1" hidden="" ht="14" outlineLevel="0" r="8790">
      <c r="A8790" s="3" t="inlineStr">
        <is>
          <t>8755</t>
        </is>
      </c>
      <c r="B8790" s="4" t="s">
        <f>=HYPERLINK("http://anyluxury.ru/shop/odezhda/kepki-i-beysbolki/beysbolka-solar-krasnaya-03092145tun/" , "03092145TUN Бейсболка Solar, красная")</f>
      </c>
      <c r="C8790" s="4" t="n">
        <v>390.00</v>
      </c>
      <c r="D8790" s="4"/>
    </row>
    <row collapsed="" customFormat="false" customHeight="1" hidden="" ht="14" outlineLevel="0" r="8791">
      <c r="A8791" s="3" t="inlineStr">
        <is>
          <t>8756</t>
        </is>
      </c>
      <c r="B8791" s="4" t="s">
        <f>=HYPERLINK("http://anyluxury.ru/shop/odezhda/kepki-i-beysbolki/beysbolka-solar-temnozelenaya-03092264tun/" , "03092264TUN Бейсболка Solar, темно-зеленая")</f>
      </c>
      <c r="C8791" s="4" t="n">
        <v>390.00</v>
      </c>
      <c r="D8791" s="4"/>
    </row>
    <row collapsed="" customFormat="false" customHeight="1" hidden="" ht="14" outlineLevel="0" r="8792">
      <c r="A8792" s="3" t="inlineStr">
        <is>
          <t>8757</t>
        </is>
      </c>
      <c r="B8792" s="4" t="s">
        <f>=HYPERLINK("http://anyluxury.ru/shop/odezhda/kepki-i-beysbolki/beysbolka-solar-kobalt-temnosinyaya-03092319tun/" , "03092319TUN Бейсболка Solar, кобальт (темно-синяя)")</f>
      </c>
      <c r="C8792" s="4" t="n">
        <v>390.00</v>
      </c>
      <c r="D8792" s="4"/>
    </row>
    <row collapsed="" customFormat="false" customHeight="1" hidden="" ht="14" outlineLevel="0" r="8793">
      <c r="A8793" s="3" t="inlineStr">
        <is>
          <t>8758</t>
        </is>
      </c>
      <c r="B8793" s="4" t="s">
        <f>=HYPERLINK("http://anyluxury.ru/shop/odezhda/kepki-i-beysbolki/beysbolka-solar-krasnaya-s-belim-03092908tun/" , "03092908TUN Бейсболка Solar, красная с белым")</f>
      </c>
      <c r="C8793" s="4" t="n">
        <v>390.00</v>
      </c>
      <c r="D8793" s="4"/>
    </row>
    <row collapsed="" customFormat="false" customHeight="1" hidden="" ht="14" outlineLevel="0" r="8794">
      <c r="A8794" s="3" t="inlineStr">
        <is>
          <t>8759</t>
        </is>
      </c>
      <c r="B8794" s="4" t="s">
        <f>=HYPERLINK("http://anyluxury.ru/shop/odezhda/kepki-i-beysbolki/beysbolka-buffalo-seraya-640411/" , "6404.11 Бейсболка BUFFALO, серая")</f>
      </c>
      <c r="C8794" s="4" t="n">
        <v>349.00</v>
      </c>
      <c r="D8794" s="4"/>
    </row>
    <row collapsed="" customFormat="false" customHeight="1" hidden="" ht="14" outlineLevel="0" r="8795">
      <c r="A8795" s="3" t="inlineStr">
        <is>
          <t>8760</t>
        </is>
      </c>
      <c r="B8795" s="4" t="s">
        <f>=HYPERLINK("http://anyluxury.ru/shop/odezhda/kepki-i-beysbolki/beysbolka-buffalo-temnofioletovaya-640477/" , "6404.77 Бейсболка BUFFALO, темно-фиолетовая")</f>
      </c>
      <c r="C8795" s="4" t="n">
        <v>454.00</v>
      </c>
      <c r="D8795" s="4"/>
    </row>
    <row collapsed="" customFormat="false" customHeight="1" hidden="" ht="14" outlineLevel="0" r="8796">
      <c r="A8796" s="3" t="inlineStr">
        <is>
          <t>8761</t>
        </is>
      </c>
      <c r="B8796" s="4" t="s">
        <f>=HYPERLINK("http://anyluxury.ru/shop/odezhda/kepki-i-beysbolki/beysbolka-buffalo-chernaya-s-yarkosinim-640434/" , "6404.34 Бейсболка BUFFALO, черная с ярко-синим")</f>
      </c>
      <c r="C8796" s="4" t="n">
        <v>454.00</v>
      </c>
      <c r="D8796" s="4"/>
    </row>
    <row collapsed="" customFormat="false" customHeight="1" hidden="" ht="14" outlineLevel="0" r="8797">
      <c r="A8797" s="3" t="inlineStr">
        <is>
          <t>8762</t>
        </is>
      </c>
      <c r="B8797" s="4" t="s">
        <f>=HYPERLINK("http://anyluxury.ru/shop/odezhda/kepki-i-beysbolki/beysbolka-long-beach-seraya-00594342tun/" , "00594342TUN Бейсболка LONG BEACH, серая")</f>
      </c>
      <c r="C8797" s="4" t="n">
        <v>450.00</v>
      </c>
      <c r="D8797" s="4"/>
    </row>
    <row collapsed="" customFormat="false" customHeight="1" hidden="" ht="14" outlineLevel="0" r="8798">
      <c r="A8798" s="3" t="inlineStr">
        <is>
          <t>8763</t>
        </is>
      </c>
      <c r="B8798" s="4" t="s">
        <f>=HYPERLINK("http://anyluxury.ru/shop/odezhda/kepki-i-beysbolki/beysbolka-long-beach-temnofioletovaya-00594712tun/" , "00594712TUN Бейсболка LONG BEACH, темно-фиолетовая")</f>
      </c>
      <c r="C8798" s="4" t="n">
        <v>450.00</v>
      </c>
      <c r="D8798" s="4"/>
    </row>
    <row collapsed="" customFormat="false" customHeight="1" hidden="" ht="14" outlineLevel="0" r="8799">
      <c r="A8799" s="3" t="inlineStr">
        <is>
          <t>8764</t>
        </is>
      </c>
      <c r="B8799" s="4" t="s">
        <f>=HYPERLINK("http://anyluxury.ru/shop/odezhda/kepki-i-beysbolki/beysbolka-long-beach-chernaya-s-yarkosinim-00594916tun/" , "00594916TUN Бейсболка LONG BEACH, черная с ярко-синим")</f>
      </c>
      <c r="C8799" s="4" t="n">
        <v>450.00</v>
      </c>
      <c r="D8799" s="4"/>
    </row>
    <row collapsed="" customFormat="false" customHeight="1" hidden="" ht="14" outlineLevel="0" r="8800">
      <c r="A8800" s="3" t="inlineStr">
        <is>
          <t>8765</t>
        </is>
      </c>
      <c r="B8800" s="4" t="s">
        <f>=HYPERLINK("http://anyluxury.ru/shop/odezhda/kepki-i-beysbolki/beysbolka-long-beach-belaya-s-temnosinim-00594989tun/" , "00594989TUN Бейсболка LONG BEACH, белая с темно-синим")</f>
      </c>
      <c r="C8800" s="4" t="n">
        <v>450.00</v>
      </c>
      <c r="D8800" s="4"/>
    </row>
    <row collapsed="" customFormat="false" customHeight="1" hidden="" ht="14" outlineLevel="0" r="8801">
      <c r="A8801" s="3" t="inlineStr">
        <is>
          <t>8766</t>
        </is>
      </c>
      <c r="B8801" s="4" t="s">
        <f>=HYPERLINK("http://anyluxury.ru/shop/odezhda/kepki-i-beysbolki/beysbolka-hard-work-so-svetootrazhayushhim-elementom-7148211/" , "71482.11 Бейсболка Hard Work со светоотражающим элементом")</f>
      </c>
      <c r="C8801" s="4" t="n">
        <v>489.00</v>
      </c>
      <c r="D8801" s="4"/>
    </row>
    <row collapsed="" customFormat="false" customHeight="1" hidden="" ht="14" outlineLevel="0" r="8802">
      <c r="A8802" s="3" t="inlineStr">
        <is>
          <t>8767</t>
        </is>
      </c>
      <c r="B8802" s="4" t="s">
        <f>=HYPERLINK("http://anyluxury.ru/shop/odezhda/kepki-i-beysbolki/beysbolka-hard-work-black-so-svetootrazhayushhim-elementom-7148230/" , "71482.30 Бейсболка Hard Work Black со светоотражающим элементом")</f>
      </c>
      <c r="C8802" s="4" t="n">
        <v>489.00</v>
      </c>
      <c r="D8802" s="4"/>
    </row>
    <row collapsed="" customFormat="false" customHeight="1" hidden="" ht="14" outlineLevel="0" r="8803">
      <c r="A8803" s="3" t="inlineStr">
        <is>
          <t>8768</t>
        </is>
      </c>
      <c r="B8803" s="4" t="s">
        <f>=HYPERLINK("http://anyluxury.ru/shop/odezhda/kepki-i-beysbolki/bandana-iz-hlopka-berk-na-zakaz-treugolnaya-1895001/" , "18950.01 Бандана из хлопка Berk на заказ, треугольная")</f>
      </c>
      <c r="C8803" s="4" t="n">
        <v>378.00</v>
      </c>
      <c r="D8803" s="4"/>
    </row>
    <row collapsed="" customFormat="false" customHeight="1" hidden="" ht="14" outlineLevel="0" r="8804">
      <c r="A8804" s="3" t="inlineStr">
        <is>
          <t>8769</t>
        </is>
      </c>
      <c r="B8804" s="4" t="s">
        <f>=HYPERLINK("http://anyluxury.ru/shop/odezhda/kepki-i-beysbolki/bandana-iz-hlopka-berk-na-zakaz-kvadratnaya-1895002/" , "18950.02 Бандана из хлопка Berk на заказ, квадратная")</f>
      </c>
      <c r="C8804" s="4" t="n">
        <v>504.00</v>
      </c>
      <c r="D8804" s="4"/>
    </row>
    <row collapsed="" customFormat="false" customHeight="1" hidden="" ht="14" outlineLevel="0" r="8805">
      <c r="A8805" s="3" t="inlineStr">
        <is>
          <t>8770</t>
        </is>
      </c>
      <c r="B8805" s="4" t="s">
        <f>=HYPERLINK("http://anyluxury.ru/shop/odezhda/kepki-i-beysbolki/beysbolka-impact-iz-pererabotannogo-hlopka-aware-6-klinev-190-gm2-p453324/" , "P453.324 Бейсболка Impact из переработанного хлопка AWARE™, 6 клиньев, 190 г/м2")</f>
      </c>
      <c r="C8805" s="4" t="n">
        <v>459.00</v>
      </c>
      <c r="D8805" s="4"/>
    </row>
    <row collapsed="" customFormat="false" customHeight="1" hidden="" ht="14" outlineLevel="0" r="8806">
      <c r="A8806" s="3" t="inlineStr">
        <is>
          <t>8771</t>
        </is>
      </c>
      <c r="B8806" s="4" t="s">
        <f>=HYPERLINK("http://anyluxury.ru/shop/odezhda/kepki-i-beysbolki/beysbolka-impact-iz-pererabotannogo-hlopka-aware-6-klinev-190-gm2-p453321/" , "P453.321 Бейсболка Impact из переработанного хлопка AWARE™, 6 клиньев, 190 г/м2")</f>
      </c>
      <c r="C8806" s="4" t="n">
        <v>459.00</v>
      </c>
      <c r="D8806" s="4"/>
    </row>
    <row collapsed="" customFormat="false" customHeight="1" hidden="" ht="14" outlineLevel="0" r="8807">
      <c r="A8807" s="3" t="inlineStr">
        <is>
          <t>8772</t>
        </is>
      </c>
      <c r="B8807" s="4" t="s">
        <f>=HYPERLINK("http://anyluxury.ru/shop/odezhda/kepki-i-beysbolki/beysbolka-impact-iz-pererabotannogo-hlopka-aware-5-klinev-280-gm2-p453316/" , "P453.316 Бейсболка Impact из переработанного хлопка AWARE™, 5 клиньев, 280 г/м2")</f>
      </c>
      <c r="C8807" s="4" t="n">
        <v>569.00</v>
      </c>
      <c r="D8807" s="4"/>
    </row>
    <row collapsed="" customFormat="false" customHeight="1" hidden="" ht="14" outlineLevel="0" r="8808">
      <c r="A8808" s="3" t="inlineStr">
        <is>
          <t>8773</t>
        </is>
      </c>
      <c r="B8808" s="4" t="s">
        <f>=HYPERLINK("http://anyluxury.ru/shop/odezhda/kepki-i-beysbolki/beysbolka-impact-iz-pererabotannogo-hlopka-aware-6-klinev-280-gm2-p453306/" , "P453.306 Бейсболка Impact из переработанного хлопка AWARE™, 6 клиньев, 280 г/м2")</f>
      </c>
      <c r="C8808" s="4" t="n">
        <v>549.00</v>
      </c>
      <c r="D8808" s="4"/>
    </row>
    <row collapsed="" customFormat="false" customHeight="1" hidden="" ht="14" outlineLevel="0" r="8809">
      <c r="A8809" s="3" t="inlineStr">
        <is>
          <t>8774</t>
        </is>
      </c>
      <c r="B8809" s="4" t="s">
        <f>=HYPERLINK("http://anyluxury.ru/shop/odezhda/kepki-i-beysbolki/beysbolka-impact-iz-pererabotannogo-hlopka-aware-6-klinev-280-gm2-p453303/" , "P453.303 Бейсболка Impact из переработанного хлопка AWARE™, 6 клиньев, 280 г/м2")</f>
      </c>
      <c r="C8809" s="4" t="n">
        <v>549.00</v>
      </c>
      <c r="D8809" s="4"/>
    </row>
    <row collapsed="" customFormat="false" customHeight="1" hidden="" ht="14" outlineLevel="0" r="8810">
      <c r="A8810" s="3" t="inlineStr">
        <is>
          <t>8775</t>
        </is>
      </c>
      <c r="B8810" s="4" t="s">
        <f>=HYPERLINK("http://anyluxury.ru/shop/odezhda/kepki-i-beysbolki/klassicheskaya-shapka-impact-iz-polylanar-aware-p453372/" , "P453.372 Классическая шапка Impact из Polylana® AWARE™")</f>
      </c>
      <c r="C8810" s="4" t="n">
        <v>529.00</v>
      </c>
      <c r="D8810" s="4"/>
    </row>
    <row collapsed="" customFormat="false" customHeight="1" hidden="" ht="14" outlineLevel="0" r="8811">
      <c r="A8811" s="3" t="inlineStr">
        <is>
          <t>8776</t>
        </is>
      </c>
      <c r="B8811" s="4" t="s">
        <f>=HYPERLINK("http://anyluxury.ru/shop/odezhda/kepki-i-beysbolki/kontrastnaya-beysbolka-impact-iz-pererabotannogo-hlopka-aware-6-klinev-280-gm2-p453364/" , "P453.364 Контрастная бейсболка Impact из переработанного хлопка AWARE™, 6 клиньев, 280 г/м2")</f>
      </c>
      <c r="C8811" s="4" t="n">
        <v>519.00</v>
      </c>
      <c r="D8811" s="4"/>
    </row>
    <row collapsed="" customFormat="false" customHeight="1" hidden="" ht="14" outlineLevel="0" r="8812">
      <c r="A8812" s="3" t="inlineStr">
        <is>
          <t>8777</t>
        </is>
      </c>
      <c r="B8812" s="4" t="s">
        <f>=HYPERLINK("http://anyluxury.ru/shop/odezhda/kepki-i-beysbolki/beysbolka-standard-oranzhevaya-1584720/" , "15847.20 Бейсболка Standard, оранжевая")</f>
      </c>
      <c r="C8812" s="4" t="n">
        <v>390.00</v>
      </c>
      <c r="D8812" s="4"/>
    </row>
    <row collapsed="" customFormat="false" customHeight="1" hidden="" ht="14" outlineLevel="0" r="8813">
      <c r="A8813" s="3" t="inlineStr">
        <is>
          <t>8778</t>
        </is>
      </c>
      <c r="B8813" s="4" t="s">
        <f>=HYPERLINK("http://anyluxury.ru/shop/odezhda/kepki-i-beysbolki/beysbolka-standard-chernaya-1584730/" , "15847.30 Бейсболка Standard, черная")</f>
      </c>
      <c r="C8813" s="4" t="n">
        <v>390.00</v>
      </c>
      <c r="D8813" s="4"/>
    </row>
    <row collapsed="" customFormat="false" customHeight="1" hidden="" ht="14" outlineLevel="0" r="8814">
      <c r="A8814" s="3" t="inlineStr">
        <is>
          <t>8779</t>
        </is>
      </c>
      <c r="B8814" s="4" t="s">
        <f>=HYPERLINK("http://anyluxury.ru/shop/odezhda/kepki-i-beysbolki/beysbolka-standard-yarkosinyaya-1584740/" , "15847.40 Бейсболка Standard, ярко-синяя")</f>
      </c>
      <c r="C8814" s="4" t="n">
        <v>390.00</v>
      </c>
      <c r="D8814" s="4"/>
    </row>
    <row collapsed="" customFormat="false" customHeight="1" hidden="" ht="14" outlineLevel="0" r="8815">
      <c r="A8815" s="3" t="inlineStr">
        <is>
          <t>8780</t>
        </is>
      </c>
      <c r="B8815" s="4" t="s">
        <f>=HYPERLINK("http://anyluxury.ru/shop/odezhda/kepki-i-beysbolki/beysbolka-standard-krasnaya-1584750/" , "15847.50 Бейсболка Standard, красная")</f>
      </c>
      <c r="C8815" s="4" t="n">
        <v>390.00</v>
      </c>
      <c r="D8815" s="4"/>
    </row>
    <row collapsed="" customFormat="false" customHeight="1" hidden="" ht="14" outlineLevel="0" r="8816">
      <c r="A8816" s="3" t="inlineStr">
        <is>
          <t>8781</t>
        </is>
      </c>
      <c r="B8816" s="4" t="s">
        <f>=HYPERLINK("http://anyluxury.ru/shop/odezhda/kepki-i-beysbolki/beysbolka-standard-belaya-1584760/" , "15847.60 Бейсболка Standard, белая")</f>
      </c>
      <c r="C8816" s="4" t="n">
        <v>390.00</v>
      </c>
      <c r="D8816" s="4"/>
    </row>
    <row collapsed="" customFormat="false" customHeight="1" hidden="" ht="14" outlineLevel="0" r="8817">
      <c r="A8817" s="3" t="inlineStr">
        <is>
          <t>8782</t>
        </is>
      </c>
      <c r="B8817" s="4" t="s">
        <f>=HYPERLINK("http://anyluxury.ru/shop/odezhda/kepki-i-beysbolki/beysbolka-standard-temnosinyaya-1584770/" , "15847.70 Бейсболка Standard, темно-синяя")</f>
      </c>
      <c r="C8817" s="4" t="n">
        <v>390.00</v>
      </c>
      <c r="D8817" s="4"/>
    </row>
    <row collapsed="" customFormat="false" customHeight="1" hidden="" ht="14" outlineLevel="0" r="8818">
      <c r="A8818" s="3" t="inlineStr">
        <is>
          <t>8783</t>
        </is>
      </c>
      <c r="B8818" s="4" t="s">
        <f>=HYPERLINK("http://anyluxury.ru/shop/odezhda/kepki-i-beysbolki/beysbolka-standard-zheltaya-1584780/" , "15847.80 Бейсболка Standard, желтая (лимонная)")</f>
      </c>
      <c r="C8818" s="4" t="n">
        <v>390.00</v>
      </c>
      <c r="D8818" s="4"/>
    </row>
    <row collapsed="" customFormat="false" customHeight="1" hidden="" ht="14" outlineLevel="0" r="8819">
      <c r="A8819" s="3" t="inlineStr">
        <is>
          <t>8784</t>
        </is>
      </c>
      <c r="B8819" s="4" t="s">
        <f>=HYPERLINK("http://anyluxury.ru/shop/odezhda/kepki-i-beysbolki/beysbolka-standard-temnozelenaya-1584790/" , "15847.90 Бейсболка Standard, темно-зеленая")</f>
      </c>
      <c r="C8819" s="4" t="n">
        <v>390.00</v>
      </c>
      <c r="D8819" s="4"/>
    </row>
    <row collapsed="" customFormat="false" customHeight="1" hidden="" ht="14" outlineLevel="0" r="8820">
      <c r="A8820" s="3" t="inlineStr">
        <is>
          <t>8785</t>
        </is>
      </c>
      <c r="B8820" s="4" t="s">
        <f>=HYPERLINK("http://anyluxury.ru/shop/odezhda/kepki-i-beysbolki/beysbolka-snapback-s-pryamim-kozirkom-chernaya-1594830/" , "15948.30 Бейсболка Snapback с прямым козырьком, черная")</f>
      </c>
      <c r="C8820" s="4" t="n">
        <v>493.00</v>
      </c>
      <c r="D8820" s="4"/>
    </row>
    <row collapsed="" customFormat="false" customHeight="1" hidden="" ht="14" outlineLevel="0" r="8821">
      <c r="A8821" s="3" t="inlineStr">
        <is>
          <t>8786</t>
        </is>
      </c>
      <c r="B8821" s="4" t="s">
        <f>=HYPERLINK("http://anyluxury.ru/shop/odezhda/kepki-i-beysbolki/beysbolka-snapback-s-pryamim-kozirkom-temnosinyaya-1594840/" , "15948.40 Бейсболка Snapback с прямым козырьком, темно-синяя")</f>
      </c>
      <c r="C8821" s="4" t="n">
        <v>493.00</v>
      </c>
      <c r="D8821" s="4"/>
    </row>
    <row collapsed="" customFormat="false" customHeight="1" hidden="" ht="14" outlineLevel="0" r="8822">
      <c r="A8822" s="3" t="inlineStr">
        <is>
          <t>8787</t>
        </is>
      </c>
      <c r="B8822" s="4" t="s">
        <f>=HYPERLINK("http://anyluxury.ru/shop/odezhda/kepki-i-beysbolki/beysbolka-snapback-s-pryamim-kozirkom-yarkosinyaya-1594844/" , "15948.44 Бейсболка Snapback с прямым козырьком, ярко-синяя")</f>
      </c>
      <c r="C8822" s="4" t="n">
        <v>493.00</v>
      </c>
      <c r="D8822" s="4"/>
    </row>
    <row collapsed="" customFormat="false" customHeight="1" hidden="" ht="14" outlineLevel="0" r="8823">
      <c r="A8823" s="3" t="inlineStr">
        <is>
          <t>8788</t>
        </is>
      </c>
      <c r="B8823" s="4" t="s">
        <f>=HYPERLINK("http://anyluxury.ru/shop/odezhda/kepki-i-beysbolki/beysbolka-snapback-s-pryamim-kozirkom-belaya-1594860/" , "15948.60 Бейсболка Snapback с прямым козырьком, белая")</f>
      </c>
      <c r="C8823" s="4" t="n">
        <v>493.00</v>
      </c>
      <c r="D8823" s="4"/>
    </row>
    <row collapsed="" customFormat="false" customHeight="1" hidden="" ht="14" outlineLevel="0" r="8824">
      <c r="A8824" s="3" t="inlineStr">
        <is>
          <t>8789</t>
        </is>
      </c>
      <c r="B8824" s="4" t="s">
        <f>=HYPERLINK("http://anyluxury.ru/shop/odezhda/kepki-i-beysbolki/beysbolka-standard-bezhevaya-1584710/" , "15847.10 Бейсболка Standard, бежевая")</f>
      </c>
      <c r="C8824" s="4" t="n">
        <v>390.00</v>
      </c>
      <c r="D8824" s="4"/>
    </row>
    <row collapsed="" customFormat="false" customHeight="1" hidden="" ht="14" outlineLevel="0" r="8825">
      <c r="A8825" s="3" t="inlineStr">
        <is>
          <t>8790</t>
        </is>
      </c>
      <c r="B8825" s="4" t="s">
        <f>=HYPERLINK("http://anyluxury.ru/shop/odezhda/kepki-i-beysbolki/beysbolka-standard-fioletovaya-1584777/" , "15847.77 Бейсболка Standard, фиолетовая")</f>
      </c>
      <c r="C8825" s="4" t="n">
        <v>390.00</v>
      </c>
      <c r="D8825" s="4"/>
    </row>
    <row collapsed="" customFormat="false" customHeight="1" hidden="" ht="14" outlineLevel="0" r="8826">
      <c r="A8826" s="3" t="inlineStr">
        <is>
          <t>8791</t>
        </is>
      </c>
      <c r="B8826" s="4" t="s">
        <f>=HYPERLINK("http://anyluxury.ru/shop/odezhda/kepki-i-beysbolki/beysbolka-snapback-s-pryamim-kozirkom-seraya-1594810/" , "15948.10 Бейсболка Snapback с прямым козырьком, серая")</f>
      </c>
      <c r="C8826" s="4" t="n">
        <v>493.00</v>
      </c>
      <c r="D8826" s="4"/>
    </row>
    <row collapsed="" customFormat="false" customHeight="1" hidden="" ht="14" outlineLevel="0" r="8827">
      <c r="A8827" s="3" t="inlineStr">
        <is>
          <t>8792</t>
        </is>
      </c>
      <c r="B8827" s="4" t="s">
        <f>=HYPERLINK("http://anyluxury.ru/shop/odezhda/kepki-i-beysbolki/beysbolka-convention-seraya-1514711/" , "15147.11 Бейсболка Convention, серая")</f>
      </c>
      <c r="C8827" s="4" t="n">
        <v>514.00</v>
      </c>
      <c r="D8827" s="4"/>
    </row>
    <row collapsed="" customFormat="false" customHeight="1" hidden="" ht="14" outlineLevel="0" r="8828">
      <c r="A8828" s="3" t="inlineStr">
        <is>
          <t>8793</t>
        </is>
      </c>
      <c r="B8828" s="4" t="s">
        <f>=HYPERLINK("http://anyluxury.ru/shop/odezhda/kepki-i-beysbolki/beysbolka-convention-golubaya-1514714/" , "15147.14 Бейсболка Convention, голубая")</f>
      </c>
      <c r="C8828" s="4" t="n">
        <v>514.00</v>
      </c>
      <c r="D8828" s="4"/>
    </row>
    <row collapsed="" customFormat="false" customHeight="1" hidden="" ht="14" outlineLevel="0" r="8829">
      <c r="A8829" s="3" t="inlineStr">
        <is>
          <t>8794</t>
        </is>
      </c>
      <c r="B8829" s="4" t="s">
        <f>=HYPERLINK("http://anyluxury.ru/shop/odezhda/kepki-i-beysbolki/beysbolka-convention-oranzhevaya-1514720/" , "15147.20 Бейсболка Convention, оранжевая")</f>
      </c>
      <c r="C8829" s="4" t="n">
        <v>514.00</v>
      </c>
      <c r="D8829" s="4"/>
    </row>
    <row collapsed="" customFormat="false" customHeight="1" hidden="" ht="14" outlineLevel="0" r="8830">
      <c r="A8830" s="3" t="inlineStr">
        <is>
          <t>8795</t>
        </is>
      </c>
      <c r="B8830" s="4" t="s">
        <f>=HYPERLINK("http://anyluxury.ru/shop/odezhda/kepki-i-beysbolki/beysbolka-convention-chernaya-1514730/" , "15147.30 Бейсболка Convention, черная")</f>
      </c>
      <c r="C8830" s="4" t="n">
        <v>514.00</v>
      </c>
      <c r="D8830" s="4"/>
    </row>
    <row collapsed="" customFormat="false" customHeight="1" hidden="" ht="14" outlineLevel="0" r="8831">
      <c r="A8831" s="3" t="inlineStr">
        <is>
          <t>8796</t>
        </is>
      </c>
      <c r="B8831" s="4" t="s">
        <f>=HYPERLINK("http://anyluxury.ru/shop/odezhda/kepki-i-beysbolki/beysbolka-convention-temnosinyaya-1514740/" , "15147.40 Бейсболка Convention, темно-синяя")</f>
      </c>
      <c r="C8831" s="4" t="n">
        <v>514.00</v>
      </c>
      <c r="D8831" s="4"/>
    </row>
    <row collapsed="" customFormat="false" customHeight="1" hidden="" ht="14" outlineLevel="0" r="8832">
      <c r="A8832" s="3" t="inlineStr">
        <is>
          <t>8797</t>
        </is>
      </c>
      <c r="B8832" s="4" t="s">
        <f>=HYPERLINK("http://anyluxury.ru/shop/odezhda/kepki-i-beysbolki/beysbolka-convention-yarkosinyaya-1514744/" , "15147.44 Бейсболка Convention, ярко-синяя")</f>
      </c>
      <c r="C8832" s="4" t="n">
        <v>514.00</v>
      </c>
      <c r="D8832" s="4"/>
    </row>
    <row collapsed="" customFormat="false" customHeight="1" hidden="" ht="14" outlineLevel="0" r="8833">
      <c r="A8833" s="3" t="inlineStr">
        <is>
          <t>8798</t>
        </is>
      </c>
      <c r="B8833" s="4" t="s">
        <f>=HYPERLINK("http://anyluxury.ru/shop/odezhda/kepki-i-beysbolki/beysbolka-convention-krasnaya-1514750/" , "15147.50 Бейсболка Convention, красная")</f>
      </c>
      <c r="C8833" s="4" t="n">
        <v>514.00</v>
      </c>
      <c r="D8833" s="4"/>
    </row>
    <row collapsed="" customFormat="false" customHeight="1" hidden="" ht="14" outlineLevel="0" r="8834">
      <c r="A8834" s="3" t="inlineStr">
        <is>
          <t>8799</t>
        </is>
      </c>
      <c r="B8834" s="4" t="s">
        <f>=HYPERLINK("http://anyluxury.ru/shop/odezhda/kepki-i-beysbolki/beysbolka-convention-belaya-1514760/" , "15147.60 Бейсболка Convention, белая")</f>
      </c>
      <c r="C8834" s="4" t="n">
        <v>514.00</v>
      </c>
      <c r="D8834" s="4"/>
    </row>
    <row collapsed="" customFormat="false" customHeight="1" hidden="" ht="14" outlineLevel="0" r="8835">
      <c r="A8835" s="3" t="inlineStr">
        <is>
          <t>8800</t>
        </is>
      </c>
      <c r="B8835" s="4" t="s">
        <f>=HYPERLINK("http://anyluxury.ru/shop/odezhda/kepki-i-beysbolki/beysbolka-convention-fioletovaya-1514778/" , "15147.78 Бейсболка Convention, фиолетовая")</f>
      </c>
      <c r="C8835" s="4" t="n">
        <v>514.00</v>
      </c>
      <c r="D8835" s="4"/>
    </row>
    <row collapsed="" customFormat="false" customHeight="1" hidden="" ht="14" outlineLevel="0" r="8836">
      <c r="A8836" s="3" t="inlineStr">
        <is>
          <t>8801</t>
        </is>
      </c>
      <c r="B8836" s="4" t="s">
        <f>=HYPERLINK("http://anyluxury.ru/shop/odezhda/kepki-i-beysbolki/beysbolka-convention-zheltaya-1514780/" , "15147.80 Бейсболка Convention, желтая")</f>
      </c>
      <c r="C8836" s="4" t="n">
        <v>514.00</v>
      </c>
      <c r="D8836" s="4"/>
    </row>
    <row collapsed="" customFormat="false" customHeight="1" hidden="" ht="14" outlineLevel="0" r="8837">
      <c r="A8837" s="3" t="inlineStr">
        <is>
          <t>8802</t>
        </is>
      </c>
      <c r="B8837" s="4" t="s">
        <f>=HYPERLINK("http://anyluxury.ru/shop/odezhda/kepki-i-beysbolki/beysbolka-convention-temnozelenaya-1514792/" , "15147.92 Бейсболка Convention, темно-зеленая")</f>
      </c>
      <c r="C8837" s="4" t="n">
        <v>514.00</v>
      </c>
      <c r="D8837" s="4"/>
    </row>
    <row collapsed="" customFormat="false" customHeight="1" hidden="" ht="14" outlineLevel="0" r="8838">
      <c r="A8838" s="3" t="inlineStr">
        <is>
          <t>8803</t>
        </is>
      </c>
      <c r="B8838" s="4" t="s">
        <f>=HYPERLINK("http://anyluxury.ru/shop/odezhda/kepki-i-beysbolki/beysbolka-convention-zelenoe-yabloko-1514794/" , "15147.94 Бейсболка Convention, зеленое яблоко")</f>
      </c>
      <c r="C8838" s="4" t="n">
        <v>514.00</v>
      </c>
      <c r="D8838" s="4"/>
    </row>
    <row collapsed="" customFormat="false" customHeight="1" hidden="" ht="14" outlineLevel="0" r="8839">
      <c r="A8839" s="3" t="inlineStr">
        <is>
          <t>8804</t>
        </is>
      </c>
      <c r="B8839" s="4" t="s">
        <f>=HYPERLINK("http://anyluxury.ru/shop/odezhda/kepki-i-beysbolki/beysbolka-canopy-seraya-s-chernim-kantom-1514911/" , "15149.11 Бейсболка Canopy, серая с черным кантом")</f>
      </c>
      <c r="C8839" s="4" t="n">
        <v>596.00</v>
      </c>
      <c r="D8839" s="4"/>
    </row>
    <row collapsed="" customFormat="false" customHeight="1" hidden="" ht="14" outlineLevel="0" r="8840">
      <c r="A8840" s="3" t="inlineStr">
        <is>
          <t>8805</t>
        </is>
      </c>
      <c r="B8840" s="4" t="s">
        <f>=HYPERLINK("http://anyluxury.ru/shop/odezhda/kepki-i-beysbolki/beysbolka-canopy-chernaya-s-belim-kantom-1514930/" , "15149.30 Бейсболка Canopy, черная с белым кантом")</f>
      </c>
      <c r="C8840" s="4" t="n">
        <v>596.00</v>
      </c>
      <c r="D8840" s="4"/>
    </row>
    <row collapsed="" customFormat="false" customHeight="1" hidden="" ht="14" outlineLevel="0" r="8841">
      <c r="A8841" s="3" t="inlineStr">
        <is>
          <t>8806</t>
        </is>
      </c>
      <c r="B8841" s="4" t="s">
        <f>=HYPERLINK("http://anyluxury.ru/shop/odezhda/kepki-i-beysbolki/beysbolka-canopy-temnosinyaya-s-belim-kantom-1514940/" , "15149.40 Бейсболка Canopy, темно-синяя с белым кантом")</f>
      </c>
      <c r="C8841" s="4" t="n">
        <v>596.00</v>
      </c>
      <c r="D8841" s="4"/>
    </row>
    <row collapsed="" customFormat="false" customHeight="1" hidden="" ht="14" outlineLevel="0" r="8842">
      <c r="A8842" s="3" t="inlineStr">
        <is>
          <t>8807</t>
        </is>
      </c>
      <c r="B8842" s="4" t="s">
        <f>=HYPERLINK("http://anyluxury.ru/shop/odezhda/kepki-i-beysbolki/beysbolka-canopy-yarkosinyaya-s-belim-kantom-1514944/" , "15149.44 Бейсболка Canopy, ярко-синяя с белым кантом")</f>
      </c>
      <c r="C8842" s="4" t="n">
        <v>596.00</v>
      </c>
      <c r="D8842" s="4"/>
    </row>
    <row collapsed="" customFormat="false" customHeight="1" hidden="" ht="14" outlineLevel="0" r="8843">
      <c r="A8843" s="3" t="inlineStr">
        <is>
          <t>8808</t>
        </is>
      </c>
      <c r="B8843" s="4" t="s">
        <f>=HYPERLINK("http://anyluxury.ru/shop/odezhda/kepki-i-beysbolki/beysbolka-canopy-krasnaya-s-belim-kantom-1514950/" , "15149.50 Бейсболка Canopy, красная с белым кантом")</f>
      </c>
      <c r="C8843" s="4" t="n">
        <v>596.00</v>
      </c>
      <c r="D8843" s="4"/>
    </row>
    <row collapsed="" customFormat="false" customHeight="1" hidden="" ht="14" outlineLevel="0" r="8844">
      <c r="A8844" s="3" t="inlineStr">
        <is>
          <t>8809</t>
        </is>
      </c>
      <c r="B8844" s="4" t="s">
        <f>=HYPERLINK("http://anyluxury.ru/shop/odezhda/kepki-i-beysbolki/beysbolka-canopy-fioletovaya-s-belim-kantom-1514978/" , "15149.78 Бейсболка Canopy, фиолетовая с белым кантом")</f>
      </c>
      <c r="C8844" s="4" t="n">
        <v>596.00</v>
      </c>
      <c r="D8844" s="4"/>
    </row>
    <row collapsed="" customFormat="false" customHeight="1" hidden="" ht="14" outlineLevel="0" r="8845">
      <c r="A8845" s="3" t="inlineStr">
        <is>
          <t>8810</t>
        </is>
      </c>
      <c r="B8845" s="4" t="s">
        <f>=HYPERLINK("http://anyluxury.ru/shop/odezhda/kepki-i-beysbolki/beysbolka-canopy-oranzhevaya-s-belim-kantom-1514920/" , "15149.20 Бейсболка Canopy, оранжевая с белым кантом")</f>
      </c>
      <c r="C8845" s="4" t="n">
        <v>596.00</v>
      </c>
      <c r="D8845" s="4"/>
    </row>
    <row collapsed="" customFormat="false" customHeight="1" hidden="" ht="14" outlineLevel="0" r="8846">
      <c r="A8846" s="3" t="inlineStr">
        <is>
          <t>8811</t>
        </is>
      </c>
      <c r="B8846" s="4" t="s">
        <f>=HYPERLINK("http://anyluxury.ru/shop/odezhda/kepki-i-beysbolki/beysbolka-canopy-belaya-s-temnosinim-kantom-1514960/" , "15149.60 Бейсболка Canopy, белая с темно-синим кантом")</f>
      </c>
      <c r="C8846" s="4" t="n">
        <v>596.00</v>
      </c>
      <c r="D8846" s="4"/>
    </row>
    <row collapsed="" customFormat="false" customHeight="1" hidden="" ht="14" outlineLevel="0" r="8847">
      <c r="A8847" s="3" t="inlineStr">
        <is>
          <t>8812</t>
        </is>
      </c>
      <c r="B8847" s="4" t="s">
        <f>=HYPERLINK("http://anyluxury.ru/shop/odezhda/kepki-i-beysbolki/beysbolka-honor-seraya-s-chernim-kantom-1515011/" , "15150.11 Бейсболка Honor, серая с черным кантом")</f>
      </c>
      <c r="C8847" s="4" t="n">
        <v>527.00</v>
      </c>
      <c r="D8847" s="4"/>
    </row>
    <row collapsed="" customFormat="false" customHeight="1" hidden="" ht="14" outlineLevel="0" r="8848">
      <c r="A8848" s="3" t="inlineStr">
        <is>
          <t>8813</t>
        </is>
      </c>
      <c r="B8848" s="4" t="s">
        <f>=HYPERLINK("http://anyluxury.ru/shop/odezhda/kepki-i-beysbolki/beysbolka-honor-chernaya-s-belim-kantom-1515030/" , "15150.30 Бейсболка Honor, черная с белым кантом")</f>
      </c>
      <c r="C8848" s="4" t="n">
        <v>527.00</v>
      </c>
      <c r="D8848" s="4"/>
    </row>
    <row collapsed="" customFormat="false" customHeight="1" hidden="" ht="14" outlineLevel="0" r="8849">
      <c r="A8849" s="3" t="inlineStr">
        <is>
          <t>8814</t>
        </is>
      </c>
      <c r="B8849" s="4" t="s">
        <f>=HYPERLINK("http://anyluxury.ru/shop/odezhda/kepki-i-beysbolki/beysbolka-honor-temnosinyaya-s-belim-kantom-1515040/" , "15150.40 Бейсболка Honor, темно-синяя с белым кантом")</f>
      </c>
      <c r="C8849" s="4" t="n">
        <v>527.00</v>
      </c>
      <c r="D8849" s="4"/>
    </row>
    <row collapsed="" customFormat="false" customHeight="1" hidden="" ht="14" outlineLevel="0" r="8850">
      <c r="A8850" s="3" t="inlineStr">
        <is>
          <t>8815</t>
        </is>
      </c>
      <c r="B8850" s="4" t="s">
        <f>=HYPERLINK("http://anyluxury.ru/shop/odezhda/kepki-i-beysbolki/beysbolka-honor-yarkosinyaya-s-belim-kantom-1515044/" , "15150.44 Бейсболка Honor, ярко-синяя с белым кантом")</f>
      </c>
      <c r="C8850" s="4" t="n">
        <v>527.00</v>
      </c>
      <c r="D8850" s="4"/>
    </row>
    <row collapsed="" customFormat="false" customHeight="1" hidden="" ht="14" outlineLevel="0" r="8851">
      <c r="A8851" s="3" t="inlineStr">
        <is>
          <t>8816</t>
        </is>
      </c>
      <c r="B8851" s="4" t="s">
        <f>=HYPERLINK("http://anyluxury.ru/shop/odezhda/kepki-i-beysbolki/beysbolka-honor-krasnaya-s-belim-kantom-1515050/" , "15150.50 Бейсболка Honor, красная с белым кантом")</f>
      </c>
      <c r="C8851" s="4" t="n">
        <v>527.00</v>
      </c>
      <c r="D8851" s="4"/>
    </row>
    <row collapsed="" customFormat="false" customHeight="1" hidden="" ht="14" outlineLevel="0" r="8852">
      <c r="A8852" s="3" t="inlineStr">
        <is>
          <t>8817</t>
        </is>
      </c>
      <c r="B8852" s="4" t="s">
        <f>=HYPERLINK("http://anyluxury.ru/shop/odezhda/kepki-i-beysbolki/beysbolka-honor-golubaya-s-belim-kantom-1515014/" , "15150.14 Бейсболка Honor, голубая с белым кантом")</f>
      </c>
      <c r="C8852" s="4" t="n">
        <v>527.00</v>
      </c>
      <c r="D8852" s="4"/>
    </row>
    <row collapsed="" customFormat="false" customHeight="1" hidden="" ht="14" outlineLevel="0" r="8853">
      <c r="A8853" s="3" t="inlineStr">
        <is>
          <t>8818</t>
        </is>
      </c>
      <c r="B8853" s="4" t="s">
        <f>=HYPERLINK("http://anyluxury.ru/shop/odezhda/kepki-i-beysbolki/beysbolka-promo-golubaya-1584614/" , "15846.14 Бейсболка Promo, голубая")</f>
      </c>
      <c r="C8853" s="4" t="n">
        <v>278.00</v>
      </c>
      <c r="D8853" s="4"/>
    </row>
    <row collapsed="" customFormat="false" customHeight="1" hidden="" ht="14" outlineLevel="0" r="8854">
      <c r="A8854" s="3" t="inlineStr">
        <is>
          <t>8819</t>
        </is>
      </c>
      <c r="B8854" s="4" t="s">
        <f>=HYPERLINK("http://anyluxury.ru/shop/odezhda/kepki-i-beysbolki/beysbolka-promo-oranzhevaya-1584620/" , "15846.20 Бейсболка Promo, оранжевая")</f>
      </c>
      <c r="C8854" s="4" t="n">
        <v>278.00</v>
      </c>
      <c r="D8854" s="4"/>
    </row>
    <row collapsed="" customFormat="false" customHeight="1" hidden="" ht="14" outlineLevel="0" r="8855">
      <c r="A8855" s="3" t="inlineStr">
        <is>
          <t>8820</t>
        </is>
      </c>
      <c r="B8855" s="4" t="s">
        <f>=HYPERLINK("http://anyluxury.ru/shop/odezhda/kepki-i-beysbolki/beysbolka-promo-chernaya-1584630/" , "15846.30 Бейсболка Promo, черная")</f>
      </c>
      <c r="C8855" s="4" t="n">
        <v>278.00</v>
      </c>
      <c r="D8855" s="4"/>
    </row>
    <row collapsed="" customFormat="false" customHeight="1" hidden="" ht="14" outlineLevel="0" r="8856">
      <c r="A8856" s="3" t="inlineStr">
        <is>
          <t>8821</t>
        </is>
      </c>
      <c r="B8856" s="4" t="s">
        <f>=HYPERLINK("http://anyluxury.ru/shop/odezhda/kepki-i-beysbolki/beysbolka-promo-sinyaya-1584640/" , "15846.40 Бейсболка Promo, синяя")</f>
      </c>
      <c r="C8856" s="4" t="n">
        <v>278.00</v>
      </c>
      <c r="D8856" s="4"/>
    </row>
    <row collapsed="" customFormat="false" customHeight="1" hidden="" ht="14" outlineLevel="0" r="8857">
      <c r="A8857" s="3" t="inlineStr">
        <is>
          <t>8822</t>
        </is>
      </c>
      <c r="B8857" s="4" t="s">
        <f>=HYPERLINK("http://anyluxury.ru/shop/odezhda/kepki-i-beysbolki/beysbolka-promo-krasnaya-1584650/" , "15846.50 Бейсболка Promo, красная")</f>
      </c>
      <c r="C8857" s="4" t="n">
        <v>278.00</v>
      </c>
      <c r="D8857" s="4"/>
    </row>
    <row collapsed="" customFormat="false" customHeight="1" hidden="" ht="14" outlineLevel="0" r="8858">
      <c r="A8858" s="3" t="inlineStr">
        <is>
          <t>8823</t>
        </is>
      </c>
      <c r="B8858" s="4" t="s">
        <f>=HYPERLINK("http://anyluxury.ru/shop/odezhda/kepki-i-beysbolki/beysbolka-promo-belaya-1584660/" , "15846.60 Бейсболка Promo, белая")</f>
      </c>
      <c r="C8858" s="4" t="n">
        <v>278.00</v>
      </c>
      <c r="D8858" s="4"/>
    </row>
    <row collapsed="" customFormat="false" customHeight="1" hidden="" ht="14" outlineLevel="0" r="8859">
      <c r="A8859" s="3" t="inlineStr">
        <is>
          <t>8824</t>
        </is>
      </c>
      <c r="B8859" s="4" t="s">
        <f>=HYPERLINK("http://anyluxury.ru/shop/odezhda/kepki-i-beysbolki/beysbolka-promo-temnosinyaya-1584670/" , "15846.70 Бейсболка Promo, темно-синяя")</f>
      </c>
      <c r="C8859" s="4" t="n">
        <v>278.00</v>
      </c>
      <c r="D8859" s="4"/>
    </row>
    <row collapsed="" customFormat="false" customHeight="1" hidden="" ht="14" outlineLevel="0" r="8860">
      <c r="A8860" s="3" t="inlineStr">
        <is>
          <t>8825</t>
        </is>
      </c>
      <c r="B8860" s="4" t="s">
        <f>=HYPERLINK("http://anyluxury.ru/shop/odezhda/kepki-i-beysbolki/beysbolka-promo-zheltaya-1584680/" , "15846.80 Бейсболка Promo, желтая")</f>
      </c>
      <c r="C8860" s="4" t="n">
        <v>278.00</v>
      </c>
      <c r="D8860" s="4"/>
    </row>
    <row collapsed="" customFormat="false" customHeight="1" hidden="" ht="14" outlineLevel="0" r="8861">
      <c r="A8861" s="3" t="inlineStr">
        <is>
          <t>8826</t>
        </is>
      </c>
      <c r="B8861" s="4" t="s">
        <f>=HYPERLINK("http://anyluxury.ru/shop/odezhda/kepki-i-beysbolki/beysbolka-promo-zelenaya-1584690/" , "15846.90 Бейсболка Promo, зеленая")</f>
      </c>
      <c r="C8861" s="4" t="n">
        <v>278.00</v>
      </c>
      <c r="D8861" s="4"/>
    </row>
    <row collapsed="" customFormat="false" customHeight="1" hidden="" ht="14" outlineLevel="0" r="8862">
      <c r="A8862" s="3" t="inlineStr">
        <is>
          <t>8827</t>
        </is>
      </c>
      <c r="B8862" s="4" t="s">
        <f>=HYPERLINK("http://anyluxury.ru/shop/odezhda/kepki-i-beysbolki/beysbolka-promo-temnozelenaya-1584691/" , "15846.91 Бейсболка Promo, темно-зеленая")</f>
      </c>
      <c r="C8862" s="4" t="n">
        <v>278.00</v>
      </c>
      <c r="D8862" s="4"/>
    </row>
    <row collapsed="" customFormat="false" customHeight="1" hidden="" ht="14" outlineLevel="0" r="8863">
      <c r="A8863" s="3" t="inlineStr">
        <is>
          <t>8828</t>
        </is>
      </c>
      <c r="B8863" s="4" t="s">
        <f>=HYPERLINK("http://anyluxury.ru/shop/odezhda/kepki-i-beysbolki/beysbolka-honor-belaya-s-temnosinim-kantom-1515060/" , "15150.60 Бейсболка Honor, белая с темно-синим кантом")</f>
      </c>
      <c r="C8863" s="4" t="n">
        <v>527.00</v>
      </c>
      <c r="D8863" s="4"/>
    </row>
    <row collapsed="" customFormat="false" customHeight="1" hidden="" ht="14" outlineLevel="0" r="8864">
      <c r="A8864" s="3" t="inlineStr">
        <is>
          <t>8829</t>
        </is>
      </c>
      <c r="B8864" s="4" t="s">
        <f>=HYPERLINK("http://anyluxury.ru/shop/odezhda/kepki-i-beysbolki/beysbolka-sunbreaker-chernaya-1515130/" , "15151.30 Бейсболка Sunbreaker, черная")</f>
      </c>
      <c r="C8864" s="4" t="n">
        <v>539.00</v>
      </c>
      <c r="D8864" s="4"/>
    </row>
    <row collapsed="" customFormat="false" customHeight="1" hidden="" ht="14" outlineLevel="0" r="8865">
      <c r="A8865" s="3" t="inlineStr">
        <is>
          <t>8830</t>
        </is>
      </c>
      <c r="B8865" s="4" t="s">
        <f>=HYPERLINK("http://anyluxury.ru/shop/odezhda/kepki-i-beysbolki/beysbolka-sunbreaker-temnosinyaya-1515140/" , "15151.40 Бейсболка Sunbreaker, темно-синяя")</f>
      </c>
      <c r="C8865" s="4" t="n">
        <v>539.00</v>
      </c>
      <c r="D8865" s="4"/>
    </row>
    <row collapsed="" customFormat="false" customHeight="1" hidden="" ht="14" outlineLevel="0" r="8866">
      <c r="A8866" s="3" t="inlineStr">
        <is>
          <t>8831</t>
        </is>
      </c>
      <c r="B8866" s="4" t="s">
        <f>=HYPERLINK("http://anyluxury.ru/shop/odezhda/kepki-i-beysbolki/beysbolka-sunbreaker-krasnaya-s-belim-1515150/" , "15151.50 Бейсболка Sunbreaker, красная с белым")</f>
      </c>
      <c r="C8866" s="4" t="n">
        <v>539.00</v>
      </c>
      <c r="D8866" s="4"/>
    </row>
    <row collapsed="" customFormat="false" customHeight="1" hidden="" ht="14" outlineLevel="0" r="8867">
      <c r="A8867" s="3" t="inlineStr">
        <is>
          <t>8832</t>
        </is>
      </c>
      <c r="B8867" s="4" t="s">
        <f>=HYPERLINK("http://anyluxury.ru/shop/odezhda/kepki-i-beysbolki/beysbolka-sunbreaker-belaya-1515160/" , "15151.60 Бейсболка Sunbreaker, белая")</f>
      </c>
      <c r="C8867" s="4" t="n">
        <v>539.00</v>
      </c>
      <c r="D8867" s="4"/>
    </row>
    <row collapsed="" customFormat="false" customHeight="1" hidden="" ht="14" outlineLevel="0" r="8868">
      <c r="A8868" s="3" t="inlineStr">
        <is>
          <t>8833</t>
        </is>
      </c>
      <c r="B8868" s="4" t="s">
        <f>=HYPERLINK("http://anyluxury.ru/shop/odezhda/kepki-i-beysbolki/beysbolka-sunbreaker-chernaya-s-belim-1515136/" , "15151.36 Бейсболка Sunbreaker, черная с белым")</f>
      </c>
      <c r="C8868" s="4" t="n">
        <v>539.00</v>
      </c>
      <c r="D8868" s="4"/>
    </row>
    <row collapsed="" customFormat="false" customHeight="1" hidden="" ht="14" outlineLevel="0" r="8869">
      <c r="A8869" s="3" t="inlineStr">
        <is>
          <t>8834</t>
        </is>
      </c>
      <c r="B8869" s="4" t="s">
        <f>=HYPERLINK("http://anyluxury.ru/shop/odezhda/kepki-i-beysbolki/beysbolka-sunbreaker-temnosinyaya-s-belim-1515146/" , "15151.46 Бейсболка Sunbreaker, темно-синяя с белым")</f>
      </c>
      <c r="C8869" s="4" t="n">
        <v>539.00</v>
      </c>
      <c r="D8869" s="4"/>
    </row>
    <row collapsed="" customFormat="false" customHeight="1" hidden="" ht="14" outlineLevel="0" r="8870">
      <c r="A8870" s="3" t="inlineStr">
        <is>
          <t>8835</t>
        </is>
      </c>
      <c r="B8870" s="4" t="s">
        <f>=HYPERLINK("http://anyluxury.ru/shop/odezhda/kepki-i-beysbolki/beysbolka-sunbreaker-yarkosinyaya-s-belim-1515164/" , "15151.64 Бейсболка Sunbreaker, ярко-синяя с белым")</f>
      </c>
      <c r="C8870" s="4" t="n">
        <v>539.00</v>
      </c>
      <c r="D8870" s="4"/>
    </row>
    <row collapsed="" customFormat="false" customHeight="1" hidden="" ht="14" outlineLevel="0" r="8871">
      <c r="A8871" s="3" t="inlineStr">
        <is>
          <t>8836</t>
        </is>
      </c>
      <c r="B8871" s="4" t="s">
        <f>=HYPERLINK("http://anyluxury.ru/shop/odezhda/kepki-i-beysbolki/beysbolka-honor-zelenaya-s-belim-kantom-1515092/" , "15150.92 Бейсболка Honor, зеленая с белым кантом")</f>
      </c>
      <c r="C8871" s="4" t="n">
        <v>527.00</v>
      </c>
      <c r="D8871" s="4"/>
    </row>
    <row collapsed="" customFormat="false" customHeight="1" hidden="" ht="14" outlineLevel="0" r="8872">
      <c r="A8872" s="3" t="inlineStr">
        <is>
          <t>8837</t>
        </is>
      </c>
      <c r="B8872" s="4" t="s">
        <f>=HYPERLINK("http://anyluxury.ru/shop/odezhda/kepki-i-beysbolki/beysbolka-generic-krasnaya-s-belim-kantom-1592150/" , "15921.50 Бейсболка Generic, красная с белым кантом")</f>
      </c>
      <c r="C8872" s="4" t="n">
        <v>449.00</v>
      </c>
      <c r="D8872" s="4"/>
    </row>
    <row collapsed="" customFormat="false" customHeight="1" hidden="" ht="14" outlineLevel="0" r="8873">
      <c r="A8873" s="3" t="inlineStr">
        <is>
          <t>8838</t>
        </is>
      </c>
      <c r="B8873" s="4" t="s">
        <f>=HYPERLINK("http://anyluxury.ru/shop/odezhda/kepki-i-beysbolki/beysbolka-generic-belaya-1592160/" , "15921.60 Бейсболка Generic, белая")</f>
      </c>
      <c r="C8873" s="4" t="n">
        <v>449.00</v>
      </c>
      <c r="D8873" s="4"/>
    </row>
    <row collapsed="" customFormat="false" customHeight="1" hidden="" ht="14" outlineLevel="0" r="8874">
      <c r="A8874" s="3" t="inlineStr">
        <is>
          <t>8839</t>
        </is>
      </c>
      <c r="B8874" s="4" t="s">
        <f>=HYPERLINK("http://anyluxury.ru/shop/odezhda/kepki-i-beysbolki/beysbolka-generic-temnosinyaya-s-belim-kantom-1592140/" , "15921.40 Бейсболка Generic, темно-синяя с белым кантом")</f>
      </c>
      <c r="C8874" s="4" t="n">
        <v>449.00</v>
      </c>
      <c r="D8874" s="4"/>
    </row>
    <row collapsed="" customFormat="false" customHeight="1" hidden="" ht="14" outlineLevel="0" r="8875">
      <c r="A8875" s="3" t="inlineStr">
        <is>
          <t>8840</t>
        </is>
      </c>
      <c r="B8875" s="4" t="s">
        <f>=HYPERLINK("http://anyluxury.ru/shop/odezhda/kepki-i-beysbolki/beysbolka-harris-chernaya-1518530/" , "15185.30 Бейсболка Harris, черная")</f>
      </c>
      <c r="C8875" s="4" t="n">
        <v>1090.00</v>
      </c>
      <c r="D8875" s="4"/>
    </row>
    <row collapsed="" customFormat="false" customHeight="1" hidden="" ht="14" outlineLevel="0" r="8876">
      <c r="A8876" s="3" t="inlineStr">
        <is>
          <t>8841</t>
        </is>
      </c>
      <c r="B8876" s="4" t="s">
        <f>=HYPERLINK("http://anyluxury.ru/shop/odezhda/kepki-i-beysbolki/beysbolka-harris-belaya-1518560/" , "15185.60 Бейсболка Harris, белая")</f>
      </c>
      <c r="C8876" s="4" t="n">
        <v>1090.00</v>
      </c>
      <c r="D8876" s="4"/>
    </row>
    <row collapsed="" customFormat="false" customHeight="1" hidden="" ht="14" outlineLevel="0" r="8877">
      <c r="A8877" s="3" t="inlineStr">
        <is>
          <t>8842</t>
        </is>
      </c>
      <c r="B8877" s="4" t="s">
        <f>=HYPERLINK("http://anyluxury.ru/shop/odezhda/kepki-i-beysbolki/beysbolka-harris-biryuzovaya-1518542/" , "15185.42 Бейсболка Harris, бирюзовая")</f>
      </c>
      <c r="C8877" s="4" t="n">
        <v>1090.00</v>
      </c>
      <c r="D8877" s="4"/>
    </row>
    <row collapsed="" customFormat="false" customHeight="1" hidden="" ht="14" outlineLevel="0" r="8878">
      <c r="A8878" s="3" t="inlineStr">
        <is>
          <t>8843</t>
        </is>
      </c>
      <c r="B8878" s="4" t="s">
        <f>=HYPERLINK("http://anyluxury.ru/shop/odezhda/kepki-i-beysbolki/beysbolka-harris-krasnaya-1518550/" , "15185.50 Бейсболка Harris, красная")</f>
      </c>
      <c r="C8878" s="4" t="n">
        <v>1090.00</v>
      </c>
      <c r="D8878" s="4"/>
    </row>
    <row collapsed="" customFormat="false" customHeight="1" hidden="" ht="14" outlineLevel="0" r="8879">
      <c r="A8879" s="3" t="inlineStr">
        <is>
          <t>8844</t>
        </is>
      </c>
      <c r="B8879" s="4" t="s">
        <f>=HYPERLINK("http://anyluxury.ru/shop/odezhda/kepki-i-beysbolki/beysbolka-harris-sinyaya-1518544/" , "15185.44 Бейсболка Harris, синяя")</f>
      </c>
      <c r="C8879" s="4" t="n">
        <v>1090.00</v>
      </c>
      <c r="D8879" s="4"/>
    </row>
    <row collapsed="" customFormat="false" customHeight="1" hidden="" ht="14" outlineLevel="0" r="8880">
      <c r="A8880" s="3" t="inlineStr">
        <is>
          <t>8845</t>
        </is>
      </c>
      <c r="B8880" s="4" t="s">
        <f>=HYPERLINK("http://anyluxury.ru/shop/odezhda/kepki-i-beysbolki/sportivnaya-beysbolka-impact-iz-rpet-aware-6-klinev-p453251/" , "P453.251 Спортивная бейсболка Impact из rPET AWARE™, 6 клиньев")</f>
      </c>
      <c r="C8880" s="4" t="n">
        <v>890.00</v>
      </c>
      <c r="D8880" s="4"/>
    </row>
    <row collapsed="" customFormat="false" customHeight="1" hidden="" ht="14" outlineLevel="0" r="8881">
      <c r="A8881" s="3" t="inlineStr">
        <is>
          <t>8846</t>
        </is>
      </c>
      <c r="B8881" s="4" t="s">
        <f>=HYPERLINK("http://anyluxury.ru/shop/odezhda/kepki-i-beysbolki/sportivnaya-beysbolka-impact-iz-rpet-aware-6-klinev-p453252/" , "P453.252 Спортивная бейсболка Impact из rPET AWARE™, 6 клиньев")</f>
      </c>
      <c r="C8881" s="4" t="n">
        <v>890.00</v>
      </c>
      <c r="D8881" s="4"/>
    </row>
    <row collapsed="" customFormat="false" customHeight="1" hidden="" ht="14" outlineLevel="0" r="8882">
      <c r="A8882" s="3" t="inlineStr">
        <is>
          <t>8847</t>
        </is>
      </c>
      <c r="B8882" s="4" t="s">
        <f>=HYPERLINK("http://anyluxury.ru/shop/odezhda/kepki-i-beysbolki/sportivnaya-beysbolka-impact-iz-rpet-aware-6-klinev-p453253/" , "P453.253 Спортивная бейсболка Impact из rPET AWARE™, 6 клиньев")</f>
      </c>
      <c r="C8882" s="4" t="n">
        <v>890.00</v>
      </c>
      <c r="D8882" s="4"/>
    </row>
    <row collapsed="" customFormat="false" customHeight="1" hidden="" ht="14" outlineLevel="0" r="8883">
      <c r="A8883" s="3" t="inlineStr">
        <is>
          <t>8848</t>
        </is>
      </c>
      <c r="B8883" s="4" t="s">
        <f>=HYPERLINK("http://anyluxury.ru/shop/odezhda/kepki-i-beysbolki/sportivnaya-beysbolka-impact-iz-rpet-aware-6-klinev-p453255/" , "P453.255 Спортивная бейсболка Impact из rPET AWARE™, 6 клиньев")</f>
      </c>
      <c r="C8883" s="4" t="n">
        <v>890.00</v>
      </c>
      <c r="D8883" s="4"/>
    </row>
    <row collapsed="" customFormat="false" customHeight="1" hidden="" ht="14" outlineLevel="0" r="8884">
      <c r="A8884" s="3" t="inlineStr">
        <is>
          <t>8849</t>
        </is>
      </c>
      <c r="B8884" s="4" t="s">
        <f>=HYPERLINK("http://anyluxury.ru/shop/odezhda/kepki-i-beysbolki/sportivnaya-beysbolka-impact-iz-rpet-aware-6-klinev-p453257/" , "P453.257 Спортивная бейсболка Impact из rPET AWARE™, 6 клиньев")</f>
      </c>
      <c r="C8884" s="4" t="n">
        <v>890.00</v>
      </c>
      <c r="D8884" s="4"/>
    </row>
    <row collapsed="" customFormat="false" customHeight="1" hidden="" ht="14" outlineLevel="0" r="8885">
      <c r="A8885" s="3" t="inlineStr">
        <is>
          <t>8850</t>
        </is>
      </c>
      <c r="B8885" s="4" t="s">
        <f>=HYPERLINK("http://anyluxury.ru/shop/odezhda/kepki-i-beysbolki/beysbolka-classic-oranzhevaya-s-belim-kantom-1584820/" , "15848.20 Бейсболка Classic, оранжевая с белым кантом")</f>
      </c>
      <c r="C8885" s="4" t="n">
        <v>429.00</v>
      </c>
      <c r="D8885" s="4"/>
    </row>
    <row collapsed="" customFormat="false" customHeight="1" hidden="" ht="14" outlineLevel="0" r="8886">
      <c r="A8886" s="3" t="inlineStr">
        <is>
          <t>8851</t>
        </is>
      </c>
      <c r="B8886" s="4" t="s">
        <f>=HYPERLINK("http://anyluxury.ru/shop/odezhda/kepki-i-beysbolki/beysbolka-classic-chernaya-s-belim-kantom-1584830/" , "15848.30 Бейсболка Classic, черная с белым кантом")</f>
      </c>
      <c r="C8886" s="4" t="n">
        <v>429.00</v>
      </c>
      <c r="D8886" s="4"/>
    </row>
    <row collapsed="" customFormat="false" customHeight="1" hidden="" ht="14" outlineLevel="0" r="8887">
      <c r="A8887" s="3" t="inlineStr">
        <is>
          <t>8852</t>
        </is>
      </c>
      <c r="B8887" s="4" t="s">
        <f>=HYPERLINK("http://anyluxury.ru/shop/odezhda/kepki-i-beysbolki/beysbolka-classic-krasnaya-s-belim-kantom-1584850/" , "15848.50 Бейсболка Classic, красная с белым кантом")</f>
      </c>
      <c r="C8887" s="4" t="n">
        <v>429.00</v>
      </c>
      <c r="D8887" s="4"/>
    </row>
    <row collapsed="" customFormat="false" customHeight="1" hidden="" ht="14" outlineLevel="0" r="8888">
      <c r="A8888" s="3" t="inlineStr">
        <is>
          <t>8853</t>
        </is>
      </c>
      <c r="B8888" s="4" t="s">
        <f>=HYPERLINK("http://anyluxury.ru/shop/odezhda/kepki-i-beysbolki/beysbolka-classic-belaya-s-temnosinim-kantom-1584860/" , "15848.60 Бейсболка Classic, белая с темно-синим кантом")</f>
      </c>
      <c r="C8888" s="4" t="n">
        <v>429.00</v>
      </c>
      <c r="D8888" s="4"/>
    </row>
    <row collapsed="" customFormat="false" customHeight="1" hidden="" ht="14" outlineLevel="0" r="8889">
      <c r="A8889" s="3" t="inlineStr">
        <is>
          <t>8854</t>
        </is>
      </c>
      <c r="B8889" s="4" t="s">
        <f>=HYPERLINK("http://anyluxury.ru/shop/odezhda/kepki-i-beysbolki/beysbolka-classic-temnosinyaya-s-belim-kantom-1584870/" , "15848.70 Бейсболка Classic, темно-синяя с белым кантом")</f>
      </c>
      <c r="C8889" s="4" t="n">
        <v>429.00</v>
      </c>
      <c r="D8889" s="4"/>
    </row>
    <row collapsed="" customFormat="false" customHeight="1" hidden="" ht="14" outlineLevel="0" r="8890">
      <c r="A8890" s="3" t="inlineStr">
        <is>
          <t>8855</t>
        </is>
      </c>
      <c r="B8890" s="4" t="s">
        <f>=HYPERLINK("http://anyluxury.ru/shop/odezhda/kepki-i-beysbolki/beysbolka-classic-yarkozelenaya-s-belim-kantom-1584892/" , "15848.92 Бейсболка Classic, ярко-зеленая с белым кантом")</f>
      </c>
      <c r="C8890" s="4" t="n">
        <v>429.00</v>
      </c>
      <c r="D8890" s="4"/>
    </row>
    <row collapsed="" customFormat="false" customHeight="1" hidden="" ht="14" outlineLevel="0" r="8891">
      <c r="A8891" s="3" t="inlineStr">
        <is>
          <t>8856</t>
        </is>
      </c>
      <c r="B8891" s="4" t="s">
        <f>=HYPERLINK("http://anyluxury.ru/shop/odezhda/kepki-i-beysbolki/beysbolka-classic-zelenoe-yabloko-s-chernim-kantom-1584894/" , "15848.94 Бейсболка Classic, зеленое яблоко с черным кантом")</f>
      </c>
      <c r="C8891" s="4" t="n">
        <v>429.00</v>
      </c>
      <c r="D8891" s="4"/>
    </row>
    <row collapsed="" customFormat="false" customHeight="1" hidden="" ht="14" outlineLevel="0" r="8892">
      <c r="A8892" s="3" t="inlineStr">
        <is>
          <t>8857</t>
        </is>
      </c>
      <c r="B8892" s="4" t="s">
        <f>=HYPERLINK("http://anyluxury.ru/shop/odezhda/kepki-i-beysbolki/sheyniy-platok-bandana-yarkosiniy-01198241tun/" , "01198241TUN Шейный платок Bandana, ярко-синий")</f>
      </c>
      <c r="C8892" s="4" t="n">
        <v>192.00</v>
      </c>
      <c r="D8892" s="4"/>
    </row>
    <row collapsed="" customFormat="false" customHeight="1" hidden="" ht="14" outlineLevel="0" r="8893">
      <c r="A8893" s="3" t="inlineStr">
        <is>
          <t>8858</t>
        </is>
      </c>
      <c r="B8893" s="4" t="s">
        <f>=HYPERLINK("http://anyluxury.ru/shop/odezhda/kepki-i-beysbolki/sheyniy-platok-bandana-krasniy-01198145tun/" , "01198145TUN Шейный платок Bandana, красный")</f>
      </c>
      <c r="C8893" s="4" t="n">
        <v>192.00</v>
      </c>
      <c r="D8893" s="4"/>
    </row>
    <row collapsed="" customFormat="false" customHeight="1" hidden="" ht="14" outlineLevel="0" r="8894">
      <c r="A8894" s="3" t="inlineStr">
        <is>
          <t>8859</t>
        </is>
      </c>
      <c r="B8894" s="4" t="s">
        <f>=HYPERLINK("http://anyluxury.ru/shop/odezhda/kepki-i-beysbolki/sheyniy-platok-bandana-cherniy-01198312tun/" , "01198312TUN Шейный платок Bandana, черный")</f>
      </c>
      <c r="C8894" s="4" t="n">
        <v>192.00</v>
      </c>
      <c r="D8894" s="4"/>
    </row>
    <row collapsed="" customFormat="false" customHeight="1" hidden="" ht="14" outlineLevel="0" r="8895">
      <c r="A8895" s="3" t="inlineStr">
        <is>
          <t>8860</t>
        </is>
      </c>
      <c r="B8895" s="4" t="s">
        <f>=HYPERLINK("http://anyluxury.ru/shop/odezhda/kepki-i-beysbolki/beysbolka-c1-belaya-1518060/" , "15180.60 Бейсболка C1, белая")</f>
      </c>
      <c r="C8895" s="4" t="n">
        <v>830.00</v>
      </c>
      <c r="D8895" s="4"/>
    </row>
    <row collapsed="" customFormat="false" customHeight="1" hidden="" ht="14" outlineLevel="0" r="8896">
      <c r="A8896" s="3" t="inlineStr">
        <is>
          <t>8861</t>
        </is>
      </c>
      <c r="B8896" s="4" t="s">
        <f>=HYPERLINK("http://anyluxury.ru/shop/odezhda/kepki-i-beysbolki/beysbolka-c1-chernaya-1518030/" , "15180.30 Бейсболка C1, черная")</f>
      </c>
      <c r="C8896" s="4" t="n">
        <v>830.00</v>
      </c>
      <c r="D8896" s="4"/>
    </row>
    <row collapsed="" customFormat="false" customHeight="1" hidden="" ht="14" outlineLevel="0" r="8897">
      <c r="A8897" s="3" t="inlineStr">
        <is>
          <t>8862</t>
        </is>
      </c>
      <c r="B8897" s="4" t="s">
        <f>=HYPERLINK("http://anyluxury.ru/shop/odezhda/kepki-i-beysbolki/beysbolka-c1-sinyaya-1518040/" , "15180.40 Бейсболка C1, синяя")</f>
      </c>
      <c r="C8897" s="4" t="n">
        <v>830.00</v>
      </c>
      <c r="D8897" s="4"/>
    </row>
    <row collapsed="" customFormat="false" customHeight="1" hidden="" ht="14" outlineLevel="0" r="8898">
      <c r="A8898" s="3" t="inlineStr">
        <is>
          <t>8863</t>
        </is>
      </c>
      <c r="B8898" s="4" t="s">
        <f>=HYPERLINK("http://anyluxury.ru/shop/odezhda/kepki-i-beysbolki/beysbolka-c2-belaya-1518160/" , "15181.60 Бейсболка C2, белая")</f>
      </c>
      <c r="C8898" s="4" t="n">
        <v>990.00</v>
      </c>
      <c r="D8898" s="4"/>
    </row>
    <row collapsed="" customFormat="false" customHeight="1" hidden="" ht="14" outlineLevel="0" r="8899">
      <c r="A8899" s="3" t="inlineStr">
        <is>
          <t>8864</t>
        </is>
      </c>
      <c r="B8899" s="4" t="s">
        <f>=HYPERLINK("http://anyluxury.ru/shop/odezhda/kepki-i-beysbolki/beysbolka-c2-chernaya-1518130/" , "15181.30 Бейсболка C2, черная")</f>
      </c>
      <c r="C8899" s="4" t="n">
        <v>990.00</v>
      </c>
      <c r="D8899" s="4"/>
    </row>
    <row collapsed="" customFormat="false" customHeight="1" hidden="" ht="14" outlineLevel="0" r="8900">
      <c r="A8900" s="3" t="inlineStr">
        <is>
          <t>8865</t>
        </is>
      </c>
      <c r="B8900" s="4" t="s">
        <f>=HYPERLINK("http://anyluxury.ru/shop/odezhda/kepki-i-beysbolki/beysbolka-c2-sinyaya-1518140/" , "15181.40 Бейсболка C2, синяя")</f>
      </c>
      <c r="C8900" s="4" t="n">
        <v>990.00</v>
      </c>
      <c r="D8900" s="4"/>
    </row>
    <row collapsed="" customFormat="false" customHeight="1" hidden="" ht="14" outlineLevel="0" r="8901">
      <c r="A8901" s="3" t="inlineStr">
        <is>
          <t>8866</t>
        </is>
      </c>
      <c r="B8901" s="4" t="s">
        <f>=HYPERLINK("http://anyluxury.ru/shop/odezhda/kepki-i-beysbolki/beysbolka-c3-belaya-1518260/" , "15182.60 Бейсболка C3, белая")</f>
      </c>
      <c r="C8901" s="4" t="n">
        <v>880.00</v>
      </c>
      <c r="D8901" s="4"/>
    </row>
    <row collapsed="" customFormat="false" customHeight="1" hidden="" ht="14" outlineLevel="0" r="8902">
      <c r="A8902" s="3" t="inlineStr">
        <is>
          <t>8867</t>
        </is>
      </c>
      <c r="B8902" s="4" t="s">
        <f>=HYPERLINK("http://anyluxury.ru/shop/odezhda/kepki-i-beysbolki/beysbolka-c3-chernaya-1518230/" , "15182.30 Бейсболка C3, черная")</f>
      </c>
      <c r="C8902" s="4" t="n">
        <v>880.00</v>
      </c>
      <c r="D8902" s="4"/>
    </row>
    <row collapsed="" customFormat="false" customHeight="1" hidden="" ht="14" outlineLevel="0" r="8903">
      <c r="A8903" s="3" t="inlineStr">
        <is>
          <t>8868</t>
        </is>
      </c>
      <c r="B8903" s="4" t="s">
        <f>=HYPERLINK("http://anyluxury.ru/shop/odezhda/kepki-i-beysbolki/beysbolka-hillside-belaya-1620460/" , "16204.60 Бейсболка Hillside, белая")</f>
      </c>
      <c r="C8903" s="4" t="n">
        <v>690.00</v>
      </c>
      <c r="D8903" s="4"/>
    </row>
    <row collapsed="" customFormat="false" customHeight="1" hidden="" ht="14" outlineLevel="0" r="8904">
      <c r="A8904" s="3" t="inlineStr">
        <is>
          <t>8869</t>
        </is>
      </c>
      <c r="B8904" s="4" t="s">
        <f>=HYPERLINK("http://anyluxury.ru/shop/odezhda/kepki-i-beysbolki/beysbolka-hillside-chernaya-1620430/" , "16204.30 Бейсболка Hillside, черная")</f>
      </c>
      <c r="C8904" s="4" t="n">
        <v>690.00</v>
      </c>
      <c r="D8904" s="4"/>
    </row>
    <row collapsed="" customFormat="false" customHeight="1" hidden="" ht="14" outlineLevel="0" r="8905">
      <c r="A8905" s="3" t="inlineStr">
        <is>
          <t>8870</t>
        </is>
      </c>
      <c r="B8905" s="4" t="s">
        <f>=HYPERLINK("http://anyluxury.ru/shop/odezhda/kepki-i-beysbolki/beysbolka-hillside-bordovaya-1620455/" , "16204.55 Бейсболка Hillside, бордовая")</f>
      </c>
      <c r="C8905" s="4" t="n">
        <v>690.00</v>
      </c>
      <c r="D8905" s="4"/>
    </row>
    <row collapsed="" customFormat="false" customHeight="1" hidden="" ht="14" outlineLevel="0" r="8906">
      <c r="A8906" s="3" t="inlineStr">
        <is>
          <t>8871</t>
        </is>
      </c>
      <c r="B8906" s="4" t="s">
        <f>=HYPERLINK("http://anyluxury.ru/shop/odezhda/kepki-i-beysbolki/beysbolka-hillside-bezhevaya-1620410/" , "16204.10 Бейсболка Hillside, бежевая")</f>
      </c>
      <c r="C8906" s="4" t="n">
        <v>690.00</v>
      </c>
      <c r="D8906" s="4"/>
    </row>
    <row collapsed="" customFormat="false" customHeight="1" hidden="" ht="14" outlineLevel="0" r="8907">
      <c r="A8907" s="3" t="inlineStr">
        <is>
          <t>8872</t>
        </is>
      </c>
      <c r="B8907" s="4" t="s">
        <f>=HYPERLINK("http://anyluxury.ru/shop/odezhda/kepki-i-beysbolki/beysbolka-hillside-krasnaya-1620450/" , "16204.50 Бейсболка Hillside, красная")</f>
      </c>
      <c r="C8907" s="4" t="n">
        <v>690.00</v>
      </c>
      <c r="D8907" s="4"/>
    </row>
    <row collapsed="" customFormat="false" customHeight="1" hidden="" ht="14" outlineLevel="0" r="8908">
      <c r="A8908" s="3" t="inlineStr">
        <is>
          <t>8873</t>
        </is>
      </c>
      <c r="B8908" s="4" t="s">
        <f>=HYPERLINK("http://anyluxury.ru/shop/odezhda/kepki-i-beysbolki/beysbolka-hillside-sinyaya-1620444/" , "16204.44 Бейсболка Hillside, синяя")</f>
      </c>
      <c r="C8908" s="4" t="n">
        <v>690.00</v>
      </c>
      <c r="D8908" s="4"/>
    </row>
    <row collapsed="" customFormat="false" customHeight="1" hidden="" ht="14" outlineLevel="0" r="8909">
      <c r="A8909" s="3" t="inlineStr">
        <is>
          <t>8874</t>
        </is>
      </c>
      <c r="B8909" s="4" t="s">
        <f>=HYPERLINK("http://anyluxury.ru/shop/odezhda/kepki-i-beysbolki/beysbolka-hillside-seraya-1620411/" , "16204.11 Бейсболка Hillside, серая")</f>
      </c>
      <c r="C8909" s="4" t="n">
        <v>690.00</v>
      </c>
      <c r="D8909" s="4"/>
    </row>
    <row collapsed="" customFormat="false" customHeight="1" hidden="" ht="14" outlineLevel="0" r="8910">
      <c r="A8910" s="3" t="inlineStr">
        <is>
          <t>8875</t>
        </is>
      </c>
      <c r="B8910" s="4" t="s">
        <f>=HYPERLINK("http://anyluxury.ru/shop/odezhda/kepki-i-beysbolki/beysbolka-hillside-golubaya-1620414/" , "16204.14 Бейсболка Hillside, голубая")</f>
      </c>
      <c r="C8910" s="4" t="n">
        <v>690.00</v>
      </c>
      <c r="D8910" s="4"/>
    </row>
    <row collapsed="" customFormat="false" customHeight="1" hidden="" ht="14" outlineLevel="0" r="8911">
      <c r="A8911" s="3" t="inlineStr">
        <is>
          <t>8876</t>
        </is>
      </c>
      <c r="B8911" s="4" t="s">
        <f>=HYPERLINK("http://anyluxury.ru/shop/odezhda/kepki-i-beysbolki/beysbolka-buzz-pesochnaya-653612/" , "6536.12 Бейсболка Buzz, песочная")</f>
      </c>
      <c r="C8911" s="4" t="n">
        <v>322.00</v>
      </c>
      <c r="D8911" s="4"/>
    </row>
    <row collapsed="" customFormat="false" customHeight="1" hidden="" ht="14" outlineLevel="0" r="8912">
      <c r="A8912" s="3" t="inlineStr">
        <is>
          <t>8877</t>
        </is>
      </c>
      <c r="B8912" s="4" t="s">
        <f>=HYPERLINK("http://anyluxury.ru/shop/odezhda/kepki-i-beysbolki/sheyniy-platok-bandana-temnofioletoviy-01198712tun/" , "01198712TUN Шейный платок Bandana, темно-фиолетовый")</f>
      </c>
      <c r="C8912" s="4" t="n">
        <v>192.00</v>
      </c>
      <c r="D8912" s="4"/>
    </row>
    <row collapsed="" customFormat="false" customHeight="1" hidden="" ht="14" outlineLevel="0" r="8913">
      <c r="A8913" s="3" t="inlineStr">
        <is>
          <t>8878</t>
        </is>
      </c>
      <c r="B8913" s="4" t="s">
        <f>=HYPERLINK("http://anyluxury.ru/shop/odezhda/kepki-i-beysbolki/sheyniy-platok-bandana-zheltiy-01198301tun/" , "01198301TUN Шейный платок Bandana, желтый")</f>
      </c>
      <c r="C8913" s="4" t="n">
        <v>192.00</v>
      </c>
      <c r="D8913" s="4"/>
    </row>
    <row collapsed="" customFormat="false" customHeight="1" hidden="" ht="14" outlineLevel="0" r="8914">
      <c r="A8914" s="3" t="inlineStr">
        <is>
          <t>8879</t>
        </is>
      </c>
      <c r="B8914" s="4" t="s">
        <f>=HYPERLINK("http://anyluxury.ru/shop/odezhda/kepki-i-beysbolki/sheyniy-platok-bandana-yarkozeleniy-01198272tun/" , "01198272TUN Шейный платок Bandana, ярко-зеленый")</f>
      </c>
      <c r="C8914" s="4" t="n">
        <v>192.00</v>
      </c>
      <c r="D8914" s="4"/>
    </row>
    <row collapsed="" customFormat="false" customHeight="1" hidden="" ht="14" outlineLevel="0" r="8915">
      <c r="A8915" s="3" t="inlineStr">
        <is>
          <t>8880</t>
        </is>
      </c>
      <c r="B8915" s="4" t="s">
        <f>=HYPERLINK("http://anyluxury.ru/shop/odezhda/kepki-i-beysbolki/sheyniy-platok-bandana-oranzheviy-01198400tun/" , "01198400TUN Шейный платок Bandana, оранжевый")</f>
      </c>
      <c r="C8915" s="4" t="n">
        <v>192.00</v>
      </c>
      <c r="D8915" s="4"/>
    </row>
    <row collapsed="" customFormat="false" customHeight="1" hidden="" ht="14" outlineLevel="0" r="8916">
      <c r="A8916" s="3" t="inlineStr">
        <is>
          <t>8881</t>
        </is>
      </c>
      <c r="B8916" s="4" t="s">
        <f>=HYPERLINK("http://anyluxury.ru/shop/odezhda/kepki-i-beysbolki/sheyniy-platok-bandana-goluboy-01198220tun/" , "01198220TUN Шейный платок Bandana, голубой")</f>
      </c>
      <c r="C8916" s="4" t="n">
        <v>192.00</v>
      </c>
      <c r="D8916" s="4"/>
    </row>
    <row collapsed="" customFormat="false" customHeight="1" hidden="" ht="14" outlineLevel="0" r="8917">
      <c r="A8917" s="3" t="inlineStr">
        <is>
          <t>8882</t>
        </is>
      </c>
      <c r="B8917" s="4" t="s">
        <f>=HYPERLINK("http://anyluxury.ru/shop/odezhda/kepki-i-beysbolki/sheyniy-platok-bandana-beliy-01198102tun/" , "01198102TUN Шейный платок Bandana, белый")</f>
      </c>
      <c r="C8917" s="4" t="n">
        <v>192.00</v>
      </c>
      <c r="D8917" s="4"/>
    </row>
    <row collapsed="" customFormat="false" customHeight="1" hidden="" ht="14" outlineLevel="0" r="8918">
      <c r="A8918" s="3" t="inlineStr">
        <is>
          <t>8883</t>
        </is>
      </c>
      <c r="B8918" s="4" t="s">
        <f>=HYPERLINK("http://anyluxury.ru/shop/odezhda/kepki-i-beysbolki/beysbolka-big-boss-chernaya-1525530/" , "15255.30 Бейсболка Big Boss, черная")</f>
      </c>
      <c r="C8918" s="4" t="n">
        <v>1250.00</v>
      </c>
      <c r="D8918" s="4"/>
    </row>
    <row collapsed="" customFormat="false" customHeight="1" hidden="" ht="14" outlineLevel="0" r="8919">
      <c r="A8919" s="3" t="inlineStr">
        <is>
          <t>8884</t>
        </is>
      </c>
      <c r="B8919" s="4" t="s">
        <f>=HYPERLINK("http://anyluxury.ru/shop/odezhda/kepki-i-beysbolki/sheyniy-platok-bandana-temnosiniy-01198319tun/" , "01198319TUN Шейный платок Bandana, темно-синий")</f>
      </c>
      <c r="C8919" s="4" t="n">
        <v>192.00</v>
      </c>
      <c r="D8919" s="4"/>
    </row>
    <row collapsed="" customFormat="false" customHeight="1" hidden="" ht="14" outlineLevel="0" r="8920">
      <c r="A8920" s="3" t="inlineStr">
        <is>
          <t>8885</t>
        </is>
      </c>
      <c r="B8920" s="4" t="s">
        <f>=HYPERLINK("http://anyluxury.ru/shop/odezhda/kepki-i-beysbolki/beysbolka-standard-serozelenaya-1584719/" , "15847.19 Бейсболка Standard, серо-зеленая")</f>
      </c>
      <c r="C8920" s="4" t="n">
        <v>390.00</v>
      </c>
      <c r="D8920" s="4"/>
    </row>
    <row collapsed="" customFormat="false" customHeight="1" hidden="" ht="14" outlineLevel="0" r="8921">
      <c r="A8921" s="3" t="inlineStr">
        <is>
          <t>8886</t>
        </is>
      </c>
      <c r="B8921" s="4" t="s">
        <f>=HYPERLINK("http://anyluxury.ru/shop/odezhda/kepki-i-beysbolki/beysbolka-standard-bordovaya-1584755/" , "15847.55 Бейсболка Standard, бордовая")</f>
      </c>
      <c r="C8921" s="4" t="n">
        <v>390.00</v>
      </c>
      <c r="D8921" s="4"/>
    </row>
    <row collapsed="" customFormat="false" customHeight="1" hidden="" ht="14" outlineLevel="0" r="8922">
      <c r="A8922" s="3" t="inlineStr">
        <is>
          <t>8887</t>
        </is>
      </c>
      <c r="B8922" s="4" t="s">
        <f>=HYPERLINK("http://anyluxury.ru/shop/odezhda/kepki-i-beysbolki/beysbolka-standard-seraya-1584711/" , "15847.11 Бейсболка Standard, серая")</f>
      </c>
      <c r="C8922" s="4" t="n">
        <v>390.00</v>
      </c>
      <c r="D8922" s="4"/>
    </row>
    <row collapsed="" customFormat="false" customHeight="1" hidden="" ht="14" outlineLevel="0" r="8923">
      <c r="A8923" s="3" t="inlineStr">
        <is>
          <t>8888</t>
        </is>
      </c>
      <c r="B8923" s="4" t="s">
        <f>=HYPERLINK("http://anyluxury.ru/shop/odezhda/kepki-i-beysbolki/beysbolka-standard-sirenevaya-1584778/" , "15847.78 Бейсболка Standard, сиреневая")</f>
      </c>
      <c r="C8923" s="4" t="n">
        <v>390.00</v>
      </c>
      <c r="D8923" s="4"/>
    </row>
    <row collapsed="" customFormat="false" customHeight="1" hidden="" ht="14" outlineLevel="0" r="8924">
      <c r="A8924" s="3" t="inlineStr">
        <is>
          <t>8889</t>
        </is>
      </c>
      <c r="B8924" s="4" t="s">
        <f>=HYPERLINK("http://anyluxury.ru/shop/odezhda/kepki-i-beysbolki/beysbolka-standard-haki-1584799/" , "15847.99 Бейсболка Standard, хаки")</f>
      </c>
      <c r="C8924" s="4" t="n">
        <v>390.00</v>
      </c>
      <c r="D8924" s="4"/>
    </row>
    <row collapsed="" customFormat="false" customHeight="1" hidden="" ht="14" outlineLevel="0" r="8925">
      <c r="A8925" s="3" t="inlineStr">
        <is>
          <t>8890</t>
        </is>
      </c>
      <c r="B8925" s="4" t="s">
        <f>=HYPERLINK("http://anyluxury.ru/shop/odezhda/kepki-i-beysbolki/beysbolka-standard-svetlorozovaya-1584715/" , "15847.15 Бейсболка Standard, светло-розовая")</f>
      </c>
      <c r="C8925" s="4" t="n">
        <v>390.00</v>
      </c>
      <c r="D8925" s="4"/>
    </row>
    <row collapsed="" customFormat="false" customHeight="1" hidden="" ht="14" outlineLevel="0" r="8926">
      <c r="A8926" s="3" t="inlineStr">
        <is>
          <t>8891</t>
        </is>
      </c>
      <c r="B8926" s="4" t="s">
        <f>=HYPERLINK("http://anyluxury.ru/shop/odezhda/kepki-i-beysbolki/beysbolka-standard-svetlozelenaya-1584794/" , "15847.94 Бейсболка Standard, светло-зеленая")</f>
      </c>
      <c r="C8926" s="4" t="n">
        <v>390.00</v>
      </c>
      <c r="D8926" s="4"/>
    </row>
    <row collapsed="" customFormat="false" customHeight="1" hidden="" ht="14" outlineLevel="0" r="8927">
      <c r="A8927" s="3" t="inlineStr">
        <is>
          <t>8892</t>
        </is>
      </c>
      <c r="B8927" s="4" t="s">
        <f>=HYPERLINK("http://anyluxury.ru/shop/odezhda/kepki-i-beysbolki/beysbolka-standard-zelenaya-1584792/" , "15847.92 Бейсболка Standard, зеленая")</f>
      </c>
      <c r="C8927" s="4" t="n">
        <v>390.00</v>
      </c>
      <c r="D8927" s="4"/>
    </row>
    <row collapsed="" customFormat="false" customHeight="1" hidden="" ht="14" outlineLevel="0" r="8928">
      <c r="A8928" s="3" t="inlineStr">
        <is>
          <t>8893</t>
        </is>
      </c>
      <c r="B8928" s="4" t="s">
        <f>=HYPERLINK("http://anyluxury.ru/shop/odezhda/kepki-i-beysbolki/beysbolka-standard-korichnevaya-1584759/" , "15847.59 Бейсболка Standard, коричневая")</f>
      </c>
      <c r="C8928" s="4" t="n">
        <v>390.00</v>
      </c>
      <c r="D8928" s="4"/>
    </row>
    <row collapsed="" customFormat="false" customHeight="1" hidden="" ht="14" outlineLevel="0" r="8929">
      <c r="A8929" s="3" t="inlineStr">
        <is>
          <t>8894</t>
        </is>
      </c>
      <c r="B8929" s="4" t="s">
        <f>=HYPERLINK("http://anyluxury.ru/shop/odezhda/kepki-i-beysbolki/beysbolka-standard-zheltaya-1584781/" , "15847.81 Бейсболка Standard, желтая")</f>
      </c>
      <c r="C8929" s="4" t="n">
        <v>390.00</v>
      </c>
      <c r="D8929" s="4"/>
    </row>
    <row collapsed="" customFormat="false" customHeight="1" hidden="" ht="14" outlineLevel="0" r="8930">
      <c r="A8930" s="3" t="inlineStr">
        <is>
          <t>8895</t>
        </is>
      </c>
      <c r="B8930" s="4" t="s">
        <f>=HYPERLINK("http://anyluxury.ru/shop/odezhda/kepki-i-beysbolki/mnogofunkcionalnaya-bandana-dekko-zelenaya-1573790/" , "15737.90 Многофункциональная бандана Dekko, зеленая")</f>
      </c>
      <c r="C8930" s="4" t="n">
        <v>160.00</v>
      </c>
      <c r="D8930" s="4"/>
    </row>
    <row collapsed="" customFormat="false" customHeight="1" hidden="" ht="14" outlineLevel="0" r="8931">
      <c r="A8931" s="3" t="inlineStr">
        <is>
          <t>8896</t>
        </is>
      </c>
      <c r="B8931" s="4" t="s">
        <f>=HYPERLINK("http://anyluxury.ru/shop/odezhda/kepki-i-beysbolki/mnogofunkcionalnaya-bandana-dekko-seriy-melanzh-1573711/" , "15737.11 Многофункциональная бандана Dekko, серый меланж")</f>
      </c>
      <c r="C8931" s="4" t="n">
        <v>160.00</v>
      </c>
      <c r="D8931" s="4"/>
    </row>
    <row collapsed="" customFormat="false" customHeight="1" hidden="" ht="14" outlineLevel="0" r="8932">
      <c r="A8932" s="3" t="inlineStr">
        <is>
          <t>8897</t>
        </is>
      </c>
      <c r="B8932" s="4" t="s">
        <f>=HYPERLINK("http://anyluxury.ru/shop/odezhda/kepki-i-beysbolki/mnogofunkcionalnaya-bandana-dekko-belaya-1573760/" , "15737.60 Многофункциональная бандана Dekko, белая")</f>
      </c>
      <c r="C8932" s="4" t="n">
        <v>160.00</v>
      </c>
      <c r="D8932" s="4"/>
    </row>
    <row collapsed="" customFormat="false" customHeight="1" hidden="" ht="14" outlineLevel="0" r="8933">
      <c r="A8933" s="3" t="inlineStr">
        <is>
          <t>8898</t>
        </is>
      </c>
      <c r="B8933" s="4" t="s">
        <f>=HYPERLINK("http://anyluxury.ru/shop/odezhda/kepki-i-beysbolki/mnogofunkcionalnaya-bandana-dekko-chernaya-1573730/" , "15737.30 Многофункциональная бандана Dekko, черная")</f>
      </c>
      <c r="C8933" s="4" t="n">
        <v>160.00</v>
      </c>
      <c r="D8933" s="4"/>
    </row>
    <row collapsed="" customFormat="false" customHeight="1" hidden="" ht="14" outlineLevel="0" r="8934">
      <c r="A8934" s="3" t="inlineStr">
        <is>
          <t>8899</t>
        </is>
      </c>
      <c r="B8934" s="4" t="s">
        <f>=HYPERLINK("http://anyluxury.ru/shop/odezhda/kepki-i-beysbolki/mnogofunkcionalnaya-bandana-dekko-krasnaya-1573750/" , "15737.50 Многофункциональная бандана Dekko, красная")</f>
      </c>
      <c r="C8934" s="4" t="n">
        <v>160.00</v>
      </c>
      <c r="D8934" s="4"/>
    </row>
    <row collapsed="" customFormat="false" customHeight="1" hidden="" ht="14" outlineLevel="0" r="8935">
      <c r="A8935" s="3" t="inlineStr">
        <is>
          <t>8900</t>
        </is>
      </c>
      <c r="B8935" s="4" t="s">
        <f>=HYPERLINK("http://anyluxury.ru/shop/odezhda/kepki-i-beysbolki/mnogofunkcionalnaya-bandana-dekko-sinyaya-1573744/" , "15737.44 Многофункциональная бандана Dekko, синяя")</f>
      </c>
      <c r="C8935" s="4" t="n">
        <v>160.00</v>
      </c>
      <c r="D8935" s="4"/>
    </row>
    <row collapsed="" customFormat="false" customHeight="1" hidden="" ht="14" outlineLevel="0" r="8936">
      <c r="A8936" s="3" t="inlineStr">
        <is>
          <t>8901</t>
        </is>
      </c>
      <c r="B8936" s="4" t="s">
        <f>=HYPERLINK("http://anyluxury.ru/shop/odezhda/kepki-i-beysbolki/mnogofunkcionalnaya-bandana-dekko-bezhevaya-1573710/" , "15737.10 Многофункциональная бандана Dekko, бежевая")</f>
      </c>
      <c r="C8936" s="4" t="n">
        <v>160.00</v>
      </c>
      <c r="D8936" s="4"/>
    </row>
    <row collapsed="" customFormat="false" customHeight="1" hidden="" ht="14" outlineLevel="0" r="8937">
      <c r="A8937" s="3" t="inlineStr">
        <is>
          <t>8902</t>
        </is>
      </c>
      <c r="B8937" s="4" t="s">
        <f>=HYPERLINK("http://anyluxury.ru/shop/odezhda/kepki-i-beysbolki/mnogofunkcionalnaya-bandana-dekko-fioletovaya-1573777/" , "15737.77 Многофункциональная бандана Dekko, фиолетовая")</f>
      </c>
      <c r="C8937" s="4" t="n">
        <v>160.00</v>
      </c>
      <c r="D8937" s="4"/>
    </row>
    <row collapsed="" customFormat="false" customHeight="1" hidden="" ht="14" outlineLevel="0" r="8938">
      <c r="A8938" s="3" t="inlineStr">
        <is>
          <t>8903</t>
        </is>
      </c>
      <c r="B8938" s="4" t="s">
        <f>=HYPERLINK("http://anyluxury.ru/shop/odezhda/kepki-i-beysbolki/beysbolka-apollo-chernaya-04096312tun/" , "04096312TUN Бейсболка Apollo, черная")</f>
      </c>
      <c r="C8938" s="4" t="n">
        <v>301.00</v>
      </c>
      <c r="D8938" s="4"/>
    </row>
    <row collapsed="" customFormat="false" customHeight="1" hidden="" ht="14" outlineLevel="0" r="8939">
      <c r="A8939" s="3" t="inlineStr">
        <is>
          <t>8904</t>
        </is>
      </c>
      <c r="B8939" s="4" t="s">
        <f>=HYPERLINK("http://anyluxury.ru/shop/odezhda/kepki-i-beysbolki/beysbolka-apollo-krasnaya-04096161tun/" , "04096161TUN Бейсболка Apollo, красная")</f>
      </c>
      <c r="C8939" s="4" t="n">
        <v>301.00</v>
      </c>
      <c r="D8939" s="4"/>
    </row>
    <row collapsed="" customFormat="false" customHeight="1" hidden="" ht="14" outlineLevel="0" r="8940">
      <c r="A8940" s="3" t="inlineStr">
        <is>
          <t>8905</t>
        </is>
      </c>
      <c r="B8940" s="4" t="s">
        <f>=HYPERLINK("http://anyluxury.ru/shop/odezhda/kepki-i-beysbolki/beysbolka-apollo-temnosinyaya-04096319tun/" , "04096319TUN Бейсболка Apollo, темно-синяя")</f>
      </c>
      <c r="C8940" s="4" t="n">
        <v>301.00</v>
      </c>
      <c r="D8940" s="4"/>
    </row>
    <row collapsed="" customFormat="false" customHeight="1" hidden="" ht="14" outlineLevel="0" r="8941">
      <c r="A8941" s="3" t="inlineStr">
        <is>
          <t>8906</t>
        </is>
      </c>
      <c r="B8941" s="4" t="s">
        <f>=HYPERLINK("http://anyluxury.ru/shop/odezhda/kepki-i-beysbolki/beysbolka-apollo-yarkobiryuzovaya-04096234tun/" , "04096234TUN Бейсболка Apollo, ярко-бирюзовая")</f>
      </c>
      <c r="C8941" s="4" t="n">
        <v>301.00</v>
      </c>
      <c r="D8941" s="4"/>
    </row>
    <row collapsed="" customFormat="false" customHeight="1" hidden="" ht="14" outlineLevel="0" r="8942">
      <c r="A8942" s="3" t="inlineStr">
        <is>
          <t>8907</t>
        </is>
      </c>
      <c r="B8942" s="4" t="s">
        <f>=HYPERLINK("http://anyluxury.ru/shop/odezhda/kepki-i-beysbolki/beysbolka-apollo-zelenoe-yabloko-04096294tun/" , "04096294TUN Бейсболка Apollo, зеленое яблоко")</f>
      </c>
      <c r="C8942" s="4" t="n">
        <v>301.00</v>
      </c>
      <c r="D8942" s="4"/>
    </row>
    <row collapsed="" customFormat="false" customHeight="1" hidden="" ht="14" outlineLevel="0" r="8943">
      <c r="A8943" s="3" t="inlineStr">
        <is>
          <t>8908</t>
        </is>
      </c>
      <c r="B8943" s="4" t="s">
        <f>=HYPERLINK("http://anyluxury.ru/shop/odezhda/kepki-i-beysbolki/beysbolka-apollo-yarkozelenaya-04096272tun/" , "04096272TUN Бейсболка Apollo, ярко-зеленая")</f>
      </c>
      <c r="C8943" s="4" t="n">
        <v>301.00</v>
      </c>
      <c r="D8943" s="4"/>
    </row>
    <row collapsed="" customFormat="false" customHeight="1" hidden="" ht="14" outlineLevel="0" r="8944">
      <c r="A8944" s="3" t="inlineStr">
        <is>
          <t>8909</t>
        </is>
      </c>
      <c r="B8944" s="4" t="s">
        <f>=HYPERLINK("http://anyluxury.ru/shop/odezhda/kepki-i-beysbolki/beysbolka-apollo-oranzhevaya-04096400tun/" , "04096400TUN Бейсболка Apollo, оранжевая")</f>
      </c>
      <c r="C8944" s="4" t="n">
        <v>301.00</v>
      </c>
      <c r="D8944" s="4"/>
    </row>
    <row collapsed="" customFormat="false" customHeight="1" hidden="" ht="14" outlineLevel="0" r="8945">
      <c r="A8945" s="3" t="inlineStr">
        <is>
          <t>8910</t>
        </is>
      </c>
      <c r="B8945" s="4" t="s">
        <f>=HYPERLINK("http://anyluxury.ru/shop/odezhda/kepki-i-beysbolki/beysbolka-apollo-seraya-04096342tun/" , "04096342TUN Бейсболка Apollo, серая")</f>
      </c>
      <c r="C8945" s="4" t="n">
        <v>301.00</v>
      </c>
      <c r="D8945" s="4"/>
    </row>
    <row collapsed="" customFormat="false" customHeight="1" hidden="" ht="14" outlineLevel="0" r="8946">
      <c r="A8946" s="3" t="inlineStr">
        <is>
          <t>8911</t>
        </is>
      </c>
      <c r="B8946" s="4" t="s">
        <f>=HYPERLINK("http://anyluxury.ru/shop/odezhda/kepki-i-beysbolki/beysbolka-apollo-yarkosinyaya-04096241tun/" , "04096241TUN Бейсболка Apollo, ярко-синяя")</f>
      </c>
      <c r="C8946" s="4" t="n">
        <v>301.00</v>
      </c>
      <c r="D8946" s="4"/>
    </row>
    <row collapsed="" customFormat="false" customHeight="1" hidden="" ht="14" outlineLevel="0" r="8947">
      <c r="A8947" s="3" t="inlineStr">
        <is>
          <t>8912</t>
        </is>
      </c>
      <c r="B8947" s="4" t="s">
        <f>=HYPERLINK("http://anyluxury.ru/shop/odezhda/kepki-i-beysbolki/beysbolka-apollo-belaya-04096102tun/" , "04096102TUN Бейсболка Apollo, белая")</f>
      </c>
      <c r="C8947" s="4" t="n">
        <v>301.00</v>
      </c>
      <c r="D8947" s="4"/>
    </row>
    <row collapsed="" customFormat="false" customHeight="" hidden="" ht="12.1" outlineLevel="0" r="8948">
      <c r="A8948" s="5" t="inlineStr">
        <is>
          <t> -  - Куртки</t>
        </is>
      </c>
      <c r="B8948" s="6"/>
      <c r="C8948" s="6"/>
      <c r="D8948" s="6"/>
    </row>
    <row collapsed="" customFormat="false" customHeight="1" hidden="" ht="14" outlineLevel="0" r="8949">
      <c r="A8949" s="3" t="inlineStr">
        <is>
          <t>8913</t>
        </is>
      </c>
      <c r="B8949" s="4" t="s">
        <f>=HYPERLINK("http://anyluxury.ru/shop/odezhda/kurtki/kurtka-muzhskaya-na-molnii-relax-340-temnosinyaya-436740/" , "4367.40 Куртка мужская на молнии RELAX 340 темно-синяя, размер S")</f>
      </c>
      <c r="C8949" s="4" t="n">
        <v>5132.00</v>
      </c>
      <c r="D8949" s="4"/>
    </row>
    <row collapsed="" customFormat="false" customHeight="1" hidden="" ht="14" outlineLevel="0" r="8950">
      <c r="A8950" s="3" t="inlineStr">
        <is>
          <t>8914</t>
        </is>
      </c>
      <c r="B8950" s="4" t="s">
        <f>=HYPERLINK("http://anyluxury.ru/shop/odezhda/kurtki/kurtka-muzhskaya-na-molnii-relax-340-temnosinyaya-436740/" , "4367.40 Куртка мужская на молнии RELAX 340 темно-синяя, размер M")</f>
      </c>
      <c r="C8950" s="4" t="n">
        <v>5132.00</v>
      </c>
      <c r="D8950" s="4"/>
    </row>
    <row collapsed="" customFormat="false" customHeight="1" hidden="" ht="14" outlineLevel="0" r="8951">
      <c r="A8951" s="3" t="inlineStr">
        <is>
          <t>8915</t>
        </is>
      </c>
      <c r="B8951" s="4" t="s">
        <f>=HYPERLINK("http://anyluxury.ru/shop/odezhda/kurtki/kurtka-muzhskaya-na-molnii-relax-340-chernaya-436730/" , "4367.30 Куртка мужская на молнии RELAX 340 черная, размер S")</f>
      </c>
      <c r="C8951" s="4" t="n">
        <v>5132.00</v>
      </c>
      <c r="D8951" s="4"/>
    </row>
    <row collapsed="" customFormat="false" customHeight="1" hidden="" ht="14" outlineLevel="0" r="8952">
      <c r="A8952" s="3" t="inlineStr">
        <is>
          <t>8916</t>
        </is>
      </c>
      <c r="B8952" s="4" t="s">
        <f>=HYPERLINK("http://anyluxury.ru/shop/odezhda/kurtki/kurtka-muzhskaya-na-molnii-relax-340-chernaya-436730/" , "4367.30 Куртка мужская на молнии RELAX 340 черная, размер M")</f>
      </c>
      <c r="C8952" s="4" t="n">
        <v>5132.00</v>
      </c>
      <c r="D8952" s="4"/>
    </row>
    <row collapsed="" customFormat="false" customHeight="1" hidden="" ht="14" outlineLevel="0" r="8953">
      <c r="A8953" s="3" t="inlineStr">
        <is>
          <t>8917</t>
        </is>
      </c>
      <c r="B8953" s="4" t="s">
        <f>=HYPERLINK("http://anyluxury.ru/shop/odezhda/kurtki/kurtka-muzhskaya-na-molnii-relax-340-chernaya-436730/" , "4367.30 Куртка мужская на молнии RELAX 340 черная, размер XXL")</f>
      </c>
      <c r="C8953" s="4" t="n">
        <v>5132.00</v>
      </c>
      <c r="D8953" s="4"/>
    </row>
    <row collapsed="" customFormat="false" customHeight="1" hidden="" ht="14" outlineLevel="0" r="8954">
      <c r="A8954" s="3" t="inlineStr">
        <is>
          <t>8918</t>
        </is>
      </c>
      <c r="B8954" s="4" t="s">
        <f>=HYPERLINK("http://anyluxury.ru/shop/odezhda/kurtki/kurtka-muzhskaya-na-molnii-relax-340-chernaya-436730/" , "4367.30 Куртка мужская на молнии RELAX 340 черная, размер 3XL")</f>
      </c>
      <c r="C8954" s="4" t="n">
        <v>6114.00</v>
      </c>
      <c r="D8954" s="4"/>
    </row>
    <row collapsed="" customFormat="false" customHeight="1" hidden="" ht="14" outlineLevel="0" r="8955">
      <c r="A8955" s="3" t="inlineStr">
        <is>
          <t>8919</t>
        </is>
      </c>
      <c r="B8955" s="4" t="s">
        <f>=HYPERLINK("http://anyluxury.ru/shop/odezhda/kurtki/kurtka-muzhskaya-na-molnii-relax-340-yarkosinyaya-436744/" , "4367.44 Куртка мужская на молнии RELAX 340 ярко-синяя, размер S")</f>
      </c>
      <c r="C8955" s="4" t="n">
        <v>5132.00</v>
      </c>
      <c r="D8955" s="4"/>
    </row>
    <row collapsed="" customFormat="false" customHeight="1" hidden="" ht="14" outlineLevel="0" r="8956">
      <c r="A8956" s="3" t="inlineStr">
        <is>
          <t>8920</t>
        </is>
      </c>
      <c r="B8956" s="4" t="s">
        <f>=HYPERLINK("http://anyluxury.ru/shop/odezhda/kurtki/kurtka-muzhskaya-na-molnii-relax-340-yarkosinyaya-436744/" , "4367.44 Куртка мужская на молнии RELAX 340 ярко-синяя, размер XXL")</f>
      </c>
      <c r="C8956" s="4" t="n">
        <v>5132.00</v>
      </c>
      <c r="D8956" s="4"/>
    </row>
    <row collapsed="" customFormat="false" customHeight="1" hidden="" ht="14" outlineLevel="0" r="8957">
      <c r="A8957" s="3" t="inlineStr">
        <is>
          <t>8921</t>
        </is>
      </c>
      <c r="B8957" s="4" t="s">
        <f>=HYPERLINK("http://anyluxury.ru/shop/odezhda/kurtki/kurtka-muzhskaya-na-molnii-relax-340-yarkosinyaya-436744/" , "4367.44 Куртка мужская на молнии RELAX 340 ярко-синяя, размер 3XL")</f>
      </c>
      <c r="C8957" s="4" t="n">
        <v>6114.00</v>
      </c>
      <c r="D8957" s="4"/>
    </row>
    <row collapsed="" customFormat="false" customHeight="1" hidden="" ht="14" outlineLevel="0" r="8958">
      <c r="A8958" s="3" t="inlineStr">
        <is>
          <t>8922</t>
        </is>
      </c>
      <c r="B8958" s="4" t="s">
        <f>=HYPERLINK("http://anyluxury.ru/shop/odezhda/kurtki/kurtka-na-steganoy-podkladke-river-temnosinyaya-556840/" , "5568.40 Куртка на стеганой подкладке River, темно-синяя, размер S")</f>
      </c>
      <c r="C8958" s="4" t="n">
        <v>3190.00</v>
      </c>
      <c r="D8958" s="4"/>
    </row>
    <row collapsed="" customFormat="false" customHeight="1" hidden="" ht="14" outlineLevel="0" r="8959">
      <c r="A8959" s="3" t="inlineStr">
        <is>
          <t>8923</t>
        </is>
      </c>
      <c r="B8959" s="4" t="s">
        <f>=HYPERLINK("http://anyluxury.ru/shop/odezhda/kurtki/kurtka-muzhskaya-s-kapyushonom-replay-men-340-krasnaya-556950/" , "5569.50 Куртка мужская с капюшоном Replay Men 340, красная, размер XS")</f>
      </c>
      <c r="C8959" s="4" t="n">
        <v>6652.00</v>
      </c>
      <c r="D8959" s="4"/>
    </row>
    <row collapsed="" customFormat="false" customHeight="1" hidden="" ht="14" outlineLevel="0" r="8960">
      <c r="A8960" s="3" t="inlineStr">
        <is>
          <t>8924</t>
        </is>
      </c>
      <c r="B8960" s="4" t="s">
        <f>=HYPERLINK("http://anyluxury.ru/shop/odezhda/kurtki/kurtka-muzhskaya-s-kapyushonom-replay-men-340-krasnaya-556950/" , "5569.50 Куртка мужская с капюшоном Replay Men красная, размер S")</f>
      </c>
      <c r="C8960" s="4" t="n">
        <v>6652.00</v>
      </c>
      <c r="D8960" s="4"/>
    </row>
    <row collapsed="" customFormat="false" customHeight="1" hidden="" ht="14" outlineLevel="0" r="8961">
      <c r="A8961" s="3" t="inlineStr">
        <is>
          <t>8925</t>
        </is>
      </c>
      <c r="B8961" s="4" t="s">
        <f>=HYPERLINK("http://anyluxury.ru/shop/odezhda/kurtki/kurtka-muzhskaya-s-kapyushonom-replay-men-340-krasnaya-556950/" , "5569.50 Куртка мужская с капюшоном Replay Men красная, размер M")</f>
      </c>
      <c r="C8961" s="4" t="n">
        <v>6652.00</v>
      </c>
      <c r="D8961" s="4"/>
    </row>
    <row collapsed="" customFormat="false" customHeight="1" hidden="" ht="14" outlineLevel="0" r="8962">
      <c r="A8962" s="3" t="inlineStr">
        <is>
          <t>8926</t>
        </is>
      </c>
      <c r="B8962" s="4" t="s">
        <f>=HYPERLINK("http://anyluxury.ru/shop/odezhda/kurtki/kurtka-muzhskaya-s-kapyushonom-replay-men-340-krasnaya-556950/" , "5569.50 Куртка мужская с капюшоном Replay Men красная, размер XXL")</f>
      </c>
      <c r="C8962" s="4" t="n">
        <v>6652.00</v>
      </c>
      <c r="D8962" s="4"/>
    </row>
    <row collapsed="" customFormat="false" customHeight="1" hidden="" ht="14" outlineLevel="0" r="8963">
      <c r="A8963" s="3" t="inlineStr">
        <is>
          <t>8927</t>
        </is>
      </c>
      <c r="B8963" s="4" t="s">
        <f>=HYPERLINK("http://anyluxury.ru/shop/odezhda/kurtki/kurtka-muzhskaya-s-kapyushonom-replay-men-340-yarkosinyaya-556944/" , "5569.44 Куртка мужская с капюшоном Replay Men 340, ярко-синяя, размер XS")</f>
      </c>
      <c r="C8963" s="4" t="n">
        <v>6652.00</v>
      </c>
      <c r="D8963" s="4"/>
    </row>
    <row collapsed="" customFormat="false" customHeight="1" hidden="" ht="14" outlineLevel="0" r="8964">
      <c r="A8964" s="3" t="inlineStr">
        <is>
          <t>8928</t>
        </is>
      </c>
      <c r="B8964" s="4" t="s">
        <f>=HYPERLINK("http://anyluxury.ru/shop/odezhda/kurtki/kurtka-muzhskaya-s-kapyushonom-replay-men-340-yarkosinyaya-556944/" , "5569.44 Куртка мужская с капюшоном Replay Men ярко-синяя, размер S")</f>
      </c>
      <c r="C8964" s="4" t="n">
        <v>6652.00</v>
      </c>
      <c r="D8964" s="4"/>
    </row>
    <row collapsed="" customFormat="false" customHeight="1" hidden="" ht="14" outlineLevel="0" r="8965">
      <c r="A8965" s="3" t="inlineStr">
        <is>
          <t>8929</t>
        </is>
      </c>
      <c r="B8965" s="4" t="s">
        <f>=HYPERLINK("http://anyluxury.ru/shop/odezhda/kurtki/kurtka-muzhskaya-s-kapyushonom-replay-men-340-yarkosinyaya-556944/" , "5569.44 Куртка мужская с капюшоном Replay Men ярко-синяя, размер M")</f>
      </c>
      <c r="C8965" s="4" t="n">
        <v>6652.00</v>
      </c>
      <c r="D8965" s="4"/>
    </row>
    <row collapsed="" customFormat="false" customHeight="1" hidden="" ht="14" outlineLevel="0" r="8966">
      <c r="A8966" s="3" t="inlineStr">
        <is>
          <t>8930</t>
        </is>
      </c>
      <c r="B8966" s="4" t="s">
        <f>=HYPERLINK("http://anyluxury.ru/shop/odezhda/kurtki/kurtka-muzhskaya-s-kapyushonom-replay-men-340-yarkosinyaya-556944/" , "5569.44 Куртка мужская с капюшоном Replay Men ярко-синяя, размер XL")</f>
      </c>
      <c r="C8966" s="4" t="n">
        <v>6652.00</v>
      </c>
      <c r="D8966" s="4"/>
    </row>
    <row collapsed="" customFormat="false" customHeight="1" hidden="" ht="14" outlineLevel="0" r="8967">
      <c r="A8967" s="3" t="inlineStr">
        <is>
          <t>8931</t>
        </is>
      </c>
      <c r="B8967" s="4" t="s">
        <f>=HYPERLINK("http://anyluxury.ru/shop/odezhda/kurtki/kurtka-muzhskaya-s-kapyushonom-replay-men-340-yarkosinyaya-556944/" , "5569.44 Куртка мужская с капюшоном Replay Men ярко-синяя, размер XXL")</f>
      </c>
      <c r="C8967" s="4" t="n">
        <v>6652.00</v>
      </c>
      <c r="D8967" s="4"/>
    </row>
    <row collapsed="" customFormat="false" customHeight="1" hidden="" ht="14" outlineLevel="0" r="8968">
      <c r="A8968" s="3" t="inlineStr">
        <is>
          <t>8932</t>
        </is>
      </c>
      <c r="B8968" s="4" t="s">
        <f>=HYPERLINK("http://anyluxury.ru/shop/odezhda/kurtki/kurtka-muzhskaya-s-kapyushonom-replay-men-340-yarkosinyaya-556944/" , "5569.44 Куртка мужская с капюшоном Replay Men 340, ярко-синяя, размер 3XL")</f>
      </c>
      <c r="C8968" s="4" t="n">
        <v>7930.00</v>
      </c>
      <c r="D8968" s="4"/>
    </row>
    <row collapsed="" customFormat="false" customHeight="1" hidden="" ht="14" outlineLevel="0" r="8969">
      <c r="A8969" s="3" t="inlineStr">
        <is>
          <t>8933</t>
        </is>
      </c>
      <c r="B8969" s="4" t="s">
        <f>=HYPERLINK("http://anyluxury.ru/shop/odezhda/kurtki/kurtka-zhenskaya-s-kapyushonom-replay-women-krasnaya-557050/" , "5570.50 Куртка женская с капюшоном Replay Women красная, размер L")</f>
      </c>
      <c r="C8969" s="4" t="n">
        <v>6599.00</v>
      </c>
      <c r="D8969" s="4"/>
    </row>
    <row collapsed="" customFormat="false" customHeight="1" hidden="" ht="14" outlineLevel="0" r="8970">
      <c r="A8970" s="3" t="inlineStr">
        <is>
          <t>8934</t>
        </is>
      </c>
      <c r="B8970" s="4" t="s">
        <f>=HYPERLINK("http://anyluxury.ru/shop/odezhda/kurtki/kurtka-zhenskaya-s-kapyushonom-replay-women-krasnaya-557050/" , "5570.50 Куртка женская с капюшоном Replay Women, красная, размер XL")</f>
      </c>
      <c r="C8970" s="4" t="n">
        <v>6599.00</v>
      </c>
      <c r="D8970" s="4"/>
    </row>
    <row collapsed="" customFormat="false" customHeight="1" hidden="" ht="14" outlineLevel="0" r="8971">
      <c r="A8971" s="3" t="inlineStr">
        <is>
          <t>8935</t>
        </is>
      </c>
      <c r="B8971" s="4" t="s">
        <f>=HYPERLINK("http://anyluxury.ru/shop/odezhda/kurtki/kurtka-zhenskaya-s-kapyushonom-replay-women-krasnaya-557050/" , "5570.50 Куртка женская с капюшоном Replay Women, красная, размер XXL")</f>
      </c>
      <c r="C8971" s="4" t="n">
        <v>6599.00</v>
      </c>
      <c r="D8971" s="4"/>
    </row>
    <row collapsed="" customFormat="false" customHeight="1" hidden="" ht="14" outlineLevel="0" r="8972">
      <c r="A8972" s="3" t="inlineStr">
        <is>
          <t>8936</t>
        </is>
      </c>
      <c r="B8972" s="4" t="s">
        <f>=HYPERLINK("http://anyluxury.ru/shop/odezhda/kurtki/kurtka-zhenskaya-s-kapyushonom-replay-women-yarkosinyaya-557044/" , "5570.44 Куртка женская с капюшоном Replay Women ярко-синяя, размер S")</f>
      </c>
      <c r="C8972" s="4" t="n">
        <v>6599.00</v>
      </c>
      <c r="D8972" s="4"/>
    </row>
    <row collapsed="" customFormat="false" customHeight="1" hidden="" ht="14" outlineLevel="0" r="8973">
      <c r="A8973" s="3" t="inlineStr">
        <is>
          <t>8937</t>
        </is>
      </c>
      <c r="B8973" s="4" t="s">
        <f>=HYPERLINK("http://anyluxury.ru/shop/odezhda/kurtki/kurtka-zhenskaya-s-kapyushonom-replay-women-yarkosinyaya-557044/" , "5570.44 Куртка женская с капюшоном Replay Women, ярко-синяя, размер XL")</f>
      </c>
      <c r="C8973" s="4" t="n">
        <v>6599.00</v>
      </c>
      <c r="D8973" s="4"/>
    </row>
    <row collapsed="" customFormat="false" customHeight="1" hidden="" ht="14" outlineLevel="0" r="8974">
      <c r="A8974" s="3" t="inlineStr">
        <is>
          <t>8938</t>
        </is>
      </c>
      <c r="B8974" s="4" t="s">
        <f>=HYPERLINK("http://anyluxury.ru/shop/odezhda/kurtki/kurtka-muzhskaya-rock-men-chernaya-557130/" , "5571.30 Куртка мужская Rock Men, черная, размер S")</f>
      </c>
      <c r="C8974" s="4" t="n">
        <v>13474.00</v>
      </c>
      <c r="D8974" s="4"/>
    </row>
    <row collapsed="" customFormat="false" customHeight="1" hidden="" ht="14" outlineLevel="0" r="8975">
      <c r="A8975" s="3" t="inlineStr">
        <is>
          <t>8939</t>
        </is>
      </c>
      <c r="B8975" s="4" t="s">
        <f>=HYPERLINK("http://anyluxury.ru/shop/odezhda/kurtki/kurtka-muzhskaya-rock-men-chernaya-557130/" , "5571.30 Куртка мужская Rock Men, черная, размер M")</f>
      </c>
      <c r="C8975" s="4" t="n">
        <v>9694.00</v>
      </c>
      <c r="D8975" s="4"/>
    </row>
    <row collapsed="" customFormat="false" customHeight="1" hidden="" ht="14" outlineLevel="0" r="8976">
      <c r="A8976" s="3" t="inlineStr">
        <is>
          <t>8940</t>
        </is>
      </c>
      <c r="B8976" s="4" t="s">
        <f>=HYPERLINK("http://anyluxury.ru/shop/odezhda/kurtki/kurtka-muzhskaya-rock-men-chernaya-557130/" , "5571.30 Куртка мужская Rock Men, черная, размер L")</f>
      </c>
      <c r="C8976" s="4" t="n">
        <v>9694.00</v>
      </c>
      <c r="D8976" s="4"/>
    </row>
    <row collapsed="" customFormat="false" customHeight="1" hidden="" ht="14" outlineLevel="0" r="8977">
      <c r="A8977" s="3" t="inlineStr">
        <is>
          <t>8941</t>
        </is>
      </c>
      <c r="B8977" s="4" t="s">
        <f>=HYPERLINK("http://anyluxury.ru/shop/odezhda/kurtki/kurtka-muzhskaya-rock-men-chernaya-557130/" , "5571.30 Куртка мужская Rock Men, черная, размер XL")</f>
      </c>
      <c r="C8977" s="4" t="n">
        <v>9694.00</v>
      </c>
      <c r="D8977" s="4"/>
    </row>
    <row collapsed="" customFormat="false" customHeight="1" hidden="" ht="14" outlineLevel="0" r="8978">
      <c r="A8978" s="3" t="inlineStr">
        <is>
          <t>8942</t>
        </is>
      </c>
      <c r="B8978" s="4" t="s">
        <f>=HYPERLINK("http://anyluxury.ru/shop/odezhda/kurtki/kurtka-zhenskaya-rock-women-chernaya-557230/" , "5572.30 Куртка женская Rock Women, черная, размер S")</f>
      </c>
      <c r="C8978" s="4" t="n">
        <v>13410.00</v>
      </c>
      <c r="D8978" s="4"/>
    </row>
    <row collapsed="" customFormat="false" customHeight="1" hidden="" ht="14" outlineLevel="0" r="8979">
      <c r="A8979" s="3" t="inlineStr">
        <is>
          <t>8943</t>
        </is>
      </c>
      <c r="B8979" s="4" t="s">
        <f>=HYPERLINK("http://anyluxury.ru/shop/odezhda/kurtki/kurtka-zhenskaya-rock-women-chernaya-557230/" , "5572.30 Куртка женская Rock Women, черная, размер M")</f>
      </c>
      <c r="C8979" s="4" t="n">
        <v>13410.00</v>
      </c>
      <c r="D8979" s="4"/>
    </row>
    <row collapsed="" customFormat="false" customHeight="1" hidden="" ht="14" outlineLevel="0" r="8980">
      <c r="A8980" s="3" t="inlineStr">
        <is>
          <t>8944</t>
        </is>
      </c>
      <c r="B8980" s="4" t="s">
        <f>=HYPERLINK("http://anyluxury.ru/shop/odezhda/kurtki/kurtka-zhenskaya-rock-women-chernaya-557230/" , "5572.30 Куртка женская Rock Women, черная, размер L")</f>
      </c>
      <c r="C8980" s="4" t="n">
        <v>13410.00</v>
      </c>
      <c r="D8980" s="4"/>
    </row>
    <row collapsed="" customFormat="false" customHeight="1" hidden="" ht="14" outlineLevel="0" r="8981">
      <c r="A8981" s="3" t="inlineStr">
        <is>
          <t>8945</t>
        </is>
      </c>
      <c r="B8981" s="4" t="s">
        <f>=HYPERLINK("http://anyluxury.ru/shop/odezhda/kurtki/kurtka-muzhskaya-na-molnii-relax-340-krasnaya-436750/" , "4367.50 Куртка мужская на молнии RELAX 340 красная, размер S")</f>
      </c>
      <c r="C8981" s="4" t="n">
        <v>5395.00</v>
      </c>
      <c r="D8981" s="4"/>
    </row>
    <row collapsed="" customFormat="false" customHeight="1" hidden="" ht="14" outlineLevel="0" r="8982">
      <c r="A8982" s="3" t="inlineStr">
        <is>
          <t>8946</t>
        </is>
      </c>
      <c r="B8982" s="4" t="s">
        <f>=HYPERLINK("http://anyluxury.ru/shop/odezhda/kurtki/kurtka-muzhskaya-na-molnii-relax-340-krasnaya-436750/" , "4367.50 Куртка мужская на молнии RELAX 340 красная, размер M")</f>
      </c>
      <c r="C8982" s="4" t="n">
        <v>5395.00</v>
      </c>
      <c r="D8982" s="4"/>
    </row>
    <row collapsed="" customFormat="false" customHeight="1" hidden="" ht="14" outlineLevel="0" r="8983">
      <c r="A8983" s="3" t="inlineStr">
        <is>
          <t>8947</t>
        </is>
      </c>
      <c r="B8983" s="4" t="s">
        <f>=HYPERLINK("http://anyluxury.ru/shop/odezhda/kurtki/kurtka-muzhskaya-na-molnii-relax-340-krasnaya-436750/" , "4367.50 Куртка мужская на молнии RELAX 340 красная, размер XL")</f>
      </c>
      <c r="C8983" s="4" t="n">
        <v>3179.00</v>
      </c>
      <c r="D8983" s="4"/>
    </row>
    <row collapsed="" customFormat="false" customHeight="1" hidden="" ht="14" outlineLevel="0" r="8984">
      <c r="A8984" s="3" t="inlineStr">
        <is>
          <t>8948</t>
        </is>
      </c>
      <c r="B8984" s="4" t="s">
        <f>=HYPERLINK("http://anyluxury.ru/shop/odezhda/kurtki/kurtka-muzhskaya-na-molnii-relax-340-krasnaya-436750/" , "4367.50 Куртка мужская на молнии RELAX 340 красная, размер XXL")</f>
      </c>
      <c r="C8984" s="4" t="n">
        <v>3179.00</v>
      </c>
      <c r="D8984" s="4"/>
    </row>
    <row collapsed="" customFormat="false" customHeight="1" hidden="" ht="14" outlineLevel="0" r="8985">
      <c r="A8985" s="3" t="inlineStr">
        <is>
          <t>8949</t>
        </is>
      </c>
      <c r="B8985" s="4" t="s">
        <f>=HYPERLINK("http://anyluxury.ru/shop/odezhda/kurtki/kurtka-muzhskaya-na-molnii-relax-340-krasnaya-436750/" , "4367.50 Куртка мужская на молнии RELAX 340 красная, размер 3XL")</f>
      </c>
      <c r="C8985" s="4" t="n">
        <v>3752.00</v>
      </c>
      <c r="D8985" s="4"/>
    </row>
    <row collapsed="" customFormat="false" customHeight="1" hidden="" ht="14" outlineLevel="0" r="8986">
      <c r="A8986" s="3" t="inlineStr">
        <is>
          <t>8950</t>
        </is>
      </c>
      <c r="B8986" s="4" t="s">
        <f>=HYPERLINK("http://anyluxury.ru/shop/odezhda/kurtki/kurtka-softshell-zhenskaya-hang-gliding-chernaya-655930/" , "6559.30 Куртка софтшелл женская HANG GLIDING, черная, размер L")</f>
      </c>
      <c r="C8986" s="4" t="n">
        <v>4967.00</v>
      </c>
      <c r="D8986" s="4"/>
    </row>
    <row collapsed="" customFormat="false" customHeight="1" hidden="" ht="14" outlineLevel="0" r="8987">
      <c r="A8987" s="3" t="inlineStr">
        <is>
          <t>8951</t>
        </is>
      </c>
      <c r="B8987" s="4" t="s">
        <f>=HYPERLINK("http://anyluxury.ru/shop/odezhda/kurtki/kurtka-softshell-zhenskaya-savannah-chernaya-656230/" , "6562.30 Куртка софтшелл женская SAVANNAH, черная, размер XL")</f>
      </c>
      <c r="C8987" s="4" t="n">
        <v>6465.00</v>
      </c>
      <c r="D8987" s="4"/>
    </row>
    <row collapsed="" customFormat="false" customHeight="1" hidden="" ht="14" outlineLevel="0" r="8988">
      <c r="A8988" s="3" t="inlineStr">
        <is>
          <t>8952</t>
        </is>
      </c>
      <c r="B8988" s="4" t="s">
        <f>=HYPERLINK("http://anyluxury.ru/shop/odezhda/kurtki/kurtka-softshell-muzhskaya-skyrunning-chernaya-657530/" , "6575.30 Куртка софтшелл мужская SKYRUNNING, черная, размер S")</f>
      </c>
      <c r="C8988" s="4" t="n">
        <v>3614.00</v>
      </c>
      <c r="D8988" s="4"/>
    </row>
    <row collapsed="" customFormat="false" customHeight="1" hidden="" ht="14" outlineLevel="0" r="8989">
      <c r="A8989" s="3" t="inlineStr">
        <is>
          <t>8953</t>
        </is>
      </c>
      <c r="B8989" s="4" t="s">
        <f>=HYPERLINK("http://anyluxury.ru/shop/odezhda/kurtki/kurtka-softshell-muzhskaya-skyrunning-krasnaya-657550/" , "6575.50 Куртка софтшелл мужская SKYRUNNING, красная, размер S")</f>
      </c>
      <c r="C8989" s="4" t="n">
        <v>3614.00</v>
      </c>
      <c r="D8989" s="4"/>
    </row>
    <row collapsed="" customFormat="false" customHeight="1" hidden="" ht="14" outlineLevel="0" r="8990">
      <c r="A8990" s="3" t="inlineStr">
        <is>
          <t>8954</t>
        </is>
      </c>
      <c r="B8990" s="4" t="s">
        <f>=HYPERLINK("http://anyluxury.ru/shop/odezhda/kurtki/kurtka-softshell-muzhskaya-snyder-belaya-657660/" , "6576.60 Куртка софтшелл мужская SNYDER, белая, размер S")</f>
      </c>
      <c r="C8990" s="4" t="n">
        <v>6154.00</v>
      </c>
      <c r="D8990" s="4"/>
    </row>
    <row collapsed="" customFormat="false" customHeight="1" hidden="" ht="14" outlineLevel="0" r="8991">
      <c r="A8991" s="3" t="inlineStr">
        <is>
          <t>8955</t>
        </is>
      </c>
      <c r="B8991" s="4" t="s">
        <f>=HYPERLINK("http://anyluxury.ru/shop/odezhda/kurtki/kurtka-softshell-muzhskaya-snyder-belaya-657660/" , "6576.60 Куртка софтшелл мужская SNYDER, белая, размер XL")</f>
      </c>
      <c r="C8991" s="4" t="n">
        <v>6162.00</v>
      </c>
      <c r="D8991" s="4"/>
    </row>
    <row collapsed="" customFormat="false" customHeight="1" hidden="" ht="14" outlineLevel="0" r="8992">
      <c r="A8992" s="3" t="inlineStr">
        <is>
          <t>8956</t>
        </is>
      </c>
      <c r="B8992" s="4" t="s">
        <f>=HYPERLINK("http://anyluxury.ru/shop/odezhda/kurtki/kurtka-softshell-muzhskaya-snyder-belaya-657660/" , "6576.60 Куртка софтшелл мужская SNYDER, белая, размер XXL")</f>
      </c>
      <c r="C8992" s="4" t="n">
        <v>6162.00</v>
      </c>
      <c r="D8992" s="4"/>
    </row>
    <row collapsed="" customFormat="false" customHeight="1" hidden="" ht="14" outlineLevel="0" r="8993">
      <c r="A8993" s="3" t="inlineStr">
        <is>
          <t>8957</t>
        </is>
      </c>
      <c r="B8993" s="4" t="s">
        <f>=HYPERLINK("http://anyluxury.ru/shop/odezhda/kurtki/kurtka-unit-hatanga-krasnaya-142350/" , "1423.50 Куртка Unit Hatanga красная, размер S")</f>
      </c>
      <c r="C8993" s="4" t="n">
        <v>3986.00</v>
      </c>
      <c r="D8993" s="4"/>
    </row>
    <row collapsed="" customFormat="false" customHeight="1" hidden="" ht="14" outlineLevel="0" r="8994">
      <c r="A8994" s="3" t="inlineStr">
        <is>
          <t>8958</t>
        </is>
      </c>
      <c r="B8994" s="4" t="s">
        <f>=HYPERLINK("http://anyluxury.ru/shop/odezhda/kurtki/kurtka-softshell-zhenskaya-skeleton-lady-zelenaya-147190/" , "1471.90 Куртка софтшелл женская Skeleton Lady зеленая, размер S")</f>
      </c>
      <c r="C8994" s="4" t="n">
        <v>6692.00</v>
      </c>
      <c r="D8994" s="4"/>
    </row>
    <row collapsed="" customFormat="false" customHeight="1" hidden="" ht="14" outlineLevel="0" r="8995">
      <c r="A8995" s="3" t="inlineStr">
        <is>
          <t>8959</t>
        </is>
      </c>
      <c r="B8995" s="4" t="s">
        <f>=HYPERLINK("http://anyluxury.ru/shop/odezhda/kurtki/kurtka-record-krasnaya-43500145/" , "43500145 Куртка унисекс RECORD красная, размер XS")</f>
      </c>
      <c r="C8995" s="4" t="n">
        <v>4388.00</v>
      </c>
      <c r="D8995" s="4"/>
    </row>
    <row collapsed="" customFormat="false" customHeight="1" hidden="" ht="14" outlineLevel="0" r="8996">
      <c r="A8996" s="3" t="inlineStr">
        <is>
          <t>8960</t>
        </is>
      </c>
      <c r="B8996" s="4" t="s">
        <f>=HYPERLINK("http://anyluxury.ru/shop/odezhda/kurtki/kurtka-record-krasnaya-43500145/" , "43500145 Куртка унисекс RECORD красная, размер S")</f>
      </c>
      <c r="C8996" s="4" t="n">
        <v>4388.00</v>
      </c>
      <c r="D8996" s="4"/>
    </row>
    <row collapsed="" customFormat="false" customHeight="1" hidden="" ht="14" outlineLevel="0" r="8997">
      <c r="A8997" s="3" t="inlineStr">
        <is>
          <t>8961</t>
        </is>
      </c>
      <c r="B8997" s="4" t="s">
        <f>=HYPERLINK("http://anyluxury.ru/shop/odezhda/kurtki/kurtka-record-krasnaya-43500145/" , "43500145 Куртка унисекс RECORD красная, размер M")</f>
      </c>
      <c r="C8997" s="4" t="n">
        <v>4388.00</v>
      </c>
      <c r="D8997" s="4"/>
    </row>
    <row collapsed="" customFormat="false" customHeight="1" hidden="" ht="14" outlineLevel="0" r="8998">
      <c r="A8998" s="3" t="inlineStr">
        <is>
          <t>8962</t>
        </is>
      </c>
      <c r="B8998" s="4" t="s">
        <f>=HYPERLINK("http://anyluxury.ru/shop/odezhda/kurtki/kurtka-record-krasnaya-43500145/" , "43500145 Куртка унисекс RECORD красная, размер L")</f>
      </c>
      <c r="C8998" s="4" t="n">
        <v>4388.00</v>
      </c>
      <c r="D8998" s="4"/>
    </row>
    <row collapsed="" customFormat="false" customHeight="1" hidden="" ht="14" outlineLevel="0" r="8999">
      <c r="A8999" s="3" t="inlineStr">
        <is>
          <t>8963</t>
        </is>
      </c>
      <c r="B8999" s="4" t="s">
        <f>=HYPERLINK("http://anyluxury.ru/shop/odezhda/kurtki/kurtka-record-krasnaya-43500145/" , "43500145 Куртка унисекс RECORD красная, размер XL")</f>
      </c>
      <c r="C8999" s="4" t="n">
        <v>4388.00</v>
      </c>
      <c r="D8999" s="4"/>
    </row>
    <row collapsed="" customFormat="false" customHeight="1" hidden="" ht="14" outlineLevel="0" r="9000">
      <c r="A9000" s="3" t="inlineStr">
        <is>
          <t>8964</t>
        </is>
      </c>
      <c r="B9000" s="4" t="s">
        <f>=HYPERLINK("http://anyluxury.ru/shop/odezhda/kurtki/kurtka-record-krasnaya-43500145/" , "43500145 Куртка унисекс RECORD красная, размер XXL")</f>
      </c>
      <c r="C9000" s="4" t="n">
        <v>4388.00</v>
      </c>
      <c r="D9000" s="4"/>
    </row>
    <row collapsed="" customFormat="false" customHeight="1" hidden="" ht="14" outlineLevel="0" r="9001">
      <c r="A9001" s="3" t="inlineStr">
        <is>
          <t>8965</t>
        </is>
      </c>
      <c r="B9001" s="4" t="s">
        <f>=HYPERLINK("http://anyluxury.ru/shop/odezhda/kurtki/kurtka-record-krasnaya-43500145/" , "43500145 Куртка унисекс RECORD красная, размер 3XL")</f>
      </c>
      <c r="C9001" s="4" t="n">
        <v>4388.00</v>
      </c>
      <c r="D9001" s="4"/>
    </row>
    <row collapsed="" customFormat="false" customHeight="1" hidden="" ht="14" outlineLevel="0" r="9002">
      <c r="A9002" s="3" t="inlineStr">
        <is>
          <t>8966</t>
        </is>
      </c>
      <c r="B9002" s="4" t="s">
        <f>=HYPERLINK("http://anyluxury.ru/shop/odezhda/kurtki/kurtka-muzhskaya-race-men-chernaya-01195312/" , "01195312 Куртка софтшелл мужская RACE MEN черная, размер S")</f>
      </c>
      <c r="C9002" s="4" t="n">
        <v>3528.00</v>
      </c>
      <c r="D9002" s="4"/>
    </row>
    <row collapsed="" customFormat="false" customHeight="1" hidden="" ht="14" outlineLevel="0" r="9003">
      <c r="A9003" s="3" t="inlineStr">
        <is>
          <t>8967</t>
        </is>
      </c>
      <c r="B9003" s="4" t="s">
        <f>=HYPERLINK("http://anyluxury.ru/shop/odezhda/kurtki/kurtka-muzhskaya-race-men-chernaya-01195312/" , "01195312 Куртка софтшелл мужская RACE MEN черная, размер M")</f>
      </c>
      <c r="C9003" s="4" t="n">
        <v>3528.00</v>
      </c>
      <c r="D9003" s="4"/>
    </row>
    <row collapsed="" customFormat="false" customHeight="1" hidden="" ht="14" outlineLevel="0" r="9004">
      <c r="A9004" s="3" t="inlineStr">
        <is>
          <t>8968</t>
        </is>
      </c>
      <c r="B9004" s="4" t="s">
        <f>=HYPERLINK("http://anyluxury.ru/shop/odezhda/kurtki/kurtka-muzhskaya-race-men-chernaya-01195312/" , "01195312 Куртка софтшелл мужская RACE MEN черная, размер L")</f>
      </c>
      <c r="C9004" s="4" t="n">
        <v>3528.00</v>
      </c>
      <c r="D9004" s="4"/>
    </row>
    <row collapsed="" customFormat="false" customHeight="1" hidden="" ht="14" outlineLevel="0" r="9005">
      <c r="A9005" s="3" t="inlineStr">
        <is>
          <t>8969</t>
        </is>
      </c>
      <c r="B9005" s="4" t="s">
        <f>=HYPERLINK("http://anyluxury.ru/shop/odezhda/kurtki/kurtka-muzhskaya-race-men-chernaya-01195312/" , "01195312 Куртка софтшелл мужская RACE MEN черная, размер XL")</f>
      </c>
      <c r="C9005" s="4" t="n">
        <v>3528.00</v>
      </c>
      <c r="D9005" s="4"/>
    </row>
    <row collapsed="" customFormat="false" customHeight="1" hidden="" ht="14" outlineLevel="0" r="9006">
      <c r="A9006" s="3" t="inlineStr">
        <is>
          <t>8970</t>
        </is>
      </c>
      <c r="B9006" s="4" t="s">
        <f>=HYPERLINK("http://anyluxury.ru/shop/odezhda/kurtki/kurtka-muzhskaya-race-men-chernaya-01195312/" , "01195312 Куртка софтшелл мужская RACE MEN черная, размер XXL")</f>
      </c>
      <c r="C9006" s="4" t="n">
        <v>3528.00</v>
      </c>
      <c r="D9006" s="4"/>
    </row>
    <row collapsed="" customFormat="false" customHeight="1" hidden="" ht="14" outlineLevel="0" r="9007">
      <c r="A9007" s="3" t="inlineStr">
        <is>
          <t>8971</t>
        </is>
      </c>
      <c r="B9007" s="4" t="s">
        <f>=HYPERLINK("http://anyluxury.ru/shop/odezhda/kurtki/kurtka-muzhskaya-race-men-chernaya-01195312/" , "01195312 Куртка софтшелл мужская RACE MEN черная, размер 3XL")</f>
      </c>
      <c r="C9007" s="4" t="n">
        <v>4201.00</v>
      </c>
      <c r="D9007" s="4"/>
    </row>
    <row collapsed="" customFormat="false" customHeight="1" hidden="" ht="14" outlineLevel="0" r="9008">
      <c r="A9008" s="3" t="inlineStr">
        <is>
          <t>8972</t>
        </is>
      </c>
      <c r="B9008" s="4" t="s">
        <f>=HYPERLINK("http://anyluxury.ru/shop/odezhda/kurtki/kurtka-zhenskaya-race-women-chernaya-01194312/" , "01194312 Куртка софтшелл женская RACE WOMEN черная, размер S")</f>
      </c>
      <c r="C9008" s="4" t="n">
        <v>3502.00</v>
      </c>
      <c r="D9008" s="4"/>
    </row>
    <row collapsed="" customFormat="false" customHeight="1" hidden="" ht="14" outlineLevel="0" r="9009">
      <c r="A9009" s="3" t="inlineStr">
        <is>
          <t>8973</t>
        </is>
      </c>
      <c r="B9009" s="4" t="s">
        <f>=HYPERLINK("http://anyluxury.ru/shop/odezhda/kurtki/kurtka-zhenskaya-race-women-chernaya-01194312/" , "01194312 Куртка софтшелл женская RACE WOMEN черная, размер M")</f>
      </c>
      <c r="C9009" s="4" t="n">
        <v>3502.00</v>
      </c>
      <c r="D9009" s="4"/>
    </row>
    <row collapsed="" customFormat="false" customHeight="1" hidden="" ht="14" outlineLevel="0" r="9010">
      <c r="A9010" s="3" t="inlineStr">
        <is>
          <t>8974</t>
        </is>
      </c>
      <c r="B9010" s="4" t="s">
        <f>=HYPERLINK("http://anyluxury.ru/shop/odezhda/kurtki/kurtka-zhenskaya-race-women-chernaya-01194312/" , "01194312 Куртка софтшелл женская RACE WOMEN черная, размер L")</f>
      </c>
      <c r="C9010" s="4" t="n">
        <v>3502.00</v>
      </c>
      <c r="D9010" s="4"/>
    </row>
    <row collapsed="" customFormat="false" customHeight="1" hidden="" ht="14" outlineLevel="0" r="9011">
      <c r="A9011" s="3" t="inlineStr">
        <is>
          <t>8975</t>
        </is>
      </c>
      <c r="B9011" s="4" t="s">
        <f>=HYPERLINK("http://anyluxury.ru/shop/odezhda/kurtki/kurtka-zhenskaya-race-women-chernaya-01194312/" , "01194312 Куртка софтшелл женская RACE WOMEN черная, размер XL")</f>
      </c>
      <c r="C9011" s="4" t="n">
        <v>3502.00</v>
      </c>
      <c r="D9011" s="4"/>
    </row>
    <row collapsed="" customFormat="false" customHeight="1" hidden="" ht="14" outlineLevel="0" r="9012">
      <c r="A9012" s="3" t="inlineStr">
        <is>
          <t>8976</t>
        </is>
      </c>
      <c r="B9012" s="4" t="s">
        <f>=HYPERLINK("http://anyluxury.ru/shop/odezhda/kurtki/kurtka-zhenskaya-race-women-chernaya-01194312/" , "01194312 Куртка софтшелл женская RACE WOMEN черная, размер XXL")</f>
      </c>
      <c r="C9012" s="4" t="n">
        <v>3502.00</v>
      </c>
      <c r="D9012" s="4"/>
    </row>
    <row collapsed="" customFormat="false" customHeight="1" hidden="" ht="14" outlineLevel="0" r="9013">
      <c r="A9013" s="3" t="inlineStr">
        <is>
          <t>8977</t>
        </is>
      </c>
      <c r="B9013" s="4" t="s">
        <f>=HYPERLINK("http://anyluxury.ru/shop/odezhda/kurtki/puhovik-legkiy-muzhskoy-ride-men-cherniy-01193312/" , "01193312 Пуховик легкий мужской RIDE MEN черный, размер S")</f>
      </c>
      <c r="C9013" s="4" t="n">
        <v>7125.00</v>
      </c>
      <c r="D9013" s="4"/>
    </row>
    <row collapsed="" customFormat="false" customHeight="1" hidden="" ht="14" outlineLevel="0" r="9014">
      <c r="A9014" s="3" t="inlineStr">
        <is>
          <t>8978</t>
        </is>
      </c>
      <c r="B9014" s="4" t="s">
        <f>=HYPERLINK("http://anyluxury.ru/shop/odezhda/kurtki/puhovik-legkiy-muzhskoy-ride-men-cherniy-01193312/" , "01193312 Пуховик легкий мужской RIDE MEN черный, размер M")</f>
      </c>
      <c r="C9014" s="4" t="n">
        <v>7125.00</v>
      </c>
      <c r="D9014" s="4"/>
    </row>
    <row collapsed="" customFormat="false" customHeight="1" hidden="" ht="14" outlineLevel="0" r="9015">
      <c r="A9015" s="3" t="inlineStr">
        <is>
          <t>8979</t>
        </is>
      </c>
      <c r="B9015" s="4" t="s">
        <f>=HYPERLINK("http://anyluxury.ru/shop/odezhda/kurtki/puhovik-legkiy-muzhskoy-ride-men-cherniy-01193312/" , "01193312 Пуховик легкий мужской RIDE MEN черный, размер L")</f>
      </c>
      <c r="C9015" s="4" t="n">
        <v>7125.00</v>
      </c>
      <c r="D9015" s="4"/>
    </row>
    <row collapsed="" customFormat="false" customHeight="1" hidden="" ht="14" outlineLevel="0" r="9016">
      <c r="A9016" s="3" t="inlineStr">
        <is>
          <t>8980</t>
        </is>
      </c>
      <c r="B9016" s="4" t="s">
        <f>=HYPERLINK("http://anyluxury.ru/shop/odezhda/kurtki/puhovik-legkiy-muzhskoy-ride-men-cherniy-01193312/" , "01193312 Пуховик легкий мужской RIDE MEN черный, размер XL")</f>
      </c>
      <c r="C9016" s="4" t="n">
        <v>7125.00</v>
      </c>
      <c r="D9016" s="4"/>
    </row>
    <row collapsed="" customFormat="false" customHeight="1" hidden="" ht="14" outlineLevel="0" r="9017">
      <c r="A9017" s="3" t="inlineStr">
        <is>
          <t>8981</t>
        </is>
      </c>
      <c r="B9017" s="4" t="s">
        <f>=HYPERLINK("http://anyluxury.ru/shop/odezhda/kurtki/puhovik-legkiy-muzhskoy-ride-men-cherniy-01193312/" , "01193312 Пуховик легкий мужской RIDE MEN черный, размер XXL")</f>
      </c>
      <c r="C9017" s="4" t="n">
        <v>7125.00</v>
      </c>
      <c r="D9017" s="4"/>
    </row>
    <row collapsed="" customFormat="false" customHeight="1" hidden="" ht="14" outlineLevel="0" r="9018">
      <c r="A9018" s="3" t="inlineStr">
        <is>
          <t>8982</t>
        </is>
      </c>
      <c r="B9018" s="4" t="s">
        <f>=HYPERLINK("http://anyluxury.ru/shop/odezhda/kurtki/puhovik-legkiy-zhenskiy-ride-women-cherniy-01170312/" , "01170312 Пуховик легкий женский RIDE WOMEN черный, размер S")</f>
      </c>
      <c r="C9018" s="4" t="n">
        <v>7071.00</v>
      </c>
      <c r="D9018" s="4"/>
    </row>
    <row collapsed="" customFormat="false" customHeight="1" hidden="" ht="14" outlineLevel="0" r="9019">
      <c r="A9019" s="3" t="inlineStr">
        <is>
          <t>8983</t>
        </is>
      </c>
      <c r="B9019" s="4" t="s">
        <f>=HYPERLINK("http://anyluxury.ru/shop/odezhda/kurtki/puhovik-legkiy-zhenskiy-ride-women-cherniy-01170312/" , "01170312 Пуховик легкий женский RIDE WOMEN черный, размер M")</f>
      </c>
      <c r="C9019" s="4" t="n">
        <v>7071.00</v>
      </c>
      <c r="D9019" s="4"/>
    </row>
    <row collapsed="" customFormat="false" customHeight="1" hidden="" ht="14" outlineLevel="0" r="9020">
      <c r="A9020" s="3" t="inlineStr">
        <is>
          <t>8984</t>
        </is>
      </c>
      <c r="B9020" s="4" t="s">
        <f>=HYPERLINK("http://anyluxury.ru/shop/odezhda/kurtki/puhovik-legkiy-zhenskiy-ride-women-cherniy-01170312/" , "01170312 Пуховик легкий женский RIDE WOMEN черный, размер L")</f>
      </c>
      <c r="C9020" s="4" t="n">
        <v>7071.00</v>
      </c>
      <c r="D9020" s="4"/>
    </row>
    <row collapsed="" customFormat="false" customHeight="1" hidden="" ht="14" outlineLevel="0" r="9021">
      <c r="A9021" s="3" t="inlineStr">
        <is>
          <t>8985</t>
        </is>
      </c>
      <c r="B9021" s="4" t="s">
        <f>=HYPERLINK("http://anyluxury.ru/shop/odezhda/kurtki/puhovik-legkiy-zhenskiy-ride-women-cherniy-01170312/" , "01170312 Пуховик легкий женский RIDE WOMEN черный, размер XL")</f>
      </c>
      <c r="C9021" s="4" t="n">
        <v>7071.00</v>
      </c>
      <c r="D9021" s="4"/>
    </row>
    <row collapsed="" customFormat="false" customHeight="1" hidden="" ht="14" outlineLevel="0" r="9022">
      <c r="A9022" s="3" t="inlineStr">
        <is>
          <t>8986</t>
        </is>
      </c>
      <c r="B9022" s="4" t="s">
        <f>=HYPERLINK("http://anyluxury.ru/shop/odezhda/kurtki/puhovik-legkiy-zhenskiy-ride-women-cherniy-01170312/" , "01170312 Пуховик легкий женский RIDE WOMEN черный, размер XXL")</f>
      </c>
      <c r="C9022" s="4" t="n">
        <v>7071.00</v>
      </c>
      <c r="D9022" s="4"/>
    </row>
    <row collapsed="" customFormat="false" customHeight="1" hidden="" ht="14" outlineLevel="0" r="9023">
      <c r="A9023" s="3" t="inlineStr">
        <is>
          <t>8987</t>
        </is>
      </c>
      <c r="B9023" s="4" t="s">
        <f>=HYPERLINK("http://anyluxury.ru/shop/odezhda/kurtki/puhovik-legkiy-zhenskiy-ride-women-krasniy-01170145/" , "01170145 Пуховик легкий женский RIDE WOMEN красный, размер S")</f>
      </c>
      <c r="C9023" s="4" t="n">
        <v>5684.00</v>
      </c>
      <c r="D9023" s="4"/>
    </row>
    <row collapsed="" customFormat="false" customHeight="1" hidden="" ht="14" outlineLevel="0" r="9024">
      <c r="A9024" s="3" t="inlineStr">
        <is>
          <t>8988</t>
        </is>
      </c>
      <c r="B9024" s="4" t="s">
        <f>=HYPERLINK("http://anyluxury.ru/shop/odezhda/kurtki/puhovik-legkiy-zhenskiy-ride-women-krasniy-01170145/" , "01170145 Пуховик легкий женский RIDE WOMEN красный, размер M")</f>
      </c>
      <c r="C9024" s="4" t="n">
        <v>5684.00</v>
      </c>
      <c r="D9024" s="4"/>
    </row>
    <row collapsed="" customFormat="false" customHeight="1" hidden="" ht="14" outlineLevel="0" r="9025">
      <c r="A9025" s="3" t="inlineStr">
        <is>
          <t>8989</t>
        </is>
      </c>
      <c r="B9025" s="4" t="s">
        <f>=HYPERLINK("http://anyluxury.ru/shop/odezhda/kurtki/puhovik-legkiy-zhenskiy-ride-women-krasniy-01170145/" , "01170145 Пуховик легкий женский RIDE WOMEN красный, размер L")</f>
      </c>
      <c r="C9025" s="4" t="n">
        <v>5684.00</v>
      </c>
      <c r="D9025" s="4"/>
    </row>
    <row collapsed="" customFormat="false" customHeight="1" hidden="" ht="14" outlineLevel="0" r="9026">
      <c r="A9026" s="3" t="inlineStr">
        <is>
          <t>8990</t>
        </is>
      </c>
      <c r="B9026" s="4" t="s">
        <f>=HYPERLINK("http://anyluxury.ru/shop/odezhda/kurtki/puhovik-legkiy-zhenskiy-ride-women-krasniy-01170145/" , "01170145 Пуховик легкий женский RIDE WOMEN красный, размер XL")</f>
      </c>
      <c r="C9026" s="4" t="n">
        <v>5684.00</v>
      </c>
      <c r="D9026" s="4"/>
    </row>
    <row collapsed="" customFormat="false" customHeight="1" hidden="" ht="14" outlineLevel="0" r="9027">
      <c r="A9027" s="3" t="inlineStr">
        <is>
          <t>8991</t>
        </is>
      </c>
      <c r="B9027" s="4" t="s">
        <f>=HYPERLINK("http://anyluxury.ru/shop/odezhda/kurtki/puhovik-legkiy-zhenskiy-ride-women-krasniy-01170145/" , "01170145 Пуховик легкий женский RIDE WOMEN красный, размер XXL")</f>
      </c>
      <c r="C9027" s="4" t="n">
        <v>5684.00</v>
      </c>
      <c r="D9027" s="4"/>
    </row>
    <row collapsed="" customFormat="false" customHeight="1" hidden="" ht="14" outlineLevel="0" r="9028">
      <c r="A9028" s="3" t="inlineStr">
        <is>
          <t>8992</t>
        </is>
      </c>
      <c r="B9028" s="4" t="s">
        <f>=HYPERLINK("http://anyluxury.ru/shop/odezhda/kurtki/kurtka-muzhskaya-na-molnii-relax-340-korichnevaya-436759/" , "4367.59 Куртка мужская на молнии RELAX 340 коричневая, размер S")</f>
      </c>
      <c r="C9028" s="4" t="n">
        <v>5132.00</v>
      </c>
      <c r="D9028" s="4"/>
    </row>
    <row collapsed="" customFormat="false" customHeight="1" hidden="" ht="14" outlineLevel="0" r="9029">
      <c r="A9029" s="3" t="inlineStr">
        <is>
          <t>8993</t>
        </is>
      </c>
      <c r="B9029" s="4" t="s">
        <f>=HYPERLINK("http://anyluxury.ru/shop/odezhda/kurtki/kurtka-muzhskaya-na-molnii-relax-340-korichnevaya-436759/" , "4367.59 Куртка мужская на молнии RELAX 340 коричневая, размер M")</f>
      </c>
      <c r="C9029" s="4" t="n">
        <v>5132.00</v>
      </c>
      <c r="D9029" s="4"/>
    </row>
    <row collapsed="" customFormat="false" customHeight="1" hidden="" ht="14" outlineLevel="0" r="9030">
      <c r="A9030" s="3" t="inlineStr">
        <is>
          <t>8994</t>
        </is>
      </c>
      <c r="B9030" s="4" t="s">
        <f>=HYPERLINK("http://anyluxury.ru/shop/odezhda/kurtki/kurtka-muzhskaya-na-molnii-relax-340-korichnevaya-436759/" , "4367.59 Куртка мужская на молнии RELAX 340 коричневая, размер L")</f>
      </c>
      <c r="C9030" s="4" t="n">
        <v>5132.00</v>
      </c>
      <c r="D9030" s="4"/>
    </row>
    <row collapsed="" customFormat="false" customHeight="1" hidden="" ht="14" outlineLevel="0" r="9031">
      <c r="A9031" s="3" t="inlineStr">
        <is>
          <t>8995</t>
        </is>
      </c>
      <c r="B9031" s="4" t="s">
        <f>=HYPERLINK("http://anyluxury.ru/shop/odezhda/kurtki/kurtka-muzhskaya-na-molnii-relax-340-korichnevaya-436759/" , "4367.59 Куртка мужская на молнии RELAX 340 коричневая, размер XL")</f>
      </c>
      <c r="C9031" s="4" t="n">
        <v>5132.00</v>
      </c>
      <c r="D9031" s="4"/>
    </row>
    <row collapsed="" customFormat="false" customHeight="1" hidden="" ht="14" outlineLevel="0" r="9032">
      <c r="A9032" s="3" t="inlineStr">
        <is>
          <t>8996</t>
        </is>
      </c>
      <c r="B9032" s="4" t="s">
        <f>=HYPERLINK("http://anyluxury.ru/shop/odezhda/kurtki/kurtka-muzhskaya-na-molnii-relax-340-korichnevaya-436759/" , "4367.59 Куртка мужская на молнии RELAX 340 коричневая, размер XXL")</f>
      </c>
      <c r="C9032" s="4" t="n">
        <v>5132.00</v>
      </c>
      <c r="D9032" s="4"/>
    </row>
    <row collapsed="" customFormat="false" customHeight="1" hidden="" ht="14" outlineLevel="0" r="9033">
      <c r="A9033" s="3" t="inlineStr">
        <is>
          <t>8997</t>
        </is>
      </c>
      <c r="B9033" s="4" t="s">
        <f>=HYPERLINK("http://anyluxury.ru/shop/odezhda/kurtki/kurtka-muzhskaya-na-molnii-relax-340-korichnevaya-436759/" , "4367.59 Куртка мужская на молнии RELAX 340 коричневая, размер 3XL")</f>
      </c>
      <c r="C9033" s="4" t="n">
        <v>6114.00</v>
      </c>
      <c r="D9033" s="4"/>
    </row>
    <row collapsed="" customFormat="false" customHeight="1" hidden="" ht="14" outlineLevel="0" r="9034">
      <c r="A9034" s="3" t="inlineStr">
        <is>
          <t>8998</t>
        </is>
      </c>
      <c r="B9034" s="4" t="s">
        <f>=HYPERLINK("http://anyluxury.ru/shop/odezhda/kurtki/kurtka-muzhskaya-na-molnii-relax-340-belaya-436760/" , "4367.60 Куртка мужская на молнии RELAX 340 белая, размер S")</f>
      </c>
      <c r="C9034" s="4" t="n">
        <v>5132.00</v>
      </c>
      <c r="D9034" s="4"/>
    </row>
    <row collapsed="" customFormat="false" customHeight="1" hidden="" ht="14" outlineLevel="0" r="9035">
      <c r="A9035" s="3" t="inlineStr">
        <is>
          <t>8999</t>
        </is>
      </c>
      <c r="B9035" s="4" t="s">
        <f>=HYPERLINK("http://anyluxury.ru/shop/odezhda/kurtki/kurtka-muzhskaya-na-molnii-relax-340-belaya-436760/" , "4367.60 Куртка мужская на молнии RELAX 340 белая, размер M")</f>
      </c>
      <c r="C9035" s="4" t="n">
        <v>5132.00</v>
      </c>
      <c r="D9035" s="4"/>
    </row>
    <row collapsed="" customFormat="false" customHeight="1" hidden="" ht="14" outlineLevel="0" r="9036">
      <c r="A9036" s="3" t="inlineStr">
        <is>
          <t>9000</t>
        </is>
      </c>
      <c r="B9036" s="4" t="s">
        <f>=HYPERLINK("http://anyluxury.ru/shop/odezhda/kurtki/kurtka-muzhskaya-na-molnii-relax-340-belaya-436760/" , "4367.60 Куртка мужская на молнии RELAX 340 белая, размер L")</f>
      </c>
      <c r="C9036" s="4" t="n">
        <v>5132.00</v>
      </c>
      <c r="D9036" s="4"/>
    </row>
    <row collapsed="" customFormat="false" customHeight="1" hidden="" ht="14" outlineLevel="0" r="9037">
      <c r="A9037" s="3" t="inlineStr">
        <is>
          <t>9001</t>
        </is>
      </c>
      <c r="B9037" s="4" t="s">
        <f>=HYPERLINK("http://anyluxury.ru/shop/odezhda/kurtki/kurtka-muzhskaya-na-molnii-relax-340-belaya-436760/" , "4367.60 Куртка мужская на молнии RELAX 340 белая, размер XL")</f>
      </c>
      <c r="C9037" s="4" t="n">
        <v>5132.00</v>
      </c>
      <c r="D9037" s="4"/>
    </row>
    <row collapsed="" customFormat="false" customHeight="1" hidden="" ht="14" outlineLevel="0" r="9038">
      <c r="A9038" s="3" t="inlineStr">
        <is>
          <t>9002</t>
        </is>
      </c>
      <c r="B9038" s="4" t="s">
        <f>=HYPERLINK("http://anyluxury.ru/shop/odezhda/kurtki/kurtka-muzhskaya-na-molnii-relax-340-belaya-436760/" , "4367.60 Куртка мужская на молнии RELAX 340 белая, размер XXL")</f>
      </c>
      <c r="C9038" s="4" t="n">
        <v>5132.00</v>
      </c>
      <c r="D9038" s="4"/>
    </row>
    <row collapsed="" customFormat="false" customHeight="1" hidden="" ht="14" outlineLevel="0" r="9039">
      <c r="A9039" s="3" t="inlineStr">
        <is>
          <t>9003</t>
        </is>
      </c>
      <c r="B9039" s="4" t="s">
        <f>=HYPERLINK("http://anyluxury.ru/shop/odezhda/kurtki/kurtka-muzhskaya-na-molnii-relax-340-belaya-436760/" , "4367.60 Куртка мужская на молнии RELAX 340 белая, размер 3XL")</f>
      </c>
      <c r="C9039" s="4" t="n">
        <v>6114.00</v>
      </c>
      <c r="D9039" s="4"/>
    </row>
    <row collapsed="" customFormat="false" customHeight="1" hidden="" ht="14" outlineLevel="0" r="9040">
      <c r="A9040" s="3" t="inlineStr">
        <is>
          <t>9004</t>
        </is>
      </c>
      <c r="B9040" s="4" t="s">
        <f>=HYPERLINK("http://anyluxury.ru/shop/odezhda/kurtki/kurtka-muzhskaya-na-molnii-relax-340-zelenaya-436790/" , "4367.90 Куртка мужская на молнии RELAX 340 зеленая, размер S")</f>
      </c>
      <c r="C9040" s="4" t="n">
        <v>5132.00</v>
      </c>
      <c r="D9040" s="4"/>
    </row>
    <row collapsed="" customFormat="false" customHeight="1" hidden="" ht="14" outlineLevel="0" r="9041">
      <c r="A9041" s="3" t="inlineStr">
        <is>
          <t>9005</t>
        </is>
      </c>
      <c r="B9041" s="4" t="s">
        <f>=HYPERLINK("http://anyluxury.ru/shop/odezhda/kurtki/kurtka-muzhskaya-na-molnii-relax-340-zelenaya-436790/" , "4367.90 Куртка мужская на молнии RELAX 340 зеленая, размер M")</f>
      </c>
      <c r="C9041" s="4" t="n">
        <v>5132.00</v>
      </c>
      <c r="D9041" s="4"/>
    </row>
    <row collapsed="" customFormat="false" customHeight="1" hidden="" ht="14" outlineLevel="0" r="9042">
      <c r="A9042" s="3" t="inlineStr">
        <is>
          <t>9006</t>
        </is>
      </c>
      <c r="B9042" s="4" t="s">
        <f>=HYPERLINK("http://anyluxury.ru/shop/odezhda/kurtki/kurtka-muzhskaya-na-molnii-relax-340-zelenaya-436790/" , "4367.90 Куртка мужская на молнии RELAX 340 зеленая, размер L")</f>
      </c>
      <c r="C9042" s="4" t="n">
        <v>5132.00</v>
      </c>
      <c r="D9042" s="4"/>
    </row>
    <row collapsed="" customFormat="false" customHeight="1" hidden="" ht="14" outlineLevel="0" r="9043">
      <c r="A9043" s="3" t="inlineStr">
        <is>
          <t>9007</t>
        </is>
      </c>
      <c r="B9043" s="4" t="s">
        <f>=HYPERLINK("http://anyluxury.ru/shop/odezhda/kurtki/kurtka-muzhskaya-na-molnii-relax-340-zelenaya-436790/" , "4367.90 Куртка мужская на молнии RELAX 340 зеленая, размер XL")</f>
      </c>
      <c r="C9043" s="4" t="n">
        <v>5132.00</v>
      </c>
      <c r="D9043" s="4"/>
    </row>
    <row collapsed="" customFormat="false" customHeight="1" hidden="" ht="14" outlineLevel="0" r="9044">
      <c r="A9044" s="3" t="inlineStr">
        <is>
          <t>9008</t>
        </is>
      </c>
      <c r="B9044" s="4" t="s">
        <f>=HYPERLINK("http://anyluxury.ru/shop/odezhda/kurtki/kurtka-muzhskaya-na-molnii-relax-340-zelenaya-436790/" , "4367.90 Куртка мужская на молнии RELAX 340 зеленая, размер XXL")</f>
      </c>
      <c r="C9044" s="4" t="n">
        <v>5132.00</v>
      </c>
      <c r="D9044" s="4"/>
    </row>
    <row collapsed="" customFormat="false" customHeight="1" hidden="" ht="14" outlineLevel="0" r="9045">
      <c r="A9045" s="3" t="inlineStr">
        <is>
          <t>9009</t>
        </is>
      </c>
      <c r="B9045" s="4" t="s">
        <f>=HYPERLINK("http://anyluxury.ru/shop/odezhda/kurtki/kurtka-muzhskaya-na-molnii-relax-340-zelenaya-436790/" , "4367.90 Куртка мужская на молнии RELAX 340 зеленая, размер 3XL")</f>
      </c>
      <c r="C9045" s="4" t="n">
        <v>6114.00</v>
      </c>
      <c r="D9045" s="4"/>
    </row>
    <row collapsed="" customFormat="false" customHeight="1" hidden="" ht="14" outlineLevel="0" r="9046">
      <c r="A9046" s="3" t="inlineStr">
        <is>
          <t>9010</t>
        </is>
      </c>
      <c r="B9046" s="4" t="s">
        <f>=HYPERLINK("http://anyluxury.ru/shop/odezhda/kurtki/kurtka-muzhskaya-s-kapyushonom-replay-men-340-chernaya-556930/" , "5569.30 Куртка мужская с капюшоном Replay Men 340 черная, размер XS")</f>
      </c>
      <c r="C9046" s="4" t="n">
        <v>6652.00</v>
      </c>
      <c r="D9046" s="4"/>
    </row>
    <row collapsed="" customFormat="false" customHeight="1" hidden="" ht="14" outlineLevel="0" r="9047">
      <c r="A9047" s="3" t="inlineStr">
        <is>
          <t>9011</t>
        </is>
      </c>
      <c r="B9047" s="4" t="s">
        <f>=HYPERLINK("http://anyluxury.ru/shop/odezhda/kurtki/kurtka-muzhskaya-s-kapyushonom-replay-men-340-chernaya-556930/" , "5569.30 Куртка мужская с капюшоном Replay Men 340 черная, размер S")</f>
      </c>
      <c r="C9047" s="4" t="n">
        <v>6652.00</v>
      </c>
      <c r="D9047" s="4"/>
    </row>
    <row collapsed="" customFormat="false" customHeight="1" hidden="" ht="14" outlineLevel="0" r="9048">
      <c r="A9048" s="3" t="inlineStr">
        <is>
          <t>9012</t>
        </is>
      </c>
      <c r="B9048" s="4" t="s">
        <f>=HYPERLINK("http://anyluxury.ru/shop/odezhda/kurtki/kurtka-muzhskaya-s-kapyushonom-replay-men-340-chernaya-556930/" , "5569.30 Куртка мужская с капюшоном Replay Men 340 черная, размер M")</f>
      </c>
      <c r="C9048" s="4" t="n">
        <v>6652.00</v>
      </c>
      <c r="D9048" s="4"/>
    </row>
    <row collapsed="" customFormat="false" customHeight="1" hidden="" ht="14" outlineLevel="0" r="9049">
      <c r="A9049" s="3" t="inlineStr">
        <is>
          <t>9013</t>
        </is>
      </c>
      <c r="B9049" s="4" t="s">
        <f>=HYPERLINK("http://anyluxury.ru/shop/odezhda/kurtki/kurtka-muzhskaya-s-kapyushonom-replay-men-340-chernaya-556930/" , "5569.30 Куртка мужская с капюшоном Replay Men 340 черная, размер XL")</f>
      </c>
      <c r="C9049" s="4" t="n">
        <v>6652.00</v>
      </c>
      <c r="D9049" s="4"/>
    </row>
    <row collapsed="" customFormat="false" customHeight="1" hidden="" ht="14" outlineLevel="0" r="9050">
      <c r="A9050" s="3" t="inlineStr">
        <is>
          <t>9014</t>
        </is>
      </c>
      <c r="B9050" s="4" t="s">
        <f>=HYPERLINK("http://anyluxury.ru/shop/odezhda/kurtki/kurtka-muzhskaya-s-kapyushonom-replay-men-340-chernaya-556930/" , "5569.30 Куртка мужская с капюшоном Replay Men 340 черная, размер 3XL")</f>
      </c>
      <c r="C9050" s="4" t="n">
        <v>7930.00</v>
      </c>
      <c r="D9050" s="4"/>
    </row>
    <row collapsed="" customFormat="false" customHeight="1" hidden="" ht="14" outlineLevel="0" r="9051">
      <c r="A9051" s="3" t="inlineStr">
        <is>
          <t>9015</t>
        </is>
      </c>
      <c r="B9051" s="4" t="s">
        <f>=HYPERLINK("http://anyluxury.ru/shop/odezhda/kurtki/kurtka-muzhskaya-s-kapyushonom-replay-men-340-belaya-556960/" , "5569.60 Куртка мужская с капюшоном Replay Men 340 белая, размер XS")</f>
      </c>
      <c r="C9051" s="4" t="n">
        <v>6652.00</v>
      </c>
      <c r="D9051" s="4"/>
    </row>
    <row collapsed="" customFormat="false" customHeight="1" hidden="" ht="14" outlineLevel="0" r="9052">
      <c r="A9052" s="3" t="inlineStr">
        <is>
          <t>9016</t>
        </is>
      </c>
      <c r="B9052" s="4" t="s">
        <f>=HYPERLINK("http://anyluxury.ru/shop/odezhda/kurtki/kurtka-muzhskaya-s-kapyushonom-replay-men-340-belaya-556960/" , "5569.60 Куртка мужская с капюшоном Replay Men 340 белая, размер S")</f>
      </c>
      <c r="C9052" s="4" t="n">
        <v>6652.00</v>
      </c>
      <c r="D9052" s="4"/>
    </row>
    <row collapsed="" customFormat="false" customHeight="1" hidden="" ht="14" outlineLevel="0" r="9053">
      <c r="A9053" s="3" t="inlineStr">
        <is>
          <t>9017</t>
        </is>
      </c>
      <c r="B9053" s="4" t="s">
        <f>=HYPERLINK("http://anyluxury.ru/shop/odezhda/kurtki/kurtka-muzhskaya-s-kapyushonom-replay-men-340-belaya-556960/" , "5569.60 Куртка мужская с капюшоном Replay Men 340 белая, размер M")</f>
      </c>
      <c r="C9053" s="4" t="n">
        <v>6652.00</v>
      </c>
      <c r="D9053" s="4"/>
    </row>
    <row collapsed="" customFormat="false" customHeight="1" hidden="" ht="14" outlineLevel="0" r="9054">
      <c r="A9054" s="3" t="inlineStr">
        <is>
          <t>9018</t>
        </is>
      </c>
      <c r="B9054" s="4" t="s">
        <f>=HYPERLINK("http://anyluxury.ru/shop/odezhda/kurtki/kurtka-muzhskaya-s-kapyushonom-replay-men-340-belaya-556960/" , "5569.60 Куртка мужская с капюшоном Replay Men 340 белая, размер L")</f>
      </c>
      <c r="C9054" s="4" t="n">
        <v>6652.00</v>
      </c>
      <c r="D9054" s="4"/>
    </row>
    <row collapsed="" customFormat="false" customHeight="1" hidden="" ht="14" outlineLevel="0" r="9055">
      <c r="A9055" s="3" t="inlineStr">
        <is>
          <t>9019</t>
        </is>
      </c>
      <c r="B9055" s="4" t="s">
        <f>=HYPERLINK("http://anyluxury.ru/shop/odezhda/kurtki/kurtka-muzhskaya-s-kapyushonom-replay-men-340-belaya-556960/" , "5569.60 Куртка мужская с капюшоном Replay Men 340 белая, размер XL")</f>
      </c>
      <c r="C9055" s="4" t="n">
        <v>6652.00</v>
      </c>
      <c r="D9055" s="4"/>
    </row>
    <row collapsed="" customFormat="false" customHeight="1" hidden="" ht="14" outlineLevel="0" r="9056">
      <c r="A9056" s="3" t="inlineStr">
        <is>
          <t>9020</t>
        </is>
      </c>
      <c r="B9056" s="4" t="s">
        <f>=HYPERLINK("http://anyluxury.ru/shop/odezhda/kurtki/kurtka-muzhskaya-s-kapyushonom-replay-men-340-belaya-556960/" , "5569.60 Куртка мужская с капюшоном Replay Men 340 белая, размер XXL")</f>
      </c>
      <c r="C9056" s="4" t="n">
        <v>6652.00</v>
      </c>
      <c r="D9056" s="4"/>
    </row>
    <row collapsed="" customFormat="false" customHeight="1" hidden="" ht="14" outlineLevel="0" r="9057">
      <c r="A9057" s="3" t="inlineStr">
        <is>
          <t>9021</t>
        </is>
      </c>
      <c r="B9057" s="4" t="s">
        <f>=HYPERLINK("http://anyluxury.ru/shop/odezhda/kurtki/kurtka-muzhskaya-s-kapyushonom-replay-men-340-belaya-556960/" , "5569.60 Куртка мужская с капюшоном Replay Men 340 белая, размер 3XL")</f>
      </c>
      <c r="C9057" s="4" t="n">
        <v>7930.00</v>
      </c>
      <c r="D9057" s="4"/>
    </row>
    <row collapsed="" customFormat="false" customHeight="1" hidden="" ht="14" outlineLevel="0" r="9058">
      <c r="A9058" s="3" t="inlineStr">
        <is>
          <t>9022</t>
        </is>
      </c>
      <c r="B9058" s="4" t="s">
        <f>=HYPERLINK("http://anyluxury.ru/shop/odezhda/kurtki/kurtka-zhenskaya-s-kapyushonom-replay-women-chernaya-557030/" , "5570.30 Куртка женская с капюшоном Replay Women 340 черная, размер S")</f>
      </c>
      <c r="C9058" s="4" t="n">
        <v>6599.00</v>
      </c>
      <c r="D9058" s="4"/>
    </row>
    <row collapsed="" customFormat="false" customHeight="1" hidden="" ht="14" outlineLevel="0" r="9059">
      <c r="A9059" s="3" t="inlineStr">
        <is>
          <t>9023</t>
        </is>
      </c>
      <c r="B9059" s="4" t="s">
        <f>=HYPERLINK("http://anyluxury.ru/shop/odezhda/kurtki/kurtka-zhenskaya-s-kapyushonom-replay-women-chernaya-557030/" , "5570.30 Куртка женская с капюшоном Replay Women 340 черная, размер M")</f>
      </c>
      <c r="C9059" s="4" t="n">
        <v>6599.00</v>
      </c>
      <c r="D9059" s="4"/>
    </row>
    <row collapsed="" customFormat="false" customHeight="1" hidden="" ht="14" outlineLevel="0" r="9060">
      <c r="A9060" s="3" t="inlineStr">
        <is>
          <t>9024</t>
        </is>
      </c>
      <c r="B9060" s="4" t="s">
        <f>=HYPERLINK("http://anyluxury.ru/shop/odezhda/kurtki/kurtka-zhenskaya-s-kapyushonom-replay-women-chernaya-557030/" , "5570.30 Куртка женская с капюшоном Replay Women 340 черная, размер L")</f>
      </c>
      <c r="C9060" s="4" t="n">
        <v>6599.00</v>
      </c>
      <c r="D9060" s="4"/>
    </row>
    <row collapsed="" customFormat="false" customHeight="1" hidden="" ht="14" outlineLevel="0" r="9061">
      <c r="A9061" s="3" t="inlineStr">
        <is>
          <t>9025</t>
        </is>
      </c>
      <c r="B9061" s="4" t="s">
        <f>=HYPERLINK("http://anyluxury.ru/shop/odezhda/kurtki/kurtka-zhenskaya-s-kapyushonom-replay-women-chernaya-557030/" , "5570.30 Куртка женская с капюшоном Replay Women 340 черная, размер XL")</f>
      </c>
      <c r="C9061" s="4" t="n">
        <v>6599.00</v>
      </c>
      <c r="D9061" s="4"/>
    </row>
    <row collapsed="" customFormat="false" customHeight="1" hidden="" ht="14" outlineLevel="0" r="9062">
      <c r="A9062" s="3" t="inlineStr">
        <is>
          <t>9026</t>
        </is>
      </c>
      <c r="B9062" s="4" t="s">
        <f>=HYPERLINK("http://anyluxury.ru/shop/odezhda/kurtki/kurtka-zhenskaya-s-kapyushonom-replay-women-chernaya-557030/" , "5570.30 Куртка женская с капюшоном Replay Women 340 черная, размер XXL")</f>
      </c>
      <c r="C9062" s="4" t="n">
        <v>6599.00</v>
      </c>
      <c r="D9062" s="4"/>
    </row>
    <row collapsed="" customFormat="false" customHeight="1" hidden="" ht="14" outlineLevel="0" r="9063">
      <c r="A9063" s="3" t="inlineStr">
        <is>
          <t>9027</t>
        </is>
      </c>
      <c r="B9063" s="4" t="s">
        <f>=HYPERLINK("http://anyluxury.ru/shop/odezhda/kurtki/kurtka-zhenskaya-s-kapyushonom-replay-women-belaya-557060/" , "5570.60 Куртка женская с капюшоном Replay Women 340 белая, размер S")</f>
      </c>
      <c r="C9063" s="4" t="n">
        <v>6599.00</v>
      </c>
      <c r="D9063" s="4"/>
    </row>
    <row collapsed="" customFormat="false" customHeight="1" hidden="" ht="14" outlineLevel="0" r="9064">
      <c r="A9064" s="3" t="inlineStr">
        <is>
          <t>9028</t>
        </is>
      </c>
      <c r="B9064" s="4" t="s">
        <f>=HYPERLINK("http://anyluxury.ru/shop/odezhda/kurtki/kurtka-zhenskaya-s-kapyushonom-replay-women-belaya-557060/" , "5570.60 Куртка женская с капюшоном Replay Women 340 белая, размер M")</f>
      </c>
      <c r="C9064" s="4" t="n">
        <v>6599.00</v>
      </c>
      <c r="D9064" s="4"/>
    </row>
    <row collapsed="" customFormat="false" customHeight="1" hidden="" ht="14" outlineLevel="0" r="9065">
      <c r="A9065" s="3" t="inlineStr">
        <is>
          <t>9029</t>
        </is>
      </c>
      <c r="B9065" s="4" t="s">
        <f>=HYPERLINK("http://anyluxury.ru/shop/odezhda/kurtki/kurtka-zhenskaya-s-kapyushonom-replay-women-belaya-557060/" , "5570.60 Куртка женская с капюшоном Replay Women 340 белая, размер L")</f>
      </c>
      <c r="C9065" s="4" t="n">
        <v>6599.00</v>
      </c>
      <c r="D9065" s="4"/>
    </row>
    <row collapsed="" customFormat="false" customHeight="1" hidden="" ht="14" outlineLevel="0" r="9066">
      <c r="A9066" s="3" t="inlineStr">
        <is>
          <t>9030</t>
        </is>
      </c>
      <c r="B9066" s="4" t="s">
        <f>=HYPERLINK("http://anyluxury.ru/shop/odezhda/kurtki/kurtka-zhenskaya-s-kapyushonom-replay-women-belaya-557060/" , "5570.60 Куртка женская с капюшоном Replay Women 340 белая, размер XL")</f>
      </c>
      <c r="C9066" s="4" t="n">
        <v>6599.00</v>
      </c>
      <c r="D9066" s="4"/>
    </row>
    <row collapsed="" customFormat="false" customHeight="1" hidden="" ht="14" outlineLevel="0" r="9067">
      <c r="A9067" s="3" t="inlineStr">
        <is>
          <t>9031</t>
        </is>
      </c>
      <c r="B9067" s="4" t="s">
        <f>=HYPERLINK("http://anyluxury.ru/shop/odezhda/kurtki/kurtka-zhenskaya-s-kapyushonom-replay-women-belaya-557060/" , "5570.60 Куртка женская с капюшоном Replay Women 340 белая, размер XXL")</f>
      </c>
      <c r="C9067" s="4" t="n">
        <v>6599.00</v>
      </c>
      <c r="D9067" s="4"/>
    </row>
    <row collapsed="" customFormat="false" customHeight="1" hidden="" ht="14" outlineLevel="0" r="9068">
      <c r="A9068" s="3" t="inlineStr">
        <is>
          <t>9032</t>
        </is>
      </c>
      <c r="B9068" s="4" t="s">
        <f>=HYPERLINK("http://anyluxury.ru/shop/odezhda/kurtki/kurtka-new-york-women-chernaya-01473312/" , "01473312 Куртка NEW YORK WOMEN черная, размер S")</f>
      </c>
      <c r="C9068" s="4" t="n">
        <v>8340.00</v>
      </c>
      <c r="D9068" s="4"/>
    </row>
    <row collapsed="" customFormat="false" customHeight="1" hidden="" ht="14" outlineLevel="0" r="9069">
      <c r="A9069" s="3" t="inlineStr">
        <is>
          <t>9033</t>
        </is>
      </c>
      <c r="B9069" s="4" t="s">
        <f>=HYPERLINK("http://anyluxury.ru/shop/odezhda/kurtki/kurtka-new-york-women-chernaya-01473312/" , "01473312 Куртка NEW YORK WOMEN черная, размер M")</f>
      </c>
      <c r="C9069" s="4" t="n">
        <v>8340.00</v>
      </c>
      <c r="D9069" s="4"/>
    </row>
    <row collapsed="" customFormat="false" customHeight="1" hidden="" ht="14" outlineLevel="0" r="9070">
      <c r="A9070" s="3" t="inlineStr">
        <is>
          <t>9034</t>
        </is>
      </c>
      <c r="B9070" s="4" t="s">
        <f>=HYPERLINK("http://anyluxury.ru/shop/odezhda/kurtki/kurtka-new-york-women-chernaya-01473312/" , "01473312 Куртка NEW YORK WOMEN черная, размер L")</f>
      </c>
      <c r="C9070" s="4" t="n">
        <v>8340.00</v>
      </c>
      <c r="D9070" s="4"/>
    </row>
    <row collapsed="" customFormat="false" customHeight="1" hidden="" ht="14" outlineLevel="0" r="9071">
      <c r="A9071" s="3" t="inlineStr">
        <is>
          <t>9035</t>
        </is>
      </c>
      <c r="B9071" s="4" t="s">
        <f>=HYPERLINK("http://anyluxury.ru/shop/odezhda/kurtki/kurtka-new-york-women-chernaya-01473312/" , "01473312 Куртка NEW YORK WOMEN черная, размер XL")</f>
      </c>
      <c r="C9071" s="4" t="n">
        <v>8340.00</v>
      </c>
      <c r="D9071" s="4"/>
    </row>
    <row collapsed="" customFormat="false" customHeight="1" hidden="" ht="14" outlineLevel="0" r="9072">
      <c r="A9072" s="3" t="inlineStr">
        <is>
          <t>9036</t>
        </is>
      </c>
      <c r="B9072" s="4" t="s">
        <f>=HYPERLINK("http://anyluxury.ru/shop/odezhda/kurtki/kurtka-new-york-women-chernaya-01473312/" , "01473312 Куртка NEW YORK WOMEN черная, размер XXL")</f>
      </c>
      <c r="C9072" s="4" t="n">
        <v>8340.00</v>
      </c>
      <c r="D9072" s="4"/>
    </row>
    <row collapsed="" customFormat="false" customHeight="1" hidden="" ht="14" outlineLevel="0" r="9073">
      <c r="A9073" s="3" t="inlineStr">
        <is>
          <t>9037</t>
        </is>
      </c>
      <c r="B9073" s="4" t="s">
        <f>=HYPERLINK("http://anyluxury.ru/shop/odezhda/kurtki/kurtka-new-york-women-zheltiy-neon-01473306/" , "01473306 Куртка NEW YORK WOMEN неоновый желтый, размер S")</f>
      </c>
      <c r="C9073" s="4" t="n">
        <v>8340.00</v>
      </c>
      <c r="D9073" s="4"/>
    </row>
    <row collapsed="" customFormat="false" customHeight="1" hidden="" ht="14" outlineLevel="0" r="9074">
      <c r="A9074" s="3" t="inlineStr">
        <is>
          <t>9038</t>
        </is>
      </c>
      <c r="B9074" s="4" t="s">
        <f>=HYPERLINK("http://anyluxury.ru/shop/odezhda/kurtki/kurtka-new-york-women-zheltiy-neon-01473306/" , "01473306 Куртка NEW YORK WOMEN неоновый желтый, размер M")</f>
      </c>
      <c r="C9074" s="4" t="n">
        <v>8340.00</v>
      </c>
      <c r="D9074" s="4"/>
    </row>
    <row collapsed="" customFormat="false" customHeight="1" hidden="" ht="14" outlineLevel="0" r="9075">
      <c r="A9075" s="3" t="inlineStr">
        <is>
          <t>9039</t>
        </is>
      </c>
      <c r="B9075" s="4" t="s">
        <f>=HYPERLINK("http://anyluxury.ru/shop/odezhda/kurtki/kurtka-new-york-women-zheltiy-neon-01473306/" , "01473306 Куртка NEW YORK WOMEN неоновый желтый, размер L")</f>
      </c>
      <c r="C9075" s="4" t="n">
        <v>8340.00</v>
      </c>
      <c r="D9075" s="4"/>
    </row>
    <row collapsed="" customFormat="false" customHeight="1" hidden="" ht="14" outlineLevel="0" r="9076">
      <c r="A9076" s="3" t="inlineStr">
        <is>
          <t>9040</t>
        </is>
      </c>
      <c r="B9076" s="4" t="s">
        <f>=HYPERLINK("http://anyluxury.ru/shop/odezhda/kurtki/kurtka-new-york-women-zheltiy-neon-01473306/" , "01473306 Куртка NEW YORK WOMEN неоновый желтый, размер XL")</f>
      </c>
      <c r="C9076" s="4" t="n">
        <v>8340.00</v>
      </c>
      <c r="D9076" s="4"/>
    </row>
    <row collapsed="" customFormat="false" customHeight="1" hidden="" ht="14" outlineLevel="0" r="9077">
      <c r="A9077" s="3" t="inlineStr">
        <is>
          <t>9041</t>
        </is>
      </c>
      <c r="B9077" s="4" t="s">
        <f>=HYPERLINK("http://anyluxury.ru/shop/odezhda/kurtki/kurtka-new-york-women-zheltiy-neon-01473306/" , "01473306 Куртка NEW YORK WOMEN неоновый желтый, размер XXL")</f>
      </c>
      <c r="C9077" s="4" t="n">
        <v>8340.00</v>
      </c>
      <c r="D9077" s="4"/>
    </row>
    <row collapsed="" customFormat="false" customHeight="1" hidden="" ht="14" outlineLevel="0" r="9078">
      <c r="A9078" s="3" t="inlineStr">
        <is>
          <t>9042</t>
        </is>
      </c>
      <c r="B9078" s="4" t="s">
        <f>=HYPERLINK("http://anyluxury.ru/shop/odezhda/kurtki/kurtka-softshell-muzhskaya-trial-belaya-208460/" , "2084.60 Куртка софтшелл мужская TRIAL белая, размер S")</f>
      </c>
      <c r="C9078" s="4" t="n">
        <v>6021.00</v>
      </c>
      <c r="D9078" s="4"/>
    </row>
    <row collapsed="" customFormat="false" customHeight="1" hidden="" ht="14" outlineLevel="0" r="9079">
      <c r="A9079" s="3" t="inlineStr">
        <is>
          <t>9043</t>
        </is>
      </c>
      <c r="B9079" s="4" t="s">
        <f>=HYPERLINK("http://anyluxury.ru/shop/odezhda/kurtki/kurtka-softshell-muzhskaya-trial-belaya-208460/" , "2084.60 Куртка софтшелл мужская TRIAL белая, размер 3XL")</f>
      </c>
      <c r="C9079" s="4" t="n">
        <v>6021.00</v>
      </c>
      <c r="D9079" s="4"/>
    </row>
    <row collapsed="" customFormat="false" customHeight="1" hidden="" ht="14" outlineLevel="0" r="9080">
      <c r="A9080" s="3" t="inlineStr">
        <is>
          <t>9044</t>
        </is>
      </c>
      <c r="B9080" s="4" t="s">
        <f>=HYPERLINK("http://anyluxury.ru/shop/odezhda/kurtki/kurtka-softshell-muzhskaya-trial-krasnaya-208450/" , "2084.50 Куртка софтшелл мужская TRIAL красная, размер S")</f>
      </c>
      <c r="C9080" s="4" t="n">
        <v>6021.00</v>
      </c>
      <c r="D9080" s="4"/>
    </row>
    <row collapsed="" customFormat="false" customHeight="1" hidden="" ht="14" outlineLevel="0" r="9081">
      <c r="A9081" s="3" t="inlineStr">
        <is>
          <t>9045</t>
        </is>
      </c>
      <c r="B9081" s="4" t="s">
        <f>=HYPERLINK("http://anyluxury.ru/shop/odezhda/kurtki/kurtka-softshell-muzhskaya-trial-krasnaya-208450/" , "2084.50 Куртка софтшелл мужская TRIAL красная, размер M")</f>
      </c>
      <c r="C9081" s="4" t="n">
        <v>6021.00</v>
      </c>
      <c r="D9081" s="4"/>
    </row>
    <row collapsed="" customFormat="false" customHeight="1" hidden="" ht="14" outlineLevel="0" r="9082">
      <c r="A9082" s="3" t="inlineStr">
        <is>
          <t>9046</t>
        </is>
      </c>
      <c r="B9082" s="4" t="s">
        <f>=HYPERLINK("http://anyluxury.ru/shop/odezhda/kurtki/kurtka-softshell-muzhskaya-trial-krasnaya-208450/" , "2084.50 Куртка софтшелл мужская TRIAL красная, размер 3XL")</f>
      </c>
      <c r="C9082" s="4" t="n">
        <v>6021.00</v>
      </c>
      <c r="D9082" s="4"/>
    </row>
    <row collapsed="" customFormat="false" customHeight="1" hidden="" ht="14" outlineLevel="0" r="9083">
      <c r="A9083" s="3" t="inlineStr">
        <is>
          <t>9047</t>
        </is>
      </c>
      <c r="B9083" s="4" t="s">
        <f>=HYPERLINK("http://anyluxury.ru/shop/odezhda/kurtki/kurtka-softshell-muzhskaya-trial-zelenaya-208492/" , "2084.92 Куртка софтшелл мужская TRIAL зеленая, размер S")</f>
      </c>
      <c r="C9083" s="4" t="n">
        <v>6021.00</v>
      </c>
      <c r="D9083" s="4"/>
    </row>
    <row collapsed="" customFormat="false" customHeight="1" hidden="" ht="14" outlineLevel="0" r="9084">
      <c r="A9084" s="3" t="inlineStr">
        <is>
          <t>9048</t>
        </is>
      </c>
      <c r="B9084" s="4" t="s">
        <f>=HYPERLINK("http://anyluxury.ru/shop/odezhda/kurtki/kurtka-softshell-muzhskaya-trial-temnosinyaya-208440/" , "2084.40 Куртка софтшелл мужская TRIAL темно-синяя, размер S")</f>
      </c>
      <c r="C9084" s="4" t="n">
        <v>6021.00</v>
      </c>
      <c r="D9084" s="4"/>
    </row>
    <row collapsed="" customFormat="false" customHeight="1" hidden="" ht="14" outlineLevel="0" r="9085">
      <c r="A9085" s="3" t="inlineStr">
        <is>
          <t>9049</t>
        </is>
      </c>
      <c r="B9085" s="4" t="s">
        <f>=HYPERLINK("http://anyluxury.ru/shop/odezhda/kurtki/kurtka-softshell-zhenskaya-trial-lady-belaya-208560/" , "2085.60 Куртка софтшелл женская TRIAL LADY белая, размер XS")</f>
      </c>
      <c r="C9085" s="4" t="n">
        <v>6021.00</v>
      </c>
      <c r="D9085" s="4"/>
    </row>
    <row collapsed="" customFormat="false" customHeight="1" hidden="" ht="14" outlineLevel="0" r="9086">
      <c r="A9086" s="3" t="inlineStr">
        <is>
          <t>9050</t>
        </is>
      </c>
      <c r="B9086" s="4" t="s">
        <f>=HYPERLINK("http://anyluxury.ru/shop/odezhda/kurtki/kurtka-softshell-zhenskaya-trial-lady-belaya-208560/" , "2085.60 Куртка софтшелл женская TRIAL LADY белая, размер XXL")</f>
      </c>
      <c r="C9086" s="4" t="n">
        <v>6021.00</v>
      </c>
      <c r="D9086" s="4"/>
    </row>
    <row collapsed="" customFormat="false" customHeight="1" hidden="" ht="14" outlineLevel="0" r="9087">
      <c r="A9087" s="3" t="inlineStr">
        <is>
          <t>9051</t>
        </is>
      </c>
      <c r="B9087" s="4" t="s">
        <f>=HYPERLINK("http://anyluxury.ru/shop/odezhda/kurtki/kurtka-softshell-zhenskaya-trial-lady-krasnaya-208550/" , "2085.50 Куртка софтшелл женская TRIAL LADY красная, размер XS")</f>
      </c>
      <c r="C9087" s="4" t="n">
        <v>6021.00</v>
      </c>
      <c r="D9087" s="4"/>
    </row>
    <row collapsed="" customFormat="false" customHeight="1" hidden="" ht="14" outlineLevel="0" r="9088">
      <c r="A9088" s="3" t="inlineStr">
        <is>
          <t>9052</t>
        </is>
      </c>
      <c r="B9088" s="4" t="s">
        <f>=HYPERLINK("http://anyluxury.ru/shop/odezhda/kurtki/kurtka-softshell-zhenskaya-trial-lady-krasnaya-208550/" , "2085.50 Куртка софтшелл женская TRIAL LADY красная, размер M")</f>
      </c>
      <c r="C9088" s="4" t="n">
        <v>6021.00</v>
      </c>
      <c r="D9088" s="4"/>
    </row>
    <row collapsed="" customFormat="false" customHeight="1" hidden="" ht="14" outlineLevel="0" r="9089">
      <c r="A9089" s="3" t="inlineStr">
        <is>
          <t>9053</t>
        </is>
      </c>
      <c r="B9089" s="4" t="s">
        <f>=HYPERLINK("http://anyluxury.ru/shop/odezhda/kurtki/kurtka-softshell-zhenskaya-trial-lady-zelenaya-208592/" , "2085.92 Куртка софтшелл женская TRIAL LADY зеленая, размер XS")</f>
      </c>
      <c r="C9089" s="4" t="n">
        <v>6021.00</v>
      </c>
      <c r="D9089" s="4"/>
    </row>
    <row collapsed="" customFormat="false" customHeight="1" hidden="" ht="14" outlineLevel="0" r="9090">
      <c r="A9090" s="3" t="inlineStr">
        <is>
          <t>9054</t>
        </is>
      </c>
      <c r="B9090" s="4" t="s">
        <f>=HYPERLINK("http://anyluxury.ru/shop/odezhda/kurtki/kurtka-softshell-zhenskaya-trial-lady-zelenaya-208592/" , "2085.92 Куртка софтшелл женская TRIAL LADY зеленая, размер S")</f>
      </c>
      <c r="C9090" s="4" t="n">
        <v>6021.00</v>
      </c>
      <c r="D9090" s="4"/>
    </row>
    <row collapsed="" customFormat="false" customHeight="1" hidden="" ht="14" outlineLevel="0" r="9091">
      <c r="A9091" s="3" t="inlineStr">
        <is>
          <t>9055</t>
        </is>
      </c>
      <c r="B9091" s="4" t="s">
        <f>=HYPERLINK("http://anyluxury.ru/shop/odezhda/kurtki/kurtka-softshell-zhenskaya-trial-lady-zelenaya-208592/" , "2085.92 Куртка софтшелл женская TRIAL LADY зеленая, размер M")</f>
      </c>
      <c r="C9091" s="4" t="n">
        <v>6021.00</v>
      </c>
      <c r="D9091" s="4"/>
    </row>
    <row collapsed="" customFormat="false" customHeight="1" hidden="" ht="14" outlineLevel="0" r="9092">
      <c r="A9092" s="3" t="inlineStr">
        <is>
          <t>9056</t>
        </is>
      </c>
      <c r="B9092" s="4" t="s">
        <f>=HYPERLINK("http://anyluxury.ru/shop/odezhda/kurtki/kurtka-softshell-zhenskaya-trial-lady-zelenaya-208592/" , "2085.92 Куртка софтшелл женская TRIAL LADY зеленая, размер XL")</f>
      </c>
      <c r="C9092" s="4" t="n">
        <v>6021.00</v>
      </c>
      <c r="D9092" s="4"/>
    </row>
    <row collapsed="" customFormat="false" customHeight="1" hidden="" ht="14" outlineLevel="0" r="9093">
      <c r="A9093" s="3" t="inlineStr">
        <is>
          <t>9057</t>
        </is>
      </c>
      <c r="B9093" s="4" t="s">
        <f>=HYPERLINK("http://anyluxury.ru/shop/odezhda/kurtki/kurtka-softshell-zhenskaya-trial-lady-zelenaya-208592/" , "2085.92 Куртка софтшелл женская TRIAL LADY зеленая, размер XXL")</f>
      </c>
      <c r="C9093" s="4" t="n">
        <v>6021.00</v>
      </c>
      <c r="D9093" s="4"/>
    </row>
    <row collapsed="" customFormat="false" customHeight="1" hidden="" ht="14" outlineLevel="0" r="9094">
      <c r="A9094" s="3" t="inlineStr">
        <is>
          <t>9058</t>
        </is>
      </c>
      <c r="B9094" s="4" t="s">
        <f>=HYPERLINK("http://anyluxury.ru/shop/odezhda/kurtki/kurtka-softshell-zhenskaya-trial-lady-temnosinyaya-208540/" , "2085.40 Куртка софтшелл женская TRIAL LADY темно-синяя, размер XS")</f>
      </c>
      <c r="C9094" s="4" t="n">
        <v>6021.00</v>
      </c>
      <c r="D9094" s="4"/>
    </row>
    <row collapsed="" customFormat="false" customHeight="1" hidden="" ht="14" outlineLevel="0" r="9095">
      <c r="A9095" s="3" t="inlineStr">
        <is>
          <t>9059</t>
        </is>
      </c>
      <c r="B9095" s="4" t="s">
        <f>=HYPERLINK("http://anyluxury.ru/shop/odezhda/kurtki/kurtka-softshell-zhenskaya-trial-lady-temnosinyaya-208540/" , "2085.40 Куртка софтшелл женская TRIAL LADY темно-синяя, размер L")</f>
      </c>
      <c r="C9095" s="4" t="n">
        <v>6021.00</v>
      </c>
      <c r="D9095" s="4"/>
    </row>
    <row collapsed="" customFormat="false" customHeight="1" hidden="" ht="14" outlineLevel="0" r="9096">
      <c r="A9096" s="3" t="inlineStr">
        <is>
          <t>9060</t>
        </is>
      </c>
      <c r="B9096" s="4" t="s">
        <f>=HYPERLINK("http://anyluxury.ru/shop/odezhda/kurtki/kurtka-softshell-zhenskaya-trial-lady-temnosinyaya-208540/" , "2085.40 Куртка софтшелл женская TRIAL LADY темно-синяя, размер XL")</f>
      </c>
      <c r="C9096" s="4" t="n">
        <v>6021.00</v>
      </c>
      <c r="D9096" s="4"/>
    </row>
    <row collapsed="" customFormat="false" customHeight="1" hidden="" ht="14" outlineLevel="0" r="9097">
      <c r="A9097" s="3" t="inlineStr">
        <is>
          <t>9061</t>
        </is>
      </c>
      <c r="B9097" s="4" t="s">
        <f>=HYPERLINK("http://anyluxury.ru/shop/odezhda/kurtki/kurtka-softshell-zhenskaya-trial-lady-temnosinyaya-208540/" , "2085.40 Куртка софтшелл женская TRIAL LADY темно-синяя, размер XXL")</f>
      </c>
      <c r="C9097" s="4" t="n">
        <v>6021.00</v>
      </c>
      <c r="D9097" s="4"/>
    </row>
    <row collapsed="" customFormat="false" customHeight="1" hidden="" ht="14" outlineLevel="0" r="9098">
      <c r="A9098" s="3" t="inlineStr">
        <is>
          <t>9062</t>
        </is>
      </c>
      <c r="B9098" s="4" t="s">
        <f>=HYPERLINK("http://anyluxury.ru/shop/odezhda/kurtki/kurtka-uniseks-volt-chernaya-01646312/" , "01646312 Куртка унисекс VOLT черная, размер XS")</f>
      </c>
      <c r="C9098" s="4" t="n">
        <v>5999.00</v>
      </c>
      <c r="D9098" s="4"/>
    </row>
    <row collapsed="" customFormat="false" customHeight="1" hidden="" ht="14" outlineLevel="0" r="9099">
      <c r="A9099" s="3" t="inlineStr">
        <is>
          <t>9063</t>
        </is>
      </c>
      <c r="B9099" s="4" t="s">
        <f>=HYPERLINK("http://anyluxury.ru/shop/odezhda/kurtki/kurtka-uniseks-volt-chernaya-01646312/" , "01646312 Куртка унисекс VOLT черная, размер S")</f>
      </c>
      <c r="C9099" s="4" t="n">
        <v>5999.00</v>
      </c>
      <c r="D9099" s="4"/>
    </row>
    <row collapsed="" customFormat="false" customHeight="1" hidden="" ht="14" outlineLevel="0" r="9100">
      <c r="A9100" s="3" t="inlineStr">
        <is>
          <t>9064</t>
        </is>
      </c>
      <c r="B9100" s="4" t="s">
        <f>=HYPERLINK("http://anyluxury.ru/shop/odezhda/kurtki/kurtka-uniseks-volt-chernaya-01646312/" , "01646312 Куртка унисекс VOLT черная, размер M")</f>
      </c>
      <c r="C9100" s="4" t="n">
        <v>5999.00</v>
      </c>
      <c r="D9100" s="4"/>
    </row>
    <row collapsed="" customFormat="false" customHeight="1" hidden="" ht="14" outlineLevel="0" r="9101">
      <c r="A9101" s="3" t="inlineStr">
        <is>
          <t>9065</t>
        </is>
      </c>
      <c r="B9101" s="4" t="s">
        <f>=HYPERLINK("http://anyluxury.ru/shop/odezhda/kurtki/kurtka-uniseks-volt-chernaya-01646312/" , "01646312 Куртка унисекс VOLT черная, размер L")</f>
      </c>
      <c r="C9101" s="4" t="n">
        <v>5999.00</v>
      </c>
      <c r="D9101" s="4"/>
    </row>
    <row collapsed="" customFormat="false" customHeight="1" hidden="" ht="14" outlineLevel="0" r="9102">
      <c r="A9102" s="3" t="inlineStr">
        <is>
          <t>9066</t>
        </is>
      </c>
      <c r="B9102" s="4" t="s">
        <f>=HYPERLINK("http://anyluxury.ru/shop/odezhda/kurtki/kurtka-uniseks-volt-chernaya-01646312/" , "01646312 Куртка унисекс VOLT черная, размер XL")</f>
      </c>
      <c r="C9102" s="4" t="n">
        <v>5999.00</v>
      </c>
      <c r="D9102" s="4"/>
    </row>
    <row collapsed="" customFormat="false" customHeight="1" hidden="" ht="14" outlineLevel="0" r="9103">
      <c r="A9103" s="3" t="inlineStr">
        <is>
          <t>9067</t>
        </is>
      </c>
      <c r="B9103" s="4" t="s">
        <f>=HYPERLINK("http://anyluxury.ru/shop/odezhda/kurtki/kurtka-uniseks-volt-chernaya-01646312/" , "01646312 Куртка унисекс VOLT черная, размер XXL")</f>
      </c>
      <c r="C9103" s="4" t="n">
        <v>5999.00</v>
      </c>
      <c r="D9103" s="4"/>
    </row>
    <row collapsed="" customFormat="false" customHeight="1" hidden="" ht="14" outlineLevel="0" r="9104">
      <c r="A9104" s="3" t="inlineStr">
        <is>
          <t>9068</t>
        </is>
      </c>
      <c r="B9104" s="4" t="s">
        <f>=HYPERLINK("http://anyluxury.ru/shop/odezhda/kurtki/kurtka-uniseks-volt-chernaya-01646312/" , "01646312 Куртка унисекс VOLT черная, размер 3XL")</f>
      </c>
      <c r="C9104" s="4" t="n">
        <v>6910.00</v>
      </c>
      <c r="D9104" s="4"/>
    </row>
    <row collapsed="" customFormat="false" customHeight="1" hidden="" ht="14" outlineLevel="0" r="9105">
      <c r="A9105" s="3" t="inlineStr">
        <is>
          <t>9069</t>
        </is>
      </c>
      <c r="B9105" s="4" t="s">
        <f>=HYPERLINK("http://anyluxury.ru/shop/odezhda/kurtki/kurtka-uniseks-volt-cherniy-melanzh-01646348/" , "01646348 Куртка унисекс VOLT черный меланж, размер XS")</f>
      </c>
      <c r="C9105" s="4" t="n">
        <v>5999.00</v>
      </c>
      <c r="D9105" s="4"/>
    </row>
    <row collapsed="" customFormat="false" customHeight="1" hidden="" ht="14" outlineLevel="0" r="9106">
      <c r="A9106" s="3" t="inlineStr">
        <is>
          <t>9070</t>
        </is>
      </c>
      <c r="B9106" s="4" t="s">
        <f>=HYPERLINK("http://anyluxury.ru/shop/odezhda/kurtki/kurtka-uniseks-volt-cherniy-melanzh-01646348/" , "01646348 Куртка унисекс VOLT черный меланж, размер S")</f>
      </c>
      <c r="C9106" s="4" t="n">
        <v>5999.00</v>
      </c>
      <c r="D9106" s="4"/>
    </row>
    <row collapsed="" customFormat="false" customHeight="1" hidden="" ht="14" outlineLevel="0" r="9107">
      <c r="A9107" s="3" t="inlineStr">
        <is>
          <t>9071</t>
        </is>
      </c>
      <c r="B9107" s="4" t="s">
        <f>=HYPERLINK("http://anyluxury.ru/shop/odezhda/kurtki/kurtka-uniseks-volt-cherniy-melanzh-01646348/" , "01646348 Куртка унисекс VOLT черный меланж, размер M")</f>
      </c>
      <c r="C9107" s="4" t="n">
        <v>5999.00</v>
      </c>
      <c r="D9107" s="4"/>
    </row>
    <row collapsed="" customFormat="false" customHeight="1" hidden="" ht="14" outlineLevel="0" r="9108">
      <c r="A9108" s="3" t="inlineStr">
        <is>
          <t>9072</t>
        </is>
      </c>
      <c r="B9108" s="4" t="s">
        <f>=HYPERLINK("http://anyluxury.ru/shop/odezhda/kurtki/kurtka-uniseks-volt-cherniy-melanzh-01646348/" , "01646348 Куртка унисекс VOLT черный меланж, размер L")</f>
      </c>
      <c r="C9108" s="4" t="n">
        <v>5999.00</v>
      </c>
      <c r="D9108" s="4"/>
    </row>
    <row collapsed="" customFormat="false" customHeight="1" hidden="" ht="14" outlineLevel="0" r="9109">
      <c r="A9109" s="3" t="inlineStr">
        <is>
          <t>9073</t>
        </is>
      </c>
      <c r="B9109" s="4" t="s">
        <f>=HYPERLINK("http://anyluxury.ru/shop/odezhda/kurtki/kurtka-uniseks-volt-cherniy-melanzh-01646348/" , "01646348 Куртка унисекс VOLT черный меланж, размер XL")</f>
      </c>
      <c r="C9109" s="4" t="n">
        <v>5999.00</v>
      </c>
      <c r="D9109" s="4"/>
    </row>
    <row collapsed="" customFormat="false" customHeight="1" hidden="" ht="14" outlineLevel="0" r="9110">
      <c r="A9110" s="3" t="inlineStr">
        <is>
          <t>9074</t>
        </is>
      </c>
      <c r="B9110" s="4" t="s">
        <f>=HYPERLINK("http://anyluxury.ru/shop/odezhda/kurtki/kurtka-uniseks-volt-cherniy-melanzh-01646348/" , "01646348 Куртка унисекс VOLT черный меланж, размер XXL")</f>
      </c>
      <c r="C9110" s="4" t="n">
        <v>5999.00</v>
      </c>
      <c r="D9110" s="4"/>
    </row>
    <row collapsed="" customFormat="false" customHeight="1" hidden="" ht="14" outlineLevel="0" r="9111">
      <c r="A9111" s="3" t="inlineStr">
        <is>
          <t>9075</t>
        </is>
      </c>
      <c r="B9111" s="4" t="s">
        <f>=HYPERLINK("http://anyluxury.ru/shop/odezhda/kurtki/kurtka-uniseks-volt-cherniy-melanzh-01646348/" , "01646348 Куртка унисекс VOLT черный меланж, размер 3XL")</f>
      </c>
      <c r="C9111" s="4" t="n">
        <v>6910.00</v>
      </c>
      <c r="D9111" s="4"/>
    </row>
    <row collapsed="" customFormat="false" customHeight="1" hidden="" ht="14" outlineLevel="0" r="9112">
      <c r="A9112" s="3" t="inlineStr">
        <is>
          <t>9076</t>
        </is>
      </c>
      <c r="B9112" s="4" t="s">
        <f>=HYPERLINK("http://anyluxury.ru/shop/odezhda/kurtki/kurtka-uniseks-volt-temnosinyaya-01646319/" , "01646319 Куртка унисекс VOLT темно-синяя, размер XS")</f>
      </c>
      <c r="C9112" s="4" t="n">
        <v>5999.00</v>
      </c>
      <c r="D9112" s="4"/>
    </row>
    <row collapsed="" customFormat="false" customHeight="1" hidden="" ht="14" outlineLevel="0" r="9113">
      <c r="A9113" s="3" t="inlineStr">
        <is>
          <t>9077</t>
        </is>
      </c>
      <c r="B9113" s="4" t="s">
        <f>=HYPERLINK("http://anyluxury.ru/shop/odezhda/kurtki/kurtka-uniseks-volt-temnosinyaya-01646319/" , "01646319 Куртка унисекс VOLT темно-синяя, размер S")</f>
      </c>
      <c r="C9113" s="4" t="n">
        <v>5999.00</v>
      </c>
      <c r="D9113" s="4"/>
    </row>
    <row collapsed="" customFormat="false" customHeight="1" hidden="" ht="14" outlineLevel="0" r="9114">
      <c r="A9114" s="3" t="inlineStr">
        <is>
          <t>9078</t>
        </is>
      </c>
      <c r="B9114" s="4" t="s">
        <f>=HYPERLINK("http://anyluxury.ru/shop/odezhda/kurtki/kurtka-uniseks-volt-temnosinyaya-01646319/" , "01646319 Куртка унисекс VOLT темно-синяя, размер M")</f>
      </c>
      <c r="C9114" s="4" t="n">
        <v>5999.00</v>
      </c>
      <c r="D9114" s="4"/>
    </row>
    <row collapsed="" customFormat="false" customHeight="1" hidden="" ht="14" outlineLevel="0" r="9115">
      <c r="A9115" s="3" t="inlineStr">
        <is>
          <t>9079</t>
        </is>
      </c>
      <c r="B9115" s="4" t="s">
        <f>=HYPERLINK("http://anyluxury.ru/shop/odezhda/kurtki/kurtka-uniseks-volt-temnosinyaya-01646319/" , "01646319 Куртка унисекс VOLT темно-синяя, размер L")</f>
      </c>
      <c r="C9115" s="4" t="n">
        <v>5999.00</v>
      </c>
      <c r="D9115" s="4"/>
    </row>
    <row collapsed="" customFormat="false" customHeight="1" hidden="" ht="14" outlineLevel="0" r="9116">
      <c r="A9116" s="3" t="inlineStr">
        <is>
          <t>9080</t>
        </is>
      </c>
      <c r="B9116" s="4" t="s">
        <f>=HYPERLINK("http://anyluxury.ru/shop/odezhda/kurtki/kurtka-uniseks-volt-temnosinyaya-01646319/" , "01646319 Куртка унисекс VOLT темно-синяя, размер XL")</f>
      </c>
      <c r="C9116" s="4" t="n">
        <v>5999.00</v>
      </c>
      <c r="D9116" s="4"/>
    </row>
    <row collapsed="" customFormat="false" customHeight="1" hidden="" ht="14" outlineLevel="0" r="9117">
      <c r="A9117" s="3" t="inlineStr">
        <is>
          <t>9081</t>
        </is>
      </c>
      <c r="B9117" s="4" t="s">
        <f>=HYPERLINK("http://anyluxury.ru/shop/odezhda/kurtki/kurtka-uniseks-volt-temnosinyaya-01646319/" , "01646319 Куртка унисекс VOLT темно-синяя, размер XXL")</f>
      </c>
      <c r="C9117" s="4" t="n">
        <v>5999.00</v>
      </c>
      <c r="D9117" s="4"/>
    </row>
    <row collapsed="" customFormat="false" customHeight="1" hidden="" ht="14" outlineLevel="0" r="9118">
      <c r="A9118" s="3" t="inlineStr">
        <is>
          <t>9082</t>
        </is>
      </c>
      <c r="B9118" s="4" t="s">
        <f>=HYPERLINK("http://anyluxury.ru/shop/odezhda/kurtki/kurtka-uniseks-volt-temnosinyaya-01646319/" , "01646319 Куртка унисекс VOLT темно-синяя, размер 3XL")</f>
      </c>
      <c r="C9118" s="4" t="n">
        <v>6910.00</v>
      </c>
      <c r="D9118" s="4"/>
    </row>
    <row collapsed="" customFormat="false" customHeight="1" hidden="" ht="14" outlineLevel="0" r="9119">
      <c r="A9119" s="3" t="inlineStr">
        <is>
          <t>9083</t>
        </is>
      </c>
      <c r="B9119" s="4" t="s">
        <f>=HYPERLINK("http://anyluxury.ru/shop/odezhda/kurtki/kurtka-flisovaya-turbo-krasnaya-s-chernim-01652937/" , "01652937 Куртка флисовая TURBO красный/черный, размер XS")</f>
      </c>
      <c r="C9119" s="4" t="n">
        <v>3227.00</v>
      </c>
      <c r="D9119" s="4"/>
    </row>
    <row collapsed="" customFormat="false" customHeight="1" hidden="" ht="14" outlineLevel="0" r="9120">
      <c r="A9120" s="3" t="inlineStr">
        <is>
          <t>9084</t>
        </is>
      </c>
      <c r="B9120" s="4" t="s">
        <f>=HYPERLINK("http://anyluxury.ru/shop/odezhda/kurtki/kurtka-flisovaya-turbo-krasnaya-s-chernim-01652937/" , "01652937 Куртка флисовая TURBO красный/черный, размер S")</f>
      </c>
      <c r="C9120" s="4" t="n">
        <v>3227.00</v>
      </c>
      <c r="D9120" s="4"/>
    </row>
    <row collapsed="" customFormat="false" customHeight="1" hidden="" ht="14" outlineLevel="0" r="9121">
      <c r="A9121" s="3" t="inlineStr">
        <is>
          <t>9085</t>
        </is>
      </c>
      <c r="B9121" s="4" t="s">
        <f>=HYPERLINK("http://anyluxury.ru/shop/odezhda/kurtki/kurtka-flisovaya-turbo-krasnaya-s-chernim-01652937/" , "01652937 Куртка флисовая TURBO красный/черный, размер M")</f>
      </c>
      <c r="C9121" s="4" t="n">
        <v>3227.00</v>
      </c>
      <c r="D9121" s="4"/>
    </row>
    <row collapsed="" customFormat="false" customHeight="1" hidden="" ht="14" outlineLevel="0" r="9122">
      <c r="A9122" s="3" t="inlineStr">
        <is>
          <t>9086</t>
        </is>
      </c>
      <c r="B9122" s="4" t="s">
        <f>=HYPERLINK("http://anyluxury.ru/shop/odezhda/kurtki/kurtka-flisovaya-turbo-krasnaya-s-chernim-01652937/" , "01652937 Куртка флисовая TURBO красный/черный, размер L")</f>
      </c>
      <c r="C9122" s="4" t="n">
        <v>3227.00</v>
      </c>
      <c r="D9122" s="4"/>
    </row>
    <row collapsed="" customFormat="false" customHeight="1" hidden="" ht="14" outlineLevel="0" r="9123">
      <c r="A9123" s="3" t="inlineStr">
        <is>
          <t>9087</t>
        </is>
      </c>
      <c r="B9123" s="4" t="s">
        <f>=HYPERLINK("http://anyluxury.ru/shop/odezhda/kurtki/kurtka-flisovaya-turbo-krasnaya-s-chernim-01652937/" , "01652937 Куртка флисовая TURBO красный/черный, размер XL")</f>
      </c>
      <c r="C9123" s="4" t="n">
        <v>3227.00</v>
      </c>
      <c r="D9123" s="4"/>
    </row>
    <row collapsed="" customFormat="false" customHeight="1" hidden="" ht="14" outlineLevel="0" r="9124">
      <c r="A9124" s="3" t="inlineStr">
        <is>
          <t>9088</t>
        </is>
      </c>
      <c r="B9124" s="4" t="s">
        <f>=HYPERLINK("http://anyluxury.ru/shop/odezhda/kurtki/kurtka-flisovaya-turbo-krasnaya-s-chernim-01652937/" , "01652937 Куртка флисовая TURBO красный/черный, размер XXL")</f>
      </c>
      <c r="C9124" s="4" t="n">
        <v>3227.00</v>
      </c>
      <c r="D9124" s="4"/>
    </row>
    <row collapsed="" customFormat="false" customHeight="1" hidden="" ht="14" outlineLevel="0" r="9125">
      <c r="A9125" s="3" t="inlineStr">
        <is>
          <t>9089</t>
        </is>
      </c>
      <c r="B9125" s="4" t="s">
        <f>=HYPERLINK("http://anyluxury.ru/shop/odezhda/kurtki/kurtka-flisovaya-turbo-krasnaya-s-chernim-01652937/" , "01652937 Куртка флисовая TURBO красный/черный, размер 3XL")</f>
      </c>
      <c r="C9125" s="4" t="n">
        <v>3699.00</v>
      </c>
      <c r="D9125" s="4"/>
    </row>
    <row collapsed="" customFormat="false" customHeight="1" hidden="" ht="14" outlineLevel="0" r="9126">
      <c r="A9126" s="3" t="inlineStr">
        <is>
          <t>9090</t>
        </is>
      </c>
      <c r="B9126" s="4" t="s">
        <f>=HYPERLINK("http://anyluxury.ru/shop/odezhda/kurtki/kurtka-flisovaya-turbo-krasnaya-s-chernim-01652937/" , "01652937 Куртка флисовая TURBO красный/черный, размер 4XL")</f>
      </c>
      <c r="C9126" s="4" t="n">
        <v>3699.00</v>
      </c>
      <c r="D9126" s="4"/>
    </row>
    <row collapsed="" customFormat="false" customHeight="1" hidden="" ht="14" outlineLevel="0" r="9127">
      <c r="A9127" s="3" t="inlineStr">
        <is>
          <t>9091</t>
        </is>
      </c>
      <c r="B9127" s="4" t="s">
        <f>=HYPERLINK("http://anyluxury.ru/shop/odezhda/kurtki/kurtka-flisovaya-turbo-krasnaya-s-chernim-01652937/" , "01652937 Куртка флисовая TURBO красный/черный, размер 5XL")</f>
      </c>
      <c r="C9127" s="4" t="n">
        <v>3699.00</v>
      </c>
      <c r="D9127" s="4"/>
    </row>
    <row collapsed="" customFormat="false" customHeight="1" hidden="" ht="14" outlineLevel="0" r="9128">
      <c r="A9128" s="3" t="inlineStr">
        <is>
          <t>9092</t>
        </is>
      </c>
      <c r="B9128" s="4" t="s">
        <f>=HYPERLINK("http://anyluxury.ru/shop/odezhda/kurtki/kurtka-uniseks-volcano-cherniy-melanzh-s-chernim-01644500/" , "01644500 Куртка унисекс VOLCANO черный меланж/черный, размер XS")</f>
      </c>
      <c r="C9128" s="4" t="n">
        <v>6939.00</v>
      </c>
      <c r="D9128" s="4"/>
    </row>
    <row collapsed="" customFormat="false" customHeight="1" hidden="" ht="14" outlineLevel="0" r="9129">
      <c r="A9129" s="3" t="inlineStr">
        <is>
          <t>9093</t>
        </is>
      </c>
      <c r="B9129" s="4" t="s">
        <f>=HYPERLINK("http://anyluxury.ru/shop/odezhda/kurtki/kurtka-uniseks-volcano-cherniy-melanzh-s-chernim-01644500/" , "01644500 Куртка унисекс VOLCANO черный меланж/черный, размер S")</f>
      </c>
      <c r="C9129" s="4" t="n">
        <v>6939.00</v>
      </c>
      <c r="D9129" s="4"/>
    </row>
    <row collapsed="" customFormat="false" customHeight="1" hidden="" ht="14" outlineLevel="0" r="9130">
      <c r="A9130" s="3" t="inlineStr">
        <is>
          <t>9094</t>
        </is>
      </c>
      <c r="B9130" s="4" t="s">
        <f>=HYPERLINK("http://anyluxury.ru/shop/odezhda/kurtki/kurtka-uniseks-volcano-cherniy-melanzh-s-chernim-01644500/" , "01644500 Куртка унисекс VOLCANO черный меланж/черный, размер M")</f>
      </c>
      <c r="C9130" s="4" t="n">
        <v>6939.00</v>
      </c>
      <c r="D9130" s="4"/>
    </row>
    <row collapsed="" customFormat="false" customHeight="1" hidden="" ht="14" outlineLevel="0" r="9131">
      <c r="A9131" s="3" t="inlineStr">
        <is>
          <t>9095</t>
        </is>
      </c>
      <c r="B9131" s="4" t="s">
        <f>=HYPERLINK("http://anyluxury.ru/shop/odezhda/kurtki/kurtka-uniseks-volcano-cherniy-melanzh-s-chernim-01644500/" , "01644500 Куртка унисекс VOLCANO черный меланж/черный, размер L")</f>
      </c>
      <c r="C9131" s="4" t="n">
        <v>6939.00</v>
      </c>
      <c r="D9131" s="4"/>
    </row>
    <row collapsed="" customFormat="false" customHeight="1" hidden="" ht="14" outlineLevel="0" r="9132">
      <c r="A9132" s="3" t="inlineStr">
        <is>
          <t>9096</t>
        </is>
      </c>
      <c r="B9132" s="4" t="s">
        <f>=HYPERLINK("http://anyluxury.ru/shop/odezhda/kurtki/kurtka-uniseks-volcano-cherniy-melanzh-s-chernim-01644500/" , "01644500 Куртка унисекс VOLCANO черный меланж/черный, размер XL")</f>
      </c>
      <c r="C9132" s="4" t="n">
        <v>6939.00</v>
      </c>
      <c r="D9132" s="4"/>
    </row>
    <row collapsed="" customFormat="false" customHeight="1" hidden="" ht="14" outlineLevel="0" r="9133">
      <c r="A9133" s="3" t="inlineStr">
        <is>
          <t>9097</t>
        </is>
      </c>
      <c r="B9133" s="4" t="s">
        <f>=HYPERLINK("http://anyluxury.ru/shop/odezhda/kurtki/kurtka-uniseks-volcano-cherniy-melanzh-s-chernim-01644500/" , "01644500 Куртка унисекс VOLCANO черный меланж/черный, размер XXL")</f>
      </c>
      <c r="C9133" s="4" t="n">
        <v>6939.00</v>
      </c>
      <c r="D9133" s="4"/>
    </row>
    <row collapsed="" customFormat="false" customHeight="1" hidden="" ht="14" outlineLevel="0" r="9134">
      <c r="A9134" s="3" t="inlineStr">
        <is>
          <t>9098</t>
        </is>
      </c>
      <c r="B9134" s="4" t="s">
        <f>=HYPERLINK("http://anyluxury.ru/shop/odezhda/kurtki/kurtka-uniseks-volcano-cherniy-melanzh-s-chernim-01644500/" , "01644500 Куртка унисекс VOLCANO черный меланж/черный, размер 3XL")</f>
      </c>
      <c r="C9134" s="4" t="n">
        <v>6972.00</v>
      </c>
      <c r="D9134" s="4"/>
    </row>
    <row collapsed="" customFormat="false" customHeight="1" hidden="" ht="14" outlineLevel="0" r="9135">
      <c r="A9135" s="3" t="inlineStr">
        <is>
          <t>9099</t>
        </is>
      </c>
      <c r="B9135" s="4" t="s">
        <f>=HYPERLINK("http://anyluxury.ru/shop/odezhda/kurtki/kurtka-uniseks-rover-chernaya-01615312/" , "01615312 Куртка унисекс ROVER черная, размер XS")</f>
      </c>
      <c r="C9135" s="4" t="n">
        <v>4582.00</v>
      </c>
      <c r="D9135" s="4"/>
    </row>
    <row collapsed="" customFormat="false" customHeight="1" hidden="" ht="14" outlineLevel="0" r="9136">
      <c r="A9136" s="3" t="inlineStr">
        <is>
          <t>9100</t>
        </is>
      </c>
      <c r="B9136" s="4" t="s">
        <f>=HYPERLINK("http://anyluxury.ru/shop/odezhda/kurtki/kurtka-uniseks-rover-chernaya-01615312/" , "01615312 Куртка унисекс ROVER черная, размер S")</f>
      </c>
      <c r="C9136" s="4" t="n">
        <v>4582.00</v>
      </c>
      <c r="D9136" s="4"/>
    </row>
    <row collapsed="" customFormat="false" customHeight="1" hidden="" ht="14" outlineLevel="0" r="9137">
      <c r="A9137" s="3" t="inlineStr">
        <is>
          <t>9101</t>
        </is>
      </c>
      <c r="B9137" s="4" t="s">
        <f>=HYPERLINK("http://anyluxury.ru/shop/odezhda/kurtki/kurtka-uniseks-rover-chernaya-01615312/" , "01615312 Куртка унисекс ROVER черная, размер M")</f>
      </c>
      <c r="C9137" s="4" t="n">
        <v>4582.00</v>
      </c>
      <c r="D9137" s="4"/>
    </row>
    <row collapsed="" customFormat="false" customHeight="1" hidden="" ht="14" outlineLevel="0" r="9138">
      <c r="A9138" s="3" t="inlineStr">
        <is>
          <t>9102</t>
        </is>
      </c>
      <c r="B9138" s="4" t="s">
        <f>=HYPERLINK("http://anyluxury.ru/shop/odezhda/kurtki/kurtka-uniseks-rover-chernaya-01615312/" , "01615312 Куртка унисекс ROVER черная, размер L")</f>
      </c>
      <c r="C9138" s="4" t="n">
        <v>4762.00</v>
      </c>
      <c r="D9138" s="4"/>
    </row>
    <row collapsed="" customFormat="false" customHeight="1" hidden="" ht="14" outlineLevel="0" r="9139">
      <c r="A9139" s="3" t="inlineStr">
        <is>
          <t>9103</t>
        </is>
      </c>
      <c r="B9139" s="4" t="s">
        <f>=HYPERLINK("http://anyluxury.ru/shop/odezhda/kurtki/kurtka-uniseks-rover-chernaya-01615312/" , "01615312 Куртка унисекс ROVER черная, размер XL")</f>
      </c>
      <c r="C9139" s="4" t="n">
        <v>4582.00</v>
      </c>
      <c r="D9139" s="4"/>
    </row>
    <row collapsed="" customFormat="false" customHeight="1" hidden="" ht="14" outlineLevel="0" r="9140">
      <c r="A9140" s="3" t="inlineStr">
        <is>
          <t>9104</t>
        </is>
      </c>
      <c r="B9140" s="4" t="s">
        <f>=HYPERLINK("http://anyluxury.ru/shop/odezhda/kurtki/kurtka-uniseks-rover-chernaya-01615312/" , "01615312 Куртка унисекс ROVER черная, размер XXL")</f>
      </c>
      <c r="C9140" s="4" t="n">
        <v>4582.00</v>
      </c>
      <c r="D9140" s="4"/>
    </row>
    <row collapsed="" customFormat="false" customHeight="1" hidden="" ht="14" outlineLevel="0" r="9141">
      <c r="A9141" s="3" t="inlineStr">
        <is>
          <t>9105</t>
        </is>
      </c>
      <c r="B9141" s="4" t="s">
        <f>=HYPERLINK("http://anyluxury.ru/shop/odezhda/kurtki/kurtka-uniseks-rover-chernaya-01615312/" , "01615312 Куртка унисекс ROVER черная, размер 3XL")</f>
      </c>
      <c r="C9141" s="4" t="n">
        <v>5328.00</v>
      </c>
      <c r="D9141" s="4"/>
    </row>
    <row collapsed="" customFormat="false" customHeight="1" hidden="" ht="14" outlineLevel="0" r="9142">
      <c r="A9142" s="3" t="inlineStr">
        <is>
          <t>9106</t>
        </is>
      </c>
      <c r="B9142" s="4" t="s">
        <f>=HYPERLINK("http://anyluxury.ru/shop/odezhda/kurtki/kurtka-uniseks-rover-korichnevaya-01615406/" , "01615406 Куртка унисекс ROVER коричневая, размер XS")</f>
      </c>
      <c r="C9142" s="4" t="n">
        <v>4582.00</v>
      </c>
      <c r="D9142" s="4"/>
    </row>
    <row collapsed="" customFormat="false" customHeight="1" hidden="" ht="14" outlineLevel="0" r="9143">
      <c r="A9143" s="3" t="inlineStr">
        <is>
          <t>9107</t>
        </is>
      </c>
      <c r="B9143" s="4" t="s">
        <f>=HYPERLINK("http://anyluxury.ru/shop/odezhda/kurtki/kurtka-uniseks-rover-korichnevaya-01615406/" , "01615406 Куртка унисекс ROVER коричневая, размер S")</f>
      </c>
      <c r="C9143" s="4" t="n">
        <v>4582.00</v>
      </c>
      <c r="D9143" s="4"/>
    </row>
    <row collapsed="" customFormat="false" customHeight="1" hidden="" ht="14" outlineLevel="0" r="9144">
      <c r="A9144" s="3" t="inlineStr">
        <is>
          <t>9108</t>
        </is>
      </c>
      <c r="B9144" s="4" t="s">
        <f>=HYPERLINK("http://anyluxury.ru/shop/odezhda/kurtki/kurtka-uniseks-rover-korichnevaya-01615406/" , "01615406 Куртка унисекс ROVER коричневая, размер M")</f>
      </c>
      <c r="C9144" s="4" t="n">
        <v>4582.00</v>
      </c>
      <c r="D9144" s="4"/>
    </row>
    <row collapsed="" customFormat="false" customHeight="1" hidden="" ht="14" outlineLevel="0" r="9145">
      <c r="A9145" s="3" t="inlineStr">
        <is>
          <t>9109</t>
        </is>
      </c>
      <c r="B9145" s="4" t="s">
        <f>=HYPERLINK("http://anyluxury.ru/shop/odezhda/kurtki/kurtka-uniseks-rover-korichnevaya-01615406/" , "01615406 Куртка унисекс ROVER коричневая, размер L")</f>
      </c>
      <c r="C9145" s="4" t="n">
        <v>4582.00</v>
      </c>
      <c r="D9145" s="4"/>
    </row>
    <row collapsed="" customFormat="false" customHeight="1" hidden="" ht="14" outlineLevel="0" r="9146">
      <c r="A9146" s="3" t="inlineStr">
        <is>
          <t>9110</t>
        </is>
      </c>
      <c r="B9146" s="4" t="s">
        <f>=HYPERLINK("http://anyluxury.ru/shop/odezhda/kurtki/kurtka-uniseks-rover-korichnevaya-01615406/" , "01615406 Куртка унисекс ROVER коричневая, размер XL")</f>
      </c>
      <c r="C9146" s="4" t="n">
        <v>4582.00</v>
      </c>
      <c r="D9146" s="4"/>
    </row>
    <row collapsed="" customFormat="false" customHeight="1" hidden="" ht="14" outlineLevel="0" r="9147">
      <c r="A9147" s="3" t="inlineStr">
        <is>
          <t>9111</t>
        </is>
      </c>
      <c r="B9147" s="4" t="s">
        <f>=HYPERLINK("http://anyluxury.ru/shop/odezhda/kurtki/kurtka-uniseks-rover-korichnevaya-01615406/" , "01615406 Куртка унисекс ROVER коричневая, размер XXL")</f>
      </c>
      <c r="C9147" s="4" t="n">
        <v>4582.00</v>
      </c>
      <c r="D9147" s="4"/>
    </row>
    <row collapsed="" customFormat="false" customHeight="1" hidden="" ht="14" outlineLevel="0" r="9148">
      <c r="A9148" s="3" t="inlineStr">
        <is>
          <t>9112</t>
        </is>
      </c>
      <c r="B9148" s="4" t="s">
        <f>=HYPERLINK("http://anyluxury.ru/shop/odezhda/kurtki/kurtka-uniseks-rover-korichnevaya-01615406/" , "01615406 Куртка унисекс ROVER коричневая, размер 3XL")</f>
      </c>
      <c r="C9148" s="4" t="n">
        <v>5328.00</v>
      </c>
      <c r="D9148" s="4"/>
    </row>
    <row collapsed="" customFormat="false" customHeight="1" hidden="" ht="14" outlineLevel="0" r="9149">
      <c r="A9149" s="3" t="inlineStr">
        <is>
          <t>9113</t>
        </is>
      </c>
      <c r="B9149" s="4" t="s">
        <f>=HYPERLINK("http://anyluxury.ru/shop/odezhda/kurtki/kurtka-puhovaya-muzhskaya-ray-men-chernaya-01620312/" , "01620312 Куртка пуховая мужская RAY MEN черная, размер S")</f>
      </c>
      <c r="C9149" s="4" t="n">
        <v>9124.00</v>
      </c>
      <c r="D9149" s="4"/>
    </row>
    <row collapsed="" customFormat="false" customHeight="1" hidden="" ht="14" outlineLevel="0" r="9150">
      <c r="A9150" s="3" t="inlineStr">
        <is>
          <t>9114</t>
        </is>
      </c>
      <c r="B9150" s="4" t="s">
        <f>=HYPERLINK("http://anyluxury.ru/shop/odezhda/kurtki/kurtka-puhovaya-muzhskaya-ray-men-chernaya-01620312/" , "01620312 Куртка пуховая мужская RAY MEN черная, размер M")</f>
      </c>
      <c r="C9150" s="4" t="n">
        <v>9124.00</v>
      </c>
      <c r="D9150" s="4"/>
    </row>
    <row collapsed="" customFormat="false" customHeight="1" hidden="" ht="14" outlineLevel="0" r="9151">
      <c r="A9151" s="3" t="inlineStr">
        <is>
          <t>9115</t>
        </is>
      </c>
      <c r="B9151" s="4" t="s">
        <f>=HYPERLINK("http://anyluxury.ru/shop/odezhda/kurtki/kurtka-puhovaya-muzhskaya-ray-men-chernaya-01620312/" , "01620312 Куртка пуховая мужская RAY MEN черная, размер L")</f>
      </c>
      <c r="C9151" s="4" t="n">
        <v>9124.00</v>
      </c>
      <c r="D9151" s="4"/>
    </row>
    <row collapsed="" customFormat="false" customHeight="1" hidden="" ht="14" outlineLevel="0" r="9152">
      <c r="A9152" s="3" t="inlineStr">
        <is>
          <t>9116</t>
        </is>
      </c>
      <c r="B9152" s="4" t="s">
        <f>=HYPERLINK("http://anyluxury.ru/shop/odezhda/kurtki/kurtka-puhovaya-muzhskaya-ray-men-chernaya-01620312/" , "01620312 Куртка пуховая мужская RAY MEN черная, размер XL")</f>
      </c>
      <c r="C9152" s="4" t="n">
        <v>9124.00</v>
      </c>
      <c r="D9152" s="4"/>
    </row>
    <row collapsed="" customFormat="false" customHeight="1" hidden="" ht="14" outlineLevel="0" r="9153">
      <c r="A9153" s="3" t="inlineStr">
        <is>
          <t>9117</t>
        </is>
      </c>
      <c r="B9153" s="4" t="s">
        <f>=HYPERLINK("http://anyluxury.ru/shop/odezhda/kurtki/kurtka-puhovaya-muzhskaya-ray-men-chernaya-01620312/" , "01620312 Куртка пуховая мужская RAY MEN черная, размер XXL")</f>
      </c>
      <c r="C9153" s="4" t="n">
        <v>9124.00</v>
      </c>
      <c r="D9153" s="4"/>
    </row>
    <row collapsed="" customFormat="false" customHeight="1" hidden="" ht="14" outlineLevel="0" r="9154">
      <c r="A9154" s="3" t="inlineStr">
        <is>
          <t>9118</t>
        </is>
      </c>
      <c r="B9154" s="4" t="s">
        <f>=HYPERLINK("http://anyluxury.ru/shop/odezhda/kurtki/kurtka-puhovaya-muzhskaya-ray-men-chernaya-01620312/" , "01620312 Куртка пуховая мужская RAY MEN черная, размер 3XL")</f>
      </c>
      <c r="C9154" s="4" t="n">
        <v>10509.00</v>
      </c>
      <c r="D9154" s="4"/>
    </row>
    <row collapsed="" customFormat="false" customHeight="1" hidden="" ht="14" outlineLevel="0" r="9155">
      <c r="A9155" s="3" t="inlineStr">
        <is>
          <t>9119</t>
        </is>
      </c>
      <c r="B9155" s="4" t="s">
        <f>=HYPERLINK("http://anyluxury.ru/shop/odezhda/kurtki/kurtka-puhovaya-muzhskaya-ray-men-temnosinyaya-01620319/" , "01620319 Куртка пуховая мужская RAY MEN темно-синяя, размер S")</f>
      </c>
      <c r="C9155" s="4" t="n">
        <v>9124.00</v>
      </c>
      <c r="D9155" s="4"/>
    </row>
    <row collapsed="" customFormat="false" customHeight="1" hidden="" ht="14" outlineLevel="0" r="9156">
      <c r="A9156" s="3" t="inlineStr">
        <is>
          <t>9120</t>
        </is>
      </c>
      <c r="B9156" s="4" t="s">
        <f>=HYPERLINK("http://anyluxury.ru/shop/odezhda/kurtki/kurtka-puhovaya-muzhskaya-ray-men-temnosinyaya-01620319/" , "01620319 Куртка пуховая мужская RAY MEN темно-синяя, размер M")</f>
      </c>
      <c r="C9156" s="4" t="n">
        <v>9124.00</v>
      </c>
      <c r="D9156" s="4"/>
    </row>
    <row collapsed="" customFormat="false" customHeight="1" hidden="" ht="14" outlineLevel="0" r="9157">
      <c r="A9157" s="3" t="inlineStr">
        <is>
          <t>9121</t>
        </is>
      </c>
      <c r="B9157" s="4" t="s">
        <f>=HYPERLINK("http://anyluxury.ru/shop/odezhda/kurtki/kurtka-puhovaya-muzhskaya-ray-men-temnosinyaya-01620319/" , "01620319 Куртка пуховая мужская RAY MEN темно-синяя, размер L")</f>
      </c>
      <c r="C9157" s="4" t="n">
        <v>9124.00</v>
      </c>
      <c r="D9157" s="4"/>
    </row>
    <row collapsed="" customFormat="false" customHeight="1" hidden="" ht="14" outlineLevel="0" r="9158">
      <c r="A9158" s="3" t="inlineStr">
        <is>
          <t>9122</t>
        </is>
      </c>
      <c r="B9158" s="4" t="s">
        <f>=HYPERLINK("http://anyluxury.ru/shop/odezhda/kurtki/kurtka-puhovaya-muzhskaya-ray-men-temnosinyaya-01620319/" , "01620319 Куртка пуховая мужская RAY MEN темно-синяя, размер XL")</f>
      </c>
      <c r="C9158" s="4" t="n">
        <v>9124.00</v>
      </c>
      <c r="D9158" s="4"/>
    </row>
    <row collapsed="" customFormat="false" customHeight="1" hidden="" ht="14" outlineLevel="0" r="9159">
      <c r="A9159" s="3" t="inlineStr">
        <is>
          <t>9123</t>
        </is>
      </c>
      <c r="B9159" s="4" t="s">
        <f>=HYPERLINK("http://anyluxury.ru/shop/odezhda/kurtki/kurtka-puhovaya-muzhskaya-ray-men-temnosinyaya-01620319/" , "01620319 Куртка пуховая мужская RAY MEN темно-синяя, размер XXL")</f>
      </c>
      <c r="C9159" s="4" t="n">
        <v>9124.00</v>
      </c>
      <c r="D9159" s="4"/>
    </row>
    <row collapsed="" customFormat="false" customHeight="1" hidden="" ht="14" outlineLevel="0" r="9160">
      <c r="A9160" s="3" t="inlineStr">
        <is>
          <t>9124</t>
        </is>
      </c>
      <c r="B9160" s="4" t="s">
        <f>=HYPERLINK("http://anyluxury.ru/shop/odezhda/kurtki/kurtka-puhovaya-muzhskaya-ray-men-temnosinyaya-01620319/" , "01620319 Куртка пуховая мужская RAY MEN темно-синяя, размер 3XL")</f>
      </c>
      <c r="C9160" s="4" t="n">
        <v>10509.00</v>
      </c>
      <c r="D9160" s="4"/>
    </row>
    <row collapsed="" customFormat="false" customHeight="1" hidden="" ht="14" outlineLevel="0" r="9161">
      <c r="A9161" s="3" t="inlineStr">
        <is>
          <t>9125</t>
        </is>
      </c>
      <c r="B9161" s="4" t="s">
        <f>=HYPERLINK("http://anyluxury.ru/shop/odezhda/kurtki/kurtka-puhovaya-muzhskaya-ray-men-seraya-01620351/" , "01620351 Куртка пуховая мужская RAY MEN серая, размер S")</f>
      </c>
      <c r="C9161" s="4" t="n">
        <v>9124.00</v>
      </c>
      <c r="D9161" s="4"/>
    </row>
    <row collapsed="" customFormat="false" customHeight="1" hidden="" ht="14" outlineLevel="0" r="9162">
      <c r="A9162" s="3" t="inlineStr">
        <is>
          <t>9126</t>
        </is>
      </c>
      <c r="B9162" s="4" t="s">
        <f>=HYPERLINK("http://anyluxury.ru/shop/odezhda/kurtki/kurtka-puhovaya-muzhskaya-ray-men-seraya-01620351/" , "01620351 Куртка пуховая мужская RAY MEN серая, размер M")</f>
      </c>
      <c r="C9162" s="4" t="n">
        <v>9124.00</v>
      </c>
      <c r="D9162" s="4"/>
    </row>
    <row collapsed="" customFormat="false" customHeight="1" hidden="" ht="14" outlineLevel="0" r="9163">
      <c r="A9163" s="3" t="inlineStr">
        <is>
          <t>9127</t>
        </is>
      </c>
      <c r="B9163" s="4" t="s">
        <f>=HYPERLINK("http://anyluxury.ru/shop/odezhda/kurtki/kurtka-puhovaya-muzhskaya-ray-men-seraya-01620351/" , "01620351 Куртка пуховая мужская RAY MEN серая, размер L")</f>
      </c>
      <c r="C9163" s="4" t="n">
        <v>9124.00</v>
      </c>
      <c r="D9163" s="4"/>
    </row>
    <row collapsed="" customFormat="false" customHeight="1" hidden="" ht="14" outlineLevel="0" r="9164">
      <c r="A9164" s="3" t="inlineStr">
        <is>
          <t>9128</t>
        </is>
      </c>
      <c r="B9164" s="4" t="s">
        <f>=HYPERLINK("http://anyluxury.ru/shop/odezhda/kurtki/kurtka-puhovaya-muzhskaya-ray-men-seraya-01620351/" , "01620351 Куртка пуховая мужская RAY MEN серая, размер XL")</f>
      </c>
      <c r="C9164" s="4" t="n">
        <v>9124.00</v>
      </c>
      <c r="D9164" s="4"/>
    </row>
    <row collapsed="" customFormat="false" customHeight="1" hidden="" ht="14" outlineLevel="0" r="9165">
      <c r="A9165" s="3" t="inlineStr">
        <is>
          <t>9129</t>
        </is>
      </c>
      <c r="B9165" s="4" t="s">
        <f>=HYPERLINK("http://anyluxury.ru/shop/odezhda/kurtki/kurtka-puhovaya-muzhskaya-ray-men-seraya-01620351/" , "01620351 Куртка пуховая мужская RAY MEN серая, размер XXL")</f>
      </c>
      <c r="C9165" s="4" t="n">
        <v>9124.00</v>
      </c>
      <c r="D9165" s="4"/>
    </row>
    <row collapsed="" customFormat="false" customHeight="1" hidden="" ht="14" outlineLevel="0" r="9166">
      <c r="A9166" s="3" t="inlineStr">
        <is>
          <t>9130</t>
        </is>
      </c>
      <c r="B9166" s="4" t="s">
        <f>=HYPERLINK("http://anyluxury.ru/shop/odezhda/kurtki/kurtka-puhovaya-muzhskaya-ray-men-seraya-01620351/" , "01620351 Куртка пуховая мужская RAY MEN серая, размер 3XL")</f>
      </c>
      <c r="C9166" s="4" t="n">
        <v>10509.00</v>
      </c>
      <c r="D9166" s="4"/>
    </row>
    <row collapsed="" customFormat="false" customHeight="1" hidden="" ht="14" outlineLevel="0" r="9167">
      <c r="A9167" s="3" t="inlineStr">
        <is>
          <t>9131</t>
        </is>
      </c>
      <c r="B9167" s="4" t="s">
        <f>=HYPERLINK("http://anyluxury.ru/shop/odezhda/kurtki/kurtka-puhovaya-zhenskaya-ray-women-chernaya-01621312/" , "01621312 Куртка пуховая женская RAY WOMEN черная, размер S")</f>
      </c>
      <c r="C9167" s="4" t="n">
        <v>9047.00</v>
      </c>
      <c r="D9167" s="4"/>
    </row>
    <row collapsed="" customFormat="false" customHeight="1" hidden="" ht="14" outlineLevel="0" r="9168">
      <c r="A9168" s="3" t="inlineStr">
        <is>
          <t>9132</t>
        </is>
      </c>
      <c r="B9168" s="4" t="s">
        <f>=HYPERLINK("http://anyluxury.ru/shop/odezhda/kurtki/kurtka-puhovaya-zhenskaya-ray-women-chernaya-01621312/" , "01621312 Куртка пуховая женская RAY WOMEN черная, размер M")</f>
      </c>
      <c r="C9168" s="4" t="n">
        <v>9047.00</v>
      </c>
      <c r="D9168" s="4"/>
    </row>
    <row collapsed="" customFormat="false" customHeight="1" hidden="" ht="14" outlineLevel="0" r="9169">
      <c r="A9169" s="3" t="inlineStr">
        <is>
          <t>9133</t>
        </is>
      </c>
      <c r="B9169" s="4" t="s">
        <f>=HYPERLINK("http://anyluxury.ru/shop/odezhda/kurtki/kurtka-puhovaya-zhenskaya-ray-women-chernaya-01621312/" , "01621312 Куртка пуховая женская RAY WOMEN черная, размер L")</f>
      </c>
      <c r="C9169" s="4" t="n">
        <v>9047.00</v>
      </c>
      <c r="D9169" s="4"/>
    </row>
    <row collapsed="" customFormat="false" customHeight="1" hidden="" ht="14" outlineLevel="0" r="9170">
      <c r="A9170" s="3" t="inlineStr">
        <is>
          <t>9134</t>
        </is>
      </c>
      <c r="B9170" s="4" t="s">
        <f>=HYPERLINK("http://anyluxury.ru/shop/odezhda/kurtki/kurtka-puhovaya-zhenskaya-ray-women-chernaya-01621312/" , "01621312 Куртка пуховая женская RAY WOMEN черная, размер XL")</f>
      </c>
      <c r="C9170" s="4" t="n">
        <v>9047.00</v>
      </c>
      <c r="D9170" s="4"/>
    </row>
    <row collapsed="" customFormat="false" customHeight="1" hidden="" ht="14" outlineLevel="0" r="9171">
      <c r="A9171" s="3" t="inlineStr">
        <is>
          <t>9135</t>
        </is>
      </c>
      <c r="B9171" s="4" t="s">
        <f>=HYPERLINK("http://anyluxury.ru/shop/odezhda/kurtki/kurtka-puhovaya-zhenskaya-ray-women-chernaya-01621312/" , "01621312 Куртка пуховая женская RAY WOMEN черная, размер XXL")</f>
      </c>
      <c r="C9171" s="4" t="n">
        <v>9047.00</v>
      </c>
      <c r="D9171" s="4"/>
    </row>
    <row collapsed="" customFormat="false" customHeight="1" hidden="" ht="14" outlineLevel="0" r="9172">
      <c r="A9172" s="3" t="inlineStr">
        <is>
          <t>9136</t>
        </is>
      </c>
      <c r="B9172" s="4" t="s">
        <f>=HYPERLINK("http://anyluxury.ru/shop/odezhda/kurtki/kurtka-puhovaya-zhenskaya-ray-women-temnosinyaya-01621319/" , "01621319 Куртка пуховая женская RAY WOMEN темно-синяя, размер S")</f>
      </c>
      <c r="C9172" s="4" t="n">
        <v>9047.00</v>
      </c>
      <c r="D9172" s="4"/>
    </row>
    <row collapsed="" customFormat="false" customHeight="1" hidden="" ht="14" outlineLevel="0" r="9173">
      <c r="A9173" s="3" t="inlineStr">
        <is>
          <t>9137</t>
        </is>
      </c>
      <c r="B9173" s="4" t="s">
        <f>=HYPERLINK("http://anyluxury.ru/shop/odezhda/kurtki/kurtka-puhovaya-zhenskaya-ray-women-temnosinyaya-01621319/" , "01621319 Куртка пуховая женская RAY WOMEN темно-синяя, размер M")</f>
      </c>
      <c r="C9173" s="4" t="n">
        <v>9047.00</v>
      </c>
      <c r="D9173" s="4"/>
    </row>
    <row collapsed="" customFormat="false" customHeight="1" hidden="" ht="14" outlineLevel="0" r="9174">
      <c r="A9174" s="3" t="inlineStr">
        <is>
          <t>9138</t>
        </is>
      </c>
      <c r="B9174" s="4" t="s">
        <f>=HYPERLINK("http://anyluxury.ru/shop/odezhda/kurtki/kurtka-puhovaya-zhenskaya-ray-women-temnosinyaya-01621319/" , "01621319 Куртка пуховая женская RAY WOMEN темно-синяя, размер L")</f>
      </c>
      <c r="C9174" s="4" t="n">
        <v>9047.00</v>
      </c>
      <c r="D9174" s="4"/>
    </row>
    <row collapsed="" customFormat="false" customHeight="1" hidden="" ht="14" outlineLevel="0" r="9175">
      <c r="A9175" s="3" t="inlineStr">
        <is>
          <t>9139</t>
        </is>
      </c>
      <c r="B9175" s="4" t="s">
        <f>=HYPERLINK("http://anyluxury.ru/shop/odezhda/kurtki/kurtka-puhovaya-zhenskaya-ray-women-temnosinyaya-01621319/" , "01621319 Куртка пуховая женская RAY WOMEN темно-синяя, размер XL")</f>
      </c>
      <c r="C9175" s="4" t="n">
        <v>9047.00</v>
      </c>
      <c r="D9175" s="4"/>
    </row>
    <row collapsed="" customFormat="false" customHeight="1" hidden="" ht="14" outlineLevel="0" r="9176">
      <c r="A9176" s="3" t="inlineStr">
        <is>
          <t>9140</t>
        </is>
      </c>
      <c r="B9176" s="4" t="s">
        <f>=HYPERLINK("http://anyluxury.ru/shop/odezhda/kurtki/kurtka-puhovaya-zhenskaya-ray-women-temnosinyaya-01621319/" , "01621319 Куртка пуховая женская RAY WOMEN темно-синяя, размер XXL")</f>
      </c>
      <c r="C9176" s="4" t="n">
        <v>9047.00</v>
      </c>
      <c r="D9176" s="4"/>
    </row>
    <row collapsed="" customFormat="false" customHeight="1" hidden="" ht="14" outlineLevel="0" r="9177">
      <c r="A9177" s="3" t="inlineStr">
        <is>
          <t>9141</t>
        </is>
      </c>
      <c r="B9177" s="4" t="s">
        <f>=HYPERLINK("http://anyluxury.ru/shop/odezhda/kurtki/kurtka-puhovaya-zhenskaya-ray-women-seraya-01621351/" , "01621351 Куртка пуховая женская RAY WOMEN серая, размер S")</f>
      </c>
      <c r="C9177" s="4" t="n">
        <v>9047.00</v>
      </c>
      <c r="D9177" s="4"/>
    </row>
    <row collapsed="" customFormat="false" customHeight="1" hidden="" ht="14" outlineLevel="0" r="9178">
      <c r="A9178" s="3" t="inlineStr">
        <is>
          <t>9142</t>
        </is>
      </c>
      <c r="B9178" s="4" t="s">
        <f>=HYPERLINK("http://anyluxury.ru/shop/odezhda/kurtki/kurtka-puhovaya-zhenskaya-ray-women-seraya-01621351/" , "01621351 Куртка пуховая женская RAY WOMEN серая, размер M")</f>
      </c>
      <c r="C9178" s="4" t="n">
        <v>9047.00</v>
      </c>
      <c r="D9178" s="4"/>
    </row>
    <row collapsed="" customFormat="false" customHeight="1" hidden="" ht="14" outlineLevel="0" r="9179">
      <c r="A9179" s="3" t="inlineStr">
        <is>
          <t>9143</t>
        </is>
      </c>
      <c r="B9179" s="4" t="s">
        <f>=HYPERLINK("http://anyluxury.ru/shop/odezhda/kurtki/kurtka-puhovaya-zhenskaya-ray-women-seraya-01621351/" , "01621351 Куртка пуховая женская RAY WOMEN серая, размер L")</f>
      </c>
      <c r="C9179" s="4" t="n">
        <v>9047.00</v>
      </c>
      <c r="D9179" s="4"/>
    </row>
    <row collapsed="" customFormat="false" customHeight="1" hidden="" ht="14" outlineLevel="0" r="9180">
      <c r="A9180" s="3" t="inlineStr">
        <is>
          <t>9144</t>
        </is>
      </c>
      <c r="B9180" s="4" t="s">
        <f>=HYPERLINK("http://anyluxury.ru/shop/odezhda/kurtki/kurtka-puhovaya-zhenskaya-ray-women-seraya-01621351/" , "01621351 Куртка пуховая женская RAY WOMEN серая, размер XL")</f>
      </c>
      <c r="C9180" s="4" t="n">
        <v>9047.00</v>
      </c>
      <c r="D9180" s="4"/>
    </row>
    <row collapsed="" customFormat="false" customHeight="1" hidden="" ht="14" outlineLevel="0" r="9181">
      <c r="A9181" s="3" t="inlineStr">
        <is>
          <t>9145</t>
        </is>
      </c>
      <c r="B9181" s="4" t="s">
        <f>=HYPERLINK("http://anyluxury.ru/shop/odezhda/kurtki/kurtka-puhovaya-zhenskaya-ray-women-seraya-01621351/" , "01621351 Куртка пуховая женская RAY WOMEN серая, размер XXL")</f>
      </c>
      <c r="C9181" s="4" t="n">
        <v>9047.00</v>
      </c>
      <c r="D9181" s="4"/>
    </row>
    <row collapsed="" customFormat="false" customHeight="1" hidden="" ht="14" outlineLevel="0" r="9182">
      <c r="A9182" s="3" t="inlineStr">
        <is>
          <t>9146</t>
        </is>
      </c>
      <c r="B9182" s="4" t="s">
        <f>=HYPERLINK("http://anyluxury.ru/shop/odezhda/kurtki/kurtka-bomber-uniseks-rebel-chernaya-01616312/" , "01616312 Куртка бомбер унисекс REBEL черная, размер XS")</f>
      </c>
      <c r="C9182" s="4" t="n">
        <v>7167.00</v>
      </c>
      <c r="D9182" s="4"/>
    </row>
    <row collapsed="" customFormat="false" customHeight="1" hidden="" ht="14" outlineLevel="0" r="9183">
      <c r="A9183" s="3" t="inlineStr">
        <is>
          <t>9147</t>
        </is>
      </c>
      <c r="B9183" s="4" t="s">
        <f>=HYPERLINK("http://anyluxury.ru/shop/odezhda/kurtki/kurtka-bomber-uniseks-rebel-chernaya-01616312/" , "01616312 Куртка бомбер унисекс REBEL черная, размер 3XL")</f>
      </c>
      <c r="C9183" s="4" t="n">
        <v>8239.00</v>
      </c>
      <c r="D9183" s="4"/>
    </row>
    <row collapsed="" customFormat="false" customHeight="1" hidden="" ht="14" outlineLevel="0" r="9184">
      <c r="A9184" s="3" t="inlineStr">
        <is>
          <t>9148</t>
        </is>
      </c>
      <c r="B9184" s="4" t="s">
        <f>=HYPERLINK("http://anyluxury.ru/shop/odezhda/kurtki/kurtka-bomber-uniseks-rebel-temnosinyaya-01616319/" , "01616319 Куртка бомбер унисекс REBEL темно-синяя, размер XS")</f>
      </c>
      <c r="C9184" s="4" t="n">
        <v>7167.00</v>
      </c>
      <c r="D9184" s="4"/>
    </row>
    <row collapsed="" customFormat="false" customHeight="1" hidden="" ht="14" outlineLevel="0" r="9185">
      <c r="A9185" s="3" t="inlineStr">
        <is>
          <t>9149</t>
        </is>
      </c>
      <c r="B9185" s="4" t="s">
        <f>=HYPERLINK("http://anyluxury.ru/shop/odezhda/kurtki/kurtka-bomber-uniseks-rebel-temnosinyaya-01616319/" , "01616319 Куртка бомбер унисекс REBEL темно-синяя, размер M")</f>
      </c>
      <c r="C9185" s="4" t="n">
        <v>7167.00</v>
      </c>
      <c r="D9185" s="4"/>
    </row>
    <row collapsed="" customFormat="false" customHeight="1" hidden="" ht="14" outlineLevel="0" r="9186">
      <c r="A9186" s="3" t="inlineStr">
        <is>
          <t>9150</t>
        </is>
      </c>
      <c r="B9186" s="4" t="s">
        <f>=HYPERLINK("http://anyluxury.ru/shop/odezhda/kurtki/kurtka-bomber-uniseks-rebel-korichnevaya-01616406/" , "01616406 Куртка бомбер унисекс REBEL коричневая, размер XS")</f>
      </c>
      <c r="C9186" s="4" t="n">
        <v>7029.00</v>
      </c>
      <c r="D9186" s="4"/>
    </row>
    <row collapsed="" customFormat="false" customHeight="1" hidden="" ht="14" outlineLevel="0" r="9187">
      <c r="A9187" s="3" t="inlineStr">
        <is>
          <t>9151</t>
        </is>
      </c>
      <c r="B9187" s="4" t="s">
        <f>=HYPERLINK("http://anyluxury.ru/shop/odezhda/kurtki/kurtka-bomber-uniseks-rebel-korichnevaya-01616406/" , "01616406 Куртка бомбер унисекс REBEL коричневая, размер S")</f>
      </c>
      <c r="C9187" s="4" t="n">
        <v>7029.00</v>
      </c>
      <c r="D9187" s="4"/>
    </row>
    <row collapsed="" customFormat="false" customHeight="1" hidden="" ht="14" outlineLevel="0" r="9188">
      <c r="A9188" s="3" t="inlineStr">
        <is>
          <t>9152</t>
        </is>
      </c>
      <c r="B9188" s="4" t="s">
        <f>=HYPERLINK("http://anyluxury.ru/shop/odezhda/kurtki/kurtka-bomber-uniseks-rebel-korichnevaya-01616406/" , "01616406 Куртка бомбер унисекс REBEL коричневая, размер XXL")</f>
      </c>
      <c r="C9188" s="4" t="n">
        <v>7029.00</v>
      </c>
      <c r="D9188" s="4"/>
    </row>
    <row collapsed="" customFormat="false" customHeight="1" hidden="" ht="14" outlineLevel="0" r="9189">
      <c r="A9189" s="3" t="inlineStr">
        <is>
          <t>9153</t>
        </is>
      </c>
      <c r="B9189" s="4" t="s">
        <f>=HYPERLINK("http://anyluxury.ru/shop/odezhda/kurtki/kurtka-bomber-uniseks-rebel-korichnevaya-01616406/" , "01616406 Куртка бомбер унисекс REBEL коричневая, размер 3XL")</f>
      </c>
      <c r="C9189" s="4" t="n">
        <v>8077.00</v>
      </c>
      <c r="D9189" s="4"/>
    </row>
    <row collapsed="" customFormat="false" customHeight="1" hidden="" ht="14" outlineLevel="0" r="9190">
      <c r="A9190" s="3" t="inlineStr">
        <is>
          <t>9154</t>
        </is>
      </c>
      <c r="B9190" s="4" t="s">
        <f>=HYPERLINK("http://anyluxury.ru/shop/odezhda/kurtki/kurtka-muzhskaya-ridley-men-chernaya-01622312/" , "01622312 Куртка мужская RIDLEY MEN черная, размер S")</f>
      </c>
      <c r="C9190" s="4" t="n">
        <v>11014.00</v>
      </c>
      <c r="D9190" s="4"/>
    </row>
    <row collapsed="" customFormat="false" customHeight="1" hidden="" ht="14" outlineLevel="0" r="9191">
      <c r="A9191" s="3" t="inlineStr">
        <is>
          <t>9155</t>
        </is>
      </c>
      <c r="B9191" s="4" t="s">
        <f>=HYPERLINK("http://anyluxury.ru/shop/odezhda/kurtki/kurtka-muzhskaya-ridley-men-chernaya-01622312/" , "01622312 Куртка мужская RIDLEY MEN черная, размер M")</f>
      </c>
      <c r="C9191" s="4" t="n">
        <v>11014.00</v>
      </c>
      <c r="D9191" s="4"/>
    </row>
    <row collapsed="" customFormat="false" customHeight="1" hidden="" ht="14" outlineLevel="0" r="9192">
      <c r="A9192" s="3" t="inlineStr">
        <is>
          <t>9156</t>
        </is>
      </c>
      <c r="B9192" s="4" t="s">
        <f>=HYPERLINK("http://anyluxury.ru/shop/odezhda/kurtki/kurtka-muzhskaya-ridley-men-chernaya-01622312/" , "01622312 Куртка мужская RIDLEY MEN черная, размер 3XL")</f>
      </c>
      <c r="C9192" s="4" t="n">
        <v>12556.00</v>
      </c>
      <c r="D9192" s="4"/>
    </row>
    <row collapsed="" customFormat="false" customHeight="1" hidden="" ht="14" outlineLevel="0" r="9193">
      <c r="A9193" s="3" t="inlineStr">
        <is>
          <t>9157</t>
        </is>
      </c>
      <c r="B9193" s="4" t="s">
        <f>=HYPERLINK("http://anyluxury.ru/shop/odezhda/kurtki/kurtka-zhenskaya-ridley-women-chernaya-01623312/" , "01623312 Куртка женская RIDLEY WOMEN черная, размер S")</f>
      </c>
      <c r="C9193" s="4" t="n">
        <v>11014.00</v>
      </c>
      <c r="D9193" s="4"/>
    </row>
    <row collapsed="" customFormat="false" customHeight="1" hidden="" ht="14" outlineLevel="0" r="9194">
      <c r="A9194" s="3" t="inlineStr">
        <is>
          <t>9158</t>
        </is>
      </c>
      <c r="B9194" s="4" t="s">
        <f>=HYPERLINK("http://anyluxury.ru/shop/odezhda/kurtki/kurtka-zhenskaya-ridley-women-chernaya-01623312/" , "01623312 Куртка женская RIDLEY WOMEN черная, размер M")</f>
      </c>
      <c r="C9194" s="4" t="n">
        <v>11014.00</v>
      </c>
      <c r="D9194" s="4"/>
    </row>
    <row collapsed="" customFormat="false" customHeight="1" hidden="" ht="14" outlineLevel="0" r="9195">
      <c r="A9195" s="3" t="inlineStr">
        <is>
          <t>9159</t>
        </is>
      </c>
      <c r="B9195" s="4" t="s">
        <f>=HYPERLINK("http://anyluxury.ru/shop/odezhda/kurtki/kurtka-zhenskaya-ridley-women-chernaya-01623312/" , "01623312 Куртка женская RIDLEY WOMEN черная, размер L")</f>
      </c>
      <c r="C9195" s="4" t="n">
        <v>11014.00</v>
      </c>
      <c r="D9195" s="4"/>
    </row>
    <row collapsed="" customFormat="false" customHeight="1" hidden="" ht="14" outlineLevel="0" r="9196">
      <c r="A9196" s="3" t="inlineStr">
        <is>
          <t>9160</t>
        </is>
      </c>
      <c r="B9196" s="4" t="s">
        <f>=HYPERLINK("http://anyluxury.ru/shop/odezhda/kurtki/kurtka-zhenskaya-ridley-women-chernaya-01623312/" , "01623312 Куртка женская RIDLEY WOMEN черная, размер XL")</f>
      </c>
      <c r="C9196" s="4" t="n">
        <v>11014.00</v>
      </c>
      <c r="D9196" s="4"/>
    </row>
    <row collapsed="" customFormat="false" customHeight="1" hidden="" ht="14" outlineLevel="0" r="9197">
      <c r="A9197" s="3" t="inlineStr">
        <is>
          <t>9161</t>
        </is>
      </c>
      <c r="B9197" s="4" t="s">
        <f>=HYPERLINK("http://anyluxury.ru/shop/odezhda/kurtki/kurtka-zhenskaya-ridley-women-chernaya-01623312/" , "01623312 Куртка женская RIDLEY WOMEN черная, размер XXL")</f>
      </c>
      <c r="C9197" s="4" t="n">
        <v>11014.00</v>
      </c>
      <c r="D9197" s="4"/>
    </row>
    <row collapsed="" customFormat="false" customHeight="1" hidden="" ht="14" outlineLevel="0" r="9198">
      <c r="A9198" s="3" t="inlineStr">
        <is>
          <t>9162</t>
        </is>
      </c>
      <c r="B9198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S")</f>
      </c>
      <c r="C9198" s="4" t="n">
        <v>2636.00</v>
      </c>
      <c r="D9198" s="4"/>
    </row>
    <row collapsed="" customFormat="false" customHeight="1" hidden="" ht="14" outlineLevel="0" r="9199">
      <c r="A9199" s="3" t="inlineStr">
        <is>
          <t>9163</t>
        </is>
      </c>
      <c r="B9199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M")</f>
      </c>
      <c r="C9199" s="4" t="n">
        <v>2636.00</v>
      </c>
      <c r="D9199" s="4"/>
    </row>
    <row collapsed="" customFormat="false" customHeight="1" hidden="" ht="14" outlineLevel="0" r="9200">
      <c r="A9200" s="3" t="inlineStr">
        <is>
          <t>9164</t>
        </is>
      </c>
      <c r="B9200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L")</f>
      </c>
      <c r="C9200" s="4" t="n">
        <v>2636.00</v>
      </c>
      <c r="D9200" s="4"/>
    </row>
    <row collapsed="" customFormat="false" customHeight="1" hidden="" ht="14" outlineLevel="0" r="9201">
      <c r="A9201" s="3" t="inlineStr">
        <is>
          <t>9165</t>
        </is>
      </c>
      <c r="B9201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XL")</f>
      </c>
      <c r="C9201" s="4" t="n">
        <v>2636.00</v>
      </c>
      <c r="D9201" s="4"/>
    </row>
    <row collapsed="" customFormat="false" customHeight="1" hidden="" ht="14" outlineLevel="0" r="9202">
      <c r="A9202" s="3" t="inlineStr">
        <is>
          <t>9166</t>
        </is>
      </c>
      <c r="B9202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XXL")</f>
      </c>
      <c r="C9202" s="4" t="n">
        <v>2636.00</v>
      </c>
      <c r="D9202" s="4"/>
    </row>
    <row collapsed="" customFormat="false" customHeight="1" hidden="" ht="14" outlineLevel="0" r="9203">
      <c r="A9203" s="3" t="inlineStr">
        <is>
          <t>9167</t>
        </is>
      </c>
      <c r="B9203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3XL")</f>
      </c>
      <c r="C9203" s="4" t="n">
        <v>3055.00</v>
      </c>
      <c r="D9203" s="4"/>
    </row>
    <row collapsed="" customFormat="false" customHeight="1" hidden="" ht="14" outlineLevel="0" r="9204">
      <c r="A9204" s="3" t="inlineStr">
        <is>
          <t>9168</t>
        </is>
      </c>
      <c r="B9204" s="4" t="s">
        <f>=HYPERLINK("http://anyluxury.ru/shop/odezhda/kurtki/kurtka-softshell-muzhskaya-rollings-men-temnoseraya-s-chernim-01624797/" , "01624797 Куртка софтшелл мужская ROLLINGS MEN темно-серый/черный, размер S")</f>
      </c>
      <c r="C9204" s="4" t="n">
        <v>2636.00</v>
      </c>
      <c r="D9204" s="4"/>
    </row>
    <row collapsed="" customFormat="false" customHeight="1" hidden="" ht="14" outlineLevel="0" r="9205">
      <c r="A9205" s="3" t="inlineStr">
        <is>
          <t>9169</t>
        </is>
      </c>
      <c r="B9205" s="4" t="s">
        <f>=HYPERLINK("http://anyluxury.ru/shop/odezhda/kurtki/kurtka-softshell-muzhskaya-rollings-men-temnoseraya-s-chernim-01624797/" , "01624797 Куртка софтшелл мужская ROLLINGS MEN темно-серый/черный, размер M")</f>
      </c>
      <c r="C9205" s="4" t="n">
        <v>2636.00</v>
      </c>
      <c r="D9205" s="4"/>
    </row>
    <row collapsed="" customFormat="false" customHeight="1" hidden="" ht="14" outlineLevel="0" r="9206">
      <c r="A9206" s="3" t="inlineStr">
        <is>
          <t>9170</t>
        </is>
      </c>
      <c r="B9206" s="4" t="s">
        <f>=HYPERLINK("http://anyluxury.ru/shop/odezhda/kurtki/kurtka-softshell-muzhskaya-rollings-men-temnoseraya-s-chernim-01624797/" , "01624797 Куртка софтшелл мужская ROLLINGS MEN темно-серый/черный, размер L")</f>
      </c>
      <c r="C9206" s="4" t="n">
        <v>2636.00</v>
      </c>
      <c r="D9206" s="4"/>
    </row>
    <row collapsed="" customFormat="false" customHeight="1" hidden="" ht="14" outlineLevel="0" r="9207">
      <c r="A9207" s="3" t="inlineStr">
        <is>
          <t>9171</t>
        </is>
      </c>
      <c r="B9207" s="4" t="s">
        <f>=HYPERLINK("http://anyluxury.ru/shop/odezhda/kurtki/kurtka-softshell-muzhskaya-rollings-men-temnoseraya-s-chernim-01624797/" , "01624797 Куртка софтшелл мужская ROLLINGS MEN темно-серый/черный, размер XL")</f>
      </c>
      <c r="C9207" s="4" t="n">
        <v>2636.00</v>
      </c>
      <c r="D9207" s="4"/>
    </row>
    <row collapsed="" customFormat="false" customHeight="1" hidden="" ht="14" outlineLevel="0" r="9208">
      <c r="A9208" s="3" t="inlineStr">
        <is>
          <t>9172</t>
        </is>
      </c>
      <c r="B9208" s="4" t="s">
        <f>=HYPERLINK("http://anyluxury.ru/shop/odezhda/kurtki/kurtka-softshell-muzhskaya-rollings-men-temnoseraya-s-chernim-01624797/" , "01624797 Куртка софтшелл мужская ROLLINGS MEN темно-серый/черный, размер XXL")</f>
      </c>
      <c r="C9208" s="4" t="n">
        <v>2636.00</v>
      </c>
      <c r="D9208" s="4"/>
    </row>
    <row collapsed="" customFormat="false" customHeight="1" hidden="" ht="14" outlineLevel="0" r="9209">
      <c r="A9209" s="3" t="inlineStr">
        <is>
          <t>9173</t>
        </is>
      </c>
      <c r="B9209" s="4" t="s">
        <f>=HYPERLINK("http://anyluxury.ru/shop/odezhda/kurtki/kurtka-softshell-muzhskaya-rollings-men-temnoseraya-s-chernim-01624797/" , "01624797 Куртка софтшелл мужская ROLLINGS MEN темно-серый/черный, размер 3XL")</f>
      </c>
      <c r="C9209" s="4" t="n">
        <v>3055.00</v>
      </c>
      <c r="D9209" s="4"/>
    </row>
    <row collapsed="" customFormat="false" customHeight="1" hidden="" ht="14" outlineLevel="0" r="9210">
      <c r="A9210" s="3" t="inlineStr">
        <is>
          <t>9174</t>
        </is>
      </c>
      <c r="B9210" s="4" t="s">
        <f>=HYPERLINK("http://anyluxury.ru/shop/odezhda/kurtki/kurtka-softshell-muzhskaya-rollings-men-temnosinyaya-s-serim-01624505/" , "01624505 Куртка софтшелл мужская ROLLINGS MEN темно-синий/серый, размер S")</f>
      </c>
      <c r="C9210" s="4" t="n">
        <v>2636.00</v>
      </c>
      <c r="D9210" s="4"/>
    </row>
    <row collapsed="" customFormat="false" customHeight="1" hidden="" ht="14" outlineLevel="0" r="9211">
      <c r="A9211" s="3" t="inlineStr">
        <is>
          <t>9175</t>
        </is>
      </c>
      <c r="B9211" s="4" t="s">
        <f>=HYPERLINK("http://anyluxury.ru/shop/odezhda/kurtki/kurtka-softshell-muzhskaya-rollings-men-temnosinyaya-s-serim-01624505/" , "01624505 Куртка софтшелл мужская ROLLINGS MEN темно-синий/серый, размер M")</f>
      </c>
      <c r="C9211" s="4" t="n">
        <v>2636.00</v>
      </c>
      <c r="D9211" s="4"/>
    </row>
    <row collapsed="" customFormat="false" customHeight="1" hidden="" ht="14" outlineLevel="0" r="9212">
      <c r="A9212" s="3" t="inlineStr">
        <is>
          <t>9176</t>
        </is>
      </c>
      <c r="B9212" s="4" t="s">
        <f>=HYPERLINK("http://anyluxury.ru/shop/odezhda/kurtki/kurtka-softshell-muzhskaya-rollings-men-temnosinyaya-s-serim-01624505/" , "01624505 Куртка софтшелл мужская ROLLINGS MEN темно-синий/серый, размер L")</f>
      </c>
      <c r="C9212" s="4" t="n">
        <v>2636.00</v>
      </c>
      <c r="D9212" s="4"/>
    </row>
    <row collapsed="" customFormat="false" customHeight="1" hidden="" ht="14" outlineLevel="0" r="9213">
      <c r="A9213" s="3" t="inlineStr">
        <is>
          <t>9177</t>
        </is>
      </c>
      <c r="B9213" s="4" t="s">
        <f>=HYPERLINK("http://anyluxury.ru/shop/odezhda/kurtki/kurtka-softshell-muzhskaya-rollings-men-temnosinyaya-s-serim-01624505/" , "01624505 Куртка софтшелл мужская ROLLINGS MEN темно-синий/серый, размер XL")</f>
      </c>
      <c r="C9213" s="4" t="n">
        <v>2636.00</v>
      </c>
      <c r="D9213" s="4"/>
    </row>
    <row collapsed="" customFormat="false" customHeight="1" hidden="" ht="14" outlineLevel="0" r="9214">
      <c r="A9214" s="3" t="inlineStr">
        <is>
          <t>9178</t>
        </is>
      </c>
      <c r="B9214" s="4" t="s">
        <f>=HYPERLINK("http://anyluxury.ru/shop/odezhda/kurtki/kurtka-softshell-muzhskaya-rollings-men-temnosinyaya-s-serim-01624505/" , "01624505 Куртка софтшелл мужская ROLLINGS MEN темно-синий/серый, размер XXL")</f>
      </c>
      <c r="C9214" s="4" t="n">
        <v>2636.00</v>
      </c>
      <c r="D9214" s="4"/>
    </row>
    <row collapsed="" customFormat="false" customHeight="1" hidden="" ht="14" outlineLevel="0" r="9215">
      <c r="A9215" s="3" t="inlineStr">
        <is>
          <t>9179</t>
        </is>
      </c>
      <c r="B9215" s="4" t="s">
        <f>=HYPERLINK("http://anyluxury.ru/shop/odezhda/kurtki/kurtka-softshell-muzhskaya-rollings-men-temnosinyaya-s-serim-01624505/" , "01624505 Куртка софтшелл мужская ROLLINGS MEN темно-синий/серый, размер 3XL")</f>
      </c>
      <c r="C9215" s="4" t="n">
        <v>3055.00</v>
      </c>
      <c r="D9215" s="4"/>
    </row>
    <row collapsed="" customFormat="false" customHeight="1" hidden="" ht="14" outlineLevel="0" r="9216">
      <c r="A9216" s="3" t="inlineStr">
        <is>
          <t>9180</t>
        </is>
      </c>
      <c r="B9216" s="4" t="s">
        <f>=HYPERLINK("http://anyluxury.ru/shop/odezhda/kurtki/kurtka-softshell-muzhskaya-rollings-men-krasnaya-s-serim-01624506/" , "01624506 Куртка софтшелл мужская ROLLINGS MEN красный/серый, размер S")</f>
      </c>
      <c r="C9216" s="4" t="n">
        <v>2636.00</v>
      </c>
      <c r="D9216" s="4"/>
    </row>
    <row collapsed="" customFormat="false" customHeight="1" hidden="" ht="14" outlineLevel="0" r="9217">
      <c r="A9217" s="3" t="inlineStr">
        <is>
          <t>9181</t>
        </is>
      </c>
      <c r="B9217" s="4" t="s">
        <f>=HYPERLINK("http://anyluxury.ru/shop/odezhda/kurtki/kurtka-softshell-muzhskaya-rollings-men-krasnaya-s-serim-01624506/" , "01624506 Куртка софтшелл мужская ROLLINGS MEN красный/серый, размер M")</f>
      </c>
      <c r="C9217" s="4" t="n">
        <v>2636.00</v>
      </c>
      <c r="D9217" s="4"/>
    </row>
    <row collapsed="" customFormat="false" customHeight="1" hidden="" ht="14" outlineLevel="0" r="9218">
      <c r="A9218" s="3" t="inlineStr">
        <is>
          <t>9182</t>
        </is>
      </c>
      <c r="B9218" s="4" t="s">
        <f>=HYPERLINK("http://anyluxury.ru/shop/odezhda/kurtki/kurtka-softshell-muzhskaya-rollings-men-krasnaya-s-serim-01624506/" , "01624506 Куртка софтшелл мужская ROLLINGS MEN красный/серый, размер L")</f>
      </c>
      <c r="C9218" s="4" t="n">
        <v>2636.00</v>
      </c>
      <c r="D9218" s="4"/>
    </row>
    <row collapsed="" customFormat="false" customHeight="1" hidden="" ht="14" outlineLevel="0" r="9219">
      <c r="A9219" s="3" t="inlineStr">
        <is>
          <t>9183</t>
        </is>
      </c>
      <c r="B9219" s="4" t="s">
        <f>=HYPERLINK("http://anyluxury.ru/shop/odezhda/kurtki/kurtka-softshell-muzhskaya-rollings-men-krasnaya-s-serim-01624506/" , "01624506 Куртка софтшелл мужская ROLLINGS MEN красный/серый, размер XL")</f>
      </c>
      <c r="C9219" s="4" t="n">
        <v>2668.00</v>
      </c>
      <c r="D9219" s="4"/>
    </row>
    <row collapsed="" customFormat="false" customHeight="1" hidden="" ht="14" outlineLevel="0" r="9220">
      <c r="A9220" s="3" t="inlineStr">
        <is>
          <t>9184</t>
        </is>
      </c>
      <c r="B9220" s="4" t="s">
        <f>=HYPERLINK("http://anyluxury.ru/shop/odezhda/kurtki/kurtka-softshell-muzhskaya-rollings-men-krasnaya-s-serim-01624506/" , "01624506 Куртка софтшелл мужская ROLLINGS MEN красный/серый, размер XXL")</f>
      </c>
      <c r="C9220" s="4" t="n">
        <v>2636.00</v>
      </c>
      <c r="D9220" s="4"/>
    </row>
    <row collapsed="" customFormat="false" customHeight="1" hidden="" ht="14" outlineLevel="0" r="9221">
      <c r="A9221" s="3" t="inlineStr">
        <is>
          <t>9185</t>
        </is>
      </c>
      <c r="B9221" s="4" t="s">
        <f>=HYPERLINK("http://anyluxury.ru/shop/odezhda/kurtki/kurtka-softshell-muzhskaya-rollings-men-krasnaya-s-serim-01624506/" , "01624506 Куртка софтшелл мужская ROLLINGS MEN красный/серый, размер 3XL")</f>
      </c>
      <c r="C9221" s="4" t="n">
        <v>3055.00</v>
      </c>
      <c r="D9221" s="4"/>
    </row>
    <row collapsed="" customFormat="false" customHeight="1" hidden="" ht="14" outlineLevel="0" r="9222">
      <c r="A9222" s="3" t="inlineStr">
        <is>
          <t>9186</t>
        </is>
      </c>
      <c r="B9222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S")</f>
      </c>
      <c r="C9222" s="4" t="n">
        <v>2544.00</v>
      </c>
      <c r="D9222" s="4"/>
    </row>
    <row collapsed="" customFormat="false" customHeight="1" hidden="" ht="14" outlineLevel="0" r="9223">
      <c r="A9223" s="3" t="inlineStr">
        <is>
          <t>9187</t>
        </is>
      </c>
      <c r="B9223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M")</f>
      </c>
      <c r="C9223" s="4" t="n">
        <v>2544.00</v>
      </c>
      <c r="D9223" s="4"/>
    </row>
    <row collapsed="" customFormat="false" customHeight="1" hidden="" ht="14" outlineLevel="0" r="9224">
      <c r="A9224" s="3" t="inlineStr">
        <is>
          <t>9188</t>
        </is>
      </c>
      <c r="B9224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L")</f>
      </c>
      <c r="C9224" s="4" t="n">
        <v>2544.00</v>
      </c>
      <c r="D9224" s="4"/>
    </row>
    <row collapsed="" customFormat="false" customHeight="1" hidden="" ht="14" outlineLevel="0" r="9225">
      <c r="A9225" s="3" t="inlineStr">
        <is>
          <t>9189</t>
        </is>
      </c>
      <c r="B9225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XL")</f>
      </c>
      <c r="C9225" s="4" t="n">
        <v>2544.00</v>
      </c>
      <c r="D9225" s="4"/>
    </row>
    <row collapsed="" customFormat="false" customHeight="1" hidden="" ht="14" outlineLevel="0" r="9226">
      <c r="A9226" s="3" t="inlineStr">
        <is>
          <t>9190</t>
        </is>
      </c>
      <c r="B9226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XXL")</f>
      </c>
      <c r="C9226" s="4" t="n">
        <v>2544.00</v>
      </c>
      <c r="D9226" s="4"/>
    </row>
    <row collapsed="" customFormat="false" customHeight="1" hidden="" ht="14" outlineLevel="0" r="9227">
      <c r="A9227" s="3" t="inlineStr">
        <is>
          <t>9191</t>
        </is>
      </c>
      <c r="B9227" s="4" t="s">
        <f>=HYPERLINK("http://anyluxury.ru/shop/odezhda/kurtki/kurtka-softshell-zhenskaya-rollings-women-temnoseraya-s-chernim-01625797/" , "01625797 Куртка софтшелл женская ROLLINGS WOMEN темно-серый/черный, размер S")</f>
      </c>
      <c r="C9227" s="4" t="n">
        <v>2544.00</v>
      </c>
      <c r="D9227" s="4"/>
    </row>
    <row collapsed="" customFormat="false" customHeight="1" hidden="" ht="14" outlineLevel="0" r="9228">
      <c r="A9228" s="3" t="inlineStr">
        <is>
          <t>9192</t>
        </is>
      </c>
      <c r="B9228" s="4" t="s">
        <f>=HYPERLINK("http://anyluxury.ru/shop/odezhda/kurtki/kurtka-softshell-zhenskaya-rollings-women-temnoseraya-s-chernim-01625797/" , "01625797 Куртка софтшелл женская ROLLINGS WOMEN темно-серый/черный, размер M")</f>
      </c>
      <c r="C9228" s="4" t="n">
        <v>2544.00</v>
      </c>
      <c r="D9228" s="4"/>
    </row>
    <row collapsed="" customFormat="false" customHeight="1" hidden="" ht="14" outlineLevel="0" r="9229">
      <c r="A9229" s="3" t="inlineStr">
        <is>
          <t>9193</t>
        </is>
      </c>
      <c r="B9229" s="4" t="s">
        <f>=HYPERLINK("http://anyluxury.ru/shop/odezhda/kurtki/kurtka-softshell-zhenskaya-rollings-women-temnoseraya-s-chernim-01625797/" , "01625797 Куртка софтшелл женская ROLLINGS WOMEN темно-серый/черный, размер L")</f>
      </c>
      <c r="C9229" s="4" t="n">
        <v>2544.00</v>
      </c>
      <c r="D9229" s="4"/>
    </row>
    <row collapsed="" customFormat="false" customHeight="1" hidden="" ht="14" outlineLevel="0" r="9230">
      <c r="A9230" s="3" t="inlineStr">
        <is>
          <t>9194</t>
        </is>
      </c>
      <c r="B9230" s="4" t="s">
        <f>=HYPERLINK("http://anyluxury.ru/shop/odezhda/kurtki/kurtka-softshell-zhenskaya-rollings-women-temnoseraya-s-chernim-01625797/" , "01625797 Куртка софтшелл женская ROLLINGS WOMEN темно-серый/черный, размер XL")</f>
      </c>
      <c r="C9230" s="4" t="n">
        <v>2544.00</v>
      </c>
      <c r="D9230" s="4"/>
    </row>
    <row collapsed="" customFormat="false" customHeight="1" hidden="" ht="14" outlineLevel="0" r="9231">
      <c r="A9231" s="3" t="inlineStr">
        <is>
          <t>9195</t>
        </is>
      </c>
      <c r="B9231" s="4" t="s">
        <f>=HYPERLINK("http://anyluxury.ru/shop/odezhda/kurtki/kurtka-softshell-zhenskaya-rollings-women-temnoseraya-s-chernim-01625797/" , "01625797 Куртка софтшелл женская ROLLINGS WOMEN темно-серый/черный, размер XXL")</f>
      </c>
      <c r="C9231" s="4" t="n">
        <v>2544.00</v>
      </c>
      <c r="D9231" s="4"/>
    </row>
    <row collapsed="" customFormat="false" customHeight="1" hidden="" ht="14" outlineLevel="0" r="9232">
      <c r="A9232" s="3" t="inlineStr">
        <is>
          <t>9196</t>
        </is>
      </c>
      <c r="B9232" s="4" t="s">
        <f>=HYPERLINK("http://anyluxury.ru/shop/odezhda/kurtki/kurtka-softshell-zhenskaya-rollings-women-temnosinyaya-s-seriy-01625505/" , "01625505 Куртка софтшелл женская ROLLINGS WOMEN темно-синий/серый, размер S")</f>
      </c>
      <c r="C9232" s="4" t="n">
        <v>2544.00</v>
      </c>
      <c r="D9232" s="4"/>
    </row>
    <row collapsed="" customFormat="false" customHeight="1" hidden="" ht="14" outlineLevel="0" r="9233">
      <c r="A9233" s="3" t="inlineStr">
        <is>
          <t>9197</t>
        </is>
      </c>
      <c r="B9233" s="4" t="s">
        <f>=HYPERLINK("http://anyluxury.ru/shop/odezhda/kurtki/kurtka-softshell-zhenskaya-rollings-women-temnosinyaya-s-seriy-01625505/" , "01625505 Куртка софтшелл женская ROLLINGS WOMEN темно-синий/серый, размер M")</f>
      </c>
      <c r="C9233" s="4" t="n">
        <v>2544.00</v>
      </c>
      <c r="D9233" s="4"/>
    </row>
    <row collapsed="" customFormat="false" customHeight="1" hidden="" ht="14" outlineLevel="0" r="9234">
      <c r="A9234" s="3" t="inlineStr">
        <is>
          <t>9198</t>
        </is>
      </c>
      <c r="B9234" s="4" t="s">
        <f>=HYPERLINK("http://anyluxury.ru/shop/odezhda/kurtki/kurtka-softshell-zhenskaya-rollings-women-temnosinyaya-s-seriy-01625505/" , "01625505 Куртка софтшелл женская ROLLINGS WOMEN темно-синий/серый, размер L")</f>
      </c>
      <c r="C9234" s="4" t="n">
        <v>2544.00</v>
      </c>
      <c r="D9234" s="4"/>
    </row>
    <row collapsed="" customFormat="false" customHeight="1" hidden="" ht="14" outlineLevel="0" r="9235">
      <c r="A9235" s="3" t="inlineStr">
        <is>
          <t>9199</t>
        </is>
      </c>
      <c r="B9235" s="4" t="s">
        <f>=HYPERLINK("http://anyluxury.ru/shop/odezhda/kurtki/kurtka-softshell-zhenskaya-rollings-women-temnosinyaya-s-seriy-01625505/" , "01625505 Куртка софтшелл женская ROLLINGS WOMEN темно-синий/серый, размер XL")</f>
      </c>
      <c r="C9235" s="4" t="n">
        <v>2544.00</v>
      </c>
      <c r="D9235" s="4"/>
    </row>
    <row collapsed="" customFormat="false" customHeight="1" hidden="" ht="14" outlineLevel="0" r="9236">
      <c r="A9236" s="3" t="inlineStr">
        <is>
          <t>9200</t>
        </is>
      </c>
      <c r="B9236" s="4" t="s">
        <f>=HYPERLINK("http://anyluxury.ru/shop/odezhda/kurtki/kurtka-softshell-zhenskaya-rollings-women-temnosinyaya-s-seriy-01625505/" , "01625505 Куртка софтшелл женская ROLLINGS WOMEN темно-синий/серый, размер XXL")</f>
      </c>
      <c r="C9236" s="4" t="n">
        <v>2544.00</v>
      </c>
      <c r="D9236" s="4"/>
    </row>
    <row collapsed="" customFormat="false" customHeight="1" hidden="" ht="14" outlineLevel="0" r="9237">
      <c r="A9237" s="3" t="inlineStr">
        <is>
          <t>9201</t>
        </is>
      </c>
      <c r="B9237" s="4" t="s">
        <f>=HYPERLINK("http://anyluxury.ru/shop/odezhda/kurtki/kurtka-softshell-zhenskaya-rollings-women-krasnaya-s-serim-01625506/" , "01625506 Куртка софтшелл женская ROLLINGS WOMEN красный/серый, размер S")</f>
      </c>
      <c r="C9237" s="4" t="n">
        <v>2544.00</v>
      </c>
      <c r="D9237" s="4"/>
    </row>
    <row collapsed="" customFormat="false" customHeight="1" hidden="" ht="14" outlineLevel="0" r="9238">
      <c r="A9238" s="3" t="inlineStr">
        <is>
          <t>9202</t>
        </is>
      </c>
      <c r="B9238" s="4" t="s">
        <f>=HYPERLINK("http://anyluxury.ru/shop/odezhda/kurtki/kurtka-softshell-zhenskaya-rollings-women-krasnaya-s-serim-01625506/" , "01625506 Куртка софтшелл женская ROLLINGS WOMEN красный/серый, размер M")</f>
      </c>
      <c r="C9238" s="4" t="n">
        <v>2544.00</v>
      </c>
      <c r="D9238" s="4"/>
    </row>
    <row collapsed="" customFormat="false" customHeight="1" hidden="" ht="14" outlineLevel="0" r="9239">
      <c r="A9239" s="3" t="inlineStr">
        <is>
          <t>9203</t>
        </is>
      </c>
      <c r="B9239" s="4" t="s">
        <f>=HYPERLINK("http://anyluxury.ru/shop/odezhda/kurtki/kurtka-softshell-zhenskaya-rollings-women-krasnaya-s-serim-01625506/" , "01625506 Куртка софтшелл женская ROLLINGS WOMEN красный/серый, размер L")</f>
      </c>
      <c r="C9239" s="4" t="n">
        <v>2544.00</v>
      </c>
      <c r="D9239" s="4"/>
    </row>
    <row collapsed="" customFormat="false" customHeight="1" hidden="" ht="14" outlineLevel="0" r="9240">
      <c r="A9240" s="3" t="inlineStr">
        <is>
          <t>9204</t>
        </is>
      </c>
      <c r="B9240" s="4" t="s">
        <f>=HYPERLINK("http://anyluxury.ru/shop/odezhda/kurtki/kurtka-softshell-zhenskaya-rollings-women-krasnaya-s-serim-01625506/" , "01625506 Куртка софтшелл женская ROLLINGS WOMEN красный/серый, размер XL")</f>
      </c>
      <c r="C9240" s="4" t="n">
        <v>2544.00</v>
      </c>
      <c r="D9240" s="4"/>
    </row>
    <row collapsed="" customFormat="false" customHeight="1" hidden="" ht="14" outlineLevel="0" r="9241">
      <c r="A9241" s="3" t="inlineStr">
        <is>
          <t>9205</t>
        </is>
      </c>
      <c r="B9241" s="4" t="s">
        <f>=HYPERLINK("http://anyluxury.ru/shop/odezhda/kurtki/kurtka-softshell-zhenskaya-rollings-women-krasnaya-s-serim-01625506/" , "01625506 Куртка софтшелл женская ROLLINGS WOMEN красный/серый, размер XXL")</f>
      </c>
      <c r="C9241" s="4" t="n">
        <v>2544.00</v>
      </c>
      <c r="D9241" s="4"/>
    </row>
    <row collapsed="" customFormat="false" customHeight="1" hidden="" ht="14" outlineLevel="0" r="9242">
      <c r="A9242" s="3" t="inlineStr">
        <is>
          <t>9206</t>
        </is>
      </c>
      <c r="B9242" s="4" t="s">
        <f>=HYPERLINK("http://anyluxury.ru/shop/odezhda/kurtki/kurtka-muzhskaya-na-molnii-relax-340-seriy-melanzh-436711/" , "4367.11 Куртка мужская на молнии RELAX 340, серый меланж, размер S")</f>
      </c>
      <c r="C9242" s="4" t="n">
        <v>5132.00</v>
      </c>
      <c r="D9242" s="4"/>
    </row>
    <row collapsed="" customFormat="false" customHeight="1" hidden="" ht="14" outlineLevel="0" r="9243">
      <c r="A9243" s="3" t="inlineStr">
        <is>
          <t>9207</t>
        </is>
      </c>
      <c r="B9243" s="4" t="s">
        <f>=HYPERLINK("http://anyluxury.ru/shop/odezhda/kurtki/kurtka-muzhskaya-na-molnii-relax-340-seriy-melanzh-436711/" , "4367.11 Куртка мужская на молнии RELAX 340, серый меланж, размер M")</f>
      </c>
      <c r="C9243" s="4" t="n">
        <v>5132.00</v>
      </c>
      <c r="D9243" s="4"/>
    </row>
    <row collapsed="" customFormat="false" customHeight="1" hidden="" ht="14" outlineLevel="0" r="9244">
      <c r="A9244" s="3" t="inlineStr">
        <is>
          <t>9208</t>
        </is>
      </c>
      <c r="B9244" s="4" t="s">
        <f>=HYPERLINK("http://anyluxury.ru/shop/odezhda/kurtki/kurtka-muzhskaya-na-molnii-relax-340-seriy-melanzh-436711/" , "4367.11 Куртка мужская на молнии RELAX 340, серый меланж, размер L")</f>
      </c>
      <c r="C9244" s="4" t="n">
        <v>5132.00</v>
      </c>
      <c r="D9244" s="4"/>
    </row>
    <row collapsed="" customFormat="false" customHeight="1" hidden="" ht="14" outlineLevel="0" r="9245">
      <c r="A9245" s="3" t="inlineStr">
        <is>
          <t>9209</t>
        </is>
      </c>
      <c r="B9245" s="4" t="s">
        <f>=HYPERLINK("http://anyluxury.ru/shop/odezhda/kurtki/kurtka-muzhskaya-na-molnii-relax-340-seriy-melanzh-436711/" , "4367.11 Куртка мужская на молнии RELAX 340, серый меланж, размер XL")</f>
      </c>
      <c r="C9245" s="4" t="n">
        <v>5132.00</v>
      </c>
      <c r="D9245" s="4"/>
    </row>
    <row collapsed="" customFormat="false" customHeight="1" hidden="" ht="14" outlineLevel="0" r="9246">
      <c r="A9246" s="3" t="inlineStr">
        <is>
          <t>9210</t>
        </is>
      </c>
      <c r="B9246" s="4" t="s">
        <f>=HYPERLINK("http://anyluxury.ru/shop/odezhda/kurtki/kurtka-muzhskaya-na-molnii-relax-340-seriy-melanzh-436711/" , "4367.11 Куртка мужская на молнии RELAX 340, серый меланж, размер XXL")</f>
      </c>
      <c r="C9246" s="4" t="n">
        <v>5132.00</v>
      </c>
      <c r="D9246" s="4"/>
    </row>
    <row collapsed="" customFormat="false" customHeight="1" hidden="" ht="14" outlineLevel="0" r="9247">
      <c r="A9247" s="3" t="inlineStr">
        <is>
          <t>9211</t>
        </is>
      </c>
      <c r="B9247" s="4" t="s">
        <f>=HYPERLINK("http://anyluxury.ru/shop/odezhda/kurtki/kurtka-muzhskaya-na-molnii-relax-340-seriy-melanzh-436711/" , "4367.11 Куртка мужская на молнии RELAX 340, серый меланж, размер 3XL")</f>
      </c>
      <c r="C9247" s="4" t="n">
        <v>6114.00</v>
      </c>
      <c r="D9247" s="4"/>
    </row>
    <row collapsed="" customFormat="false" customHeight="1" hidden="" ht="14" outlineLevel="0" r="9248">
      <c r="A9248" s="3" t="inlineStr">
        <is>
          <t>9212</t>
        </is>
      </c>
      <c r="B9248" s="4" t="s">
        <f>=HYPERLINK("http://anyluxury.ru/shop/odezhda/kurtki/kurtka-zhenskaya-na-molnii-roxy-340-seriy-melanzh-436811/" , "4368.11 Куртка женская на молнии ROXY 340, серый меланж, размер S")</f>
      </c>
      <c r="C9248" s="4" t="n">
        <v>5101.00</v>
      </c>
      <c r="D9248" s="4"/>
    </row>
    <row collapsed="" customFormat="false" customHeight="1" hidden="" ht="14" outlineLevel="0" r="9249">
      <c r="A9249" s="3" t="inlineStr">
        <is>
          <t>9213</t>
        </is>
      </c>
      <c r="B9249" s="4" t="s">
        <f>=HYPERLINK("http://anyluxury.ru/shop/odezhda/kurtki/kurtka-zhenskaya-na-molnii-roxy-340-seriy-melanzh-436811/" , "4368.11 Куртка женская на молнии ROXY 340, серый меланж, размер M")</f>
      </c>
      <c r="C9249" s="4" t="n">
        <v>5101.00</v>
      </c>
      <c r="D9249" s="4"/>
    </row>
    <row collapsed="" customFormat="false" customHeight="1" hidden="" ht="14" outlineLevel="0" r="9250">
      <c r="A9250" s="3" t="inlineStr">
        <is>
          <t>9214</t>
        </is>
      </c>
      <c r="B9250" s="4" t="s">
        <f>=HYPERLINK("http://anyluxury.ru/shop/odezhda/kurtki/kurtka-zhenskaya-na-molnii-roxy-340-seriy-melanzh-436811/" , "4368.11 Куртка женская на молнии ROXY 340, серый меланж, размер L")</f>
      </c>
      <c r="C9250" s="4" t="n">
        <v>5101.00</v>
      </c>
      <c r="D9250" s="4"/>
    </row>
    <row collapsed="" customFormat="false" customHeight="1" hidden="" ht="14" outlineLevel="0" r="9251">
      <c r="A9251" s="3" t="inlineStr">
        <is>
          <t>9215</t>
        </is>
      </c>
      <c r="B9251" s="4" t="s">
        <f>=HYPERLINK("http://anyluxury.ru/shop/odezhda/kurtki/kurtka-zhenskaya-na-molnii-roxy-340-seriy-melanzh-436811/" , "4368.11 Куртка женская на молнии ROXY 340, серый меланж, размер XL")</f>
      </c>
      <c r="C9251" s="4" t="n">
        <v>5101.00</v>
      </c>
      <c r="D9251" s="4"/>
    </row>
    <row collapsed="" customFormat="false" customHeight="1" hidden="" ht="14" outlineLevel="0" r="9252">
      <c r="A9252" s="3" t="inlineStr">
        <is>
          <t>9216</t>
        </is>
      </c>
      <c r="B9252" s="4" t="s">
        <f>=HYPERLINK("http://anyluxury.ru/shop/odezhda/kurtki/kurtka-zhenskaya-na-molnii-roxy-340-seriy-melanzh-436811/" , "4368.11 Куртка женская на молнии ROXY 340, серый меланж, размер XXL")</f>
      </c>
      <c r="C9252" s="4" t="n">
        <v>5101.00</v>
      </c>
      <c r="D9252" s="4"/>
    </row>
    <row collapsed="" customFormat="false" customHeight="1" hidden="" ht="14" outlineLevel="0" r="9253">
      <c r="A9253" s="3" t="inlineStr">
        <is>
          <t>9217</t>
        </is>
      </c>
      <c r="B9253" s="4" t="s">
        <f>=HYPERLINK("http://anyluxury.ru/shop/odezhda/kurtki/kurtka-na-steganoy-podkladke-robyn-chernaya-02109312/" , "02109312 Куртка на стеганой подкладке ROBYN черная, размер XS")</f>
      </c>
      <c r="C9253" s="4" t="n">
        <v>5654.00</v>
      </c>
      <c r="D9253" s="4"/>
    </row>
    <row collapsed="" customFormat="false" customHeight="1" hidden="" ht="14" outlineLevel="0" r="9254">
      <c r="A9254" s="3" t="inlineStr">
        <is>
          <t>9218</t>
        </is>
      </c>
      <c r="B9254" s="4" t="s">
        <f>=HYPERLINK("http://anyluxury.ru/shop/odezhda/kurtki/kurtka-na-steganoy-podkladke-robyn-chernaya-02109312/" , "02109312 Куртка на стеганой подкладке ROBYN черная, размер S")</f>
      </c>
      <c r="C9254" s="4" t="n">
        <v>5654.00</v>
      </c>
      <c r="D9254" s="4"/>
    </row>
    <row collapsed="" customFormat="false" customHeight="1" hidden="" ht="14" outlineLevel="0" r="9255">
      <c r="A9255" s="3" t="inlineStr">
        <is>
          <t>9219</t>
        </is>
      </c>
      <c r="B9255" s="4" t="s">
        <f>=HYPERLINK("http://anyluxury.ru/shop/odezhda/kurtki/kurtka-na-steganoy-podkladke-robyn-chernaya-02109312/" , "02109312 Куртка на стеганой подкладке ROBYN черная, размер M")</f>
      </c>
      <c r="C9255" s="4" t="n">
        <v>5654.00</v>
      </c>
      <c r="D9255" s="4"/>
    </row>
    <row collapsed="" customFormat="false" customHeight="1" hidden="" ht="14" outlineLevel="0" r="9256">
      <c r="A9256" s="3" t="inlineStr">
        <is>
          <t>9220</t>
        </is>
      </c>
      <c r="B9256" s="4" t="s">
        <f>=HYPERLINK("http://anyluxury.ru/shop/odezhda/kurtki/kurtka-na-steganoy-podkladke-robyn-chernaya-02109312/" , "02109312 Куртка на стеганой подкладке ROBYN черная, размер L")</f>
      </c>
      <c r="C9256" s="4" t="n">
        <v>5654.00</v>
      </c>
      <c r="D9256" s="4"/>
    </row>
    <row collapsed="" customFormat="false" customHeight="1" hidden="" ht="14" outlineLevel="0" r="9257">
      <c r="A9257" s="3" t="inlineStr">
        <is>
          <t>9221</t>
        </is>
      </c>
      <c r="B9257" s="4" t="s">
        <f>=HYPERLINK("http://anyluxury.ru/shop/odezhda/kurtki/kurtka-na-steganoy-podkladke-robyn-chernaya-02109312/" , "02109312 Куртка на стеганой подкладке ROBYN черная, размер XL")</f>
      </c>
      <c r="C9257" s="4" t="n">
        <v>5654.00</v>
      </c>
      <c r="D9257" s="4"/>
    </row>
    <row collapsed="" customFormat="false" customHeight="1" hidden="" ht="14" outlineLevel="0" r="9258">
      <c r="A9258" s="3" t="inlineStr">
        <is>
          <t>9222</t>
        </is>
      </c>
      <c r="B9258" s="4" t="s">
        <f>=HYPERLINK("http://anyluxury.ru/shop/odezhda/kurtki/kurtka-na-steganoy-podkladke-robyn-chernaya-02109312/" , "02109312 Куртка на стеганой подкладке ROBYN черная, размер XXL")</f>
      </c>
      <c r="C9258" s="4" t="n">
        <v>5654.00</v>
      </c>
      <c r="D9258" s="4"/>
    </row>
    <row collapsed="" customFormat="false" customHeight="1" hidden="" ht="14" outlineLevel="0" r="9259">
      <c r="A9259" s="3" t="inlineStr">
        <is>
          <t>9223</t>
        </is>
      </c>
      <c r="B9259" s="4" t="s">
        <f>=HYPERLINK("http://anyluxury.ru/shop/odezhda/kurtki/kurtka-na-steganoy-podkladke-robyn-chernaya-02109312/" , "02109312 Куртка на стеганой подкладке ROBYN черная, размер 3XL")</f>
      </c>
      <c r="C9259" s="4" t="n">
        <v>6496.00</v>
      </c>
      <c r="D9259" s="4"/>
    </row>
    <row collapsed="" customFormat="false" customHeight="1" hidden="" ht="14" outlineLevel="0" r="9260">
      <c r="A9260" s="3" t="inlineStr">
        <is>
          <t>9224</t>
        </is>
      </c>
      <c r="B9260" s="4" t="s">
        <f>=HYPERLINK("http://anyluxury.ru/shop/odezhda/kurtki/kurtka-na-steganoy-podkladke-robyn-chernaya-02109312/" , "02109312 Куртка на стеганой подкладке ROBYN черная, размер 4XL")</f>
      </c>
      <c r="C9260" s="4" t="n">
        <v>6496.00</v>
      </c>
      <c r="D9260" s="4"/>
    </row>
    <row collapsed="" customFormat="false" customHeight="1" hidden="" ht="14" outlineLevel="0" r="9261">
      <c r="A9261" s="3" t="inlineStr">
        <is>
          <t>9225</t>
        </is>
      </c>
      <c r="B9261" s="4" t="s">
        <f>=HYPERLINK("http://anyluxury.ru/shop/odezhda/kurtki/kurtka-na-steganoy-podkladke-robyn-temnosinyaya-02109319/" , "02109319 Куртка на стеганой подкладке ROBYN темно-синяя, размер XS")</f>
      </c>
      <c r="C9261" s="4" t="n">
        <v>5654.00</v>
      </c>
      <c r="D9261" s="4"/>
    </row>
    <row collapsed="" customFormat="false" customHeight="1" hidden="" ht="14" outlineLevel="0" r="9262">
      <c r="A9262" s="3" t="inlineStr">
        <is>
          <t>9226</t>
        </is>
      </c>
      <c r="B9262" s="4" t="s">
        <f>=HYPERLINK("http://anyluxury.ru/shop/odezhda/kurtki/kurtka-na-steganoy-podkladke-robyn-temnosinyaya-02109319/" , "02109319 Куртка на стеганой подкладке ROBYN темно-синяя, размер S")</f>
      </c>
      <c r="C9262" s="4" t="n">
        <v>5654.00</v>
      </c>
      <c r="D9262" s="4"/>
    </row>
    <row collapsed="" customFormat="false" customHeight="1" hidden="" ht="14" outlineLevel="0" r="9263">
      <c r="A9263" s="3" t="inlineStr">
        <is>
          <t>9227</t>
        </is>
      </c>
      <c r="B9263" s="4" t="s">
        <f>=HYPERLINK("http://anyluxury.ru/shop/odezhda/kurtki/kurtka-na-steganoy-podkladke-robyn-temnosinyaya-02109319/" , "02109319 Куртка на стеганой подкладке ROBYN темно-синяя, размер M")</f>
      </c>
      <c r="C9263" s="4" t="n">
        <v>5654.00</v>
      </c>
      <c r="D9263" s="4"/>
    </row>
    <row collapsed="" customFormat="false" customHeight="1" hidden="" ht="14" outlineLevel="0" r="9264">
      <c r="A9264" s="3" t="inlineStr">
        <is>
          <t>9228</t>
        </is>
      </c>
      <c r="B9264" s="4" t="s">
        <f>=HYPERLINK("http://anyluxury.ru/shop/odezhda/kurtki/kurtka-na-steganoy-podkladke-robyn-temnosinyaya-02109319/" , "02109319 Куртка на стеганой подкладке ROBYN темно-синяя, размер L")</f>
      </c>
      <c r="C9264" s="4" t="n">
        <v>5654.00</v>
      </c>
      <c r="D9264" s="4"/>
    </row>
    <row collapsed="" customFormat="false" customHeight="1" hidden="" ht="14" outlineLevel="0" r="9265">
      <c r="A9265" s="3" t="inlineStr">
        <is>
          <t>9229</t>
        </is>
      </c>
      <c r="B9265" s="4" t="s">
        <f>=HYPERLINK("http://anyluxury.ru/shop/odezhda/kurtki/kurtka-na-steganoy-podkladke-robyn-temnosinyaya-02109319/" , "02109319 Куртка на стеганой подкладке ROBYN темно-синяя, размер XL")</f>
      </c>
      <c r="C9265" s="4" t="n">
        <v>5654.00</v>
      </c>
      <c r="D9265" s="4"/>
    </row>
    <row collapsed="" customFormat="false" customHeight="1" hidden="" ht="14" outlineLevel="0" r="9266">
      <c r="A9266" s="3" t="inlineStr">
        <is>
          <t>9230</t>
        </is>
      </c>
      <c r="B9266" s="4" t="s">
        <f>=HYPERLINK("http://anyluxury.ru/shop/odezhda/kurtki/kurtka-na-steganoy-podkladke-robyn-temnosinyaya-02109319/" , "02109319 Куртка на стеганой подкладке ROBYN темно-синяя, размер XXL")</f>
      </c>
      <c r="C9266" s="4" t="n">
        <v>5654.00</v>
      </c>
      <c r="D9266" s="4"/>
    </row>
    <row collapsed="" customFormat="false" customHeight="1" hidden="" ht="14" outlineLevel="0" r="9267">
      <c r="A9267" s="3" t="inlineStr">
        <is>
          <t>9231</t>
        </is>
      </c>
      <c r="B9267" s="4" t="s">
        <f>=HYPERLINK("http://anyluxury.ru/shop/odezhda/kurtki/kurtka-na-steganoy-podkladke-robyn-temnosinyaya-02109319/" , "02109319 Куртка на стеганой подкладке ROBYN темно-синяя, размер 3XL")</f>
      </c>
      <c r="C9267" s="4" t="n">
        <v>6496.00</v>
      </c>
      <c r="D9267" s="4"/>
    </row>
    <row collapsed="" customFormat="false" customHeight="1" hidden="" ht="14" outlineLevel="0" r="9268">
      <c r="A9268" s="3" t="inlineStr">
        <is>
          <t>9232</t>
        </is>
      </c>
      <c r="B9268" s="4" t="s">
        <f>=HYPERLINK("http://anyluxury.ru/shop/odezhda/kurtki/kurtka-na-steganoy-podkladke-robyn-temnosinyaya-02109319/" , "02109319 Куртка на стеганой подкладке ROBYN темно-синяя, размер 4XL")</f>
      </c>
      <c r="C9268" s="4" t="n">
        <v>6496.00</v>
      </c>
      <c r="D9268" s="4"/>
    </row>
    <row collapsed="" customFormat="false" customHeight="1" hidden="" ht="14" outlineLevel="0" r="9269">
      <c r="A9269" s="3" t="inlineStr">
        <is>
          <t>9233</t>
        </is>
      </c>
      <c r="B9269" s="4" t="s">
        <f>=HYPERLINK("http://anyluxury.ru/shop/odezhda/kurtki/kurtka-na-steganoy-podkladke-robyn-zelenaya-02109272/" , "02109272 Куртка на стеганой подкладке ROBYN зеленая, размер XS")</f>
      </c>
      <c r="C9269" s="4" t="n">
        <v>5654.00</v>
      </c>
      <c r="D9269" s="4"/>
    </row>
    <row collapsed="" customFormat="false" customHeight="1" hidden="" ht="14" outlineLevel="0" r="9270">
      <c r="A9270" s="3" t="inlineStr">
        <is>
          <t>9234</t>
        </is>
      </c>
      <c r="B9270" s="4" t="s">
        <f>=HYPERLINK("http://anyluxury.ru/shop/odezhda/kurtki/kurtka-na-steganoy-podkladke-robyn-zelenaya-02109272/" , "02109272 Куртка на стеганой подкладке ROBYN зеленая, размер S")</f>
      </c>
      <c r="C9270" s="4" t="n">
        <v>5654.00</v>
      </c>
      <c r="D9270" s="4"/>
    </row>
    <row collapsed="" customFormat="false" customHeight="1" hidden="" ht="14" outlineLevel="0" r="9271">
      <c r="A9271" s="3" t="inlineStr">
        <is>
          <t>9235</t>
        </is>
      </c>
      <c r="B9271" s="4" t="s">
        <f>=HYPERLINK("http://anyluxury.ru/shop/odezhda/kurtki/kurtka-na-steganoy-podkladke-robyn-zelenaya-02109272/" , "02109272 Куртка на стеганой подкладке ROBYN зеленая, размер L")</f>
      </c>
      <c r="C9271" s="4" t="n">
        <v>5654.00</v>
      </c>
      <c r="D9271" s="4"/>
    </row>
    <row collapsed="" customFormat="false" customHeight="1" hidden="" ht="14" outlineLevel="0" r="9272">
      <c r="A9272" s="3" t="inlineStr">
        <is>
          <t>9236</t>
        </is>
      </c>
      <c r="B9272" s="4" t="s">
        <f>=HYPERLINK("http://anyluxury.ru/shop/odezhda/kurtki/kurtka-na-steganoy-podkladke-robyn-zelenaya-02109272/" , "02109272 Куртка на стеганой подкладке ROBYN зеленая, размер XL")</f>
      </c>
      <c r="C9272" s="4" t="n">
        <v>5654.00</v>
      </c>
      <c r="D9272" s="4"/>
    </row>
    <row collapsed="" customFormat="false" customHeight="1" hidden="" ht="14" outlineLevel="0" r="9273">
      <c r="A9273" s="3" t="inlineStr">
        <is>
          <t>9237</t>
        </is>
      </c>
      <c r="B9273" s="4" t="s">
        <f>=HYPERLINK("http://anyluxury.ru/shop/odezhda/kurtki/kurtka-na-steganoy-podkladke-robyn-zelenaya-02109272/" , "02109272 Куртка на стеганой подкладке ROBYN зеленая, размер XXL")</f>
      </c>
      <c r="C9273" s="4" t="n">
        <v>5654.00</v>
      </c>
      <c r="D9273" s="4"/>
    </row>
    <row collapsed="" customFormat="false" customHeight="1" hidden="" ht="14" outlineLevel="0" r="9274">
      <c r="A9274" s="3" t="inlineStr">
        <is>
          <t>9238</t>
        </is>
      </c>
      <c r="B9274" s="4" t="s">
        <f>=HYPERLINK("http://anyluxury.ru/shop/odezhda/kurtki/kurtka-na-steganoy-podkladke-robyn-zelenaya-02109272/" , "02109272 Куртка на стеганой подкладке ROBYN зеленая, размер 3XL")</f>
      </c>
      <c r="C9274" s="4" t="n">
        <v>6496.00</v>
      </c>
      <c r="D9274" s="4"/>
    </row>
    <row collapsed="" customFormat="false" customHeight="1" hidden="" ht="14" outlineLevel="0" r="9275">
      <c r="A9275" s="3" t="inlineStr">
        <is>
          <t>9239</t>
        </is>
      </c>
      <c r="B9275" s="4" t="s">
        <f>=HYPERLINK("http://anyluxury.ru/shop/odezhda/kurtki/kurtka-na-steganoy-podkladke-robyn-zelenaya-02109272/" , "02109272 Куртка на стеганой подкладке ROBYN зеленая, размер 4XL")</f>
      </c>
      <c r="C9275" s="4" t="n">
        <v>6496.00</v>
      </c>
      <c r="D9275" s="4"/>
    </row>
    <row collapsed="" customFormat="false" customHeight="1" hidden="" ht="14" outlineLevel="0" r="9276">
      <c r="A9276" s="3" t="inlineStr">
        <is>
          <t>9240</t>
        </is>
      </c>
      <c r="B9276" s="4" t="s">
        <f>=HYPERLINK("http://anyluxury.ru/shop/odezhda/kurtki/kurtka-na-steganoy-podkladke-robyn-krasnaya-02109145/" , "02109145 Куртка на стеганой подкладке ROBYN красная, размер XS")</f>
      </c>
      <c r="C9276" s="4" t="n">
        <v>5654.00</v>
      </c>
      <c r="D9276" s="4"/>
    </row>
    <row collapsed="" customFormat="false" customHeight="1" hidden="" ht="14" outlineLevel="0" r="9277">
      <c r="A9277" s="3" t="inlineStr">
        <is>
          <t>9241</t>
        </is>
      </c>
      <c r="B9277" s="4" t="s">
        <f>=HYPERLINK("http://anyluxury.ru/shop/odezhda/kurtki/kurtka-na-steganoy-podkladke-robyn-krasnaya-02109145/" , "02109145 Куртка на стеганой подкладке ROBYN красная, размер S")</f>
      </c>
      <c r="C9277" s="4" t="n">
        <v>5654.00</v>
      </c>
      <c r="D9277" s="4"/>
    </row>
    <row collapsed="" customFormat="false" customHeight="1" hidden="" ht="14" outlineLevel="0" r="9278">
      <c r="A9278" s="3" t="inlineStr">
        <is>
          <t>9242</t>
        </is>
      </c>
      <c r="B9278" s="4" t="s">
        <f>=HYPERLINK("http://anyluxury.ru/shop/odezhda/kurtki/kurtka-na-steganoy-podkladke-robyn-krasnaya-02109145/" , "02109145 Куртка на стеганой подкладке ROBYN красная, размер M")</f>
      </c>
      <c r="C9278" s="4" t="n">
        <v>5654.00</v>
      </c>
      <c r="D9278" s="4"/>
    </row>
    <row collapsed="" customFormat="false" customHeight="1" hidden="" ht="14" outlineLevel="0" r="9279">
      <c r="A9279" s="3" t="inlineStr">
        <is>
          <t>9243</t>
        </is>
      </c>
      <c r="B9279" s="4" t="s">
        <f>=HYPERLINK("http://anyluxury.ru/shop/odezhda/kurtki/kurtka-na-steganoy-podkladke-robyn-krasnaya-02109145/" , "02109145 Куртка на стеганой подкладке ROBYN красная, размер L")</f>
      </c>
      <c r="C9279" s="4" t="n">
        <v>5654.00</v>
      </c>
      <c r="D9279" s="4"/>
    </row>
    <row collapsed="" customFormat="false" customHeight="1" hidden="" ht="14" outlineLevel="0" r="9280">
      <c r="A9280" s="3" t="inlineStr">
        <is>
          <t>9244</t>
        </is>
      </c>
      <c r="B9280" s="4" t="s">
        <f>=HYPERLINK("http://anyluxury.ru/shop/odezhda/kurtki/kurtka-na-steganoy-podkladke-robyn-krasnaya-02109145/" , "02109145 Куртка на стеганой подкладке ROBYN красная, размер XL")</f>
      </c>
      <c r="C9280" s="4" t="n">
        <v>5654.00</v>
      </c>
      <c r="D9280" s="4"/>
    </row>
    <row collapsed="" customFormat="false" customHeight="1" hidden="" ht="14" outlineLevel="0" r="9281">
      <c r="A9281" s="3" t="inlineStr">
        <is>
          <t>9245</t>
        </is>
      </c>
      <c r="B9281" s="4" t="s">
        <f>=HYPERLINK("http://anyluxury.ru/shop/odezhda/kurtki/kurtka-na-steganoy-podkladke-robyn-krasnaya-02109145/" , "02109145 Куртка на стеганой подкладке ROBYN красная, размер XXL")</f>
      </c>
      <c r="C9281" s="4" t="n">
        <v>5654.00</v>
      </c>
      <c r="D9281" s="4"/>
    </row>
    <row collapsed="" customFormat="false" customHeight="1" hidden="" ht="14" outlineLevel="0" r="9282">
      <c r="A9282" s="3" t="inlineStr">
        <is>
          <t>9246</t>
        </is>
      </c>
      <c r="B9282" s="4" t="s">
        <f>=HYPERLINK("http://anyluxury.ru/shop/odezhda/kurtki/kurtka-na-steganoy-podkladke-robyn-krasnaya-02109145/" , "02109145 Куртка на стеганой подкладке ROBYN красная, размер 3XL")</f>
      </c>
      <c r="C9282" s="4" t="n">
        <v>6496.00</v>
      </c>
      <c r="D9282" s="4"/>
    </row>
    <row collapsed="" customFormat="false" customHeight="1" hidden="" ht="14" outlineLevel="0" r="9283">
      <c r="A9283" s="3" t="inlineStr">
        <is>
          <t>9247</t>
        </is>
      </c>
      <c r="B9283" s="4" t="s">
        <f>=HYPERLINK("http://anyluxury.ru/shop/odezhda/kurtki/kurtka-na-steganoy-podkladke-robyn-krasnaya-02109145/" , "02109145 Куртка на стеганой подкладке ROBYN красная, размер 4XL")</f>
      </c>
      <c r="C9283" s="4" t="n">
        <v>6496.00</v>
      </c>
      <c r="D9283" s="4"/>
    </row>
    <row collapsed="" customFormat="false" customHeight="1" hidden="" ht="14" outlineLevel="0" r="9284">
      <c r="A9284" s="3" t="inlineStr">
        <is>
          <t>9248</t>
        </is>
      </c>
      <c r="B9284" s="4" t="s">
        <f>=HYPERLINK("http://anyluxury.ru/shop/odezhda/kurtki/kurtka-na-steganoy-podkladke-robyn-yarkosinyaya-02109241/" , "02109241 Куртка на стеганой подкладке ROBYN ярко-синяя, размер XS")</f>
      </c>
      <c r="C9284" s="4" t="n">
        <v>5654.00</v>
      </c>
      <c r="D9284" s="4"/>
    </row>
    <row collapsed="" customFormat="false" customHeight="1" hidden="" ht="14" outlineLevel="0" r="9285">
      <c r="A9285" s="3" t="inlineStr">
        <is>
          <t>9249</t>
        </is>
      </c>
      <c r="B9285" s="4" t="s">
        <f>=HYPERLINK("http://anyluxury.ru/shop/odezhda/kurtki/kurtka-na-steganoy-podkladke-robyn-yarkosinyaya-02109241/" , "02109241 Куртка на стеганой подкладке ROBYN ярко-синяя, размер S")</f>
      </c>
      <c r="C9285" s="4" t="n">
        <v>5654.00</v>
      </c>
      <c r="D9285" s="4"/>
    </row>
    <row collapsed="" customFormat="false" customHeight="1" hidden="" ht="14" outlineLevel="0" r="9286">
      <c r="A9286" s="3" t="inlineStr">
        <is>
          <t>9250</t>
        </is>
      </c>
      <c r="B9286" s="4" t="s">
        <f>=HYPERLINK("http://anyluxury.ru/shop/odezhda/kurtki/kurtka-na-steganoy-podkladke-robyn-yarkosinyaya-02109241/" , "02109241 Куртка на стеганой подкладке ROBYN ярко-синяя, размер M")</f>
      </c>
      <c r="C9286" s="4" t="n">
        <v>5654.00</v>
      </c>
      <c r="D9286" s="4"/>
    </row>
    <row collapsed="" customFormat="false" customHeight="1" hidden="" ht="14" outlineLevel="0" r="9287">
      <c r="A9287" s="3" t="inlineStr">
        <is>
          <t>9251</t>
        </is>
      </c>
      <c r="B9287" s="4" t="s">
        <f>=HYPERLINK("http://anyluxury.ru/shop/odezhda/kurtki/kurtka-na-steganoy-podkladke-robyn-yarkosinyaya-02109241/" , "02109241 Куртка на стеганой подкладке ROBYN ярко-синяя, размер L")</f>
      </c>
      <c r="C9287" s="4" t="n">
        <v>5654.00</v>
      </c>
      <c r="D9287" s="4"/>
    </row>
    <row collapsed="" customFormat="false" customHeight="1" hidden="" ht="14" outlineLevel="0" r="9288">
      <c r="A9288" s="3" t="inlineStr">
        <is>
          <t>9252</t>
        </is>
      </c>
      <c r="B9288" s="4" t="s">
        <f>=HYPERLINK("http://anyluxury.ru/shop/odezhda/kurtki/kurtka-na-steganoy-podkladke-robyn-yarkosinyaya-02109241/" , "02109241 Куртка на стеганой подкладке ROBYN ярко-синяя, размер XL")</f>
      </c>
      <c r="C9288" s="4" t="n">
        <v>5654.00</v>
      </c>
      <c r="D9288" s="4"/>
    </row>
    <row collapsed="" customFormat="false" customHeight="1" hidden="" ht="14" outlineLevel="0" r="9289">
      <c r="A9289" s="3" t="inlineStr">
        <is>
          <t>9253</t>
        </is>
      </c>
      <c r="B9289" s="4" t="s">
        <f>=HYPERLINK("http://anyluxury.ru/shop/odezhda/kurtki/kurtka-na-steganoy-podkladke-robyn-yarkosinyaya-02109241/" , "02109241 Куртка на стеганой подкладке ROBYN ярко-синяя, размер XXL")</f>
      </c>
      <c r="C9289" s="4" t="n">
        <v>5654.00</v>
      </c>
      <c r="D9289" s="4"/>
    </row>
    <row collapsed="" customFormat="false" customHeight="1" hidden="" ht="14" outlineLevel="0" r="9290">
      <c r="A9290" s="3" t="inlineStr">
        <is>
          <t>9254</t>
        </is>
      </c>
      <c r="B9290" s="4" t="s">
        <f>=HYPERLINK("http://anyluxury.ru/shop/odezhda/kurtki/kurtka-na-steganoy-podkladke-robyn-yarkosinyaya-02109241/" , "02109241 Куртка на стеганой подкладке ROBYN ярко-синяя, размер 3XL")</f>
      </c>
      <c r="C9290" s="4" t="n">
        <v>6496.00</v>
      </c>
      <c r="D9290" s="4"/>
    </row>
    <row collapsed="" customFormat="false" customHeight="1" hidden="" ht="14" outlineLevel="0" r="9291">
      <c r="A9291" s="3" t="inlineStr">
        <is>
          <t>9255</t>
        </is>
      </c>
      <c r="B9291" s="4" t="s">
        <f>=HYPERLINK("http://anyluxury.ru/shop/odezhda/kurtki/kurtka-na-steganoy-podkladke-robyn-yarkosinyaya-02109241/" , "02109241 Куртка на стеганой подкладке ROBYN ярко-синяя, размер 4XL")</f>
      </c>
      <c r="C9291" s="4" t="n">
        <v>6496.00</v>
      </c>
      <c r="D9291" s="4"/>
    </row>
    <row collapsed="" customFormat="false" customHeight="1" hidden="" ht="14" outlineLevel="0" r="9292">
      <c r="A9292" s="3" t="inlineStr">
        <is>
          <t>9256</t>
        </is>
      </c>
      <c r="B9292" s="4" t="s">
        <f>=HYPERLINK("http://anyluxury.ru/shop/odezhda/kurtki/kurtka-muzhskaya-hooded-softshell-chernaya-jm950002/" , "JM950002 Куртка мужская Hooded Softshell черная, размер S")</f>
      </c>
      <c r="C9292" s="4" t="n">
        <v>8149.00</v>
      </c>
      <c r="D9292" s="4"/>
    </row>
    <row collapsed="" customFormat="false" customHeight="1" hidden="" ht="14" outlineLevel="0" r="9293">
      <c r="A9293" s="3" t="inlineStr">
        <is>
          <t>9257</t>
        </is>
      </c>
      <c r="B9293" s="4" t="s">
        <f>=HYPERLINK("http://anyluxury.ru/shop/odezhda/kurtki/kurtka-muzhskaya-hooded-softshell-temnosinyaya-jm950003/" , "JM950003 Куртка мужская Hooded Softshell темно-синяя, размер S")</f>
      </c>
      <c r="C9293" s="4" t="n">
        <v>8149.00</v>
      </c>
      <c r="D9293" s="4"/>
    </row>
    <row collapsed="" customFormat="false" customHeight="1" hidden="" ht="14" outlineLevel="0" r="9294">
      <c r="A9294" s="3" t="inlineStr">
        <is>
          <t>9258</t>
        </is>
      </c>
      <c r="B9294" s="4" t="s">
        <f>=HYPERLINK("http://anyluxury.ru/shop/odezhda/kurtki/kurtka-muzhskaya-hooded-softshell-temnosinyaya-jm950003/" , "JM950003 Куртка мужская Hooded Softshell темно-синяя, размер M")</f>
      </c>
      <c r="C9294" s="4" t="n">
        <v>8149.00</v>
      </c>
      <c r="D9294" s="4"/>
    </row>
    <row collapsed="" customFormat="false" customHeight="1" hidden="" ht="14" outlineLevel="0" r="9295">
      <c r="A9295" s="3" t="inlineStr">
        <is>
          <t>9259</t>
        </is>
      </c>
      <c r="B9295" s="4" t="s">
        <f>=HYPERLINK("http://anyluxury.ru/shop/odezhda/kurtki/kurtka-muzhskaya-hooded-softshell-temnosinyaya-jm950003/" , "JM950003 Куртка мужская Hooded Softshell темно-синяя, размер XL")</f>
      </c>
      <c r="C9295" s="4" t="n">
        <v>7470.00</v>
      </c>
      <c r="D9295" s="4"/>
    </row>
    <row collapsed="" customFormat="false" customHeight="1" hidden="" ht="14" outlineLevel="0" r="9296">
      <c r="A9296" s="3" t="inlineStr">
        <is>
          <t>9260</t>
        </is>
      </c>
      <c r="B9296" s="4" t="s">
        <f>=HYPERLINK("http://anyluxury.ru/shop/odezhda/kurtki/kurtka-zhenskaya-hooded-softshell-temnosinyaya-jw937003/" , "JW937003 Куртка женская Hooded Softshell темно-синяя, размер S")</f>
      </c>
      <c r="C9296" s="4" t="n">
        <v>7990.00</v>
      </c>
      <c r="D9296" s="4"/>
    </row>
    <row collapsed="" customFormat="false" customHeight="1" hidden="" ht="14" outlineLevel="0" r="9297">
      <c r="A9297" s="3" t="inlineStr">
        <is>
          <t>9261</t>
        </is>
      </c>
      <c r="B9297" s="4" t="s">
        <f>=HYPERLINK("http://anyluxury.ru/shop/odezhda/kurtki/kurtka-zhenskaya-hooded-softshell-temnosinyaya-jw937003/" , "JW937003 Куртка женская Hooded Softshell темно-синяя, размер M")</f>
      </c>
      <c r="C9297" s="4" t="n">
        <v>7990.00</v>
      </c>
      <c r="D9297" s="4"/>
    </row>
    <row collapsed="" customFormat="false" customHeight="1" hidden="" ht="14" outlineLevel="0" r="9298">
      <c r="A9298" s="3" t="inlineStr">
        <is>
          <t>9262</t>
        </is>
      </c>
      <c r="B9298" s="4" t="s">
        <f>=HYPERLINK("http://anyluxury.ru/shop/odezhda/kurtki/kurtka-zhenskaya-hooded-softshell-temnosinyaya-jw937003/" , "JW937003 Куртка женская Hooded Softshell темно-синяя, размер L")</f>
      </c>
      <c r="C9298" s="4" t="n">
        <v>7990.00</v>
      </c>
      <c r="D9298" s="4"/>
    </row>
    <row collapsed="" customFormat="false" customHeight="1" hidden="" ht="14" outlineLevel="0" r="9299">
      <c r="A9299" s="3" t="inlineStr">
        <is>
          <t>9263</t>
        </is>
      </c>
      <c r="B9299" s="4" t="s">
        <f>=HYPERLINK("http://anyluxury.ru/shop/odezhda/kurtki/kurtka-zhenskaya-hooded-softshell-temnosinyaya-jw937003/" , "JW937003 Куртка женская Hooded Softshell темно-синяя, размер XL")</f>
      </c>
      <c r="C9299" s="4" t="n">
        <v>7990.00</v>
      </c>
      <c r="D9299" s="4"/>
    </row>
    <row collapsed="" customFormat="false" customHeight="1" hidden="" ht="14" outlineLevel="0" r="9300">
      <c r="A9300" s="3" t="inlineStr">
        <is>
          <t>9264</t>
        </is>
      </c>
      <c r="B9300" s="4" t="s">
        <f>=HYPERLINK("http://anyluxury.ru/shop/odezhda/kurtki/kurtka-zhenskaya-hooded-softshell-chernaya-jw937002/" , "JW937002 Куртка женская Hooded Softshell черная, размер S")</f>
      </c>
      <c r="C9300" s="4" t="n">
        <v>7990.00</v>
      </c>
      <c r="D9300" s="4"/>
    </row>
    <row collapsed="" customFormat="false" customHeight="1" hidden="" ht="14" outlineLevel="0" r="9301">
      <c r="A9301" s="3" t="inlineStr">
        <is>
          <t>9265</t>
        </is>
      </c>
      <c r="B9301" s="4" t="s">
        <f>=HYPERLINK("http://anyluxury.ru/shop/odezhda/kurtki/kurtka-zhenskaya-hooded-softshell-chernaya-jw937002/" , "JW937002 Куртка женская Hooded Softshell черная, размер M")</f>
      </c>
      <c r="C9301" s="4" t="n">
        <v>7990.00</v>
      </c>
      <c r="D9301" s="4"/>
    </row>
    <row collapsed="" customFormat="false" customHeight="1" hidden="" ht="14" outlineLevel="0" r="9302">
      <c r="A9302" s="3" t="inlineStr">
        <is>
          <t>9266</t>
        </is>
      </c>
      <c r="B9302" s="4" t="s">
        <f>=HYPERLINK("http://anyluxury.ru/shop/odezhda/kurtki/kurtka-zhenskaya-hooded-softshell-chernaya-jw937002/" , "JW937002 Куртка женская Hooded Softshell черная, размер L")</f>
      </c>
      <c r="C9302" s="4" t="n">
        <v>7990.00</v>
      </c>
      <c r="D9302" s="4"/>
    </row>
    <row collapsed="" customFormat="false" customHeight="1" hidden="" ht="14" outlineLevel="0" r="9303">
      <c r="A9303" s="3" t="inlineStr">
        <is>
          <t>9267</t>
        </is>
      </c>
      <c r="B9303" s="4" t="s">
        <f>=HYPERLINK("http://anyluxury.ru/shop/odezhda/kurtki/kurtka-zhenskaya-hooded-softshell-chernaya-jw937002/" , "JW937002 Куртка женская Hooded Softshell черная, размер XL")</f>
      </c>
      <c r="C9303" s="4" t="n">
        <v>7990.00</v>
      </c>
      <c r="D9303" s="4"/>
    </row>
    <row collapsed="" customFormat="false" customHeight="1" hidden="" ht="14" outlineLevel="0" r="9304">
      <c r="A9304" s="3" t="inlineStr">
        <is>
          <t>9268</t>
        </is>
      </c>
      <c r="B9304" s="4" t="s">
        <f>=HYPERLINK("http://anyluxury.ru/shop/odezhda/kurtki/kurtka-unit-tulun-temnosinyaya-753940/" , "7539.40 Куртка Unit Tulun, темно-синяя, размер S")</f>
      </c>
      <c r="C9304" s="4" t="n">
        <v>3287.00</v>
      </c>
      <c r="D9304" s="4"/>
    </row>
    <row collapsed="" customFormat="false" customHeight="1" hidden="" ht="14" outlineLevel="0" r="9305">
      <c r="A9305" s="3" t="inlineStr">
        <is>
          <t>9269</t>
        </is>
      </c>
      <c r="B9305" s="4" t="s">
        <f>=HYPERLINK("http://anyluxury.ru/shop/odezhda/kurtki/kurtka-muzhskaya-reggie-chernaya-02886312/" , "02886312 Куртка мужская REGGIE черная, размер S")</f>
      </c>
      <c r="C9305" s="4" t="n">
        <v>9125.00</v>
      </c>
      <c r="D9305" s="4"/>
    </row>
    <row collapsed="" customFormat="false" customHeight="1" hidden="" ht="14" outlineLevel="0" r="9306">
      <c r="A9306" s="3" t="inlineStr">
        <is>
          <t>9270</t>
        </is>
      </c>
      <c r="B9306" s="4" t="s">
        <f>=HYPERLINK("http://anyluxury.ru/shop/odezhda/kurtki/kurtka-muzhskaya-reggie-chernaya-02886312/" , "02886312 Куртка мужская REGGIE черная, размер M")</f>
      </c>
      <c r="C9306" s="4" t="n">
        <v>9125.00</v>
      </c>
      <c r="D9306" s="4"/>
    </row>
    <row collapsed="" customFormat="false" customHeight="1" hidden="" ht="14" outlineLevel="0" r="9307">
      <c r="A9307" s="3" t="inlineStr">
        <is>
          <t>9271</t>
        </is>
      </c>
      <c r="B9307" s="4" t="s">
        <f>=HYPERLINK("http://anyluxury.ru/shop/odezhda/kurtki/kurtka-muzhskaya-reggie-chernaya-02886312/" , "02886312 Куртка мужская REGGIE черная, размер XL")</f>
      </c>
      <c r="C9307" s="4" t="n">
        <v>9125.00</v>
      </c>
      <c r="D9307" s="4"/>
    </row>
    <row collapsed="" customFormat="false" customHeight="1" hidden="" ht="14" outlineLevel="0" r="9308">
      <c r="A9308" s="3" t="inlineStr">
        <is>
          <t>9272</t>
        </is>
      </c>
      <c r="B9308" s="4" t="s">
        <f>=HYPERLINK("http://anyluxury.ru/shop/odezhda/kurtki/kurtka-muzhskaya-reggie-chernaya-02886312/" , "02886312 Куртка мужская REGGIE черная, размер XXL")</f>
      </c>
      <c r="C9308" s="4" t="n">
        <v>9125.00</v>
      </c>
      <c r="D9308" s="4"/>
    </row>
    <row collapsed="" customFormat="false" customHeight="1" hidden="" ht="14" outlineLevel="0" r="9309">
      <c r="A9309" s="3" t="inlineStr">
        <is>
          <t>9273</t>
        </is>
      </c>
      <c r="B9309" s="4" t="s">
        <f>=HYPERLINK("http://anyluxury.ru/shop/odezhda/kurtki/kurtka-muzhskaya-reggie-chernaya-02886312/" , "02886312 Куртка мужская REGGIE черная, размер 3XL")</f>
      </c>
      <c r="C9309" s="4" t="n">
        <v>9899.00</v>
      </c>
      <c r="D9309" s="4"/>
    </row>
    <row collapsed="" customFormat="false" customHeight="1" hidden="" ht="14" outlineLevel="0" r="9310">
      <c r="A9310" s="3" t="inlineStr">
        <is>
          <t>9274</t>
        </is>
      </c>
      <c r="B9310" s="4" t="s">
        <f>=HYPERLINK("http://anyluxury.ru/shop/odezhda/kurtki/kurtka-muzhskaya-reggie-temnosinyaya-02886231/" , "02886231 Куртка мужская REGGIE темно-синяя, размер S")</f>
      </c>
      <c r="C9310" s="4" t="n">
        <v>9125.00</v>
      </c>
      <c r="D9310" s="4"/>
    </row>
    <row collapsed="" customFormat="false" customHeight="1" hidden="" ht="14" outlineLevel="0" r="9311">
      <c r="A9311" s="3" t="inlineStr">
        <is>
          <t>9275</t>
        </is>
      </c>
      <c r="B9311" s="4" t="s">
        <f>=HYPERLINK("http://anyluxury.ru/shop/odezhda/kurtki/kurtka-muzhskaya-reggie-temnosinyaya-02886231/" , "02886231 Куртка мужская REGGIE темно-синяя, размер M")</f>
      </c>
      <c r="C9311" s="4" t="n">
        <v>9125.00</v>
      </c>
      <c r="D9311" s="4"/>
    </row>
    <row collapsed="" customFormat="false" customHeight="1" hidden="" ht="14" outlineLevel="0" r="9312">
      <c r="A9312" s="3" t="inlineStr">
        <is>
          <t>9276</t>
        </is>
      </c>
      <c r="B9312" s="4" t="s">
        <f>=HYPERLINK("http://anyluxury.ru/shop/odezhda/kurtki/kurtka-muzhskaya-reggie-temnosinyaya-02886231/" , "02886231 Куртка мужская REGGIE темно-синяя, размер XXL")</f>
      </c>
      <c r="C9312" s="4" t="n">
        <v>9125.00</v>
      </c>
      <c r="D9312" s="4"/>
    </row>
    <row collapsed="" customFormat="false" customHeight="1" hidden="" ht="14" outlineLevel="0" r="9313">
      <c r="A9313" s="3" t="inlineStr">
        <is>
          <t>9277</t>
        </is>
      </c>
      <c r="B9313" s="4" t="s">
        <f>=HYPERLINK("http://anyluxury.ru/shop/odezhda/kurtki/kurtka-muzhskaya-reggie-temnosinyaya-02886231/" , "02886231 Куртка мужская REGGIE темно-синяя, размер 3XL")</f>
      </c>
      <c r="C9313" s="4" t="n">
        <v>9899.00</v>
      </c>
      <c r="D9313" s="4"/>
    </row>
    <row collapsed="" customFormat="false" customHeight="1" hidden="" ht="14" outlineLevel="0" r="9314">
      <c r="A9314" s="3" t="inlineStr">
        <is>
          <t>9278</t>
        </is>
      </c>
      <c r="B9314" s="4" t="s">
        <f>=HYPERLINK("http://anyluxury.ru/shop/odezhda/kurtki/kurtka-uniseks-roscoe-chernaya-02885312/" , "02885312 Куртка унисекс ROSCOE черная, размер XS")</f>
      </c>
      <c r="C9314" s="4" t="n">
        <v>4233.00</v>
      </c>
      <c r="D9314" s="4"/>
    </row>
    <row collapsed="" customFormat="false" customHeight="1" hidden="" ht="14" outlineLevel="0" r="9315">
      <c r="A9315" s="3" t="inlineStr">
        <is>
          <t>9279</t>
        </is>
      </c>
      <c r="B9315" s="4" t="s">
        <f>=HYPERLINK("http://anyluxury.ru/shop/odezhda/kurtki/kurtka-uniseks-roscoe-chernaya-02885312/" , "02885312 Куртка унисекс ROSCOE черная, размер 3XL")</f>
      </c>
      <c r="C9315" s="4" t="n">
        <v>4250.00</v>
      </c>
      <c r="D9315" s="4"/>
    </row>
    <row collapsed="" customFormat="false" customHeight="1" hidden="" ht="14" outlineLevel="0" r="9316">
      <c r="A9316" s="3" t="inlineStr">
        <is>
          <t>9280</t>
        </is>
      </c>
      <c r="B9316" s="4" t="s">
        <f>=HYPERLINK("http://anyluxury.ru/shop/odezhda/kurtki/kurtka-muzhskaya-wilson-men-chernaya-02898312/" , "02898312 Куртка мужская WILSON MEN черная, размер S")</f>
      </c>
      <c r="C9316" s="4" t="n">
        <v>9253.00</v>
      </c>
      <c r="D9316" s="4"/>
    </row>
    <row collapsed="" customFormat="false" customHeight="1" hidden="" ht="14" outlineLevel="0" r="9317">
      <c r="A9317" s="3" t="inlineStr">
        <is>
          <t>9281</t>
        </is>
      </c>
      <c r="B9317" s="4" t="s">
        <f>=HYPERLINK("http://anyluxury.ru/shop/odezhda/kurtki/kurtka-muzhskaya-wilson-men-chernaya-02898312/" , "02898312 Куртка мужская WILSON MEN черная, размер M")</f>
      </c>
      <c r="C9317" s="4" t="n">
        <v>9253.00</v>
      </c>
      <c r="D9317" s="4"/>
    </row>
    <row collapsed="" customFormat="false" customHeight="1" hidden="" ht="14" outlineLevel="0" r="9318">
      <c r="A9318" s="3" t="inlineStr">
        <is>
          <t>9282</t>
        </is>
      </c>
      <c r="B9318" s="4" t="s">
        <f>=HYPERLINK("http://anyluxury.ru/shop/odezhda/kurtki/kurtka-muzhskaya-wilson-men-chernaya-02898312/" , "02898312 Куртка мужская WILSON MEN черная, размер L")</f>
      </c>
      <c r="C9318" s="4" t="n">
        <v>9253.00</v>
      </c>
      <c r="D9318" s="4"/>
    </row>
    <row collapsed="" customFormat="false" customHeight="1" hidden="" ht="14" outlineLevel="0" r="9319">
      <c r="A9319" s="3" t="inlineStr">
        <is>
          <t>9283</t>
        </is>
      </c>
      <c r="B9319" s="4" t="s">
        <f>=HYPERLINK("http://anyluxury.ru/shop/odezhda/kurtki/kurtka-muzhskaya-wilson-men-chernaya-02898312/" , "02898312 Куртка мужская WILSON MEN черная, размер XXL")</f>
      </c>
      <c r="C9319" s="4" t="n">
        <v>9253.00</v>
      </c>
      <c r="D9319" s="4"/>
    </row>
    <row collapsed="" customFormat="false" customHeight="1" hidden="" ht="14" outlineLevel="0" r="9320">
      <c r="A9320" s="3" t="inlineStr">
        <is>
          <t>9284</t>
        </is>
      </c>
      <c r="B9320" s="4" t="s">
        <f>=HYPERLINK("http://anyluxury.ru/shop/odezhda/kurtki/kurtka-muzhskaya-wilson-men-temnosinyaya-02898319/" , "02898319 Куртка мужская WILSON MEN темно-синяя, размер S")</f>
      </c>
      <c r="C9320" s="4" t="n">
        <v>9253.00</v>
      </c>
      <c r="D9320" s="4"/>
    </row>
    <row collapsed="" customFormat="false" customHeight="1" hidden="" ht="14" outlineLevel="0" r="9321">
      <c r="A9321" s="3" t="inlineStr">
        <is>
          <t>9285</t>
        </is>
      </c>
      <c r="B9321" s="4" t="s">
        <f>=HYPERLINK("http://anyluxury.ru/shop/odezhda/kurtki/kurtka-muzhskaya-wilson-men-temnosinyaya-02898319/" , "02898319 Куртка мужская WILSON MEN темно-синяя, размер M")</f>
      </c>
      <c r="C9321" s="4" t="n">
        <v>9253.00</v>
      </c>
      <c r="D9321" s="4"/>
    </row>
    <row collapsed="" customFormat="false" customHeight="1" hidden="" ht="14" outlineLevel="0" r="9322">
      <c r="A9322" s="3" t="inlineStr">
        <is>
          <t>9286</t>
        </is>
      </c>
      <c r="B9322" s="4" t="s">
        <f>=HYPERLINK("http://anyluxury.ru/shop/odezhda/kurtki/kurtka-muzhskaya-wilson-men-temnosinyaya-02898319/" , "02898319 Куртка мужская WILSON MEN темно-синяя, размер XXL")</f>
      </c>
      <c r="C9322" s="4" t="n">
        <v>9253.00</v>
      </c>
      <c r="D9322" s="4"/>
    </row>
    <row collapsed="" customFormat="false" customHeight="1" hidden="" ht="14" outlineLevel="0" r="9323">
      <c r="A9323" s="3" t="inlineStr">
        <is>
          <t>9287</t>
        </is>
      </c>
      <c r="B9323" s="4" t="s">
        <f>=HYPERLINK("http://anyluxury.ru/shop/odezhda/kurtki/kurtka-muzhskaya-wilson-men-seraya-02898351/" , "02898351 Куртка мужская WILSON MEN серая, размер S")</f>
      </c>
      <c r="C9323" s="4" t="n">
        <v>8845.00</v>
      </c>
      <c r="D9323" s="4"/>
    </row>
    <row collapsed="" customFormat="false" customHeight="1" hidden="" ht="14" outlineLevel="0" r="9324">
      <c r="A9324" s="3" t="inlineStr">
        <is>
          <t>9288</t>
        </is>
      </c>
      <c r="B9324" s="4" t="s">
        <f>=HYPERLINK("http://anyluxury.ru/shop/odezhda/kurtki/kurtka-muzhskaya-wilson-men-seraya-02898351/" , "02898351 Куртка мужская WILSON MEN серая, размер M")</f>
      </c>
      <c r="C9324" s="4" t="n">
        <v>8845.00</v>
      </c>
      <c r="D9324" s="4"/>
    </row>
    <row collapsed="" customFormat="false" customHeight="1" hidden="" ht="14" outlineLevel="0" r="9325">
      <c r="A9325" s="3" t="inlineStr">
        <is>
          <t>9289</t>
        </is>
      </c>
      <c r="B9325" s="4" t="s">
        <f>=HYPERLINK("http://anyluxury.ru/shop/odezhda/kurtki/kurtka-muzhskaya-wilson-men-seraya-02898351/" , "02898351 Куртка мужская WILSON MEN серая, размер L")</f>
      </c>
      <c r="C9325" s="4" t="n">
        <v>8845.00</v>
      </c>
      <c r="D9325" s="4"/>
    </row>
    <row collapsed="" customFormat="false" customHeight="1" hidden="" ht="14" outlineLevel="0" r="9326">
      <c r="A9326" s="3" t="inlineStr">
        <is>
          <t>9290</t>
        </is>
      </c>
      <c r="B9326" s="4" t="s">
        <f>=HYPERLINK("http://anyluxury.ru/shop/odezhda/kurtki/kurtka-muzhskaya-wilson-men-seraya-02898351/" , "02898351 Куртка мужская WILSON MEN серая, размер XL")</f>
      </c>
      <c r="C9326" s="4" t="n">
        <v>8845.00</v>
      </c>
      <c r="D9326" s="4"/>
    </row>
    <row collapsed="" customFormat="false" customHeight="1" hidden="" ht="14" outlineLevel="0" r="9327">
      <c r="A9327" s="3" t="inlineStr">
        <is>
          <t>9291</t>
        </is>
      </c>
      <c r="B9327" s="4" t="s">
        <f>=HYPERLINK("http://anyluxury.ru/shop/odezhda/kurtki/kurtka-muzhskaya-wilson-men-seraya-02898351/" , "02898351 Куртка мужская WILSON MEN серая, размер XXL")</f>
      </c>
      <c r="C9327" s="4" t="n">
        <v>8845.00</v>
      </c>
      <c r="D9327" s="4"/>
    </row>
    <row collapsed="" customFormat="false" customHeight="1" hidden="" ht="14" outlineLevel="0" r="9328">
      <c r="A9328" s="3" t="inlineStr">
        <is>
          <t>9292</t>
        </is>
      </c>
      <c r="B9328" s="4" t="s">
        <f>=HYPERLINK("http://anyluxury.ru/shop/odezhda/kurtki/kurtka-muzhskaya-wilson-men-seraya-02898351/" , "02898351 Куртка мужская WILSON MEN серая, размер 3XL")</f>
      </c>
      <c r="C9328" s="4" t="n">
        <v>9699.00</v>
      </c>
      <c r="D9328" s="4"/>
    </row>
    <row collapsed="" customFormat="false" customHeight="1" hidden="" ht="14" outlineLevel="0" r="9329">
      <c r="A9329" s="3" t="inlineStr">
        <is>
          <t>9293</t>
        </is>
      </c>
      <c r="B9329" s="4" t="s">
        <f>=HYPERLINK("http://anyluxury.ru/shop/odezhda/kurtki/kurtka-muzhskaya-wilson-men-yarkosinyaya-02898241/" , "02898241 Куртка мужская WILSON MEN ярко-синяя, размер S")</f>
      </c>
      <c r="C9329" s="4" t="n">
        <v>8845.00</v>
      </c>
      <c r="D9329" s="4"/>
    </row>
    <row collapsed="" customFormat="false" customHeight="1" hidden="" ht="14" outlineLevel="0" r="9330">
      <c r="A9330" s="3" t="inlineStr">
        <is>
          <t>9294</t>
        </is>
      </c>
      <c r="B9330" s="4" t="s">
        <f>=HYPERLINK("http://anyluxury.ru/shop/odezhda/kurtki/kurtka-muzhskaya-wilson-men-yarkosinyaya-02898241/" , "02898241 Куртка мужская WILSON MEN ярко-синяя, размер M")</f>
      </c>
      <c r="C9330" s="4" t="n">
        <v>8845.00</v>
      </c>
      <c r="D9330" s="4"/>
    </row>
    <row collapsed="" customFormat="false" customHeight="1" hidden="" ht="14" outlineLevel="0" r="9331">
      <c r="A9331" s="3" t="inlineStr">
        <is>
          <t>9295</t>
        </is>
      </c>
      <c r="B9331" s="4" t="s">
        <f>=HYPERLINK("http://anyluxury.ru/shop/odezhda/kurtki/kurtka-muzhskaya-wilson-men-yarkosinyaya-02898241/" , "02898241 Куртка мужская WILSON MEN ярко-синяя, размер 3XL")</f>
      </c>
      <c r="C9331" s="4" t="n">
        <v>9699.00</v>
      </c>
      <c r="D9331" s="4"/>
    </row>
    <row collapsed="" customFormat="false" customHeight="1" hidden="" ht="14" outlineLevel="0" r="9332">
      <c r="A9332" s="3" t="inlineStr">
        <is>
          <t>9296</t>
        </is>
      </c>
      <c r="B9332" s="4" t="s">
        <f>=HYPERLINK("http://anyluxury.ru/shop/odezhda/kurtki/kurtka-zhenskaya-wilson-women-chernaya-02899312/" , "02899312 Куртка женская WILSON WOMEN черная, размер S")</f>
      </c>
      <c r="C9332" s="4" t="n">
        <v>9196.00</v>
      </c>
      <c r="D9332" s="4"/>
    </row>
    <row collapsed="" customFormat="false" customHeight="1" hidden="" ht="14" outlineLevel="0" r="9333">
      <c r="A9333" s="3" t="inlineStr">
        <is>
          <t>9297</t>
        </is>
      </c>
      <c r="B9333" s="4" t="s">
        <f>=HYPERLINK("http://anyluxury.ru/shop/odezhda/kurtki/kurtka-zhenskaya-wilson-women-chernaya-02899312/" , "02899312 Куртка женская WILSON WOMEN черная, размер XL")</f>
      </c>
      <c r="C9333" s="4" t="n">
        <v>9196.00</v>
      </c>
      <c r="D9333" s="4"/>
    </row>
    <row collapsed="" customFormat="false" customHeight="1" hidden="" ht="14" outlineLevel="0" r="9334">
      <c r="A9334" s="3" t="inlineStr">
        <is>
          <t>9298</t>
        </is>
      </c>
      <c r="B9334" s="4" t="s">
        <f>=HYPERLINK("http://anyluxury.ru/shop/odezhda/kurtki/kurtka-zhenskaya-wilson-women-temnosinyaya-02899319/" , "02899319 Куртка женская WILSON WOMEN темно-синяя, размер S")</f>
      </c>
      <c r="C9334" s="4" t="n">
        <v>9196.00</v>
      </c>
      <c r="D9334" s="4"/>
    </row>
    <row collapsed="" customFormat="false" customHeight="1" hidden="" ht="14" outlineLevel="0" r="9335">
      <c r="A9335" s="3" t="inlineStr">
        <is>
          <t>9299</t>
        </is>
      </c>
      <c r="B9335" s="4" t="s">
        <f>=HYPERLINK("http://anyluxury.ru/shop/odezhda/kurtki/kurtka-zhenskaya-wilson-women-temnosinyaya-02899319/" , "02899319 Куртка женская WILSON WOMEN темно-синяя, размер L")</f>
      </c>
      <c r="C9335" s="4" t="n">
        <v>9196.00</v>
      </c>
      <c r="D9335" s="4"/>
    </row>
    <row collapsed="" customFormat="false" customHeight="1" hidden="" ht="14" outlineLevel="0" r="9336">
      <c r="A9336" s="3" t="inlineStr">
        <is>
          <t>9300</t>
        </is>
      </c>
      <c r="B9336" s="4" t="s">
        <f>=HYPERLINK("http://anyluxury.ru/shop/odezhda/kurtki/kurtka-zhenskaya-wilson-women-seraya-02899351/" , "02899351 Куртка женская WILSON WOMEN серая, размер S")</f>
      </c>
      <c r="C9336" s="4" t="n">
        <v>8803.00</v>
      </c>
      <c r="D9336" s="4"/>
    </row>
    <row collapsed="" customFormat="false" customHeight="1" hidden="" ht="14" outlineLevel="0" r="9337">
      <c r="A9337" s="3" t="inlineStr">
        <is>
          <t>9301</t>
        </is>
      </c>
      <c r="B9337" s="4" t="s">
        <f>=HYPERLINK("http://anyluxury.ru/shop/odezhda/kurtki/kurtka-zhenskaya-wilson-women-seraya-02899351/" , "02899351 Куртка женская WILSON WOMEN серая, размер M")</f>
      </c>
      <c r="C9337" s="4" t="n">
        <v>8803.00</v>
      </c>
      <c r="D9337" s="4"/>
    </row>
    <row collapsed="" customFormat="false" customHeight="1" hidden="" ht="14" outlineLevel="0" r="9338">
      <c r="A9338" s="3" t="inlineStr">
        <is>
          <t>9302</t>
        </is>
      </c>
      <c r="B9338" s="4" t="s">
        <f>=HYPERLINK("http://anyluxury.ru/shop/odezhda/kurtki/kurtka-zhenskaya-wilson-women-seraya-02899351/" , "02899351 Куртка женская WILSON WOMEN серая, размер XL")</f>
      </c>
      <c r="C9338" s="4" t="n">
        <v>8803.00</v>
      </c>
      <c r="D9338" s="4"/>
    </row>
    <row collapsed="" customFormat="false" customHeight="1" hidden="" ht="14" outlineLevel="0" r="9339">
      <c r="A9339" s="3" t="inlineStr">
        <is>
          <t>9303</t>
        </is>
      </c>
      <c r="B9339" s="4" t="s">
        <f>=HYPERLINK("http://anyluxury.ru/shop/odezhda/kurtki/kurtka-zhenskaya-wilson-women-seraya-02899351/" , "02899351 Куртка женская WILSON WOMEN серая, размер XXL")</f>
      </c>
      <c r="C9339" s="4" t="n">
        <v>8803.00</v>
      </c>
      <c r="D9339" s="4"/>
    </row>
    <row collapsed="" customFormat="false" customHeight="1" hidden="" ht="14" outlineLevel="0" r="9340">
      <c r="A9340" s="3" t="inlineStr">
        <is>
          <t>9304</t>
        </is>
      </c>
      <c r="B9340" s="4" t="s">
        <f>=HYPERLINK("http://anyluxury.ru/shop/odezhda/kurtki/kurtka-zhenskaya-wilson-women-yarkosinyaya-02899241/" , "02899241 Куртка женская WILSON WOMEN ярко-синяя, размер S")</f>
      </c>
      <c r="C9340" s="4" t="n">
        <v>8803.00</v>
      </c>
      <c r="D9340" s="4"/>
    </row>
    <row collapsed="" customFormat="false" customHeight="1" hidden="" ht="14" outlineLevel="0" r="9341">
      <c r="A9341" s="3" t="inlineStr">
        <is>
          <t>9305</t>
        </is>
      </c>
      <c r="B9341" s="4" t="s">
        <f>=HYPERLINK("http://anyluxury.ru/shop/odezhda/kurtki/kurtka-zhenskaya-wilson-women-yarkosinyaya-02899241/" , "02899241 Куртка женская WILSON WOMEN ярко-синяя, размер M")</f>
      </c>
      <c r="C9341" s="4" t="n">
        <v>8803.00</v>
      </c>
      <c r="D9341" s="4"/>
    </row>
    <row collapsed="" customFormat="false" customHeight="1" hidden="" ht="14" outlineLevel="0" r="9342">
      <c r="A9342" s="3" t="inlineStr">
        <is>
          <t>9306</t>
        </is>
      </c>
      <c r="B9342" s="4" t="s">
        <f>=HYPERLINK("http://anyluxury.ru/shop/odezhda/kurtki/kurtka-zhenskaya-wilson-women-yarkosinyaya-02899241/" , "02899241 Куртка женская WILSON WOMEN ярко-синяя, размер L")</f>
      </c>
      <c r="C9342" s="4" t="n">
        <v>8803.00</v>
      </c>
      <c r="D9342" s="4"/>
    </row>
    <row collapsed="" customFormat="false" customHeight="1" hidden="" ht="14" outlineLevel="0" r="9343">
      <c r="A9343" s="3" t="inlineStr">
        <is>
          <t>9307</t>
        </is>
      </c>
      <c r="B9343" s="4" t="s">
        <f>=HYPERLINK("http://anyluxury.ru/shop/odezhda/kurtki/kurtka-zhenskaya-wilson-women-yarkosinyaya-02899241/" , "02899241 Куртка женская WILSON WOMEN ярко-синяя, размер XL")</f>
      </c>
      <c r="C9343" s="4" t="n">
        <v>8803.00</v>
      </c>
      <c r="D9343" s="4"/>
    </row>
    <row collapsed="" customFormat="false" customHeight="1" hidden="" ht="14" outlineLevel="0" r="9344">
      <c r="A9344" s="3" t="inlineStr">
        <is>
          <t>9308</t>
        </is>
      </c>
      <c r="B9344" s="4" t="s">
        <f>=HYPERLINK("http://anyluxury.ru/shop/odezhda/kurtki/kurtka-zhenskaya-wilson-women-yarkosinyaya-02899241/" , "02899241 Куртка женская WILSON WOMEN ярко-синяя, размер XXL")</f>
      </c>
      <c r="C9344" s="4" t="n">
        <v>8803.00</v>
      </c>
      <c r="D9344" s="4"/>
    </row>
    <row collapsed="" customFormat="false" customHeight="1" hidden="" ht="14" outlineLevel="0" r="9345">
      <c r="A9345" s="3" t="inlineStr">
        <is>
          <t>9309</t>
        </is>
      </c>
      <c r="B9345" s="4" t="s">
        <f>=HYPERLINK("http://anyluxury.ru/shop/odezhda/kurtki/kurtka-uniseks-roscoe-bordovaya-02885167/" , "02885167 Куртка унисекс ROSCOE бордовая, размер XS")</f>
      </c>
      <c r="C9345" s="4" t="n">
        <v>4233.00</v>
      </c>
      <c r="D9345" s="4"/>
    </row>
    <row collapsed="" customFormat="false" customHeight="1" hidden="" ht="14" outlineLevel="0" r="9346">
      <c r="A9346" s="3" t="inlineStr">
        <is>
          <t>9310</t>
        </is>
      </c>
      <c r="B9346" s="4" t="s">
        <f>=HYPERLINK("http://anyluxury.ru/shop/odezhda/kurtki/kurtka-uniseks-roscoe-bordovaya-02885167/" , "02885167 Куртка унисекс ROSCOE бордовая, размер S")</f>
      </c>
      <c r="C9346" s="4" t="n">
        <v>4233.00</v>
      </c>
      <c r="D9346" s="4"/>
    </row>
    <row collapsed="" customFormat="false" customHeight="1" hidden="" ht="14" outlineLevel="0" r="9347">
      <c r="A9347" s="3" t="inlineStr">
        <is>
          <t>9311</t>
        </is>
      </c>
      <c r="B9347" s="4" t="s">
        <f>=HYPERLINK("http://anyluxury.ru/shop/odezhda/kurtki/kurtka-uniseks-roscoe-bordovaya-02885167/" , "02885167 Куртка унисекс ROSCOE бордовая, размер M")</f>
      </c>
      <c r="C9347" s="4" t="n">
        <v>4233.00</v>
      </c>
      <c r="D9347" s="4"/>
    </row>
    <row collapsed="" customFormat="false" customHeight="1" hidden="" ht="14" outlineLevel="0" r="9348">
      <c r="A9348" s="3" t="inlineStr">
        <is>
          <t>9312</t>
        </is>
      </c>
      <c r="B9348" s="4" t="s">
        <f>=HYPERLINK("http://anyluxury.ru/shop/odezhda/kurtki/kurtka-uniseks-roscoe-bordovaya-02885167/" , "02885167 Куртка унисекс ROSCOE бордовая, размер L")</f>
      </c>
      <c r="C9348" s="4" t="n">
        <v>4233.00</v>
      </c>
      <c r="D9348" s="4"/>
    </row>
    <row collapsed="" customFormat="false" customHeight="1" hidden="" ht="14" outlineLevel="0" r="9349">
      <c r="A9349" s="3" t="inlineStr">
        <is>
          <t>9313</t>
        </is>
      </c>
      <c r="B9349" s="4" t="s">
        <f>=HYPERLINK("http://anyluxury.ru/shop/odezhda/kurtki/kurtka-uniseks-roscoe-bordovaya-02885167/" , "02885167 Куртка унисекс ROSCOE бордовая, размер XL")</f>
      </c>
      <c r="C9349" s="4" t="n">
        <v>4233.00</v>
      </c>
      <c r="D9349" s="4"/>
    </row>
    <row collapsed="" customFormat="false" customHeight="1" hidden="" ht="14" outlineLevel="0" r="9350">
      <c r="A9350" s="3" t="inlineStr">
        <is>
          <t>9314</t>
        </is>
      </c>
      <c r="B9350" s="4" t="s">
        <f>=HYPERLINK("http://anyluxury.ru/shop/odezhda/kurtki/kurtka-uniseks-roscoe-bordovaya-02885167/" , "02885167 Куртка унисекс ROSCOE бордовая, размер XXL")</f>
      </c>
      <c r="C9350" s="4" t="n">
        <v>4233.00</v>
      </c>
      <c r="D9350" s="4"/>
    </row>
    <row collapsed="" customFormat="false" customHeight="1" hidden="" ht="14" outlineLevel="0" r="9351">
      <c r="A9351" s="3" t="inlineStr">
        <is>
          <t>9315</t>
        </is>
      </c>
      <c r="B9351" s="4" t="s">
        <f>=HYPERLINK("http://anyluxury.ru/shop/odezhda/kurtki/kurtka-uniseks-roscoe-bordovaya-02885167/" , "02885167 Куртка унисекс ROSCOE черная, размер 3XL")</f>
      </c>
      <c r="C9351" s="4" t="n">
        <v>4250.00</v>
      </c>
      <c r="D9351" s="4"/>
    </row>
    <row collapsed="" customFormat="false" customHeight="1" hidden="" ht="14" outlineLevel="0" r="9352">
      <c r="A9352" s="3" t="inlineStr">
        <is>
          <t>9316</t>
        </is>
      </c>
      <c r="B9352" s="4" t="s">
        <f>=HYPERLINK("http://anyluxury.ru/shop/odezhda/kurtki/kurtka-softshell-zhenskaya-race-women-krasnaya-01194162/" , "01194162 Куртка софтшелл женская RACE WOMEN красная, размер S")</f>
      </c>
      <c r="C9352" s="4" t="n">
        <v>3502.00</v>
      </c>
      <c r="D9352" s="4"/>
    </row>
    <row collapsed="" customFormat="false" customHeight="1" hidden="" ht="14" outlineLevel="0" r="9353">
      <c r="A9353" s="3" t="inlineStr">
        <is>
          <t>9317</t>
        </is>
      </c>
      <c r="B9353" s="4" t="s">
        <f>=HYPERLINK("http://anyluxury.ru/shop/odezhda/kurtki/kurtka-softshell-zhenskaya-race-women-krasnaya-01194162/" , "01194162 Куртка софтшелл женская RACE WOMEN красная, размер M")</f>
      </c>
      <c r="C9353" s="4" t="n">
        <v>3502.00</v>
      </c>
      <c r="D9353" s="4"/>
    </row>
    <row collapsed="" customFormat="false" customHeight="1" hidden="" ht="14" outlineLevel="0" r="9354">
      <c r="A9354" s="3" t="inlineStr">
        <is>
          <t>9318</t>
        </is>
      </c>
      <c r="B9354" s="4" t="s">
        <f>=HYPERLINK("http://anyluxury.ru/shop/odezhda/kurtki/kurtka-softshell-zhenskaya-race-women-krasnaya-01194162/" , "01194162 Куртка софтшелл женская RACE WOMEN красная, размер L")</f>
      </c>
      <c r="C9354" s="4" t="n">
        <v>3502.00</v>
      </c>
      <c r="D9354" s="4"/>
    </row>
    <row collapsed="" customFormat="false" customHeight="1" hidden="" ht="14" outlineLevel="0" r="9355">
      <c r="A9355" s="3" t="inlineStr">
        <is>
          <t>9319</t>
        </is>
      </c>
      <c r="B9355" s="4" t="s">
        <f>=HYPERLINK("http://anyluxury.ru/shop/odezhda/kurtki/kurtka-softshell-zhenskaya-race-women-krasnaya-01194162/" , "01194162 Куртка софтшелл женская RACE WOMEN красная, размер XL")</f>
      </c>
      <c r="C9355" s="4" t="n">
        <v>3502.00</v>
      </c>
      <c r="D9355" s="4"/>
    </row>
    <row collapsed="" customFormat="false" customHeight="1" hidden="" ht="14" outlineLevel="0" r="9356">
      <c r="A9356" s="3" t="inlineStr">
        <is>
          <t>9320</t>
        </is>
      </c>
      <c r="B9356" s="4" t="s">
        <f>=HYPERLINK("http://anyluxury.ru/shop/odezhda/kurtki/kurtka-softshell-zhenskaya-race-women-krasnaya-01194162/" , "01194162 Куртка софтшелл женская RACE WOMEN красная, размер XXL")</f>
      </c>
      <c r="C9356" s="4" t="n">
        <v>3502.00</v>
      </c>
      <c r="D9356" s="4"/>
    </row>
    <row collapsed="" customFormat="false" customHeight="1" hidden="" ht="14" outlineLevel="0" r="9357">
      <c r="A9357" s="3" t="inlineStr">
        <is>
          <t>9321</t>
        </is>
      </c>
      <c r="B9357" s="4" t="s">
        <f>=HYPERLINK("http://anyluxury.ru/shop/odezhda/kurtki/kurtka-softshell-zhenskaya-race-women-yarkosinyaya-royal-01194241/" , "01194241 Куртка софтшелл женская RACE WOMEN ярко-синяя (royal), размер S")</f>
      </c>
      <c r="C9357" s="4" t="n">
        <v>3502.00</v>
      </c>
      <c r="D9357" s="4"/>
    </row>
    <row collapsed="" customFormat="false" customHeight="1" hidden="" ht="14" outlineLevel="0" r="9358">
      <c r="A9358" s="3" t="inlineStr">
        <is>
          <t>9322</t>
        </is>
      </c>
      <c r="B9358" s="4" t="s">
        <f>=HYPERLINK("http://anyluxury.ru/shop/odezhda/kurtki/kurtka-softshell-zhenskaya-race-women-yarkosinyaya-royal-01194241/" , "01194241 Куртка софтшелл женская RACE WOMEN ярко-синяя (royal), размер M")</f>
      </c>
      <c r="C9358" s="4" t="n">
        <v>3502.00</v>
      </c>
      <c r="D9358" s="4"/>
    </row>
    <row collapsed="" customFormat="false" customHeight="1" hidden="" ht="14" outlineLevel="0" r="9359">
      <c r="A9359" s="3" t="inlineStr">
        <is>
          <t>9323</t>
        </is>
      </c>
      <c r="B9359" s="4" t="s">
        <f>=HYPERLINK("http://anyluxury.ru/shop/odezhda/kurtki/kurtka-softshell-zhenskaya-race-women-yarkosinyaya-royal-01194241/" , "01194241 Куртка софтшелл женская RACE WOMEN ярко-синяя (royal), размер L")</f>
      </c>
      <c r="C9359" s="4" t="n">
        <v>3502.00</v>
      </c>
      <c r="D9359" s="4"/>
    </row>
    <row collapsed="" customFormat="false" customHeight="1" hidden="" ht="14" outlineLevel="0" r="9360">
      <c r="A9360" s="3" t="inlineStr">
        <is>
          <t>9324</t>
        </is>
      </c>
      <c r="B9360" s="4" t="s">
        <f>=HYPERLINK("http://anyluxury.ru/shop/odezhda/kurtki/kurtka-softshell-zhenskaya-race-women-yarkosinyaya-royal-01194241/" , "01194241 Куртка софтшелл женская RACE WOMEN ярко-синяя (royal), размер XL")</f>
      </c>
      <c r="C9360" s="4" t="n">
        <v>3502.00</v>
      </c>
      <c r="D9360" s="4"/>
    </row>
    <row collapsed="" customFormat="false" customHeight="1" hidden="" ht="14" outlineLevel="0" r="9361">
      <c r="A9361" s="3" t="inlineStr">
        <is>
          <t>9325</t>
        </is>
      </c>
      <c r="B9361" s="4" t="s">
        <f>=HYPERLINK("http://anyluxury.ru/shop/odezhda/kurtki/kurtka-softshell-zhenskaya-race-women-yarkosinyaya-royal-01194241/" , "01194241 Куртка софтшелл женская RACE WOMEN ярко-синяя (royal), размер XXL")</f>
      </c>
      <c r="C9361" s="4" t="n">
        <v>3502.00</v>
      </c>
      <c r="D9361" s="4"/>
    </row>
    <row collapsed="" customFormat="false" customHeight="1" hidden="" ht="14" outlineLevel="0" r="9362">
      <c r="A9362" s="3" t="inlineStr">
        <is>
          <t>9326</t>
        </is>
      </c>
      <c r="B9362" s="4" t="s">
        <f>=HYPERLINK("http://anyluxury.ru/shop/odezhda/kurtki/kurtka-softshell-zhenskaya-race-women-temnosinyaya-01194319/" , "01194319 Куртка софтшелл женская RACE WOMEN темно-синяя, размер S")</f>
      </c>
      <c r="C9362" s="4" t="n">
        <v>3502.00</v>
      </c>
      <c r="D9362" s="4"/>
    </row>
    <row collapsed="" customFormat="false" customHeight="1" hidden="" ht="14" outlineLevel="0" r="9363">
      <c r="A9363" s="3" t="inlineStr">
        <is>
          <t>9327</t>
        </is>
      </c>
      <c r="B9363" s="4" t="s">
        <f>=HYPERLINK("http://anyluxury.ru/shop/odezhda/kurtki/kurtka-softshell-zhenskaya-race-women-temnosinyaya-01194319/" , "01194319 Куртка софтшелл женская RACE WOMEN темно-синяя, размер M")</f>
      </c>
      <c r="C9363" s="4" t="n">
        <v>3502.00</v>
      </c>
      <c r="D9363" s="4"/>
    </row>
    <row collapsed="" customFormat="false" customHeight="1" hidden="" ht="14" outlineLevel="0" r="9364">
      <c r="A9364" s="3" t="inlineStr">
        <is>
          <t>9328</t>
        </is>
      </c>
      <c r="B9364" s="4" t="s">
        <f>=HYPERLINK("http://anyluxury.ru/shop/odezhda/kurtki/kurtka-softshell-zhenskaya-race-women-temnosinyaya-01194319/" , "01194319 Куртка софтшелл женская RACE WOMEN темно-синяя, размер L")</f>
      </c>
      <c r="C9364" s="4" t="n">
        <v>3502.00</v>
      </c>
      <c r="D9364" s="4"/>
    </row>
    <row collapsed="" customFormat="false" customHeight="1" hidden="" ht="14" outlineLevel="0" r="9365">
      <c r="A9365" s="3" t="inlineStr">
        <is>
          <t>9329</t>
        </is>
      </c>
      <c r="B9365" s="4" t="s">
        <f>=HYPERLINK("http://anyluxury.ru/shop/odezhda/kurtki/kurtka-softshell-zhenskaya-race-women-temnosinyaya-01194319/" , "01194319 Куртка софтшелл женская RACE WOMEN темно-синяя, размер XL")</f>
      </c>
      <c r="C9365" s="4" t="n">
        <v>3502.00</v>
      </c>
      <c r="D9365" s="4"/>
    </row>
    <row collapsed="" customFormat="false" customHeight="1" hidden="" ht="14" outlineLevel="0" r="9366">
      <c r="A9366" s="3" t="inlineStr">
        <is>
          <t>9330</t>
        </is>
      </c>
      <c r="B9366" s="4" t="s">
        <f>=HYPERLINK("http://anyluxury.ru/shop/odezhda/kurtki/kurtka-softshell-zhenskaya-race-women-temnosinyaya-01194319/" , "01194319 Куртка софтшелл женская RACE WOMEN темно-синяя, размер XXL")</f>
      </c>
      <c r="C9366" s="4" t="n">
        <v>3502.00</v>
      </c>
      <c r="D9366" s="4"/>
    </row>
    <row collapsed="" customFormat="false" customHeight="1" hidden="" ht="14" outlineLevel="0" r="9367">
      <c r="A9367" s="3" t="inlineStr">
        <is>
          <t>9331</t>
        </is>
      </c>
      <c r="B9367" s="4" t="s">
        <f>=HYPERLINK("http://anyluxury.ru/shop/odezhda/kurtki/kurtka-softshell-muzhskaya-race-men-krasnaya-01195162/" , "01195162 Куртка софтшелл мужская RACE MEN красная, размер S")</f>
      </c>
      <c r="C9367" s="4" t="n">
        <v>3528.00</v>
      </c>
      <c r="D9367" s="4"/>
    </row>
    <row collapsed="" customFormat="false" customHeight="1" hidden="" ht="14" outlineLevel="0" r="9368">
      <c r="A9368" s="3" t="inlineStr">
        <is>
          <t>9332</t>
        </is>
      </c>
      <c r="B9368" s="4" t="s">
        <f>=HYPERLINK("http://anyluxury.ru/shop/odezhda/kurtki/kurtka-softshell-muzhskaya-race-men-krasnaya-01195162/" , "01195162 Куртка софтшелл мужская RACE MEN красная, размер M")</f>
      </c>
      <c r="C9368" s="4" t="n">
        <v>3528.00</v>
      </c>
      <c r="D9368" s="4"/>
    </row>
    <row collapsed="" customFormat="false" customHeight="1" hidden="" ht="14" outlineLevel="0" r="9369">
      <c r="A9369" s="3" t="inlineStr">
        <is>
          <t>9333</t>
        </is>
      </c>
      <c r="B9369" s="4" t="s">
        <f>=HYPERLINK("http://anyluxury.ru/shop/odezhda/kurtki/kurtka-softshell-muzhskaya-race-men-krasnaya-01195162/" , "01195162 Куртка софтшелл мужская RACE MEN красная, размер L")</f>
      </c>
      <c r="C9369" s="4" t="n">
        <v>3528.00</v>
      </c>
      <c r="D9369" s="4"/>
    </row>
    <row collapsed="" customFormat="false" customHeight="1" hidden="" ht="14" outlineLevel="0" r="9370">
      <c r="A9370" s="3" t="inlineStr">
        <is>
          <t>9334</t>
        </is>
      </c>
      <c r="B9370" s="4" t="s">
        <f>=HYPERLINK("http://anyluxury.ru/shop/odezhda/kurtki/kurtka-softshell-muzhskaya-race-men-krasnaya-01195162/" , "01195162 Куртка софтшелл мужская RACE MEN красная, размер XL")</f>
      </c>
      <c r="C9370" s="4" t="n">
        <v>3528.00</v>
      </c>
      <c r="D9370" s="4"/>
    </row>
    <row collapsed="" customFormat="false" customHeight="1" hidden="" ht="14" outlineLevel="0" r="9371">
      <c r="A9371" s="3" t="inlineStr">
        <is>
          <t>9335</t>
        </is>
      </c>
      <c r="B9371" s="4" t="s">
        <f>=HYPERLINK("http://anyluxury.ru/shop/odezhda/kurtki/kurtka-softshell-muzhskaya-race-men-krasnaya-01195162/" , "01195162 Куртка софтшелл мужская RACE MEN красная, размер XXL")</f>
      </c>
      <c r="C9371" s="4" t="n">
        <v>3528.00</v>
      </c>
      <c r="D9371" s="4"/>
    </row>
    <row collapsed="" customFormat="false" customHeight="1" hidden="" ht="14" outlineLevel="0" r="9372">
      <c r="A9372" s="3" t="inlineStr">
        <is>
          <t>9336</t>
        </is>
      </c>
      <c r="B9372" s="4" t="s">
        <f>=HYPERLINK("http://anyluxury.ru/shop/odezhda/kurtki/kurtka-softshell-muzhskaya-race-men-krasnaya-01195162/" , "01195162 Куртка софтшелл мужская RACE MEN красная, размер 3XL")</f>
      </c>
      <c r="C9372" s="4" t="n">
        <v>4201.00</v>
      </c>
      <c r="D9372" s="4"/>
    </row>
    <row collapsed="" customFormat="false" customHeight="1" hidden="" ht="14" outlineLevel="0" r="9373">
      <c r="A9373" s="3" t="inlineStr">
        <is>
          <t>9337</t>
        </is>
      </c>
      <c r="B9373" s="4" t="s">
        <f>=HYPERLINK("http://anyluxury.ru/shop/odezhda/kurtki/kurtka-softshell-muzhskaya-race-men-yarkosinyaya-royal-01195241/" , "01195241 Куртка софтшелл мужская RACE MEN ярко-синяя (royal), размер S")</f>
      </c>
      <c r="C9373" s="4" t="n">
        <v>3528.00</v>
      </c>
      <c r="D9373" s="4"/>
    </row>
    <row collapsed="" customFormat="false" customHeight="1" hidden="" ht="14" outlineLevel="0" r="9374">
      <c r="A9374" s="3" t="inlineStr">
        <is>
          <t>9338</t>
        </is>
      </c>
      <c r="B9374" s="4" t="s">
        <f>=HYPERLINK("http://anyluxury.ru/shop/odezhda/kurtki/kurtka-softshell-muzhskaya-race-men-yarkosinyaya-royal-01195241/" , "01195241 Куртка софтшелл мужская RACE MEN ярко-синяя (royal), размер M")</f>
      </c>
      <c r="C9374" s="4" t="n">
        <v>3528.00</v>
      </c>
      <c r="D9374" s="4"/>
    </row>
    <row collapsed="" customFormat="false" customHeight="1" hidden="" ht="14" outlineLevel="0" r="9375">
      <c r="A9375" s="3" t="inlineStr">
        <is>
          <t>9339</t>
        </is>
      </c>
      <c r="B9375" s="4" t="s">
        <f>=HYPERLINK("http://anyluxury.ru/shop/odezhda/kurtki/kurtka-softshell-muzhskaya-race-men-yarkosinyaya-royal-01195241/" , "01195241 Куртка софтшелл мужская RACE MEN ярко-синяя (royal), размер L")</f>
      </c>
      <c r="C9375" s="4" t="n">
        <v>3528.00</v>
      </c>
      <c r="D9375" s="4"/>
    </row>
    <row collapsed="" customFormat="false" customHeight="1" hidden="" ht="14" outlineLevel="0" r="9376">
      <c r="A9376" s="3" t="inlineStr">
        <is>
          <t>9340</t>
        </is>
      </c>
      <c r="B9376" s="4" t="s">
        <f>=HYPERLINK("http://anyluxury.ru/shop/odezhda/kurtki/kurtka-softshell-muzhskaya-race-men-yarkosinyaya-royal-01195241/" , "01195241 Куртка софтшелл мужская RACE MEN ярко-синяя (royal), размер XL")</f>
      </c>
      <c r="C9376" s="4" t="n">
        <v>3528.00</v>
      </c>
      <c r="D9376" s="4"/>
    </row>
    <row collapsed="" customFormat="false" customHeight="1" hidden="" ht="14" outlineLevel="0" r="9377">
      <c r="A9377" s="3" t="inlineStr">
        <is>
          <t>9341</t>
        </is>
      </c>
      <c r="B9377" s="4" t="s">
        <f>=HYPERLINK("http://anyluxury.ru/shop/odezhda/kurtki/kurtka-softshell-muzhskaya-race-men-yarkosinyaya-royal-01195241/" , "01195241 Куртка софтшелл мужская RACE MEN ярко-синяя (royal), размер XXL")</f>
      </c>
      <c r="C9377" s="4" t="n">
        <v>3528.00</v>
      </c>
      <c r="D9377" s="4"/>
    </row>
    <row collapsed="" customFormat="false" customHeight="1" hidden="" ht="14" outlineLevel="0" r="9378">
      <c r="A9378" s="3" t="inlineStr">
        <is>
          <t>9342</t>
        </is>
      </c>
      <c r="B9378" s="4" t="s">
        <f>=HYPERLINK("http://anyluxury.ru/shop/odezhda/kurtki/kurtka-softshell-muzhskaya-race-men-yarkosinyaya-royal-01195241/" , "01195241 Куртка софтшелл мужская RACE MEN ярко-синяя (royal), размер 3XL")</f>
      </c>
      <c r="C9378" s="4" t="n">
        <v>4201.00</v>
      </c>
      <c r="D9378" s="4"/>
    </row>
    <row collapsed="" customFormat="false" customHeight="1" hidden="" ht="14" outlineLevel="0" r="9379">
      <c r="A9379" s="3" t="inlineStr">
        <is>
          <t>9343</t>
        </is>
      </c>
      <c r="B9379" s="4" t="s">
        <f>=HYPERLINK("http://anyluxury.ru/shop/odezhda/kurtki/kurtka-softshell-muzhskaya-race-men-temnosinyaya-01195319/" , "01195319 Куртка софтшелл мужская RACE MEN темно-синяя, размер S")</f>
      </c>
      <c r="C9379" s="4" t="n">
        <v>3528.00</v>
      </c>
      <c r="D9379" s="4"/>
    </row>
    <row collapsed="" customFormat="false" customHeight="1" hidden="" ht="14" outlineLevel="0" r="9380">
      <c r="A9380" s="3" t="inlineStr">
        <is>
          <t>9344</t>
        </is>
      </c>
      <c r="B9380" s="4" t="s">
        <f>=HYPERLINK("http://anyluxury.ru/shop/odezhda/kurtki/kurtka-softshell-muzhskaya-race-men-temnosinyaya-01195319/" , "01195319 Куртка софтшелл мужская RACE MEN темно-синяя, размер M")</f>
      </c>
      <c r="C9380" s="4" t="n">
        <v>3528.00</v>
      </c>
      <c r="D9380" s="4"/>
    </row>
    <row collapsed="" customFormat="false" customHeight="1" hidden="" ht="14" outlineLevel="0" r="9381">
      <c r="A9381" s="3" t="inlineStr">
        <is>
          <t>9345</t>
        </is>
      </c>
      <c r="B9381" s="4" t="s">
        <f>=HYPERLINK("http://anyluxury.ru/shop/odezhda/kurtki/kurtka-softshell-muzhskaya-race-men-temnosinyaya-01195319/" , "01195319 Куртка софтшелл мужская RACE MEN темно-синяя, размер L")</f>
      </c>
      <c r="C9381" s="4" t="n">
        <v>3528.00</v>
      </c>
      <c r="D9381" s="4"/>
    </row>
    <row collapsed="" customFormat="false" customHeight="1" hidden="" ht="14" outlineLevel="0" r="9382">
      <c r="A9382" s="3" t="inlineStr">
        <is>
          <t>9346</t>
        </is>
      </c>
      <c r="B9382" s="4" t="s">
        <f>=HYPERLINK("http://anyluxury.ru/shop/odezhda/kurtki/kurtka-softshell-muzhskaya-race-men-temnosinyaya-01195319/" , "01195319 Куртка софтшелл мужская RACE MEN темно-синяя, размер XL")</f>
      </c>
      <c r="C9382" s="4" t="n">
        <v>3528.00</v>
      </c>
      <c r="D9382" s="4"/>
    </row>
    <row collapsed="" customFormat="false" customHeight="1" hidden="" ht="14" outlineLevel="0" r="9383">
      <c r="A9383" s="3" t="inlineStr">
        <is>
          <t>9347</t>
        </is>
      </c>
      <c r="B9383" s="4" t="s">
        <f>=HYPERLINK("http://anyluxury.ru/shop/odezhda/kurtki/kurtka-softshell-muzhskaya-race-men-temnosinyaya-01195319/" , "01195319 Куртка софтшелл мужская RACE MEN темно-синяя, размер XXL")</f>
      </c>
      <c r="C9383" s="4" t="n">
        <v>3528.00</v>
      </c>
      <c r="D9383" s="4"/>
    </row>
    <row collapsed="" customFormat="false" customHeight="1" hidden="" ht="14" outlineLevel="0" r="9384">
      <c r="A9384" s="3" t="inlineStr">
        <is>
          <t>9348</t>
        </is>
      </c>
      <c r="B9384" s="4" t="s">
        <f>=HYPERLINK("http://anyluxury.ru/shop/odezhda/kurtki/kurtka-softshell-muzhskaya-race-men-temnosinyaya-01195319/" , "01195319 Куртка софтшелл мужская RACE MEN темно-синяя, размер 3XL")</f>
      </c>
      <c r="C9384" s="4" t="n">
        <v>4201.00</v>
      </c>
      <c r="D9384" s="4"/>
    </row>
    <row collapsed="" customFormat="false" customHeight="1" hidden="" ht="14" outlineLevel="0" r="9385">
      <c r="A9385" s="3" t="inlineStr">
        <is>
          <t>9349</t>
        </is>
      </c>
      <c r="B9385" s="4" t="s">
        <f>=HYPERLINK("http://anyluxury.ru/shop/odezhda/kurtki/kurtka-puhovaya-muzhskaya-tarner-comfort-chernaya-1157130/" , "11571.30 Куртка пуховая мужская Tarner Comfort черная, размер S")</f>
      </c>
      <c r="C9385" s="4" t="n">
        <v>4585.00</v>
      </c>
      <c r="D9385" s="4"/>
    </row>
    <row collapsed="" customFormat="false" customHeight="1" hidden="" ht="14" outlineLevel="0" r="9386">
      <c r="A9386" s="3" t="inlineStr">
        <is>
          <t>9350</t>
        </is>
      </c>
      <c r="B9386" s="4" t="s">
        <f>=HYPERLINK("http://anyluxury.ru/shop/odezhda/kurtki/kurtka-na-steganoy-podkladke-robyn-temnoseraya-02109370/" , "02109370 Куртка на стеганой подкладке ROBYN темно-серая, размер XS")</f>
      </c>
      <c r="C9386" s="4" t="n">
        <v>5654.00</v>
      </c>
      <c r="D9386" s="4"/>
    </row>
    <row collapsed="" customFormat="false" customHeight="1" hidden="" ht="14" outlineLevel="0" r="9387">
      <c r="A9387" s="3" t="inlineStr">
        <is>
          <t>9351</t>
        </is>
      </c>
      <c r="B9387" s="4" t="s">
        <f>=HYPERLINK("http://anyluxury.ru/shop/odezhda/kurtki/kurtka-na-steganoy-podkladke-robyn-temnoseraya-02109370/" , "02109370 Куртка на стеганой подкладке ROBYN темно-серая, размер S")</f>
      </c>
      <c r="C9387" s="4" t="n">
        <v>5654.00</v>
      </c>
      <c r="D9387" s="4"/>
    </row>
    <row collapsed="" customFormat="false" customHeight="1" hidden="" ht="14" outlineLevel="0" r="9388">
      <c r="A9388" s="3" t="inlineStr">
        <is>
          <t>9352</t>
        </is>
      </c>
      <c r="B9388" s="4" t="s">
        <f>=HYPERLINK("http://anyluxury.ru/shop/odezhda/kurtki/kurtka-na-steganoy-podkladke-robyn-temnoseraya-02109370/" , "02109370 Куртка на стеганой подкладке ROBYN темно-серая, размер M")</f>
      </c>
      <c r="C9388" s="4" t="n">
        <v>5654.00</v>
      </c>
      <c r="D9388" s="4"/>
    </row>
    <row collapsed="" customFormat="false" customHeight="1" hidden="" ht="14" outlineLevel="0" r="9389">
      <c r="A9389" s="3" t="inlineStr">
        <is>
          <t>9353</t>
        </is>
      </c>
      <c r="B9389" s="4" t="s">
        <f>=HYPERLINK("http://anyluxury.ru/shop/odezhda/kurtki/kurtka-na-steganoy-podkladke-robyn-temnoseraya-02109370/" , "02109370 Куртка на стеганой подкладке ROBYN темно-серая, размер L")</f>
      </c>
      <c r="C9389" s="4" t="n">
        <v>5654.00</v>
      </c>
      <c r="D9389" s="4"/>
    </row>
    <row collapsed="" customFormat="false" customHeight="1" hidden="" ht="14" outlineLevel="0" r="9390">
      <c r="A9390" s="3" t="inlineStr">
        <is>
          <t>9354</t>
        </is>
      </c>
      <c r="B9390" s="4" t="s">
        <f>=HYPERLINK("http://anyluxury.ru/shop/odezhda/kurtki/kurtka-na-steganoy-podkladke-robyn-temnoseraya-02109370/" , "02109370 Куртка на стеганой подкладке ROBYN темно-серая, размер XL")</f>
      </c>
      <c r="C9390" s="4" t="n">
        <v>5654.00</v>
      </c>
      <c r="D9390" s="4"/>
    </row>
    <row collapsed="" customFormat="false" customHeight="1" hidden="" ht="14" outlineLevel="0" r="9391">
      <c r="A9391" s="3" t="inlineStr">
        <is>
          <t>9355</t>
        </is>
      </c>
      <c r="B9391" s="4" t="s">
        <f>=HYPERLINK("http://anyluxury.ru/shop/odezhda/kurtki/kurtka-na-steganoy-podkladke-robyn-temnoseraya-02109370/" , "02109370 Куртка на стеганой подкладке ROBYN темно-серая, размер XXL")</f>
      </c>
      <c r="C9391" s="4" t="n">
        <v>5654.00</v>
      </c>
      <c r="D9391" s="4"/>
    </row>
    <row collapsed="" customFormat="false" customHeight="1" hidden="" ht="14" outlineLevel="0" r="9392">
      <c r="A9392" s="3" t="inlineStr">
        <is>
          <t>9356</t>
        </is>
      </c>
      <c r="B9392" s="4" t="s">
        <f>=HYPERLINK("http://anyluxury.ru/shop/odezhda/kurtki/kurtka-na-steganoy-podkladke-robyn-temnoseraya-02109370/" , "02109370 Куртка на стеганой подкладке ROBYN темно-серая, размер 3XL")</f>
      </c>
      <c r="C9392" s="4" t="n">
        <v>6496.00</v>
      </c>
      <c r="D9392" s="4"/>
    </row>
    <row collapsed="" customFormat="false" customHeight="1" hidden="" ht="14" outlineLevel="0" r="9393">
      <c r="A9393" s="3" t="inlineStr">
        <is>
          <t>9357</t>
        </is>
      </c>
      <c r="B9393" s="4" t="s">
        <f>=HYPERLINK("http://anyluxury.ru/shop/odezhda/kurtki/kurtka-na-steganoy-podkladke-robyn-temnoseraya-02109370/" , "02109370 Куртка на стеганой подкладке ROBYN темно-серая, размер 4XL")</f>
      </c>
      <c r="C9393" s="4" t="n">
        <v>6496.00</v>
      </c>
      <c r="D9393" s="4"/>
    </row>
    <row collapsed="" customFormat="false" customHeight="1" hidden="" ht="14" outlineLevel="0" r="9394">
      <c r="A9394" s="3" t="inlineStr">
        <is>
          <t>9358</t>
        </is>
      </c>
      <c r="B9394" s="4" t="s">
        <f>=HYPERLINK("http://anyluxury.ru/shop/odezhda/kurtki/kurtka-na-steganoy-podkladke-robyn-seraya-02109351/" , "02109351 Куртка на стеганой подкладке ROBYN серая, размер XS")</f>
      </c>
      <c r="C9394" s="4" t="n">
        <v>5654.00</v>
      </c>
      <c r="D9394" s="4"/>
    </row>
    <row collapsed="" customFormat="false" customHeight="1" hidden="" ht="14" outlineLevel="0" r="9395">
      <c r="A9395" s="3" t="inlineStr">
        <is>
          <t>9359</t>
        </is>
      </c>
      <c r="B9395" s="4" t="s">
        <f>=HYPERLINK("http://anyluxury.ru/shop/odezhda/kurtki/kurtka-na-steganoy-podkladke-robyn-seraya-02109351/" , "02109351 Куртка на стеганой подкладке ROBYN серая, размер S")</f>
      </c>
      <c r="C9395" s="4" t="n">
        <v>5654.00</v>
      </c>
      <c r="D9395" s="4"/>
    </row>
    <row collapsed="" customFormat="false" customHeight="1" hidden="" ht="14" outlineLevel="0" r="9396">
      <c r="A9396" s="3" t="inlineStr">
        <is>
          <t>9360</t>
        </is>
      </c>
      <c r="B9396" s="4" t="s">
        <f>=HYPERLINK("http://anyluxury.ru/shop/odezhda/kurtki/kurtka-na-steganoy-podkladke-robyn-seraya-02109351/" , "02109351 Куртка на стеганой подкладке ROBYN серая, размер M")</f>
      </c>
      <c r="C9396" s="4" t="n">
        <v>5654.00</v>
      </c>
      <c r="D9396" s="4"/>
    </row>
    <row collapsed="" customFormat="false" customHeight="1" hidden="" ht="14" outlineLevel="0" r="9397">
      <c r="A9397" s="3" t="inlineStr">
        <is>
          <t>9361</t>
        </is>
      </c>
      <c r="B9397" s="4" t="s">
        <f>=HYPERLINK("http://anyluxury.ru/shop/odezhda/kurtki/kurtka-na-steganoy-podkladke-robyn-seraya-02109351/" , "02109351 Куртка на стеганой подкладке ROBYN серая, размер L")</f>
      </c>
      <c r="C9397" s="4" t="n">
        <v>5654.00</v>
      </c>
      <c r="D9397" s="4"/>
    </row>
    <row collapsed="" customFormat="false" customHeight="1" hidden="" ht="14" outlineLevel="0" r="9398">
      <c r="A9398" s="3" t="inlineStr">
        <is>
          <t>9362</t>
        </is>
      </c>
      <c r="B9398" s="4" t="s">
        <f>=HYPERLINK("http://anyluxury.ru/shop/odezhda/kurtki/kurtka-na-steganoy-podkladke-robyn-seraya-02109351/" , "02109351 Куртка на стеганой подкладке ROBYN серая, размер XL")</f>
      </c>
      <c r="C9398" s="4" t="n">
        <v>5654.00</v>
      </c>
      <c r="D9398" s="4"/>
    </row>
    <row collapsed="" customFormat="false" customHeight="1" hidden="" ht="14" outlineLevel="0" r="9399">
      <c r="A9399" s="3" t="inlineStr">
        <is>
          <t>9363</t>
        </is>
      </c>
      <c r="B9399" s="4" t="s">
        <f>=HYPERLINK("http://anyluxury.ru/shop/odezhda/kurtki/kurtka-na-steganoy-podkladke-robyn-seraya-02109351/" , "02109351 Куртка на стеганой подкладке ROBYN серая, размер XXL")</f>
      </c>
      <c r="C9399" s="4" t="n">
        <v>5654.00</v>
      </c>
      <c r="D9399" s="4"/>
    </row>
    <row collapsed="" customFormat="false" customHeight="1" hidden="" ht="14" outlineLevel="0" r="9400">
      <c r="A9400" s="3" t="inlineStr">
        <is>
          <t>9364</t>
        </is>
      </c>
      <c r="B9400" s="4" t="s">
        <f>=HYPERLINK("http://anyluxury.ru/shop/odezhda/kurtki/kurtka-na-steganoy-podkladke-robyn-seraya-02109351/" , "02109351 Куртка на стеганой подкладке ROBYN серая, размер 3XL")</f>
      </c>
      <c r="C9400" s="4" t="n">
        <v>6496.00</v>
      </c>
      <c r="D9400" s="4"/>
    </row>
    <row collapsed="" customFormat="false" customHeight="1" hidden="" ht="14" outlineLevel="0" r="9401">
      <c r="A9401" s="3" t="inlineStr">
        <is>
          <t>9365</t>
        </is>
      </c>
      <c r="B9401" s="4" t="s">
        <f>=HYPERLINK("http://anyluxury.ru/shop/odezhda/kurtki/kurtka-na-steganoy-podkladke-robyn-seraya-02109351/" , "02109351 Куртка на стеганой подкладке ROBYN серая, размер 4XL")</f>
      </c>
      <c r="C9401" s="4" t="n">
        <v>6496.00</v>
      </c>
      <c r="D9401" s="4"/>
    </row>
    <row collapsed="" customFormat="false" customHeight="1" hidden="" ht="14" outlineLevel="0" r="9402">
      <c r="A9402" s="3" t="inlineStr">
        <is>
          <t>9366</t>
        </is>
      </c>
      <c r="B9402" s="4" t="s">
        <f>=HYPERLINK("http://anyluxury.ru/shop/odezhda/kurtki/kurtka-muzhskaya-radian-men-krasnaya-03090162/" , "03090162 Куртка мужская Radian Men, красная, размер S")</f>
      </c>
      <c r="C9402" s="4" t="n">
        <v>4413.00</v>
      </c>
      <c r="D9402" s="4"/>
    </row>
    <row collapsed="" customFormat="false" customHeight="1" hidden="" ht="14" outlineLevel="0" r="9403">
      <c r="A9403" s="3" t="inlineStr">
        <is>
          <t>9367</t>
        </is>
      </c>
      <c r="B9403" s="4" t="s">
        <f>=HYPERLINK("http://anyluxury.ru/shop/odezhda/kurtki/kurtka-muzhskaya-radian-men-krasnaya-03090162/" , "03090162 Куртка мужская Radian Men, красная, размер M")</f>
      </c>
      <c r="C9403" s="4" t="n">
        <v>4413.00</v>
      </c>
      <c r="D9403" s="4"/>
    </row>
    <row collapsed="" customFormat="false" customHeight="1" hidden="" ht="14" outlineLevel="0" r="9404">
      <c r="A9404" s="3" t="inlineStr">
        <is>
          <t>9368</t>
        </is>
      </c>
      <c r="B9404" s="4" t="s">
        <f>=HYPERLINK("http://anyluxury.ru/shop/odezhda/kurtki/kurtka-muzhskaya-radian-men-krasnaya-03090162/" , "03090162 Куртка мужская Radian Men, красная, размер L")</f>
      </c>
      <c r="C9404" s="4" t="n">
        <v>4413.00</v>
      </c>
      <c r="D9404" s="4"/>
    </row>
    <row collapsed="" customFormat="false" customHeight="1" hidden="" ht="14" outlineLevel="0" r="9405">
      <c r="A9405" s="3" t="inlineStr">
        <is>
          <t>9369</t>
        </is>
      </c>
      <c r="B9405" s="4" t="s">
        <f>=HYPERLINK("http://anyluxury.ru/shop/odezhda/kurtki/kurtka-muzhskaya-radian-men-krasnaya-03090162/" , "03090162 Куртка мужская Radian Men, красная, размер XL")</f>
      </c>
      <c r="C9405" s="4" t="n">
        <v>4413.00</v>
      </c>
      <c r="D9405" s="4"/>
    </row>
    <row collapsed="" customFormat="false" customHeight="1" hidden="" ht="14" outlineLevel="0" r="9406">
      <c r="A9406" s="3" t="inlineStr">
        <is>
          <t>9370</t>
        </is>
      </c>
      <c r="B9406" s="4" t="s">
        <f>=HYPERLINK("http://anyluxury.ru/shop/odezhda/kurtki/kurtka-muzhskaya-radian-men-krasnaya-03090162/" , "03090162 Куртка мужская Radian Men, красная, размер XXL")</f>
      </c>
      <c r="C9406" s="4" t="n">
        <v>4413.00</v>
      </c>
      <c r="D9406" s="4"/>
    </row>
    <row collapsed="" customFormat="false" customHeight="1" hidden="" ht="14" outlineLevel="0" r="9407">
      <c r="A9407" s="3" t="inlineStr">
        <is>
          <t>9371</t>
        </is>
      </c>
      <c r="B9407" s="4" t="s">
        <f>=HYPERLINK("http://anyluxury.ru/shop/odezhda/kurtki/kurtka-muzhskaya-radian-men-sinyaya-03090232/" , "03090232 Куртка мужская Radian Men, синяя, размер S")</f>
      </c>
      <c r="C9407" s="4" t="n">
        <v>4413.00</v>
      </c>
      <c r="D9407" s="4"/>
    </row>
    <row collapsed="" customFormat="false" customHeight="1" hidden="" ht="14" outlineLevel="0" r="9408">
      <c r="A9408" s="3" t="inlineStr">
        <is>
          <t>9372</t>
        </is>
      </c>
      <c r="B9408" s="4" t="s">
        <f>=HYPERLINK("http://anyluxury.ru/shop/odezhda/kurtki/kurtka-muzhskaya-radian-men-sinyaya-03090232/" , "03090232 Куртка мужская Radian Men, синяя, размер M")</f>
      </c>
      <c r="C9408" s="4" t="n">
        <v>4413.00</v>
      </c>
      <c r="D9408" s="4"/>
    </row>
    <row collapsed="" customFormat="false" customHeight="1" hidden="" ht="14" outlineLevel="0" r="9409">
      <c r="A9409" s="3" t="inlineStr">
        <is>
          <t>9373</t>
        </is>
      </c>
      <c r="B9409" s="4" t="s">
        <f>=HYPERLINK("http://anyluxury.ru/shop/odezhda/kurtki/kurtka-muzhskaya-radian-men-sinyaya-03090232/" , "03090232 Куртка мужская Radian Men, синяя, размер L")</f>
      </c>
      <c r="C9409" s="4" t="n">
        <v>4413.00</v>
      </c>
      <c r="D9409" s="4"/>
    </row>
    <row collapsed="" customFormat="false" customHeight="1" hidden="" ht="14" outlineLevel="0" r="9410">
      <c r="A9410" s="3" t="inlineStr">
        <is>
          <t>9374</t>
        </is>
      </c>
      <c r="B9410" s="4" t="s">
        <f>=HYPERLINK("http://anyluxury.ru/shop/odezhda/kurtki/kurtka-muzhskaya-radian-men-sinyaya-03090232/" , "03090232 Куртка мужская Radian Men, синяя, размер XL")</f>
      </c>
      <c r="C9410" s="4" t="n">
        <v>4413.00</v>
      </c>
      <c r="D9410" s="4"/>
    </row>
    <row collapsed="" customFormat="false" customHeight="1" hidden="" ht="14" outlineLevel="0" r="9411">
      <c r="A9411" s="3" t="inlineStr">
        <is>
          <t>9375</t>
        </is>
      </c>
      <c r="B9411" s="4" t="s">
        <f>=HYPERLINK("http://anyluxury.ru/shop/odezhda/kurtki/kurtka-muzhskaya-radian-men-sinyaya-03090232/" , "03090232 Куртка мужская Radian Men, синяя, размер XXL")</f>
      </c>
      <c r="C9411" s="4" t="n">
        <v>4413.00</v>
      </c>
      <c r="D9411" s="4"/>
    </row>
    <row collapsed="" customFormat="false" customHeight="1" hidden="" ht="14" outlineLevel="0" r="9412">
      <c r="A9412" s="3" t="inlineStr">
        <is>
          <t>9376</t>
        </is>
      </c>
      <c r="B9412" s="4" t="s">
        <f>=HYPERLINK("http://anyluxury.ru/shop/odezhda/kurtki/kurtka-muzhskaya-radian-men-sinyaya-03090232/" , "03090232 Куртка мужская Radian Men, синяя, размер 3XL")</f>
      </c>
      <c r="C9412" s="4" t="n">
        <v>5023.00</v>
      </c>
      <c r="D9412" s="4"/>
    </row>
    <row collapsed="" customFormat="false" customHeight="1" hidden="" ht="14" outlineLevel="0" r="9413">
      <c r="A9413" s="3" t="inlineStr">
        <is>
          <t>9377</t>
        </is>
      </c>
      <c r="B9413" s="4" t="s">
        <f>=HYPERLINK("http://anyluxury.ru/shop/odezhda/kurtki/kurtka-muzhskaya-radian-men-sinyaya-03090232/" , "03090232 Куртка мужская Radian Men, синяя, размер 4XL")</f>
      </c>
      <c r="C9413" s="4" t="n">
        <v>5023.00</v>
      </c>
      <c r="D9413" s="4"/>
    </row>
    <row collapsed="" customFormat="false" customHeight="1" hidden="" ht="14" outlineLevel="0" r="9414">
      <c r="A9414" s="3" t="inlineStr">
        <is>
          <t>9378</t>
        </is>
      </c>
      <c r="B9414" s="4" t="s">
        <f>=HYPERLINK("http://anyluxury.ru/shop/odezhda/kurtki/kurtka-muzhskaya-radian-men-yarkosinyaya-03090241/" , "03090241 Куртка мужская Radian Men, ярко-синяя, размер S")</f>
      </c>
      <c r="C9414" s="4" t="n">
        <v>4413.00</v>
      </c>
      <c r="D9414" s="4"/>
    </row>
    <row collapsed="" customFormat="false" customHeight="1" hidden="" ht="14" outlineLevel="0" r="9415">
      <c r="A9415" s="3" t="inlineStr">
        <is>
          <t>9379</t>
        </is>
      </c>
      <c r="B9415" s="4" t="s">
        <f>=HYPERLINK("http://anyluxury.ru/shop/odezhda/kurtki/kurtka-muzhskaya-radian-men-yarkosinyaya-03090241/" , "03090241 Куртка мужская Radian Men, ярко-синяя, размер M")</f>
      </c>
      <c r="C9415" s="4" t="n">
        <v>4413.00</v>
      </c>
      <c r="D9415" s="4"/>
    </row>
    <row collapsed="" customFormat="false" customHeight="1" hidden="" ht="14" outlineLevel="0" r="9416">
      <c r="A9416" s="3" t="inlineStr">
        <is>
          <t>9380</t>
        </is>
      </c>
      <c r="B9416" s="4" t="s">
        <f>=HYPERLINK("http://anyluxury.ru/shop/odezhda/kurtki/kurtka-muzhskaya-radian-men-yarkosinyaya-03090241/" , "03090241 Куртка мужская Radian Men, ярко-синяя, размер L")</f>
      </c>
      <c r="C9416" s="4" t="n">
        <v>4413.00</v>
      </c>
      <c r="D9416" s="4"/>
    </row>
    <row collapsed="" customFormat="false" customHeight="1" hidden="" ht="14" outlineLevel="0" r="9417">
      <c r="A9417" s="3" t="inlineStr">
        <is>
          <t>9381</t>
        </is>
      </c>
      <c r="B9417" s="4" t="s">
        <f>=HYPERLINK("http://anyluxury.ru/shop/odezhda/kurtki/kurtka-muzhskaya-radian-men-yarkosinyaya-03090241/" , "03090241 Куртка мужская Radian Men, ярко-синяя, размер XL")</f>
      </c>
      <c r="C9417" s="4" t="n">
        <v>4413.00</v>
      </c>
      <c r="D9417" s="4"/>
    </row>
    <row collapsed="" customFormat="false" customHeight="1" hidden="" ht="14" outlineLevel="0" r="9418">
      <c r="A9418" s="3" t="inlineStr">
        <is>
          <t>9382</t>
        </is>
      </c>
      <c r="B9418" s="4" t="s">
        <f>=HYPERLINK("http://anyluxury.ru/shop/odezhda/kurtki/kurtka-muzhskaya-radian-men-yarkosinyaya-03090241/" , "03090241 Куртка мужская Radian Men, ярко-синяя, размер XXL")</f>
      </c>
      <c r="C9418" s="4" t="n">
        <v>4413.00</v>
      </c>
      <c r="D9418" s="4"/>
    </row>
    <row collapsed="" customFormat="false" customHeight="1" hidden="" ht="14" outlineLevel="0" r="9419">
      <c r="A9419" s="3" t="inlineStr">
        <is>
          <t>9383</t>
        </is>
      </c>
      <c r="B9419" s="4" t="s">
        <f>=HYPERLINK("http://anyluxury.ru/shop/odezhda/kurtki/kurtka-muzhskaya-radian-men-yarkosinyaya-03090241/" , "03090241 Куртка мужская Radian Men, ярко-синяя, размер 3XL")</f>
      </c>
      <c r="C9419" s="4" t="n">
        <v>5023.00</v>
      </c>
      <c r="D9419" s="4"/>
    </row>
    <row collapsed="" customFormat="false" customHeight="1" hidden="" ht="14" outlineLevel="0" r="9420">
      <c r="A9420" s="3" t="inlineStr">
        <is>
          <t>9384</t>
        </is>
      </c>
      <c r="B9420" s="4" t="s">
        <f>=HYPERLINK("http://anyluxury.ru/shop/odezhda/kurtki/kurtka-muzhskaya-radian-men-yarkosinyaya-03090241/" , "03090241 Куртка мужская Radian Men, ярко-синяя, размер 4XL")</f>
      </c>
      <c r="C9420" s="4" t="n">
        <v>5023.00</v>
      </c>
      <c r="D9420" s="4"/>
    </row>
    <row collapsed="" customFormat="false" customHeight="1" hidden="" ht="14" outlineLevel="0" r="9421">
      <c r="A9421" s="3" t="inlineStr">
        <is>
          <t>9385</t>
        </is>
      </c>
      <c r="B9421" s="4" t="s">
        <f>=HYPERLINK("http://anyluxury.ru/shop/odezhda/kurtki/kurtka-muzhskaya-radian-men-temnozelenaya-03090266/" , "03090266 Куртка мужская Radian Men, темно-зеленая, размер S")</f>
      </c>
      <c r="C9421" s="4" t="n">
        <v>4413.00</v>
      </c>
      <c r="D9421" s="4"/>
    </row>
    <row collapsed="" customFormat="false" customHeight="1" hidden="" ht="14" outlineLevel="0" r="9422">
      <c r="A9422" s="3" t="inlineStr">
        <is>
          <t>9386</t>
        </is>
      </c>
      <c r="B9422" s="4" t="s">
        <f>=HYPERLINK("http://anyluxury.ru/shop/odezhda/kurtki/kurtka-muzhskaya-radian-men-temnozelenaya-03090266/" , "03090266 Куртка мужская Radian Men, темно-зеленая, размер M")</f>
      </c>
      <c r="C9422" s="4" t="n">
        <v>4413.00</v>
      </c>
      <c r="D9422" s="4"/>
    </row>
    <row collapsed="" customFormat="false" customHeight="1" hidden="" ht="14" outlineLevel="0" r="9423">
      <c r="A9423" s="3" t="inlineStr">
        <is>
          <t>9387</t>
        </is>
      </c>
      <c r="B9423" s="4" t="s">
        <f>=HYPERLINK("http://anyluxury.ru/shop/odezhda/kurtki/kurtka-muzhskaya-radian-men-temnozelenaya-03090266/" , "03090266 Куртка мужская Radian Men, темно-зеленая, размер L")</f>
      </c>
      <c r="C9423" s="4" t="n">
        <v>4413.00</v>
      </c>
      <c r="D9423" s="4"/>
    </row>
    <row collapsed="" customFormat="false" customHeight="1" hidden="" ht="14" outlineLevel="0" r="9424">
      <c r="A9424" s="3" t="inlineStr">
        <is>
          <t>9388</t>
        </is>
      </c>
      <c r="B9424" s="4" t="s">
        <f>=HYPERLINK("http://anyluxury.ru/shop/odezhda/kurtki/kurtka-muzhskaya-radian-men-temnozelenaya-03090266/" , "03090266 Куртка мужская Radian Men, темно-зеленая, размер XL")</f>
      </c>
      <c r="C9424" s="4" t="n">
        <v>4413.00</v>
      </c>
      <c r="D9424" s="4"/>
    </row>
    <row collapsed="" customFormat="false" customHeight="1" hidden="" ht="14" outlineLevel="0" r="9425">
      <c r="A9425" s="3" t="inlineStr">
        <is>
          <t>9389</t>
        </is>
      </c>
      <c r="B9425" s="4" t="s">
        <f>=HYPERLINK("http://anyluxury.ru/shop/odezhda/kurtki/kurtka-muzhskaya-radian-men-temnozelenaya-03090266/" , "03090266 Куртка мужская Radian Men, темно-зеленая, размер XXL")</f>
      </c>
      <c r="C9425" s="4" t="n">
        <v>4413.00</v>
      </c>
      <c r="D9425" s="4"/>
    </row>
    <row collapsed="" customFormat="false" customHeight="1" hidden="" ht="14" outlineLevel="0" r="9426">
      <c r="A9426" s="3" t="inlineStr">
        <is>
          <t>9390</t>
        </is>
      </c>
      <c r="B9426" s="4" t="s">
        <f>=HYPERLINK("http://anyluxury.ru/shop/odezhda/kurtki/kurtka-muzhskaya-radian-men-temnozelenaya-03090266/" , "03090266 Куртка мужская Radian Men, темно-зеленая, размер 3XL")</f>
      </c>
      <c r="C9426" s="4" t="n">
        <v>5023.00</v>
      </c>
      <c r="D9426" s="4"/>
    </row>
    <row collapsed="" customFormat="false" customHeight="1" hidden="" ht="14" outlineLevel="0" r="9427">
      <c r="A9427" s="3" t="inlineStr">
        <is>
          <t>9391</t>
        </is>
      </c>
      <c r="B9427" s="4" t="s">
        <f>=HYPERLINK("http://anyluxury.ru/shop/odezhda/kurtki/kurtka-muzhskaya-radian-men-temnozelenaya-03090266/" , "03090266 Куртка мужская Radian Men, темно-зеленая, размер 4XL")</f>
      </c>
      <c r="C9427" s="4" t="n">
        <v>5023.00</v>
      </c>
      <c r="D9427" s="4"/>
    </row>
    <row collapsed="" customFormat="false" customHeight="1" hidden="" ht="14" outlineLevel="0" r="9428">
      <c r="A9428" s="3" t="inlineStr">
        <is>
          <t>9392</t>
        </is>
      </c>
      <c r="B9428" s="4" t="s">
        <f>=HYPERLINK("http://anyluxury.ru/shop/odezhda/kurtki/kurtka-muzhskaya-radian-men-chernaya-03090312/" , "03090312 Куртка мужская Radian Men, черная, размер S")</f>
      </c>
      <c r="C9428" s="4" t="n">
        <v>4413.00</v>
      </c>
      <c r="D9428" s="4"/>
    </row>
    <row collapsed="" customFormat="false" customHeight="1" hidden="" ht="14" outlineLevel="0" r="9429">
      <c r="A9429" s="3" t="inlineStr">
        <is>
          <t>9393</t>
        </is>
      </c>
      <c r="B9429" s="4" t="s">
        <f>=HYPERLINK("http://anyluxury.ru/shop/odezhda/kurtki/kurtka-muzhskaya-radian-men-chernaya-03090312/" , "03090312 Куртка мужская Radian Men, черная, размер M")</f>
      </c>
      <c r="C9429" s="4" t="n">
        <v>4413.00</v>
      </c>
      <c r="D9429" s="4"/>
    </row>
    <row collapsed="" customFormat="false" customHeight="1" hidden="" ht="14" outlineLevel="0" r="9430">
      <c r="A9430" s="3" t="inlineStr">
        <is>
          <t>9394</t>
        </is>
      </c>
      <c r="B9430" s="4" t="s">
        <f>=HYPERLINK("http://anyluxury.ru/shop/odezhda/kurtki/kurtka-muzhskaya-radian-men-chernaya-03090312/" , "03090312 Куртка мужская Radian Men, черная, размер L")</f>
      </c>
      <c r="C9430" s="4" t="n">
        <v>4413.00</v>
      </c>
      <c r="D9430" s="4"/>
    </row>
    <row collapsed="" customFormat="false" customHeight="1" hidden="" ht="14" outlineLevel="0" r="9431">
      <c r="A9431" s="3" t="inlineStr">
        <is>
          <t>9395</t>
        </is>
      </c>
      <c r="B9431" s="4" t="s">
        <f>=HYPERLINK("http://anyluxury.ru/shop/odezhda/kurtki/kurtka-muzhskaya-radian-men-chernaya-03090312/" , "03090312 Куртка мужская Radian Men, черная, размер XL")</f>
      </c>
      <c r="C9431" s="4" t="n">
        <v>4413.00</v>
      </c>
      <c r="D9431" s="4"/>
    </row>
    <row collapsed="" customFormat="false" customHeight="1" hidden="" ht="14" outlineLevel="0" r="9432">
      <c r="A9432" s="3" t="inlineStr">
        <is>
          <t>9396</t>
        </is>
      </c>
      <c r="B9432" s="4" t="s">
        <f>=HYPERLINK("http://anyluxury.ru/shop/odezhda/kurtki/kurtka-muzhskaya-radian-men-chernaya-03090312/" , "03090312 Куртка мужская Radian Men, черная, размер XXL")</f>
      </c>
      <c r="C9432" s="4" t="n">
        <v>4413.00</v>
      </c>
      <c r="D9432" s="4"/>
    </row>
    <row collapsed="" customFormat="false" customHeight="1" hidden="" ht="14" outlineLevel="0" r="9433">
      <c r="A9433" s="3" t="inlineStr">
        <is>
          <t>9397</t>
        </is>
      </c>
      <c r="B9433" s="4" t="s">
        <f>=HYPERLINK("http://anyluxury.ru/shop/odezhda/kurtki/kurtka-muzhskaya-radian-men-chernaya-03090312/" , "03090312 Куртка мужская Radian Men, черная, размер 3XL")</f>
      </c>
      <c r="C9433" s="4" t="n">
        <v>5023.00</v>
      </c>
      <c r="D9433" s="4"/>
    </row>
    <row collapsed="" customFormat="false" customHeight="1" hidden="" ht="14" outlineLevel="0" r="9434">
      <c r="A9434" s="3" t="inlineStr">
        <is>
          <t>9398</t>
        </is>
      </c>
      <c r="B9434" s="4" t="s">
        <f>=HYPERLINK("http://anyluxury.ru/shop/odezhda/kurtki/kurtka-muzhskaya-radian-men-chernaya-03090312/" , "03090312 Куртка мужская Radian Men, черная, размер 4XL")</f>
      </c>
      <c r="C9434" s="4" t="n">
        <v>5023.00</v>
      </c>
      <c r="D9434" s="4"/>
    </row>
    <row collapsed="" customFormat="false" customHeight="1" hidden="" ht="14" outlineLevel="0" r="9435">
      <c r="A9435" s="3" t="inlineStr">
        <is>
          <t>9399</t>
        </is>
      </c>
      <c r="B9435" s="4" t="s">
        <f>=HYPERLINK("http://anyluxury.ru/shop/odezhda/kurtki/kurtka-muzhskaya-radian-men-temnoseraya-03090370/" , "03090370 Куртка мужская Radian Men, темно-серая, размер S")</f>
      </c>
      <c r="C9435" s="4" t="n">
        <v>4413.00</v>
      </c>
      <c r="D9435" s="4"/>
    </row>
    <row collapsed="" customFormat="false" customHeight="1" hidden="" ht="14" outlineLevel="0" r="9436">
      <c r="A9436" s="3" t="inlineStr">
        <is>
          <t>9400</t>
        </is>
      </c>
      <c r="B9436" s="4" t="s">
        <f>=HYPERLINK("http://anyluxury.ru/shop/odezhda/kurtki/kurtka-muzhskaya-radian-men-temnoseraya-03090370/" , "03090370 Куртка мужская Radian Men, темно-серая, размер 3XL")</f>
      </c>
      <c r="C9436" s="4" t="n">
        <v>5023.00</v>
      </c>
      <c r="D9436" s="4"/>
    </row>
    <row collapsed="" customFormat="false" customHeight="1" hidden="" ht="14" outlineLevel="0" r="9437">
      <c r="A9437" s="3" t="inlineStr">
        <is>
          <t>9401</t>
        </is>
      </c>
      <c r="B9437" s="4" t="s">
        <f>=HYPERLINK("http://anyluxury.ru/shop/odezhda/kurtki/kurtka-muzhskaya-radian-men-temnoseraya-03090370/" , "03090370 Куртка мужская Radian Men, темно-серая, размер 4XL")</f>
      </c>
      <c r="C9437" s="4" t="n">
        <v>5023.00</v>
      </c>
      <c r="D9437" s="4"/>
    </row>
    <row collapsed="" customFormat="false" customHeight="1" hidden="" ht="14" outlineLevel="0" r="9438">
      <c r="A9438" s="3" t="inlineStr">
        <is>
          <t>9402</t>
        </is>
      </c>
      <c r="B9438" s="4" t="s">
        <f>=HYPERLINK("http://anyluxury.ru/shop/odezhda/kurtki/kurtka-zhenskaya-radian-women-krasnaya-03107162/" , "03107162 Куртка женская Radian Women, красная, размер S")</f>
      </c>
      <c r="C9438" s="4" t="n">
        <v>4413.00</v>
      </c>
      <c r="D9438" s="4"/>
    </row>
    <row collapsed="" customFormat="false" customHeight="1" hidden="" ht="14" outlineLevel="0" r="9439">
      <c r="A9439" s="3" t="inlineStr">
        <is>
          <t>9403</t>
        </is>
      </c>
      <c r="B9439" s="4" t="s">
        <f>=HYPERLINK("http://anyluxury.ru/shop/odezhda/kurtki/kurtka-zhenskaya-radian-women-krasnaya-03107162/" , "03107162 Куртка женская Radian Women, красная, размер M")</f>
      </c>
      <c r="C9439" s="4" t="n">
        <v>4413.00</v>
      </c>
      <c r="D9439" s="4"/>
    </row>
    <row collapsed="" customFormat="false" customHeight="1" hidden="" ht="14" outlineLevel="0" r="9440">
      <c r="A9440" s="3" t="inlineStr">
        <is>
          <t>9404</t>
        </is>
      </c>
      <c r="B9440" s="4" t="s">
        <f>=HYPERLINK("http://anyluxury.ru/shop/odezhda/kurtki/kurtka-zhenskaya-radian-women-krasnaya-03107162/" , "03107162 Куртка женская Radian Women, красная, размер L")</f>
      </c>
      <c r="C9440" s="4" t="n">
        <v>4413.00</v>
      </c>
      <c r="D9440" s="4"/>
    </row>
    <row collapsed="" customFormat="false" customHeight="1" hidden="" ht="14" outlineLevel="0" r="9441">
      <c r="A9441" s="3" t="inlineStr">
        <is>
          <t>9405</t>
        </is>
      </c>
      <c r="B9441" s="4" t="s">
        <f>=HYPERLINK("http://anyluxury.ru/shop/odezhda/kurtki/kurtka-zhenskaya-radian-women-krasnaya-03107162/" , "03107162 Куртка женская Radian Women, красная, размер XL")</f>
      </c>
      <c r="C9441" s="4" t="n">
        <v>4413.00</v>
      </c>
      <c r="D9441" s="4"/>
    </row>
    <row collapsed="" customFormat="false" customHeight="1" hidden="" ht="14" outlineLevel="0" r="9442">
      <c r="A9442" s="3" t="inlineStr">
        <is>
          <t>9406</t>
        </is>
      </c>
      <c r="B9442" s="4" t="s">
        <f>=HYPERLINK("http://anyluxury.ru/shop/odezhda/kurtki/kurtka-zhenskaya-radian-women-krasnaya-03107162/" , "03107162 Куртка женская Radian Women, красная, размер XXL")</f>
      </c>
      <c r="C9442" s="4" t="n">
        <v>4413.00</v>
      </c>
      <c r="D9442" s="4"/>
    </row>
    <row collapsed="" customFormat="false" customHeight="1" hidden="" ht="14" outlineLevel="0" r="9443">
      <c r="A9443" s="3" t="inlineStr">
        <is>
          <t>9407</t>
        </is>
      </c>
      <c r="B9443" s="4" t="s">
        <f>=HYPERLINK("http://anyluxury.ru/shop/odezhda/kurtki/kurtka-zhenskaya-radian-women-sinyaya-03107232/" , "03107232 Куртка женская Radian Women, синяя, размер S")</f>
      </c>
      <c r="C9443" s="4" t="n">
        <v>4413.00</v>
      </c>
      <c r="D9443" s="4"/>
    </row>
    <row collapsed="" customFormat="false" customHeight="1" hidden="" ht="14" outlineLevel="0" r="9444">
      <c r="A9444" s="3" t="inlineStr">
        <is>
          <t>9408</t>
        </is>
      </c>
      <c r="B9444" s="4" t="s">
        <f>=HYPERLINK("http://anyluxury.ru/shop/odezhda/kurtki/kurtka-zhenskaya-radian-women-sinyaya-03107232/" , "03107232 Куртка женская Radian Women, синяя, размер M")</f>
      </c>
      <c r="C9444" s="4" t="n">
        <v>4413.00</v>
      </c>
      <c r="D9444" s="4"/>
    </row>
    <row collapsed="" customFormat="false" customHeight="1" hidden="" ht="14" outlineLevel="0" r="9445">
      <c r="A9445" s="3" t="inlineStr">
        <is>
          <t>9409</t>
        </is>
      </c>
      <c r="B9445" s="4" t="s">
        <f>=HYPERLINK("http://anyluxury.ru/shop/odezhda/kurtki/kurtka-zhenskaya-radian-women-sinyaya-03107232/" , "03107232 Куртка женская Radian Women, синяя, размер L")</f>
      </c>
      <c r="C9445" s="4" t="n">
        <v>4413.00</v>
      </c>
      <c r="D9445" s="4"/>
    </row>
    <row collapsed="" customFormat="false" customHeight="1" hidden="" ht="14" outlineLevel="0" r="9446">
      <c r="A9446" s="3" t="inlineStr">
        <is>
          <t>9410</t>
        </is>
      </c>
      <c r="B9446" s="4" t="s">
        <f>=HYPERLINK("http://anyluxury.ru/shop/odezhda/kurtki/kurtka-zhenskaya-radian-women-sinyaya-03107232/" , "03107232 Куртка женская Radian Women, синяя, размер XL")</f>
      </c>
      <c r="C9446" s="4" t="n">
        <v>4413.00</v>
      </c>
      <c r="D9446" s="4"/>
    </row>
    <row collapsed="" customFormat="false" customHeight="1" hidden="" ht="14" outlineLevel="0" r="9447">
      <c r="A9447" s="3" t="inlineStr">
        <is>
          <t>9411</t>
        </is>
      </c>
      <c r="B9447" s="4" t="s">
        <f>=HYPERLINK("http://anyluxury.ru/shop/odezhda/kurtki/kurtka-zhenskaya-radian-women-sinyaya-03107232/" , "03107232 Куртка женская Radian Women, синяя, размер XXL")</f>
      </c>
      <c r="C9447" s="4" t="n">
        <v>4413.00</v>
      </c>
      <c r="D9447" s="4"/>
    </row>
    <row collapsed="" customFormat="false" customHeight="1" hidden="" ht="14" outlineLevel="0" r="9448">
      <c r="A9448" s="3" t="inlineStr">
        <is>
          <t>9412</t>
        </is>
      </c>
      <c r="B9448" s="4" t="s">
        <f>=HYPERLINK("http://anyluxury.ru/shop/odezhda/kurtki/kurtka-zhenskaya-radian-women-yarkosinyaya-03107241/" , "03107241 Куртка женская Radian Women, ярко-синяя, размер S")</f>
      </c>
      <c r="C9448" s="4" t="n">
        <v>4413.00</v>
      </c>
      <c r="D9448" s="4"/>
    </row>
    <row collapsed="" customFormat="false" customHeight="1" hidden="" ht="14" outlineLevel="0" r="9449">
      <c r="A9449" s="3" t="inlineStr">
        <is>
          <t>9413</t>
        </is>
      </c>
      <c r="B9449" s="4" t="s">
        <f>=HYPERLINK("http://anyluxury.ru/shop/odezhda/kurtki/kurtka-zhenskaya-radian-women-yarkosinyaya-03107241/" , "03107241 Куртка женская Radian Women, ярко-синяя, размер L")</f>
      </c>
      <c r="C9449" s="4" t="n">
        <v>4413.00</v>
      </c>
      <c r="D9449" s="4"/>
    </row>
    <row collapsed="" customFormat="false" customHeight="1" hidden="" ht="14" outlineLevel="0" r="9450">
      <c r="A9450" s="3" t="inlineStr">
        <is>
          <t>9414</t>
        </is>
      </c>
      <c r="B9450" s="4" t="s">
        <f>=HYPERLINK("http://anyluxury.ru/shop/odezhda/kurtki/kurtka-zhenskaya-radian-women-yarkosinyaya-03107241/" , "03107241 Куртка женская Radian Women, ярко-синяя, размер XXL")</f>
      </c>
      <c r="C9450" s="4" t="n">
        <v>4413.00</v>
      </c>
      <c r="D9450" s="4"/>
    </row>
    <row collapsed="" customFormat="false" customHeight="1" hidden="" ht="14" outlineLevel="0" r="9451">
      <c r="A9451" s="3" t="inlineStr">
        <is>
          <t>9415</t>
        </is>
      </c>
      <c r="B9451" s="4" t="s">
        <f>=HYPERLINK("http://anyluxury.ru/shop/odezhda/kurtki/kurtka-zhenskaya-radian-women-temnozelenaya-03107266/" , "03107266 Куртка женская Radian Women, темно-зеленая, размер S")</f>
      </c>
      <c r="C9451" s="4" t="n">
        <v>4413.00</v>
      </c>
      <c r="D9451" s="4"/>
    </row>
    <row collapsed="" customFormat="false" customHeight="1" hidden="" ht="14" outlineLevel="0" r="9452">
      <c r="A9452" s="3" t="inlineStr">
        <is>
          <t>9416</t>
        </is>
      </c>
      <c r="B9452" s="4" t="s">
        <f>=HYPERLINK("http://anyluxury.ru/shop/odezhda/kurtki/kurtka-zhenskaya-radian-women-temnozelenaya-03107266/" , "03107266 Куртка женская Radian Women, темно-зеленая, размер M")</f>
      </c>
      <c r="C9452" s="4" t="n">
        <v>4413.00</v>
      </c>
      <c r="D9452" s="4"/>
    </row>
    <row collapsed="" customFormat="false" customHeight="1" hidden="" ht="14" outlineLevel="0" r="9453">
      <c r="A9453" s="3" t="inlineStr">
        <is>
          <t>9417</t>
        </is>
      </c>
      <c r="B9453" s="4" t="s">
        <f>=HYPERLINK("http://anyluxury.ru/shop/odezhda/kurtki/kurtka-zhenskaya-radian-women-temnozelenaya-03107266/" , "03107266 Куртка женская Radian Women, темно-зеленая, размер L")</f>
      </c>
      <c r="C9453" s="4" t="n">
        <v>4413.00</v>
      </c>
      <c r="D9453" s="4"/>
    </row>
    <row collapsed="" customFormat="false" customHeight="1" hidden="" ht="14" outlineLevel="0" r="9454">
      <c r="A9454" s="3" t="inlineStr">
        <is>
          <t>9418</t>
        </is>
      </c>
      <c r="B9454" s="4" t="s">
        <f>=HYPERLINK("http://anyluxury.ru/shop/odezhda/kurtki/kurtka-zhenskaya-radian-women-temnozelenaya-03107266/" , "03107266 Куртка женская Radian Women, темно-зеленая, размер XL")</f>
      </c>
      <c r="C9454" s="4" t="n">
        <v>4413.00</v>
      </c>
      <c r="D9454" s="4"/>
    </row>
    <row collapsed="" customFormat="false" customHeight="1" hidden="" ht="14" outlineLevel="0" r="9455">
      <c r="A9455" s="3" t="inlineStr">
        <is>
          <t>9419</t>
        </is>
      </c>
      <c r="B9455" s="4" t="s">
        <f>=HYPERLINK("http://anyluxury.ru/shop/odezhda/kurtki/kurtka-zhenskaya-radian-women-temnozelenaya-03107266/" , "03107266 Куртка женская Radian Women, темно-зеленая, размер XXL")</f>
      </c>
      <c r="C9455" s="4" t="n">
        <v>4413.00</v>
      </c>
      <c r="D9455" s="4"/>
    </row>
    <row collapsed="" customFormat="false" customHeight="1" hidden="" ht="14" outlineLevel="0" r="9456">
      <c r="A9456" s="3" t="inlineStr">
        <is>
          <t>9420</t>
        </is>
      </c>
      <c r="B9456" s="4" t="s">
        <f>=HYPERLINK("http://anyluxury.ru/shop/odezhda/kurtki/kurtka-zhenskaya-radian-women-chernaya-03107312/" , "03107312 Куртка женская Radian Women, черная, размер S")</f>
      </c>
      <c r="C9456" s="4" t="n">
        <v>4413.00</v>
      </c>
      <c r="D9456" s="4"/>
    </row>
    <row collapsed="" customFormat="false" customHeight="1" hidden="" ht="14" outlineLevel="0" r="9457">
      <c r="A9457" s="3" t="inlineStr">
        <is>
          <t>9421</t>
        </is>
      </c>
      <c r="B9457" s="4" t="s">
        <f>=HYPERLINK("http://anyluxury.ru/shop/odezhda/kurtki/kurtka-zhenskaya-radian-women-chernaya-03107312/" , "03107312 Куртка женская Radian Women, черная, размер M")</f>
      </c>
      <c r="C9457" s="4" t="n">
        <v>4413.00</v>
      </c>
      <c r="D9457" s="4"/>
    </row>
    <row collapsed="" customFormat="false" customHeight="1" hidden="" ht="14" outlineLevel="0" r="9458">
      <c r="A9458" s="3" t="inlineStr">
        <is>
          <t>9422</t>
        </is>
      </c>
      <c r="B9458" s="4" t="s">
        <f>=HYPERLINK("http://anyluxury.ru/shop/odezhda/kurtki/kurtka-zhenskaya-radian-women-chernaya-03107312/" , "03107312 Куртка женская Radian Women, черная, размер L")</f>
      </c>
      <c r="C9458" s="4" t="n">
        <v>4413.00</v>
      </c>
      <c r="D9458" s="4"/>
    </row>
    <row collapsed="" customFormat="false" customHeight="1" hidden="" ht="14" outlineLevel="0" r="9459">
      <c r="A9459" s="3" t="inlineStr">
        <is>
          <t>9423</t>
        </is>
      </c>
      <c r="B9459" s="4" t="s">
        <f>=HYPERLINK("http://anyluxury.ru/shop/odezhda/kurtki/kurtka-zhenskaya-radian-women-chernaya-03107312/" , "03107312 Куртка женская Radian Women, черная, размер XL")</f>
      </c>
      <c r="C9459" s="4" t="n">
        <v>4413.00</v>
      </c>
      <c r="D9459" s="4"/>
    </row>
    <row collapsed="" customFormat="false" customHeight="1" hidden="" ht="14" outlineLevel="0" r="9460">
      <c r="A9460" s="3" t="inlineStr">
        <is>
          <t>9424</t>
        </is>
      </c>
      <c r="B9460" s="4" t="s">
        <f>=HYPERLINK("http://anyluxury.ru/shop/odezhda/kurtki/kurtka-zhenskaya-radian-women-chernaya-03107312/" , "03107312 Куртка женская Radian Women, черная, размер XXL")</f>
      </c>
      <c r="C9460" s="4" t="n">
        <v>4413.00</v>
      </c>
      <c r="D9460" s="4"/>
    </row>
    <row collapsed="" customFormat="false" customHeight="1" hidden="" ht="14" outlineLevel="0" r="9461">
      <c r="A9461" s="3" t="inlineStr">
        <is>
          <t>9425</t>
        </is>
      </c>
      <c r="B9461" s="4" t="s">
        <f>=HYPERLINK("http://anyluxury.ru/shop/odezhda/kurtki/kurtka-zhenskaya-radian-women-temnoseraya-03107370/" , "03107370 Куртка женская Radian Women, темно-серая, размер S")</f>
      </c>
      <c r="C9461" s="4" t="n">
        <v>4413.00</v>
      </c>
      <c r="D9461" s="4"/>
    </row>
    <row collapsed="" customFormat="false" customHeight="1" hidden="" ht="14" outlineLevel="0" r="9462">
      <c r="A9462" s="3" t="inlineStr">
        <is>
          <t>9426</t>
        </is>
      </c>
      <c r="B9462" s="4" t="s">
        <f>=HYPERLINK("http://anyluxury.ru/shop/odezhda/kurtki/kurtka-zhenskaya-radian-women-temnoseraya-03107370/" , "03107370 Куртка женская Radian Women, темно-серая, размер M")</f>
      </c>
      <c r="C9462" s="4" t="n">
        <v>4413.00</v>
      </c>
      <c r="D9462" s="4"/>
    </row>
    <row collapsed="" customFormat="false" customHeight="1" hidden="" ht="14" outlineLevel="0" r="9463">
      <c r="A9463" s="3" t="inlineStr">
        <is>
          <t>9427</t>
        </is>
      </c>
      <c r="B9463" s="4" t="s">
        <f>=HYPERLINK("http://anyluxury.ru/shop/odezhda/kurtki/kurtka-zhenskaya-radian-women-temnoseraya-03107370/" , "03107370 Куртка женская Radian Women, темно-серая, размер L")</f>
      </c>
      <c r="C9463" s="4" t="n">
        <v>4413.00</v>
      </c>
      <c r="D9463" s="4"/>
    </row>
    <row collapsed="" customFormat="false" customHeight="1" hidden="" ht="14" outlineLevel="0" r="9464">
      <c r="A9464" s="3" t="inlineStr">
        <is>
          <t>9428</t>
        </is>
      </c>
      <c r="B9464" s="4" t="s">
        <f>=HYPERLINK("http://anyluxury.ru/shop/odezhda/kurtki/kurtka-zhenskaya-radian-women-temnoseraya-03107370/" , "03107370 Куртка женская Radian Women, темно-серая, размер XL")</f>
      </c>
      <c r="C9464" s="4" t="n">
        <v>4413.00</v>
      </c>
      <c r="D9464" s="4"/>
    </row>
    <row collapsed="" customFormat="false" customHeight="1" hidden="" ht="14" outlineLevel="0" r="9465">
      <c r="A9465" s="3" t="inlineStr">
        <is>
          <t>9429</t>
        </is>
      </c>
      <c r="B9465" s="4" t="s">
        <f>=HYPERLINK("http://anyluxury.ru/shop/odezhda/kurtki/kurtka-zhenskaya-radian-women-temnoseraya-03107370/" , "03107370 Куртка женская Radian Women, темно-серая, размер XXL")</f>
      </c>
      <c r="C9465" s="4" t="n">
        <v>4413.00</v>
      </c>
      <c r="D9465" s="4"/>
    </row>
    <row collapsed="" customFormat="false" customHeight="1" hidden="" ht="14" outlineLevel="0" r="9466">
      <c r="A9466" s="3" t="inlineStr">
        <is>
          <t>9430</t>
        </is>
      </c>
      <c r="B9466" s="4" t="s">
        <f>=HYPERLINK("http://anyluxury.ru/shop/odezhda/kurtki/kurtka-softshell-muzhskaya-race-men-temnozelenaya-01195264/" , "01195264 Куртка софтшелл мужская RACE MEN, темно-зеленая, размер S")</f>
      </c>
      <c r="C9466" s="4" t="n">
        <v>3528.00</v>
      </c>
      <c r="D9466" s="4"/>
    </row>
    <row collapsed="" customFormat="false" customHeight="1" hidden="" ht="14" outlineLevel="0" r="9467">
      <c r="A9467" s="3" t="inlineStr">
        <is>
          <t>9431</t>
        </is>
      </c>
      <c r="B9467" s="4" t="s">
        <f>=HYPERLINK("http://anyluxury.ru/shop/odezhda/kurtki/kurtka-softshell-muzhskaya-race-men-temnozelenaya-01195264/" , "01195264 Куртка софтшелл мужская RACE MEN, темно-зеленая, размер M")</f>
      </c>
      <c r="C9467" s="4" t="n">
        <v>3528.00</v>
      </c>
      <c r="D9467" s="4"/>
    </row>
    <row collapsed="" customFormat="false" customHeight="1" hidden="" ht="14" outlineLevel="0" r="9468">
      <c r="A9468" s="3" t="inlineStr">
        <is>
          <t>9432</t>
        </is>
      </c>
      <c r="B9468" s="4" t="s">
        <f>=HYPERLINK("http://anyluxury.ru/shop/odezhda/kurtki/kurtka-softshell-muzhskaya-race-men-temnozelenaya-01195264/" , "01195264 Куртка софтшелл мужская RACE MEN, темно-зеленая, размер L")</f>
      </c>
      <c r="C9468" s="4" t="n">
        <v>3528.00</v>
      </c>
      <c r="D9468" s="4"/>
    </row>
    <row collapsed="" customFormat="false" customHeight="1" hidden="" ht="14" outlineLevel="0" r="9469">
      <c r="A9469" s="3" t="inlineStr">
        <is>
          <t>9433</t>
        </is>
      </c>
      <c r="B9469" s="4" t="s">
        <f>=HYPERLINK("http://anyluxury.ru/shop/odezhda/kurtki/kurtka-softshell-muzhskaya-race-men-temnozelenaya-01195264/" , "01195264 Куртка софтшелл мужская RACE MEN, темно-зеленая, размер XL")</f>
      </c>
      <c r="C9469" s="4" t="n">
        <v>3528.00</v>
      </c>
      <c r="D9469" s="4"/>
    </row>
    <row collapsed="" customFormat="false" customHeight="1" hidden="" ht="14" outlineLevel="0" r="9470">
      <c r="A9470" s="3" t="inlineStr">
        <is>
          <t>9434</t>
        </is>
      </c>
      <c r="B9470" s="4" t="s">
        <f>=HYPERLINK("http://anyluxury.ru/shop/odezhda/kurtki/kurtka-softshell-muzhskaya-race-men-temnozelenaya-01195264/" , "01195264 Куртка софтшелл мужская RACE MEN, темно-зеленая, размер XXL")</f>
      </c>
      <c r="C9470" s="4" t="n">
        <v>3528.00</v>
      </c>
      <c r="D9470" s="4"/>
    </row>
    <row collapsed="" customFormat="false" customHeight="1" hidden="" ht="14" outlineLevel="0" r="9471">
      <c r="A9471" s="3" t="inlineStr">
        <is>
          <t>9435</t>
        </is>
      </c>
      <c r="B9471" s="4" t="s">
        <f>=HYPERLINK("http://anyluxury.ru/shop/odezhda/kurtki/kurtka-softshell-muzhskaya-race-men-temnozelenaya-01195264/" , "01195264 Куртка софтшелл мужская RACE MEN, темно-зеленая, размер 3XL")</f>
      </c>
      <c r="C9471" s="4" t="n">
        <v>4201.00</v>
      </c>
      <c r="D9471" s="4"/>
    </row>
    <row collapsed="" customFormat="false" customHeight="1" hidden="" ht="14" outlineLevel="0" r="9472">
      <c r="A9472" s="3" t="inlineStr">
        <is>
          <t>9436</t>
        </is>
      </c>
      <c r="B9472" s="4" t="s">
        <f>=HYPERLINK("http://anyluxury.ru/shop/odezhda/kurtki/kurtka-softshell-muzhskaya-race-men-temniy-haki-01195269/" , "01195269 Куртка софтшелл мужская RACE MEN, темный хаки, размер S")</f>
      </c>
      <c r="C9472" s="4" t="n">
        <v>3528.00</v>
      </c>
      <c r="D9472" s="4"/>
    </row>
    <row collapsed="" customFormat="false" customHeight="1" hidden="" ht="14" outlineLevel="0" r="9473">
      <c r="A9473" s="3" t="inlineStr">
        <is>
          <t>9437</t>
        </is>
      </c>
      <c r="B9473" s="4" t="s">
        <f>=HYPERLINK("http://anyluxury.ru/shop/odezhda/kurtki/kurtka-softshell-muzhskaya-race-men-temniy-haki-01195269/" , "01195269 Куртка софтшелл мужская RACE MEN, темный хаки, размер M")</f>
      </c>
      <c r="C9473" s="4" t="n">
        <v>3528.00</v>
      </c>
      <c r="D9473" s="4"/>
    </row>
    <row collapsed="" customFormat="false" customHeight="1" hidden="" ht="14" outlineLevel="0" r="9474">
      <c r="A9474" s="3" t="inlineStr">
        <is>
          <t>9438</t>
        </is>
      </c>
      <c r="B9474" s="4" t="s">
        <f>=HYPERLINK("http://anyluxury.ru/shop/odezhda/kurtki/kurtka-softshell-muzhskaya-race-men-temniy-haki-01195269/" , "01195269 Куртка софтшелл мужская RACE MEN, темный хаки, размер L")</f>
      </c>
      <c r="C9474" s="4" t="n">
        <v>3528.00</v>
      </c>
      <c r="D9474" s="4"/>
    </row>
    <row collapsed="" customFormat="false" customHeight="1" hidden="" ht="14" outlineLevel="0" r="9475">
      <c r="A9475" s="3" t="inlineStr">
        <is>
          <t>9439</t>
        </is>
      </c>
      <c r="B9475" s="4" t="s">
        <f>=HYPERLINK("http://anyluxury.ru/shop/odezhda/kurtki/kurtka-softshell-muzhskaya-race-men-temniy-haki-01195269/" , "01195269 Куртка софтшелл мужская RACE MEN, темный хаки, размер XL")</f>
      </c>
      <c r="C9475" s="4" t="n">
        <v>3528.00</v>
      </c>
      <c r="D9475" s="4"/>
    </row>
    <row collapsed="" customFormat="false" customHeight="1" hidden="" ht="14" outlineLevel="0" r="9476">
      <c r="A9476" s="3" t="inlineStr">
        <is>
          <t>9440</t>
        </is>
      </c>
      <c r="B9476" s="4" t="s">
        <f>=HYPERLINK("http://anyluxury.ru/shop/odezhda/kurtki/kurtka-softshell-muzhskaya-race-men-temniy-haki-01195269/" , "01195269 Куртка софтшелл мужская RACE MEN, темный хаки, размер XXL")</f>
      </c>
      <c r="C9476" s="4" t="n">
        <v>3528.00</v>
      </c>
      <c r="D9476" s="4"/>
    </row>
    <row collapsed="" customFormat="false" customHeight="1" hidden="" ht="14" outlineLevel="0" r="9477">
      <c r="A9477" s="3" t="inlineStr">
        <is>
          <t>9441</t>
        </is>
      </c>
      <c r="B9477" s="4" t="s">
        <f>=HYPERLINK("http://anyluxury.ru/shop/odezhda/kurtki/kurtka-softshell-muzhskaya-race-men-temniy-haki-01195269/" , "01195269 Куртка софтшелл мужская RACE MEN, темный хаки, размер 3XL")</f>
      </c>
      <c r="C9477" s="4" t="n">
        <v>4201.00</v>
      </c>
      <c r="D9477" s="4"/>
    </row>
    <row collapsed="" customFormat="false" customHeight="1" hidden="" ht="14" outlineLevel="0" r="9478">
      <c r="A9478" s="3" t="inlineStr">
        <is>
          <t>9442</t>
        </is>
      </c>
      <c r="B9478" s="4" t="s">
        <f>=HYPERLINK("http://anyluxury.ru/shop/odezhda/kurtki/kurtka-softshell-zhenskaya-race-women-temnozelenaya-01194264/" , "01194264 Куртка софтшелл женская RACE WOMEN, темно-зеленая, размер S")</f>
      </c>
      <c r="C9478" s="4" t="n">
        <v>3502.00</v>
      </c>
      <c r="D9478" s="4"/>
    </row>
    <row collapsed="" customFormat="false" customHeight="1" hidden="" ht="14" outlineLevel="0" r="9479">
      <c r="A9479" s="3" t="inlineStr">
        <is>
          <t>9443</t>
        </is>
      </c>
      <c r="B9479" s="4" t="s">
        <f>=HYPERLINK("http://anyluxury.ru/shop/odezhda/kurtki/kurtka-softshell-zhenskaya-race-women-temnozelenaya-01194264/" , "01194264 Куртка софтшелл женская RACE WOMEN, темно-зеленая, размер M")</f>
      </c>
      <c r="C9479" s="4" t="n">
        <v>3502.00</v>
      </c>
      <c r="D9479" s="4"/>
    </row>
    <row collapsed="" customFormat="false" customHeight="1" hidden="" ht="14" outlineLevel="0" r="9480">
      <c r="A9480" s="3" t="inlineStr">
        <is>
          <t>9444</t>
        </is>
      </c>
      <c r="B9480" s="4" t="s">
        <f>=HYPERLINK("http://anyluxury.ru/shop/odezhda/kurtki/kurtka-softshell-zhenskaya-race-women-temnozelenaya-01194264/" , "01194264 Куртка софтшелл женская RACE WOMEN, темно-зеленая, размер L")</f>
      </c>
      <c r="C9480" s="4" t="n">
        <v>3502.00</v>
      </c>
      <c r="D9480" s="4"/>
    </row>
    <row collapsed="" customFormat="false" customHeight="1" hidden="" ht="14" outlineLevel="0" r="9481">
      <c r="A9481" s="3" t="inlineStr">
        <is>
          <t>9445</t>
        </is>
      </c>
      <c r="B9481" s="4" t="s">
        <f>=HYPERLINK("http://anyluxury.ru/shop/odezhda/kurtki/kurtka-softshell-zhenskaya-race-women-temnozelenaya-01194264/" , "01194264 Куртка софтшелл женская RACE WOMEN, темно-зеленая, размер XL")</f>
      </c>
      <c r="C9481" s="4" t="n">
        <v>3502.00</v>
      </c>
      <c r="D9481" s="4"/>
    </row>
    <row collapsed="" customFormat="false" customHeight="1" hidden="" ht="14" outlineLevel="0" r="9482">
      <c r="A9482" s="3" t="inlineStr">
        <is>
          <t>9446</t>
        </is>
      </c>
      <c r="B9482" s="4" t="s">
        <f>=HYPERLINK("http://anyluxury.ru/shop/odezhda/kurtki/kurtka-softshell-zhenskaya-race-women-temnozelenaya-01194264/" , "01194264 Куртка софтшелл женская RACE WOMEN, темно-зеленая, размер XXL")</f>
      </c>
      <c r="C9482" s="4" t="n">
        <v>3502.00</v>
      </c>
      <c r="D9482" s="4"/>
    </row>
    <row collapsed="" customFormat="false" customHeight="1" hidden="" ht="14" outlineLevel="0" r="9483">
      <c r="A9483" s="3" t="inlineStr">
        <is>
          <t>9447</t>
        </is>
      </c>
      <c r="B9483" s="4" t="s">
        <f>=HYPERLINK("http://anyluxury.ru/shop/odezhda/kurtki/kurtka-softshell-zhenskaya-race-women-temniy-haki-01194269/" , "01194269 Куртка софтшелл женская RACE WOMEN, темный хаки, размер S")</f>
      </c>
      <c r="C9483" s="4" t="n">
        <v>3502.00</v>
      </c>
      <c r="D9483" s="4"/>
    </row>
    <row collapsed="" customFormat="false" customHeight="1" hidden="" ht="14" outlineLevel="0" r="9484">
      <c r="A9484" s="3" t="inlineStr">
        <is>
          <t>9448</t>
        </is>
      </c>
      <c r="B9484" s="4" t="s">
        <f>=HYPERLINK("http://anyluxury.ru/shop/odezhda/kurtki/kurtka-softshell-zhenskaya-race-women-temniy-haki-01194269/" , "01194269 Куртка софтшелл женская RACE WOMEN, темный хаки, размер M")</f>
      </c>
      <c r="C9484" s="4" t="n">
        <v>3502.00</v>
      </c>
      <c r="D9484" s="4"/>
    </row>
    <row collapsed="" customFormat="false" customHeight="1" hidden="" ht="14" outlineLevel="0" r="9485">
      <c r="A9485" s="3" t="inlineStr">
        <is>
          <t>9449</t>
        </is>
      </c>
      <c r="B9485" s="4" t="s">
        <f>=HYPERLINK("http://anyluxury.ru/shop/odezhda/kurtki/kurtka-softshell-zhenskaya-race-women-temniy-haki-01194269/" , "01194269 Куртка софтшелл женская RACE WOMEN, темный хаки, размер L")</f>
      </c>
      <c r="C9485" s="4" t="n">
        <v>3502.00</v>
      </c>
      <c r="D9485" s="4"/>
    </row>
    <row collapsed="" customFormat="false" customHeight="1" hidden="" ht="14" outlineLevel="0" r="9486">
      <c r="A9486" s="3" t="inlineStr">
        <is>
          <t>9450</t>
        </is>
      </c>
      <c r="B9486" s="4" t="s">
        <f>=HYPERLINK("http://anyluxury.ru/shop/odezhda/kurtki/kurtka-softshell-zhenskaya-race-women-temniy-haki-01194269/" , "01194269 Куртка софтшелл женская RACE WOMEN, темный хаки, размер XL")</f>
      </c>
      <c r="C9486" s="4" t="n">
        <v>3502.00</v>
      </c>
      <c r="D9486" s="4"/>
    </row>
    <row collapsed="" customFormat="false" customHeight="1" hidden="" ht="14" outlineLevel="0" r="9487">
      <c r="A9487" s="3" t="inlineStr">
        <is>
          <t>9451</t>
        </is>
      </c>
      <c r="B9487" s="4" t="s">
        <f>=HYPERLINK("http://anyluxury.ru/shop/odezhda/kurtki/kurtka-softshell-zhenskaya-race-women-temniy-haki-01194269/" , "01194269 Куртка софтшелл женская RACE WOMEN, темный хаки, размер XXL")</f>
      </c>
      <c r="C9487" s="4" t="n">
        <v>3502.00</v>
      </c>
      <c r="D9487" s="4"/>
    </row>
    <row collapsed="" customFormat="false" customHeight="1" hidden="" ht="14" outlineLevel="0" r="9488">
      <c r="A9488" s="3" t="inlineStr">
        <is>
          <t>9452</t>
        </is>
      </c>
      <c r="B9488" s="4" t="s">
        <f>=HYPERLINK("http://anyluxury.ru/shop/odezhda/kurtki/kurtka-na-steganoy-podkladke-robyn-temnozelenaya-02109266/" , "02109266 Куртка на стеганой подкладке Robyn, темно-зеленая, размер XS")</f>
      </c>
      <c r="C9488" s="4" t="n">
        <v>5654.00</v>
      </c>
      <c r="D9488" s="4"/>
    </row>
    <row collapsed="" customFormat="false" customHeight="1" hidden="" ht="14" outlineLevel="0" r="9489">
      <c r="A9489" s="3" t="inlineStr">
        <is>
          <t>9453</t>
        </is>
      </c>
      <c r="B9489" s="4" t="s">
        <f>=HYPERLINK("http://anyluxury.ru/shop/odezhda/kurtki/kurtka-na-steganoy-podkladke-robyn-temnozelenaya-02109266/" , "02109266 Куртка на стеганой подкладке Robyn, темно-зеленая, размер S")</f>
      </c>
      <c r="C9489" s="4" t="n">
        <v>5654.00</v>
      </c>
      <c r="D9489" s="4"/>
    </row>
    <row collapsed="" customFormat="false" customHeight="1" hidden="" ht="14" outlineLevel="0" r="9490">
      <c r="A9490" s="3" t="inlineStr">
        <is>
          <t>9454</t>
        </is>
      </c>
      <c r="B9490" s="4" t="s">
        <f>=HYPERLINK("http://anyluxury.ru/shop/odezhda/kurtki/kurtka-na-steganoy-podkladke-robyn-temnozelenaya-02109266/" , "02109266 Куртка на стеганой подкладке Robyn, темно-зеленая, размер M")</f>
      </c>
      <c r="C9490" s="4" t="n">
        <v>5654.00</v>
      </c>
      <c r="D9490" s="4"/>
    </row>
    <row collapsed="" customFormat="false" customHeight="1" hidden="" ht="14" outlineLevel="0" r="9491">
      <c r="A9491" s="3" t="inlineStr">
        <is>
          <t>9455</t>
        </is>
      </c>
      <c r="B9491" s="4" t="s">
        <f>=HYPERLINK("http://anyluxury.ru/shop/odezhda/kurtki/kurtka-na-steganoy-podkladke-robyn-temnozelenaya-02109266/" , "02109266 Куртка на стеганой подкладке Robyn, темно-зеленая, размер XL")</f>
      </c>
      <c r="C9491" s="4" t="n">
        <v>5654.00</v>
      </c>
      <c r="D9491" s="4"/>
    </row>
    <row collapsed="" customFormat="false" customHeight="1" hidden="" ht="14" outlineLevel="0" r="9492">
      <c r="A9492" s="3" t="inlineStr">
        <is>
          <t>9456</t>
        </is>
      </c>
      <c r="B9492" s="4" t="s">
        <f>=HYPERLINK("http://anyluxury.ru/shop/odezhda/kurtki/kurtka-na-steganoy-podkladke-robyn-temnozelenaya-02109266/" , "02109266 Куртка на стеганой подкладке Robyn, темно-зеленая, размер XXL")</f>
      </c>
      <c r="C9492" s="4" t="n">
        <v>5654.00</v>
      </c>
      <c r="D9492" s="4"/>
    </row>
    <row collapsed="" customFormat="false" customHeight="1" hidden="" ht="14" outlineLevel="0" r="9493">
      <c r="A9493" s="3" t="inlineStr">
        <is>
          <t>9457</t>
        </is>
      </c>
      <c r="B9493" s="4" t="s">
        <f>=HYPERLINK("http://anyluxury.ru/shop/odezhda/kurtki/kurtka-na-steganoy-podkladke-robyn-temnozelenaya-02109266/" , "02109266 Куртка на стеганой подкладке Robyn, темно-зеленая, размер 3XL")</f>
      </c>
      <c r="C9493" s="4" t="n">
        <v>6305.00</v>
      </c>
      <c r="D9493" s="4"/>
    </row>
    <row collapsed="" customFormat="false" customHeight="1" hidden="" ht="14" outlineLevel="0" r="9494">
      <c r="A9494" s="3" t="inlineStr">
        <is>
          <t>9458</t>
        </is>
      </c>
      <c r="B9494" s="4" t="s">
        <f>=HYPERLINK("http://anyluxury.ru/shop/odezhda/kurtki/kurtka-na-steganoy-podkladke-robyn-temnozelenaya-02109266/" , "02109266 Куртка на стеганой подкладке Robyn, темно-зеленая, размер 4XL")</f>
      </c>
      <c r="C9494" s="4" t="n">
        <v>6305.00</v>
      </c>
      <c r="D9494" s="4"/>
    </row>
    <row collapsed="" customFormat="false" customHeight="1" hidden="" ht="14" outlineLevel="0" r="9495">
      <c r="A9495" s="3" t="inlineStr">
        <is>
          <t>9459</t>
        </is>
      </c>
      <c r="B9495" s="4" t="s">
        <f>=HYPERLINK("http://anyluxury.ru/shop/odezhda/kurtki/kurtka-kompaktnaya-muzhskaya-stavanger-chernaya-1161331/" , "11613.31 Куртка компактная мужская Stavanger черная с серым, размер S")</f>
      </c>
      <c r="C9495" s="4" t="n">
        <v>12164.00</v>
      </c>
      <c r="D9495" s="4"/>
    </row>
    <row collapsed="" customFormat="false" customHeight="1" hidden="" ht="14" outlineLevel="0" r="9496">
      <c r="A9496" s="3" t="inlineStr">
        <is>
          <t>9460</t>
        </is>
      </c>
      <c r="B9496" s="4" t="s">
        <f>=HYPERLINK("http://anyluxury.ru/shop/odezhda/kurtki/kurtka-kompaktnaya-muzhskaya-stavanger-chernaya-1161331/" , "11613.31 Куртка компактная мужская Stavanger черная с серым, размер M")</f>
      </c>
      <c r="C9496" s="4" t="n">
        <v>12164.00</v>
      </c>
      <c r="D9496" s="4"/>
    </row>
    <row collapsed="" customFormat="false" customHeight="1" hidden="" ht="14" outlineLevel="0" r="9497">
      <c r="A9497" s="3" t="inlineStr">
        <is>
          <t>9461</t>
        </is>
      </c>
      <c r="B9497" s="4" t="s">
        <f>=HYPERLINK("http://anyluxury.ru/shop/odezhda/kurtki/kurtka-kompaktnaya-muzhskaya-stavanger-chernaya-1161331/" , "11613.31 Куртка компактная мужская Stavanger черная с серым, размер L")</f>
      </c>
      <c r="C9497" s="4" t="n">
        <v>12164.00</v>
      </c>
      <c r="D9497" s="4"/>
    </row>
    <row collapsed="" customFormat="false" customHeight="1" hidden="" ht="14" outlineLevel="0" r="9498">
      <c r="A9498" s="3" t="inlineStr">
        <is>
          <t>9462</t>
        </is>
      </c>
      <c r="B9498" s="4" t="s">
        <f>=HYPERLINK("http://anyluxury.ru/shop/odezhda/kurtki/kurtka-kompaktnaya-muzhskaya-stavanger-chernaya-1161331/" , "11613.31 Куртка компактная мужская Stavanger черная с серым, размер XXL")</f>
      </c>
      <c r="C9498" s="4" t="n">
        <v>12164.00</v>
      </c>
      <c r="D9498" s="4"/>
    </row>
    <row collapsed="" customFormat="false" customHeight="1" hidden="" ht="14" outlineLevel="0" r="9499">
      <c r="A9499" s="3" t="inlineStr">
        <is>
          <t>9463</t>
        </is>
      </c>
      <c r="B9499" s="4" t="s">
        <f>=HYPERLINK("http://anyluxury.ru/shop/odezhda/kurtki/kurtka-kompaktnaya-muzhskaya-stavanger-chernaya-1161331/" , "11613.31 Куртка компактная мужская Stavanger черная с серым, размер 3XL")</f>
      </c>
      <c r="C9499" s="4" t="n">
        <v>12164.00</v>
      </c>
      <c r="D9499" s="4"/>
    </row>
    <row collapsed="" customFormat="false" customHeight="1" hidden="" ht="14" outlineLevel="0" r="9500">
      <c r="A9500" s="3" t="inlineStr">
        <is>
          <t>9464</t>
        </is>
      </c>
      <c r="B9500" s="4" t="s">
        <f>=HYPERLINK("http://anyluxury.ru/shop/odezhda/kurtki/kurtka-kompaktnaya-muzhskaya-stavanger-chernaya-1161331/" , "11613.31 Куртка компактная мужская Stavanger черная с серым, размер 4XL")</f>
      </c>
      <c r="C9500" s="4" t="n">
        <v>12164.00</v>
      </c>
      <c r="D9500" s="4"/>
    </row>
    <row collapsed="" customFormat="false" customHeight="1" hidden="" ht="14" outlineLevel="0" r="9501">
      <c r="A9501" s="3" t="inlineStr">
        <is>
          <t>9465</t>
        </is>
      </c>
      <c r="B9501" s="4" t="s">
        <f>=HYPERLINK("http://anyluxury.ru/shop/odezhda/kurtki/kurtka-kompaktnaya-muzhskaya-stavanger-temnosinyaya-1161341/" , "11613.41 Куртка компактная мужская Stavanger темно-синяя с серым, размер M")</f>
      </c>
      <c r="C9501" s="4" t="n">
        <v>12164.00</v>
      </c>
      <c r="D9501" s="4"/>
    </row>
    <row collapsed="" customFormat="false" customHeight="1" hidden="" ht="14" outlineLevel="0" r="9502">
      <c r="A9502" s="3" t="inlineStr">
        <is>
          <t>9466</t>
        </is>
      </c>
      <c r="B9502" s="4" t="s">
        <f>=HYPERLINK("http://anyluxury.ru/shop/odezhda/kurtki/kurtka-kompaktnaya-muzhskaya-stavanger-temnosinyaya-1161341/" , "11613.41 Куртка компактная мужская Stavanger темно-синяя с серым, размер XL")</f>
      </c>
      <c r="C9502" s="4" t="n">
        <v>12164.00</v>
      </c>
      <c r="D9502" s="4"/>
    </row>
    <row collapsed="" customFormat="false" customHeight="1" hidden="" ht="14" outlineLevel="0" r="9503">
      <c r="A9503" s="3" t="inlineStr">
        <is>
          <t>9467</t>
        </is>
      </c>
      <c r="B9503" s="4" t="s">
        <f>=HYPERLINK("http://anyluxury.ru/shop/odezhda/kurtki/kurtka-kompaktnaya-muzhskaya-stavanger-temnosinyaya-1161341/" , "11613.41 Куртка компактная мужская Stavanger темно-синяя с серым, размер XXL")</f>
      </c>
      <c r="C9503" s="4" t="n">
        <v>12164.00</v>
      </c>
      <c r="D9503" s="4"/>
    </row>
    <row collapsed="" customFormat="false" customHeight="1" hidden="" ht="14" outlineLevel="0" r="9504">
      <c r="A9504" s="3" t="inlineStr">
        <is>
          <t>9468</t>
        </is>
      </c>
      <c r="B9504" s="4" t="s">
        <f>=HYPERLINK("http://anyluxury.ru/shop/odezhda/kurtki/kurtka-kompaktnaya-muzhskaya-stavanger-temnosinyaya-1161341/" , "11613.41 Куртка компактная мужская Stavanger темно-синяя с серым, размер 4XL")</f>
      </c>
      <c r="C9504" s="4" t="n">
        <v>12164.00</v>
      </c>
      <c r="D9504" s="4"/>
    </row>
    <row collapsed="" customFormat="false" customHeight="1" hidden="" ht="14" outlineLevel="0" r="9505">
      <c r="A9505" s="3" t="inlineStr">
        <is>
          <t>9469</t>
        </is>
      </c>
      <c r="B9505" s="4" t="s">
        <f>=HYPERLINK("http://anyluxury.ru/shop/odezhda/kurtki/kurtka-kompaktnaya-muzhskaya-stavanger-temnosinyaya-1161341/" , "11613.41 Куртка компактная мужская Stavanger темно-синяя с серым, размер 5XL")</f>
      </c>
      <c r="C9505" s="4" t="n">
        <v>12164.00</v>
      </c>
      <c r="D9505" s="4"/>
    </row>
    <row collapsed="" customFormat="false" customHeight="1" hidden="" ht="14" outlineLevel="0" r="9506">
      <c r="A9506" s="3" t="inlineStr">
        <is>
          <t>9470</t>
        </is>
      </c>
      <c r="B9506" s="4" t="s">
        <f>=HYPERLINK("http://anyluxury.ru/shop/odezhda/kurtki/parka-muzhskaya-explorer-seriy-melanzh-1161911/" , "11619.11 Парка мужская Explorer серый меланж, размер XL")</f>
      </c>
      <c r="C9506" s="4" t="n">
        <v>31058.00</v>
      </c>
      <c r="D9506" s="4"/>
    </row>
    <row collapsed="" customFormat="false" customHeight="1" hidden="" ht="14" outlineLevel="0" r="9507">
      <c r="A9507" s="3" t="inlineStr">
        <is>
          <t>9471</t>
        </is>
      </c>
      <c r="B9507" s="4" t="s">
        <f>=HYPERLINK("http://anyluxury.ru/shop/odezhda/kurtki/parka-zhenskaya-explorer-seriy-melanzh-1162011/" , "11620.11 Парка женская Explorer серый меланж, размер M")</f>
      </c>
      <c r="C9507" s="4" t="n">
        <v>31058.00</v>
      </c>
      <c r="D9507" s="4"/>
    </row>
    <row collapsed="" customFormat="false" customHeight="1" hidden="" ht="14" outlineLevel="0" r="9508">
      <c r="A9508" s="3" t="inlineStr">
        <is>
          <t>9472</t>
        </is>
      </c>
      <c r="B9508" s="4" t="s">
        <f>=HYPERLINK("http://anyluxury.ru/shop/odezhda/kurtki/parka-zhenskaya-explorer-seriy-melanzh-1162011/" , "11620.11 Парка женская Explorer серый меланж, размер L")</f>
      </c>
      <c r="C9508" s="4" t="n">
        <v>31058.00</v>
      </c>
      <c r="D9508" s="4"/>
    </row>
    <row collapsed="" customFormat="false" customHeight="1" hidden="" ht="14" outlineLevel="0" r="9509">
      <c r="A9509" s="3" t="inlineStr">
        <is>
          <t>9473</t>
        </is>
      </c>
      <c r="B9509" s="4" t="s">
        <f>=HYPERLINK("http://anyluxury.ru/shop/odezhda/kurtki/parka-zhenskaya-explorer-seriy-melanzh-1162011/" , "11620.11 Парка женская Explorer серый меланж, размер XL")</f>
      </c>
      <c r="C9509" s="4" t="n">
        <v>31058.00</v>
      </c>
      <c r="D9509" s="4"/>
    </row>
    <row collapsed="" customFormat="false" customHeight="1" hidden="" ht="14" outlineLevel="0" r="9510">
      <c r="A9510" s="3" t="inlineStr">
        <is>
          <t>9474</t>
        </is>
      </c>
      <c r="B9510" s="4" t="s">
        <f>=HYPERLINK("http://anyluxury.ru/shop/odezhda/kurtki/kurtkatransformer-muzhskaya-avalanche-temnoseraya-1162313/" , "11623.13 Куртка-трансформер мужская Avalanche темно-серая, размер S")</f>
      </c>
      <c r="C9510" s="4" t="n">
        <v>22966.00</v>
      </c>
      <c r="D9510" s="4"/>
    </row>
    <row collapsed="" customFormat="false" customHeight="1" hidden="" ht="14" outlineLevel="0" r="9511">
      <c r="A9511" s="3" t="inlineStr">
        <is>
          <t>9475</t>
        </is>
      </c>
      <c r="B9511" s="4" t="s">
        <f>=HYPERLINK("http://anyluxury.ru/shop/odezhda/kurtki/kurtkatransformer-muzhskaya-avalanche-temnoseraya-1162313/" , "11623.13 Куртка-трансформер мужская Avalanche темно-серая, размер M")</f>
      </c>
      <c r="C9511" s="4" t="n">
        <v>22966.00</v>
      </c>
      <c r="D9511" s="4"/>
    </row>
    <row collapsed="" customFormat="false" customHeight="1" hidden="" ht="14" outlineLevel="0" r="9512">
      <c r="A9512" s="3" t="inlineStr">
        <is>
          <t>9476</t>
        </is>
      </c>
      <c r="B9512" s="4" t="s">
        <f>=HYPERLINK("http://anyluxury.ru/shop/odezhda/kurtki/kurtkatransformer-muzhskaya-avalanche-temnoseraya-1162313/" , "11623.13 Куртка-трансформер мужская Avalanche темно-серая, размер L")</f>
      </c>
      <c r="C9512" s="4" t="n">
        <v>22966.00</v>
      </c>
      <c r="D9512" s="4"/>
    </row>
    <row collapsed="" customFormat="false" customHeight="1" hidden="" ht="14" outlineLevel="0" r="9513">
      <c r="A9513" s="3" t="inlineStr">
        <is>
          <t>9477</t>
        </is>
      </c>
      <c r="B9513" s="4" t="s">
        <f>=HYPERLINK("http://anyluxury.ru/shop/odezhda/kurtki/kurtkatransformer-muzhskaya-avalanche-temnoseraya-1162313/" , "11623.13 Куртка-трансформер мужская Avalanche темно-серая, размер XL")</f>
      </c>
      <c r="C9513" s="4" t="n">
        <v>22966.00</v>
      </c>
      <c r="D9513" s="4"/>
    </row>
    <row collapsed="" customFormat="false" customHeight="1" hidden="" ht="14" outlineLevel="0" r="9514">
      <c r="A9514" s="3" t="inlineStr">
        <is>
          <t>9478</t>
        </is>
      </c>
      <c r="B9514" s="4" t="s">
        <f>=HYPERLINK("http://anyluxury.ru/shop/odezhda/kurtki/kurtkatransformer-muzhskaya-avalanche-temnoseraya-1162313/" , "11623.13 Куртка-трансформер мужская Avalanche темно-серая, размер XXL")</f>
      </c>
      <c r="C9514" s="4" t="n">
        <v>22966.00</v>
      </c>
      <c r="D9514" s="4"/>
    </row>
    <row collapsed="" customFormat="false" customHeight="1" hidden="" ht="14" outlineLevel="0" r="9515">
      <c r="A9515" s="3" t="inlineStr">
        <is>
          <t>9479</t>
        </is>
      </c>
      <c r="B9515" s="4" t="s">
        <f>=HYPERLINK("http://anyluxury.ru/shop/odezhda/kurtki/kurtkatransformer-muzhskaya-avalanche-temnoseraya-1162313/" , "11623.13 Куртка-трансформер мужская Avalanche темно-серая, размер 3XL")</f>
      </c>
      <c r="C9515" s="4" t="n">
        <v>22966.00</v>
      </c>
      <c r="D9515" s="4"/>
    </row>
    <row collapsed="" customFormat="false" customHeight="1" hidden="" ht="14" outlineLevel="0" r="9516">
      <c r="A9516" s="3" t="inlineStr">
        <is>
          <t>9480</t>
        </is>
      </c>
      <c r="B9516" s="4" t="s">
        <f>=HYPERLINK("http://anyluxury.ru/shop/odezhda/kurtki/kurtka-softshell-muzhskaya-patrol-chernaya-s-krasnim-1162935/" , "11629.35 Куртка софтшелл мужская Patrol черная с красным, размер S")</f>
      </c>
      <c r="C9516" s="4" t="n">
        <v>21218.00</v>
      </c>
      <c r="D9516" s="4"/>
    </row>
    <row collapsed="" customFormat="false" customHeight="1" hidden="" ht="14" outlineLevel="0" r="9517">
      <c r="A9517" s="3" t="inlineStr">
        <is>
          <t>9481</t>
        </is>
      </c>
      <c r="B9517" s="4" t="s">
        <f>=HYPERLINK("http://anyluxury.ru/shop/odezhda/kurtki/kurtka-softshell-muzhskaya-patrol-chernaya-s-krasnim-1162935/" , "11629.35 Куртка софтшелл мужская Patrol черная с красным, размер M")</f>
      </c>
      <c r="C9517" s="4" t="n">
        <v>21218.00</v>
      </c>
      <c r="D9517" s="4"/>
    </row>
    <row collapsed="" customFormat="false" customHeight="1" hidden="" ht="14" outlineLevel="0" r="9518">
      <c r="A9518" s="3" t="inlineStr">
        <is>
          <t>9482</t>
        </is>
      </c>
      <c r="B9518" s="4" t="s">
        <f>=HYPERLINK("http://anyluxury.ru/shop/odezhda/kurtki/kurtka-softshell-muzhskaya-patrol-chernaya-s-krasnim-1162935/" , "11629.35 Куртка софтшелл мужская Patrol черная с красным, размер L")</f>
      </c>
      <c r="C9518" s="4" t="n">
        <v>21218.00</v>
      </c>
      <c r="D9518" s="4"/>
    </row>
    <row collapsed="" customFormat="false" customHeight="1" hidden="" ht="14" outlineLevel="0" r="9519">
      <c r="A9519" s="3" t="inlineStr">
        <is>
          <t>9483</t>
        </is>
      </c>
      <c r="B9519" s="4" t="s">
        <f>=HYPERLINK("http://anyluxury.ru/shop/odezhda/kurtki/kurtka-softshell-muzhskaya-patrol-chernaya-s-krasnim-1162935/" , "11629.35 Куртка софтшелл мужская Patrol черная с красным, размер XXL")</f>
      </c>
      <c r="C9519" s="4" t="n">
        <v>21218.00</v>
      </c>
      <c r="D9519" s="4"/>
    </row>
    <row collapsed="" customFormat="false" customHeight="1" hidden="" ht="14" outlineLevel="0" r="9520">
      <c r="A9520" s="3" t="inlineStr">
        <is>
          <t>9484</t>
        </is>
      </c>
      <c r="B9520" s="4" t="s">
        <f>=HYPERLINK("http://anyluxury.ru/shop/odezhda/kurtki/kurtka-softshell-muzhskaya-patrol-chernaya-s-serim-1162933/" , "11629.33 Куртка софтшелл мужская Patrol черная с серым, размер S")</f>
      </c>
      <c r="C9520" s="4" t="n">
        <v>21218.00</v>
      </c>
      <c r="D9520" s="4"/>
    </row>
    <row collapsed="" customFormat="false" customHeight="1" hidden="" ht="14" outlineLevel="0" r="9521">
      <c r="A9521" s="3" t="inlineStr">
        <is>
          <t>9485</t>
        </is>
      </c>
      <c r="B9521" s="4" t="s">
        <f>=HYPERLINK("http://anyluxury.ru/shop/odezhda/kurtki/kurtka-softshell-muzhskaya-patrol-chernaya-s-serim-1162933/" , "11629.33 Куртка софтшелл мужская Patrol черная с серым, размер M")</f>
      </c>
      <c r="C9521" s="4" t="n">
        <v>21218.00</v>
      </c>
      <c r="D9521" s="4"/>
    </row>
    <row collapsed="" customFormat="false" customHeight="1" hidden="" ht="14" outlineLevel="0" r="9522">
      <c r="A9522" s="3" t="inlineStr">
        <is>
          <t>9486</t>
        </is>
      </c>
      <c r="B9522" s="4" t="s">
        <f>=HYPERLINK("http://anyluxury.ru/shop/odezhda/kurtki/kurtka-softshell-muzhskaya-patrol-chernaya-s-serim-1162933/" , "11629.33 Куртка софтшелл мужская Patrol черная с серым, размер XXL")</f>
      </c>
      <c r="C9522" s="4" t="n">
        <v>21218.00</v>
      </c>
      <c r="D9522" s="4"/>
    </row>
    <row collapsed="" customFormat="false" customHeight="1" hidden="" ht="14" outlineLevel="0" r="9523">
      <c r="A9523" s="3" t="inlineStr">
        <is>
          <t>9487</t>
        </is>
      </c>
      <c r="B9523" s="4" t="s">
        <f>=HYPERLINK("http://anyluxury.ru/shop/odezhda/kurtki/kurtka-softshell-muzhskaya-patrol-chernaya-s-sinim-1162934/" , "11629.34 Куртка софтшелл мужская Patrol черная с синим, размер S")</f>
      </c>
      <c r="C9523" s="4" t="n">
        <v>21218.00</v>
      </c>
      <c r="D9523" s="4"/>
    </row>
    <row collapsed="" customFormat="false" customHeight="1" hidden="" ht="14" outlineLevel="0" r="9524">
      <c r="A9524" s="3" t="inlineStr">
        <is>
          <t>9488</t>
        </is>
      </c>
      <c r="B9524" s="4" t="s">
        <f>=HYPERLINK("http://anyluxury.ru/shop/odezhda/kurtki/kurtka-softshell-muzhskaya-patrol-chernaya-s-sinim-1162934/" , "11629.34 Куртка софтшелл мужская Patrol черная с синим, размер M")</f>
      </c>
      <c r="C9524" s="4" t="n">
        <v>21218.00</v>
      </c>
      <c r="D9524" s="4"/>
    </row>
    <row collapsed="" customFormat="false" customHeight="1" hidden="" ht="14" outlineLevel="0" r="9525">
      <c r="A9525" s="3" t="inlineStr">
        <is>
          <t>9489</t>
        </is>
      </c>
      <c r="B9525" s="4" t="s">
        <f>=HYPERLINK("http://anyluxury.ru/shop/odezhda/kurtki/kurtka-softshell-muzhskaya-patrol-chernaya-s-sinim-1162934/" , "11629.34 Куртка софтшелл мужская Patrol черная с синим, размер L")</f>
      </c>
      <c r="C9525" s="4" t="n">
        <v>21218.00</v>
      </c>
      <c r="D9525" s="4"/>
    </row>
    <row collapsed="" customFormat="false" customHeight="1" hidden="" ht="14" outlineLevel="0" r="9526">
      <c r="A9526" s="3" t="inlineStr">
        <is>
          <t>9490</t>
        </is>
      </c>
      <c r="B9526" s="4" t="s">
        <f>=HYPERLINK("http://anyluxury.ru/shop/odezhda/kurtki/kurtka-softshell-muzhskaya-patrol-chernaya-s-sinim-1162934/" , "11629.34 Куртка софтшелл мужская Patrol черная с синим, размер XL")</f>
      </c>
      <c r="C9526" s="4" t="n">
        <v>21218.00</v>
      </c>
      <c r="D9526" s="4"/>
    </row>
    <row collapsed="" customFormat="false" customHeight="1" hidden="" ht="14" outlineLevel="0" r="9527">
      <c r="A9527" s="3" t="inlineStr">
        <is>
          <t>9491</t>
        </is>
      </c>
      <c r="B9527" s="4" t="s">
        <f>=HYPERLINK("http://anyluxury.ru/shop/odezhda/kurtki/kurtka-softshell-muzhskaya-patrol-chernaya-s-sinim-1162934/" , "11629.34 Куртка софтшелл мужская Patrol черная с синим, размер XXL")</f>
      </c>
      <c r="C9527" s="4" t="n">
        <v>21218.00</v>
      </c>
      <c r="D9527" s="4"/>
    </row>
    <row collapsed="" customFormat="false" customHeight="1" hidden="" ht="14" outlineLevel="0" r="9528">
      <c r="A9528" s="3" t="inlineStr">
        <is>
          <t>9492</t>
        </is>
      </c>
      <c r="B9528" s="4" t="s">
        <f>=HYPERLINK("http://anyluxury.ru/shop/odezhda/kurtki/kurtka-softshell-muzhskaya-patrol-chernaya-s-sinim-1162934/" , "11629.34 Куртка софтшелл мужская Patrol черная с синим, размер 3XL")</f>
      </c>
      <c r="C9528" s="4" t="n">
        <v>21218.00</v>
      </c>
      <c r="D9528" s="4"/>
    </row>
    <row collapsed="" customFormat="false" customHeight="1" hidden="" ht="14" outlineLevel="0" r="9529">
      <c r="A9529" s="3" t="inlineStr">
        <is>
          <t>9493</t>
        </is>
      </c>
      <c r="B9529" s="4" t="s">
        <f>=HYPERLINK("http://anyluxury.ru/shop/odezhda/kurtki/kurtka-softshell-zhenskaya-patrol-chernaya-s-krasnim-1163135/" , "11631.35 Куртка софтшелл женская Patrol черная с красным, размер XS")</f>
      </c>
      <c r="C9529" s="4" t="n">
        <v>21218.00</v>
      </c>
      <c r="D9529" s="4"/>
    </row>
    <row collapsed="" customFormat="false" customHeight="1" hidden="" ht="14" outlineLevel="0" r="9530">
      <c r="A9530" s="3" t="inlineStr">
        <is>
          <t>9494</t>
        </is>
      </c>
      <c r="B9530" s="4" t="s">
        <f>=HYPERLINK("http://anyluxury.ru/shop/odezhda/kurtki/kurtka-softshell-zhenskaya-patrol-chernaya-s-krasnim-1163135/" , "11631.35 Куртка софтшелл женская Patrol черная с красным, размер S")</f>
      </c>
      <c r="C9530" s="4" t="n">
        <v>21218.00</v>
      </c>
      <c r="D9530" s="4"/>
    </row>
    <row collapsed="" customFormat="false" customHeight="1" hidden="" ht="14" outlineLevel="0" r="9531">
      <c r="A9531" s="3" t="inlineStr">
        <is>
          <t>9495</t>
        </is>
      </c>
      <c r="B9531" s="4" t="s">
        <f>=HYPERLINK("http://anyluxury.ru/shop/odezhda/kurtki/kurtka-softshell-zhenskaya-patrol-chernaya-s-krasnim-1163135/" , "11631.35 Куртка софтшелл женская Patrol черная с красным, размер M")</f>
      </c>
      <c r="C9531" s="4" t="n">
        <v>21218.00</v>
      </c>
      <c r="D9531" s="4"/>
    </row>
    <row collapsed="" customFormat="false" customHeight="1" hidden="" ht="14" outlineLevel="0" r="9532">
      <c r="A9532" s="3" t="inlineStr">
        <is>
          <t>9496</t>
        </is>
      </c>
      <c r="B9532" s="4" t="s">
        <f>=HYPERLINK("http://anyluxury.ru/shop/odezhda/kurtki/kurtka-softshell-zhenskaya-patrol-chernaya-s-krasnim-1163135/" , "11631.35 Куртка софтшелл женская Patrol черная с красным, размер L")</f>
      </c>
      <c r="C9532" s="4" t="n">
        <v>21218.00</v>
      </c>
      <c r="D9532" s="4"/>
    </row>
    <row collapsed="" customFormat="false" customHeight="1" hidden="" ht="14" outlineLevel="0" r="9533">
      <c r="A9533" s="3" t="inlineStr">
        <is>
          <t>9497</t>
        </is>
      </c>
      <c r="B9533" s="4" t="s">
        <f>=HYPERLINK("http://anyluxury.ru/shop/odezhda/kurtki/kurtka-softshell-zhenskaya-patrol-chernaya-s-krasnim-1163135/" , "11631.35 Куртка софтшелл женская Patrol черная с красным, размер XL")</f>
      </c>
      <c r="C9533" s="4" t="n">
        <v>21218.00</v>
      </c>
      <c r="D9533" s="4"/>
    </row>
    <row collapsed="" customFormat="false" customHeight="1" hidden="" ht="14" outlineLevel="0" r="9534">
      <c r="A9534" s="3" t="inlineStr">
        <is>
          <t>9498</t>
        </is>
      </c>
      <c r="B9534" s="4" t="s">
        <f>=HYPERLINK("http://anyluxury.ru/shop/odezhda/kurtki/kurtka-softshell-zhenskaya-patrol-chernaya-s-krasnim-1163135/" , "11631.35 Куртка софтшелл женская Patrol черная с красным, размер XXL")</f>
      </c>
      <c r="C9534" s="4" t="n">
        <v>21218.00</v>
      </c>
      <c r="D9534" s="4"/>
    </row>
    <row collapsed="" customFormat="false" customHeight="1" hidden="" ht="14" outlineLevel="0" r="9535">
      <c r="A9535" s="3" t="inlineStr">
        <is>
          <t>9499</t>
        </is>
      </c>
      <c r="B9535" s="4" t="s">
        <f>=HYPERLINK("http://anyluxury.ru/shop/odezhda/kurtki/kurtka-softshell-zhenskaya-patrol-chernaya-s-serim-1163133/" , "11631.33 Куртка софтшелл женская Patrol черная с серым, размер XS")</f>
      </c>
      <c r="C9535" s="4" t="n">
        <v>21218.00</v>
      </c>
      <c r="D9535" s="4"/>
    </row>
    <row collapsed="" customFormat="false" customHeight="1" hidden="" ht="14" outlineLevel="0" r="9536">
      <c r="A9536" s="3" t="inlineStr">
        <is>
          <t>9500</t>
        </is>
      </c>
      <c r="B9536" s="4" t="s">
        <f>=HYPERLINK("http://anyluxury.ru/shop/odezhda/kurtki/kurtka-softshell-zhenskaya-patrol-chernaya-s-serim-1163133/" , "11631.33 Куртка софтшелл женская Patrol черная с серым, размер S")</f>
      </c>
      <c r="C9536" s="4" t="n">
        <v>21218.00</v>
      </c>
      <c r="D9536" s="4"/>
    </row>
    <row collapsed="" customFormat="false" customHeight="1" hidden="" ht="14" outlineLevel="0" r="9537">
      <c r="A9537" s="3" t="inlineStr">
        <is>
          <t>9501</t>
        </is>
      </c>
      <c r="B9537" s="4" t="s">
        <f>=HYPERLINK("http://anyluxury.ru/shop/odezhda/kurtki/kurtka-softshell-zhenskaya-patrol-chernaya-s-serim-1163133/" , "11631.33 Куртка софтшелл женская Patrol черная с серым, размер M")</f>
      </c>
      <c r="C9537" s="4" t="n">
        <v>21218.00</v>
      </c>
      <c r="D9537" s="4"/>
    </row>
    <row collapsed="" customFormat="false" customHeight="1" hidden="" ht="14" outlineLevel="0" r="9538">
      <c r="A9538" s="3" t="inlineStr">
        <is>
          <t>9502</t>
        </is>
      </c>
      <c r="B9538" s="4" t="s">
        <f>=HYPERLINK("http://anyluxury.ru/shop/odezhda/kurtki/kurtka-softshell-zhenskaya-patrol-chernaya-s-serim-1163133/" , "11631.33 Куртка софтшелл женская Patrol черная с серым, размер XL")</f>
      </c>
      <c r="C9538" s="4" t="n">
        <v>21218.00</v>
      </c>
      <c r="D9538" s="4"/>
    </row>
    <row collapsed="" customFormat="false" customHeight="1" hidden="" ht="14" outlineLevel="0" r="9539">
      <c r="A9539" s="3" t="inlineStr">
        <is>
          <t>9503</t>
        </is>
      </c>
      <c r="B9539" s="4" t="s">
        <f>=HYPERLINK("http://anyluxury.ru/shop/odezhda/kurtki/kurtka-softshell-zhenskaya-patrol-chernaya-s-sinim-1163134/" , "11631.34 Куртка софтшелл женская Patrol черная с синим, размер M")</f>
      </c>
      <c r="C9539" s="4" t="n">
        <v>21218.00</v>
      </c>
      <c r="D9539" s="4"/>
    </row>
    <row collapsed="" customFormat="false" customHeight="1" hidden="" ht="14" outlineLevel="0" r="9540">
      <c r="A9540" s="3" t="inlineStr">
        <is>
          <t>9504</t>
        </is>
      </c>
      <c r="B9540" s="4" t="s">
        <f>=HYPERLINK("http://anyluxury.ru/shop/odezhda/kurtki/kurtka-softshell-zhenskaya-patrol-chernaya-s-sinim-1163134/" , "11631.34 Куртка софтшелл женская Patrol черная с синим, размер XL")</f>
      </c>
      <c r="C9540" s="4" t="n">
        <v>21218.00</v>
      </c>
      <c r="D9540" s="4"/>
    </row>
    <row collapsed="" customFormat="false" customHeight="1" hidden="" ht="14" outlineLevel="0" r="9541">
      <c r="A9541" s="3" t="inlineStr">
        <is>
          <t>9505</t>
        </is>
      </c>
      <c r="B9541" s="4" t="s">
        <f>=HYPERLINK("http://anyluxury.ru/shop/odezhda/kurtki/kurtkatransformer-muzhskaya-matrix-chernaya-s-krasnim-1163035/" , "11630.35 Куртка-трансформер мужская Matrix черная с красным, размер S")</f>
      </c>
      <c r="C9541" s="4" t="n">
        <v>26989.00</v>
      </c>
      <c r="D9541" s="4"/>
    </row>
    <row collapsed="" customFormat="false" customHeight="1" hidden="" ht="14" outlineLevel="0" r="9542">
      <c r="A9542" s="3" t="inlineStr">
        <is>
          <t>9506</t>
        </is>
      </c>
      <c r="B9542" s="4" t="s">
        <f>=HYPERLINK("http://anyluxury.ru/shop/odezhda/kurtki/kurtkatransformer-muzhskaya-matrix-chernaya-s-krasnim-1163035/" , "11630.35 Куртка-трансформер мужская Matrix черная с красным, размер M")</f>
      </c>
      <c r="C9542" s="4" t="n">
        <v>26989.00</v>
      </c>
      <c r="D9542" s="4"/>
    </row>
    <row collapsed="" customFormat="false" customHeight="1" hidden="" ht="14" outlineLevel="0" r="9543">
      <c r="A9543" s="3" t="inlineStr">
        <is>
          <t>9507</t>
        </is>
      </c>
      <c r="B9543" s="4" t="s">
        <f>=HYPERLINK("http://anyluxury.ru/shop/odezhda/kurtki/kurtkatransformer-muzhskaya-matrix-chernaya-s-krasnim-1163035/" , "11630.35 Куртка-трансформер мужская Matrix черная с красным, размер L")</f>
      </c>
      <c r="C9543" s="4" t="n">
        <v>26989.00</v>
      </c>
      <c r="D9543" s="4"/>
    </row>
    <row collapsed="" customFormat="false" customHeight="1" hidden="" ht="14" outlineLevel="0" r="9544">
      <c r="A9544" s="3" t="inlineStr">
        <is>
          <t>9508</t>
        </is>
      </c>
      <c r="B9544" s="4" t="s">
        <f>=HYPERLINK("http://anyluxury.ru/shop/odezhda/kurtki/kurtkatransformer-muzhskaya-matrix-chernaya-s-krasnim-1163035/" , "11630.35 Куртка-трансформер мужская Matrix черная с красным, размер XL")</f>
      </c>
      <c r="C9544" s="4" t="n">
        <v>26989.00</v>
      </c>
      <c r="D9544" s="4"/>
    </row>
    <row collapsed="" customFormat="false" customHeight="1" hidden="" ht="14" outlineLevel="0" r="9545">
      <c r="A9545" s="3" t="inlineStr">
        <is>
          <t>9509</t>
        </is>
      </c>
      <c r="B9545" s="4" t="s">
        <f>=HYPERLINK("http://anyluxury.ru/shop/odezhda/kurtki/kurtkatransformer-muzhskaya-matrix-chernaya-s-krasnim-1163035/" , "11630.35 Куртка-трансформер мужская Matrix черная с красным, размер XXL")</f>
      </c>
      <c r="C9545" s="4" t="n">
        <v>26989.00</v>
      </c>
      <c r="D9545" s="4"/>
    </row>
    <row collapsed="" customFormat="false" customHeight="1" hidden="" ht="14" outlineLevel="0" r="9546">
      <c r="A9546" s="3" t="inlineStr">
        <is>
          <t>9510</t>
        </is>
      </c>
      <c r="B9546" s="4" t="s">
        <f>=HYPERLINK("http://anyluxury.ru/shop/odezhda/kurtki/kurtkatransformer-muzhskaya-matrix-chernaya-s-krasnim-1163035/" , "11630.35 Куртка-трансформер мужская Matrix черная с красным, размер 3XL")</f>
      </c>
      <c r="C9546" s="4" t="n">
        <v>26989.00</v>
      </c>
      <c r="D9546" s="4"/>
    </row>
    <row collapsed="" customFormat="false" customHeight="1" hidden="" ht="14" outlineLevel="0" r="9547">
      <c r="A9547" s="3" t="inlineStr">
        <is>
          <t>9511</t>
        </is>
      </c>
      <c r="B9547" s="4" t="s">
        <f>=HYPERLINK("http://anyluxury.ru/shop/odezhda/kurtki/kurtkatransformer-muzhskaya-matrix-seraya-s-chernim-1163013/" , "11630.13 Куртка-трансформер мужская Matrix серая с черным, размер S")</f>
      </c>
      <c r="C9547" s="4" t="n">
        <v>26989.00</v>
      </c>
      <c r="D9547" s="4"/>
    </row>
    <row collapsed="" customFormat="false" customHeight="1" hidden="" ht="14" outlineLevel="0" r="9548">
      <c r="A9548" s="3" t="inlineStr">
        <is>
          <t>9512</t>
        </is>
      </c>
      <c r="B9548" s="4" t="s">
        <f>=HYPERLINK("http://anyluxury.ru/shop/odezhda/kurtki/kurtkatransformer-muzhskaya-matrix-seraya-s-chernim-1163013/" , "11630.13 Куртка-трансформер мужская Matrix серая с черным, размер M")</f>
      </c>
      <c r="C9548" s="4" t="n">
        <v>26989.00</v>
      </c>
      <c r="D9548" s="4"/>
    </row>
    <row collapsed="" customFormat="false" customHeight="1" hidden="" ht="14" outlineLevel="0" r="9549">
      <c r="A9549" s="3" t="inlineStr">
        <is>
          <t>9513</t>
        </is>
      </c>
      <c r="B9549" s="4" t="s">
        <f>=HYPERLINK("http://anyluxury.ru/shop/odezhda/kurtki/kurtkatransformer-muzhskaya-matrix-seraya-s-chernim-1163013/" , "11630.13 Куртка-трансформер мужская Matrix серая с черным, размер L")</f>
      </c>
      <c r="C9549" s="4" t="n">
        <v>26989.00</v>
      </c>
      <c r="D9549" s="4"/>
    </row>
    <row collapsed="" customFormat="false" customHeight="1" hidden="" ht="14" outlineLevel="0" r="9550">
      <c r="A9550" s="3" t="inlineStr">
        <is>
          <t>9514</t>
        </is>
      </c>
      <c r="B9550" s="4" t="s">
        <f>=HYPERLINK("http://anyluxury.ru/shop/odezhda/kurtki/kurtkatransformer-muzhskaya-matrix-seraya-s-chernim-1163013/" , "11630.13 Куртка-трансформер мужская Matrix серая с черным, размер XL")</f>
      </c>
      <c r="C9550" s="4" t="n">
        <v>26989.00</v>
      </c>
      <c r="D9550" s="4"/>
    </row>
    <row collapsed="" customFormat="false" customHeight="1" hidden="" ht="14" outlineLevel="0" r="9551">
      <c r="A9551" s="3" t="inlineStr">
        <is>
          <t>9515</t>
        </is>
      </c>
      <c r="B9551" s="4" t="s">
        <f>=HYPERLINK("http://anyluxury.ru/shop/odezhda/kurtki/kurtkatransformer-muzhskaya-matrix-seraya-s-chernim-1163013/" , "11630.13 Куртка-трансформер мужская Matrix серая с черным, размер XXL")</f>
      </c>
      <c r="C9551" s="4" t="n">
        <v>26989.00</v>
      </c>
      <c r="D9551" s="4"/>
    </row>
    <row collapsed="" customFormat="false" customHeight="1" hidden="" ht="14" outlineLevel="0" r="9552">
      <c r="A9552" s="3" t="inlineStr">
        <is>
          <t>9516</t>
        </is>
      </c>
      <c r="B9552" s="4" t="s">
        <f>=HYPERLINK("http://anyluxury.ru/shop/odezhda/kurtki/kurtkatransformer-muzhskaya-matrix-seraya-s-chernim-1163013/" , "11630.13 Куртка-трансформер мужская Matrix серая с черным, размер 3XL")</f>
      </c>
      <c r="C9552" s="4" t="n">
        <v>26989.00</v>
      </c>
      <c r="D9552" s="4"/>
    </row>
    <row collapsed="" customFormat="false" customHeight="1" hidden="" ht="14" outlineLevel="0" r="9553">
      <c r="A9553" s="3" t="inlineStr">
        <is>
          <t>9517</t>
        </is>
      </c>
      <c r="B9553" s="4" t="s">
        <f>=HYPERLINK("http://anyluxury.ru/shop/odezhda/kurtki/kurtkatransformer-muzhskaya-matrix-seraya-s-chernim-1163013/" , "11630.13 Куртка-трансформер мужская Matrix серая с черным, размер 5XL")</f>
      </c>
      <c r="C9553" s="4" t="n">
        <v>26989.00</v>
      </c>
      <c r="D9553" s="4"/>
    </row>
    <row collapsed="" customFormat="false" customHeight="1" hidden="" ht="14" outlineLevel="0" r="9554">
      <c r="A9554" s="3" t="inlineStr">
        <is>
          <t>9518</t>
        </is>
      </c>
      <c r="B9554" s="4" t="s">
        <f>=HYPERLINK("http://anyluxury.ru/shop/odezhda/kurtki/kurtkatransformer-muzhskaya-matrix-temnosinyaya-1163040/" , "11630.40 Куртка-трансформер мужская Matrix темно-синяя, размер S")</f>
      </c>
      <c r="C9554" s="4" t="n">
        <v>26989.00</v>
      </c>
      <c r="D9554" s="4"/>
    </row>
    <row collapsed="" customFormat="false" customHeight="1" hidden="" ht="14" outlineLevel="0" r="9555">
      <c r="A9555" s="3" t="inlineStr">
        <is>
          <t>9519</t>
        </is>
      </c>
      <c r="B9555" s="4" t="s">
        <f>=HYPERLINK("http://anyluxury.ru/shop/odezhda/kurtki/kurtkatransformer-muzhskaya-matrix-temnosinyaya-1163040/" , "11630.40 Куртка-трансформер мужская Matrix темно-синяя, размер M")</f>
      </c>
      <c r="C9555" s="4" t="n">
        <v>26989.00</v>
      </c>
      <c r="D9555" s="4"/>
    </row>
    <row collapsed="" customFormat="false" customHeight="1" hidden="" ht="14" outlineLevel="0" r="9556">
      <c r="A9556" s="3" t="inlineStr">
        <is>
          <t>9520</t>
        </is>
      </c>
      <c r="B9556" s="4" t="s">
        <f>=HYPERLINK("http://anyluxury.ru/shop/odezhda/kurtki/kurtkatransformer-muzhskaya-matrix-temnosinyaya-1163040/" , "11630.40 Куртка-трансформер мужская Matrix темно-синяя, размер L")</f>
      </c>
      <c r="C9556" s="4" t="n">
        <v>26989.00</v>
      </c>
      <c r="D9556" s="4"/>
    </row>
    <row collapsed="" customFormat="false" customHeight="1" hidden="" ht="14" outlineLevel="0" r="9557">
      <c r="A9557" s="3" t="inlineStr">
        <is>
          <t>9521</t>
        </is>
      </c>
      <c r="B9557" s="4" t="s">
        <f>=HYPERLINK("http://anyluxury.ru/shop/odezhda/kurtki/kurtkatransformer-muzhskaya-matrix-temnosinyaya-1163040/" , "11630.40 Куртка-трансформер мужская Matrix темно-синяя, размер XL")</f>
      </c>
      <c r="C9557" s="4" t="n">
        <v>26989.00</v>
      </c>
      <c r="D9557" s="4"/>
    </row>
    <row collapsed="" customFormat="false" customHeight="1" hidden="" ht="14" outlineLevel="0" r="9558">
      <c r="A9558" s="3" t="inlineStr">
        <is>
          <t>9522</t>
        </is>
      </c>
      <c r="B9558" s="4" t="s">
        <f>=HYPERLINK("http://anyluxury.ru/shop/odezhda/kurtki/kurtkatransformer-muzhskaya-matrix-temnosinyaya-1163040/" , "11630.40 Куртка-трансформер мужская Matrix темно-синяя, размер XXL")</f>
      </c>
      <c r="C9558" s="4" t="n">
        <v>26989.00</v>
      </c>
      <c r="D9558" s="4"/>
    </row>
    <row collapsed="" customFormat="false" customHeight="1" hidden="" ht="14" outlineLevel="0" r="9559">
      <c r="A9559" s="3" t="inlineStr">
        <is>
          <t>9523</t>
        </is>
      </c>
      <c r="B9559" s="4" t="s">
        <f>=HYPERLINK("http://anyluxury.ru/shop/odezhda/kurtki/kurtkatransformer-muzhskaya-matrix-temnosinyaya-1163040/" , "11630.40 Куртка-трансформер мужская Matrix темно-синяя, размер 3XL")</f>
      </c>
      <c r="C9559" s="4" t="n">
        <v>26989.00</v>
      </c>
      <c r="D9559" s="4"/>
    </row>
    <row collapsed="" customFormat="false" customHeight="1" hidden="" ht="14" outlineLevel="0" r="9560">
      <c r="A9560" s="3" t="inlineStr">
        <is>
          <t>9524</t>
        </is>
      </c>
      <c r="B9560" s="4" t="s">
        <f>=HYPERLINK("http://anyluxury.ru/shop/odezhda/kurtki/kurtkatransformer-zhenskaya-matrix-chernaya-s-krasnim-1163235/" , "11632.35 Куртка-трансформер женская Matrix черная с красным, размер S")</f>
      </c>
      <c r="C9560" s="4" t="n">
        <v>26990.00</v>
      </c>
      <c r="D9560" s="4"/>
    </row>
    <row collapsed="" customFormat="false" customHeight="1" hidden="" ht="14" outlineLevel="0" r="9561">
      <c r="A9561" s="3" t="inlineStr">
        <is>
          <t>9525</t>
        </is>
      </c>
      <c r="B9561" s="4" t="s">
        <f>=HYPERLINK("http://anyluxury.ru/shop/odezhda/kurtki/kurtkatransformer-zhenskaya-matrix-chernaya-s-krasnim-1163235/" , "11632.35 Куртка-трансформер женская Matrix черная с красным, размер M")</f>
      </c>
      <c r="C9561" s="4" t="n">
        <v>26990.00</v>
      </c>
      <c r="D9561" s="4"/>
    </row>
    <row collapsed="" customFormat="false" customHeight="1" hidden="" ht="14" outlineLevel="0" r="9562">
      <c r="A9562" s="3" t="inlineStr">
        <is>
          <t>9526</t>
        </is>
      </c>
      <c r="B9562" s="4" t="s">
        <f>=HYPERLINK("http://anyluxury.ru/shop/odezhda/kurtki/kurtkatransformer-zhenskaya-matrix-chernaya-s-krasnim-1163235/" , "11632.35 Куртка-трансформер женская Matrix черная с красным, размер L")</f>
      </c>
      <c r="C9562" s="4" t="n">
        <v>26990.00</v>
      </c>
      <c r="D9562" s="4"/>
    </row>
    <row collapsed="" customFormat="false" customHeight="1" hidden="" ht="14" outlineLevel="0" r="9563">
      <c r="A9563" s="3" t="inlineStr">
        <is>
          <t>9527</t>
        </is>
      </c>
      <c r="B9563" s="4" t="s">
        <f>=HYPERLINK("http://anyluxury.ru/shop/odezhda/kurtki/kurtkatransformer-zhenskaya-matrix-chernaya-s-krasnim-1163235/" , "11632.35 Куртка-трансформер женская Matrix черная с красным, размер XL")</f>
      </c>
      <c r="C9563" s="4" t="n">
        <v>26990.00</v>
      </c>
      <c r="D9563" s="4"/>
    </row>
    <row collapsed="" customFormat="false" customHeight="1" hidden="" ht="14" outlineLevel="0" r="9564">
      <c r="A9564" s="3" t="inlineStr">
        <is>
          <t>9528</t>
        </is>
      </c>
      <c r="B9564" s="4" t="s">
        <f>=HYPERLINK("http://anyluxury.ru/shop/odezhda/kurtki/kurtkatransformer-zhenskaya-matrix-seraya-s-chernim-1163213/" , "11632.13 Куртка-трансформер женская Matrix серая с черным, размер XS")</f>
      </c>
      <c r="C9564" s="4" t="n">
        <v>26990.00</v>
      </c>
      <c r="D9564" s="4"/>
    </row>
    <row collapsed="" customFormat="false" customHeight="1" hidden="" ht="14" outlineLevel="0" r="9565">
      <c r="A9565" s="3" t="inlineStr">
        <is>
          <t>9529</t>
        </is>
      </c>
      <c r="B9565" s="4" t="s">
        <f>=HYPERLINK("http://anyluxury.ru/shop/odezhda/kurtki/kurtkatransformer-zhenskaya-matrix-seraya-s-chernim-1163213/" , "11632.13 Куртка-трансформер женская Matrix серая с черным, размер S")</f>
      </c>
      <c r="C9565" s="4" t="n">
        <v>26990.00</v>
      </c>
      <c r="D9565" s="4"/>
    </row>
    <row collapsed="" customFormat="false" customHeight="1" hidden="" ht="14" outlineLevel="0" r="9566">
      <c r="A9566" s="3" t="inlineStr">
        <is>
          <t>9530</t>
        </is>
      </c>
      <c r="B9566" s="4" t="s">
        <f>=HYPERLINK("http://anyluxury.ru/shop/odezhda/kurtki/kurtkatransformer-zhenskaya-matrix-seraya-s-chernim-1163213/" , "11632.13 Куртка-трансформер женская Matrix серая с черным, размер M")</f>
      </c>
      <c r="C9566" s="4" t="n">
        <v>26990.00</v>
      </c>
      <c r="D9566" s="4"/>
    </row>
    <row collapsed="" customFormat="false" customHeight="1" hidden="" ht="14" outlineLevel="0" r="9567">
      <c r="A9567" s="3" t="inlineStr">
        <is>
          <t>9531</t>
        </is>
      </c>
      <c r="B9567" s="4" t="s">
        <f>=HYPERLINK("http://anyluxury.ru/shop/odezhda/kurtki/kurtkatransformer-zhenskaya-matrix-seraya-s-chernim-1163213/" , "11632.13 Куртка-трансформер женская Matrix серая с черным, размер L")</f>
      </c>
      <c r="C9567" s="4" t="n">
        <v>26990.00</v>
      </c>
      <c r="D9567" s="4"/>
    </row>
    <row collapsed="" customFormat="false" customHeight="1" hidden="" ht="14" outlineLevel="0" r="9568">
      <c r="A9568" s="3" t="inlineStr">
        <is>
          <t>9532</t>
        </is>
      </c>
      <c r="B9568" s="4" t="s">
        <f>=HYPERLINK("http://anyluxury.ru/shop/odezhda/kurtki/kurtkatransformer-zhenskaya-matrix-seraya-s-chernim-1163213/" , "11632.13 Куртка-трансформер женская Matrix серая с черным, размер XL")</f>
      </c>
      <c r="C9568" s="4" t="n">
        <v>26990.00</v>
      </c>
      <c r="D9568" s="4"/>
    </row>
    <row collapsed="" customFormat="false" customHeight="1" hidden="" ht="14" outlineLevel="0" r="9569">
      <c r="A9569" s="3" t="inlineStr">
        <is>
          <t>9533</t>
        </is>
      </c>
      <c r="B9569" s="4" t="s">
        <f>=HYPERLINK("http://anyluxury.ru/shop/odezhda/kurtki/kurtkatransformer-zhenskaya-matrix-seraya-s-chernim-1163213/" , "11632.13 Куртка-трансформер женская Matrix серая с черным, размер XXL")</f>
      </c>
      <c r="C9569" s="4" t="n">
        <v>26990.00</v>
      </c>
      <c r="D9569" s="4"/>
    </row>
    <row collapsed="" customFormat="false" customHeight="1" hidden="" ht="14" outlineLevel="0" r="9570">
      <c r="A9570" s="3" t="inlineStr">
        <is>
          <t>9534</t>
        </is>
      </c>
      <c r="B9570" s="4" t="s">
        <f>=HYPERLINK("http://anyluxury.ru/shop/odezhda/kurtki/kurtkatransformer-zhenskaya-matrix-seraya-s-chernim-1163213/" , "11632.13 Куртка-трансформер женская Matrix серая с черным, размер 3XL")</f>
      </c>
      <c r="C9570" s="4" t="n">
        <v>26990.00</v>
      </c>
      <c r="D9570" s="4"/>
    </row>
    <row collapsed="" customFormat="false" customHeight="1" hidden="" ht="14" outlineLevel="0" r="9571">
      <c r="A9571" s="3" t="inlineStr">
        <is>
          <t>9535</t>
        </is>
      </c>
      <c r="B9571" s="4" t="s">
        <f>=HYPERLINK("http://anyluxury.ru/shop/odezhda/kurtki/kurtkatransformer-zhenskaya-matrix-temnosinyaya-1163240/" , "11632.40 Куртка-трансформер женская Matrix темно-синяя, размер XS")</f>
      </c>
      <c r="C9571" s="4" t="n">
        <v>26990.00</v>
      </c>
      <c r="D9571" s="4"/>
    </row>
    <row collapsed="" customFormat="false" customHeight="1" hidden="" ht="14" outlineLevel="0" r="9572">
      <c r="A9572" s="3" t="inlineStr">
        <is>
          <t>9536</t>
        </is>
      </c>
      <c r="B9572" s="4" t="s">
        <f>=HYPERLINK("http://anyluxury.ru/shop/odezhda/kurtki/kurtkatransformer-zhenskaya-matrix-temnosinyaya-1163240/" , "11632.40 Куртка-трансформер женская Matrix темно-синяя, размер S")</f>
      </c>
      <c r="C9572" s="4" t="n">
        <v>26990.00</v>
      </c>
      <c r="D9572" s="4"/>
    </row>
    <row collapsed="" customFormat="false" customHeight="1" hidden="" ht="14" outlineLevel="0" r="9573">
      <c r="A9573" s="3" t="inlineStr">
        <is>
          <t>9537</t>
        </is>
      </c>
      <c r="B9573" s="4" t="s">
        <f>=HYPERLINK("http://anyluxury.ru/shop/odezhda/kurtki/kurtkatransformer-zhenskaya-matrix-temnosinyaya-1163240/" , "11632.40 Куртка-трансформер женская Matrix темно-синяя, размер M")</f>
      </c>
      <c r="C9573" s="4" t="n">
        <v>26990.00</v>
      </c>
      <c r="D9573" s="4"/>
    </row>
    <row collapsed="" customFormat="false" customHeight="1" hidden="" ht="14" outlineLevel="0" r="9574">
      <c r="A9574" s="3" t="inlineStr">
        <is>
          <t>9538</t>
        </is>
      </c>
      <c r="B9574" s="4" t="s">
        <f>=HYPERLINK("http://anyluxury.ru/shop/odezhda/kurtki/kurtkatransformer-zhenskaya-matrix-temnosinyaya-1163240/" , "11632.40 Куртка-трансформер женская Matrix темно-синяя, размер L")</f>
      </c>
      <c r="C9574" s="4" t="n">
        <v>26990.00</v>
      </c>
      <c r="D9574" s="4"/>
    </row>
    <row collapsed="" customFormat="false" customHeight="1" hidden="" ht="14" outlineLevel="0" r="9575">
      <c r="A9575" s="3" t="inlineStr">
        <is>
          <t>9539</t>
        </is>
      </c>
      <c r="B9575" s="4" t="s">
        <f>=HYPERLINK("http://anyluxury.ru/shop/odezhda/kurtki/kurtkatransformer-zhenskaya-matrix-temnosinyaya-1163240/" , "11632.40 Куртка-трансформер женская Matrix темно-синяя, размер XL")</f>
      </c>
      <c r="C9575" s="4" t="n">
        <v>26990.00</v>
      </c>
      <c r="D9575" s="4"/>
    </row>
    <row collapsed="" customFormat="false" customHeight="1" hidden="" ht="14" outlineLevel="0" r="9576">
      <c r="A9576" s="3" t="inlineStr">
        <is>
          <t>9540</t>
        </is>
      </c>
      <c r="B9576" s="4" t="s">
        <f>=HYPERLINK("http://anyluxury.ru/shop/odezhda/kurtki/kurtkatransformer-zhenskaya-matrix-temnosinyaya-1163240/" , "11632.40 Куртка-трансформер женская Matrix темно-синяя, размер XXL")</f>
      </c>
      <c r="C9576" s="4" t="n">
        <v>26990.00</v>
      </c>
      <c r="D9576" s="4"/>
    </row>
    <row collapsed="" customFormat="false" customHeight="1" hidden="" ht="14" outlineLevel="0" r="9577">
      <c r="A9577" s="3" t="inlineStr">
        <is>
          <t>9541</t>
        </is>
      </c>
      <c r="B9577" s="4" t="s">
        <f>=HYPERLINK("http://anyluxury.ru/shop/odezhda/kurtki/kurtka-muzhskaya-ryan-men-korichnevaya-02108406/" , "02108406 Куртка мужская RYAN MEN коричневая, размер S")</f>
      </c>
      <c r="C9577" s="4" t="n">
        <v>10762.00</v>
      </c>
      <c r="D9577" s="4"/>
    </row>
    <row collapsed="" customFormat="false" customHeight="1" hidden="" ht="14" outlineLevel="0" r="9578">
      <c r="A9578" s="3" t="inlineStr">
        <is>
          <t>9542</t>
        </is>
      </c>
      <c r="B9578" s="4" t="s">
        <f>=HYPERLINK("http://anyluxury.ru/shop/odezhda/kurtki/kurtka-muzhskaya-ryan-men-korichnevaya-02108406/" , "02108406 Куртка мужская RYAN MEN коричневая, размер M")</f>
      </c>
      <c r="C9578" s="4" t="n">
        <v>10762.00</v>
      </c>
      <c r="D9578" s="4"/>
    </row>
    <row collapsed="" customFormat="false" customHeight="1" hidden="" ht="14" outlineLevel="0" r="9579">
      <c r="A9579" s="3" t="inlineStr">
        <is>
          <t>9543</t>
        </is>
      </c>
      <c r="B9579" s="4" t="s">
        <f>=HYPERLINK("http://anyluxury.ru/shop/odezhda/kurtki/kurtka-muzhskaya-ryan-men-korichnevaya-02108406/" , "02108406 Куртка мужская RYAN MEN коричневая, размер L")</f>
      </c>
      <c r="C9579" s="4" t="n">
        <v>10762.00</v>
      </c>
      <c r="D9579" s="4"/>
    </row>
    <row collapsed="" customFormat="false" customHeight="1" hidden="" ht="14" outlineLevel="0" r="9580">
      <c r="A9580" s="3" t="inlineStr">
        <is>
          <t>9544</t>
        </is>
      </c>
      <c r="B9580" s="4" t="s">
        <f>=HYPERLINK("http://anyluxury.ru/shop/odezhda/kurtki/kurtka-muzhskaya-ryan-men-korichnevaya-02108406/" , "02108406 Куртка мужская RYAN MEN коричневая, размер XL")</f>
      </c>
      <c r="C9580" s="4" t="n">
        <v>10762.00</v>
      </c>
      <c r="D9580" s="4"/>
    </row>
    <row collapsed="" customFormat="false" customHeight="1" hidden="" ht="14" outlineLevel="0" r="9581">
      <c r="A9581" s="3" t="inlineStr">
        <is>
          <t>9545</t>
        </is>
      </c>
      <c r="B9581" s="4" t="s">
        <f>=HYPERLINK("http://anyluxury.ru/shop/odezhda/kurtki/kurtka-muzhskaya-ryan-men-korichnevaya-02108406/" , "02108406 Куртка мужская RYAN MEN коричневая, размер XXL")</f>
      </c>
      <c r="C9581" s="4" t="n">
        <v>10762.00</v>
      </c>
      <c r="D9581" s="4"/>
    </row>
    <row collapsed="" customFormat="false" customHeight="1" hidden="" ht="14" outlineLevel="0" r="9582">
      <c r="A9582" s="3" t="inlineStr">
        <is>
          <t>9546</t>
        </is>
      </c>
      <c r="B9582" s="4" t="s">
        <f>=HYPERLINK("http://anyluxury.ru/shop/odezhda/kurtki/kurtka-muzhskaya-ryan-men-korichnevaya-02108406/" , "02108406 Куртка мужская RYAN MEN коричневая, размер 3XL")</f>
      </c>
      <c r="C9582" s="4" t="n">
        <v>12300.00</v>
      </c>
      <c r="D9582" s="4"/>
    </row>
    <row collapsed="" customFormat="false" customHeight="1" hidden="" ht="14" outlineLevel="0" r="9583">
      <c r="A9583" s="3" t="inlineStr">
        <is>
          <t>9547</t>
        </is>
      </c>
      <c r="B9583" s="4" t="s">
        <f>=HYPERLINK("http://anyluxury.ru/shop/odezhda/kurtki/kurtka-s-podogrevom-thermalli-chamonix-chernaya-1167830/" , "11678.30 Куртка с подогревом Thermalli Chamonix черная, размер S")</f>
      </c>
      <c r="C9583" s="4" t="n">
        <v>13542.00</v>
      </c>
      <c r="D9583" s="4"/>
    </row>
    <row collapsed="" customFormat="false" customHeight="1" hidden="" ht="14" outlineLevel="0" r="9584">
      <c r="A9584" s="3" t="inlineStr">
        <is>
          <t>9548</t>
        </is>
      </c>
      <c r="B9584" s="4" t="s">
        <f>=HYPERLINK("http://anyluxury.ru/shop/odezhda/kurtki/kurtka-s-podogrevom-thermalli-chamonix-chernaya-1167830/" , "11678.30 Куртка с подогревом Thermalli Chamonix черная, размер M")</f>
      </c>
      <c r="C9584" s="4" t="n">
        <v>13542.00</v>
      </c>
      <c r="D9584" s="4"/>
    </row>
    <row collapsed="" customFormat="false" customHeight="1" hidden="" ht="14" outlineLevel="0" r="9585">
      <c r="A9585" s="3" t="inlineStr">
        <is>
          <t>9549</t>
        </is>
      </c>
      <c r="B9585" s="4" t="s">
        <f>=HYPERLINK("http://anyluxury.ru/shop/odezhda/kurtki/kurtka-s-podogrevom-thermalli-chamonix-chernaya-1167830/" , "11678.30 Куртка с подогревом Thermalli Chamonix черная, размер L")</f>
      </c>
      <c r="C9585" s="4" t="n">
        <v>13542.00</v>
      </c>
      <c r="D9585" s="4"/>
    </row>
    <row collapsed="" customFormat="false" customHeight="1" hidden="" ht="14" outlineLevel="0" r="9586">
      <c r="A9586" s="3" t="inlineStr">
        <is>
          <t>9550</t>
        </is>
      </c>
      <c r="B9586" s="4" t="s">
        <f>=HYPERLINK("http://anyluxury.ru/shop/odezhda/kurtki/kurtka-s-podogrevom-thermalli-chamonix-chernaya-1167830/" , "11678.30 Куртка с подогревом Thermalli Chamonix черная, размер XXXL")</f>
      </c>
      <c r="C9586" s="4" t="n">
        <v>13542.00</v>
      </c>
      <c r="D9586" s="4"/>
    </row>
    <row collapsed="" customFormat="false" customHeight="1" hidden="" ht="14" outlineLevel="0" r="9587">
      <c r="A9587" s="3" t="inlineStr">
        <is>
          <t>9551</t>
        </is>
      </c>
      <c r="B9587" s="4" t="s">
        <f>=HYPERLINK("http://anyluxury.ru/shop/odezhda/kurtki/kurtka-s-podogrevom-thermalli-chamonix-temnosinyaya-1167840/" , "11678.40 Куртка с подогревом Thermalli Chamonix темно-синяя, размер S")</f>
      </c>
      <c r="C9587" s="4" t="n">
        <v>13542.00</v>
      </c>
      <c r="D9587" s="4"/>
    </row>
    <row collapsed="" customFormat="false" customHeight="1" hidden="" ht="14" outlineLevel="0" r="9588">
      <c r="A9588" s="3" t="inlineStr">
        <is>
          <t>9552</t>
        </is>
      </c>
      <c r="B9588" s="4" t="s">
        <f>=HYPERLINK("http://anyluxury.ru/shop/odezhda/kurtki/kurtka-s-podogrevom-thermalli-chamonix-temnosinyaya-1167840/" , "11678.40 Куртка с подогревом Thermalli Chamonix темно-синяя, размер M")</f>
      </c>
      <c r="C9588" s="4" t="n">
        <v>13542.00</v>
      </c>
      <c r="D9588" s="4"/>
    </row>
    <row collapsed="" customFormat="false" customHeight="1" hidden="" ht="14" outlineLevel="0" r="9589">
      <c r="A9589" s="3" t="inlineStr">
        <is>
          <t>9553</t>
        </is>
      </c>
      <c r="B9589" s="4" t="s">
        <f>=HYPERLINK("http://anyluxury.ru/shop/odezhda/kurtki/kurtka-s-podogrevom-thermalli-chamonix-temnosinyaya-1167840/" , "11678.40 Куртка с подогревом Thermalli Chamonix темно-синяя, размер XL")</f>
      </c>
      <c r="C9589" s="4" t="n">
        <v>13542.00</v>
      </c>
      <c r="D9589" s="4"/>
    </row>
    <row collapsed="" customFormat="false" customHeight="1" hidden="" ht="14" outlineLevel="0" r="9590">
      <c r="A9590" s="3" t="inlineStr">
        <is>
          <t>9554</t>
        </is>
      </c>
      <c r="B9590" s="4" t="s">
        <f>=HYPERLINK("http://anyluxury.ru/shop/odezhda/kurtki/kurtka-s-podogrevom-thermalli-meribell-chernaya-1512230/" , "15122.30 Куртка с подогревом Thermalli Meribell черная, размер S")</f>
      </c>
      <c r="C9590" s="4" t="n">
        <v>9690.00</v>
      </c>
      <c r="D9590" s="4"/>
    </row>
    <row collapsed="" customFormat="false" customHeight="1" hidden="" ht="14" outlineLevel="0" r="9591">
      <c r="A9591" s="3" t="inlineStr">
        <is>
          <t>9555</t>
        </is>
      </c>
      <c r="B9591" s="4" t="s">
        <f>=HYPERLINK("http://anyluxury.ru/shop/odezhda/kurtki/kurtka-s-podogrevom-thermalli-meribell-chernaya-1512230/" , "15122.30 Куртка с подогревом Thermalli Meribell черная, размер M")</f>
      </c>
      <c r="C9591" s="4" t="n">
        <v>9690.00</v>
      </c>
      <c r="D9591" s="4"/>
    </row>
    <row collapsed="" customFormat="false" customHeight="1" hidden="" ht="14" outlineLevel="0" r="9592">
      <c r="A9592" s="3" t="inlineStr">
        <is>
          <t>9556</t>
        </is>
      </c>
      <c r="B9592" s="4" t="s">
        <f>=HYPERLINK("http://anyluxury.ru/shop/odezhda/kurtki/kurtka-kompaktnaya-zhenskaya-stavanger-chernaya-1161431/" , "11614.31 Куртка компактная женская Stavanger черная с серым, размер XS")</f>
      </c>
      <c r="C9592" s="4" t="n">
        <v>12164.00</v>
      </c>
      <c r="D9592" s="4"/>
    </row>
    <row collapsed="" customFormat="false" customHeight="1" hidden="" ht="14" outlineLevel="0" r="9593">
      <c r="A9593" s="3" t="inlineStr">
        <is>
          <t>9557</t>
        </is>
      </c>
      <c r="B9593" s="4" t="s">
        <f>=HYPERLINK("http://anyluxury.ru/shop/odezhda/kurtki/kurtka-kompaktnaya-zhenskaya-stavanger-chernaya-1161431/" , "11614.31 Куртка компактная женская Stavanger черная с серым, размер M")</f>
      </c>
      <c r="C9593" s="4" t="n">
        <v>12164.00</v>
      </c>
      <c r="D9593" s="4"/>
    </row>
    <row collapsed="" customFormat="false" customHeight="1" hidden="" ht="14" outlineLevel="0" r="9594">
      <c r="A9594" s="3" t="inlineStr">
        <is>
          <t>9558</t>
        </is>
      </c>
      <c r="B9594" s="4" t="s">
        <f>=HYPERLINK("http://anyluxury.ru/shop/odezhda/kurtki/kurtka-kompaktnaya-zhenskaya-stavanger-chernaya-1161431/" , "11614.31 Куртка компактная женская Stavanger черная с серым, размер L")</f>
      </c>
      <c r="C9594" s="4" t="n">
        <v>12164.00</v>
      </c>
      <c r="D9594" s="4"/>
    </row>
    <row collapsed="" customFormat="false" customHeight="1" hidden="" ht="14" outlineLevel="0" r="9595">
      <c r="A9595" s="3" t="inlineStr">
        <is>
          <t>9559</t>
        </is>
      </c>
      <c r="B9595" s="4" t="s">
        <f>=HYPERLINK("http://anyluxury.ru/shop/odezhda/kurtki/kurtka-kompaktnaya-zhenskaya-stavanger-chernaya-1161431/" , "11614.31 Куртка компактная женская Stavanger черная с серым, размер XL")</f>
      </c>
      <c r="C9595" s="4" t="n">
        <v>12164.00</v>
      </c>
      <c r="D9595" s="4"/>
    </row>
    <row collapsed="" customFormat="false" customHeight="1" hidden="" ht="14" outlineLevel="0" r="9596">
      <c r="A9596" s="3" t="inlineStr">
        <is>
          <t>9560</t>
        </is>
      </c>
      <c r="B9596" s="4" t="s">
        <f>=HYPERLINK("http://anyluxury.ru/shop/odezhda/kurtki/kurtka-kompaktnaya-zhenskaya-stavanger-chernaya-1161431/" , "11614.31 Куртка компактная женская Stavanger черная с серым, размер XXL")</f>
      </c>
      <c r="C9596" s="4" t="n">
        <v>12164.00</v>
      </c>
      <c r="D9596" s="4"/>
    </row>
    <row collapsed="" customFormat="false" customHeight="1" hidden="" ht="14" outlineLevel="0" r="9597">
      <c r="A9597" s="3" t="inlineStr">
        <is>
          <t>9561</t>
        </is>
      </c>
      <c r="B9597" s="4" t="s">
        <f>=HYPERLINK("http://anyluxury.ru/shop/odezhda/kurtki/kurtka-kompaktnaya-zhenskaya-stavanger-temnosinyaya-1161441/" , "11614.41 Куртка компактная женская Stavanger темно-синяя с серым, размер XS")</f>
      </c>
      <c r="C9597" s="4" t="n">
        <v>12164.00</v>
      </c>
      <c r="D9597" s="4"/>
    </row>
    <row collapsed="" customFormat="false" customHeight="1" hidden="" ht="14" outlineLevel="0" r="9598">
      <c r="A9598" s="3" t="inlineStr">
        <is>
          <t>9562</t>
        </is>
      </c>
      <c r="B9598" s="4" t="s">
        <f>=HYPERLINK("http://anyluxury.ru/shop/odezhda/kurtki/kurtka-kompaktnaya-zhenskaya-stavanger-temnosinyaya-1161441/" , "11614.41 Куртка компактная женская Stavanger темно-синяя с серым, размер S")</f>
      </c>
      <c r="C9598" s="4" t="n">
        <v>12164.00</v>
      </c>
      <c r="D9598" s="4"/>
    </row>
    <row collapsed="" customFormat="false" customHeight="1" hidden="" ht="14" outlineLevel="0" r="9599">
      <c r="A9599" s="3" t="inlineStr">
        <is>
          <t>9563</t>
        </is>
      </c>
      <c r="B9599" s="4" t="s">
        <f>=HYPERLINK("http://anyluxury.ru/shop/odezhda/kurtki/kurtka-kompaktnaya-zhenskaya-stavanger-temnosinyaya-1161441/" , "11614.41 Куртка компактная женская Stavanger темно-синяя с серым, размер L")</f>
      </c>
      <c r="C9599" s="4" t="n">
        <v>12164.00</v>
      </c>
      <c r="D9599" s="4"/>
    </row>
    <row collapsed="" customFormat="false" customHeight="1" hidden="" ht="14" outlineLevel="0" r="9600">
      <c r="A9600" s="3" t="inlineStr">
        <is>
          <t>9564</t>
        </is>
      </c>
      <c r="B9600" s="4" t="s">
        <f>=HYPERLINK("http://anyluxury.ru/shop/odezhda/kurtki/kurtka-kompaktnaya-zhenskaya-stavanger-temnosinyaya-1161441/" , "11614.41 Куртка компактная женская Stavanger темно-синяя с серым, размер XL")</f>
      </c>
      <c r="C9600" s="4" t="n">
        <v>12164.00</v>
      </c>
      <c r="D9600" s="4"/>
    </row>
    <row collapsed="" customFormat="false" customHeight="1" hidden="" ht="14" outlineLevel="0" r="9601">
      <c r="A9601" s="3" t="inlineStr">
        <is>
          <t>9565</t>
        </is>
      </c>
      <c r="B9601" s="4" t="s">
        <f>=HYPERLINK("http://anyluxury.ru/shop/odezhda/kurtki/kurtka-kompaktnaya-zhenskaya-stavanger-temnosinyaya-1161441/" , "11614.41 Куртка компактная женская Stavanger темно-синяя с серым, размер XXL")</f>
      </c>
      <c r="C9601" s="4" t="n">
        <v>12164.00</v>
      </c>
      <c r="D9601" s="4"/>
    </row>
    <row collapsed="" customFormat="false" customHeight="1" hidden="" ht="14" outlineLevel="0" r="9602">
      <c r="A9602" s="3" t="inlineStr">
        <is>
          <t>9566</t>
        </is>
      </c>
      <c r="B9602" s="4" t="s">
        <f>=HYPERLINK("http://anyluxury.ru/shop/odezhda/kurtki/kurtka-uniseks-kokon-temnosinyaya-1316440/" , "13164.40 Куртка унисекс Kokon темно-синяя, размер M")</f>
      </c>
      <c r="C9602" s="4" t="n">
        <v>8300.00</v>
      </c>
      <c r="D9602" s="4"/>
    </row>
    <row collapsed="" customFormat="false" customHeight="1" hidden="" ht="14" outlineLevel="0" r="9603">
      <c r="A9603" s="3" t="inlineStr">
        <is>
          <t>9567</t>
        </is>
      </c>
      <c r="B9603" s="4" t="s">
        <f>=HYPERLINK("http://anyluxury.ru/shop/odezhda/kurtki/kurtka-uniseks-kokon-temnosinyaya-1316440/" , "13164.40 Куртка унисекс Kokon темно-синяя, размер L")</f>
      </c>
      <c r="C9603" s="4" t="n">
        <v>8300.00</v>
      </c>
      <c r="D9603" s="4"/>
    </row>
    <row collapsed="" customFormat="false" customHeight="1" hidden="" ht="14" outlineLevel="0" r="9604">
      <c r="A9604" s="3" t="inlineStr">
        <is>
          <t>9568</t>
        </is>
      </c>
      <c r="B9604" s="4" t="s">
        <f>=HYPERLINK("http://anyluxury.ru/shop/odezhda/kurtki/kurtka-uniseks-kokon-temnosinyaya-1316440/" , "13164.40 Куртка унисекс Kokon темно-синяя, размер XL")</f>
      </c>
      <c r="C9604" s="4" t="n">
        <v>8300.00</v>
      </c>
      <c r="D9604" s="4"/>
    </row>
    <row collapsed="" customFormat="false" customHeight="1" hidden="" ht="14" outlineLevel="0" r="9605">
      <c r="A9605" s="3" t="inlineStr">
        <is>
          <t>9569</t>
        </is>
      </c>
      <c r="B9605" s="4" t="s">
        <f>=HYPERLINK("http://anyluxury.ru/shop/odezhda/kurtki/kurtka-uniseks-kokon-temnosinyaya-1316440/" , "13164.40 Куртка унисекс Kokon темно-синяя, размер 2XL")</f>
      </c>
      <c r="C9605" s="4" t="n">
        <v>8300.00</v>
      </c>
      <c r="D9605" s="4"/>
    </row>
    <row collapsed="" customFormat="false" customHeight="1" hidden="" ht="14" outlineLevel="0" r="9606">
      <c r="A9606" s="3" t="inlineStr">
        <is>
          <t>9570</t>
        </is>
      </c>
      <c r="B9606" s="4" t="s">
        <f>=HYPERLINK("http://anyluxury.ru/shop/odezhda/kurtki/kurtka-uniseks-shtorm-temnoseraya-grafit-1316511/" , "13165.11 Куртка унисекс Shtorm темно-серая (графит), размер S")</f>
      </c>
      <c r="C9606" s="4" t="n">
        <v>8600.00</v>
      </c>
      <c r="D9606" s="4"/>
    </row>
    <row collapsed="" customFormat="false" customHeight="1" hidden="" ht="14" outlineLevel="0" r="9607">
      <c r="A9607" s="3" t="inlineStr">
        <is>
          <t>9571</t>
        </is>
      </c>
      <c r="B9607" s="4" t="s">
        <f>=HYPERLINK("http://anyluxury.ru/shop/odezhda/kurtki/kurtka-uniseks-shtorm-temnoseraya-grafit-1316511/" , "13165.11 Куртка унисекс Shtorm темно-серая (графит), размер M")</f>
      </c>
      <c r="C9607" s="4" t="n">
        <v>8600.00</v>
      </c>
      <c r="D9607" s="4"/>
    </row>
    <row collapsed="" customFormat="false" customHeight="1" hidden="" ht="14" outlineLevel="0" r="9608">
      <c r="A9608" s="3" t="inlineStr">
        <is>
          <t>9572</t>
        </is>
      </c>
      <c r="B9608" s="4" t="s">
        <f>=HYPERLINK("http://anyluxury.ru/shop/odezhda/kurtki/kurtka-uniseks-shtorm-temnoseraya-grafit-1316511/" , "13165.11 Куртка унисекс Shtorm темно-серая (графит), размер L")</f>
      </c>
      <c r="C9608" s="4" t="n">
        <v>8600.00</v>
      </c>
      <c r="D9608" s="4"/>
    </row>
    <row collapsed="" customFormat="false" customHeight="1" hidden="" ht="14" outlineLevel="0" r="9609">
      <c r="A9609" s="3" t="inlineStr">
        <is>
          <t>9573</t>
        </is>
      </c>
      <c r="B9609" s="4" t="s">
        <f>=HYPERLINK("http://anyluxury.ru/shop/odezhda/kurtki/kurtka-uniseks-shtorm-temnoseraya-grafit-1316511/" , "13165.11 Куртка унисекс Shtorm темно-серая (графит), размер XL")</f>
      </c>
      <c r="C9609" s="4" t="n">
        <v>8600.00</v>
      </c>
      <c r="D9609" s="4"/>
    </row>
    <row collapsed="" customFormat="false" customHeight="1" hidden="" ht="14" outlineLevel="0" r="9610">
      <c r="A9610" s="3" t="inlineStr">
        <is>
          <t>9574</t>
        </is>
      </c>
      <c r="B9610" s="4" t="s">
        <f>=HYPERLINK("http://anyluxury.ru/shop/odezhda/kurtki/kurtka-uniseks-shtorm-temnoseraya-grafit-1316511/" , "13165.11 Куртка унисекс Shtorm темно-серая (графит), размер 2XL")</f>
      </c>
      <c r="C9610" s="4" t="n">
        <v>8600.00</v>
      </c>
      <c r="D9610" s="4"/>
    </row>
    <row collapsed="" customFormat="false" customHeight="1" hidden="" ht="14" outlineLevel="0" r="9611">
      <c r="A9611" s="3" t="inlineStr">
        <is>
          <t>9575</t>
        </is>
      </c>
      <c r="B9611" s="4" t="s">
        <f>=HYPERLINK("http://anyluxury.ru/shop/odezhda/kurtki/kurtka-uniseks-shtorm-temnoseraya-grafit-1316511/" , "13165.11 Куртка унисекс Shtorm темно-серая (графит), размер XS")</f>
      </c>
      <c r="C9611" s="4" t="n">
        <v>8600.00</v>
      </c>
      <c r="D9611" s="4"/>
    </row>
    <row collapsed="" customFormat="false" customHeight="1" hidden="" ht="14" outlineLevel="0" r="9612">
      <c r="A9612" s="3" t="inlineStr">
        <is>
          <t>9576</t>
        </is>
      </c>
      <c r="B9612" s="4" t="s">
        <f>=HYPERLINK("http://anyluxury.ru/shop/odezhda/kurtki/kurtka-s-podogrevom-thermalli-everest-chernaya-1512330/" , "15123.30 Куртка с подогревом Thermalli Everest, черная, размер S")</f>
      </c>
      <c r="C9612" s="4" t="n">
        <v>15897.00</v>
      </c>
      <c r="D9612" s="4"/>
    </row>
    <row collapsed="" customFormat="false" customHeight="1" hidden="" ht="14" outlineLevel="0" r="9613">
      <c r="A9613" s="3" t="inlineStr">
        <is>
          <t>9577</t>
        </is>
      </c>
      <c r="B9613" s="4" t="s">
        <f>=HYPERLINK("http://anyluxury.ru/shop/odezhda/kurtki/kurtka-s-podogrevom-thermalli-everest-chernaya-1512330/" , "15123.30 Куртка с подогревом Thermalli Everest, черная, размер M")</f>
      </c>
      <c r="C9613" s="4" t="n">
        <v>15897.00</v>
      </c>
      <c r="D9613" s="4"/>
    </row>
    <row collapsed="" customFormat="false" customHeight="1" hidden="" ht="14" outlineLevel="0" r="9614">
      <c r="A9614" s="3" t="inlineStr">
        <is>
          <t>9578</t>
        </is>
      </c>
      <c r="B9614" s="4" t="s">
        <f>=HYPERLINK("http://anyluxury.ru/shop/odezhda/kurtki/kurtka-s-podogrevom-thermalli-everest-chernaya-1512330/" , "15123.30 Куртка с подогревом Thermalli Everest, черная, размер L")</f>
      </c>
      <c r="C9614" s="4" t="n">
        <v>15897.00</v>
      </c>
      <c r="D9614" s="4"/>
    </row>
    <row collapsed="" customFormat="false" customHeight="1" hidden="" ht="14" outlineLevel="0" r="9615">
      <c r="A9615" s="3" t="inlineStr">
        <is>
          <t>9579</t>
        </is>
      </c>
      <c r="B9615" s="4" t="s">
        <f>=HYPERLINK("http://anyluxury.ru/shop/odezhda/kurtki/kurtka-s-podogrevom-thermalli-everest-chernaya-1512330/" , "15123.30 Куртка с подогревом Thermalli Everest, черная, размер XL")</f>
      </c>
      <c r="C9615" s="4" t="n">
        <v>15897.00</v>
      </c>
      <c r="D9615" s="4"/>
    </row>
    <row collapsed="" customFormat="false" customHeight="1" hidden="" ht="14" outlineLevel="0" r="9616">
      <c r="A9616" s="3" t="inlineStr">
        <is>
          <t>9580</t>
        </is>
      </c>
      <c r="B9616" s="4" t="s">
        <f>=HYPERLINK("http://anyluxury.ru/shop/odezhda/kurtki/kurtka-s-podogrevom-thermalli-pila-sinyaya-1512440/" , "15124.40 Куртка с подогревом Thermalli Pila, синяя, размер S")</f>
      </c>
      <c r="C9616" s="4" t="n">
        <v>14572.00</v>
      </c>
      <c r="D9616" s="4"/>
    </row>
    <row collapsed="" customFormat="false" customHeight="1" hidden="" ht="14" outlineLevel="0" r="9617">
      <c r="A9617" s="3" t="inlineStr">
        <is>
          <t>9581</t>
        </is>
      </c>
      <c r="B9617" s="4" t="s">
        <f>=HYPERLINK("http://anyluxury.ru/shop/odezhda/kurtki/kurtka-s-podogrevom-thermalli-pila-sinyaya-1512440/" , "15124.40 Куртка с подогревом Thermalli Pila, синяя, размер M")</f>
      </c>
      <c r="C9617" s="4" t="n">
        <v>14572.00</v>
      </c>
      <c r="D9617" s="4"/>
    </row>
    <row collapsed="" customFormat="false" customHeight="1" hidden="" ht="14" outlineLevel="0" r="9618">
      <c r="A9618" s="3" t="inlineStr">
        <is>
          <t>9582</t>
        </is>
      </c>
      <c r="B9618" s="4" t="s">
        <f>=HYPERLINK("http://anyluxury.ru/shop/odezhda/kurtki/kurtka-s-podogrevom-thermalli-pila-sinyaya-1512440/" , "15124.40 Куртка с подогревом Thermalli Pila, синяя, размер L")</f>
      </c>
      <c r="C9618" s="4" t="n">
        <v>14572.00</v>
      </c>
      <c r="D9618" s="4"/>
    </row>
    <row collapsed="" customFormat="false" customHeight="1" hidden="" ht="14" outlineLevel="0" r="9619">
      <c r="A9619" s="3" t="inlineStr">
        <is>
          <t>9583</t>
        </is>
      </c>
      <c r="B9619" s="4" t="s">
        <f>=HYPERLINK("http://anyluxury.ru/shop/odezhda/kurtki/kurtka-s-podogrevom-thermalli-pila-sinyaya-1512440/" , "15124.40 Куртка с подогревом Thermalli Pila, синяя, размер XL")</f>
      </c>
      <c r="C9619" s="4" t="n">
        <v>14572.00</v>
      </c>
      <c r="D9619" s="4"/>
    </row>
    <row collapsed="" customFormat="false" customHeight="1" hidden="" ht="14" outlineLevel="0" r="9620">
      <c r="A9620" s="3" t="inlineStr">
        <is>
          <t>9584</t>
        </is>
      </c>
      <c r="B9620" s="4" t="s">
        <f>=HYPERLINK("http://anyluxury.ru/shop/odezhda/kurtki/kurtka-s-podogrevom-thermalli-pila-sinyaya-1512440/" , "15124.40 Куртка с подогревом Thermalli Pila, синяя, размер XXL")</f>
      </c>
      <c r="C9620" s="4" t="n">
        <v>14572.00</v>
      </c>
      <c r="D9620" s="4"/>
    </row>
    <row collapsed="" customFormat="false" customHeight="1" hidden="" ht="14" outlineLevel="0" r="9621">
      <c r="A9621" s="3" t="inlineStr">
        <is>
          <t>9585</t>
        </is>
      </c>
      <c r="B9621" s="4" t="s">
        <f>=HYPERLINK("http://anyluxury.ru/shop/odezhda/kurtki/kurtka-s-podogrevom-thermalli-pila-sinyaya-1512440/" , "15124.40 Куртка с подогревом Thermalli Pila, синяя, размер 3XL")</f>
      </c>
      <c r="C9621" s="4" t="n">
        <v>14572.00</v>
      </c>
      <c r="D9621" s="4"/>
    </row>
    <row collapsed="" customFormat="false" customHeight="1" hidden="" ht="14" outlineLevel="0" r="9622">
      <c r="A9622" s="3" t="inlineStr">
        <is>
          <t>9586</t>
        </is>
      </c>
      <c r="B9622" s="4" t="s">
        <f>=HYPERLINK("http://anyluxury.ru/shop/odezhda/kurtki/kurtka-muzhskaya-falcon-men-sinyaya-03827232/" , "03827232 Куртка мужская Falcon Men, синяя, размер S")</f>
      </c>
      <c r="C9622" s="4" t="n">
        <v>5302.00</v>
      </c>
      <c r="D9622" s="4"/>
    </row>
    <row collapsed="" customFormat="false" customHeight="1" hidden="" ht="14" outlineLevel="0" r="9623">
      <c r="A9623" s="3" t="inlineStr">
        <is>
          <t>9587</t>
        </is>
      </c>
      <c r="B9623" s="4" t="s">
        <f>=HYPERLINK("http://anyluxury.ru/shop/odezhda/kurtki/kurtka-muzhskaya-falcon-men-sinyaya-03827232/" , "03827232 Куртка мужская Falcon Men, синяя, размер M")</f>
      </c>
      <c r="C9623" s="4" t="n">
        <v>5302.00</v>
      </c>
      <c r="D9623" s="4"/>
    </row>
    <row collapsed="" customFormat="false" customHeight="1" hidden="" ht="14" outlineLevel="0" r="9624">
      <c r="A9624" s="3" t="inlineStr">
        <is>
          <t>9588</t>
        </is>
      </c>
      <c r="B9624" s="4" t="s">
        <f>=HYPERLINK("http://anyluxury.ru/shop/odezhda/kurtki/kurtka-muzhskaya-falcon-men-sinyaya-03827232/" , "03827232 Куртка мужская Falcon Men, синяя, размер L")</f>
      </c>
      <c r="C9624" s="4" t="n">
        <v>5302.00</v>
      </c>
      <c r="D9624" s="4"/>
    </row>
    <row collapsed="" customFormat="false" customHeight="1" hidden="" ht="14" outlineLevel="0" r="9625">
      <c r="A9625" s="3" t="inlineStr">
        <is>
          <t>9589</t>
        </is>
      </c>
      <c r="B9625" s="4" t="s">
        <f>=HYPERLINK("http://anyluxury.ru/shop/odezhda/kurtki/kurtka-muzhskaya-falcon-men-sinyaya-03827232/" , "03827232 Куртка мужская Falcon Men, синяя, размер XL")</f>
      </c>
      <c r="C9625" s="4" t="n">
        <v>5302.00</v>
      </c>
      <c r="D9625" s="4"/>
    </row>
    <row collapsed="" customFormat="false" customHeight="1" hidden="" ht="14" outlineLevel="0" r="9626">
      <c r="A9626" s="3" t="inlineStr">
        <is>
          <t>9590</t>
        </is>
      </c>
      <c r="B9626" s="4" t="s">
        <f>=HYPERLINK("http://anyluxury.ru/shop/odezhda/kurtki/kurtka-muzhskaya-falcon-men-sinyaya-03827232/" , "03827232 Куртка мужская Falcon Men, синяя, размер XXL")</f>
      </c>
      <c r="C9626" s="4" t="n">
        <v>5302.00</v>
      </c>
      <c r="D9626" s="4"/>
    </row>
    <row collapsed="" customFormat="false" customHeight="1" hidden="" ht="14" outlineLevel="0" r="9627">
      <c r="A9627" s="3" t="inlineStr">
        <is>
          <t>9591</t>
        </is>
      </c>
      <c r="B9627" s="4" t="s">
        <f>=HYPERLINK("http://anyluxury.ru/shop/odezhda/kurtki/kurtka-muzhskaya-falcon-men-sinyaya-03827232/" , "03827232 Куртка мужская Falcon Men, синяя, размер 3XL")</f>
      </c>
      <c r="C9627" s="4" t="n">
        <v>5961.00</v>
      </c>
      <c r="D9627" s="4"/>
    </row>
    <row collapsed="" customFormat="false" customHeight="1" hidden="" ht="14" outlineLevel="0" r="9628">
      <c r="A9628" s="3" t="inlineStr">
        <is>
          <t>9592</t>
        </is>
      </c>
      <c r="B9628" s="4" t="s">
        <f>=HYPERLINK("http://anyluxury.ru/shop/odezhda/kurtki/kurtka-muzhskaya-falcon-men-sinyaya-03827232/" , "03827232 Куртка мужская Falcon Men, синяя, размер 4XL")</f>
      </c>
      <c r="C9628" s="4" t="n">
        <v>6465.00</v>
      </c>
      <c r="D9628" s="4"/>
    </row>
    <row collapsed="" customFormat="false" customHeight="1" hidden="" ht="14" outlineLevel="0" r="9629">
      <c r="A9629" s="3" t="inlineStr">
        <is>
          <t>9593</t>
        </is>
      </c>
      <c r="B9629" s="4" t="s">
        <f>=HYPERLINK("http://anyluxury.ru/shop/odezhda/kurtki/kurtka-muzhskaya-falcon-men-chernaya-03827312/" , "03827312 Куртка мужская Falcon Men, черная, размер S")</f>
      </c>
      <c r="C9629" s="4" t="n">
        <v>5302.00</v>
      </c>
      <c r="D9629" s="4"/>
    </row>
    <row collapsed="" customFormat="false" customHeight="1" hidden="" ht="14" outlineLevel="0" r="9630">
      <c r="A9630" s="3" t="inlineStr">
        <is>
          <t>9594</t>
        </is>
      </c>
      <c r="B9630" s="4" t="s">
        <f>=HYPERLINK("http://anyluxury.ru/shop/odezhda/kurtki/kurtka-muzhskaya-falcon-men-chernaya-03827312/" , "03827312 Куртка мужская Falcon Men, черная, размер M")</f>
      </c>
      <c r="C9630" s="4" t="n">
        <v>5302.00</v>
      </c>
      <c r="D9630" s="4"/>
    </row>
    <row collapsed="" customFormat="false" customHeight="1" hidden="" ht="14" outlineLevel="0" r="9631">
      <c r="A9631" s="3" t="inlineStr">
        <is>
          <t>9595</t>
        </is>
      </c>
      <c r="B9631" s="4" t="s">
        <f>=HYPERLINK("http://anyluxury.ru/shop/odezhda/kurtki/kurtka-muzhskaya-falcon-men-chernaya-03827312/" , "03827312 Куртка мужская Falcon Men, черная, размер L")</f>
      </c>
      <c r="C9631" s="4" t="n">
        <v>5302.00</v>
      </c>
      <c r="D9631" s="4"/>
    </row>
    <row collapsed="" customFormat="false" customHeight="1" hidden="" ht="14" outlineLevel="0" r="9632">
      <c r="A9632" s="3" t="inlineStr">
        <is>
          <t>9596</t>
        </is>
      </c>
      <c r="B9632" s="4" t="s">
        <f>=HYPERLINK("http://anyluxury.ru/shop/odezhda/kurtki/kurtka-muzhskaya-falcon-men-chernaya-03827312/" , "03827312 Куртка мужская Falcon Men, черная, размер XL")</f>
      </c>
      <c r="C9632" s="4" t="n">
        <v>5302.00</v>
      </c>
      <c r="D9632" s="4"/>
    </row>
    <row collapsed="" customFormat="false" customHeight="1" hidden="" ht="14" outlineLevel="0" r="9633">
      <c r="A9633" s="3" t="inlineStr">
        <is>
          <t>9597</t>
        </is>
      </c>
      <c r="B9633" s="4" t="s">
        <f>=HYPERLINK("http://anyluxury.ru/shop/odezhda/kurtki/kurtka-muzhskaya-falcon-men-chernaya-03827312/" , "03827312 Куртка мужская Falcon Men, черная, размер XXL")</f>
      </c>
      <c r="C9633" s="4" t="n">
        <v>5302.00</v>
      </c>
      <c r="D9633" s="4"/>
    </row>
    <row collapsed="" customFormat="false" customHeight="1" hidden="" ht="14" outlineLevel="0" r="9634">
      <c r="A9634" s="3" t="inlineStr">
        <is>
          <t>9598</t>
        </is>
      </c>
      <c r="B9634" s="4" t="s">
        <f>=HYPERLINK("http://anyluxury.ru/shop/odezhda/kurtki/kurtka-muzhskaya-falcon-men-chernaya-03827312/" , "03827312 Куртка мужская Falcon Men, черная, размер 3XL")</f>
      </c>
      <c r="C9634" s="4" t="n">
        <v>5961.00</v>
      </c>
      <c r="D9634" s="4"/>
    </row>
    <row collapsed="" customFormat="false" customHeight="1" hidden="" ht="14" outlineLevel="0" r="9635">
      <c r="A9635" s="3" t="inlineStr">
        <is>
          <t>9599</t>
        </is>
      </c>
      <c r="B9635" s="4" t="s">
        <f>=HYPERLINK("http://anyluxury.ru/shop/odezhda/kurtki/kurtka-muzhskaya-falcon-men-chernaya-03827312/" , "03827312 Куртка мужская Falcon Men, черная, размер 4XL")</f>
      </c>
      <c r="C9635" s="4" t="n">
        <v>6465.00</v>
      </c>
      <c r="D9635" s="4"/>
    </row>
    <row collapsed="" customFormat="false" customHeight="1" hidden="" ht="14" outlineLevel="0" r="9636">
      <c r="A9636" s="3" t="inlineStr">
        <is>
          <t>9600</t>
        </is>
      </c>
      <c r="B9636" s="4" t="s">
        <f>=HYPERLINK("http://anyluxury.ru/shop/odezhda/kurtki/kurtka-muzhskaya-falcon-men-temnoseraya-03827370/" , "03827370 Куртка мужская Falcon Men, темно-серая, размер S")</f>
      </c>
      <c r="C9636" s="4" t="n">
        <v>5302.00</v>
      </c>
      <c r="D9636" s="4"/>
    </row>
    <row collapsed="" customFormat="false" customHeight="1" hidden="" ht="14" outlineLevel="0" r="9637">
      <c r="A9637" s="3" t="inlineStr">
        <is>
          <t>9601</t>
        </is>
      </c>
      <c r="B9637" s="4" t="s">
        <f>=HYPERLINK("http://anyluxury.ru/shop/odezhda/kurtki/kurtka-muzhskaya-falcon-men-temnoseraya-03827370/" , "03827370 Куртка мужская Falcon Men, темно-серая, размер M")</f>
      </c>
      <c r="C9637" s="4" t="n">
        <v>5302.00</v>
      </c>
      <c r="D9637" s="4"/>
    </row>
    <row collapsed="" customFormat="false" customHeight="1" hidden="" ht="14" outlineLevel="0" r="9638">
      <c r="A9638" s="3" t="inlineStr">
        <is>
          <t>9602</t>
        </is>
      </c>
      <c r="B9638" s="4" t="s">
        <f>=HYPERLINK("http://anyluxury.ru/shop/odezhda/kurtki/kurtka-muzhskaya-falcon-men-temnoseraya-03827370/" , "03827370 Куртка мужская Falcon Men, темно-серая, размер L")</f>
      </c>
      <c r="C9638" s="4" t="n">
        <v>5302.00</v>
      </c>
      <c r="D9638" s="4"/>
    </row>
    <row collapsed="" customFormat="false" customHeight="1" hidden="" ht="14" outlineLevel="0" r="9639">
      <c r="A9639" s="3" t="inlineStr">
        <is>
          <t>9603</t>
        </is>
      </c>
      <c r="B9639" s="4" t="s">
        <f>=HYPERLINK("http://anyluxury.ru/shop/odezhda/kurtki/kurtka-muzhskaya-falcon-men-temnoseraya-03827370/" , "03827370 Куртка мужская Falcon Men, темно-серая, размер XL")</f>
      </c>
      <c r="C9639" s="4" t="n">
        <v>5302.00</v>
      </c>
      <c r="D9639" s="4"/>
    </row>
    <row collapsed="" customFormat="false" customHeight="1" hidden="" ht="14" outlineLevel="0" r="9640">
      <c r="A9640" s="3" t="inlineStr">
        <is>
          <t>9604</t>
        </is>
      </c>
      <c r="B9640" s="4" t="s">
        <f>=HYPERLINK("http://anyluxury.ru/shop/odezhda/kurtki/kurtka-muzhskaya-falcon-men-temnoseraya-03827370/" , "03827370 Куртка мужская Falcon Men, темно-серая, размер XXL")</f>
      </c>
      <c r="C9640" s="4" t="n">
        <v>5302.00</v>
      </c>
      <c r="D9640" s="4"/>
    </row>
    <row collapsed="" customFormat="false" customHeight="1" hidden="" ht="14" outlineLevel="0" r="9641">
      <c r="A9641" s="3" t="inlineStr">
        <is>
          <t>9605</t>
        </is>
      </c>
      <c r="B9641" s="4" t="s">
        <f>=HYPERLINK("http://anyluxury.ru/shop/odezhda/kurtki/kurtka-muzhskaya-falcon-men-temnoseraya-03827370/" , "03827370 Куртка мужская Falcon Men, темно-серая, размер 3XL")</f>
      </c>
      <c r="C9641" s="4" t="n">
        <v>5961.00</v>
      </c>
      <c r="D9641" s="4"/>
    </row>
    <row collapsed="" customFormat="false" customHeight="1" hidden="" ht="14" outlineLevel="0" r="9642">
      <c r="A9642" s="3" t="inlineStr">
        <is>
          <t>9606</t>
        </is>
      </c>
      <c r="B9642" s="4" t="s">
        <f>=HYPERLINK("http://anyluxury.ru/shop/odezhda/kurtki/kurtka-muzhskaya-falcon-men-temnoseraya-03827370/" , "03827370 Куртка мужская Falcon Men, темно-серая, размер 4XL")</f>
      </c>
      <c r="C9642" s="4" t="n">
        <v>6465.00</v>
      </c>
      <c r="D9642" s="4"/>
    </row>
    <row collapsed="" customFormat="false" customHeight="1" hidden="" ht="14" outlineLevel="0" r="9643">
      <c r="A9643" s="3" t="inlineStr">
        <is>
          <t>9607</t>
        </is>
      </c>
      <c r="B9643" s="4" t="s">
        <f>=HYPERLINK("http://anyluxury.ru/shop/odezhda/kurtki/kurtka-muzhskaya-falcon-men-temnozelenaya-03827266/" , "03827266 Куртка мужская Falcon Men, темно-зеленая, размер S")</f>
      </c>
      <c r="C9643" s="4" t="n">
        <v>5302.00</v>
      </c>
      <c r="D9643" s="4"/>
    </row>
    <row collapsed="" customFormat="false" customHeight="1" hidden="" ht="14" outlineLevel="0" r="9644">
      <c r="A9644" s="3" t="inlineStr">
        <is>
          <t>9608</t>
        </is>
      </c>
      <c r="B9644" s="4" t="s">
        <f>=HYPERLINK("http://anyluxury.ru/shop/odezhda/kurtki/kurtka-muzhskaya-falcon-men-temnozelenaya-03827266/" , "03827266 Куртка мужская Falcon Men, темно-зеленая, размер M")</f>
      </c>
      <c r="C9644" s="4" t="n">
        <v>5302.00</v>
      </c>
      <c r="D9644" s="4"/>
    </row>
    <row collapsed="" customFormat="false" customHeight="1" hidden="" ht="14" outlineLevel="0" r="9645">
      <c r="A9645" s="3" t="inlineStr">
        <is>
          <t>9609</t>
        </is>
      </c>
      <c r="B9645" s="4" t="s">
        <f>=HYPERLINK("http://anyluxury.ru/shop/odezhda/kurtki/kurtka-muzhskaya-falcon-men-temnozelenaya-03827266/" , "03827266 Куртка мужская Falcon Men, темно-зеленая, размер L")</f>
      </c>
      <c r="C9645" s="4" t="n">
        <v>5302.00</v>
      </c>
      <c r="D9645" s="4"/>
    </row>
    <row collapsed="" customFormat="false" customHeight="1" hidden="" ht="14" outlineLevel="0" r="9646">
      <c r="A9646" s="3" t="inlineStr">
        <is>
          <t>9610</t>
        </is>
      </c>
      <c r="B9646" s="4" t="s">
        <f>=HYPERLINK("http://anyluxury.ru/shop/odezhda/kurtki/kurtka-muzhskaya-falcon-men-temnozelenaya-03827266/" , "03827266 Куртка мужская Falcon Men, темно-зеленая, размер XL")</f>
      </c>
      <c r="C9646" s="4" t="n">
        <v>5302.00</v>
      </c>
      <c r="D9646" s="4"/>
    </row>
    <row collapsed="" customFormat="false" customHeight="1" hidden="" ht="14" outlineLevel="0" r="9647">
      <c r="A9647" s="3" t="inlineStr">
        <is>
          <t>9611</t>
        </is>
      </c>
      <c r="B9647" s="4" t="s">
        <f>=HYPERLINK("http://anyluxury.ru/shop/odezhda/kurtki/kurtka-muzhskaya-falcon-men-temnozelenaya-03827266/" , "03827266 Куртка мужская Falcon Men, темно-зеленая, размер XXL")</f>
      </c>
      <c r="C9647" s="4" t="n">
        <v>5302.00</v>
      </c>
      <c r="D9647" s="4"/>
    </row>
    <row collapsed="" customFormat="false" customHeight="1" hidden="" ht="14" outlineLevel="0" r="9648">
      <c r="A9648" s="3" t="inlineStr">
        <is>
          <t>9612</t>
        </is>
      </c>
      <c r="B9648" s="4" t="s">
        <f>=HYPERLINK("http://anyluxury.ru/shop/odezhda/kurtki/kurtka-muzhskaya-falcon-men-temnozelenaya-03827266/" , "03827266 Куртка мужская Falcon Men, темно-зеленая, размер 3XL")</f>
      </c>
      <c r="C9648" s="4" t="n">
        <v>5961.00</v>
      </c>
      <c r="D9648" s="4"/>
    </row>
    <row collapsed="" customFormat="false" customHeight="1" hidden="" ht="14" outlineLevel="0" r="9649">
      <c r="A9649" s="3" t="inlineStr">
        <is>
          <t>9613</t>
        </is>
      </c>
      <c r="B9649" s="4" t="s">
        <f>=HYPERLINK("http://anyluxury.ru/shop/odezhda/kurtki/kurtka-muzhskaya-falcon-men-temnozelenaya-03827266/" , "03827266 Куртка мужская Falcon Men, темно-зеленая, размер 4XL")</f>
      </c>
      <c r="C9649" s="4" t="n">
        <v>6465.00</v>
      </c>
      <c r="D9649" s="4"/>
    </row>
    <row collapsed="" customFormat="false" customHeight="1" hidden="" ht="14" outlineLevel="0" r="9650">
      <c r="A9650" s="3" t="inlineStr">
        <is>
          <t>9614</t>
        </is>
      </c>
      <c r="B9650" s="4" t="s">
        <f>=HYPERLINK("http://anyluxury.ru/shop/odezhda/kurtki/kurtka-muzhskaya-falcon-men-krasnaya-03827162/" , "03827162 Куртка мужская Falcon Men, красная, размер S")</f>
      </c>
      <c r="C9650" s="4" t="n">
        <v>5302.00</v>
      </c>
      <c r="D9650" s="4"/>
    </row>
    <row collapsed="" customFormat="false" customHeight="1" hidden="" ht="14" outlineLevel="0" r="9651">
      <c r="A9651" s="3" t="inlineStr">
        <is>
          <t>9615</t>
        </is>
      </c>
      <c r="B9651" s="4" t="s">
        <f>=HYPERLINK("http://anyluxury.ru/shop/odezhda/kurtki/kurtka-muzhskaya-falcon-men-krasnaya-03827162/" , "03827162 Куртка мужская Falcon Men, красная, размер M")</f>
      </c>
      <c r="C9651" s="4" t="n">
        <v>5302.00</v>
      </c>
      <c r="D9651" s="4"/>
    </row>
    <row collapsed="" customFormat="false" customHeight="1" hidden="" ht="14" outlineLevel="0" r="9652">
      <c r="A9652" s="3" t="inlineStr">
        <is>
          <t>9616</t>
        </is>
      </c>
      <c r="B9652" s="4" t="s">
        <f>=HYPERLINK("http://anyluxury.ru/shop/odezhda/kurtki/kurtka-muzhskaya-falcon-men-krasnaya-03827162/" , "03827162 Куртка мужская Falcon Men, красная, размер L")</f>
      </c>
      <c r="C9652" s="4" t="n">
        <v>5302.00</v>
      </c>
      <c r="D9652" s="4"/>
    </row>
    <row collapsed="" customFormat="false" customHeight="1" hidden="" ht="14" outlineLevel="0" r="9653">
      <c r="A9653" s="3" t="inlineStr">
        <is>
          <t>9617</t>
        </is>
      </c>
      <c r="B9653" s="4" t="s">
        <f>=HYPERLINK("http://anyluxury.ru/shop/odezhda/kurtki/kurtka-muzhskaya-falcon-men-krasnaya-03827162/" , "03827162 Куртка мужская Falcon Men, красная, размер XL")</f>
      </c>
      <c r="C9653" s="4" t="n">
        <v>5302.00</v>
      </c>
      <c r="D9653" s="4"/>
    </row>
    <row collapsed="" customFormat="false" customHeight="1" hidden="" ht="14" outlineLevel="0" r="9654">
      <c r="A9654" s="3" t="inlineStr">
        <is>
          <t>9618</t>
        </is>
      </c>
      <c r="B9654" s="4" t="s">
        <f>=HYPERLINK("http://anyluxury.ru/shop/odezhda/kurtki/kurtka-muzhskaya-falcon-men-krasnaya-03827162/" , "03827162 Куртка мужская Falcon Men, красная, размер XXL")</f>
      </c>
      <c r="C9654" s="4" t="n">
        <v>5302.00</v>
      </c>
      <c r="D9654" s="4"/>
    </row>
    <row collapsed="" customFormat="false" customHeight="1" hidden="" ht="14" outlineLevel="0" r="9655">
      <c r="A9655" s="3" t="inlineStr">
        <is>
          <t>9619</t>
        </is>
      </c>
      <c r="B9655" s="4" t="s">
        <f>=HYPERLINK("http://anyluxury.ru/shop/odezhda/kurtki/kurtka-muzhskaya-falcon-men-krasnaya-03827162/" , "03827162 Куртка мужская Falcon Men, красная, размер 3XL")</f>
      </c>
      <c r="C9655" s="4" t="n">
        <v>5961.00</v>
      </c>
      <c r="D9655" s="4"/>
    </row>
    <row collapsed="" customFormat="false" customHeight="1" hidden="" ht="14" outlineLevel="0" r="9656">
      <c r="A9656" s="3" t="inlineStr">
        <is>
          <t>9620</t>
        </is>
      </c>
      <c r="B9656" s="4" t="s">
        <f>=HYPERLINK("http://anyluxury.ru/shop/odezhda/kurtki/kurtka-muzhskaya-falcon-men-krasnaya-03827162/" , "03827162 Куртка мужская Falcon Men, красная, размер 4XL")</f>
      </c>
      <c r="C9656" s="4" t="n">
        <v>6465.00</v>
      </c>
      <c r="D9656" s="4"/>
    </row>
    <row collapsed="" customFormat="false" customHeight="1" hidden="" ht="14" outlineLevel="0" r="9657">
      <c r="A9657" s="3" t="inlineStr">
        <is>
          <t>9621</t>
        </is>
      </c>
      <c r="B9657" s="4" t="s">
        <f>=HYPERLINK("http://anyluxury.ru/shop/odezhda/kurtki/kurtka-muzhskaya-falcon-men-yarkosinyaya-03827241/" , "03827241 Куртка мужская Falcon Men, ярко-синяя, размер S")</f>
      </c>
      <c r="C9657" s="4" t="n">
        <v>5302.00</v>
      </c>
      <c r="D9657" s="4"/>
    </row>
    <row collapsed="" customFormat="false" customHeight="1" hidden="" ht="14" outlineLevel="0" r="9658">
      <c r="A9658" s="3" t="inlineStr">
        <is>
          <t>9622</t>
        </is>
      </c>
      <c r="B9658" s="4" t="s">
        <f>=HYPERLINK("http://anyluxury.ru/shop/odezhda/kurtki/kurtka-muzhskaya-falcon-men-yarkosinyaya-03827241/" , "03827241 Куртка мужская Falcon Men, ярко-синяя, размер M")</f>
      </c>
      <c r="C9658" s="4" t="n">
        <v>5302.00</v>
      </c>
      <c r="D9658" s="4"/>
    </row>
    <row collapsed="" customFormat="false" customHeight="1" hidden="" ht="14" outlineLevel="0" r="9659">
      <c r="A9659" s="3" t="inlineStr">
        <is>
          <t>9623</t>
        </is>
      </c>
      <c r="B9659" s="4" t="s">
        <f>=HYPERLINK("http://anyluxury.ru/shop/odezhda/kurtki/kurtka-muzhskaya-falcon-men-yarkosinyaya-03827241/" , "03827241 Куртка мужская Falcon Men, ярко-синяя, размер L")</f>
      </c>
      <c r="C9659" s="4" t="n">
        <v>5302.00</v>
      </c>
      <c r="D9659" s="4"/>
    </row>
    <row collapsed="" customFormat="false" customHeight="1" hidden="" ht="14" outlineLevel="0" r="9660">
      <c r="A9660" s="3" t="inlineStr">
        <is>
          <t>9624</t>
        </is>
      </c>
      <c r="B9660" s="4" t="s">
        <f>=HYPERLINK("http://anyluxury.ru/shop/odezhda/kurtki/kurtka-muzhskaya-falcon-men-yarkosinyaya-03827241/" , "03827241 Куртка мужская Falcon Men, ярко-синяя, размер XL")</f>
      </c>
      <c r="C9660" s="4" t="n">
        <v>5302.00</v>
      </c>
      <c r="D9660" s="4"/>
    </row>
    <row collapsed="" customFormat="false" customHeight="1" hidden="" ht="14" outlineLevel="0" r="9661">
      <c r="A9661" s="3" t="inlineStr">
        <is>
          <t>9625</t>
        </is>
      </c>
      <c r="B9661" s="4" t="s">
        <f>=HYPERLINK("http://anyluxury.ru/shop/odezhda/kurtki/kurtka-muzhskaya-falcon-men-yarkosinyaya-03827241/" , "03827241 Куртка мужская Falcon Men, ярко-синяя, размер XXL")</f>
      </c>
      <c r="C9661" s="4" t="n">
        <v>5302.00</v>
      </c>
      <c r="D9661" s="4"/>
    </row>
    <row collapsed="" customFormat="false" customHeight="1" hidden="" ht="14" outlineLevel="0" r="9662">
      <c r="A9662" s="3" t="inlineStr">
        <is>
          <t>9626</t>
        </is>
      </c>
      <c r="B9662" s="4" t="s">
        <f>=HYPERLINK("http://anyluxury.ru/shop/odezhda/kurtki/kurtka-muzhskaya-falcon-men-yarkosinyaya-03827241/" , "03827241 Куртка мужская Falcon Men, ярко-синяя, размер 3XL")</f>
      </c>
      <c r="C9662" s="4" t="n">
        <v>5961.00</v>
      </c>
      <c r="D9662" s="4"/>
    </row>
    <row collapsed="" customFormat="false" customHeight="1" hidden="" ht="14" outlineLevel="0" r="9663">
      <c r="A9663" s="3" t="inlineStr">
        <is>
          <t>9627</t>
        </is>
      </c>
      <c r="B9663" s="4" t="s">
        <f>=HYPERLINK("http://anyluxury.ru/shop/odezhda/kurtki/kurtka-muzhskaya-falcon-men-yarkosinyaya-03827241/" , "03827241 Куртка мужская Falcon Men, ярко-синяя, размер 4XL")</f>
      </c>
      <c r="C9663" s="4" t="n">
        <v>6465.00</v>
      </c>
      <c r="D9663" s="4"/>
    </row>
    <row collapsed="" customFormat="false" customHeight="1" hidden="" ht="14" outlineLevel="0" r="9664">
      <c r="A9664" s="3" t="inlineStr">
        <is>
          <t>9628</t>
        </is>
      </c>
      <c r="B9664" s="4" t="s">
        <f>=HYPERLINK("http://anyluxury.ru/shop/odezhda/kurtki/kurtka-zhenskaya-falcon-women-sinyaya-03828232/" , "03828232 Куртка женская Falcon Women, синяя, размер S")</f>
      </c>
      <c r="C9664" s="4" t="n">
        <v>5184.00</v>
      </c>
      <c r="D9664" s="4"/>
    </row>
    <row collapsed="" customFormat="false" customHeight="1" hidden="" ht="14" outlineLevel="0" r="9665">
      <c r="A9665" s="3" t="inlineStr">
        <is>
          <t>9629</t>
        </is>
      </c>
      <c r="B9665" s="4" t="s">
        <f>=HYPERLINK("http://anyluxury.ru/shop/odezhda/kurtki/kurtka-zhenskaya-falcon-women-sinyaya-03828232/" , "03828232 Куртка женская Falcon Women, синяя, размер M")</f>
      </c>
      <c r="C9665" s="4" t="n">
        <v>5184.00</v>
      </c>
      <c r="D9665" s="4"/>
    </row>
    <row collapsed="" customFormat="false" customHeight="1" hidden="" ht="14" outlineLevel="0" r="9666">
      <c r="A9666" s="3" t="inlineStr">
        <is>
          <t>9630</t>
        </is>
      </c>
      <c r="B9666" s="4" t="s">
        <f>=HYPERLINK("http://anyluxury.ru/shop/odezhda/kurtki/kurtka-zhenskaya-falcon-women-sinyaya-03828232/" , "03828232 Куртка женская Falcon Women, синяя, размер L")</f>
      </c>
      <c r="C9666" s="4" t="n">
        <v>5184.00</v>
      </c>
      <c r="D9666" s="4"/>
    </row>
    <row collapsed="" customFormat="false" customHeight="1" hidden="" ht="14" outlineLevel="0" r="9667">
      <c r="A9667" s="3" t="inlineStr">
        <is>
          <t>9631</t>
        </is>
      </c>
      <c r="B9667" s="4" t="s">
        <f>=HYPERLINK("http://anyluxury.ru/shop/odezhda/kurtki/kurtka-zhenskaya-falcon-women-sinyaya-03828232/" , "03828232 Куртка женская Falcon Women, синяя, размер XL")</f>
      </c>
      <c r="C9667" s="4" t="n">
        <v>5184.00</v>
      </c>
      <c r="D9667" s="4"/>
    </row>
    <row collapsed="" customFormat="false" customHeight="1" hidden="" ht="14" outlineLevel="0" r="9668">
      <c r="A9668" s="3" t="inlineStr">
        <is>
          <t>9632</t>
        </is>
      </c>
      <c r="B9668" s="4" t="s">
        <f>=HYPERLINK("http://anyluxury.ru/shop/odezhda/kurtki/kurtka-zhenskaya-falcon-women-sinyaya-03828232/" , "03828232 Куртка женская Falcon Women, синяя, размер XXL")</f>
      </c>
      <c r="C9668" s="4" t="n">
        <v>5184.00</v>
      </c>
      <c r="D9668" s="4"/>
    </row>
    <row collapsed="" customFormat="false" customHeight="1" hidden="" ht="14" outlineLevel="0" r="9669">
      <c r="A9669" s="3" t="inlineStr">
        <is>
          <t>9633</t>
        </is>
      </c>
      <c r="B9669" s="4" t="s">
        <f>=HYPERLINK("http://anyluxury.ru/shop/odezhda/kurtki/kurtka-zhenskaya-falcon-women-sinyaya-03828232/" , "03828232 Куртка женская Falcon Women, синяя, размер 3XL")</f>
      </c>
      <c r="C9669" s="4" t="n">
        <v>5878.00</v>
      </c>
      <c r="D9669" s="4"/>
    </row>
    <row collapsed="" customFormat="false" customHeight="1" hidden="" ht="14" outlineLevel="0" r="9670">
      <c r="A9670" s="3" t="inlineStr">
        <is>
          <t>9634</t>
        </is>
      </c>
      <c r="B9670" s="4" t="s">
        <f>=HYPERLINK("http://anyluxury.ru/shop/odezhda/kurtki/kurtka-zhenskaya-falcon-women-chernaya-03828312/" , "03828312 Куртка женская Falcon Women, черная, размер S")</f>
      </c>
      <c r="C9670" s="4" t="n">
        <v>5184.00</v>
      </c>
      <c r="D9670" s="4"/>
    </row>
    <row collapsed="" customFormat="false" customHeight="1" hidden="" ht="14" outlineLevel="0" r="9671">
      <c r="A9671" s="3" t="inlineStr">
        <is>
          <t>9635</t>
        </is>
      </c>
      <c r="B9671" s="4" t="s">
        <f>=HYPERLINK("http://anyluxury.ru/shop/odezhda/kurtki/kurtka-zhenskaya-falcon-women-chernaya-03828312/" , "03828312 Куртка женская Falcon Women, черная, размер M")</f>
      </c>
      <c r="C9671" s="4" t="n">
        <v>5184.00</v>
      </c>
      <c r="D9671" s="4"/>
    </row>
    <row collapsed="" customFormat="false" customHeight="1" hidden="" ht="14" outlineLevel="0" r="9672">
      <c r="A9672" s="3" t="inlineStr">
        <is>
          <t>9636</t>
        </is>
      </c>
      <c r="B9672" s="4" t="s">
        <f>=HYPERLINK("http://anyluxury.ru/shop/odezhda/kurtki/kurtka-zhenskaya-falcon-women-chernaya-03828312/" , "03828312 Куртка женская Falcon Women, черная, размер L")</f>
      </c>
      <c r="C9672" s="4" t="n">
        <v>5184.00</v>
      </c>
      <c r="D9672" s="4"/>
    </row>
    <row collapsed="" customFormat="false" customHeight="1" hidden="" ht="14" outlineLevel="0" r="9673">
      <c r="A9673" s="3" t="inlineStr">
        <is>
          <t>9637</t>
        </is>
      </c>
      <c r="B9673" s="4" t="s">
        <f>=HYPERLINK("http://anyluxury.ru/shop/odezhda/kurtki/kurtka-zhenskaya-falcon-women-chernaya-03828312/" , "03828312 Куртка женская Falcon Women, черная, размер XL")</f>
      </c>
      <c r="C9673" s="4" t="n">
        <v>5184.00</v>
      </c>
      <c r="D9673" s="4"/>
    </row>
    <row collapsed="" customFormat="false" customHeight="1" hidden="" ht="14" outlineLevel="0" r="9674">
      <c r="A9674" s="3" t="inlineStr">
        <is>
          <t>9638</t>
        </is>
      </c>
      <c r="B9674" s="4" t="s">
        <f>=HYPERLINK("http://anyluxury.ru/shop/odezhda/kurtki/kurtka-zhenskaya-falcon-women-chernaya-03828312/" , "03828312 Куртка женская Falcon Women, черная, размер XXL")</f>
      </c>
      <c r="C9674" s="4" t="n">
        <v>5184.00</v>
      </c>
      <c r="D9674" s="4"/>
    </row>
    <row collapsed="" customFormat="false" customHeight="1" hidden="" ht="14" outlineLevel="0" r="9675">
      <c r="A9675" s="3" t="inlineStr">
        <is>
          <t>9639</t>
        </is>
      </c>
      <c r="B9675" s="4" t="s">
        <f>=HYPERLINK("http://anyluxury.ru/shop/odezhda/kurtki/kurtka-zhenskaya-falcon-women-chernaya-03828312/" , "03828312 Куртка женская Falcon Women, черная, размер 3XL")</f>
      </c>
      <c r="C9675" s="4" t="n">
        <v>5878.00</v>
      </c>
      <c r="D9675" s="4"/>
    </row>
    <row collapsed="" customFormat="false" customHeight="1" hidden="" ht="14" outlineLevel="0" r="9676">
      <c r="A9676" s="3" t="inlineStr">
        <is>
          <t>9640</t>
        </is>
      </c>
      <c r="B9676" s="4" t="s">
        <f>=HYPERLINK("http://anyluxury.ru/shop/odezhda/kurtki/kurtka-zhenskaya-falcon-women-temnoseraya-03828370/" , "03828370 Куртка женская Falcon Women, темно-серая, размер S")</f>
      </c>
      <c r="C9676" s="4" t="n">
        <v>5184.00</v>
      </c>
      <c r="D9676" s="4"/>
    </row>
    <row collapsed="" customFormat="false" customHeight="1" hidden="" ht="14" outlineLevel="0" r="9677">
      <c r="A9677" s="3" t="inlineStr">
        <is>
          <t>9641</t>
        </is>
      </c>
      <c r="B9677" s="4" t="s">
        <f>=HYPERLINK("http://anyluxury.ru/shop/odezhda/kurtki/kurtka-zhenskaya-falcon-women-temnoseraya-03828370/" , "03828370 Куртка женская Falcon Women, темно-серая, размер M")</f>
      </c>
      <c r="C9677" s="4" t="n">
        <v>5184.00</v>
      </c>
      <c r="D9677" s="4"/>
    </row>
    <row collapsed="" customFormat="false" customHeight="1" hidden="" ht="14" outlineLevel="0" r="9678">
      <c r="A9678" s="3" t="inlineStr">
        <is>
          <t>9642</t>
        </is>
      </c>
      <c r="B9678" s="4" t="s">
        <f>=HYPERLINK("http://anyluxury.ru/shop/odezhda/kurtki/kurtka-zhenskaya-falcon-women-temnoseraya-03828370/" , "03828370 Куртка женская Falcon Women, темно-серая, размер L")</f>
      </c>
      <c r="C9678" s="4" t="n">
        <v>5184.00</v>
      </c>
      <c r="D9678" s="4"/>
    </row>
    <row collapsed="" customFormat="false" customHeight="1" hidden="" ht="14" outlineLevel="0" r="9679">
      <c r="A9679" s="3" t="inlineStr">
        <is>
          <t>9643</t>
        </is>
      </c>
      <c r="B9679" s="4" t="s">
        <f>=HYPERLINK("http://anyluxury.ru/shop/odezhda/kurtki/kurtka-zhenskaya-falcon-women-temnoseraya-03828370/" , "03828370 Куртка женская Falcon Women, темно-серая, размер XL")</f>
      </c>
      <c r="C9679" s="4" t="n">
        <v>5184.00</v>
      </c>
      <c r="D9679" s="4"/>
    </row>
    <row collapsed="" customFormat="false" customHeight="1" hidden="" ht="14" outlineLevel="0" r="9680">
      <c r="A9680" s="3" t="inlineStr">
        <is>
          <t>9644</t>
        </is>
      </c>
      <c r="B9680" s="4" t="s">
        <f>=HYPERLINK("http://anyluxury.ru/shop/odezhda/kurtki/kurtka-zhenskaya-falcon-women-temnoseraya-03828370/" , "03828370 Куртка женская Falcon Women, темно-серая, размер XXL")</f>
      </c>
      <c r="C9680" s="4" t="n">
        <v>5184.00</v>
      </c>
      <c r="D9680" s="4"/>
    </row>
    <row collapsed="" customFormat="false" customHeight="1" hidden="" ht="14" outlineLevel="0" r="9681">
      <c r="A9681" s="3" t="inlineStr">
        <is>
          <t>9645</t>
        </is>
      </c>
      <c r="B9681" s="4" t="s">
        <f>=HYPERLINK("http://anyluxury.ru/shop/odezhda/kurtki/kurtka-zhenskaya-falcon-women-temnoseraya-03828370/" , "03828370 Куртка женская Falcon Women, темно-серая, размер 3XL")</f>
      </c>
      <c r="C9681" s="4" t="n">
        <v>5878.00</v>
      </c>
      <c r="D9681" s="4"/>
    </row>
    <row collapsed="" customFormat="false" customHeight="1" hidden="" ht="14" outlineLevel="0" r="9682">
      <c r="A9682" s="3" t="inlineStr">
        <is>
          <t>9646</t>
        </is>
      </c>
      <c r="B9682" s="4" t="s">
        <f>=HYPERLINK("http://anyluxury.ru/shop/odezhda/kurtki/kurtka-zhenskaya-falcon-women-temnozelenaya-03828266/" , "03828266 Куртка женская Falcon Women, темно-зеленая, размер S")</f>
      </c>
      <c r="C9682" s="4" t="n">
        <v>5184.00</v>
      </c>
      <c r="D9682" s="4"/>
    </row>
    <row collapsed="" customFormat="false" customHeight="1" hidden="" ht="14" outlineLevel="0" r="9683">
      <c r="A9683" s="3" t="inlineStr">
        <is>
          <t>9647</t>
        </is>
      </c>
      <c r="B9683" s="4" t="s">
        <f>=HYPERLINK("http://anyluxury.ru/shop/odezhda/kurtki/kurtka-zhenskaya-falcon-women-temnozelenaya-03828266/" , "03828266 Куртка женская Falcon Women, темно-зеленая, размер M")</f>
      </c>
      <c r="C9683" s="4" t="n">
        <v>5184.00</v>
      </c>
      <c r="D9683" s="4"/>
    </row>
    <row collapsed="" customFormat="false" customHeight="1" hidden="" ht="14" outlineLevel="0" r="9684">
      <c r="A9684" s="3" t="inlineStr">
        <is>
          <t>9648</t>
        </is>
      </c>
      <c r="B9684" s="4" t="s">
        <f>=HYPERLINK("http://anyluxury.ru/shop/odezhda/kurtki/kurtka-zhenskaya-falcon-women-temnozelenaya-03828266/" , "03828266 Куртка женская Falcon Women, темно-зеленая, размер L")</f>
      </c>
      <c r="C9684" s="4" t="n">
        <v>5184.00</v>
      </c>
      <c r="D9684" s="4"/>
    </row>
    <row collapsed="" customFormat="false" customHeight="1" hidden="" ht="14" outlineLevel="0" r="9685">
      <c r="A9685" s="3" t="inlineStr">
        <is>
          <t>9649</t>
        </is>
      </c>
      <c r="B9685" s="4" t="s">
        <f>=HYPERLINK("http://anyluxury.ru/shop/odezhda/kurtki/kurtka-zhenskaya-falcon-women-temnozelenaya-03828266/" , "03828266 Куртка женская Falcon Women, темно-зеленая, размер XL")</f>
      </c>
      <c r="C9685" s="4" t="n">
        <v>5184.00</v>
      </c>
      <c r="D9685" s="4"/>
    </row>
    <row collapsed="" customFormat="false" customHeight="1" hidden="" ht="14" outlineLevel="0" r="9686">
      <c r="A9686" s="3" t="inlineStr">
        <is>
          <t>9650</t>
        </is>
      </c>
      <c r="B9686" s="4" t="s">
        <f>=HYPERLINK("http://anyluxury.ru/shop/odezhda/kurtki/kurtka-zhenskaya-falcon-women-temnozelenaya-03828266/" , "03828266 Куртка женская Falcon Women, темно-зеленая, размер XXL")</f>
      </c>
      <c r="C9686" s="4" t="n">
        <v>5184.00</v>
      </c>
      <c r="D9686" s="4"/>
    </row>
    <row collapsed="" customFormat="false" customHeight="1" hidden="" ht="14" outlineLevel="0" r="9687">
      <c r="A9687" s="3" t="inlineStr">
        <is>
          <t>9651</t>
        </is>
      </c>
      <c r="B9687" s="4" t="s">
        <f>=HYPERLINK("http://anyluxury.ru/shop/odezhda/kurtki/kurtka-zhenskaya-falcon-women-temnozelenaya-03828266/" , "03828266 Куртка женская Falcon Women, темно-зеленая, размер 3XL")</f>
      </c>
      <c r="C9687" s="4" t="n">
        <v>5878.00</v>
      </c>
      <c r="D9687" s="4"/>
    </row>
    <row collapsed="" customFormat="false" customHeight="1" hidden="" ht="14" outlineLevel="0" r="9688">
      <c r="A9688" s="3" t="inlineStr">
        <is>
          <t>9652</t>
        </is>
      </c>
      <c r="B9688" s="4" t="s">
        <f>=HYPERLINK("http://anyluxury.ru/shop/odezhda/kurtki/kurtka-zhenskaya-falcon-women-krasnaya-03828162/" , "03828162 Куртка женская Falcon Women, красная, размер S")</f>
      </c>
      <c r="C9688" s="4" t="n">
        <v>5184.00</v>
      </c>
      <c r="D9688" s="4"/>
    </row>
    <row collapsed="" customFormat="false" customHeight="1" hidden="" ht="14" outlineLevel="0" r="9689">
      <c r="A9689" s="3" t="inlineStr">
        <is>
          <t>9653</t>
        </is>
      </c>
      <c r="B9689" s="4" t="s">
        <f>=HYPERLINK("http://anyluxury.ru/shop/odezhda/kurtki/kurtka-zhenskaya-falcon-women-krasnaya-03828162/" , "03828162 Куртка женская Falcon Women, красная, размер M")</f>
      </c>
      <c r="C9689" s="4" t="n">
        <v>5184.00</v>
      </c>
      <c r="D9689" s="4"/>
    </row>
    <row collapsed="" customFormat="false" customHeight="1" hidden="" ht="14" outlineLevel="0" r="9690">
      <c r="A9690" s="3" t="inlineStr">
        <is>
          <t>9654</t>
        </is>
      </c>
      <c r="B9690" s="4" t="s">
        <f>=HYPERLINK("http://anyluxury.ru/shop/odezhda/kurtki/kurtka-zhenskaya-falcon-women-krasnaya-03828162/" , "03828162 Куртка женская Falcon Women, красная, размер L")</f>
      </c>
      <c r="C9690" s="4" t="n">
        <v>5184.00</v>
      </c>
      <c r="D9690" s="4"/>
    </row>
    <row collapsed="" customFormat="false" customHeight="1" hidden="" ht="14" outlineLevel="0" r="9691">
      <c r="A9691" s="3" t="inlineStr">
        <is>
          <t>9655</t>
        </is>
      </c>
      <c r="B9691" s="4" t="s">
        <f>=HYPERLINK("http://anyluxury.ru/shop/odezhda/kurtki/kurtka-zhenskaya-falcon-women-krasnaya-03828162/" , "03828162 Куртка женская Falcon Women, красная, размер XL")</f>
      </c>
      <c r="C9691" s="4" t="n">
        <v>5184.00</v>
      </c>
      <c r="D9691" s="4"/>
    </row>
    <row collapsed="" customFormat="false" customHeight="1" hidden="" ht="14" outlineLevel="0" r="9692">
      <c r="A9692" s="3" t="inlineStr">
        <is>
          <t>9656</t>
        </is>
      </c>
      <c r="B9692" s="4" t="s">
        <f>=HYPERLINK("http://anyluxury.ru/shop/odezhda/kurtki/kurtka-zhenskaya-falcon-women-krasnaya-03828162/" , "03828162 Куртка женская Falcon Women, красная, размер XXL")</f>
      </c>
      <c r="C9692" s="4" t="n">
        <v>5184.00</v>
      </c>
      <c r="D9692" s="4"/>
    </row>
    <row collapsed="" customFormat="false" customHeight="1" hidden="" ht="14" outlineLevel="0" r="9693">
      <c r="A9693" s="3" t="inlineStr">
        <is>
          <t>9657</t>
        </is>
      </c>
      <c r="B9693" s="4" t="s">
        <f>=HYPERLINK("http://anyluxury.ru/shop/odezhda/kurtki/kurtka-zhenskaya-falcon-women-krasnaya-03828162/" , "03828162 Куртка женская Falcon Women, красная, размер 3XL")</f>
      </c>
      <c r="C9693" s="4" t="n">
        <v>5878.00</v>
      </c>
      <c r="D9693" s="4"/>
    </row>
    <row collapsed="" customFormat="false" customHeight="1" hidden="" ht="14" outlineLevel="0" r="9694">
      <c r="A9694" s="3" t="inlineStr">
        <is>
          <t>9658</t>
        </is>
      </c>
      <c r="B9694" s="4" t="s">
        <f>=HYPERLINK("http://anyluxury.ru/shop/odezhda/kurtki/kurtka-zhenskaya-falcon-women-yarkosinyaya-03828241/" , "03828241 Куртка женская Falcon Women, ярко-синяя, размер S")</f>
      </c>
      <c r="C9694" s="4" t="n">
        <v>5184.00</v>
      </c>
      <c r="D9694" s="4"/>
    </row>
    <row collapsed="" customFormat="false" customHeight="1" hidden="" ht="14" outlineLevel="0" r="9695">
      <c r="A9695" s="3" t="inlineStr">
        <is>
          <t>9659</t>
        </is>
      </c>
      <c r="B9695" s="4" t="s">
        <f>=HYPERLINK("http://anyluxury.ru/shop/odezhda/kurtki/kurtka-zhenskaya-falcon-women-yarkosinyaya-03828241/" , "03828241 Куртка женская Falcon Women, ярко-синяя, размер M")</f>
      </c>
      <c r="C9695" s="4" t="n">
        <v>5184.00</v>
      </c>
      <c r="D9695" s="4"/>
    </row>
    <row collapsed="" customFormat="false" customHeight="1" hidden="" ht="14" outlineLevel="0" r="9696">
      <c r="A9696" s="3" t="inlineStr">
        <is>
          <t>9660</t>
        </is>
      </c>
      <c r="B9696" s="4" t="s">
        <f>=HYPERLINK("http://anyluxury.ru/shop/odezhda/kurtki/kurtka-zhenskaya-falcon-women-yarkosinyaya-03828241/" , "03828241 Куртка женская Falcon Women, ярко-синяя, размер L")</f>
      </c>
      <c r="C9696" s="4" t="n">
        <v>5184.00</v>
      </c>
      <c r="D9696" s="4"/>
    </row>
    <row collapsed="" customFormat="false" customHeight="1" hidden="" ht="14" outlineLevel="0" r="9697">
      <c r="A9697" s="3" t="inlineStr">
        <is>
          <t>9661</t>
        </is>
      </c>
      <c r="B9697" s="4" t="s">
        <f>=HYPERLINK("http://anyluxury.ru/shop/odezhda/kurtki/kurtka-zhenskaya-falcon-women-yarkosinyaya-03828241/" , "03828241 Куртка женская Falcon Women, ярко-синяя, размер XL")</f>
      </c>
      <c r="C9697" s="4" t="n">
        <v>5184.00</v>
      </c>
      <c r="D9697" s="4"/>
    </row>
    <row collapsed="" customFormat="false" customHeight="1" hidden="" ht="14" outlineLevel="0" r="9698">
      <c r="A9698" s="3" t="inlineStr">
        <is>
          <t>9662</t>
        </is>
      </c>
      <c r="B9698" s="4" t="s">
        <f>=HYPERLINK("http://anyluxury.ru/shop/odezhda/kurtki/kurtka-zhenskaya-falcon-women-yarkosinyaya-03828241/" , "03828241 Куртка женская Falcon Women, ярко-синяя, размер XXL")</f>
      </c>
      <c r="C9698" s="4" t="n">
        <v>5184.00</v>
      </c>
      <c r="D9698" s="4"/>
    </row>
    <row collapsed="" customFormat="false" customHeight="1" hidden="" ht="14" outlineLevel="0" r="9699">
      <c r="A9699" s="3" t="inlineStr">
        <is>
          <t>9663</t>
        </is>
      </c>
      <c r="B9699" s="4" t="s">
        <f>=HYPERLINK("http://anyluxury.ru/shop/odezhda/kurtki/kurtka-zhenskaya-falcon-women-yarkosinyaya-03828241/" , "03828241 Куртка женская Falcon Women, ярко-синяя, размер 3XL")</f>
      </c>
      <c r="C9699" s="4" t="n">
        <v>5878.00</v>
      </c>
      <c r="D9699" s="4"/>
    </row>
    <row collapsed="" customFormat="false" customHeight="1" hidden="" ht="14" outlineLevel="0" r="9700">
      <c r="A9700" s="3" t="inlineStr">
        <is>
          <t>9664</t>
        </is>
      </c>
      <c r="B9700" s="4" t="s">
        <f>=HYPERLINK("http://anyluxury.ru/shop/odezhda/kurtki/kurtka-warp-seraya-1431611/" , "14316.11 Куртка Warp, серая, размер XS")</f>
      </c>
      <c r="C9700" s="4" t="n">
        <v>9000.00</v>
      </c>
      <c r="D9700" s="4"/>
    </row>
    <row collapsed="" customFormat="false" customHeight="1" hidden="" ht="14" outlineLevel="0" r="9701">
      <c r="A9701" s="3" t="inlineStr">
        <is>
          <t>9665</t>
        </is>
      </c>
      <c r="B9701" s="4" t="s">
        <f>=HYPERLINK("http://anyluxury.ru/shop/odezhda/kurtki/kurtka-warp-seraya-1431611/" , "14316.11 Куртка Warp, серая, размер S")</f>
      </c>
      <c r="C9701" s="4" t="n">
        <v>9000.00</v>
      </c>
      <c r="D9701" s="4"/>
    </row>
    <row collapsed="" customFormat="false" customHeight="1" hidden="" ht="14" outlineLevel="0" r="9702">
      <c r="A9702" s="3" t="inlineStr">
        <is>
          <t>9666</t>
        </is>
      </c>
      <c r="B9702" s="4" t="s">
        <f>=HYPERLINK("http://anyluxury.ru/shop/odezhda/kurtki/kurtka-warp-seraya-1431611/" , "14316.11 Куртка Warp, серая, размер M")</f>
      </c>
      <c r="C9702" s="4" t="n">
        <v>9000.00</v>
      </c>
      <c r="D9702" s="4"/>
    </row>
    <row collapsed="" customFormat="false" customHeight="1" hidden="" ht="14" outlineLevel="0" r="9703">
      <c r="A9703" s="3" t="inlineStr">
        <is>
          <t>9667</t>
        </is>
      </c>
      <c r="B9703" s="4" t="s">
        <f>=HYPERLINK("http://anyluxury.ru/shop/odezhda/kurtki/kurtka-warp-seraya-1431611/" , "14316.11 Куртка Warp, серая, размер L")</f>
      </c>
      <c r="C9703" s="4" t="n">
        <v>9000.00</v>
      </c>
      <c r="D9703" s="4"/>
    </row>
    <row collapsed="" customFormat="false" customHeight="1" hidden="" ht="14" outlineLevel="0" r="9704">
      <c r="A9704" s="3" t="inlineStr">
        <is>
          <t>9668</t>
        </is>
      </c>
      <c r="B9704" s="4" t="s">
        <f>=HYPERLINK("http://anyluxury.ru/shop/odezhda/kurtki/kurtka-warp-seraya-1431611/" , "14316.11 Куртка Warp, серая, размер XL")</f>
      </c>
      <c r="C9704" s="4" t="n">
        <v>9000.00</v>
      </c>
      <c r="D9704" s="4"/>
    </row>
    <row collapsed="" customFormat="false" customHeight="1" hidden="" ht="14" outlineLevel="0" r="9705">
      <c r="A9705" s="3" t="inlineStr">
        <is>
          <t>9669</t>
        </is>
      </c>
      <c r="B9705" s="4" t="s">
        <f>=HYPERLINK("http://anyluxury.ru/shop/odezhda/kurtki/kurtka-warp-chernaya-1431630/" , "14316.30 Куртка Warp, черная, размер XS")</f>
      </c>
      <c r="C9705" s="4" t="n">
        <v>9000.00</v>
      </c>
      <c r="D9705" s="4"/>
    </row>
    <row collapsed="" customFormat="false" customHeight="1" hidden="" ht="14" outlineLevel="0" r="9706">
      <c r="A9706" s="3" t="inlineStr">
        <is>
          <t>9670</t>
        </is>
      </c>
      <c r="B9706" s="4" t="s">
        <f>=HYPERLINK("http://anyluxury.ru/shop/odezhda/kurtki/kurtka-warp-chernaya-1431630/" , "14316.30 Куртка Warp, черная, размер S")</f>
      </c>
      <c r="C9706" s="4" t="n">
        <v>9000.00</v>
      </c>
      <c r="D9706" s="4"/>
    </row>
    <row collapsed="" customFormat="false" customHeight="1" hidden="" ht="14" outlineLevel="0" r="9707">
      <c r="A9707" s="3" t="inlineStr">
        <is>
          <t>9671</t>
        </is>
      </c>
      <c r="B9707" s="4" t="s">
        <f>=HYPERLINK("http://anyluxury.ru/shop/odezhda/kurtki/kurtka-warp-chernaya-1431630/" , "14316.30 Куртка Warp, черная, размер M")</f>
      </c>
      <c r="C9707" s="4" t="n">
        <v>9000.00</v>
      </c>
      <c r="D9707" s="4"/>
    </row>
    <row collapsed="" customFormat="false" customHeight="1" hidden="" ht="14" outlineLevel="0" r="9708">
      <c r="A9708" s="3" t="inlineStr">
        <is>
          <t>9672</t>
        </is>
      </c>
      <c r="B9708" s="4" t="s">
        <f>=HYPERLINK("http://anyluxury.ru/shop/odezhda/kurtki/kurtka-warp-chernaya-1431630/" , "14316.30 Куртка Warp, черная, размер L")</f>
      </c>
      <c r="C9708" s="4" t="n">
        <v>9000.00</v>
      </c>
      <c r="D9708" s="4"/>
    </row>
    <row collapsed="" customFormat="false" customHeight="1" hidden="" ht="14" outlineLevel="0" r="9709">
      <c r="A9709" s="3" t="inlineStr">
        <is>
          <t>9673</t>
        </is>
      </c>
      <c r="B9709" s="4" t="s">
        <f>=HYPERLINK("http://anyluxury.ru/shop/odezhda/kurtki/kurtka-warp-chernaya-1431630/" , "14316.30 Куртка Warp, черная, размер XL")</f>
      </c>
      <c r="C9709" s="4" t="n">
        <v>9000.00</v>
      </c>
      <c r="D9709" s="4"/>
    </row>
    <row collapsed="" customFormat="false" customHeight="1" hidden="" ht="14" outlineLevel="0" r="9710">
      <c r="A9710" s="3" t="inlineStr">
        <is>
          <t>9674</t>
        </is>
      </c>
      <c r="B9710" s="4" t="s">
        <f>=HYPERLINK("http://anyluxury.ru/shop/odezhda/kurtki/kurtka-armo-seraya-1431711/" , "14317.11 Куртка Armo, серая, размер XS")</f>
      </c>
      <c r="C9710" s="4" t="n">
        <v>14000.00</v>
      </c>
      <c r="D9710" s="4"/>
    </row>
    <row collapsed="" customFormat="false" customHeight="1" hidden="" ht="14" outlineLevel="0" r="9711">
      <c r="A9711" s="3" t="inlineStr">
        <is>
          <t>9675</t>
        </is>
      </c>
      <c r="B9711" s="4" t="s">
        <f>=HYPERLINK("http://anyluxury.ru/shop/odezhda/kurtki/kurtka-armo-seraya-1431711/" , "14317.11 Куртка Armo, серая, размер S")</f>
      </c>
      <c r="C9711" s="4" t="n">
        <v>14000.00</v>
      </c>
      <c r="D9711" s="4"/>
    </row>
    <row collapsed="" customFormat="false" customHeight="1" hidden="" ht="14" outlineLevel="0" r="9712">
      <c r="A9712" s="3" t="inlineStr">
        <is>
          <t>9676</t>
        </is>
      </c>
      <c r="B9712" s="4" t="s">
        <f>=HYPERLINK("http://anyluxury.ru/shop/odezhda/kurtki/kurtka-armo-seraya-1431711/" , "14317.11 Куртка Armo, серая, размер M")</f>
      </c>
      <c r="C9712" s="4" t="n">
        <v>14000.00</v>
      </c>
      <c r="D9712" s="4"/>
    </row>
    <row collapsed="" customFormat="false" customHeight="1" hidden="" ht="14" outlineLevel="0" r="9713">
      <c r="A9713" s="3" t="inlineStr">
        <is>
          <t>9677</t>
        </is>
      </c>
      <c r="B9713" s="4" t="s">
        <f>=HYPERLINK("http://anyluxury.ru/shop/odezhda/kurtki/kurtka-armo-seraya-1431711/" , "14317.11 Куртка Armo, серая, размер L")</f>
      </c>
      <c r="C9713" s="4" t="n">
        <v>14000.00</v>
      </c>
      <c r="D9713" s="4"/>
    </row>
    <row collapsed="" customFormat="false" customHeight="1" hidden="" ht="14" outlineLevel="0" r="9714">
      <c r="A9714" s="3" t="inlineStr">
        <is>
          <t>9678</t>
        </is>
      </c>
      <c r="B9714" s="4" t="s">
        <f>=HYPERLINK("http://anyluxury.ru/shop/odezhda/kurtki/kurtka-armo-seraya-1431711/" , "14317.11 Куртка Armo, серая, размер XL")</f>
      </c>
      <c r="C9714" s="4" t="n">
        <v>14000.00</v>
      </c>
      <c r="D9714" s="4"/>
    </row>
    <row collapsed="" customFormat="false" customHeight="1" hidden="" ht="14" outlineLevel="0" r="9715">
      <c r="A9715" s="3" t="inlineStr">
        <is>
          <t>9679</t>
        </is>
      </c>
      <c r="B9715" s="4" t="s">
        <f>=HYPERLINK("http://anyluxury.ru/shop/odezhda/kurtki/kurtka-armo-chernaya-1431730/" , "14317.30 Куртка Armo, черная, размер XS")</f>
      </c>
      <c r="C9715" s="4" t="n">
        <v>14000.00</v>
      </c>
      <c r="D9715" s="4"/>
    </row>
    <row collapsed="" customFormat="false" customHeight="1" hidden="" ht="14" outlineLevel="0" r="9716">
      <c r="A9716" s="3" t="inlineStr">
        <is>
          <t>9680</t>
        </is>
      </c>
      <c r="B9716" s="4" t="s">
        <f>=HYPERLINK("http://anyluxury.ru/shop/odezhda/kurtki/kurtka-armo-chernaya-1431730/" , "14317.30 Куртка Armo, черная, размер S")</f>
      </c>
      <c r="C9716" s="4" t="n">
        <v>14000.00</v>
      </c>
      <c r="D9716" s="4"/>
    </row>
    <row collapsed="" customFormat="false" customHeight="1" hidden="" ht="14" outlineLevel="0" r="9717">
      <c r="A9717" s="3" t="inlineStr">
        <is>
          <t>9681</t>
        </is>
      </c>
      <c r="B9717" s="4" t="s">
        <f>=HYPERLINK("http://anyluxury.ru/shop/odezhda/kurtki/kurtka-armo-chernaya-1431730/" , "14317.30 Куртка Armo, черная, размер M")</f>
      </c>
      <c r="C9717" s="4" t="n">
        <v>14000.00</v>
      </c>
      <c r="D9717" s="4"/>
    </row>
    <row collapsed="" customFormat="false" customHeight="1" hidden="" ht="14" outlineLevel="0" r="9718">
      <c r="A9718" s="3" t="inlineStr">
        <is>
          <t>9682</t>
        </is>
      </c>
      <c r="B9718" s="4" t="s">
        <f>=HYPERLINK("http://anyluxury.ru/shop/odezhda/kurtki/kurtka-armo-chernaya-1431730/" , "14317.30 Куртка Armo, черная, размер L")</f>
      </c>
      <c r="C9718" s="4" t="n">
        <v>14000.00</v>
      </c>
      <c r="D9718" s="4"/>
    </row>
    <row collapsed="" customFormat="false" customHeight="1" hidden="" ht="14" outlineLevel="0" r="9719">
      <c r="A9719" s="3" t="inlineStr">
        <is>
          <t>9683</t>
        </is>
      </c>
      <c r="B9719" s="4" t="s">
        <f>=HYPERLINK("http://anyluxury.ru/shop/odezhda/kurtki/kurtka-armo-chernaya-1431730/" , "14317.30 Куртка Armo, черная, размер XL")</f>
      </c>
      <c r="C9719" s="4" t="n">
        <v>14000.00</v>
      </c>
      <c r="D9719" s="4"/>
    </row>
    <row collapsed="" customFormat="false" customHeight="1" hidden="" ht="14" outlineLevel="0" r="9720">
      <c r="A9720" s="3" t="inlineStr">
        <is>
          <t>9684</t>
        </is>
      </c>
      <c r="B9720" s="4" t="s">
        <f>=HYPERLINK("http://anyluxury.ru/shop/odezhda/kurtki/kurtka-secur-seraya-1431811/" , "14318.11 Куртка Secur, серая, размер XS")</f>
      </c>
      <c r="C9720" s="4" t="n">
        <v>14000.00</v>
      </c>
      <c r="D9720" s="4"/>
    </row>
    <row collapsed="" customFormat="false" customHeight="1" hidden="" ht="14" outlineLevel="0" r="9721">
      <c r="A9721" s="3" t="inlineStr">
        <is>
          <t>9685</t>
        </is>
      </c>
      <c r="B9721" s="4" t="s">
        <f>=HYPERLINK("http://anyluxury.ru/shop/odezhda/kurtki/kurtka-secur-seraya-1431811/" , "14318.11 Куртка Secur, серая, размер S")</f>
      </c>
      <c r="C9721" s="4" t="n">
        <v>14000.00</v>
      </c>
      <c r="D9721" s="4"/>
    </row>
    <row collapsed="" customFormat="false" customHeight="1" hidden="" ht="14" outlineLevel="0" r="9722">
      <c r="A9722" s="3" t="inlineStr">
        <is>
          <t>9686</t>
        </is>
      </c>
      <c r="B9722" s="4" t="s">
        <f>=HYPERLINK("http://anyluxury.ru/shop/odezhda/kurtki/kurtka-secur-seraya-1431811/" , "14318.11 Куртка Secur, серая, размер M")</f>
      </c>
      <c r="C9722" s="4" t="n">
        <v>14000.00</v>
      </c>
      <c r="D9722" s="4"/>
    </row>
    <row collapsed="" customFormat="false" customHeight="1" hidden="" ht="14" outlineLevel="0" r="9723">
      <c r="A9723" s="3" t="inlineStr">
        <is>
          <t>9687</t>
        </is>
      </c>
      <c r="B9723" s="4" t="s">
        <f>=HYPERLINK("http://anyluxury.ru/shop/odezhda/kurtki/kurtka-secur-seraya-1431811/" , "14318.11 Куртка Secur, серая, размер L")</f>
      </c>
      <c r="C9723" s="4" t="n">
        <v>14000.00</v>
      </c>
      <c r="D9723" s="4"/>
    </row>
    <row collapsed="" customFormat="false" customHeight="1" hidden="" ht="14" outlineLevel="0" r="9724">
      <c r="A9724" s="3" t="inlineStr">
        <is>
          <t>9688</t>
        </is>
      </c>
      <c r="B9724" s="4" t="s">
        <f>=HYPERLINK("http://anyluxury.ru/shop/odezhda/kurtki/kurtka-secur-seraya-1431811/" , "14318.11 Куртка Secur, серая, размер XL")</f>
      </c>
      <c r="C9724" s="4" t="n">
        <v>14000.00</v>
      </c>
      <c r="D9724" s="4"/>
    </row>
    <row collapsed="" customFormat="false" customHeight="1" hidden="" ht="14" outlineLevel="0" r="9725">
      <c r="A9725" s="3" t="inlineStr">
        <is>
          <t>9689</t>
        </is>
      </c>
      <c r="B9725" s="4" t="s">
        <f>=HYPERLINK("http://anyluxury.ru/shop/odezhda/kurtki/kurtka-secur-chernaya-1431830/" , "14318.30 Куртка Secur, черная, размер XS")</f>
      </c>
      <c r="C9725" s="4" t="n">
        <v>14000.00</v>
      </c>
      <c r="D9725" s="4"/>
    </row>
    <row collapsed="" customFormat="false" customHeight="1" hidden="" ht="14" outlineLevel="0" r="9726">
      <c r="A9726" s="3" t="inlineStr">
        <is>
          <t>9690</t>
        </is>
      </c>
      <c r="B9726" s="4" t="s">
        <f>=HYPERLINK("http://anyluxury.ru/shop/odezhda/kurtki/kurtka-secur-chernaya-1431830/" , "14318.30 Куртка Secur, черная, размер S")</f>
      </c>
      <c r="C9726" s="4" t="n">
        <v>14000.00</v>
      </c>
      <c r="D9726" s="4"/>
    </row>
    <row collapsed="" customFormat="false" customHeight="1" hidden="" ht="14" outlineLevel="0" r="9727">
      <c r="A9727" s="3" t="inlineStr">
        <is>
          <t>9691</t>
        </is>
      </c>
      <c r="B9727" s="4" t="s">
        <f>=HYPERLINK("http://anyluxury.ru/shop/odezhda/kurtki/kurtka-secur-chernaya-1431830/" , "14318.30 Куртка Secur, черная, размер M")</f>
      </c>
      <c r="C9727" s="4" t="n">
        <v>14000.00</v>
      </c>
      <c r="D9727" s="4"/>
    </row>
    <row collapsed="" customFormat="false" customHeight="1" hidden="" ht="14" outlineLevel="0" r="9728">
      <c r="A9728" s="3" t="inlineStr">
        <is>
          <t>9692</t>
        </is>
      </c>
      <c r="B9728" s="4" t="s">
        <f>=HYPERLINK("http://anyluxury.ru/shop/odezhda/kurtki/kurtka-secur-chernaya-1431830/" , "14318.30 Куртка Secur, черная, размер L")</f>
      </c>
      <c r="C9728" s="4" t="n">
        <v>14000.00</v>
      </c>
      <c r="D9728" s="4"/>
    </row>
    <row collapsed="" customFormat="false" customHeight="1" hidden="" ht="14" outlineLevel="0" r="9729">
      <c r="A9729" s="3" t="inlineStr">
        <is>
          <t>9693</t>
        </is>
      </c>
      <c r="B9729" s="4" t="s">
        <f>=HYPERLINK("http://anyluxury.ru/shop/odezhda/kurtki/kurtka-secur-chernaya-1431830/" , "14318.30 Куртка Secur, черная, размер XL")</f>
      </c>
      <c r="C9729" s="4" t="n">
        <v>14000.00</v>
      </c>
      <c r="D9729" s="4"/>
    </row>
    <row collapsed="" customFormat="false" customHeight="1" hidden="" ht="14" outlineLevel="0" r="9730">
      <c r="A9730" s="3" t="inlineStr">
        <is>
          <t>9694</t>
        </is>
      </c>
      <c r="B9730" s="4" t="s">
        <f>=HYPERLINK("http://anyluxury.ru/shop/odezhda/kurtki/kurtkatransformer-uniseks-falcon-sinyaya-03995232/" , "03995232 Куртка-трансформер унисекс Falcon, синяя, размер XS")</f>
      </c>
      <c r="C9730" s="4" t="n">
        <v>10582.00</v>
      </c>
      <c r="D9730" s="4"/>
    </row>
    <row collapsed="" customFormat="false" customHeight="1" hidden="" ht="14" outlineLevel="0" r="9731">
      <c r="A9731" s="3" t="inlineStr">
        <is>
          <t>9695</t>
        </is>
      </c>
      <c r="B9731" s="4" t="s">
        <f>=HYPERLINK("http://anyluxury.ru/shop/odezhda/kurtki/kurtkatransformer-uniseks-falcon-sinyaya-03995232/" , "03995232 Куртка-трансформер унисекс Falcon, синяя, размер S")</f>
      </c>
      <c r="C9731" s="4" t="n">
        <v>10582.00</v>
      </c>
      <c r="D9731" s="4"/>
    </row>
    <row collapsed="" customFormat="false" customHeight="1" hidden="" ht="14" outlineLevel="0" r="9732">
      <c r="A9732" s="3" t="inlineStr">
        <is>
          <t>9696</t>
        </is>
      </c>
      <c r="B9732" s="4" t="s">
        <f>=HYPERLINK("http://anyluxury.ru/shop/odezhda/kurtki/kurtkatransformer-uniseks-falcon-sinyaya-03995232/" , "03995232 Куртка-трансформер унисекс Falcon, синяя, размер M")</f>
      </c>
      <c r="C9732" s="4" t="n">
        <v>10582.00</v>
      </c>
      <c r="D9732" s="4"/>
    </row>
    <row collapsed="" customFormat="false" customHeight="1" hidden="" ht="14" outlineLevel="0" r="9733">
      <c r="A9733" s="3" t="inlineStr">
        <is>
          <t>9697</t>
        </is>
      </c>
      <c r="B9733" s="4" t="s">
        <f>=HYPERLINK("http://anyluxury.ru/shop/odezhda/kurtki/kurtkatransformer-uniseks-falcon-sinyaya-03995232/" , "03995232 Куртка-трансформер унисекс Falcon, синяя, размер L")</f>
      </c>
      <c r="C9733" s="4" t="n">
        <v>10582.00</v>
      </c>
      <c r="D9733" s="4"/>
    </row>
    <row collapsed="" customFormat="false" customHeight="1" hidden="" ht="14" outlineLevel="0" r="9734">
      <c r="A9734" s="3" t="inlineStr">
        <is>
          <t>9698</t>
        </is>
      </c>
      <c r="B9734" s="4" t="s">
        <f>=HYPERLINK("http://anyluxury.ru/shop/odezhda/kurtki/kurtkatransformer-uniseks-falcon-sinyaya-03995232/" , "03995232 Куртка-трансформер унисекс Falcon, синяя, размер XL")</f>
      </c>
      <c r="C9734" s="4" t="n">
        <v>10582.00</v>
      </c>
      <c r="D9734" s="4"/>
    </row>
    <row collapsed="" customFormat="false" customHeight="1" hidden="" ht="14" outlineLevel="0" r="9735">
      <c r="A9735" s="3" t="inlineStr">
        <is>
          <t>9699</t>
        </is>
      </c>
      <c r="B9735" s="4" t="s">
        <f>=HYPERLINK("http://anyluxury.ru/shop/odezhda/kurtki/kurtkatransformer-uniseks-falcon-sinyaya-03995232/" , "03995232 Куртка-трансформер унисекс Falcon, синяя, размер XXL")</f>
      </c>
      <c r="C9735" s="4" t="n">
        <v>10582.00</v>
      </c>
      <c r="D9735" s="4"/>
    </row>
    <row collapsed="" customFormat="false" customHeight="1" hidden="" ht="14" outlineLevel="0" r="9736">
      <c r="A9736" s="3" t="inlineStr">
        <is>
          <t>9700</t>
        </is>
      </c>
      <c r="B9736" s="4" t="s">
        <f>=HYPERLINK("http://anyluxury.ru/shop/odezhda/kurtki/kurtkatransformer-uniseks-falcon-sinyaya-03995232/" , "03995232 Куртка-трансформер унисекс Falcon, синяя, размер 3XL")</f>
      </c>
      <c r="C9736" s="4" t="n">
        <v>12407.00</v>
      </c>
      <c r="D9736" s="4"/>
    </row>
    <row collapsed="" customFormat="false" customHeight="1" hidden="" ht="14" outlineLevel="0" r="9737">
      <c r="A9737" s="3" t="inlineStr">
        <is>
          <t>9701</t>
        </is>
      </c>
      <c r="B9737" s="4" t="s">
        <f>=HYPERLINK("http://anyluxury.ru/shop/odezhda/kurtki/kurtkatransformer-uniseks-falcon-sinyaya-03995232/" , "03995232 Куртка-трансформер унисекс Falcon, синяя, размер 4XL")</f>
      </c>
      <c r="C9737" s="4" t="n">
        <v>14559.00</v>
      </c>
      <c r="D9737" s="4"/>
    </row>
    <row collapsed="" customFormat="false" customHeight="1" hidden="" ht="14" outlineLevel="0" r="9738">
      <c r="A9738" s="3" t="inlineStr">
        <is>
          <t>9702</t>
        </is>
      </c>
      <c r="B9738" s="4" t="s">
        <f>=HYPERLINK("http://anyluxury.ru/shop/odezhda/kurtki/kurtkatransformer-uniseks-falcon-sinyaya-03995232/" , "03995232 Куртка-трансформер унисекс Falcon, синяя, размер 5XL")</f>
      </c>
      <c r="C9738" s="4" t="n">
        <v>14559.00</v>
      </c>
      <c r="D9738" s="4"/>
    </row>
    <row collapsed="" customFormat="false" customHeight="1" hidden="" ht="14" outlineLevel="0" r="9739">
      <c r="A9739" s="3" t="inlineStr">
        <is>
          <t>9703</t>
        </is>
      </c>
      <c r="B9739" s="4" t="s">
        <f>=HYPERLINK("http://anyluxury.ru/shop/odezhda/kurtki/kurtkarubashka-oversayz-uniseks-noah-bordovaya-03989164/" , "03989164 Куртка-рубашка оверсайз унисекс Noah, бордовая, размер 1 (M/L)")</f>
      </c>
      <c r="C9739" s="4" t="n">
        <v>7608.00</v>
      </c>
      <c r="D9739" s="4"/>
    </row>
    <row collapsed="" customFormat="false" customHeight="1" hidden="" ht="14" outlineLevel="0" r="9740">
      <c r="A9740" s="3" t="inlineStr">
        <is>
          <t>9704</t>
        </is>
      </c>
      <c r="B9740" s="4" t="s">
        <f>=HYPERLINK("http://anyluxury.ru/shop/odezhda/kurtki/kurtkarubashka-oversayz-uniseks-noah-bordovaya-03989164/" , "03989164 Куртка-рубашка оверсайз унисекс Noah, бордовая, размер 2 (XL/XXL)")</f>
      </c>
      <c r="C9740" s="4" t="n">
        <v>7608.00</v>
      </c>
      <c r="D9740" s="4"/>
    </row>
    <row collapsed="" customFormat="false" customHeight="1" hidden="" ht="14" outlineLevel="0" r="9741">
      <c r="A9741" s="3" t="inlineStr">
        <is>
          <t>9705</t>
        </is>
      </c>
      <c r="B9741" s="4" t="s">
        <f>=HYPERLINK("http://anyluxury.ru/shop/odezhda/kurtki/kurtkarubashka-oversayz-uniseks-noah-bordovaya-03989164/" , "03989164 Куртка-рубашка оверсайз унисекс Noah, бордовая, размер 3 (3XL/4XL)")</f>
      </c>
      <c r="C9741" s="4" t="n">
        <v>8894.00</v>
      </c>
      <c r="D9741" s="4"/>
    </row>
    <row collapsed="" customFormat="false" customHeight="1" hidden="" ht="14" outlineLevel="0" r="9742">
      <c r="A9742" s="3" t="inlineStr">
        <is>
          <t>9706</t>
        </is>
      </c>
      <c r="B9742" s="4" t="s">
        <f>=HYPERLINK("http://anyluxury.ru/shop/odezhda/kurtki/kurtkarubashka-oversayz-uniseks-noah-bordovaya-03989164/" , "03989164 Куртка-рубашка оверсайз унисекс Noah, бордовая, размер XS/S")</f>
      </c>
      <c r="C9742" s="4" t="n">
        <v>7608.00</v>
      </c>
      <c r="D9742" s="4"/>
    </row>
    <row collapsed="" customFormat="false" customHeight="1" hidden="" ht="14" outlineLevel="0" r="9743">
      <c r="A9743" s="3" t="inlineStr">
        <is>
          <t>9707</t>
        </is>
      </c>
      <c r="B9743" s="4" t="s">
        <f>=HYPERLINK("http://anyluxury.ru/shop/odezhda/kurtki/kurtkarubashka-oversayz-uniseks-noah-sinyaya-03989256/" , "03989256 Куртка-рубашка оверсайз унисекс Noah, синяя, размер 1 (M/L)")</f>
      </c>
      <c r="C9743" s="4" t="n">
        <v>7608.00</v>
      </c>
      <c r="D9743" s="4"/>
    </row>
    <row collapsed="" customFormat="false" customHeight="1" hidden="" ht="14" outlineLevel="0" r="9744">
      <c r="A9744" s="3" t="inlineStr">
        <is>
          <t>9708</t>
        </is>
      </c>
      <c r="B9744" s="4" t="s">
        <f>=HYPERLINK("http://anyluxury.ru/shop/odezhda/kurtki/kurtkarubashka-oversayz-uniseks-noah-sinyaya-03989256/" , "03989256 Куртка-рубашка оверсайз унисекс Noah, синяя, размер 2 (XL/XXL)")</f>
      </c>
      <c r="C9744" s="4" t="n">
        <v>7608.00</v>
      </c>
      <c r="D9744" s="4"/>
    </row>
    <row collapsed="" customFormat="false" customHeight="1" hidden="" ht="14" outlineLevel="0" r="9745">
      <c r="A9745" s="3" t="inlineStr">
        <is>
          <t>9709</t>
        </is>
      </c>
      <c r="B9745" s="4" t="s">
        <f>=HYPERLINK("http://anyluxury.ru/shop/odezhda/kurtki/kurtkarubashka-oversayz-uniseks-noah-sinyaya-03989256/" , "03989256 Куртка-рубашка оверсайз унисекс Noah, синяя, размер 3 (3XL/4XL)")</f>
      </c>
      <c r="C9745" s="4" t="n">
        <v>8894.00</v>
      </c>
      <c r="D9745" s="4"/>
    </row>
    <row collapsed="" customFormat="false" customHeight="1" hidden="" ht="14" outlineLevel="0" r="9746">
      <c r="A9746" s="3" t="inlineStr">
        <is>
          <t>9710</t>
        </is>
      </c>
      <c r="B9746" s="4" t="s">
        <f>=HYPERLINK("http://anyluxury.ru/shop/odezhda/kurtki/kurtkarubashka-oversayz-uniseks-noah-sinyaya-03989256/" , "03989256 Куртка-рубашка оверсайз унисекс Noah, синяя, размер 0 (XS/S)")</f>
      </c>
      <c r="C9746" s="4" t="n">
        <v>7608.00</v>
      </c>
      <c r="D9746" s="4"/>
    </row>
    <row collapsed="" customFormat="false" customHeight="1" hidden="" ht="14" outlineLevel="0" r="9747">
      <c r="A9747" s="3" t="inlineStr">
        <is>
          <t>9711</t>
        </is>
      </c>
      <c r="B9747" s="4" t="s">
        <f>=HYPERLINK("http://anyluxury.ru/shop/odezhda/kurtki/kurtkarubashka-oversayz-uniseks-noah-temnozelenaya-03989291/" , "03989291 Куртка-рубашка оверсайз унисекс Noah, темно-зеленая, размер 1 (M/L)")</f>
      </c>
      <c r="C9747" s="4" t="n">
        <v>7608.00</v>
      </c>
      <c r="D9747" s="4"/>
    </row>
    <row collapsed="" customFormat="false" customHeight="1" hidden="" ht="14" outlineLevel="0" r="9748">
      <c r="A9748" s="3" t="inlineStr">
        <is>
          <t>9712</t>
        </is>
      </c>
      <c r="B9748" s="4" t="s">
        <f>=HYPERLINK("http://anyluxury.ru/shop/odezhda/kurtki/kurtkarubashka-oversayz-uniseks-noah-temnozelenaya-03989291/" , "03989291 Куртка-рубашка оверсайз унисекс Noah, темно-зеленая, размер 2 (XL/XXL)")</f>
      </c>
      <c r="C9748" s="4" t="n">
        <v>7608.00</v>
      </c>
      <c r="D9748" s="4"/>
    </row>
    <row collapsed="" customFormat="false" customHeight="1" hidden="" ht="14" outlineLevel="0" r="9749">
      <c r="A9749" s="3" t="inlineStr">
        <is>
          <t>9713</t>
        </is>
      </c>
      <c r="B9749" s="4" t="s">
        <f>=HYPERLINK("http://anyluxury.ru/shop/odezhda/kurtki/kurtkarubashka-oversayz-uniseks-noah-temnozelenaya-03989291/" , "03989291 Куртка-рубашка оверсайз унисекс Noah, темно-зеленая, размер 3 (3XL/4XL)")</f>
      </c>
      <c r="C9749" s="4" t="n">
        <v>8894.00</v>
      </c>
      <c r="D9749" s="4"/>
    </row>
    <row collapsed="" customFormat="false" customHeight="1" hidden="" ht="14" outlineLevel="0" r="9750">
      <c r="A9750" s="3" t="inlineStr">
        <is>
          <t>9714</t>
        </is>
      </c>
      <c r="B9750" s="4" t="s">
        <f>=HYPERLINK("http://anyluxury.ru/shop/odezhda/kurtki/kurtkarubashka-oversayz-uniseks-noah-temnozelenaya-03989291/" , "03989291 Куртка-рубашка оверсайз унисекс Noah, темно-зеленая, размер XS/S")</f>
      </c>
      <c r="C9750" s="4" t="n">
        <v>7608.00</v>
      </c>
      <c r="D9750" s="4"/>
    </row>
    <row collapsed="" customFormat="false" customHeight="1" hidden="" ht="14" outlineLevel="0" r="9751">
      <c r="A9751" s="3" t="inlineStr">
        <is>
          <t>9715</t>
        </is>
      </c>
      <c r="B9751" s="4" t="s">
        <f>=HYPERLINK("http://anyluxury.ru/shop/odezhda/kurtki/kurtkatransformer-uniseks-falcon-chernaya-03995312/" , "03995312 Куртка-трансформер унисекс Falcon, черная, размер XS")</f>
      </c>
      <c r="C9751" s="4" t="n">
        <v>10582.00</v>
      </c>
      <c r="D9751" s="4"/>
    </row>
    <row collapsed="" customFormat="false" customHeight="1" hidden="" ht="14" outlineLevel="0" r="9752">
      <c r="A9752" s="3" t="inlineStr">
        <is>
          <t>9716</t>
        </is>
      </c>
      <c r="B9752" s="4" t="s">
        <f>=HYPERLINK("http://anyluxury.ru/shop/odezhda/kurtki/kurtkatransformer-uniseks-falcon-chernaya-03995312/" , "03995312 Куртка-трансформер унисекс Falcon, черная, размер S")</f>
      </c>
      <c r="C9752" s="4" t="n">
        <v>10582.00</v>
      </c>
      <c r="D9752" s="4"/>
    </row>
    <row collapsed="" customFormat="false" customHeight="1" hidden="" ht="14" outlineLevel="0" r="9753">
      <c r="A9753" s="3" t="inlineStr">
        <is>
          <t>9717</t>
        </is>
      </c>
      <c r="B9753" s="4" t="s">
        <f>=HYPERLINK("http://anyluxury.ru/shop/odezhda/kurtki/kurtkatransformer-uniseks-falcon-chernaya-03995312/" , "03995312 Куртка-трансформер унисекс Falcon, черная, размер M")</f>
      </c>
      <c r="C9753" s="4" t="n">
        <v>10582.00</v>
      </c>
      <c r="D9753" s="4"/>
    </row>
    <row collapsed="" customFormat="false" customHeight="1" hidden="" ht="14" outlineLevel="0" r="9754">
      <c r="A9754" s="3" t="inlineStr">
        <is>
          <t>9718</t>
        </is>
      </c>
      <c r="B9754" s="4" t="s">
        <f>=HYPERLINK("http://anyluxury.ru/shop/odezhda/kurtki/kurtkatransformer-uniseks-falcon-chernaya-03995312/" , "03995312 Куртка-трансформер унисекс Falcon, черная, размер L")</f>
      </c>
      <c r="C9754" s="4" t="n">
        <v>10582.00</v>
      </c>
      <c r="D9754" s="4"/>
    </row>
    <row collapsed="" customFormat="false" customHeight="1" hidden="" ht="14" outlineLevel="0" r="9755">
      <c r="A9755" s="3" t="inlineStr">
        <is>
          <t>9719</t>
        </is>
      </c>
      <c r="B9755" s="4" t="s">
        <f>=HYPERLINK("http://anyluxury.ru/shop/odezhda/kurtki/kurtkatransformer-uniseks-falcon-chernaya-03995312/" , "03995312 Куртка-трансформер унисекс Falcon, черная, размер XL")</f>
      </c>
      <c r="C9755" s="4" t="n">
        <v>10582.00</v>
      </c>
      <c r="D9755" s="4"/>
    </row>
    <row collapsed="" customFormat="false" customHeight="1" hidden="" ht="14" outlineLevel="0" r="9756">
      <c r="A9756" s="3" t="inlineStr">
        <is>
          <t>9720</t>
        </is>
      </c>
      <c r="B9756" s="4" t="s">
        <f>=HYPERLINK("http://anyluxury.ru/shop/odezhda/kurtki/kurtkatransformer-uniseks-falcon-chernaya-03995312/" , "03995312 Куртка-трансформер унисекс Falcon, черная, размер XXL")</f>
      </c>
      <c r="C9756" s="4" t="n">
        <v>10582.00</v>
      </c>
      <c r="D9756" s="4"/>
    </row>
    <row collapsed="" customFormat="false" customHeight="1" hidden="" ht="14" outlineLevel="0" r="9757">
      <c r="A9757" s="3" t="inlineStr">
        <is>
          <t>9721</t>
        </is>
      </c>
      <c r="B9757" s="4" t="s">
        <f>=HYPERLINK("http://anyluxury.ru/shop/odezhda/kurtki/kurtkatransformer-uniseks-falcon-chernaya-03995312/" , "03995312 Куртка-трансформер унисекс Falcon, черная, размер 3XL")</f>
      </c>
      <c r="C9757" s="4" t="n">
        <v>12407.00</v>
      </c>
      <c r="D9757" s="4"/>
    </row>
    <row collapsed="" customFormat="false" customHeight="1" hidden="" ht="14" outlineLevel="0" r="9758">
      <c r="A9758" s="3" t="inlineStr">
        <is>
          <t>9722</t>
        </is>
      </c>
      <c r="B9758" s="4" t="s">
        <f>=HYPERLINK("http://anyluxury.ru/shop/odezhda/kurtki/kurtkatransformer-uniseks-falcon-chernaya-03995312/" , "03995312 Куртка-трансформер унисекс Falcon, черная, размер 4XL")</f>
      </c>
      <c r="C9758" s="4" t="n">
        <v>14559.00</v>
      </c>
      <c r="D9758" s="4"/>
    </row>
    <row collapsed="" customFormat="false" customHeight="1" hidden="" ht="14" outlineLevel="0" r="9759">
      <c r="A9759" s="3" t="inlineStr">
        <is>
          <t>9723</t>
        </is>
      </c>
      <c r="B9759" s="4" t="s">
        <f>=HYPERLINK("http://anyluxury.ru/shop/odezhda/kurtki/kurtkatransformer-uniseks-falcon-chernaya-03995312/" , "03995312 Куртка-трансформер унисекс Falcon, черная, размер 5XL")</f>
      </c>
      <c r="C9759" s="4" t="n">
        <v>14559.00</v>
      </c>
      <c r="D9759" s="4"/>
    </row>
    <row collapsed="" customFormat="false" customHeight="1" hidden="" ht="14" outlineLevel="0" r="9760">
      <c r="A9760" s="3" t="inlineStr">
        <is>
          <t>9724</t>
        </is>
      </c>
      <c r="B9760" s="4" t="s">
        <f>=HYPERLINK("http://anyluxury.ru/shop/odezhda/kurtki/kurtkatransformer-uniseks-falcon-temnoseraya-03995370/" , "03995370 Куртка-трансформер унисекс Falcon, темно-серая, размер XS")</f>
      </c>
      <c r="C9760" s="4" t="n">
        <v>10582.00</v>
      </c>
      <c r="D9760" s="4"/>
    </row>
    <row collapsed="" customFormat="false" customHeight="1" hidden="" ht="14" outlineLevel="0" r="9761">
      <c r="A9761" s="3" t="inlineStr">
        <is>
          <t>9725</t>
        </is>
      </c>
      <c r="B9761" s="4" t="s">
        <f>=HYPERLINK("http://anyluxury.ru/shop/odezhda/kurtki/kurtkatransformer-uniseks-falcon-temnoseraya-03995370/" , "03995370 Куртка-трансформер унисекс Falcon, темно-серая, размер S")</f>
      </c>
      <c r="C9761" s="4" t="n">
        <v>10582.00</v>
      </c>
      <c r="D9761" s="4"/>
    </row>
    <row collapsed="" customFormat="false" customHeight="1" hidden="" ht="14" outlineLevel="0" r="9762">
      <c r="A9762" s="3" t="inlineStr">
        <is>
          <t>9726</t>
        </is>
      </c>
      <c r="B9762" s="4" t="s">
        <f>=HYPERLINK("http://anyluxury.ru/shop/odezhda/kurtki/kurtkatransformer-uniseks-falcon-temnoseraya-03995370/" , "03995370 Куртка-трансформер унисекс Falcon, темно-серая, размер M")</f>
      </c>
      <c r="C9762" s="4" t="n">
        <v>10582.00</v>
      </c>
      <c r="D9762" s="4"/>
    </row>
    <row collapsed="" customFormat="false" customHeight="1" hidden="" ht="14" outlineLevel="0" r="9763">
      <c r="A9763" s="3" t="inlineStr">
        <is>
          <t>9727</t>
        </is>
      </c>
      <c r="B9763" s="4" t="s">
        <f>=HYPERLINK("http://anyluxury.ru/shop/odezhda/kurtki/kurtkatransformer-uniseks-falcon-temnoseraya-03995370/" , "03995370 Куртка-трансформер унисекс Falcon, темно-серая, размер L")</f>
      </c>
      <c r="C9763" s="4" t="n">
        <v>10582.00</v>
      </c>
      <c r="D9763" s="4"/>
    </row>
    <row collapsed="" customFormat="false" customHeight="1" hidden="" ht="14" outlineLevel="0" r="9764">
      <c r="A9764" s="3" t="inlineStr">
        <is>
          <t>9728</t>
        </is>
      </c>
      <c r="B9764" s="4" t="s">
        <f>=HYPERLINK("http://anyluxury.ru/shop/odezhda/kurtki/kurtkatransformer-uniseks-falcon-temnoseraya-03995370/" , "03995370 Куртка-трансформер унисекс Falcon, темно-серая, размер XL")</f>
      </c>
      <c r="C9764" s="4" t="n">
        <v>10582.00</v>
      </c>
      <c r="D9764" s="4"/>
    </row>
    <row collapsed="" customFormat="false" customHeight="1" hidden="" ht="14" outlineLevel="0" r="9765">
      <c r="A9765" s="3" t="inlineStr">
        <is>
          <t>9729</t>
        </is>
      </c>
      <c r="B9765" s="4" t="s">
        <f>=HYPERLINK("http://anyluxury.ru/shop/odezhda/kurtki/kurtkatransformer-uniseks-falcon-temnoseraya-03995370/" , "03995370 Куртка-трансформер унисекс Falcon, темно-серая, размер XXL")</f>
      </c>
      <c r="C9765" s="4" t="n">
        <v>10582.00</v>
      </c>
      <c r="D9765" s="4"/>
    </row>
    <row collapsed="" customFormat="false" customHeight="1" hidden="" ht="14" outlineLevel="0" r="9766">
      <c r="A9766" s="3" t="inlineStr">
        <is>
          <t>9730</t>
        </is>
      </c>
      <c r="B9766" s="4" t="s">
        <f>=HYPERLINK("http://anyluxury.ru/shop/odezhda/kurtki/kurtkatransformer-uniseks-falcon-temnoseraya-03995370/" , "03995370 Куртка-трансформер унисекс Falcon, темно-серая, размер 3XL")</f>
      </c>
      <c r="C9766" s="4" t="n">
        <v>12407.00</v>
      </c>
      <c r="D9766" s="4"/>
    </row>
    <row collapsed="" customFormat="false" customHeight="1" hidden="" ht="14" outlineLevel="0" r="9767">
      <c r="A9767" s="3" t="inlineStr">
        <is>
          <t>9731</t>
        </is>
      </c>
      <c r="B9767" s="4" t="s">
        <f>=HYPERLINK("http://anyluxury.ru/shop/odezhda/kurtki/kurtkatransformer-uniseks-falcon-temnoseraya-03995370/" , "03995370 Куртка-трансформер унисекс Falcon, темно-серая, размер 4XL")</f>
      </c>
      <c r="C9767" s="4" t="n">
        <v>14559.00</v>
      </c>
      <c r="D9767" s="4"/>
    </row>
    <row collapsed="" customFormat="false" customHeight="1" hidden="" ht="14" outlineLevel="0" r="9768">
      <c r="A9768" s="3" t="inlineStr">
        <is>
          <t>9732</t>
        </is>
      </c>
      <c r="B9768" s="4" t="s">
        <f>=HYPERLINK("http://anyluxury.ru/shop/odezhda/kurtki/kurtkatransformer-uniseks-falcon-temnoseraya-03995370/" , "03995370 Куртка-трансформер унисекс Falcon, темно-серая, размер 5XL")</f>
      </c>
      <c r="C9768" s="4" t="n">
        <v>14559.00</v>
      </c>
      <c r="D9768" s="4"/>
    </row>
    <row collapsed="" customFormat="false" customHeight="1" hidden="" ht="14" outlineLevel="0" r="9769">
      <c r="A9769" s="3" t="inlineStr">
        <is>
          <t>9733</t>
        </is>
      </c>
      <c r="B9769" s="4" t="s">
        <f>=HYPERLINK("http://anyluxury.ru/shop/odezhda/kurtki/kurtka-softshell-muzhskaya-zagreb-krasnaya-1627150/" , "16271.50 Куртка софтшелл мужская Zagreb, красная, размер S")</f>
      </c>
      <c r="C9769" s="4" t="n">
        <v>7661.00</v>
      </c>
      <c r="D9769" s="4"/>
    </row>
    <row collapsed="" customFormat="false" customHeight="1" hidden="" ht="14" outlineLevel="0" r="9770">
      <c r="A9770" s="3" t="inlineStr">
        <is>
          <t>9734</t>
        </is>
      </c>
      <c r="B9770" s="4" t="s">
        <f>=HYPERLINK("http://anyluxury.ru/shop/odezhda/kurtki/kurtka-softshell-muzhskaya-zagreb-krasnaya-1627150/" , "16271.50 Куртка софтшелл мужская Zagreb, красная, размер M")</f>
      </c>
      <c r="C9770" s="4" t="n">
        <v>7661.00</v>
      </c>
      <c r="D9770" s="4"/>
    </row>
    <row collapsed="" customFormat="false" customHeight="1" hidden="" ht="14" outlineLevel="0" r="9771">
      <c r="A9771" s="3" t="inlineStr">
        <is>
          <t>9735</t>
        </is>
      </c>
      <c r="B9771" s="4" t="s">
        <f>=HYPERLINK("http://anyluxury.ru/shop/odezhda/kurtki/kurtka-softshell-muzhskaya-zagreb-krasnaya-1627150/" , "16271.50 Куртка софтшелл мужская Zagreb, красная, размер L")</f>
      </c>
      <c r="C9771" s="4" t="n">
        <v>7661.00</v>
      </c>
      <c r="D9771" s="4"/>
    </row>
    <row collapsed="" customFormat="false" customHeight="1" hidden="" ht="14" outlineLevel="0" r="9772">
      <c r="A9772" s="3" t="inlineStr">
        <is>
          <t>9736</t>
        </is>
      </c>
      <c r="B9772" s="4" t="s">
        <f>=HYPERLINK("http://anyluxury.ru/shop/odezhda/kurtki/kurtka-softshell-muzhskaya-zagreb-krasnaya-1627150/" , "16271.50 Куртка софтшелл мужская Zagreb, красная, размер XL")</f>
      </c>
      <c r="C9772" s="4" t="n">
        <v>7661.00</v>
      </c>
      <c r="D9772" s="4"/>
    </row>
    <row collapsed="" customFormat="false" customHeight="1" hidden="" ht="14" outlineLevel="0" r="9773">
      <c r="A9773" s="3" t="inlineStr">
        <is>
          <t>9737</t>
        </is>
      </c>
      <c r="B9773" s="4" t="s">
        <f>=HYPERLINK("http://anyluxury.ru/shop/odezhda/kurtki/kurtka-softshell-muzhskaya-zagreb-krasnaya-1627150/" , "16271.50 Куртка софтшелл мужская Zagreb, красная, размер XXL")</f>
      </c>
      <c r="C9773" s="4" t="n">
        <v>7661.00</v>
      </c>
      <c r="D9773" s="4"/>
    </row>
    <row collapsed="" customFormat="false" customHeight="1" hidden="" ht="14" outlineLevel="0" r="9774">
      <c r="A9774" s="3" t="inlineStr">
        <is>
          <t>9738</t>
        </is>
      </c>
      <c r="B9774" s="4" t="s">
        <f>=HYPERLINK("http://anyluxury.ru/shop/odezhda/kurtki/kurtka-softshell-muzhskaya-zagreb-chernaya-1627130/" , "16271.30 Куртка софтшелл мужская Zagreb, черная, размер S")</f>
      </c>
      <c r="C9774" s="4" t="n">
        <v>7661.00</v>
      </c>
      <c r="D9774" s="4"/>
    </row>
    <row collapsed="" customFormat="false" customHeight="1" hidden="" ht="14" outlineLevel="0" r="9775">
      <c r="A9775" s="3" t="inlineStr">
        <is>
          <t>9739</t>
        </is>
      </c>
      <c r="B9775" s="4" t="s">
        <f>=HYPERLINK("http://anyluxury.ru/shop/odezhda/kurtki/kurtka-softshell-muzhskaya-zagreb-chernaya-1627130/" , "16271.30 Куртка софтшелл мужская Zagreb, черная, размер M")</f>
      </c>
      <c r="C9775" s="4" t="n">
        <v>7661.00</v>
      </c>
      <c r="D9775" s="4"/>
    </row>
    <row collapsed="" customFormat="false" customHeight="1" hidden="" ht="14" outlineLevel="0" r="9776">
      <c r="A9776" s="3" t="inlineStr">
        <is>
          <t>9740</t>
        </is>
      </c>
      <c r="B9776" s="4" t="s">
        <f>=HYPERLINK("http://anyluxury.ru/shop/odezhda/kurtki/kurtka-softshell-muzhskaya-zagreb-chernaya-1627130/" , "16271.30 Куртка софтшелл мужская Zagreb, черная, размер L")</f>
      </c>
      <c r="C9776" s="4" t="n">
        <v>7661.00</v>
      </c>
      <c r="D9776" s="4"/>
    </row>
    <row collapsed="" customFormat="false" customHeight="1" hidden="" ht="14" outlineLevel="0" r="9777">
      <c r="A9777" s="3" t="inlineStr">
        <is>
          <t>9741</t>
        </is>
      </c>
      <c r="B9777" s="4" t="s">
        <f>=HYPERLINK("http://anyluxury.ru/shop/odezhda/kurtki/kurtka-softshell-muzhskaya-zagreb-chernaya-1627130/" , "16271.30 Куртка софтшелл мужская Zagreb, черная, размер XL")</f>
      </c>
      <c r="C9777" s="4" t="n">
        <v>7661.00</v>
      </c>
      <c r="D9777" s="4"/>
    </row>
    <row collapsed="" customFormat="false" customHeight="1" hidden="" ht="14" outlineLevel="0" r="9778">
      <c r="A9778" s="3" t="inlineStr">
        <is>
          <t>9742</t>
        </is>
      </c>
      <c r="B9778" s="4" t="s">
        <f>=HYPERLINK("http://anyluxury.ru/shop/odezhda/kurtki/kurtka-softshell-muzhskaya-zagreb-chernaya-1627130/" , "16271.30 Куртка софтшелл мужская Zagreb, черная, размер XXL")</f>
      </c>
      <c r="C9778" s="4" t="n">
        <v>7661.00</v>
      </c>
      <c r="D9778" s="4"/>
    </row>
    <row collapsed="" customFormat="false" customHeight="1" hidden="" ht="14" outlineLevel="0" r="9779">
      <c r="A9779" s="3" t="inlineStr">
        <is>
          <t>9743</t>
        </is>
      </c>
      <c r="B9779" s="4" t="s">
        <f>=HYPERLINK("http://anyluxury.ru/shop/odezhda/kurtki/kurtka-softshell-muzhskaya-zagreb-yarkosinyaya-1627144/" , "16271.44 Куртка софтшелл мужская Zagreb, ярко-синяя, размер S")</f>
      </c>
      <c r="C9779" s="4" t="n">
        <v>7661.00</v>
      </c>
      <c r="D9779" s="4"/>
    </row>
    <row collapsed="" customFormat="false" customHeight="1" hidden="" ht="14" outlineLevel="0" r="9780">
      <c r="A9780" s="3" t="inlineStr">
        <is>
          <t>9744</t>
        </is>
      </c>
      <c r="B9780" s="4" t="s">
        <f>=HYPERLINK("http://anyluxury.ru/shop/odezhda/kurtki/kurtka-softshell-muzhskaya-zagreb-yarkosinyaya-1627144/" , "16271.44 Куртка софтшелл мужская Zagreb, ярко-синяя, размер M")</f>
      </c>
      <c r="C9780" s="4" t="n">
        <v>7661.00</v>
      </c>
      <c r="D9780" s="4"/>
    </row>
    <row collapsed="" customFormat="false" customHeight="1" hidden="" ht="14" outlineLevel="0" r="9781">
      <c r="A9781" s="3" t="inlineStr">
        <is>
          <t>9745</t>
        </is>
      </c>
      <c r="B9781" s="4" t="s">
        <f>=HYPERLINK("http://anyluxury.ru/shop/odezhda/kurtki/kurtka-softshell-muzhskaya-zagreb-yarkosinyaya-1627144/" , "16271.44 Куртка софтшелл мужская Zagreb, ярко-синяя, размер L")</f>
      </c>
      <c r="C9781" s="4" t="n">
        <v>7661.00</v>
      </c>
      <c r="D9781" s="4"/>
    </row>
    <row collapsed="" customFormat="false" customHeight="1" hidden="" ht="14" outlineLevel="0" r="9782">
      <c r="A9782" s="3" t="inlineStr">
        <is>
          <t>9746</t>
        </is>
      </c>
      <c r="B9782" s="4" t="s">
        <f>=HYPERLINK("http://anyluxury.ru/shop/odezhda/kurtki/kurtka-softshell-muzhskaya-zagreb-yarkosinyaya-1627144/" , "16271.44 Куртка софтшелл мужская Zagreb, ярко-синяя, размер XL")</f>
      </c>
      <c r="C9782" s="4" t="n">
        <v>7661.00</v>
      </c>
      <c r="D9782" s="4"/>
    </row>
    <row collapsed="" customFormat="false" customHeight="1" hidden="" ht="14" outlineLevel="0" r="9783">
      <c r="A9783" s="3" t="inlineStr">
        <is>
          <t>9747</t>
        </is>
      </c>
      <c r="B9783" s="4" t="s">
        <f>=HYPERLINK("http://anyluxury.ru/shop/odezhda/kurtki/kurtka-softshell-muzhskaya-zagreb-yarkosinyaya-1627144/" , "16271.44 Куртка софтшелл мужская Zagreb, ярко-синяя, размер XXL")</f>
      </c>
      <c r="C9783" s="4" t="n">
        <v>7661.00</v>
      </c>
      <c r="D9783" s="4"/>
    </row>
    <row collapsed="" customFormat="false" customHeight="1" hidden="" ht="14" outlineLevel="0" r="9784">
      <c r="A9784" s="3" t="inlineStr">
        <is>
          <t>9748</t>
        </is>
      </c>
      <c r="B9784" s="4" t="s">
        <f>=HYPERLINK("http://anyluxury.ru/shop/odezhda/kurtki/kurtkatransformer-uniseks-astana-temnosinyaya-1627240/" , "16272.40 Куртка-трансформер унисекс Astana, темно-синяя, размер S")</f>
      </c>
      <c r="C9784" s="4" t="n">
        <v>6391.00</v>
      </c>
      <c r="D9784" s="4"/>
    </row>
    <row collapsed="" customFormat="false" customHeight="1" hidden="" ht="14" outlineLevel="0" r="9785">
      <c r="A9785" s="3" t="inlineStr">
        <is>
          <t>9749</t>
        </is>
      </c>
      <c r="B9785" s="4" t="s">
        <f>=HYPERLINK("http://anyluxury.ru/shop/odezhda/kurtki/kurtkatransformer-uniseks-astana-temnosinyaya-1627240/" , "16272.40 Куртка-трансформер унисекс Astana, темно-синяя, размер M")</f>
      </c>
      <c r="C9785" s="4" t="n">
        <v>6391.00</v>
      </c>
      <c r="D9785" s="4"/>
    </row>
    <row collapsed="" customFormat="false" customHeight="1" hidden="" ht="14" outlineLevel="0" r="9786">
      <c r="A9786" s="3" t="inlineStr">
        <is>
          <t>9750</t>
        </is>
      </c>
      <c r="B9786" s="4" t="s">
        <f>=HYPERLINK("http://anyluxury.ru/shop/odezhda/kurtki/kurtkatransformer-uniseks-astana-temnosinyaya-1627240/" , "16272.40 Куртка-трансформер унисекс Astana, темно-синяя, размер L")</f>
      </c>
      <c r="C9786" s="4" t="n">
        <v>6391.00</v>
      </c>
      <c r="D9786" s="4"/>
    </row>
    <row collapsed="" customFormat="false" customHeight="1" hidden="" ht="14" outlineLevel="0" r="9787">
      <c r="A9787" s="3" t="inlineStr">
        <is>
          <t>9751</t>
        </is>
      </c>
      <c r="B9787" s="4" t="s">
        <f>=HYPERLINK("http://anyluxury.ru/shop/odezhda/kurtki/kurtkatransformer-uniseks-astana-temnosinyaya-1627240/" , "16272.40 Куртка-трансформер унисекс Astana, темно-синяя, размер XL")</f>
      </c>
      <c r="C9787" s="4" t="n">
        <v>6391.00</v>
      </c>
      <c r="D9787" s="4"/>
    </row>
    <row collapsed="" customFormat="false" customHeight="1" hidden="" ht="14" outlineLevel="0" r="9788">
      <c r="A9788" s="3" t="inlineStr">
        <is>
          <t>9752</t>
        </is>
      </c>
      <c r="B9788" s="4" t="s">
        <f>=HYPERLINK("http://anyluxury.ru/shop/odezhda/kurtki/kurtkatransformer-uniseks-astana-temnosinyaya-1627240/" , "16272.40 Куртка-трансформер унисекс Astana, темно-синяя, размер XXL")</f>
      </c>
      <c r="C9788" s="4" t="n">
        <v>6391.00</v>
      </c>
      <c r="D9788" s="4"/>
    </row>
    <row collapsed="" customFormat="false" customHeight="1" hidden="" ht="14" outlineLevel="0" r="9789">
      <c r="A9789" s="3" t="inlineStr">
        <is>
          <t>9753</t>
        </is>
      </c>
      <c r="B9789" s="4" t="s">
        <f>=HYPERLINK("http://anyluxury.ru/shop/odezhda/kurtki/kurtkatransformer-uniseks-astana-temnosinyaya-1627240/" , "16272.40 Куртка-трансформер унисекс Astana, темно-синяя, размер 3XL")</f>
      </c>
      <c r="C9789" s="4" t="n">
        <v>6391.00</v>
      </c>
      <c r="D9789" s="4"/>
    </row>
    <row collapsed="" customFormat="false" customHeight="1" hidden="" ht="14" outlineLevel="0" r="9790">
      <c r="A9790" s="3" t="inlineStr">
        <is>
          <t>9754</t>
        </is>
      </c>
      <c r="B9790" s="4" t="s">
        <f>=HYPERLINK("http://anyluxury.ru/shop/odezhda/kurtki/parka-uniseks-liubliana-chernaya-1627330/" , "16273.30 Парка унисекс Liubliana, черная, размер XS")</f>
      </c>
      <c r="C9790" s="4" t="n">
        <v>7567.00</v>
      </c>
      <c r="D9790" s="4"/>
    </row>
    <row collapsed="" customFormat="false" customHeight="1" hidden="" ht="14" outlineLevel="0" r="9791">
      <c r="A9791" s="3" t="inlineStr">
        <is>
          <t>9755</t>
        </is>
      </c>
      <c r="B9791" s="4" t="s">
        <f>=HYPERLINK("http://anyluxury.ru/shop/odezhda/kurtki/parka-uniseks-liubliana-chernaya-1627330/" , "16273.30 Парка унисекс Liubliana, черная, размер S")</f>
      </c>
      <c r="C9791" s="4" t="n">
        <v>7567.00</v>
      </c>
      <c r="D9791" s="4"/>
    </row>
    <row collapsed="" customFormat="false" customHeight="1" hidden="" ht="14" outlineLevel="0" r="9792">
      <c r="A9792" s="3" t="inlineStr">
        <is>
          <t>9756</t>
        </is>
      </c>
      <c r="B9792" s="4" t="s">
        <f>=HYPERLINK("http://anyluxury.ru/shop/odezhda/kurtki/parka-uniseks-liubliana-chernaya-1627330/" , "16273.30 Парка унисекс Liubliana, черная, размер M")</f>
      </c>
      <c r="C9792" s="4" t="n">
        <v>7567.00</v>
      </c>
      <c r="D9792" s="4"/>
    </row>
    <row collapsed="" customFormat="false" customHeight="1" hidden="" ht="14" outlineLevel="0" r="9793">
      <c r="A9793" s="3" t="inlineStr">
        <is>
          <t>9757</t>
        </is>
      </c>
      <c r="B9793" s="4" t="s">
        <f>=HYPERLINK("http://anyluxury.ru/shop/odezhda/kurtki/parka-uniseks-liubliana-chernaya-1627330/" , "16273.30 Парка унисекс Liubliana, черная, размер L")</f>
      </c>
      <c r="C9793" s="4" t="n">
        <v>7567.00</v>
      </c>
      <c r="D9793" s="4"/>
    </row>
    <row collapsed="" customFormat="false" customHeight="1" hidden="" ht="14" outlineLevel="0" r="9794">
      <c r="A9794" s="3" t="inlineStr">
        <is>
          <t>9758</t>
        </is>
      </c>
      <c r="B9794" s="4" t="s">
        <f>=HYPERLINK("http://anyluxury.ru/shop/odezhda/kurtki/parka-uniseks-liubliana-chernaya-1627330/" , "16273.30 Парка унисекс Liubliana, черная, размер XL")</f>
      </c>
      <c r="C9794" s="4" t="n">
        <v>7567.00</v>
      </c>
      <c r="D9794" s="4"/>
    </row>
    <row collapsed="" customFormat="false" customHeight="1" hidden="" ht="14" outlineLevel="0" r="9795">
      <c r="A9795" s="3" t="inlineStr">
        <is>
          <t>9759</t>
        </is>
      </c>
      <c r="B9795" s="4" t="s">
        <f>=HYPERLINK("http://anyluxury.ru/shop/odezhda/kurtki/parka-uniseks-liubliana-chernaya-1627330/" , "16273.30 Парка унисекс Liubliana, черная, размер XXL")</f>
      </c>
      <c r="C9795" s="4" t="n">
        <v>7567.00</v>
      </c>
      <c r="D9795" s="4"/>
    </row>
    <row collapsed="" customFormat="false" customHeight="1" hidden="" ht="14" outlineLevel="0" r="9796">
      <c r="A9796" s="3" t="inlineStr">
        <is>
          <t>9760</t>
        </is>
      </c>
      <c r="B9796" s="4" t="s">
        <f>=HYPERLINK("http://anyluxury.ru/shop/odezhda/kurtki/kurtka-dzhinsovaya-o1-temnosinyaya-1525840/" , "15258.40 Куртка джинсовая O1, темно-синяя, размер XS/S")</f>
      </c>
      <c r="C9796" s="4" t="n">
        <v>4800.00</v>
      </c>
      <c r="D9796" s="4"/>
    </row>
    <row collapsed="" customFormat="false" customHeight="1" hidden="" ht="14" outlineLevel="0" r="9797">
      <c r="A9797" s="3" t="inlineStr">
        <is>
          <t>9761</t>
        </is>
      </c>
      <c r="B9797" s="4" t="s">
        <f>=HYPERLINK("http://anyluxury.ru/shop/odezhda/kurtki/kurtka-dzhinsovaya-o1-temnosinyaya-1525840/" , "15258.40 Куртка джинсовая O1, темно-синяя, размер M/L")</f>
      </c>
      <c r="C9797" s="4" t="n">
        <v>4800.00</v>
      </c>
      <c r="D9797" s="4"/>
    </row>
    <row collapsed="" customFormat="false" customHeight="1" hidden="" ht="14" outlineLevel="0" r="9798">
      <c r="A9798" s="3" t="inlineStr">
        <is>
          <t>9762</t>
        </is>
      </c>
      <c r="B9798" s="4" t="s">
        <f>=HYPERLINK("http://anyluxury.ru/shop/odezhda/kurtki/kurtka-dzhinsovaya-o1-temnosinyaya-1525840/" , "15258.40 Куртка джинсовая O1, темно-синяя, размер XL/XXL")</f>
      </c>
      <c r="C9798" s="4" t="n">
        <v>4800.00</v>
      </c>
      <c r="D9798" s="4"/>
    </row>
    <row collapsed="" customFormat="false" customHeight="1" hidden="" ht="14" outlineLevel="0" r="9799">
      <c r="A9799" s="3" t="inlineStr">
        <is>
          <t>9763</t>
        </is>
      </c>
      <c r="B9799" s="4" t="s">
        <f>=HYPERLINK("http://anyluxury.ru/shop/odezhda/kurtki/kurtka-dzhinsovaya-o1-temnosinyaya-1525840/" , "15258.40 Куртка джинсовая O1, темно-синяя, размер 3XL/4XL")</f>
      </c>
      <c r="C9799" s="4" t="n">
        <v>4800.00</v>
      </c>
      <c r="D9799" s="4"/>
    </row>
    <row collapsed="" customFormat="false" customHeight="1" hidden="" ht="14" outlineLevel="0" r="9800">
      <c r="A9800" s="3" t="inlineStr">
        <is>
          <t>9764</t>
        </is>
      </c>
      <c r="B9800" s="4" t="s">
        <f>=HYPERLINK("http://anyluxury.ru/shop/odezhda/kurtki/kurtka-dzhinsovaya-o2-golubaya-1525914/" , "15259.14 Куртка джинсовая O2, голубая, размер M/L")</f>
      </c>
      <c r="C9800" s="4" t="n">
        <v>5100.00</v>
      </c>
      <c r="D9800" s="4"/>
    </row>
    <row collapsed="" customFormat="false" customHeight="1" hidden="" ht="14" outlineLevel="0" r="9801">
      <c r="A9801" s="3" t="inlineStr">
        <is>
          <t>9765</t>
        </is>
      </c>
      <c r="B9801" s="4" t="s">
        <f>=HYPERLINK("http://anyluxury.ru/shop/odezhda/kurtki/kurtka-dzhinsovaya-o2-golubaya-1525914/" , "15259.14 Куртка джинсовая O2, голубая, размер XL/XXL")</f>
      </c>
      <c r="C9801" s="4" t="n">
        <v>5100.00</v>
      </c>
      <c r="D9801" s="4"/>
    </row>
    <row collapsed="" customFormat="false" customHeight="1" hidden="" ht="14" outlineLevel="0" r="9802">
      <c r="A9802" s="3" t="inlineStr">
        <is>
          <t>9766</t>
        </is>
      </c>
      <c r="B9802" s="4" t="s">
        <f>=HYPERLINK("http://anyluxury.ru/shop/odezhda/kurtki/kurtka-dzhinsovaya-o2-golubaya-1525914/" , "15259.14 Куртка джинсовая O2, голубая, размер 3XL/4XL")</f>
      </c>
      <c r="C9802" s="4" t="n">
        <v>5100.00</v>
      </c>
      <c r="D9802" s="4"/>
    </row>
    <row collapsed="" customFormat="false" customHeight="" hidden="" ht="12.1" outlineLevel="0" r="9803">
      <c r="A9803" s="5" t="inlineStr">
        <is>
          <t> -  - Офисные рубашки</t>
        </is>
      </c>
      <c r="B9803" s="6"/>
      <c r="C9803" s="6"/>
      <c r="D9803" s="6"/>
    </row>
    <row collapsed="" customFormat="false" customHeight="1" hidden="" ht="14" outlineLevel="0" r="9804">
      <c r="A9804" s="3" t="inlineStr">
        <is>
          <t>9767</t>
        </is>
      </c>
      <c r="B9804" s="4" t="s">
        <f>=HYPERLINK("http://anyluxury.ru/shop/odezhda/ofisnye-rubashki/rubashka-muzhskaya-s-dlinnim-rukavom-boston-golubaya-183614/" , "1836.14 Рубашка мужская с длинным рукавом BOSTON голубая, размер S")</f>
      </c>
      <c r="C9804" s="4" t="n">
        <v>3215.00</v>
      </c>
      <c r="D9804" s="4"/>
    </row>
    <row collapsed="" customFormat="false" customHeight="1" hidden="" ht="14" outlineLevel="0" r="9805">
      <c r="A9805" s="3" t="inlineStr">
        <is>
          <t>9768</t>
        </is>
      </c>
      <c r="B9805" s="4" t="s">
        <f>=HYPERLINK("http://anyluxury.ru/shop/odezhda/ofisnye-rubashki/rubashka-muzhskaya-s-dlinnim-rukavom-boston-golubaya-183614/" , "1836.14 Рубашка мужская с длинным рукавом BOSTON голубая, размер M")</f>
      </c>
      <c r="C9805" s="4" t="n">
        <v>3215.00</v>
      </c>
      <c r="D9805" s="4"/>
    </row>
    <row collapsed="" customFormat="false" customHeight="1" hidden="" ht="14" outlineLevel="0" r="9806">
      <c r="A9806" s="3" t="inlineStr">
        <is>
          <t>9769</t>
        </is>
      </c>
      <c r="B9806" s="4" t="s">
        <f>=HYPERLINK("http://anyluxury.ru/shop/odezhda/ofisnye-rubashki/rubashka-muzhskaya-s-dlinnim-rukavom-boston-golubaya-183614/" , "1836.14 Рубашка мужская с длинным рукавом BOSTON голубая, размер L")</f>
      </c>
      <c r="C9806" s="4" t="n">
        <v>3215.00</v>
      </c>
      <c r="D9806" s="4"/>
    </row>
    <row collapsed="" customFormat="false" customHeight="1" hidden="" ht="14" outlineLevel="0" r="9807">
      <c r="A9807" s="3" t="inlineStr">
        <is>
          <t>9770</t>
        </is>
      </c>
      <c r="B9807" s="4" t="s">
        <f>=HYPERLINK("http://anyluxury.ru/shop/odezhda/ofisnye-rubashki/rubashka-muzhskaya-s-dlinnim-rukavom-boston-golubaya-183614/" , "1836.14 Рубашка мужская с длинным рукавом BOSTON голубая, размер XXL")</f>
      </c>
      <c r="C9807" s="4" t="n">
        <v>3215.00</v>
      </c>
      <c r="D9807" s="4"/>
    </row>
    <row collapsed="" customFormat="false" customHeight="1" hidden="" ht="14" outlineLevel="0" r="9808">
      <c r="A9808" s="3" t="inlineStr">
        <is>
          <t>9771</t>
        </is>
      </c>
      <c r="B9808" s="4" t="s">
        <f>=HYPERLINK("http://anyluxury.ru/shop/odezhda/ofisnye-rubashki/rubashka-muzhskaya-s-dlinnim-rukavom-boston-golubaya-183614/" , "1836.14 Рубашка мужская с длинным рукавом BOSTON голубая, размер XXXL")</f>
      </c>
      <c r="C9808" s="4" t="n">
        <v>3215.00</v>
      </c>
      <c r="D9808" s="4"/>
    </row>
    <row collapsed="" customFormat="false" customHeight="1" hidden="" ht="14" outlineLevel="0" r="9809">
      <c r="A9809" s="3" t="inlineStr">
        <is>
          <t>9772</t>
        </is>
      </c>
      <c r="B9809" s="4" t="s">
        <f>=HYPERLINK("http://anyluxury.ru/shop/odezhda/ofisnye-rubashki/rubashka-muzhskaya-s-dlinnim-rukavom-boston-golubaya-183614/" , "1836.14 Рубашка мужская с длинным рукавом BOSTON голубая, размер 4XL")</f>
      </c>
      <c r="C9809" s="4" t="n">
        <v>3215.00</v>
      </c>
      <c r="D9809" s="4"/>
    </row>
    <row collapsed="" customFormat="false" customHeight="1" hidden="" ht="14" outlineLevel="0" r="9810">
      <c r="A9810" s="3" t="inlineStr">
        <is>
          <t>9773</t>
        </is>
      </c>
      <c r="B9810" s="4" t="s">
        <f>=HYPERLINK("http://anyluxury.ru/shop/odezhda/ofisnye-rubashki/rubashka-muzhskaya-s-dlinnim-rukavom-boston-belaya-183660/" , "1836.60 Рубашка мужская с длинным рукавом BOSTON белая, размер XXXL")</f>
      </c>
      <c r="C9810" s="4" t="n">
        <v>3215.00</v>
      </c>
      <c r="D9810" s="4"/>
    </row>
    <row collapsed="" customFormat="false" customHeight="1" hidden="" ht="14" outlineLevel="0" r="9811">
      <c r="A9811" s="3" t="inlineStr">
        <is>
          <t>9774</t>
        </is>
      </c>
      <c r="B9811" s="4" t="s">
        <f>=HYPERLINK("http://anyluxury.ru/shop/odezhda/ofisnye-rubashki/rubashka-muzhskaya-s-dlinnim-rukavom-boston-belaya-183660/" , "1836.60 Рубашка мужская с длинным рукавом BOSTON белая, размер 4XL")</f>
      </c>
      <c r="C9811" s="4" t="n">
        <v>3215.00</v>
      </c>
      <c r="D9811" s="4"/>
    </row>
    <row collapsed="" customFormat="false" customHeight="1" hidden="" ht="14" outlineLevel="0" r="9812">
      <c r="A9812" s="3" t="inlineStr">
        <is>
          <t>9775</t>
        </is>
      </c>
      <c r="B9812" s="4" t="s">
        <f>=HYPERLINK("http://anyluxury.ru/shop/odezhda/ofisnye-rubashki/rubashka-muzhskaya-s-korotkim-rukavom-brisbane-belaya-183760/" , "1837.60 Рубашка мужская с коротким рукавом BRISBANE белая, размер L")</f>
      </c>
      <c r="C9812" s="4" t="n">
        <v>2854.00</v>
      </c>
      <c r="D9812" s="4"/>
    </row>
    <row collapsed="" customFormat="false" customHeight="1" hidden="" ht="14" outlineLevel="0" r="9813">
      <c r="A9813" s="3" t="inlineStr">
        <is>
          <t>9776</t>
        </is>
      </c>
      <c r="B9813" s="4" t="s">
        <f>=HYPERLINK("http://anyluxury.ru/shop/odezhda/ofisnye-rubashki/rubashka-muzhskaya-s-korotkim-rukavom-brisbane-belaya-183760/" , "1837.60 Рубашка мужская с коротким рукавом BRISBANE белая, размер XXXL")</f>
      </c>
      <c r="C9813" s="4" t="n">
        <v>2854.00</v>
      </c>
      <c r="D9813" s="4"/>
    </row>
    <row collapsed="" customFormat="false" customHeight="1" hidden="" ht="14" outlineLevel="0" r="9814">
      <c r="A9814" s="3" t="inlineStr">
        <is>
          <t>9777</t>
        </is>
      </c>
      <c r="B9814" s="4" t="s">
        <f>=HYPERLINK("http://anyluxury.ru/shop/odezhda/ofisnye-rubashki/rubashka-muzhskaya-s-korotkim-rukavom-brisbane-belaya-183760/" , "1837.60 Рубашка мужская с коротким рукавом BRISBANE белая, размер 4XL")</f>
      </c>
      <c r="C9814" s="4" t="n">
        <v>2854.00</v>
      </c>
      <c r="D9814" s="4"/>
    </row>
    <row collapsed="" customFormat="false" customHeight="1" hidden="" ht="14" outlineLevel="0" r="9815">
      <c r="A9815" s="3" t="inlineStr">
        <is>
          <t>9778</t>
        </is>
      </c>
      <c r="B9815" s="4" t="s">
        <f>=HYPERLINK("http://anyluxury.ru/shop/odezhda/ofisnye-rubashki/rubashka-zhenskaya-s-korotkim-rukavom-elite-golubaya-183914/" , "1839.14 Рубашка женская с коротким рукавом ELITE голубая, размер XS ")</f>
      </c>
      <c r="C9815" s="4" t="n">
        <v>2877.00</v>
      </c>
      <c r="D9815" s="4"/>
    </row>
    <row collapsed="" customFormat="false" customHeight="1" hidden="" ht="14" outlineLevel="0" r="9816">
      <c r="A9816" s="3" t="inlineStr">
        <is>
          <t>9779</t>
        </is>
      </c>
      <c r="B9816" s="4" t="s">
        <f>=HYPERLINK("http://anyluxury.ru/shop/odezhda/ofisnye-rubashki/rubashka-zhenskaya-s-korotkim-rukavom-elite-golubaya-183914/" , "1839.14 Рубашка женская с коротким рукавом ELITE голубая, размер S ")</f>
      </c>
      <c r="C9816" s="4" t="n">
        <v>2877.00</v>
      </c>
      <c r="D9816" s="4"/>
    </row>
    <row collapsed="" customFormat="false" customHeight="1" hidden="" ht="14" outlineLevel="0" r="9817">
      <c r="A9817" s="3" t="inlineStr">
        <is>
          <t>9780</t>
        </is>
      </c>
      <c r="B9817" s="4" t="s">
        <f>=HYPERLINK("http://anyluxury.ru/shop/odezhda/ofisnye-rubashki/rubashka-zhenskaya-s-korotkim-rukavom-elite-golubaya-183914/" , "1839.14 Рубашка женская с коротким рукавом ELITE голубая, размер M")</f>
      </c>
      <c r="C9817" s="4" t="n">
        <v>2877.00</v>
      </c>
      <c r="D9817" s="4"/>
    </row>
    <row collapsed="" customFormat="false" customHeight="1" hidden="" ht="14" outlineLevel="0" r="9818">
      <c r="A9818" s="3" t="inlineStr">
        <is>
          <t>9781</t>
        </is>
      </c>
      <c r="B9818" s="4" t="s">
        <f>=HYPERLINK("http://anyluxury.ru/shop/odezhda/ofisnye-rubashki/rubashka-zhenskaya-s-korotkim-rukavom-elite-golubaya-183914/" , "1839.14 Рубашка женская с коротким рукавом ELITE голубая, размер L")</f>
      </c>
      <c r="C9818" s="4" t="n">
        <v>2877.00</v>
      </c>
      <c r="D9818" s="4"/>
    </row>
    <row collapsed="" customFormat="false" customHeight="1" hidden="" ht="14" outlineLevel="0" r="9819">
      <c r="A9819" s="3" t="inlineStr">
        <is>
          <t>9782</t>
        </is>
      </c>
      <c r="B9819" s="4" t="s">
        <f>=HYPERLINK("http://anyluxury.ru/shop/odezhda/ofisnye-rubashki/rubashka-zhenskaya-s-korotkim-rukavom-elite-golubaya-183914/" , "1839.14 Рубашка женская с коротким рукавом ELITE голубая, размер XL")</f>
      </c>
      <c r="C9819" s="4" t="n">
        <v>2877.00</v>
      </c>
      <c r="D9819" s="4"/>
    </row>
    <row collapsed="" customFormat="false" customHeight="1" hidden="" ht="14" outlineLevel="0" r="9820">
      <c r="A9820" s="3" t="inlineStr">
        <is>
          <t>9783</t>
        </is>
      </c>
      <c r="B9820" s="4" t="s">
        <f>=HYPERLINK("http://anyluxury.ru/shop/odezhda/ofisnye-rubashki/rubashka-zhenskaya-s-korotkim-rukavom-elite-golubaya-183914/" , "1839.14 Рубашка женская с коротким рукавом ELITE голубая, размер XXL")</f>
      </c>
      <c r="C9820" s="4" t="n">
        <v>2877.00</v>
      </c>
      <c r="D9820" s="4"/>
    </row>
    <row collapsed="" customFormat="false" customHeight="1" hidden="" ht="14" outlineLevel="0" r="9821">
      <c r="A9821" s="3" t="inlineStr">
        <is>
          <t>9784</t>
        </is>
      </c>
      <c r="B9821" s="4" t="s">
        <f>=HYPERLINK("http://anyluxury.ru/shop/odezhda/ofisnye-rubashki/rubashka-zhenskaya-s-korotkim-rukavom-elite-golubaya-183914/" , "1839.14 Рубашка женская с коротким рукавом ELITE голубая, размер 3XL")</f>
      </c>
      <c r="C9821" s="4" t="n">
        <v>2877.00</v>
      </c>
      <c r="D9821" s="4"/>
    </row>
    <row collapsed="" customFormat="false" customHeight="1" hidden="" ht="14" outlineLevel="0" r="9822">
      <c r="A9822" s="3" t="inlineStr">
        <is>
          <t>9785</t>
        </is>
      </c>
      <c r="B9822" s="4" t="s">
        <f>=HYPERLINK("http://anyluxury.ru/shop/odezhda/ofisnye-rubashki/rubashka-zhenskaya-s-korotkim-rukavom-elite-belaya-183960/" , "1839.60 Рубашка женская с коротким рукавом ELITE белая, размер L")</f>
      </c>
      <c r="C9822" s="4" t="n">
        <v>2877.00</v>
      </c>
      <c r="D9822" s="4"/>
    </row>
    <row collapsed="" customFormat="false" customHeight="1" hidden="" ht="14" outlineLevel="0" r="9823">
      <c r="A9823" s="3" t="inlineStr">
        <is>
          <t>9786</t>
        </is>
      </c>
      <c r="B9823" s="4" t="s">
        <f>=HYPERLINK("http://anyluxury.ru/shop/odezhda/ofisnye-rubashki/rubashka-zhenskaya-s-korotkim-rukavom-elite-belaya-183960/" , "1839.60 Рубашка женская с коротким рукавом ELITE белая, размер XXL")</f>
      </c>
      <c r="C9823" s="4" t="n">
        <v>2877.00</v>
      </c>
      <c r="D9823" s="4"/>
    </row>
    <row collapsed="" customFormat="false" customHeight="1" hidden="" ht="14" outlineLevel="0" r="9824">
      <c r="A9824" s="3" t="inlineStr">
        <is>
          <t>9787</t>
        </is>
      </c>
      <c r="B9824" s="4" t="s">
        <f>=HYPERLINK("http://anyluxury.ru/shop/odezhda/ofisnye-rubashki/rubashka-zhenskaya-s-korotkim-rukavom-elite-belaya-183960/" , "1839.60 Рубашка женская с коротким рукавом ELITE белая, размер 3XL")</f>
      </c>
      <c r="C9824" s="4" t="n">
        <v>2877.00</v>
      </c>
      <c r="D9824" s="4"/>
    </row>
    <row collapsed="" customFormat="false" customHeight="1" hidden="" ht="14" outlineLevel="0" r="9825">
      <c r="A9825" s="3" t="inlineStr">
        <is>
          <t>9788</t>
        </is>
      </c>
      <c r="B9825" s="4" t="s">
        <f>=HYPERLINK("http://anyluxury.ru/shop/odezhda/ofisnye-rubashki/rubashka-muzhskaya-s-dlinnim-rukavom-boston-seraya-183613/" , "1836.13 Рубашка мужская с длинным рукавом BOSTON серая, размер S")</f>
      </c>
      <c r="C9825" s="4" t="n">
        <v>3215.00</v>
      </c>
      <c r="D9825" s="4"/>
    </row>
    <row collapsed="" customFormat="false" customHeight="1" hidden="" ht="14" outlineLevel="0" r="9826">
      <c r="A9826" s="3" t="inlineStr">
        <is>
          <t>9789</t>
        </is>
      </c>
      <c r="B9826" s="4" t="s">
        <f>=HYPERLINK("http://anyluxury.ru/shop/odezhda/ofisnye-rubashki/rubashka-muzhskaya-s-dlinnim-rukavom-boston-seraya-183613/" , "1836.13 Рубашка мужская с длинным рукавом BOSTON серая, размер M")</f>
      </c>
      <c r="C9826" s="4" t="n">
        <v>3215.00</v>
      </c>
      <c r="D9826" s="4"/>
    </row>
    <row collapsed="" customFormat="false" customHeight="1" hidden="" ht="14" outlineLevel="0" r="9827">
      <c r="A9827" s="3" t="inlineStr">
        <is>
          <t>9790</t>
        </is>
      </c>
      <c r="B9827" s="4" t="s">
        <f>=HYPERLINK("http://anyluxury.ru/shop/odezhda/ofisnye-rubashki/rubashka-muzhskaya-s-dlinnim-rukavom-boston-seraya-183613/" , "1836.13 Рубашка мужская с длинным рукавом BOSTON серая, размер L")</f>
      </c>
      <c r="C9827" s="4" t="n">
        <v>3215.00</v>
      </c>
      <c r="D9827" s="4"/>
    </row>
    <row collapsed="" customFormat="false" customHeight="1" hidden="" ht="14" outlineLevel="0" r="9828">
      <c r="A9828" s="3" t="inlineStr">
        <is>
          <t>9791</t>
        </is>
      </c>
      <c r="B9828" s="4" t="s">
        <f>=HYPERLINK("http://anyluxury.ru/shop/odezhda/ofisnye-rubashki/rubashka-muzhskaya-s-dlinnim-rukavom-boston-seraya-183613/" , "1836.13 Рубашка мужская с длинным рукавом BOSTON серая, размер XL")</f>
      </c>
      <c r="C9828" s="4" t="n">
        <v>3215.00</v>
      </c>
      <c r="D9828" s="4"/>
    </row>
    <row collapsed="" customFormat="false" customHeight="1" hidden="" ht="14" outlineLevel="0" r="9829">
      <c r="A9829" s="3" t="inlineStr">
        <is>
          <t>9792</t>
        </is>
      </c>
      <c r="B9829" s="4" t="s">
        <f>=HYPERLINK("http://anyluxury.ru/shop/odezhda/ofisnye-rubashki/rubashka-muzhskaya-s-dlinnim-rukavom-boston-seraya-183613/" , "1836.13 Рубашка мужская с длинным рукавом BOSTON серая, размер XXL")</f>
      </c>
      <c r="C9829" s="4" t="n">
        <v>3215.00</v>
      </c>
      <c r="D9829" s="4"/>
    </row>
    <row collapsed="" customFormat="false" customHeight="1" hidden="" ht="14" outlineLevel="0" r="9830">
      <c r="A9830" s="3" t="inlineStr">
        <is>
          <t>9793</t>
        </is>
      </c>
      <c r="B9830" s="4" t="s">
        <f>=HYPERLINK("http://anyluxury.ru/shop/odezhda/ofisnye-rubashki/rubashka-muzhskaya-s-dlinnim-rukavom-boston-seraya-183613/" , "1836.13 Рубашка мужская с длинным рукавом BOSTON серая, размер XXXL")</f>
      </c>
      <c r="C9830" s="4" t="n">
        <v>3215.00</v>
      </c>
      <c r="D9830" s="4"/>
    </row>
    <row collapsed="" customFormat="false" customHeight="1" hidden="" ht="14" outlineLevel="0" r="9831">
      <c r="A9831" s="3" t="inlineStr">
        <is>
          <t>9794</t>
        </is>
      </c>
      <c r="B9831" s="4" t="s">
        <f>=HYPERLINK("http://anyluxury.ru/shop/odezhda/ofisnye-rubashki/rubashka-muzhskaya-s-dlinnim-rukavom-boston-seraya-183613/" , "1836.13 Рубашка мужская с длинным рукавом BOSTON серая, размер 4XL")</f>
      </c>
      <c r="C9831" s="4" t="n">
        <v>3215.00</v>
      </c>
      <c r="D9831" s="4"/>
    </row>
    <row collapsed="" customFormat="false" customHeight="1" hidden="" ht="14" outlineLevel="0" r="9832">
      <c r="A9832" s="3" t="inlineStr">
        <is>
          <t>9795</t>
        </is>
      </c>
      <c r="B9832" s="4" t="s">
        <f>=HYPERLINK("http://anyluxury.ru/shop/odezhda/ofisnye-rubashki/rubashka-muzhskaya-s-korotkim-rukavom-brisbane-seraya-183713/" , "1837.13 Рубашка мужская с коротким рукавом BRISBANE серая, размер 4XL")</f>
      </c>
      <c r="C9832" s="4" t="n">
        <v>2854.00</v>
      </c>
      <c r="D9832" s="4"/>
    </row>
    <row collapsed="" customFormat="false" customHeight="1" hidden="" ht="14" outlineLevel="0" r="9833">
      <c r="A9833" s="3" t="inlineStr">
        <is>
          <t>9796</t>
        </is>
      </c>
      <c r="B9833" s="4" t="s">
        <f>=HYPERLINK("http://anyluxury.ru/shop/odezhda/ofisnye-rubashki/rubashka-muzhskaya-s-korotkim-rukavom-brisbane-seraya-183713/" , "1837.13 Рубашка мужская с коротким рукавом BRISBANE серая, размер L")</f>
      </c>
      <c r="C9833" s="4" t="n">
        <v>2854.00</v>
      </c>
      <c r="D9833" s="4"/>
    </row>
    <row collapsed="" customFormat="false" customHeight="1" hidden="" ht="14" outlineLevel="0" r="9834">
      <c r="A9834" s="3" t="inlineStr">
        <is>
          <t>9797</t>
        </is>
      </c>
      <c r="B9834" s="4" t="s">
        <f>=HYPERLINK("http://anyluxury.ru/shop/odezhda/ofisnye-rubashki/rubashka-muzhskaya-s-korotkim-rukavom-brisbane-seraya-183713/" , "1837.13 Рубашка мужская с коротким рукавом BRISBANE серая, размер S")</f>
      </c>
      <c r="C9834" s="4" t="n">
        <v>2854.00</v>
      </c>
      <c r="D9834" s="4"/>
    </row>
    <row collapsed="" customFormat="false" customHeight="1" hidden="" ht="14" outlineLevel="0" r="9835">
      <c r="A9835" s="3" t="inlineStr">
        <is>
          <t>9798</t>
        </is>
      </c>
      <c r="B9835" s="4" t="s">
        <f>=HYPERLINK("http://anyluxury.ru/shop/odezhda/ofisnye-rubashki/rubashka-muzhskaya-s-korotkim-rukavom-brisbane-seraya-183713/" , "1837.13 Рубашка мужская с коротким рукавом BRISBANE серая, размер M")</f>
      </c>
      <c r="C9835" s="4" t="n">
        <v>2854.00</v>
      </c>
      <c r="D9835" s="4"/>
    </row>
    <row collapsed="" customFormat="false" customHeight="1" hidden="" ht="14" outlineLevel="0" r="9836">
      <c r="A9836" s="3" t="inlineStr">
        <is>
          <t>9799</t>
        </is>
      </c>
      <c r="B9836" s="4" t="s">
        <f>=HYPERLINK("http://anyluxury.ru/shop/odezhda/ofisnye-rubashki/rubashka-muzhskaya-s-korotkim-rukavom-brisbane-seraya-183713/" , "1837.13 Рубашка мужская с коротким рукавом BRISBANE серая, размер XL")</f>
      </c>
      <c r="C9836" s="4" t="n">
        <v>2854.00</v>
      </c>
      <c r="D9836" s="4"/>
    </row>
    <row collapsed="" customFormat="false" customHeight="1" hidden="" ht="14" outlineLevel="0" r="9837">
      <c r="A9837" s="3" t="inlineStr">
        <is>
          <t>9800</t>
        </is>
      </c>
      <c r="B9837" s="4" t="s">
        <f>=HYPERLINK("http://anyluxury.ru/shop/odezhda/ofisnye-rubashki/rubashka-muzhskaya-s-korotkim-rukavom-brisbane-seraya-183713/" , "1837.13 Рубашка мужская с коротким рукавом BRISBANE серая, размер XXL")</f>
      </c>
      <c r="C9837" s="4" t="n">
        <v>2854.00</v>
      </c>
      <c r="D9837" s="4"/>
    </row>
    <row collapsed="" customFormat="false" customHeight="1" hidden="" ht="14" outlineLevel="0" r="9838">
      <c r="A9838" s="3" t="inlineStr">
        <is>
          <t>9801</t>
        </is>
      </c>
      <c r="B9838" s="4" t="s">
        <f>=HYPERLINK("http://anyluxury.ru/shop/odezhda/ofisnye-rubashki/rubashka-muzhskaya-s-korotkim-rukavom-brisbane-seraya-183713/" , "1837.13 Рубашка мужская с коротким рукавом BRISBANE серая, размер XXXL")</f>
      </c>
      <c r="C9838" s="4" t="n">
        <v>2854.00</v>
      </c>
      <c r="D9838" s="4"/>
    </row>
    <row collapsed="" customFormat="false" customHeight="1" hidden="" ht="14" outlineLevel="0" r="9839">
      <c r="A9839" s="3" t="inlineStr">
        <is>
          <t>9802</t>
        </is>
      </c>
      <c r="B9839" s="4" t="s">
        <f>=HYPERLINK("http://anyluxury.ru/shop/odezhda/ofisnye-rubashki/rubashka-zhenskaya-s-dlinnim-rukavom-embassy-golubaya-183814/" , "1838.14 Рубашка женская с длинным рукавом EMBASSY голубая, размер XS ")</f>
      </c>
      <c r="C9839" s="4" t="n">
        <v>3248.00</v>
      </c>
      <c r="D9839" s="4"/>
    </row>
    <row collapsed="" customFormat="false" customHeight="1" hidden="" ht="14" outlineLevel="0" r="9840">
      <c r="A9840" s="3" t="inlineStr">
        <is>
          <t>9803</t>
        </is>
      </c>
      <c r="B9840" s="4" t="s">
        <f>=HYPERLINK("http://anyluxury.ru/shop/odezhda/ofisnye-rubashki/rubashka-zhenskaya-s-dlinnim-rukavom-embassy-golubaya-183814/" , "1838.14 Рубашка женская с длинным рукавом EMBASSY голубая, размер XL")</f>
      </c>
      <c r="C9840" s="4" t="n">
        <v>3248.00</v>
      </c>
      <c r="D9840" s="4"/>
    </row>
    <row collapsed="" customFormat="false" customHeight="1" hidden="" ht="14" outlineLevel="0" r="9841">
      <c r="A9841" s="3" t="inlineStr">
        <is>
          <t>9804</t>
        </is>
      </c>
      <c r="B9841" s="4" t="s">
        <f>=HYPERLINK("http://anyluxury.ru/shop/odezhda/ofisnye-rubashki/rubashka-zhenskaya-s-dlinnim-rukavom-embassy-golubaya-183814/" , "1838.14 Рубашка женская с длинным рукавом EMBASSY голубая, размер XXL")</f>
      </c>
      <c r="C9841" s="4" t="n">
        <v>3248.00</v>
      </c>
      <c r="D9841" s="4"/>
    </row>
    <row collapsed="" customFormat="false" customHeight="1" hidden="" ht="14" outlineLevel="0" r="9842">
      <c r="A9842" s="3" t="inlineStr">
        <is>
          <t>9805</t>
        </is>
      </c>
      <c r="B9842" s="4" t="s">
        <f>=HYPERLINK("http://anyluxury.ru/shop/odezhda/ofisnye-rubashki/rubashka-zhenskaya-s-dlinnim-rukavom-embassy-golubaya-183814/" , "1838.14 Рубашка женская с длинным рукавом EMBASSY голубая, размер 3XL")</f>
      </c>
      <c r="C9842" s="4" t="n">
        <v>3248.00</v>
      </c>
      <c r="D9842" s="4"/>
    </row>
    <row collapsed="" customFormat="false" customHeight="1" hidden="" ht="14" outlineLevel="0" r="9843">
      <c r="A9843" s="3" t="inlineStr">
        <is>
          <t>9806</t>
        </is>
      </c>
      <c r="B9843" s="4" t="s">
        <f>=HYPERLINK("http://anyluxury.ru/shop/odezhda/ofisnye-rubashki/rubashka-zhenskaya-s-dlinnim-rukavom-embassy-seraya-183813/" , "1838.13 Рубашка женская с длинным рукавом EMBASSY серая, размер XS")</f>
      </c>
      <c r="C9843" s="4" t="n">
        <v>2840.00</v>
      </c>
      <c r="D9843" s="4"/>
    </row>
    <row collapsed="" customFormat="false" customHeight="1" hidden="" ht="14" outlineLevel="0" r="9844">
      <c r="A9844" s="3" t="inlineStr">
        <is>
          <t>9807</t>
        </is>
      </c>
      <c r="B9844" s="4" t="s">
        <f>=HYPERLINK("http://anyluxury.ru/shop/odezhda/ofisnye-rubashki/rubashka-zhenskaya-s-dlinnim-rukavom-embassy-seraya-183813/" , "1838.13 Рубашка женская с длинным рукавом EMBASSY серая, размер S")</f>
      </c>
      <c r="C9844" s="4" t="n">
        <v>2840.00</v>
      </c>
      <c r="D9844" s="4"/>
    </row>
    <row collapsed="" customFormat="false" customHeight="1" hidden="" ht="14" outlineLevel="0" r="9845">
      <c r="A9845" s="3" t="inlineStr">
        <is>
          <t>9808</t>
        </is>
      </c>
      <c r="B9845" s="4" t="s">
        <f>=HYPERLINK("http://anyluxury.ru/shop/odezhda/ofisnye-rubashki/rubashka-zhenskaya-s-dlinnim-rukavom-embassy-seraya-183813/" , "1838.13 Рубашка женская с длинным рукавом EMBASSY серая, размер M")</f>
      </c>
      <c r="C9845" s="4" t="n">
        <v>2840.00</v>
      </c>
      <c r="D9845" s="4"/>
    </row>
    <row collapsed="" customFormat="false" customHeight="1" hidden="" ht="14" outlineLevel="0" r="9846">
      <c r="A9846" s="3" t="inlineStr">
        <is>
          <t>9809</t>
        </is>
      </c>
      <c r="B9846" s="4" t="s">
        <f>=HYPERLINK("http://anyluxury.ru/shop/odezhda/ofisnye-rubashki/rubashka-zhenskaya-s-dlinnim-rukavom-embassy-seraya-183813/" , "1838.13 Рубашка женская с длинным рукавом EMBASSY серая, размер L")</f>
      </c>
      <c r="C9846" s="4" t="n">
        <v>2840.00</v>
      </c>
      <c r="D9846" s="4"/>
    </row>
    <row collapsed="" customFormat="false" customHeight="1" hidden="" ht="14" outlineLevel="0" r="9847">
      <c r="A9847" s="3" t="inlineStr">
        <is>
          <t>9810</t>
        </is>
      </c>
      <c r="B9847" s="4" t="s">
        <f>=HYPERLINK("http://anyluxury.ru/shop/odezhda/ofisnye-rubashki/rubashka-zhenskaya-s-dlinnim-rukavom-embassy-seraya-183813/" , "1838.13 Рубашка женская с длинным рукавом EMBASSY серая, размер XL")</f>
      </c>
      <c r="C9847" s="4" t="n">
        <v>2840.00</v>
      </c>
      <c r="D9847" s="4"/>
    </row>
    <row collapsed="" customFormat="false" customHeight="1" hidden="" ht="14" outlineLevel="0" r="9848">
      <c r="A9848" s="3" t="inlineStr">
        <is>
          <t>9811</t>
        </is>
      </c>
      <c r="B9848" s="4" t="s">
        <f>=HYPERLINK("http://anyluxury.ru/shop/odezhda/ofisnye-rubashki/rubashka-zhenskaya-s-dlinnim-rukavom-embassy-seraya-183813/" , "1838.13 Рубашка женская с длинным рукавом EMBASSY серая, размер XXL")</f>
      </c>
      <c r="C9848" s="4" t="n">
        <v>2840.00</v>
      </c>
      <c r="D9848" s="4"/>
    </row>
    <row collapsed="" customFormat="false" customHeight="1" hidden="" ht="14" outlineLevel="0" r="9849">
      <c r="A9849" s="3" t="inlineStr">
        <is>
          <t>9812</t>
        </is>
      </c>
      <c r="B9849" s="4" t="s">
        <f>=HYPERLINK("http://anyluxury.ru/shop/odezhda/ofisnye-rubashki/rubashka-zhenskaya-s-dlinnim-rukavom-embassy-seraya-183813/" , "1838.13 Рубашка женская с длинным рукавом EMBASSY серая, размер 3XL")</f>
      </c>
      <c r="C9849" s="4" t="n">
        <v>2840.00</v>
      </c>
      <c r="D9849" s="4"/>
    </row>
    <row collapsed="" customFormat="false" customHeight="1" hidden="" ht="14" outlineLevel="0" r="9850">
      <c r="A9850" s="3" t="inlineStr">
        <is>
          <t>9813</t>
        </is>
      </c>
      <c r="B9850" s="4" t="s">
        <f>=HYPERLINK("http://anyluxury.ru/shop/odezhda/ofisnye-rubashki/rubashka-zhenskaya-s-korotkim-rukavom-elite-seraya-183913/" , "1839.13 Рубашка женская с коротким рукавом ELITE серая, размер 3XL")</f>
      </c>
      <c r="C9850" s="4" t="n">
        <v>2523.00</v>
      </c>
      <c r="D9850" s="4"/>
    </row>
    <row collapsed="" customFormat="false" customHeight="1" hidden="" ht="14" outlineLevel="0" r="9851">
      <c r="A9851" s="3" t="inlineStr">
        <is>
          <t>9814</t>
        </is>
      </c>
      <c r="B9851" s="4" t="s">
        <f>=HYPERLINK("http://anyluxury.ru/shop/odezhda/ofisnye-rubashki/rubashka-zhenskaya-s-korotkim-rukavom-elite-seraya-183913/" , "1839.13 Рубашка женская с коротким рукавом ELITE серая, размер XS")</f>
      </c>
      <c r="C9851" s="4" t="n">
        <v>2523.00</v>
      </c>
      <c r="D9851" s="4"/>
    </row>
    <row collapsed="" customFormat="false" customHeight="1" hidden="" ht="14" outlineLevel="0" r="9852">
      <c r="A9852" s="3" t="inlineStr">
        <is>
          <t>9815</t>
        </is>
      </c>
      <c r="B9852" s="4" t="s">
        <f>=HYPERLINK("http://anyluxury.ru/shop/odezhda/ofisnye-rubashki/rubashka-zhenskaya-s-korotkim-rukavom-elite-seraya-183913/" , "1839.13 Рубашка женская с коротким рукавом ELITE серая, размер S")</f>
      </c>
      <c r="C9852" s="4" t="n">
        <v>2523.00</v>
      </c>
      <c r="D9852" s="4"/>
    </row>
    <row collapsed="" customFormat="false" customHeight="1" hidden="" ht="14" outlineLevel="0" r="9853">
      <c r="A9853" s="3" t="inlineStr">
        <is>
          <t>9816</t>
        </is>
      </c>
      <c r="B9853" s="4" t="s">
        <f>=HYPERLINK("http://anyluxury.ru/shop/odezhda/ofisnye-rubashki/rubashka-zhenskaya-s-korotkim-rukavom-elite-seraya-183913/" , "1839.13 Рубашка женская с коротким рукавом ELITE серая, размер M")</f>
      </c>
      <c r="C9853" s="4" t="n">
        <v>2523.00</v>
      </c>
      <c r="D9853" s="4"/>
    </row>
    <row collapsed="" customFormat="false" customHeight="1" hidden="" ht="14" outlineLevel="0" r="9854">
      <c r="A9854" s="3" t="inlineStr">
        <is>
          <t>9817</t>
        </is>
      </c>
      <c r="B9854" s="4" t="s">
        <f>=HYPERLINK("http://anyluxury.ru/shop/odezhda/ofisnye-rubashki/rubashka-zhenskaya-s-korotkim-rukavom-elite-seraya-183913/" , "1839.13 Рубашка женская с коротким рукавом ELITE серая, размер L")</f>
      </c>
      <c r="C9854" s="4" t="n">
        <v>2523.00</v>
      </c>
      <c r="D9854" s="4"/>
    </row>
    <row collapsed="" customFormat="false" customHeight="1" hidden="" ht="14" outlineLevel="0" r="9855">
      <c r="A9855" s="3" t="inlineStr">
        <is>
          <t>9818</t>
        </is>
      </c>
      <c r="B9855" s="4" t="s">
        <f>=HYPERLINK("http://anyluxury.ru/shop/odezhda/ofisnye-rubashki/rubashka-zhenskaya-s-korotkim-rukavom-elite-seraya-183913/" , "1839.13 Рубашка женская с коротким рукавом ELITE серая, размер XL")</f>
      </c>
      <c r="C9855" s="4" t="n">
        <v>2523.00</v>
      </c>
      <c r="D9855" s="4"/>
    </row>
    <row collapsed="" customFormat="false" customHeight="1" hidden="" ht="14" outlineLevel="0" r="9856">
      <c r="A9856" s="3" t="inlineStr">
        <is>
          <t>9819</t>
        </is>
      </c>
      <c r="B9856" s="4" t="s">
        <f>=HYPERLINK("http://anyluxury.ru/shop/odezhda/ofisnye-rubashki/rubashka-zhenskaya-s-korotkim-rukavom-elite-seraya-183913/" , "1839.13 Рубашка женская с коротким рукавом ELITE серая, размер XXL")</f>
      </c>
      <c r="C9856" s="4" t="n">
        <v>2523.00</v>
      </c>
      <c r="D9856" s="4"/>
    </row>
    <row collapsed="" customFormat="false" customHeight="1" hidden="" ht="14" outlineLevel="0" r="9857">
      <c r="A9857" s="3" t="inlineStr">
        <is>
          <t>9820</t>
        </is>
      </c>
      <c r="B9857" s="4" t="s">
        <f>=HYPERLINK("http://anyluxury.ru/shop/odezhda/ofisnye-rubashki/rubashka-muzhskaya-s-dlinnim-rukavom-bel-air-belaya-250660/" , "2506.60 Рубашка мужская с длинным рукавом BEL AIR белая, размер XXL")</f>
      </c>
      <c r="C9857" s="4" t="n">
        <v>3399.00</v>
      </c>
      <c r="D9857" s="4"/>
    </row>
    <row collapsed="" customFormat="false" customHeight="1" hidden="" ht="14" outlineLevel="0" r="9858">
      <c r="A9858" s="3" t="inlineStr">
        <is>
          <t>9821</t>
        </is>
      </c>
      <c r="B9858" s="4" t="s">
        <f>=HYPERLINK("http://anyluxury.ru/shop/odezhda/ofisnye-rubashki/rubashka-muzhskaya-s-dlinnim-rukavom-bel-air-belaya-250660/" , "2506.60 Рубашка мужская с длинным рукавом BEL AIR белая, размер XXXL")</f>
      </c>
      <c r="C9858" s="4" t="n">
        <v>3399.00</v>
      </c>
      <c r="D9858" s="4"/>
    </row>
    <row collapsed="" customFormat="false" customHeight="1" hidden="" ht="14" outlineLevel="0" r="9859">
      <c r="A9859" s="3" t="inlineStr">
        <is>
          <t>9822</t>
        </is>
      </c>
      <c r="B9859" s="4" t="s">
        <f>=HYPERLINK("http://anyluxury.ru/shop/odezhda/ofisnye-rubashki/rubashka-muzhskaya-s-dlinnim-rukavom-bel-air-belaya-250660/" , "2506.60 Рубашка мужская с длинным рукавом BEL AIR белая, размер 4XL")</f>
      </c>
      <c r="C9859" s="4" t="n">
        <v>3399.00</v>
      </c>
      <c r="D9859" s="4"/>
    </row>
    <row collapsed="" customFormat="false" customHeight="1" hidden="" ht="14" outlineLevel="0" r="9860">
      <c r="A9860" s="3" t="inlineStr">
        <is>
          <t>9823</t>
        </is>
      </c>
      <c r="B9860" s="4" t="s">
        <f>=HYPERLINK("http://anyluxury.ru/shop/odezhda/ofisnye-rubashki/rubashka-muzhskaya-s-dlinnim-rukavom-bel-air-chernaya-250630/" , "2506.30 Рубашка мужская с длинным рукавом BEL AIR черная, размер S")</f>
      </c>
      <c r="C9860" s="4" t="n">
        <v>3399.00</v>
      </c>
      <c r="D9860" s="4"/>
    </row>
    <row collapsed="" customFormat="false" customHeight="1" hidden="" ht="14" outlineLevel="0" r="9861">
      <c r="A9861" s="3" t="inlineStr">
        <is>
          <t>9824</t>
        </is>
      </c>
      <c r="B9861" s="4" t="s">
        <f>=HYPERLINK("http://anyluxury.ru/shop/odezhda/ofisnye-rubashki/rubashka-muzhskaya-s-dlinnim-rukavom-bel-air-chernaya-250630/" , "2506.30 Рубашка мужская с длинным рукавом BEL AIR черная, размер M")</f>
      </c>
      <c r="C9861" s="4" t="n">
        <v>3399.00</v>
      </c>
      <c r="D9861" s="4"/>
    </row>
    <row collapsed="" customFormat="false" customHeight="1" hidden="" ht="14" outlineLevel="0" r="9862">
      <c r="A9862" s="3" t="inlineStr">
        <is>
          <t>9825</t>
        </is>
      </c>
      <c r="B9862" s="4" t="s">
        <f>=HYPERLINK("http://anyluxury.ru/shop/odezhda/ofisnye-rubashki/rubashka-muzhskaya-s-dlinnim-rukavom-bel-air-chernaya-250630/" , "2506.30 Рубашка мужская с длинным рукавом BEL AIR черная, размер L")</f>
      </c>
      <c r="C9862" s="4" t="n">
        <v>3399.00</v>
      </c>
      <c r="D9862" s="4"/>
    </row>
    <row collapsed="" customFormat="false" customHeight="1" hidden="" ht="14" outlineLevel="0" r="9863">
      <c r="A9863" s="3" t="inlineStr">
        <is>
          <t>9826</t>
        </is>
      </c>
      <c r="B9863" s="4" t="s">
        <f>=HYPERLINK("http://anyluxury.ru/shop/odezhda/ofisnye-rubashki/rubashka-muzhskaya-s-dlinnim-rukavom-bel-air-chernaya-250630/" , "2506.30 Рубашка мужская с длинным рукавом BEL AIR черная, размер XL")</f>
      </c>
      <c r="C9863" s="4" t="n">
        <v>3399.00</v>
      </c>
      <c r="D9863" s="4"/>
    </row>
    <row collapsed="" customFormat="false" customHeight="1" hidden="" ht="14" outlineLevel="0" r="9864">
      <c r="A9864" s="3" t="inlineStr">
        <is>
          <t>9827</t>
        </is>
      </c>
      <c r="B9864" s="4" t="s">
        <f>=HYPERLINK("http://anyluxury.ru/shop/odezhda/ofisnye-rubashki/rubashka-muzhskaya-s-dlinnim-rukavom-bel-air-chernaya-250630/" , "2506.30 Рубашка мужская с длинным рукавом BEL AIR черная, размер XXL")</f>
      </c>
      <c r="C9864" s="4" t="n">
        <v>3399.00</v>
      </c>
      <c r="D9864" s="4"/>
    </row>
    <row collapsed="" customFormat="false" customHeight="1" hidden="" ht="14" outlineLevel="0" r="9865">
      <c r="A9865" s="3" t="inlineStr">
        <is>
          <t>9828</t>
        </is>
      </c>
      <c r="B9865" s="4" t="s">
        <f>=HYPERLINK("http://anyluxury.ru/shop/odezhda/ofisnye-rubashki/rubashka-muzhskaya-s-dlinnim-rukavom-bel-air-chernaya-250630/" , "2506.30 Рубашка мужская с длинным рукавом BEL AIR черная, размер 3XL")</f>
      </c>
      <c r="C9865" s="4" t="n">
        <v>3399.00</v>
      </c>
      <c r="D9865" s="4"/>
    </row>
    <row collapsed="" customFormat="false" customHeight="1" hidden="" ht="14" outlineLevel="0" r="9866">
      <c r="A9866" s="3" t="inlineStr">
        <is>
          <t>9829</t>
        </is>
      </c>
      <c r="B9866" s="4" t="s">
        <f>=HYPERLINK("http://anyluxury.ru/shop/odezhda/ofisnye-rubashki/rubashka-muzhskaya-s-dlinnim-rukavom-bel-air-chernaya-250630/" , "2506.30 Рубашка мужская с длинным рукавом BEL AIR черная, размер 4XL")</f>
      </c>
      <c r="C9866" s="4" t="n">
        <v>3399.00</v>
      </c>
      <c r="D9866" s="4"/>
    </row>
    <row collapsed="" customFormat="false" customHeight="1" hidden="" ht="14" outlineLevel="0" r="9867">
      <c r="A9867" s="3" t="inlineStr">
        <is>
          <t>9830</t>
        </is>
      </c>
      <c r="B9867" s="4" t="s">
        <f>=HYPERLINK("http://anyluxury.ru/shop/odezhda/ofisnye-rubashki/rubashka-zhenskaya-s-korotkim-rukavom-excess-belaya-251160/" , "2511.60 Рубашка женская с коротким рукавом EXCESS белая, размер XS")</f>
      </c>
      <c r="C9867" s="4" t="n">
        <v>3146.00</v>
      </c>
      <c r="D9867" s="4"/>
    </row>
    <row collapsed="" customFormat="false" customHeight="1" hidden="" ht="14" outlineLevel="0" r="9868">
      <c r="A9868" s="3" t="inlineStr">
        <is>
          <t>9831</t>
        </is>
      </c>
      <c r="B9868" s="4" t="s">
        <f>=HYPERLINK("http://anyluxury.ru/shop/odezhda/ofisnye-rubashki/rubashka-zhenskaya-s-korotkim-rukavom-excess-belaya-251160/" , "2511.60 Рубашка женская с коротким рукавом EXCESS белая, размер S")</f>
      </c>
      <c r="C9868" s="4" t="n">
        <v>3146.00</v>
      </c>
      <c r="D9868" s="4"/>
    </row>
    <row collapsed="" customFormat="false" customHeight="1" hidden="" ht="14" outlineLevel="0" r="9869">
      <c r="A9869" s="3" t="inlineStr">
        <is>
          <t>9832</t>
        </is>
      </c>
      <c r="B9869" s="4" t="s">
        <f>=HYPERLINK("http://anyluxury.ru/shop/odezhda/ofisnye-rubashki/rubashka-zhenskaya-s-korotkim-rukavom-excess-belaya-251160/" , "2511.60 Рубашка женская с коротким рукавом EXCESS белая, размер M")</f>
      </c>
      <c r="C9869" s="4" t="n">
        <v>3146.00</v>
      </c>
      <c r="D9869" s="4"/>
    </row>
    <row collapsed="" customFormat="false" customHeight="1" hidden="" ht="14" outlineLevel="0" r="9870">
      <c r="A9870" s="3" t="inlineStr">
        <is>
          <t>9833</t>
        </is>
      </c>
      <c r="B9870" s="4" t="s">
        <f>=HYPERLINK("http://anyluxury.ru/shop/odezhda/ofisnye-rubashki/rubashka-zhenskaya-s-korotkim-rukavom-excess-belaya-251160/" , "2511.60 Рубашка женская с коротким рукавом EXCESS белая, размер L")</f>
      </c>
      <c r="C9870" s="4" t="n">
        <v>3146.00</v>
      </c>
      <c r="D9870" s="4"/>
    </row>
    <row collapsed="" customFormat="false" customHeight="1" hidden="" ht="14" outlineLevel="0" r="9871">
      <c r="A9871" s="3" t="inlineStr">
        <is>
          <t>9834</t>
        </is>
      </c>
      <c r="B9871" s="4" t="s">
        <f>=HYPERLINK("http://anyluxury.ru/shop/odezhda/ofisnye-rubashki/rubashka-zhenskaya-s-korotkim-rukavom-excess-belaya-251160/" , "2511.60 Рубашка женская с коротким рукавом EXCESS белая, размер XL")</f>
      </c>
      <c r="C9871" s="4" t="n">
        <v>3146.00</v>
      </c>
      <c r="D9871" s="4"/>
    </row>
    <row collapsed="" customFormat="false" customHeight="1" hidden="" ht="14" outlineLevel="0" r="9872">
      <c r="A9872" s="3" t="inlineStr">
        <is>
          <t>9835</t>
        </is>
      </c>
      <c r="B9872" s="4" t="s">
        <f>=HYPERLINK("http://anyluxury.ru/shop/odezhda/ofisnye-rubashki/rubashka-zhenskaya-s-korotkim-rukavom-excess-belaya-251160/" , "2511.60 Рубашка женская с коротким рукавом Excess белая, размер XXL")</f>
      </c>
      <c r="C9872" s="4" t="n">
        <v>3146.00</v>
      </c>
      <c r="D9872" s="4"/>
    </row>
    <row collapsed="" customFormat="false" customHeight="1" hidden="" ht="14" outlineLevel="0" r="9873">
      <c r="A9873" s="3" t="inlineStr">
        <is>
          <t>9836</t>
        </is>
      </c>
      <c r="B9873" s="4" t="s">
        <f>=HYPERLINK("http://anyluxury.ru/shop/odezhda/ofisnye-rubashki/rubashka-zhenskaya-s-rukavom-34-effect-140-belaya-251060/" , "2510.60 Рубашка женская с рукавом 3/4 EFFECT 140 белая, размер XS")</f>
      </c>
      <c r="C9873" s="4" t="n">
        <v>3133.00</v>
      </c>
      <c r="D9873" s="4"/>
    </row>
    <row collapsed="" customFormat="false" customHeight="1" hidden="" ht="14" outlineLevel="0" r="9874">
      <c r="A9874" s="3" t="inlineStr">
        <is>
          <t>9837</t>
        </is>
      </c>
      <c r="B9874" s="4" t="s">
        <f>=HYPERLINK("http://anyluxury.ru/shop/odezhda/ofisnye-rubashki/rubashka-zhenskaya-s-rukavom-34-effect-140-belaya-251060/" , "2510.60 Рубашка женская с рукавом 3/4 Effect 140 белая, размер XXL")</f>
      </c>
      <c r="C9874" s="4" t="n">
        <v>3133.00</v>
      </c>
      <c r="D9874" s="4"/>
    </row>
    <row collapsed="" customFormat="false" customHeight="1" hidden="" ht="14" outlineLevel="0" r="9875">
      <c r="A9875" s="3" t="inlineStr">
        <is>
          <t>9838</t>
        </is>
      </c>
      <c r="B9875" s="4" t="s">
        <f>=HYPERLINK("http://anyluxury.ru/shop/odezhda/ofisnye-rubashki/rubashka-zhenskaya-s-korotkim-rukavom-excess-chernaya-251130/" , "2511.30 Рубашка женская с коротким рукавом EXCESS черная, размер L")</f>
      </c>
      <c r="C9875" s="4" t="n">
        <v>3146.00</v>
      </c>
      <c r="D9875" s="4"/>
    </row>
    <row collapsed="" customFormat="false" customHeight="1" hidden="" ht="14" outlineLevel="0" r="9876">
      <c r="A9876" s="3" t="inlineStr">
        <is>
          <t>9839</t>
        </is>
      </c>
      <c r="B9876" s="4" t="s">
        <f>=HYPERLINK("http://anyluxury.ru/shop/odezhda/ofisnye-rubashki/rubashka-zhenskaya-s-korotkim-rukavom-excess-chernaya-251130/" , "2511.30 Рубашка женская с коротким рукавом EXCESS черная, размер XL")</f>
      </c>
      <c r="C9876" s="4" t="n">
        <v>3146.00</v>
      </c>
      <c r="D9876" s="4"/>
    </row>
    <row collapsed="" customFormat="false" customHeight="1" hidden="" ht="14" outlineLevel="0" r="9877">
      <c r="A9877" s="3" t="inlineStr">
        <is>
          <t>9840</t>
        </is>
      </c>
      <c r="B9877" s="4" t="s">
        <f>=HYPERLINK("http://anyluxury.ru/shop/odezhda/ofisnye-rubashki/rubashka-zhenskaya-s-korotkim-rukavom-excess-chernaya-251130/" , "2511.30 Рубашка женская с коротким рукавом Excess черная, размер XS")</f>
      </c>
      <c r="C9877" s="4" t="n">
        <v>3146.00</v>
      </c>
      <c r="D9877" s="4"/>
    </row>
    <row collapsed="" customFormat="false" customHeight="1" hidden="" ht="14" outlineLevel="0" r="9878">
      <c r="A9878" s="3" t="inlineStr">
        <is>
          <t>9841</t>
        </is>
      </c>
      <c r="B9878" s="4" t="s">
        <f>=HYPERLINK("http://anyluxury.ru/shop/odezhda/ofisnye-rubashki/rubashka-zhenskaya-s-korotkim-rukavom-excess-chernaya-251130/" , "2511.30 Рубашка женская с коротким рукавом Excess черная, размер XXL")</f>
      </c>
      <c r="C9878" s="4" t="n">
        <v>3146.00</v>
      </c>
      <c r="D9878" s="4"/>
    </row>
    <row collapsed="" customFormat="false" customHeight="1" hidden="" ht="14" outlineLevel="0" r="9879">
      <c r="A9879" s="3" t="inlineStr">
        <is>
          <t>9842</t>
        </is>
      </c>
      <c r="B9879" s="4" t="s">
        <f>=HYPERLINK("http://anyluxury.ru/shop/odezhda/ofisnye-rubashki/rubashka-zhenskaya-s-rukavom-34-effect-140-chernaya-251030/" , "2510.30 Рубашка женская с рукавом 3/4 EFFECT 140 черная, размер S")</f>
      </c>
      <c r="C9879" s="4" t="n">
        <v>3133.00</v>
      </c>
      <c r="D9879" s="4"/>
    </row>
    <row collapsed="" customFormat="false" customHeight="1" hidden="" ht="14" outlineLevel="0" r="9880">
      <c r="A9880" s="3" t="inlineStr">
        <is>
          <t>9843</t>
        </is>
      </c>
      <c r="B9880" s="4" t="s">
        <f>=HYPERLINK("http://anyluxury.ru/shop/odezhda/ofisnye-rubashki/rubashka-zhenskaya-s-rukavom-34-effect-140-chernaya-251030/" , "2510.30 Рубашка женская с рукавом 3/4 EFFECT 140 черная, размер XL")</f>
      </c>
      <c r="C9880" s="4" t="n">
        <v>3133.00</v>
      </c>
      <c r="D9880" s="4"/>
    </row>
    <row collapsed="" customFormat="false" customHeight="1" hidden="" ht="14" outlineLevel="0" r="9881">
      <c r="A9881" s="3" t="inlineStr">
        <is>
          <t>9844</t>
        </is>
      </c>
      <c r="B9881" s="4" t="s">
        <f>=HYPERLINK("http://anyluxury.ru/shop/odezhda/ofisnye-rubashki/rubashka-zhenskaya-s-rukavom-34-effect-140-chernaya-251030/" , "2510.30 Рубашка женская с рукавом 3/4 Effect 140 черная, размер XXL")</f>
      </c>
      <c r="C9881" s="4" t="n">
        <v>3133.00</v>
      </c>
      <c r="D9881" s="4"/>
    </row>
    <row collapsed="" customFormat="false" customHeight="1" hidden="" ht="14" outlineLevel="0" r="9882">
      <c r="A9882" s="3" t="inlineStr">
        <is>
          <t>9845</t>
        </is>
      </c>
      <c r="B9882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M")</f>
      </c>
      <c r="C9882" s="4" t="n">
        <v>2931.00</v>
      </c>
      <c r="D9882" s="4"/>
    </row>
    <row collapsed="" customFormat="false" customHeight="1" hidden="" ht="14" outlineLevel="0" r="9883">
      <c r="A9883" s="3" t="inlineStr">
        <is>
          <t>9846</t>
        </is>
      </c>
      <c r="B9883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3XL")</f>
      </c>
      <c r="C9883" s="4" t="n">
        <v>2931.00</v>
      </c>
      <c r="D9883" s="4"/>
    </row>
    <row collapsed="" customFormat="false" customHeight="1" hidden="" ht="14" outlineLevel="0" r="9884">
      <c r="A9884" s="3" t="inlineStr">
        <is>
          <t>9847</t>
        </is>
      </c>
      <c r="B9884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S")</f>
      </c>
      <c r="C9884" s="4" t="n">
        <v>2931.00</v>
      </c>
      <c r="D9884" s="4"/>
    </row>
    <row collapsed="" customFormat="false" customHeight="1" hidden="" ht="14" outlineLevel="0" r="9885">
      <c r="A9885" s="3" t="inlineStr">
        <is>
          <t>9848</t>
        </is>
      </c>
      <c r="B9885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L")</f>
      </c>
      <c r="C9885" s="4" t="n">
        <v>2931.00</v>
      </c>
      <c r="D9885" s="4"/>
    </row>
    <row collapsed="" customFormat="false" customHeight="1" hidden="" ht="14" outlineLevel="0" r="9886">
      <c r="A9886" s="3" t="inlineStr">
        <is>
          <t>9849</t>
        </is>
      </c>
      <c r="B9886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XL")</f>
      </c>
      <c r="C9886" s="4" t="n">
        <v>2931.00</v>
      </c>
      <c r="D9886" s="4"/>
    </row>
    <row collapsed="" customFormat="false" customHeight="1" hidden="" ht="14" outlineLevel="0" r="9887">
      <c r="A9887" s="3" t="inlineStr">
        <is>
          <t>9850</t>
        </is>
      </c>
      <c r="B9887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XXL")</f>
      </c>
      <c r="C9887" s="4" t="n">
        <v>2931.00</v>
      </c>
      <c r="D9887" s="4"/>
    </row>
    <row collapsed="" customFormat="false" customHeight="1" hidden="" ht="14" outlineLevel="0" r="9888">
      <c r="A9888" s="3" t="inlineStr">
        <is>
          <t>9851</t>
        </is>
      </c>
      <c r="B9888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4XL")</f>
      </c>
      <c r="C9888" s="4" t="n">
        <v>2931.00</v>
      </c>
      <c r="D9888" s="4"/>
    </row>
    <row collapsed="" customFormat="false" customHeight="1" hidden="" ht="14" outlineLevel="0" r="9889">
      <c r="A9889" s="3" t="inlineStr">
        <is>
          <t>9852</t>
        </is>
      </c>
      <c r="B9889" s="4" t="s">
        <f>=HYPERLINK("http://anyluxury.ru/shop/odezhda/ofisnye-rubashki/rubashka-muzhskaya-s-korotkim-rukavom-brisbane-chernaya-183730/" , "1837.30 Рубашка мужская с коротким рукавом BRISBANE черная, размер S")</f>
      </c>
      <c r="C9889" s="4" t="n">
        <v>2854.00</v>
      </c>
      <c r="D9889" s="4"/>
    </row>
    <row collapsed="" customFormat="false" customHeight="1" hidden="" ht="14" outlineLevel="0" r="9890">
      <c r="A9890" s="3" t="inlineStr">
        <is>
          <t>9853</t>
        </is>
      </c>
      <c r="B9890" s="4" t="s">
        <f>=HYPERLINK("http://anyluxury.ru/shop/odezhda/ofisnye-rubashki/rubashka-muzhskaya-s-korotkim-rukavom-brisbane-chernaya-183730/" , "1837.30 Рубашка мужская с коротким рукавом BRISBANE черная, размер 3XL")</f>
      </c>
      <c r="C9890" s="4" t="n">
        <v>2854.00</v>
      </c>
      <c r="D9890" s="4"/>
    </row>
    <row collapsed="" customFormat="false" customHeight="1" hidden="" ht="14" outlineLevel="0" r="9891">
      <c r="A9891" s="3" t="inlineStr">
        <is>
          <t>9854</t>
        </is>
      </c>
      <c r="B9891" s="4" t="s">
        <f>=HYPERLINK("http://anyluxury.ru/shop/odezhda/ofisnye-rubashki/rubashka-muzhskaya-s-korotkim-rukavom-brisbane-chernaya-183730/" , "1837.30 Рубашка мужская с коротким рукавом BRISBANE черная, размер 4XL")</f>
      </c>
      <c r="C9891" s="4" t="n">
        <v>2854.00</v>
      </c>
      <c r="D9891" s="4"/>
    </row>
    <row collapsed="" customFormat="false" customHeight="1" hidden="" ht="14" outlineLevel="0" r="9892">
      <c r="A9892" s="3" t="inlineStr">
        <is>
          <t>9855</t>
        </is>
      </c>
      <c r="B9892" s="4" t="s">
        <f>=HYPERLINK("http://anyluxury.ru/shop/odezhda/ofisnye-rubashki/rubashka-zhenskaya-s-korotkim-rukavom-excess-golubaya-251114/" , "2511.14 Рубашка женская с коротким рукавом EXCESS голубая, размер S")</f>
      </c>
      <c r="C9892" s="4" t="n">
        <v>3146.00</v>
      </c>
      <c r="D9892" s="4"/>
    </row>
    <row collapsed="" customFormat="false" customHeight="1" hidden="" ht="14" outlineLevel="0" r="9893">
      <c r="A9893" s="3" t="inlineStr">
        <is>
          <t>9856</t>
        </is>
      </c>
      <c r="B9893" s="4" t="s">
        <f>=HYPERLINK("http://anyluxury.ru/shop/odezhda/ofisnye-rubashki/rubashka-zhenskaya-s-korotkim-rukavom-excess-golubaya-251114/" , "2511.14 Рубашка женская с коротким рукавом EXCESS голубая, размер M")</f>
      </c>
      <c r="C9893" s="4" t="n">
        <v>3146.00</v>
      </c>
      <c r="D9893" s="4"/>
    </row>
    <row collapsed="" customFormat="false" customHeight="1" hidden="" ht="14" outlineLevel="0" r="9894">
      <c r="A9894" s="3" t="inlineStr">
        <is>
          <t>9857</t>
        </is>
      </c>
      <c r="B9894" s="4" t="s">
        <f>=HYPERLINK("http://anyluxury.ru/shop/odezhda/ofisnye-rubashki/rubashka-zhenskaya-s-korotkim-rukavom-excess-golubaya-251114/" , "2511.14 Рубашка женская с коротким рукавом EXCESS голубая, размер L")</f>
      </c>
      <c r="C9894" s="4" t="n">
        <v>3146.00</v>
      </c>
      <c r="D9894" s="4"/>
    </row>
    <row collapsed="" customFormat="false" customHeight="1" hidden="" ht="14" outlineLevel="0" r="9895">
      <c r="A9895" s="3" t="inlineStr">
        <is>
          <t>9858</t>
        </is>
      </c>
      <c r="B9895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XS")</f>
      </c>
      <c r="C9895" s="4" t="n">
        <v>3146.00</v>
      </c>
      <c r="D9895" s="4"/>
    </row>
    <row collapsed="" customFormat="false" customHeight="1" hidden="" ht="14" outlineLevel="0" r="9896">
      <c r="A9896" s="3" t="inlineStr">
        <is>
          <t>9859</t>
        </is>
      </c>
      <c r="B9896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XL")</f>
      </c>
      <c r="C9896" s="4" t="n">
        <v>3146.00</v>
      </c>
      <c r="D9896" s="4"/>
    </row>
    <row collapsed="" customFormat="false" customHeight="1" hidden="" ht="14" outlineLevel="0" r="9897">
      <c r="A9897" s="3" t="inlineStr">
        <is>
          <t>9860</t>
        </is>
      </c>
      <c r="B9897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XXL")</f>
      </c>
      <c r="C9897" s="4" t="n">
        <v>3146.00</v>
      </c>
      <c r="D9897" s="4"/>
    </row>
    <row collapsed="" customFormat="false" customHeight="1" hidden="" ht="14" outlineLevel="0" r="9898">
      <c r="A9898" s="3" t="inlineStr">
        <is>
          <t>9861</t>
        </is>
      </c>
      <c r="B9898" s="4" t="s">
        <f>=HYPERLINK("http://anyluxury.ru/shop/odezhda/ofisnye-rubashki/rubashka-zhenskaya-s-rukavom-34-effect-140-golubaya-251014/" , "2510.14 Рубашка женская с рукавом 3/4 EFFECT 140 голубая, размер XS")</f>
      </c>
      <c r="C9898" s="4" t="n">
        <v>2867.00</v>
      </c>
      <c r="D9898" s="4"/>
    </row>
    <row collapsed="" customFormat="false" customHeight="1" hidden="" ht="14" outlineLevel="0" r="9899">
      <c r="A9899" s="3" t="inlineStr">
        <is>
          <t>9862</t>
        </is>
      </c>
      <c r="B9899" s="4" t="s">
        <f>=HYPERLINK("http://anyluxury.ru/shop/odezhda/ofisnye-rubashki/rubashka-zhenskaya-s-rukavom-34-effect-140-golubaya-251014/" , "2510.14 Рубашка женская с рукавом 3/4 EFFECT 140 голубая, размер L")</f>
      </c>
      <c r="C9899" s="4" t="n">
        <v>2867.00</v>
      </c>
      <c r="D9899" s="4"/>
    </row>
    <row collapsed="" customFormat="false" customHeight="1" hidden="" ht="14" outlineLevel="0" r="9900">
      <c r="A9900" s="3" t="inlineStr">
        <is>
          <t>9863</t>
        </is>
      </c>
      <c r="B9900" s="4" t="s">
        <f>=HYPERLINK("http://anyluxury.ru/shop/odezhda/ofisnye-rubashki/rubashka-zhenskaya-s-rukavom-34-effect-140-golubaya-251014/" , "2510.14 Рубашка женская с рукавом 3/4 EFFECT 140 голубая, размер XL")</f>
      </c>
      <c r="C9900" s="4" t="n">
        <v>2867.00</v>
      </c>
      <c r="D9900" s="4"/>
    </row>
    <row collapsed="" customFormat="false" customHeight="1" hidden="" ht="14" outlineLevel="0" r="9901">
      <c r="A9901" s="3" t="inlineStr">
        <is>
          <t>9864</t>
        </is>
      </c>
      <c r="B9901" s="4" t="s">
        <f>=HYPERLINK("http://anyluxury.ru/shop/odezhda/ofisnye-rubashki/rubashka-zhenskaya-s-rukavom-34-effect-140-golubaya-251014/" , "2510.14 Рубашка женская с рукавом 3/4 EFFECT 140 голубая, размер M")</f>
      </c>
      <c r="C9901" s="4" t="n">
        <v>2170.00</v>
      </c>
      <c r="D9901" s="4"/>
    </row>
    <row collapsed="" customFormat="false" customHeight="1" hidden="" ht="14" outlineLevel="0" r="9902">
      <c r="A9902" s="3" t="inlineStr">
        <is>
          <t>9865</t>
        </is>
      </c>
      <c r="B9902" s="4" t="s">
        <f>=HYPERLINK("http://anyluxury.ru/shop/odezhda/ofisnye-rubashki/rubashka-muzhskaya-v-polosku-reno-seraya-656110/" , "6561.10 Рубашка мужская в полоску RENO, серая, размер S")</f>
      </c>
      <c r="C9902" s="4" t="n">
        <v>4515.00</v>
      </c>
      <c r="D9902" s="4"/>
    </row>
    <row collapsed="" customFormat="false" customHeight="1" hidden="" ht="14" outlineLevel="0" r="9903">
      <c r="A9903" s="3" t="inlineStr">
        <is>
          <t>9866</t>
        </is>
      </c>
      <c r="B9903" s="4" t="s">
        <f>=HYPERLINK("http://anyluxury.ru/shop/odezhda/ofisnye-rubashki/rubashka-muzhskaya-v-polosku-reno-seraya-656110/" , "6561.10 Рубашка мужская в полоску RENO, серая, размер XXL")</f>
      </c>
      <c r="C9903" s="4" t="n">
        <v>4515.00</v>
      </c>
      <c r="D9903" s="4"/>
    </row>
    <row collapsed="" customFormat="false" customHeight="1" hidden="" ht="14" outlineLevel="0" r="9904">
      <c r="A9904" s="3" t="inlineStr">
        <is>
          <t>9867</t>
        </is>
      </c>
      <c r="B9904" s="4" t="s">
        <f>=HYPERLINK("http://anyluxury.ru/shop/odezhda/ofisnye-rubashki/rubashka-muzhskaya-s-dlinnim-rukavom-brighton-bordovaya-17000164/" , "17000164 Рубашка мужская с длинным рукавом BRIGHTON, бордовая, размер S")</f>
      </c>
      <c r="C9904" s="4" t="n">
        <v>3143.00</v>
      </c>
      <c r="D9904" s="4"/>
    </row>
    <row collapsed="" customFormat="false" customHeight="1" hidden="" ht="14" outlineLevel="0" r="9905">
      <c r="A9905" s="3" t="inlineStr">
        <is>
          <t>9868</t>
        </is>
      </c>
      <c r="B9905" s="4" t="s">
        <f>=HYPERLINK("http://anyluxury.ru/shop/odezhda/ofisnye-rubashki/rubashka-muzhskaya-s-dlinnim-rukavom-brighton-bordovaya-17000164/" , "17000164 Рубашка мужская с длинным рукавом BRIGHTON, бордовая, размер M")</f>
      </c>
      <c r="C9905" s="4" t="n">
        <v>3143.00</v>
      </c>
      <c r="D9905" s="4"/>
    </row>
    <row collapsed="" customFormat="false" customHeight="1" hidden="" ht="14" outlineLevel="0" r="9906">
      <c r="A9906" s="3" t="inlineStr">
        <is>
          <t>9869</t>
        </is>
      </c>
      <c r="B9906" s="4" t="s">
        <f>=HYPERLINK("http://anyluxury.ru/shop/odezhda/ofisnye-rubashki/rubashka-muzhskaya-s-dlinnim-rukavom-brighton-bordovaya-17000164/" , "17000164 Рубашка мужская с длинным рукавом BRIGHTON, бордовая, размер L")</f>
      </c>
      <c r="C9906" s="4" t="n">
        <v>3143.00</v>
      </c>
      <c r="D9906" s="4"/>
    </row>
    <row collapsed="" customFormat="false" customHeight="1" hidden="" ht="14" outlineLevel="0" r="9907">
      <c r="A9907" s="3" t="inlineStr">
        <is>
          <t>9870</t>
        </is>
      </c>
      <c r="B9907" s="4" t="s">
        <f>=HYPERLINK("http://anyluxury.ru/shop/odezhda/ofisnye-rubashki/rubashka-muzhskaya-s-dlinnim-rukavom-brighton-bordovaya-17000164/" , "17000164 Рубашка мужская с длинным рукавом BRIGHTON, бордовая, размер XL")</f>
      </c>
      <c r="C9907" s="4" t="n">
        <v>3143.00</v>
      </c>
      <c r="D9907" s="4"/>
    </row>
    <row collapsed="" customFormat="false" customHeight="1" hidden="" ht="14" outlineLevel="0" r="9908">
      <c r="A9908" s="3" t="inlineStr">
        <is>
          <t>9871</t>
        </is>
      </c>
      <c r="B9908" s="4" t="s">
        <f>=HYPERLINK("http://anyluxury.ru/shop/odezhda/ofisnye-rubashki/rubashka-muzhskaya-s-dlinnim-rukavom-brighton-bordovaya-17000164/" , "17000164 Рубашка мужская с длинным рукавом BRIGHTON, бордовая, размер XXL")</f>
      </c>
      <c r="C9908" s="4" t="n">
        <v>3143.00</v>
      </c>
      <c r="D9908" s="4"/>
    </row>
    <row collapsed="" customFormat="false" customHeight="1" hidden="" ht="14" outlineLevel="0" r="9909">
      <c r="A9909" s="3" t="inlineStr">
        <is>
          <t>9872</t>
        </is>
      </c>
      <c r="B9909" s="4" t="s">
        <f>=HYPERLINK("http://anyluxury.ru/shop/odezhda/ofisnye-rubashki/rubashka-muzhskaya-s-dlinnim-rukavom-brighton-bordovaya-17000164/" , "17000164 Рубашка мужская с длинным рукавом BRIGHTON, бордовая, размер 3XL")</f>
      </c>
      <c r="C9909" s="4" t="n">
        <v>3143.00</v>
      </c>
      <c r="D9909" s="4"/>
    </row>
    <row collapsed="" customFormat="false" customHeight="1" hidden="" ht="14" outlineLevel="0" r="9910">
      <c r="A9910" s="3" t="inlineStr">
        <is>
          <t>9873</t>
        </is>
      </c>
      <c r="B9910" s="4" t="s">
        <f>=HYPERLINK("http://anyluxury.ru/shop/odezhda/ofisnye-rubashki/rubashka-muzhskaya-s-dlinnim-rukavom-brighton-bordovaya-17000164/" , "17000164 Рубашка мужская с длинным рукавом BRIGHTON, бордовая, размер 4XL")</f>
      </c>
      <c r="C9910" s="4" t="n">
        <v>3143.00</v>
      </c>
      <c r="D9910" s="4"/>
    </row>
    <row collapsed="" customFormat="false" customHeight="1" hidden="" ht="14" outlineLevel="0" r="9911">
      <c r="A9911" s="3" t="inlineStr">
        <is>
          <t>9874</t>
        </is>
      </c>
      <c r="B9911" s="4" t="s">
        <f>=HYPERLINK("http://anyluxury.ru/shop/odezhda/ofisnye-rubashki/rubashka-muzhskaya-s-dlinnim-rukavom-boston-chernaya-16000312/" , "16000312 Рубашка мужская с длинным рукавом BOSTON черная, размер S")</f>
      </c>
      <c r="C9911" s="4" t="n">
        <v>3215.00</v>
      </c>
      <c r="D9911" s="4"/>
    </row>
    <row collapsed="" customFormat="false" customHeight="1" hidden="" ht="14" outlineLevel="0" r="9912">
      <c r="A9912" s="3" t="inlineStr">
        <is>
          <t>9875</t>
        </is>
      </c>
      <c r="B9912" s="4" t="s">
        <f>=HYPERLINK("http://anyluxury.ru/shop/odezhda/ofisnye-rubashki/rubashka-muzhskaya-s-dlinnim-rukavom-boston-chernaya-16000312/" , "16000312 Рубашка мужская с длинным рукавом BOSTON черная, размер M")</f>
      </c>
      <c r="C9912" s="4" t="n">
        <v>3215.00</v>
      </c>
      <c r="D9912" s="4"/>
    </row>
    <row collapsed="" customFormat="false" customHeight="1" hidden="" ht="14" outlineLevel="0" r="9913">
      <c r="A9913" s="3" t="inlineStr">
        <is>
          <t>9876</t>
        </is>
      </c>
      <c r="B9913" s="4" t="s">
        <f>=HYPERLINK("http://anyluxury.ru/shop/odezhda/ofisnye-rubashki/rubashka-muzhskaya-s-dlinnim-rukavom-boston-chernaya-16000312/" , "16000312 Рубашка мужская с длинным рукавом BOSTON черная, размер L")</f>
      </c>
      <c r="C9913" s="4" t="n">
        <v>3215.00</v>
      </c>
      <c r="D9913" s="4"/>
    </row>
    <row collapsed="" customFormat="false" customHeight="1" hidden="" ht="14" outlineLevel="0" r="9914">
      <c r="A9914" s="3" t="inlineStr">
        <is>
          <t>9877</t>
        </is>
      </c>
      <c r="B9914" s="4" t="s">
        <f>=HYPERLINK("http://anyluxury.ru/shop/odezhda/ofisnye-rubashki/rubashka-muzhskaya-s-dlinnim-rukavom-boston-chernaya-16000312/" , "16000312 Рубашка мужская с длинным рукавом BOSTON черная, размер XL")</f>
      </c>
      <c r="C9914" s="4" t="n">
        <v>3215.00</v>
      </c>
      <c r="D9914" s="4"/>
    </row>
    <row collapsed="" customFormat="false" customHeight="1" hidden="" ht="14" outlineLevel="0" r="9915">
      <c r="A9915" s="3" t="inlineStr">
        <is>
          <t>9878</t>
        </is>
      </c>
      <c r="B9915" s="4" t="s">
        <f>=HYPERLINK("http://anyluxury.ru/shop/odezhda/ofisnye-rubashki/rubashka-muzhskaya-s-dlinnim-rukavom-boston-chernaya-16000312/" , "16000312 Рубашка мужская с длинным рукавом BOSTON черная, размер XXL")</f>
      </c>
      <c r="C9915" s="4" t="n">
        <v>3215.00</v>
      </c>
      <c r="D9915" s="4"/>
    </row>
    <row collapsed="" customFormat="false" customHeight="1" hidden="" ht="14" outlineLevel="0" r="9916">
      <c r="A9916" s="3" t="inlineStr">
        <is>
          <t>9879</t>
        </is>
      </c>
      <c r="B9916" s="4" t="s">
        <f>=HYPERLINK("http://anyluxury.ru/shop/odezhda/ofisnye-rubashki/rubashka-muzhskaya-s-dlinnim-rukavom-boston-chernaya-16000312/" , "16000312 Рубашка мужская с длинным рукавом BOSTON черная, размер 3XL")</f>
      </c>
      <c r="C9916" s="4" t="n">
        <v>3215.00</v>
      </c>
      <c r="D9916" s="4"/>
    </row>
    <row collapsed="" customFormat="false" customHeight="1" hidden="" ht="14" outlineLevel="0" r="9917">
      <c r="A9917" s="3" t="inlineStr">
        <is>
          <t>9880</t>
        </is>
      </c>
      <c r="B9917" s="4" t="s">
        <f>=HYPERLINK("http://anyluxury.ru/shop/odezhda/ofisnye-rubashki/rubashka-muzhskaya-s-dlinnim-rukavom-boston-chernaya-16000312/" , "16000312 Рубашка мужская с длинным рукавом BOSTON, черная, размер 4XL")</f>
      </c>
      <c r="C9917" s="4" t="n">
        <v>3215.00</v>
      </c>
      <c r="D9917" s="4"/>
    </row>
    <row collapsed="" customFormat="false" customHeight="1" hidden="" ht="14" outlineLevel="0" r="9918">
      <c r="A9918" s="3" t="inlineStr">
        <is>
          <t>9881</t>
        </is>
      </c>
      <c r="B9918" s="4" t="s">
        <f>=HYPERLINK("http://anyluxury.ru/shop/odezhda/ofisnye-rubashki/rubashka-zhenskaya-s-dlinnim-rukavom-embassy-chernaya-16020312/" , "16020312 Рубашка женская с длинным рукавом EMBASSY черная, размер 3XL")</f>
      </c>
      <c r="C9918" s="4" t="n">
        <v>2840.00</v>
      </c>
      <c r="D9918" s="4"/>
    </row>
    <row collapsed="" customFormat="false" customHeight="1" hidden="" ht="14" outlineLevel="0" r="9919">
      <c r="A9919" s="3" t="inlineStr">
        <is>
          <t>9882</t>
        </is>
      </c>
      <c r="B9919" s="4" t="s">
        <f>=HYPERLINK("http://anyluxury.ru/shop/odezhda/ofisnye-rubashki/rubashka-zhenskaya-s-dlinnim-rukavom-embassy-chernaya-16020312/" , "16020312 Рубашка женская с длинным рукавом EMBASSY черная, размер XS")</f>
      </c>
      <c r="C9919" s="4" t="n">
        <v>2840.00</v>
      </c>
      <c r="D9919" s="4"/>
    </row>
    <row collapsed="" customFormat="false" customHeight="1" hidden="" ht="14" outlineLevel="0" r="9920">
      <c r="A9920" s="3" t="inlineStr">
        <is>
          <t>9883</t>
        </is>
      </c>
      <c r="B9920" s="4" t="s">
        <f>=HYPERLINK("http://anyluxury.ru/shop/odezhda/ofisnye-rubashki/rubashka-zhenskaya-s-dlinnim-rukavom-embassy-chernaya-16020312/" , "16020312 Рубашка женская с длинным рукавом EMBASSY черная, размер S")</f>
      </c>
      <c r="C9920" s="4" t="n">
        <v>2840.00</v>
      </c>
      <c r="D9920" s="4"/>
    </row>
    <row collapsed="" customFormat="false" customHeight="1" hidden="" ht="14" outlineLevel="0" r="9921">
      <c r="A9921" s="3" t="inlineStr">
        <is>
          <t>9884</t>
        </is>
      </c>
      <c r="B9921" s="4" t="s">
        <f>=HYPERLINK("http://anyluxury.ru/shop/odezhda/ofisnye-rubashki/rubashka-zhenskaya-s-dlinnim-rukavom-embassy-chernaya-16020312/" , "16020312 Рубашка женская с длинным рукавом EMBASSY черная, размер M")</f>
      </c>
      <c r="C9921" s="4" t="n">
        <v>2840.00</v>
      </c>
      <c r="D9921" s="4"/>
    </row>
    <row collapsed="" customFormat="false" customHeight="1" hidden="" ht="14" outlineLevel="0" r="9922">
      <c r="A9922" s="3" t="inlineStr">
        <is>
          <t>9885</t>
        </is>
      </c>
      <c r="B9922" s="4" t="s">
        <f>=HYPERLINK("http://anyluxury.ru/shop/odezhda/ofisnye-rubashki/rubashka-zhenskaya-s-dlinnim-rukavom-embassy-chernaya-16020312/" , "16020312 Рубашка женская с длинным рукавом EMBASSY черная, размер L")</f>
      </c>
      <c r="C9922" s="4" t="n">
        <v>2840.00</v>
      </c>
      <c r="D9922" s="4"/>
    </row>
    <row collapsed="" customFormat="false" customHeight="1" hidden="" ht="14" outlineLevel="0" r="9923">
      <c r="A9923" s="3" t="inlineStr">
        <is>
          <t>9886</t>
        </is>
      </c>
      <c r="B9923" s="4" t="s">
        <f>=HYPERLINK("http://anyluxury.ru/shop/odezhda/ofisnye-rubashki/rubashka-zhenskaya-s-dlinnim-rukavom-embassy-chernaya-16020312/" , "16020312 Рубашка женская с длинным рукавом EMBASSY черная, размер XL")</f>
      </c>
      <c r="C9923" s="4" t="n">
        <v>2840.00</v>
      </c>
      <c r="D9923" s="4"/>
    </row>
    <row collapsed="" customFormat="false" customHeight="1" hidden="" ht="14" outlineLevel="0" r="9924">
      <c r="A9924" s="3" t="inlineStr">
        <is>
          <t>9887</t>
        </is>
      </c>
      <c r="B9924" s="4" t="s">
        <f>=HYPERLINK("http://anyluxury.ru/shop/odezhda/ofisnye-rubashki/rubashka-zhenskaya-s-dlinnim-rukavom-embassy-chernaya-16020312/" , "16020312 Рубашка женская с длинным рукавом EMBASSY черная, размер XXL")</f>
      </c>
      <c r="C9924" s="4" t="n">
        <v>2840.00</v>
      </c>
      <c r="D9924" s="4"/>
    </row>
    <row collapsed="" customFormat="false" customHeight="1" hidden="" ht="14" outlineLevel="0" r="9925">
      <c r="A9925" s="3" t="inlineStr">
        <is>
          <t>9888</t>
        </is>
      </c>
      <c r="B9925" s="4" t="s">
        <f>=HYPERLINK("http://anyluxury.ru/shop/odezhda/ofisnye-rubashki/rubashka-zhenskaya-s-korotkim-rukavom-elite-chernaya-16030312/" , "16030312 Рубашка женская с коротким рукавом ELITE черная, размер 3XL")</f>
      </c>
      <c r="C9925" s="4" t="n">
        <v>2523.00</v>
      </c>
      <c r="D9925" s="4"/>
    </row>
    <row collapsed="" customFormat="false" customHeight="1" hidden="" ht="14" outlineLevel="0" r="9926">
      <c r="A9926" s="3" t="inlineStr">
        <is>
          <t>9889</t>
        </is>
      </c>
      <c r="B9926" s="4" t="s">
        <f>=HYPERLINK("http://anyluxury.ru/shop/odezhda/ofisnye-rubashki/rubashka-zhenskaya-s-korotkim-rukavom-elite-chernaya-16030312/" , "16030312 Рубашка женская с коротким рукавом ELITE черная, размер XS")</f>
      </c>
      <c r="C9926" s="4" t="n">
        <v>2523.00</v>
      </c>
      <c r="D9926" s="4"/>
    </row>
    <row collapsed="" customFormat="false" customHeight="1" hidden="" ht="14" outlineLevel="0" r="9927">
      <c r="A9927" s="3" t="inlineStr">
        <is>
          <t>9890</t>
        </is>
      </c>
      <c r="B9927" s="4" t="s">
        <f>=HYPERLINK("http://anyluxury.ru/shop/odezhda/ofisnye-rubashki/rubashka-zhenskaya-s-korotkim-rukavom-elite-chernaya-16030312/" , "16030312 Рубашка женская с коротким рукавом ELITE черная, размер S")</f>
      </c>
      <c r="C9927" s="4" t="n">
        <v>2523.00</v>
      </c>
      <c r="D9927" s="4"/>
    </row>
    <row collapsed="" customFormat="false" customHeight="1" hidden="" ht="14" outlineLevel="0" r="9928">
      <c r="A9928" s="3" t="inlineStr">
        <is>
          <t>9891</t>
        </is>
      </c>
      <c r="B9928" s="4" t="s">
        <f>=HYPERLINK("http://anyluxury.ru/shop/odezhda/ofisnye-rubashki/rubashka-zhenskaya-s-korotkim-rukavom-elite-chernaya-16030312/" , "16030312 Рубашка женская с коротким рукавом ELITE черная, размер M")</f>
      </c>
      <c r="C9928" s="4" t="n">
        <v>2523.00</v>
      </c>
      <c r="D9928" s="4"/>
    </row>
    <row collapsed="" customFormat="false" customHeight="1" hidden="" ht="14" outlineLevel="0" r="9929">
      <c r="A9929" s="3" t="inlineStr">
        <is>
          <t>9892</t>
        </is>
      </c>
      <c r="B9929" s="4" t="s">
        <f>=HYPERLINK("http://anyluxury.ru/shop/odezhda/ofisnye-rubashki/rubashka-zhenskaya-s-korotkim-rukavom-elite-chernaya-16030312/" , "16030312 Рубашка женская с коротким рукавом ELITE черная, размер L")</f>
      </c>
      <c r="C9929" s="4" t="n">
        <v>2523.00</v>
      </c>
      <c r="D9929" s="4"/>
    </row>
    <row collapsed="" customFormat="false" customHeight="1" hidden="" ht="14" outlineLevel="0" r="9930">
      <c r="A9930" s="3" t="inlineStr">
        <is>
          <t>9893</t>
        </is>
      </c>
      <c r="B9930" s="4" t="s">
        <f>=HYPERLINK("http://anyluxury.ru/shop/odezhda/ofisnye-rubashki/rubashka-zhenskaya-s-korotkim-rukavom-elite-chernaya-16030312/" , "16030312 Рубашка женская с коротким рукавом ELITE черная, размер XL")</f>
      </c>
      <c r="C9930" s="4" t="n">
        <v>2523.00</v>
      </c>
      <c r="D9930" s="4"/>
    </row>
    <row collapsed="" customFormat="false" customHeight="1" hidden="" ht="14" outlineLevel="0" r="9931">
      <c r="A9931" s="3" t="inlineStr">
        <is>
          <t>9894</t>
        </is>
      </c>
      <c r="B9931" s="4" t="s">
        <f>=HYPERLINK("http://anyluxury.ru/shop/odezhda/ofisnye-rubashki/rubashka-zhenskaya-s-korotkim-rukavom-elite-chernaya-16030312/" , "16030312 Рубашка женская с коротким рукавом ELITE черная, размер XXL")</f>
      </c>
      <c r="C9931" s="4" t="n">
        <v>2523.00</v>
      </c>
      <c r="D9931" s="4"/>
    </row>
    <row collapsed="" customFormat="false" customHeight="1" hidden="" ht="14" outlineLevel="0" r="9932">
      <c r="A9932" s="3" t="inlineStr">
        <is>
          <t>9895</t>
        </is>
      </c>
      <c r="B9932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S")</f>
      </c>
      <c r="C9932" s="4" t="n">
        <v>3399.00</v>
      </c>
      <c r="D9932" s="4"/>
    </row>
    <row collapsed="" customFormat="false" customHeight="1" hidden="" ht="14" outlineLevel="0" r="9933">
      <c r="A9933" s="3" t="inlineStr">
        <is>
          <t>9896</t>
        </is>
      </c>
      <c r="B9933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M")</f>
      </c>
      <c r="C9933" s="4" t="n">
        <v>3399.00</v>
      </c>
      <c r="D9933" s="4"/>
    </row>
    <row collapsed="" customFormat="false" customHeight="1" hidden="" ht="14" outlineLevel="0" r="9934">
      <c r="A9934" s="3" t="inlineStr">
        <is>
          <t>9897</t>
        </is>
      </c>
      <c r="B9934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L")</f>
      </c>
      <c r="C9934" s="4" t="n">
        <v>3399.00</v>
      </c>
      <c r="D9934" s="4"/>
    </row>
    <row collapsed="" customFormat="false" customHeight="1" hidden="" ht="14" outlineLevel="0" r="9935">
      <c r="A9935" s="3" t="inlineStr">
        <is>
          <t>9898</t>
        </is>
      </c>
      <c r="B9935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XL")</f>
      </c>
      <c r="C9935" s="4" t="n">
        <v>3399.00</v>
      </c>
      <c r="D9935" s="4"/>
    </row>
    <row collapsed="" customFormat="false" customHeight="1" hidden="" ht="14" outlineLevel="0" r="9936">
      <c r="A9936" s="3" t="inlineStr">
        <is>
          <t>9899</t>
        </is>
      </c>
      <c r="B9936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XXL")</f>
      </c>
      <c r="C9936" s="4" t="n">
        <v>3399.00</v>
      </c>
      <c r="D9936" s="4"/>
    </row>
    <row collapsed="" customFormat="false" customHeight="1" hidden="" ht="14" outlineLevel="0" r="9937">
      <c r="A9937" s="3" t="inlineStr">
        <is>
          <t>9900</t>
        </is>
      </c>
      <c r="B9937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3XL")</f>
      </c>
      <c r="C9937" s="4" t="n">
        <v>3399.00</v>
      </c>
      <c r="D9937" s="4"/>
    </row>
    <row collapsed="" customFormat="false" customHeight="1" hidden="" ht="14" outlineLevel="0" r="9938">
      <c r="A9938" s="3" t="inlineStr">
        <is>
          <t>9901</t>
        </is>
      </c>
      <c r="B9938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4XL")</f>
      </c>
      <c r="C9938" s="4" t="n">
        <v>3399.00</v>
      </c>
      <c r="D9938" s="4"/>
    </row>
    <row collapsed="" customFormat="false" customHeight="1" hidden="" ht="14" outlineLevel="0" r="9939">
      <c r="A9939" s="3" t="inlineStr">
        <is>
          <t>9902</t>
        </is>
      </c>
      <c r="B9939" s="4" t="s">
        <f>=HYPERLINK("http://anyluxury.ru/shop/odezhda/ofisnye-rubashki/rubashka-muzhskaya-s-dlinnim-rukavom-brighton-krasnaya-17000159/" , "17000159 Рубашка мужская с длинным рукавом BRIGHTON красная, размер 3XL")</f>
      </c>
      <c r="C9939" s="4" t="n">
        <v>2931.00</v>
      </c>
      <c r="D9939" s="4"/>
    </row>
    <row collapsed="" customFormat="false" customHeight="1" hidden="" ht="14" outlineLevel="0" r="9940">
      <c r="A9940" s="3" t="inlineStr">
        <is>
          <t>9903</t>
        </is>
      </c>
      <c r="B9940" s="4" t="s">
        <f>=HYPERLINK("http://anyluxury.ru/shop/odezhda/ofisnye-rubashki/rubashka-muzhskaya-s-dlinnim-rukavom-brighton-krasnaya-17000159/" , "17000159 Рубашка мужская с длинным рукавом BRIGHTON красная, размер S")</f>
      </c>
      <c r="C9940" s="4" t="n">
        <v>2931.00</v>
      </c>
      <c r="D9940" s="4"/>
    </row>
    <row collapsed="" customFormat="false" customHeight="1" hidden="" ht="14" outlineLevel="0" r="9941">
      <c r="A9941" s="3" t="inlineStr">
        <is>
          <t>9904</t>
        </is>
      </c>
      <c r="B9941" s="4" t="s">
        <f>=HYPERLINK("http://anyluxury.ru/shop/odezhda/ofisnye-rubashki/rubashka-muzhskaya-s-dlinnim-rukavom-brighton-krasnaya-17000159/" , "17000159 Рубашка мужская с длинным рукавом BRIGHTON красная, размер M")</f>
      </c>
      <c r="C9941" s="4" t="n">
        <v>2931.00</v>
      </c>
      <c r="D9941" s="4"/>
    </row>
    <row collapsed="" customFormat="false" customHeight="1" hidden="" ht="14" outlineLevel="0" r="9942">
      <c r="A9942" s="3" t="inlineStr">
        <is>
          <t>9905</t>
        </is>
      </c>
      <c r="B9942" s="4" t="s">
        <f>=HYPERLINK("http://anyluxury.ru/shop/odezhda/ofisnye-rubashki/rubashka-muzhskaya-s-dlinnim-rukavom-brighton-krasnaya-17000159/" , "17000159 Рубашка мужская с длинным рукавом BRIGHTON красная, размер L")</f>
      </c>
      <c r="C9942" s="4" t="n">
        <v>2931.00</v>
      </c>
      <c r="D9942" s="4"/>
    </row>
    <row collapsed="" customFormat="false" customHeight="1" hidden="" ht="14" outlineLevel="0" r="9943">
      <c r="A9943" s="3" t="inlineStr">
        <is>
          <t>9906</t>
        </is>
      </c>
      <c r="B9943" s="4" t="s">
        <f>=HYPERLINK("http://anyluxury.ru/shop/odezhda/ofisnye-rubashki/rubashka-muzhskaya-s-dlinnim-rukavom-brighton-krasnaya-17000159/" , "17000159 Рубашка мужская с длинным рукавом BRIGHTON красная, размер XL")</f>
      </c>
      <c r="C9943" s="4" t="n">
        <v>2931.00</v>
      </c>
      <c r="D9943" s="4"/>
    </row>
    <row collapsed="" customFormat="false" customHeight="1" hidden="" ht="14" outlineLevel="0" r="9944">
      <c r="A9944" s="3" t="inlineStr">
        <is>
          <t>9907</t>
        </is>
      </c>
      <c r="B9944" s="4" t="s">
        <f>=HYPERLINK("http://anyluxury.ru/shop/odezhda/ofisnye-rubashki/rubashka-muzhskaya-s-dlinnim-rukavom-brighton-krasnaya-17000159/" , "17000159 Рубашка мужская с длинным рукавом BRIGHTON красная, размер XXL")</f>
      </c>
      <c r="C9944" s="4" t="n">
        <v>2931.00</v>
      </c>
      <c r="D9944" s="4"/>
    </row>
    <row collapsed="" customFormat="false" customHeight="1" hidden="" ht="14" outlineLevel="0" r="9945">
      <c r="A9945" s="3" t="inlineStr">
        <is>
          <t>9908</t>
        </is>
      </c>
      <c r="B9945" s="4" t="s">
        <f>=HYPERLINK("http://anyluxury.ru/shop/odezhda/ofisnye-rubashki/rubashka-muzhskaya-s-dlinnim-rukavom-brighton-krasnaya-17000159/" , "17000159 Рубашка мужская с длинным рукавом BRIGHTON красная, размер 4XL")</f>
      </c>
      <c r="C9945" s="4" t="n">
        <v>2931.00</v>
      </c>
      <c r="D9945" s="4"/>
    </row>
    <row collapsed="" customFormat="false" customHeight="1" hidden="" ht="14" outlineLevel="0" r="9946">
      <c r="A9946" s="3" t="inlineStr">
        <is>
          <t>9909</t>
        </is>
      </c>
      <c r="B9946" s="4" t="s">
        <f>=HYPERLINK("http://anyluxury.ru/shop/odezhda/ofisnye-rubashki/rubashka-zhenskaya-s-rukavom-34-effect-140-bordovaya-17010164/" , "17010164 Рубашка женская с рукавом 3/4 EFFECT 140 бордовая, размер L")</f>
      </c>
      <c r="C9946" s="4" t="n">
        <v>3133.00</v>
      </c>
      <c r="D9946" s="4"/>
    </row>
    <row collapsed="" customFormat="false" customHeight="1" hidden="" ht="14" outlineLevel="0" r="9947">
      <c r="A9947" s="3" t="inlineStr">
        <is>
          <t>9910</t>
        </is>
      </c>
      <c r="B9947" s="4" t="s">
        <f>=HYPERLINK("http://anyluxury.ru/shop/odezhda/ofisnye-rubashki/rubashka-zhenskaya-s-rukavom-34-effect-140-bordovaya-17010164/" , "17010164 Рубашка женская с рукавом 3/4 EFFECT 140 бордовая, размер XS")</f>
      </c>
      <c r="C9947" s="4" t="n">
        <v>3133.00</v>
      </c>
      <c r="D9947" s="4"/>
    </row>
    <row collapsed="" customFormat="false" customHeight="1" hidden="" ht="14" outlineLevel="0" r="9948">
      <c r="A9948" s="3" t="inlineStr">
        <is>
          <t>9911</t>
        </is>
      </c>
      <c r="B9948" s="4" t="s">
        <f>=HYPERLINK("http://anyluxury.ru/shop/odezhda/ofisnye-rubashki/rubashka-zhenskaya-s-rukavom-34-effect-140-bordovaya-17010164/" , "17010164 Рубашка женская с рукавом 3/4 EFFECT 140 бордовая, размер S")</f>
      </c>
      <c r="C9948" s="4" t="n">
        <v>3133.00</v>
      </c>
      <c r="D9948" s="4"/>
    </row>
    <row collapsed="" customFormat="false" customHeight="1" hidden="" ht="14" outlineLevel="0" r="9949">
      <c r="A9949" s="3" t="inlineStr">
        <is>
          <t>9912</t>
        </is>
      </c>
      <c r="B9949" s="4" t="s">
        <f>=HYPERLINK("http://anyluxury.ru/shop/odezhda/ofisnye-rubashki/rubashka-zhenskaya-s-rukavom-34-effect-140-bordovaya-17010164/" , "17010164 Рубашка женская с рукавом 3/4 EFFECT 140 бордовая, размер M")</f>
      </c>
      <c r="C9949" s="4" t="n">
        <v>3133.00</v>
      </c>
      <c r="D9949" s="4"/>
    </row>
    <row collapsed="" customFormat="false" customHeight="1" hidden="" ht="14" outlineLevel="0" r="9950">
      <c r="A9950" s="3" t="inlineStr">
        <is>
          <t>9913</t>
        </is>
      </c>
      <c r="B9950" s="4" t="s">
        <f>=HYPERLINK("http://anyluxury.ru/shop/odezhda/ofisnye-rubashki/rubashka-zhenskaya-s-rukavom-34-effect-140-bordovaya-17010164/" , "17010164 Рубашка женская с рукавом 3/4 EFFECT 140 бордовая, размер XL")</f>
      </c>
      <c r="C9950" s="4" t="n">
        <v>3133.00</v>
      </c>
      <c r="D9950" s="4"/>
    </row>
    <row collapsed="" customFormat="false" customHeight="1" hidden="" ht="14" outlineLevel="0" r="9951">
      <c r="A9951" s="3" t="inlineStr">
        <is>
          <t>9914</t>
        </is>
      </c>
      <c r="B9951" s="4" t="s">
        <f>=HYPERLINK("http://anyluxury.ru/shop/odezhda/ofisnye-rubashki/rubashka-zhenskaya-s-rukavom-34-effect-140-bordovaya-17010164/" , "17010164 Рубашка женская с рукавом 3/4 EFFECT 140 бордовая, размер XXL")</f>
      </c>
      <c r="C9951" s="4" t="n">
        <v>3133.00</v>
      </c>
      <c r="D9951" s="4"/>
    </row>
    <row collapsed="" customFormat="false" customHeight="1" hidden="" ht="14" outlineLevel="0" r="9952">
      <c r="A9952" s="3" t="inlineStr">
        <is>
          <t>9915</t>
        </is>
      </c>
      <c r="B9952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L")</f>
      </c>
      <c r="C9952" s="4" t="n">
        <v>2867.00</v>
      </c>
      <c r="D9952" s="4"/>
    </row>
    <row collapsed="" customFormat="false" customHeight="1" hidden="" ht="14" outlineLevel="0" r="9953">
      <c r="A9953" s="3" t="inlineStr">
        <is>
          <t>9916</t>
        </is>
      </c>
      <c r="B9953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XS")</f>
      </c>
      <c r="C9953" s="4" t="n">
        <v>2867.00</v>
      </c>
      <c r="D9953" s="4"/>
    </row>
    <row collapsed="" customFormat="false" customHeight="1" hidden="" ht="14" outlineLevel="0" r="9954">
      <c r="A9954" s="3" t="inlineStr">
        <is>
          <t>9917</t>
        </is>
      </c>
      <c r="B9954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S")</f>
      </c>
      <c r="C9954" s="4" t="n">
        <v>2867.00</v>
      </c>
      <c r="D9954" s="4"/>
    </row>
    <row collapsed="" customFormat="false" customHeight="1" hidden="" ht="14" outlineLevel="0" r="9955">
      <c r="A9955" s="3" t="inlineStr">
        <is>
          <t>9918</t>
        </is>
      </c>
      <c r="B9955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M")</f>
      </c>
      <c r="C9955" s="4" t="n">
        <v>2867.00</v>
      </c>
      <c r="D9955" s="4"/>
    </row>
    <row collapsed="" customFormat="false" customHeight="1" hidden="" ht="14" outlineLevel="0" r="9956">
      <c r="A9956" s="3" t="inlineStr">
        <is>
          <t>9919</t>
        </is>
      </c>
      <c r="B9956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XL")</f>
      </c>
      <c r="C9956" s="4" t="n">
        <v>2867.00</v>
      </c>
      <c r="D9956" s="4"/>
    </row>
    <row collapsed="" customFormat="false" customHeight="1" hidden="" ht="14" outlineLevel="0" r="9957">
      <c r="A9957" s="3" t="inlineStr">
        <is>
          <t>9920</t>
        </is>
      </c>
      <c r="B9957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XXL")</f>
      </c>
      <c r="C9957" s="4" t="n">
        <v>2867.00</v>
      </c>
      <c r="D9957" s="4"/>
    </row>
    <row collapsed="" customFormat="false" customHeight="1" hidden="" ht="14" outlineLevel="0" r="9958">
      <c r="A9958" s="3" t="inlineStr">
        <is>
          <t>9921</t>
        </is>
      </c>
      <c r="B9958" s="4" t="s">
        <f>=HYPERLINK("http://anyluxury.ru/shop/odezhda/ofisnye-rubashki/rubashka-zhenskaya-s-dlinnim-rukavom-eden-140-bordovaya-17015164/" , "17015164 Рубашка женская с длинным рукавом EDEN 140 бордовая, размер L")</f>
      </c>
      <c r="C9958" s="4" t="n">
        <v>1800.00</v>
      </c>
      <c r="D9958" s="4"/>
    </row>
    <row collapsed="" customFormat="false" customHeight="1" hidden="" ht="14" outlineLevel="0" r="9959">
      <c r="A9959" s="3" t="inlineStr">
        <is>
          <t>9922</t>
        </is>
      </c>
      <c r="B9959" s="4" t="s">
        <f>=HYPERLINK("http://anyluxury.ru/shop/odezhda/ofisnye-rubashki/rubashka-zhenskaya-s-dlinnim-rukavom-eden-140-golubaya-17015219/" , "17015219 Рубашка женская с длинным рукавом EDEN 140 голубая, размер XXL")</f>
      </c>
      <c r="C9959" s="4" t="n">
        <v>3197.00</v>
      </c>
      <c r="D9959" s="4"/>
    </row>
    <row collapsed="" customFormat="false" customHeight="1" hidden="" ht="14" outlineLevel="0" r="9960">
      <c r="A9960" s="3" t="inlineStr">
        <is>
          <t>9923</t>
        </is>
      </c>
      <c r="B9960" s="4" t="s">
        <f>=HYPERLINK("http://anyluxury.ru/shop/odezhda/ofisnye-rubashki/rubashka-zhenskaya-s-dlinnim-rukavom-eden-140-golubaya-17015219/" , "17015219 Рубашка женская с длинным рукавом EDEN 140 голубая, размер XS")</f>
      </c>
      <c r="C9960" s="4" t="n">
        <v>3197.00</v>
      </c>
      <c r="D9960" s="4"/>
    </row>
    <row collapsed="" customFormat="false" customHeight="1" hidden="" ht="14" outlineLevel="0" r="9961">
      <c r="A9961" s="3" t="inlineStr">
        <is>
          <t>9924</t>
        </is>
      </c>
      <c r="B9961" s="4" t="s">
        <f>=HYPERLINK("http://anyluxury.ru/shop/odezhda/ofisnye-rubashki/rubashka-zhenskaya-s-dlinnim-rukavom-eden-140-golubaya-17015219/" , "17015219 Рубашка женская с длинным рукавом EDEN 140 голубая, размер S")</f>
      </c>
      <c r="C9961" s="4" t="n">
        <v>3197.00</v>
      </c>
      <c r="D9961" s="4"/>
    </row>
    <row collapsed="" customFormat="false" customHeight="1" hidden="" ht="14" outlineLevel="0" r="9962">
      <c r="A9962" s="3" t="inlineStr">
        <is>
          <t>9925</t>
        </is>
      </c>
      <c r="B9962" s="4" t="s">
        <f>=HYPERLINK("http://anyluxury.ru/shop/odezhda/ofisnye-rubashki/rubashka-zhenskaya-s-dlinnim-rukavom-eden-140-golubaya-17015219/" , "17015219 Рубашка женская с длинным рукавом EDEN 140 голубая, размер M")</f>
      </c>
      <c r="C9962" s="4" t="n">
        <v>3197.00</v>
      </c>
      <c r="D9962" s="4"/>
    </row>
    <row collapsed="" customFormat="false" customHeight="1" hidden="" ht="14" outlineLevel="0" r="9963">
      <c r="A9963" s="3" t="inlineStr">
        <is>
          <t>9926</t>
        </is>
      </c>
      <c r="B9963" s="4" t="s">
        <f>=HYPERLINK("http://anyluxury.ru/shop/odezhda/ofisnye-rubashki/rubashka-zhenskaya-s-dlinnim-rukavom-eden-140-golubaya-17015219/" , "17015219 Рубашка женская с длинным рукавом EDEN 140 голубая, размер L")</f>
      </c>
      <c r="C9963" s="4" t="n">
        <v>3197.00</v>
      </c>
      <c r="D9963" s="4"/>
    </row>
    <row collapsed="" customFormat="false" customHeight="1" hidden="" ht="14" outlineLevel="0" r="9964">
      <c r="A9964" s="3" t="inlineStr">
        <is>
          <t>9927</t>
        </is>
      </c>
      <c r="B9964" s="4" t="s">
        <f>=HYPERLINK("http://anyluxury.ru/shop/odezhda/ofisnye-rubashki/rubashka-zhenskaya-s-dlinnim-rukavom-eden-140-golubaya-17015219/" , "17015219 Рубашка женская с длинным рукавом EDEN 140 голубая, размер XL")</f>
      </c>
      <c r="C9964" s="4" t="n">
        <v>3197.00</v>
      </c>
      <c r="D9964" s="4"/>
    </row>
    <row collapsed="" customFormat="false" customHeight="1" hidden="" ht="14" outlineLevel="0" r="9965">
      <c r="A9965" s="3" t="inlineStr">
        <is>
          <t>9928</t>
        </is>
      </c>
      <c r="B9965" s="4" t="s">
        <f>=HYPERLINK("http://anyluxury.ru/shop/odezhda/ofisnye-rubashki/rubashka-zhenskaya-s-dlinnim-rukavom-eden-140-chernaya-17015312/" , "17015312 Рубашка женская с длинным рукавом EDEN 140 черная, размер L")</f>
      </c>
      <c r="C9965" s="4" t="n">
        <v>3197.00</v>
      </c>
      <c r="D9965" s="4"/>
    </row>
    <row collapsed="" customFormat="false" customHeight="1" hidden="" ht="14" outlineLevel="0" r="9966">
      <c r="A9966" s="3" t="inlineStr">
        <is>
          <t>9929</t>
        </is>
      </c>
      <c r="B9966" s="4" t="s">
        <f>=HYPERLINK("http://anyluxury.ru/shop/odezhda/ofisnye-rubashki/rubashka-zhenskaya-s-dlinnim-rukavom-eden-140-chernaya-17015312/" , "17015312 Рубашка женская с длинным рукавом EDEN 140 черная, размер XS")</f>
      </c>
      <c r="C9966" s="4" t="n">
        <v>3197.00</v>
      </c>
      <c r="D9966" s="4"/>
    </row>
    <row collapsed="" customFormat="false" customHeight="1" hidden="" ht="14" outlineLevel="0" r="9967">
      <c r="A9967" s="3" t="inlineStr">
        <is>
          <t>9930</t>
        </is>
      </c>
      <c r="B9967" s="4" t="s">
        <f>=HYPERLINK("http://anyluxury.ru/shop/odezhda/ofisnye-rubashki/rubashka-zhenskaya-s-dlinnim-rukavom-eden-140-chernaya-17015312/" , "17015312 Рубашка женская с длинным рукавом EDEN 140 черная, размер S")</f>
      </c>
      <c r="C9967" s="4" t="n">
        <v>3197.00</v>
      </c>
      <c r="D9967" s="4"/>
    </row>
    <row collapsed="" customFormat="false" customHeight="1" hidden="" ht="14" outlineLevel="0" r="9968">
      <c r="A9968" s="3" t="inlineStr">
        <is>
          <t>9931</t>
        </is>
      </c>
      <c r="B9968" s="4" t="s">
        <f>=HYPERLINK("http://anyluxury.ru/shop/odezhda/ofisnye-rubashki/rubashka-zhenskaya-s-dlinnim-rukavom-eden-140-chernaya-17015312/" , "17015312 Рубашка женская с длинным рукавом EDEN 140 черная, размер M")</f>
      </c>
      <c r="C9968" s="4" t="n">
        <v>3197.00</v>
      </c>
      <c r="D9968" s="4"/>
    </row>
    <row collapsed="" customFormat="false" customHeight="1" hidden="" ht="14" outlineLevel="0" r="9969">
      <c r="A9969" s="3" t="inlineStr">
        <is>
          <t>9932</t>
        </is>
      </c>
      <c r="B9969" s="4" t="s">
        <f>=HYPERLINK("http://anyluxury.ru/shop/odezhda/ofisnye-rubashki/rubashka-zhenskaya-s-dlinnim-rukavom-eden-140-chernaya-17015312/" , "17015312 Рубашка женская с длинным рукавом EDEN 140 черная, размер XL")</f>
      </c>
      <c r="C9969" s="4" t="n">
        <v>3197.00</v>
      </c>
      <c r="D9969" s="4"/>
    </row>
    <row collapsed="" customFormat="false" customHeight="1" hidden="" ht="14" outlineLevel="0" r="9970">
      <c r="A9970" s="3" t="inlineStr">
        <is>
          <t>9933</t>
        </is>
      </c>
      <c r="B9970" s="4" t="s">
        <f>=HYPERLINK("http://anyluxury.ru/shop/odezhda/ofisnye-rubashki/rubashka-zhenskaya-s-dlinnim-rukavom-eden-140-chernaya-17015312/" , "17015312 Рубашка женская с длинным рукавом EDEN 140 черная, размер XXL")</f>
      </c>
      <c r="C9970" s="4" t="n">
        <v>3197.00</v>
      </c>
      <c r="D9970" s="4"/>
    </row>
    <row collapsed="" customFormat="false" customHeight="1" hidden="" ht="14" outlineLevel="0" r="9971">
      <c r="A9971" s="3" t="inlineStr">
        <is>
          <t>9934</t>
        </is>
      </c>
      <c r="B9971" s="4" t="s">
        <f>=HYPERLINK("http://anyluxury.ru/shop/odezhda/ofisnye-rubashki/rubashka-zhenskaya-s-korotkim-rukavom-excess-krasnaya-17020159/" , "17020159 Рубашка женская с коротким рукавом EXCESS красная, размер L")</f>
      </c>
      <c r="C9971" s="4" t="n">
        <v>1631.00</v>
      </c>
      <c r="D9971" s="4"/>
    </row>
    <row collapsed="" customFormat="false" customHeight="1" hidden="" ht="14" outlineLevel="0" r="9972">
      <c r="A9972" s="3" t="inlineStr">
        <is>
          <t>9935</t>
        </is>
      </c>
      <c r="B9972" s="4" t="s">
        <f>=HYPERLINK("http://anyluxury.ru/shop/odezhda/ofisnye-rubashki/rubashka-zhenskaya-s-korotkim-rukavom-excess-bordovaya-17020164/" , "17020164 Рубашка женская с коротким рукавом EXCESS бордовая, размер L")</f>
      </c>
      <c r="C9972" s="4" t="n">
        <v>3146.00</v>
      </c>
      <c r="D9972" s="4"/>
    </row>
    <row collapsed="" customFormat="false" customHeight="1" hidden="" ht="14" outlineLevel="0" r="9973">
      <c r="A9973" s="3" t="inlineStr">
        <is>
          <t>9936</t>
        </is>
      </c>
      <c r="B9973" s="4" t="s">
        <f>=HYPERLINK("http://anyluxury.ru/shop/odezhda/ofisnye-rubashki/rubashka-zhenskaya-s-korotkim-rukavom-excess-bordovaya-17020164/" , "17020164 Рубашка женская с коротким рукавом Excess бордовая, размер XS")</f>
      </c>
      <c r="C9973" s="4" t="n">
        <v>3146.00</v>
      </c>
      <c r="D9973" s="4"/>
    </row>
    <row collapsed="" customFormat="false" customHeight="1" hidden="" ht="14" outlineLevel="0" r="9974">
      <c r="A9974" s="3" t="inlineStr">
        <is>
          <t>9937</t>
        </is>
      </c>
      <c r="B9974" s="4" t="s">
        <f>=HYPERLINK("http://anyluxury.ru/shop/odezhda/ofisnye-rubashki/rubashka-zhenskaya-s-korotkim-rukavom-excess-bordovaya-17020164/" , "17020164 Рубашка женская с коротким рукавом Excess бордовая, размер S")</f>
      </c>
      <c r="C9974" s="4" t="n">
        <v>3146.00</v>
      </c>
      <c r="D9974" s="4"/>
    </row>
    <row collapsed="" customFormat="false" customHeight="1" hidden="" ht="14" outlineLevel="0" r="9975">
      <c r="A9975" s="3" t="inlineStr">
        <is>
          <t>9938</t>
        </is>
      </c>
      <c r="B9975" s="4" t="s">
        <f>=HYPERLINK("http://anyluxury.ru/shop/odezhda/ofisnye-rubashki/rubashka-zhenskaya-s-korotkim-rukavom-excess-bordovaya-17020164/" , "17020164 Рубашка женская с коротким рукавом Excess бордовая, размер M")</f>
      </c>
      <c r="C9975" s="4" t="n">
        <v>3146.00</v>
      </c>
      <c r="D9975" s="4"/>
    </row>
    <row collapsed="" customFormat="false" customHeight="1" hidden="" ht="14" outlineLevel="0" r="9976">
      <c r="A9976" s="3" t="inlineStr">
        <is>
          <t>9939</t>
        </is>
      </c>
      <c r="B9976" s="4" t="s">
        <f>=HYPERLINK("http://anyluxury.ru/shop/odezhda/ofisnye-rubashki/rubashka-zhenskaya-s-korotkim-rukavom-excess-bordovaya-17020164/" , "17020164 Рубашка женская с коротким рукавом Excess бордовая, размер XL")</f>
      </c>
      <c r="C9976" s="4" t="n">
        <v>3146.00</v>
      </c>
      <c r="D9976" s="4"/>
    </row>
    <row collapsed="" customFormat="false" customHeight="1" hidden="" ht="14" outlineLevel="0" r="9977">
      <c r="A9977" s="3" t="inlineStr">
        <is>
          <t>9940</t>
        </is>
      </c>
      <c r="B9977" s="4" t="s">
        <f>=HYPERLINK("http://anyluxury.ru/shop/odezhda/ofisnye-rubashki/rubashka-zhenskaya-s-korotkim-rukavom-excess-bordovaya-17020164/" , "17020164 Рубашка женская с коротким рукавом Excess бордовая, размер XXL")</f>
      </c>
      <c r="C9977" s="4" t="n">
        <v>3146.00</v>
      </c>
      <c r="D9977" s="4"/>
    </row>
    <row collapsed="" customFormat="false" customHeight="1" hidden="" ht="14" outlineLevel="0" r="9978">
      <c r="A9978" s="3" t="inlineStr">
        <is>
          <t>9941</t>
        </is>
      </c>
      <c r="B9978" s="4" t="s">
        <f>=HYPERLINK("http://anyluxury.ru/shop/odezhda/ofisnye-rubashki/rubashka-zhenskaya-s-korotkim-rukavom-excess-temnokorichnevaya-17020399/" , "17020399 Рубашка женская с коротким рукавом EXCESS темно-коричневая, размер L")</f>
      </c>
      <c r="C9978" s="4" t="n">
        <v>1631.00</v>
      </c>
      <c r="D9978" s="4"/>
    </row>
    <row collapsed="" customFormat="false" customHeight="1" hidden="" ht="14" outlineLevel="0" r="9979">
      <c r="A9979" s="3" t="inlineStr">
        <is>
          <t>9942</t>
        </is>
      </c>
      <c r="B9979" s="4" t="s">
        <f>=HYPERLINK("http://anyluxury.ru/shop/odezhda/ofisnye-rubashki/rubashka-barnet-men-seriy-melanzh-01428349/" , "01428349 Рубашка BARNET MEN серый меланж, размер S")</f>
      </c>
      <c r="C9979" s="4" t="n">
        <v>2371.00</v>
      </c>
      <c r="D9979" s="4"/>
    </row>
    <row collapsed="" customFormat="false" customHeight="1" hidden="" ht="14" outlineLevel="0" r="9980">
      <c r="A9980" s="3" t="inlineStr">
        <is>
          <t>9943</t>
        </is>
      </c>
      <c r="B9980" s="4" t="s">
        <f>=HYPERLINK("http://anyluxury.ru/shop/odezhda/ofisnye-rubashki/rubashka-barnet-men-seriy-melanzh-01428349/" , "01428349 Рубашка BARNET MEN серый меланж, размер M")</f>
      </c>
      <c r="C9980" s="4" t="n">
        <v>2371.00</v>
      </c>
      <c r="D9980" s="4"/>
    </row>
    <row collapsed="" customFormat="false" customHeight="1" hidden="" ht="14" outlineLevel="0" r="9981">
      <c r="A9981" s="3" t="inlineStr">
        <is>
          <t>9944</t>
        </is>
      </c>
      <c r="B9981" s="4" t="s">
        <f>=HYPERLINK("http://anyluxury.ru/shop/odezhda/ofisnye-rubashki/rubashka-barnet-men-seriy-melanzh-01428349/" , "01428349 Рубашка BARNET MEN серый меланж, размер L")</f>
      </c>
      <c r="C9981" s="4" t="n">
        <v>2371.00</v>
      </c>
      <c r="D9981" s="4"/>
    </row>
    <row collapsed="" customFormat="false" customHeight="1" hidden="" ht="14" outlineLevel="0" r="9982">
      <c r="A9982" s="3" t="inlineStr">
        <is>
          <t>9945</t>
        </is>
      </c>
      <c r="B9982" s="4" t="s">
        <f>=HYPERLINK("http://anyluxury.ru/shop/odezhda/ofisnye-rubashki/rubashka-barnet-men-seriy-melanzh-01428349/" , "01428349 Рубашка BARNET MEN серый меланж, размер XL")</f>
      </c>
      <c r="C9982" s="4" t="n">
        <v>2371.00</v>
      </c>
      <c r="D9982" s="4"/>
    </row>
    <row collapsed="" customFormat="false" customHeight="1" hidden="" ht="14" outlineLevel="0" r="9983">
      <c r="A9983" s="3" t="inlineStr">
        <is>
          <t>9946</t>
        </is>
      </c>
      <c r="B9983" s="4" t="s">
        <f>=HYPERLINK("http://anyluxury.ru/shop/odezhda/ofisnye-rubashki/rubashka-barnet-men-seriy-melanzh-01428349/" , "01428349 Рубашка BARNET MEN серый меланж, размер XXL")</f>
      </c>
      <c r="C9983" s="4" t="n">
        <v>2371.00</v>
      </c>
      <c r="D9983" s="4"/>
    </row>
    <row collapsed="" customFormat="false" customHeight="1" hidden="" ht="14" outlineLevel="0" r="9984">
      <c r="A9984" s="3" t="inlineStr">
        <is>
          <t>9947</t>
        </is>
      </c>
      <c r="B9984" s="4" t="s">
        <f>=HYPERLINK("http://anyluxury.ru/shop/odezhda/ofisnye-rubashki/rubashka-barnet-men-seriy-melanzh-01428349/" , "01428349 Рубашка BARNET MEN серый меланж, размер 3XL")</f>
      </c>
      <c r="C9984" s="4" t="n">
        <v>2371.00</v>
      </c>
      <c r="D9984" s="4"/>
    </row>
    <row collapsed="" customFormat="false" customHeight="1" hidden="" ht="14" outlineLevel="0" r="9985">
      <c r="A9985" s="3" t="inlineStr">
        <is>
          <t>9948</t>
        </is>
      </c>
      <c r="B9985" s="4" t="s">
        <f>=HYPERLINK("http://anyluxury.ru/shop/odezhda/ofisnye-rubashki/rubashka-barnet-men-siniy-melanzh-dzhins-01428223/" , "01428223 Рубашка BARNET MEN синий меланж (джинс), размер S")</f>
      </c>
      <c r="C9985" s="4" t="n">
        <v>2371.00</v>
      </c>
      <c r="D9985" s="4"/>
    </row>
    <row collapsed="" customFormat="false" customHeight="1" hidden="" ht="14" outlineLevel="0" r="9986">
      <c r="A9986" s="3" t="inlineStr">
        <is>
          <t>9949</t>
        </is>
      </c>
      <c r="B9986" s="4" t="s">
        <f>=HYPERLINK("http://anyluxury.ru/shop/odezhda/ofisnye-rubashki/rubashka-barnet-men-siniy-melanzh-dzhins-01428223/" , "01428223 Рубашка BARNET MEN синий меланж (джинс), размер M")</f>
      </c>
      <c r="C9986" s="4" t="n">
        <v>2371.00</v>
      </c>
      <c r="D9986" s="4"/>
    </row>
    <row collapsed="" customFormat="false" customHeight="1" hidden="" ht="14" outlineLevel="0" r="9987">
      <c r="A9987" s="3" t="inlineStr">
        <is>
          <t>9950</t>
        </is>
      </c>
      <c r="B9987" s="4" t="s">
        <f>=HYPERLINK("http://anyluxury.ru/shop/odezhda/ofisnye-rubashki/rubashka-barnet-men-siniy-melanzh-dzhins-01428223/" , "01428223 Рубашка BARNET MEN синий меланж (джинс), размер L")</f>
      </c>
      <c r="C9987" s="4" t="n">
        <v>2371.00</v>
      </c>
      <c r="D9987" s="4"/>
    </row>
    <row collapsed="" customFormat="false" customHeight="1" hidden="" ht="14" outlineLevel="0" r="9988">
      <c r="A9988" s="3" t="inlineStr">
        <is>
          <t>9951</t>
        </is>
      </c>
      <c r="B9988" s="4" t="s">
        <f>=HYPERLINK("http://anyluxury.ru/shop/odezhda/ofisnye-rubashki/rubashka-barnet-men-siniy-melanzh-dzhins-01428223/" , "01428223 Рубашка BARNET MEN синий меланж (джинс), размер XL")</f>
      </c>
      <c r="C9988" s="4" t="n">
        <v>2371.00</v>
      </c>
      <c r="D9988" s="4"/>
    </row>
    <row collapsed="" customFormat="false" customHeight="1" hidden="" ht="14" outlineLevel="0" r="9989">
      <c r="A9989" s="3" t="inlineStr">
        <is>
          <t>9952</t>
        </is>
      </c>
      <c r="B9989" s="4" t="s">
        <f>=HYPERLINK("http://anyluxury.ru/shop/odezhda/ofisnye-rubashki/rubashka-barnet-men-siniy-melanzh-dzhins-01428223/" , "01428223 Рубашка BARNET MEN синий меланж (джинс), размер XXL")</f>
      </c>
      <c r="C9989" s="4" t="n">
        <v>2371.00</v>
      </c>
      <c r="D9989" s="4"/>
    </row>
    <row collapsed="" customFormat="false" customHeight="1" hidden="" ht="14" outlineLevel="0" r="9990">
      <c r="A9990" s="3" t="inlineStr">
        <is>
          <t>9953</t>
        </is>
      </c>
      <c r="B9990" s="4" t="s">
        <f>=HYPERLINK("http://anyluxury.ru/shop/odezhda/ofisnye-rubashki/rubashka-barnet-men-siniy-melanzh-dzhins-01428223/" , "01428223 Рубашка BARNET MEN синий меланж (джинс), размер 3XL")</f>
      </c>
      <c r="C9990" s="4" t="n">
        <v>2371.00</v>
      </c>
      <c r="D9990" s="4"/>
    </row>
    <row collapsed="" customFormat="false" customHeight="1" hidden="" ht="14" outlineLevel="0" r="9991">
      <c r="A9991" s="3" t="inlineStr">
        <is>
          <t>9954</t>
        </is>
      </c>
      <c r="B9991" s="4" t="s">
        <f>=HYPERLINK("http://anyluxury.ru/shop/odezhda/ofisnye-rubashki/rubashka-barnet-women-seriy-melanzh-01429349/" , "01429349 Рубашка BARNET WOMEN серый меланж, размер XS")</f>
      </c>
      <c r="C9991" s="4" t="n">
        <v>2249.00</v>
      </c>
      <c r="D9991" s="4"/>
    </row>
    <row collapsed="" customFormat="false" customHeight="1" hidden="" ht="14" outlineLevel="0" r="9992">
      <c r="A9992" s="3" t="inlineStr">
        <is>
          <t>9955</t>
        </is>
      </c>
      <c r="B9992" s="4" t="s">
        <f>=HYPERLINK("http://anyluxury.ru/shop/odezhda/ofisnye-rubashki/rubashka-barnet-women-seriy-melanzh-01429349/" , "01429349 Рубашка BARNET WOMEN серый меланж, размер S")</f>
      </c>
      <c r="C9992" s="4" t="n">
        <v>2249.00</v>
      </c>
      <c r="D9992" s="4"/>
    </row>
    <row collapsed="" customFormat="false" customHeight="1" hidden="" ht="14" outlineLevel="0" r="9993">
      <c r="A9993" s="3" t="inlineStr">
        <is>
          <t>9956</t>
        </is>
      </c>
      <c r="B9993" s="4" t="s">
        <f>=HYPERLINK("http://anyluxury.ru/shop/odezhda/ofisnye-rubashki/rubashka-barnet-women-seriy-melanzh-01429349/" , "01429349 Рубашка BARNET WOMEN серый меланж, размер M")</f>
      </c>
      <c r="C9993" s="4" t="n">
        <v>2249.00</v>
      </c>
      <c r="D9993" s="4"/>
    </row>
    <row collapsed="" customFormat="false" customHeight="1" hidden="" ht="14" outlineLevel="0" r="9994">
      <c r="A9994" s="3" t="inlineStr">
        <is>
          <t>9957</t>
        </is>
      </c>
      <c r="B9994" s="4" t="s">
        <f>=HYPERLINK("http://anyluxury.ru/shop/odezhda/ofisnye-rubashki/rubashka-barnet-women-seriy-melanzh-01429349/" , "01429349 Рубашка BARNET WOMEN серый меланж, размер L")</f>
      </c>
      <c r="C9994" s="4" t="n">
        <v>2249.00</v>
      </c>
      <c r="D9994" s="4"/>
    </row>
    <row collapsed="" customFormat="false" customHeight="1" hidden="" ht="14" outlineLevel="0" r="9995">
      <c r="A9995" s="3" t="inlineStr">
        <is>
          <t>9958</t>
        </is>
      </c>
      <c r="B9995" s="4" t="s">
        <f>=HYPERLINK("http://anyluxury.ru/shop/odezhda/ofisnye-rubashki/rubashka-barnet-women-seriy-melanzh-01429349/" , "01429349 Рубашка BARNET WOMEN серый меланж, размер XL")</f>
      </c>
      <c r="C9995" s="4" t="n">
        <v>2249.00</v>
      </c>
      <c r="D9995" s="4"/>
    </row>
    <row collapsed="" customFormat="false" customHeight="1" hidden="" ht="14" outlineLevel="0" r="9996">
      <c r="A9996" s="3" t="inlineStr">
        <is>
          <t>9959</t>
        </is>
      </c>
      <c r="B9996" s="4" t="s">
        <f>=HYPERLINK("http://anyluxury.ru/shop/odezhda/ofisnye-rubashki/rubashka-barnet-women-seriy-melanzh-01429349/" , "01429349 Рубашка BARNET WOMEN серый меланж, размер XXL")</f>
      </c>
      <c r="C9996" s="4" t="n">
        <v>2249.00</v>
      </c>
      <c r="D9996" s="4"/>
    </row>
    <row collapsed="" customFormat="false" customHeight="1" hidden="" ht="14" outlineLevel="0" r="9997">
      <c r="A9997" s="3" t="inlineStr">
        <is>
          <t>9960</t>
        </is>
      </c>
      <c r="B9997" s="4" t="s">
        <f>=HYPERLINK("http://anyluxury.ru/shop/odezhda/ofisnye-rubashki/rubashka-barnet-women-siniy-melanzh-dzhins-01429223/" , "01429223 Рубашка BARNET WOMEN синий меланж (джинс), размер XS")</f>
      </c>
      <c r="C9997" s="4" t="n">
        <v>2249.00</v>
      </c>
      <c r="D9997" s="4"/>
    </row>
    <row collapsed="" customFormat="false" customHeight="1" hidden="" ht="14" outlineLevel="0" r="9998">
      <c r="A9998" s="3" t="inlineStr">
        <is>
          <t>9961</t>
        </is>
      </c>
      <c r="B9998" s="4" t="s">
        <f>=HYPERLINK("http://anyluxury.ru/shop/odezhda/ofisnye-rubashki/rubashka-barnet-women-siniy-melanzh-dzhins-01429223/" , "01429223 Рубашка BARNET WOMEN синий меланж (джинс), размер S")</f>
      </c>
      <c r="C9998" s="4" t="n">
        <v>2249.00</v>
      </c>
      <c r="D9998" s="4"/>
    </row>
    <row collapsed="" customFormat="false" customHeight="1" hidden="" ht="14" outlineLevel="0" r="9999">
      <c r="A9999" s="3" t="inlineStr">
        <is>
          <t>9962</t>
        </is>
      </c>
      <c r="B9999" s="4" t="s">
        <f>=HYPERLINK("http://anyluxury.ru/shop/odezhda/ofisnye-rubashki/rubashka-barnet-women-siniy-melanzh-dzhins-01429223/" , "01429223 Рубашка BARNET WOMEN синий меланж (джинс), размер M")</f>
      </c>
      <c r="C9999" s="4" t="n">
        <v>2249.00</v>
      </c>
      <c r="D9999" s="4"/>
    </row>
    <row collapsed="" customFormat="false" customHeight="1" hidden="" ht="14" outlineLevel="0" r="10000">
      <c r="A10000" s="3" t="inlineStr">
        <is>
          <t>9963</t>
        </is>
      </c>
      <c r="B10000" s="4" t="s">
        <f>=HYPERLINK("http://anyluxury.ru/shop/odezhda/ofisnye-rubashki/rubashka-barnet-women-siniy-melanzh-dzhins-01429223/" , "01429223 Рубашка BARNET WOMEN синий меланж (джинс), размер L")</f>
      </c>
      <c r="C10000" s="4" t="n">
        <v>2249.00</v>
      </c>
      <c r="D10000" s="4"/>
    </row>
    <row collapsed="" customFormat="false" customHeight="1" hidden="" ht="14" outlineLevel="0" r="10001">
      <c r="A10001" s="3" t="inlineStr">
        <is>
          <t>9964</t>
        </is>
      </c>
      <c r="B10001" s="4" t="s">
        <f>=HYPERLINK("http://anyluxury.ru/shop/odezhda/ofisnye-rubashki/rubashka-barnet-women-siniy-melanzh-dzhins-01429223/" , "01429223 Рубашка BARNET WOMEN синий меланж (джинс), размер XL")</f>
      </c>
      <c r="C10001" s="4" t="n">
        <v>2249.00</v>
      </c>
      <c r="D10001" s="4"/>
    </row>
    <row collapsed="" customFormat="false" customHeight="1" hidden="" ht="14" outlineLevel="0" r="10002">
      <c r="A10002" s="3" t="inlineStr">
        <is>
          <t>9965</t>
        </is>
      </c>
      <c r="B10002" s="4" t="s">
        <f>=HYPERLINK("http://anyluxury.ru/shop/odezhda/ofisnye-rubashki/rubashka-barnet-women-siniy-melanzh-dzhins-01429223/" , "01429223 Рубашка BARNET WOMEN синий меланж (джинс), размер XXL")</f>
      </c>
      <c r="C10002" s="4" t="n">
        <v>2249.00</v>
      </c>
      <c r="D10002" s="4"/>
    </row>
    <row collapsed="" customFormat="false" customHeight="1" hidden="" ht="14" outlineLevel="0" r="10003">
      <c r="A10003" s="3" t="inlineStr">
        <is>
          <t>9966</t>
        </is>
      </c>
      <c r="B10003" s="4" t="s">
        <f>=HYPERLINK("http://anyluxury.ru/shop/odezhda/ofisnye-rubashki/rubashka-muzhskaya-becker-men-temnosinyaya-s-belim-01648912/" , "01648912 Рубашка мужская BECKER MEN, темно-синяя с белым, размер S")</f>
      </c>
      <c r="C10003" s="4" t="n">
        <v>2492.00</v>
      </c>
      <c r="D10003" s="4"/>
    </row>
    <row collapsed="" customFormat="false" customHeight="1" hidden="" ht="14" outlineLevel="0" r="10004">
      <c r="A10004" s="3" t="inlineStr">
        <is>
          <t>9967</t>
        </is>
      </c>
      <c r="B10004" s="4" t="s">
        <f>=HYPERLINK("http://anyluxury.ru/shop/odezhda/ofisnye-rubashki/rubashka-muzhskaya-becker-men-temnosinyaya-s-belim-01648912/" , "01648912 Рубашка мужская BECKER MEN, темно-синяя с белым, размер XL")</f>
      </c>
      <c r="C10004" s="4" t="n">
        <v>2492.00</v>
      </c>
      <c r="D10004" s="4"/>
    </row>
    <row collapsed="" customFormat="false" customHeight="1" hidden="" ht="14" outlineLevel="0" r="10005">
      <c r="A10005" s="3" t="inlineStr">
        <is>
          <t>9968</t>
        </is>
      </c>
      <c r="B10005" s="4" t="s">
        <f>=HYPERLINK("http://anyluxury.ru/shop/odezhda/ofisnye-rubashki/rubashka-muzhskaya-becker-men-temnosinyaya-s-belim-01648912/" , "01648912 Рубашка мужская BECKER MEN, темно-синяя с белым, размер XXL")</f>
      </c>
      <c r="C10005" s="4" t="n">
        <v>2492.00</v>
      </c>
      <c r="D10005" s="4"/>
    </row>
    <row collapsed="" customFormat="false" customHeight="1" hidden="" ht="14" outlineLevel="0" r="10006">
      <c r="A10006" s="3" t="inlineStr">
        <is>
          <t>9969</t>
        </is>
      </c>
      <c r="B10006" s="4" t="s">
        <f>=HYPERLINK("http://anyluxury.ru/shop/odezhda/ofisnye-rubashki/rubashka-muzhskaya-becker-men-temnosinyaya-s-belim-01648912/" , "01648912 Рубашка мужская BECKER MEN, темно-синяя с белым, размер 3XL")</f>
      </c>
      <c r="C10006" s="4" t="n">
        <v>2492.00</v>
      </c>
      <c r="D10006" s="4"/>
    </row>
    <row collapsed="" customFormat="false" customHeight="1" hidden="" ht="14" outlineLevel="0" r="10007">
      <c r="A10007" s="3" t="inlineStr">
        <is>
          <t>9970</t>
        </is>
      </c>
      <c r="B10007" s="4" t="s">
        <f>=HYPERLINK("http://anyluxury.ru/shop/odezhda/ofisnye-rubashki/rubashka-muzhskaya-becker-men-bordovaya-s-belim-01648502/" , "01648502 Рубашка мужская BECKER MEN, бордовая с белым, размер S")</f>
      </c>
      <c r="C10007" s="4" t="n">
        <v>2492.00</v>
      </c>
      <c r="D10007" s="4"/>
    </row>
    <row collapsed="" customFormat="false" customHeight="1" hidden="" ht="14" outlineLevel="0" r="10008">
      <c r="A10008" s="3" t="inlineStr">
        <is>
          <t>9971</t>
        </is>
      </c>
      <c r="B10008" s="4" t="s">
        <f>=HYPERLINK("http://anyluxury.ru/shop/odezhda/ofisnye-rubashki/rubashka-muzhskaya-becker-men-bordovaya-s-belim-01648502/" , "01648502 Рубашка мужская BECKER MEN, бордовая с белым, размер 3XL")</f>
      </c>
      <c r="C10008" s="4" t="n">
        <v>2492.00</v>
      </c>
      <c r="D10008" s="4"/>
    </row>
    <row collapsed="" customFormat="false" customHeight="1" hidden="" ht="14" outlineLevel="0" r="10009">
      <c r="A10009" s="3" t="inlineStr">
        <is>
          <t>9972</t>
        </is>
      </c>
      <c r="B10009" s="4" t="s">
        <f>=HYPERLINK("http://anyluxury.ru/shop/odezhda/ofisnye-rubashki/rubashka-zhenskaya-becker-women-temnoseraya-s-belim-01649503/" , "01649503 Рубашка женская BECKER WOMEN, темно-серая с белым, размер XS")</f>
      </c>
      <c r="C10009" s="4" t="n">
        <v>2561.00</v>
      </c>
      <c r="D10009" s="4"/>
    </row>
    <row collapsed="" customFormat="false" customHeight="1" hidden="" ht="14" outlineLevel="0" r="10010">
      <c r="A10010" s="3" t="inlineStr">
        <is>
          <t>9973</t>
        </is>
      </c>
      <c r="B10010" s="4" t="s">
        <f>=HYPERLINK("http://anyluxury.ru/shop/odezhda/ofisnye-rubashki/rubashka-zhenskaya-becker-women-temnoseraya-s-belim-01649503/" , "01649503 Рубашка женская BECKER WOMEN, темно-серая с белым, размер XXL")</f>
      </c>
      <c r="C10010" s="4" t="n">
        <v>2561.00</v>
      </c>
      <c r="D10010" s="4"/>
    </row>
    <row collapsed="" customFormat="false" customHeight="1" hidden="" ht="14" outlineLevel="0" r="10011">
      <c r="A10011" s="3" t="inlineStr">
        <is>
          <t>9974</t>
        </is>
      </c>
      <c r="B10011" s="4" t="s">
        <f>=HYPERLINK("http://anyluxury.ru/shop/odezhda/ofisnye-rubashki/rubashka-zhenskaya-becker-women-temnosinyaya-s-belim-01649912/" , "01649912 Рубашка женская BECKER WOMEN, темно-синяя с белым, размер XS")</f>
      </c>
      <c r="C10011" s="4" t="n">
        <v>2561.00</v>
      </c>
      <c r="D10011" s="4"/>
    </row>
    <row collapsed="" customFormat="false" customHeight="1" hidden="" ht="14" outlineLevel="0" r="10012">
      <c r="A10012" s="3" t="inlineStr">
        <is>
          <t>9975</t>
        </is>
      </c>
      <c r="B10012" s="4" t="s">
        <f>=HYPERLINK("http://anyluxury.ru/shop/odezhda/ofisnye-rubashki/rubashka-zhenskaya-becker-women-temnosinyaya-s-belim-01649912/" , "01649912 Рубашка женская BECKER WOMEN, темно-синяя с белым, размер S")</f>
      </c>
      <c r="C10012" s="4" t="n">
        <v>2561.00</v>
      </c>
      <c r="D10012" s="4"/>
    </row>
    <row collapsed="" customFormat="false" customHeight="1" hidden="" ht="14" outlineLevel="0" r="10013">
      <c r="A10013" s="3" t="inlineStr">
        <is>
          <t>9976</t>
        </is>
      </c>
      <c r="B10013" s="4" t="s">
        <f>=HYPERLINK("http://anyluxury.ru/shop/odezhda/ofisnye-rubashki/rubashka-zhenskaya-becker-women-temnosinyaya-s-belim-01649912/" , "01649912 Рубашка женская BECKER WOMEN, темно-синяя с белым, размер XXL")</f>
      </c>
      <c r="C10013" s="4" t="n">
        <v>2561.00</v>
      </c>
      <c r="D10013" s="4"/>
    </row>
    <row collapsed="" customFormat="false" customHeight="1" hidden="" ht="14" outlineLevel="0" r="10014">
      <c r="A10014" s="3" t="inlineStr">
        <is>
          <t>9977</t>
        </is>
      </c>
      <c r="B10014" s="4" t="s">
        <f>=HYPERLINK("http://anyluxury.ru/shop/odezhda/ofisnye-rubashki/rubashka-zhenskaya-becker-women-bordovaya-s-belim-01649502/" , "01649502 Рубашка женская BECKER WOMEN, бордовая с белым, размер XS")</f>
      </c>
      <c r="C10014" s="4" t="n">
        <v>2561.00</v>
      </c>
      <c r="D10014" s="4"/>
    </row>
    <row collapsed="" customFormat="false" customHeight="1" hidden="" ht="14" outlineLevel="0" r="10015">
      <c r="A10015" s="3" t="inlineStr">
        <is>
          <t>9978</t>
        </is>
      </c>
      <c r="B10015" s="4" t="s">
        <f>=HYPERLINK("http://anyluxury.ru/shop/odezhda/ofisnye-rubashki/rubashka-zhenskaya-becker-women-bordovaya-s-belim-01649502/" , "01649502 Рубашка женская BECKER WOMEN, бордовая с белым, размер L")</f>
      </c>
      <c r="C10015" s="4" t="n">
        <v>2561.00</v>
      </c>
      <c r="D10015" s="4"/>
    </row>
    <row collapsed="" customFormat="false" customHeight="1" hidden="" ht="14" outlineLevel="0" r="10016">
      <c r="A10016" s="3" t="inlineStr">
        <is>
          <t>9979</t>
        </is>
      </c>
      <c r="B10016" s="4" t="s">
        <f>=HYPERLINK("http://anyluxury.ru/shop/odezhda/ofisnye-rubashki/rubashka-zhenskaya-becker-women-bordovaya-s-belim-01649502/" , "01649502 Рубашка женская BECKER WOMEN, бордовая с белым, размер XL")</f>
      </c>
      <c r="C10016" s="4" t="n">
        <v>2561.00</v>
      </c>
      <c r="D10016" s="4"/>
    </row>
    <row collapsed="" customFormat="false" customHeight="1" hidden="" ht="14" outlineLevel="0" r="10017">
      <c r="A10017" s="3" t="inlineStr">
        <is>
          <t>9980</t>
        </is>
      </c>
      <c r="B10017" s="4" t="s">
        <f>=HYPERLINK("http://anyluxury.ru/shop/odezhda/ofisnye-rubashki/rubashka-zhenskaya-becker-women-bordovaya-s-belim-01649502/" , "01649502 Рубашка женская BECKER WOMEN, бордовая с белым, размер XXL")</f>
      </c>
      <c r="C10017" s="4" t="n">
        <v>2561.00</v>
      </c>
      <c r="D10017" s="4"/>
    </row>
    <row collapsed="" customFormat="false" customHeight="1" hidden="" ht="14" outlineLevel="0" r="10018">
      <c r="A10018" s="3" t="inlineStr">
        <is>
          <t>9981</t>
        </is>
      </c>
      <c r="B10018" s="4" t="s">
        <f>=HYPERLINK("http://anyluxury.ru/shop/odezhda/ofisnye-rubashki/rubashka-zhenskaya-becker-women-belaya-s-temnosinim-01649989/" , "01649989 Рубашка женская BECKER WOMEN белый/темно-синий, размер XS")</f>
      </c>
      <c r="C10018" s="4" t="n">
        <v>2561.00</v>
      </c>
      <c r="D10018" s="4"/>
    </row>
    <row collapsed="" customFormat="false" customHeight="1" hidden="" ht="14" outlineLevel="0" r="10019">
      <c r="A10019" s="3" t="inlineStr">
        <is>
          <t>9982</t>
        </is>
      </c>
      <c r="B10019" s="4" t="s">
        <f>=HYPERLINK("http://anyluxury.ru/shop/odezhda/ofisnye-rubashki/rubashka-zhenskaya-becker-women-belaya-s-temnosinim-01649989/" , "01649989 Рубашка женская BECKER WOMEN белый/темно-синий, размер S")</f>
      </c>
      <c r="C10019" s="4" t="n">
        <v>2561.00</v>
      </c>
      <c r="D10019" s="4"/>
    </row>
    <row collapsed="" customFormat="false" customHeight="1" hidden="" ht="14" outlineLevel="0" r="10020">
      <c r="A10020" s="3" t="inlineStr">
        <is>
          <t>9983</t>
        </is>
      </c>
      <c r="B10020" s="4" t="s">
        <f>=HYPERLINK("http://anyluxury.ru/shop/odezhda/ofisnye-rubashki/rubashka-zhenskaya-becker-women-belaya-s-temnosinim-01649989/" , "01649989 Рубашка женская BECKER WOMEN белый/темно-синий, размер XL")</f>
      </c>
      <c r="C10020" s="4" t="n">
        <v>2561.00</v>
      </c>
      <c r="D10020" s="4"/>
    </row>
    <row collapsed="" customFormat="false" customHeight="1" hidden="" ht="14" outlineLevel="0" r="10021">
      <c r="A10021" s="3" t="inlineStr">
        <is>
          <t>9984</t>
        </is>
      </c>
      <c r="B10021" s="4" t="s">
        <f>=HYPERLINK("http://anyluxury.ru/shop/odezhda/ofisnye-rubashki/rubashka-zhenskaya-becker-women-belaya-s-temnosinim-01649989/" , "01649989 Рубашка женская BECKER WOMEN белый/темно-синий, размер XXL")</f>
      </c>
      <c r="C10021" s="4" t="n">
        <v>2561.00</v>
      </c>
      <c r="D10021" s="4"/>
    </row>
    <row collapsed="" customFormat="false" customHeight="1" hidden="" ht="14" outlineLevel="0" r="10022">
      <c r="A10022" s="3" t="inlineStr">
        <is>
          <t>9985</t>
        </is>
      </c>
      <c r="B10022" s="4" t="s">
        <f>=HYPERLINK("http://anyluxury.ru/shop/odezhda/ofisnye-rubashki/rubashka-zhenskaya-beverly-women-belaya-s-sinim-01651504/" , "01651504 Рубашка женская BEVERLY WOMEN, белая с синим, размер XS")</f>
      </c>
      <c r="C10022" s="4" t="n">
        <v>2161.00</v>
      </c>
      <c r="D10022" s="4"/>
    </row>
    <row collapsed="" customFormat="false" customHeight="1" hidden="" ht="14" outlineLevel="0" r="10023">
      <c r="A10023" s="3" t="inlineStr">
        <is>
          <t>9986</t>
        </is>
      </c>
      <c r="B10023" s="4" t="s">
        <f>=HYPERLINK("http://anyluxury.ru/shop/odezhda/ofisnye-rubashki/rubashka-zhenskaya-beverly-women-belaya-s-sinim-01651504/" , "01651504 Рубашка женская BEVERLY WOMEN, белая с синим, размер S")</f>
      </c>
      <c r="C10023" s="4" t="n">
        <v>2161.00</v>
      </c>
      <c r="D10023" s="4"/>
    </row>
    <row collapsed="" customFormat="false" customHeight="1" hidden="" ht="14" outlineLevel="0" r="10024">
      <c r="A10024" s="3" t="inlineStr">
        <is>
          <t>9987</t>
        </is>
      </c>
      <c r="B10024" s="4" t="s">
        <f>=HYPERLINK("http://anyluxury.ru/shop/odezhda/ofisnye-rubashki/rubashka-zhenskaya-beverly-women-belaya-s-sinim-01651504/" , "01651504 Рубашка женская BEVERLY WOMEN, белая с синим, размер M")</f>
      </c>
      <c r="C10024" s="4" t="n">
        <v>2161.00</v>
      </c>
      <c r="D10024" s="4"/>
    </row>
    <row collapsed="" customFormat="false" customHeight="1" hidden="" ht="14" outlineLevel="0" r="10025">
      <c r="A10025" s="3" t="inlineStr">
        <is>
          <t>9988</t>
        </is>
      </c>
      <c r="B10025" s="4" t="s">
        <f>=HYPERLINK("http://anyluxury.ru/shop/odezhda/ofisnye-rubashki/rubashka-zhenskaya-beverly-women-belaya-s-sinim-01651504/" , "01651504 Рубашка женская BEVERLY WOMEN, белая с синим, размер L")</f>
      </c>
      <c r="C10025" s="4" t="n">
        <v>2161.00</v>
      </c>
      <c r="D10025" s="4"/>
    </row>
    <row collapsed="" customFormat="false" customHeight="1" hidden="" ht="14" outlineLevel="0" r="10026">
      <c r="A10026" s="3" t="inlineStr">
        <is>
          <t>9989</t>
        </is>
      </c>
      <c r="B10026" s="4" t="s">
        <f>=HYPERLINK("http://anyluxury.ru/shop/odezhda/ofisnye-rubashki/rubashka-zhenskaya-beverly-women-belaya-s-sinim-01651504/" , "01651504 Рубашка женская BEVERLY WOMEN, белая с синим, размер XL")</f>
      </c>
      <c r="C10026" s="4" t="n">
        <v>2161.00</v>
      </c>
      <c r="D10026" s="4"/>
    </row>
    <row collapsed="" customFormat="false" customHeight="1" hidden="" ht="14" outlineLevel="0" r="10027">
      <c r="A10027" s="3" t="inlineStr">
        <is>
          <t>9990</t>
        </is>
      </c>
      <c r="B10027" s="4" t="s">
        <f>=HYPERLINK("http://anyluxury.ru/shop/odezhda/ofisnye-rubashki/rubashka-zhenskaya-beverly-women-belaya-s-sinim-01651504/" , "01651504 Рубашка женская BEVERLY WOMEN, белая с синим, размер XXL")</f>
      </c>
      <c r="C10027" s="4" t="n">
        <v>2161.00</v>
      </c>
      <c r="D10027" s="4"/>
    </row>
    <row collapsed="" customFormat="false" customHeight="1" hidden="" ht="14" outlineLevel="0" r="10028">
      <c r="A10028" s="3" t="inlineStr">
        <is>
          <t>9991</t>
        </is>
      </c>
      <c r="B10028" s="4" t="s">
        <f>=HYPERLINK("http://anyluxury.ru/shop/odezhda/ofisnye-rubashki/rubashka-muzhskaya-barry-men-sinyaya-denim-02100600/" , "02100600 Рубашка мужская BARRY MEN синяя (деним), размер S")</f>
      </c>
      <c r="C10028" s="4" t="n">
        <v>4014.00</v>
      </c>
      <c r="D10028" s="4"/>
    </row>
    <row collapsed="" customFormat="false" customHeight="1" hidden="" ht="14" outlineLevel="0" r="10029">
      <c r="A10029" s="3" t="inlineStr">
        <is>
          <t>9992</t>
        </is>
      </c>
      <c r="B10029" s="4" t="s">
        <f>=HYPERLINK("http://anyluxury.ru/shop/odezhda/ofisnye-rubashki/rubashka-muzhskaya-barry-men-sinyaya-denim-02100600/" , "02100600 Рубашка мужская BARRY MEN синяя (деним), размер M")</f>
      </c>
      <c r="C10029" s="4" t="n">
        <v>4014.00</v>
      </c>
      <c r="D10029" s="4"/>
    </row>
    <row collapsed="" customFormat="false" customHeight="1" hidden="" ht="14" outlineLevel="0" r="10030">
      <c r="A10030" s="3" t="inlineStr">
        <is>
          <t>9993</t>
        </is>
      </c>
      <c r="B10030" s="4" t="s">
        <f>=HYPERLINK("http://anyluxury.ru/shop/odezhda/ofisnye-rubashki/rubashka-muzhskaya-barry-men-sinyaya-denim-02100600/" , "02100600 Рубашка мужская BARRY MEN синяя (деним), размер XL")</f>
      </c>
      <c r="C10030" s="4" t="n">
        <v>4014.00</v>
      </c>
      <c r="D10030" s="4"/>
    </row>
    <row collapsed="" customFormat="false" customHeight="1" hidden="" ht="14" outlineLevel="0" r="10031">
      <c r="A10031" s="3" t="inlineStr">
        <is>
          <t>9994</t>
        </is>
      </c>
      <c r="B10031" s="4" t="s">
        <f>=HYPERLINK("http://anyluxury.ru/shop/odezhda/ofisnye-rubashki/rubashka-muzhskaya-barry-men-sinyaya-denim-02100600/" , "02100600 Рубашка мужская BARRY MEN синяя (деним), размер XXL")</f>
      </c>
      <c r="C10031" s="4" t="n">
        <v>4014.00</v>
      </c>
      <c r="D10031" s="4"/>
    </row>
    <row collapsed="" customFormat="false" customHeight="1" hidden="" ht="14" outlineLevel="0" r="10032">
      <c r="A10032" s="3" t="inlineStr">
        <is>
          <t>9995</t>
        </is>
      </c>
      <c r="B10032" s="4" t="s">
        <f>=HYPERLINK("http://anyluxury.ru/shop/odezhda/ofisnye-rubashki/rubashka-muzhskaya-barry-men-sinyaya-denim-02100600/" , "02100600 Рубашка мужская BARRY MEN синяя (деним), размер 3XL")</f>
      </c>
      <c r="C10032" s="4" t="n">
        <v>4014.00</v>
      </c>
      <c r="D10032" s="4"/>
    </row>
    <row collapsed="" customFormat="false" customHeight="1" hidden="" ht="14" outlineLevel="0" r="10033">
      <c r="A10033" s="3" t="inlineStr">
        <is>
          <t>9996</t>
        </is>
      </c>
      <c r="B10033" s="4" t="s">
        <f>=HYPERLINK("http://anyluxury.ru/shop/odezhda/ofisnye-rubashki/rubashka-zhenskaya-barry-women-sinyaya-denim-02101600/" , "02101600 Рубашка женская BARRY WOMEN синяя (деним), размер XS")</f>
      </c>
      <c r="C10033" s="4" t="n">
        <v>4134.00</v>
      </c>
      <c r="D10033" s="4"/>
    </row>
    <row collapsed="" customFormat="false" customHeight="1" hidden="" ht="14" outlineLevel="0" r="10034">
      <c r="A10034" s="3" t="inlineStr">
        <is>
          <t>9997</t>
        </is>
      </c>
      <c r="B10034" s="4" t="s">
        <f>=HYPERLINK("http://anyluxury.ru/shop/odezhda/ofisnye-rubashki/rubashka-zhenskaya-barry-women-sinyaya-denim-02101600/" , "02101600 Рубашка женская BARRY WOMEN синяя (деним), размер S")</f>
      </c>
      <c r="C10034" s="4" t="n">
        <v>4134.00</v>
      </c>
      <c r="D10034" s="4"/>
    </row>
    <row collapsed="" customFormat="false" customHeight="1" hidden="" ht="14" outlineLevel="0" r="10035">
      <c r="A10035" s="3" t="inlineStr">
        <is>
          <t>9998</t>
        </is>
      </c>
      <c r="B10035" s="4" t="s">
        <f>=HYPERLINK("http://anyluxury.ru/shop/odezhda/ofisnye-rubashki/rubashka-zhenskaya-barry-women-sinyaya-denim-02101600/" , "02101600 Рубашка женская BARRY WOMEN синяя (деним), размер M")</f>
      </c>
      <c r="C10035" s="4" t="n">
        <v>4134.00</v>
      </c>
      <c r="D10035" s="4"/>
    </row>
    <row collapsed="" customFormat="false" customHeight="1" hidden="" ht="14" outlineLevel="0" r="10036">
      <c r="A10036" s="3" t="inlineStr">
        <is>
          <t>9999</t>
        </is>
      </c>
      <c r="B10036" s="4" t="s">
        <f>=HYPERLINK("http://anyluxury.ru/shop/odezhda/ofisnye-rubashki/rubashka-zhenskaya-barry-women-sinyaya-denim-02101600/" , "02101600 Рубашка женская BARRY WOMEN синяя (деним), размер L")</f>
      </c>
      <c r="C10036" s="4" t="n">
        <v>4134.00</v>
      </c>
      <c r="D10036" s="4"/>
    </row>
    <row collapsed="" customFormat="false" customHeight="1" hidden="" ht="14" outlineLevel="0" r="10037">
      <c r="A10037" s="3" t="inlineStr">
        <is>
          <t>10000</t>
        </is>
      </c>
      <c r="B10037" s="4" t="s">
        <f>=HYPERLINK("http://anyluxury.ru/shop/odezhda/ofisnye-rubashki/rubashka-zhenskaya-barry-women-sinyaya-denim-02101600/" , "02101600 Рубашка женская BARRY WOMEN синяя (деним), размер XL")</f>
      </c>
      <c r="C10037" s="4" t="n">
        <v>4134.00</v>
      </c>
      <c r="D10037" s="4"/>
    </row>
    <row collapsed="" customFormat="false" customHeight="1" hidden="" ht="14" outlineLevel="0" r="10038">
      <c r="A10038" s="3" t="inlineStr">
        <is>
          <t>10001</t>
        </is>
      </c>
      <c r="B10038" s="4" t="s">
        <f>=HYPERLINK("http://anyluxury.ru/shop/odezhda/ofisnye-rubashki/rubashka-zhenskaya-barry-women-sinyaya-denim-02101600/" , "02101600 Рубашка женская BARRY WOMEN синяя (деним), размер XXL")</f>
      </c>
      <c r="C10038" s="4" t="n">
        <v>4134.00</v>
      </c>
      <c r="D10038" s="4"/>
    </row>
    <row collapsed="" customFormat="false" customHeight="1" hidden="" ht="14" outlineLevel="0" r="10039">
      <c r="A10039" s="3" t="inlineStr">
        <is>
          <t>10002</t>
        </is>
      </c>
      <c r="B10039" s="4" t="s">
        <f>=HYPERLINK("http://anyluxury.ru/shop/odezhda/ofisnye-rubashki/rubashka-muzhskaya-burma-men-temnosinyaya-02763228/" , "02763228 Рубашка мужская BURMA MEN темно-синяя, размер S")</f>
      </c>
      <c r="C10039" s="4" t="n">
        <v>3532.00</v>
      </c>
      <c r="D10039" s="4"/>
    </row>
    <row collapsed="" customFormat="false" customHeight="1" hidden="" ht="14" outlineLevel="0" r="10040">
      <c r="A10040" s="3" t="inlineStr">
        <is>
          <t>10003</t>
        </is>
      </c>
      <c r="B10040" s="4" t="s">
        <f>=HYPERLINK("http://anyluxury.ru/shop/odezhda/ofisnye-rubashki/rubashka-muzhskaya-burma-men-temnosinyaya-02763228/" , "02763228 Рубашка мужская BURMA MEN темно-синяя, размер XXL")</f>
      </c>
      <c r="C10040" s="4" t="n">
        <v>3532.00</v>
      </c>
      <c r="D10040" s="4"/>
    </row>
    <row collapsed="" customFormat="false" customHeight="1" hidden="" ht="14" outlineLevel="0" r="10041">
      <c r="A10041" s="3" t="inlineStr">
        <is>
          <t>10004</t>
        </is>
      </c>
      <c r="B10041" s="4" t="s">
        <f>=HYPERLINK("http://anyluxury.ru/shop/odezhda/ofisnye-rubashki/rubashka-muzhskaya-burma-men-temnosinyaya-02763228/" , "02763228 Рубашка мужская BURMA MEN темно-синяя, размер 3XL")</f>
      </c>
      <c r="C10041" s="4" t="n">
        <v>3532.00</v>
      </c>
      <c r="D10041" s="4"/>
    </row>
    <row collapsed="" customFormat="false" customHeight="1" hidden="" ht="14" outlineLevel="0" r="10042">
      <c r="A10042" s="3" t="inlineStr">
        <is>
          <t>10005</t>
        </is>
      </c>
      <c r="B10042" s="4" t="s">
        <f>=HYPERLINK("http://anyluxury.ru/shop/odezhda/ofisnye-rubashki/rubashka-muzhskaya-burma-men-belaya-02763102/" , "02763102 Рубашка мужская BURMA MEN белая, размер S")</f>
      </c>
      <c r="C10042" s="4" t="n">
        <v>3532.00</v>
      </c>
      <c r="D10042" s="4"/>
    </row>
    <row collapsed="" customFormat="false" customHeight="1" hidden="" ht="14" outlineLevel="0" r="10043">
      <c r="A10043" s="3" t="inlineStr">
        <is>
          <t>10006</t>
        </is>
      </c>
      <c r="B10043" s="4" t="s">
        <f>=HYPERLINK("http://anyluxury.ru/shop/odezhda/ofisnye-rubashki/rubashka-muzhskaya-burma-men-belaya-02763102/" , "02763102 Рубашка мужская BURMA MEN белая, размер XXL")</f>
      </c>
      <c r="C10043" s="4" t="n">
        <v>3532.00</v>
      </c>
      <c r="D10043" s="4"/>
    </row>
    <row collapsed="" customFormat="false" customHeight="1" hidden="" ht="14" outlineLevel="0" r="10044">
      <c r="A10044" s="3" t="inlineStr">
        <is>
          <t>10007</t>
        </is>
      </c>
      <c r="B10044" s="4" t="s">
        <f>=HYPERLINK("http://anyluxury.ru/shop/odezhda/ofisnye-rubashki/rubashka-muzhskaya-burma-men-belaya-02763102/" , "02763102 Рубашка мужская BURMA MEN белая, размер 3XL")</f>
      </c>
      <c r="C10044" s="4" t="n">
        <v>3532.00</v>
      </c>
      <c r="D10044" s="4"/>
    </row>
    <row collapsed="" customFormat="false" customHeight="1" hidden="" ht="14" outlineLevel="0" r="10045">
      <c r="A10045" s="3" t="inlineStr">
        <is>
          <t>10008</t>
        </is>
      </c>
      <c r="B10045" s="4" t="s">
        <f>=HYPERLINK("http://anyluxury.ru/shop/odezhda/ofisnye-rubashki/rubashka-zhenskaya-burma-women-temnosinyaya-02764228/" , "02764228 Рубашка женская BURMA WOMEN темно-синяя, размер XS")</f>
      </c>
      <c r="C10045" s="4" t="n">
        <v>2574.00</v>
      </c>
      <c r="D10045" s="4"/>
    </row>
    <row collapsed="" customFormat="false" customHeight="1" hidden="" ht="14" outlineLevel="0" r="10046">
      <c r="A10046" s="3" t="inlineStr">
        <is>
          <t>10009</t>
        </is>
      </c>
      <c r="B10046" s="4" t="s">
        <f>=HYPERLINK("http://anyluxury.ru/shop/odezhda/ofisnye-rubashki/rubashka-zhenskaya-burma-women-temnosinyaya-02764228/" , "02764228 Рубашка женская BURMA WOMEN темно-синяя, размер S")</f>
      </c>
      <c r="C10046" s="4" t="n">
        <v>2574.00</v>
      </c>
      <c r="D10046" s="4"/>
    </row>
    <row collapsed="" customFormat="false" customHeight="1" hidden="" ht="14" outlineLevel="0" r="10047">
      <c r="A10047" s="3" t="inlineStr">
        <is>
          <t>10010</t>
        </is>
      </c>
      <c r="B10047" s="4" t="s">
        <f>=HYPERLINK("http://anyluxury.ru/shop/odezhda/ofisnye-rubashki/rubashka-zhenskaya-burma-women-temnosinyaya-02764228/" , "02764228 Рубашка женская BURMA WOMEN темно-синяя, размер M")</f>
      </c>
      <c r="C10047" s="4" t="n">
        <v>2574.00</v>
      </c>
      <c r="D10047" s="4"/>
    </row>
    <row collapsed="" customFormat="false" customHeight="1" hidden="" ht="14" outlineLevel="0" r="10048">
      <c r="A10048" s="3" t="inlineStr">
        <is>
          <t>10011</t>
        </is>
      </c>
      <c r="B10048" s="4" t="s">
        <f>=HYPERLINK("http://anyluxury.ru/shop/odezhda/ofisnye-rubashki/rubashka-zhenskaya-burma-women-temnosinyaya-02764228/" , "02764228 Рубашка женская BURMA WOMEN темно-синяя, размер L")</f>
      </c>
      <c r="C10048" s="4" t="n">
        <v>2574.00</v>
      </c>
      <c r="D10048" s="4"/>
    </row>
    <row collapsed="" customFormat="false" customHeight="1" hidden="" ht="14" outlineLevel="0" r="10049">
      <c r="A10049" s="3" t="inlineStr">
        <is>
          <t>10012</t>
        </is>
      </c>
      <c r="B10049" s="4" t="s">
        <f>=HYPERLINK("http://anyluxury.ru/shop/odezhda/ofisnye-rubashki/rubashka-zhenskaya-burma-women-belaya-02764102/" , "02764102 Рубашка женская BURMA WOMEN белая, размер XS")</f>
      </c>
      <c r="C10049" s="4" t="n">
        <v>2574.00</v>
      </c>
      <c r="D10049" s="4"/>
    </row>
    <row collapsed="" customFormat="false" customHeight="1" hidden="" ht="14" outlineLevel="0" r="10050">
      <c r="A10050" s="3" t="inlineStr">
        <is>
          <t>10013</t>
        </is>
      </c>
      <c r="B10050" s="4" t="s">
        <f>=HYPERLINK("http://anyluxury.ru/shop/odezhda/ofisnye-rubashki/rubashka-zhenskaya-burma-women-belaya-02764102/" , "02764102 Рубашка женская BURMA WOMEN белая, размер L")</f>
      </c>
      <c r="C10050" s="4" t="n">
        <v>2574.00</v>
      </c>
      <c r="D10050" s="4"/>
    </row>
    <row collapsed="" customFormat="false" customHeight="1" hidden="" ht="14" outlineLevel="0" r="10051">
      <c r="A10051" s="3" t="inlineStr">
        <is>
          <t>10014</t>
        </is>
      </c>
      <c r="B10051" s="4" t="s">
        <f>=HYPERLINK("http://anyluxury.ru/shop/odezhda/ofisnye-rubashki/rubashka-zhenskaya-burma-women-belaya-02764102/" , "02764102 Рубашка женская BURMA WOMEN белая, размер XXL")</f>
      </c>
      <c r="C10051" s="4" t="n">
        <v>2574.00</v>
      </c>
      <c r="D10051" s="4"/>
    </row>
    <row collapsed="" customFormat="false" customHeight="1" hidden="" ht="14" outlineLevel="0" r="10052">
      <c r="A10052" s="3" t="inlineStr">
        <is>
          <t>10015</t>
        </is>
      </c>
      <c r="B10052" s="4" t="s">
        <f>=HYPERLINK("http://anyluxury.ru/shop/odezhda/ofisnye-rubashki/rubashka-muzhskaya-brody-men-golubaya-02102220/" , "02102220 Рубашка мужская BRODY MEN голубая, размер S")</f>
      </c>
      <c r="C10052" s="4" t="n">
        <v>3802.00</v>
      </c>
      <c r="D10052" s="4"/>
    </row>
    <row collapsed="" customFormat="false" customHeight="1" hidden="" ht="14" outlineLevel="0" r="10053">
      <c r="A10053" s="3" t="inlineStr">
        <is>
          <t>10016</t>
        </is>
      </c>
      <c r="B10053" s="4" t="s">
        <f>=HYPERLINK("http://anyluxury.ru/shop/odezhda/ofisnye-rubashki/rubashka-muzhskaya-brody-men-golubaya-02102220/" , "02102220 Рубашка мужская BRODY MEN голубая, размер M")</f>
      </c>
      <c r="C10053" s="4" t="n">
        <v>3802.00</v>
      </c>
      <c r="D10053" s="4"/>
    </row>
    <row collapsed="" customFormat="false" customHeight="1" hidden="" ht="14" outlineLevel="0" r="10054">
      <c r="A10054" s="3" t="inlineStr">
        <is>
          <t>10017</t>
        </is>
      </c>
      <c r="B10054" s="4" t="s">
        <f>=HYPERLINK("http://anyluxury.ru/shop/odezhda/ofisnye-rubashki/rubashka-muzhskaya-brody-men-golubaya-02102220/" , "02102220 Рубашка мужская BRODY MEN голубая, размер L")</f>
      </c>
      <c r="C10054" s="4" t="n">
        <v>3802.00</v>
      </c>
      <c r="D10054" s="4"/>
    </row>
    <row collapsed="" customFormat="false" customHeight="1" hidden="" ht="14" outlineLevel="0" r="10055">
      <c r="A10055" s="3" t="inlineStr">
        <is>
          <t>10018</t>
        </is>
      </c>
      <c r="B10055" s="4" t="s">
        <f>=HYPERLINK("http://anyluxury.ru/shop/odezhda/ofisnye-rubashki/rubashka-muzhskaya-brody-men-golubaya-02102220/" , "02102220 Рубашка мужская BRODY MEN голубая, размер XL")</f>
      </c>
      <c r="C10055" s="4" t="n">
        <v>3802.00</v>
      </c>
      <c r="D10055" s="4"/>
    </row>
    <row collapsed="" customFormat="false" customHeight="1" hidden="" ht="14" outlineLevel="0" r="10056">
      <c r="A10056" s="3" t="inlineStr">
        <is>
          <t>10019</t>
        </is>
      </c>
      <c r="B10056" s="4" t="s">
        <f>=HYPERLINK("http://anyluxury.ru/shop/odezhda/ofisnye-rubashki/rubashka-muzhskaya-brody-men-golubaya-02102220/" , "02102220 Рубашка мужская BRODY MEN голубая, размер XXL")</f>
      </c>
      <c r="C10056" s="4" t="n">
        <v>3802.00</v>
      </c>
      <c r="D10056" s="4"/>
    </row>
    <row collapsed="" customFormat="false" customHeight="1" hidden="" ht="14" outlineLevel="0" r="10057">
      <c r="A10057" s="3" t="inlineStr">
        <is>
          <t>10020</t>
        </is>
      </c>
      <c r="B10057" s="4" t="s">
        <f>=HYPERLINK("http://anyluxury.ru/shop/odezhda/ofisnye-rubashki/rubashka-muzhskaya-brody-men-golubaya-02102220/" , "02102220 Рубашка мужская BRODY MEN голубая, размер 3XL")</f>
      </c>
      <c r="C10057" s="4" t="n">
        <v>3802.00</v>
      </c>
      <c r="D10057" s="4"/>
    </row>
    <row collapsed="" customFormat="false" customHeight="1" hidden="" ht="14" outlineLevel="0" r="10058">
      <c r="A10058" s="3" t="inlineStr">
        <is>
          <t>10021</t>
        </is>
      </c>
      <c r="B10058" s="4" t="s">
        <f>=HYPERLINK("http://anyluxury.ru/shop/odezhda/ofisnye-rubashki/rubashka-muzhskaya-brody-men-golubaya-02102220/" , "02102220 Рубашка мужская BRODY MEN голубая, размер 4XL")</f>
      </c>
      <c r="C10058" s="4" t="n">
        <v>3802.00</v>
      </c>
      <c r="D10058" s="4"/>
    </row>
    <row collapsed="" customFormat="false" customHeight="1" hidden="" ht="14" outlineLevel="0" r="10059">
      <c r="A10059" s="3" t="inlineStr">
        <is>
          <t>10022</t>
        </is>
      </c>
      <c r="B10059" s="4" t="s">
        <f>=HYPERLINK("http://anyluxury.ru/shop/odezhda/ofisnye-rubashki/rubashka-muzhskaya-brody-men-belaya-02102102/" , "02102102 Рубашка мужская BRODY MEN белая, размер S")</f>
      </c>
      <c r="C10059" s="4" t="n">
        <v>3802.00</v>
      </c>
      <c r="D10059" s="4"/>
    </row>
    <row collapsed="" customFormat="false" customHeight="1" hidden="" ht="14" outlineLevel="0" r="10060">
      <c r="A10060" s="3" t="inlineStr">
        <is>
          <t>10023</t>
        </is>
      </c>
      <c r="B10060" s="4" t="s">
        <f>=HYPERLINK("http://anyluxury.ru/shop/odezhda/ofisnye-rubashki/rubashka-muzhskaya-brody-men-belaya-02102102/" , "02102102 Рубашка мужская BRODY MEN белая, размер M")</f>
      </c>
      <c r="C10060" s="4" t="n">
        <v>3802.00</v>
      </c>
      <c r="D10060" s="4"/>
    </row>
    <row collapsed="" customFormat="false" customHeight="1" hidden="" ht="14" outlineLevel="0" r="10061">
      <c r="A10061" s="3" t="inlineStr">
        <is>
          <t>10024</t>
        </is>
      </c>
      <c r="B10061" s="4" t="s">
        <f>=HYPERLINK("http://anyluxury.ru/shop/odezhda/ofisnye-rubashki/rubashka-muzhskaya-brody-men-belaya-02102102/" , "02102102 Рубашка мужская BRODY MEN белая, размер L")</f>
      </c>
      <c r="C10061" s="4" t="n">
        <v>3802.00</v>
      </c>
      <c r="D10061" s="4"/>
    </row>
    <row collapsed="" customFormat="false" customHeight="1" hidden="" ht="14" outlineLevel="0" r="10062">
      <c r="A10062" s="3" t="inlineStr">
        <is>
          <t>10025</t>
        </is>
      </c>
      <c r="B10062" s="4" t="s">
        <f>=HYPERLINK("http://anyluxury.ru/shop/odezhda/ofisnye-rubashki/rubashka-muzhskaya-brody-men-belaya-02102102/" , "02102102 Рубашка мужская BRODY MEN белая, размер XL")</f>
      </c>
      <c r="C10062" s="4" t="n">
        <v>3802.00</v>
      </c>
      <c r="D10062" s="4"/>
    </row>
    <row collapsed="" customFormat="false" customHeight="1" hidden="" ht="14" outlineLevel="0" r="10063">
      <c r="A10063" s="3" t="inlineStr">
        <is>
          <t>10026</t>
        </is>
      </c>
      <c r="B10063" s="4" t="s">
        <f>=HYPERLINK("http://anyluxury.ru/shop/odezhda/ofisnye-rubashki/rubashka-muzhskaya-brody-men-belaya-02102102/" , "02102102 Рубашка мужская BRODY MEN белая, размер XXL")</f>
      </c>
      <c r="C10063" s="4" t="n">
        <v>3802.00</v>
      </c>
      <c r="D10063" s="4"/>
    </row>
    <row collapsed="" customFormat="false" customHeight="1" hidden="" ht="14" outlineLevel="0" r="10064">
      <c r="A10064" s="3" t="inlineStr">
        <is>
          <t>10027</t>
        </is>
      </c>
      <c r="B10064" s="4" t="s">
        <f>=HYPERLINK("http://anyluxury.ru/shop/odezhda/ofisnye-rubashki/rubashka-muzhskaya-brody-men-belaya-02102102/" , "02102102 Рубашка мужская BRODY MEN белая, размер 3XL")</f>
      </c>
      <c r="C10064" s="4" t="n">
        <v>3802.00</v>
      </c>
      <c r="D10064" s="4"/>
    </row>
    <row collapsed="" customFormat="false" customHeight="1" hidden="" ht="14" outlineLevel="0" r="10065">
      <c r="A10065" s="3" t="inlineStr">
        <is>
          <t>10028</t>
        </is>
      </c>
      <c r="B10065" s="4" t="s">
        <f>=HYPERLINK("http://anyluxury.ru/shop/odezhda/ofisnye-rubashki/rubashka-muzhskaya-brody-men-belaya-02102102/" , "02102102 Рубашка мужская BRODY MEN белая, размер 4XL")</f>
      </c>
      <c r="C10065" s="4" t="n">
        <v>3802.00</v>
      </c>
      <c r="D10065" s="4"/>
    </row>
    <row collapsed="" customFormat="false" customHeight="1" hidden="" ht="14" outlineLevel="0" r="10066">
      <c r="A10066" s="3" t="inlineStr">
        <is>
          <t>10029</t>
        </is>
      </c>
      <c r="B10066" s="4" t="s">
        <f>=HYPERLINK("http://anyluxury.ru/shop/odezhda/ofisnye-rubashki/rubashka-zhenskaya-brody-women-golubaya-02103220/" , "02103220 Рубашка женская BRODY WOMEN голубая, размер XS")</f>
      </c>
      <c r="C10066" s="4" t="n">
        <v>3923.00</v>
      </c>
      <c r="D10066" s="4"/>
    </row>
    <row collapsed="" customFormat="false" customHeight="1" hidden="" ht="14" outlineLevel="0" r="10067">
      <c r="A10067" s="3" t="inlineStr">
        <is>
          <t>10030</t>
        </is>
      </c>
      <c r="B10067" s="4" t="s">
        <f>=HYPERLINK("http://anyluxury.ru/shop/odezhda/ofisnye-rubashki/rubashka-zhenskaya-brody-women-golubaya-02103220/" , "02103220 Рубашка женская BRODY WOMEN голубая, размер S")</f>
      </c>
      <c r="C10067" s="4" t="n">
        <v>3923.00</v>
      </c>
      <c r="D10067" s="4"/>
    </row>
    <row collapsed="" customFormat="false" customHeight="1" hidden="" ht="14" outlineLevel="0" r="10068">
      <c r="A10068" s="3" t="inlineStr">
        <is>
          <t>10031</t>
        </is>
      </c>
      <c r="B10068" s="4" t="s">
        <f>=HYPERLINK("http://anyluxury.ru/shop/odezhda/ofisnye-rubashki/rubashka-zhenskaya-brody-women-golubaya-02103220/" , "02103220 Рубашка женская BRODY WOMEN голубая, размер M")</f>
      </c>
      <c r="C10068" s="4" t="n">
        <v>3923.00</v>
      </c>
      <c r="D10068" s="4"/>
    </row>
    <row collapsed="" customFormat="false" customHeight="1" hidden="" ht="14" outlineLevel="0" r="10069">
      <c r="A10069" s="3" t="inlineStr">
        <is>
          <t>10032</t>
        </is>
      </c>
      <c r="B10069" s="4" t="s">
        <f>=HYPERLINK("http://anyluxury.ru/shop/odezhda/ofisnye-rubashki/rubashka-zhenskaya-brody-women-golubaya-02103220/" , "02103220 Рубашка женская BRODY WOMEN голубая, размер L")</f>
      </c>
      <c r="C10069" s="4" t="n">
        <v>3923.00</v>
      </c>
      <c r="D10069" s="4"/>
    </row>
    <row collapsed="" customFormat="false" customHeight="1" hidden="" ht="14" outlineLevel="0" r="10070">
      <c r="A10070" s="3" t="inlineStr">
        <is>
          <t>10033</t>
        </is>
      </c>
      <c r="B10070" s="4" t="s">
        <f>=HYPERLINK("http://anyluxury.ru/shop/odezhda/ofisnye-rubashki/rubashka-zhenskaya-brody-women-golubaya-02103220/" , "02103220 Рубашка женская BRODY WOMEN голубая, размер XL")</f>
      </c>
      <c r="C10070" s="4" t="n">
        <v>3923.00</v>
      </c>
      <c r="D10070" s="4"/>
    </row>
    <row collapsed="" customFormat="false" customHeight="1" hidden="" ht="14" outlineLevel="0" r="10071">
      <c r="A10071" s="3" t="inlineStr">
        <is>
          <t>10034</t>
        </is>
      </c>
      <c r="B10071" s="4" t="s">
        <f>=HYPERLINK("http://anyluxury.ru/shop/odezhda/ofisnye-rubashki/rubashka-zhenskaya-brody-women-golubaya-02103220/" , "02103220 Рубашка женская BRODY WOMEN голубая, размер XXL")</f>
      </c>
      <c r="C10071" s="4" t="n">
        <v>3923.00</v>
      </c>
      <c r="D10071" s="4"/>
    </row>
    <row collapsed="" customFormat="false" customHeight="1" hidden="" ht="14" outlineLevel="0" r="10072">
      <c r="A10072" s="3" t="inlineStr">
        <is>
          <t>10035</t>
        </is>
      </c>
      <c r="B10072" s="4" t="s">
        <f>=HYPERLINK("http://anyluxury.ru/shop/odezhda/ofisnye-rubashki/rubashka-zhenskaya-brody-women-belaya-02103102/" , "02103102 Рубашка женская BRODY WOMEN белая, размер XS")</f>
      </c>
      <c r="C10072" s="4" t="n">
        <v>3923.00</v>
      </c>
      <c r="D10072" s="4"/>
    </row>
    <row collapsed="" customFormat="false" customHeight="1" hidden="" ht="14" outlineLevel="0" r="10073">
      <c r="A10073" s="3" t="inlineStr">
        <is>
          <t>10036</t>
        </is>
      </c>
      <c r="B10073" s="4" t="s">
        <f>=HYPERLINK("http://anyluxury.ru/shop/odezhda/ofisnye-rubashki/rubashka-zhenskaya-brody-women-belaya-02103102/" , "02103102 Рубашка женская BRODY WOMEN белая, размер S")</f>
      </c>
      <c r="C10073" s="4" t="n">
        <v>3923.00</v>
      </c>
      <c r="D10073" s="4"/>
    </row>
    <row collapsed="" customFormat="false" customHeight="1" hidden="" ht="14" outlineLevel="0" r="10074">
      <c r="A10074" s="3" t="inlineStr">
        <is>
          <t>10037</t>
        </is>
      </c>
      <c r="B10074" s="4" t="s">
        <f>=HYPERLINK("http://anyluxury.ru/shop/odezhda/ofisnye-rubashki/rubashka-zhenskaya-brody-women-belaya-02103102/" , "02103102 Рубашка женская BRODY WOMEN белая, размер M")</f>
      </c>
      <c r="C10074" s="4" t="n">
        <v>3923.00</v>
      </c>
      <c r="D10074" s="4"/>
    </row>
    <row collapsed="" customFormat="false" customHeight="1" hidden="" ht="14" outlineLevel="0" r="10075">
      <c r="A10075" s="3" t="inlineStr">
        <is>
          <t>10038</t>
        </is>
      </c>
      <c r="B10075" s="4" t="s">
        <f>=HYPERLINK("http://anyluxury.ru/shop/odezhda/ofisnye-rubashki/rubashka-zhenskaya-brody-women-belaya-02103102/" , "02103102 Рубашка женская BRODY WOMEN белая, размер L")</f>
      </c>
      <c r="C10075" s="4" t="n">
        <v>3923.00</v>
      </c>
      <c r="D10075" s="4"/>
    </row>
    <row collapsed="" customFormat="false" customHeight="1" hidden="" ht="14" outlineLevel="0" r="10076">
      <c r="A10076" s="3" t="inlineStr">
        <is>
          <t>10039</t>
        </is>
      </c>
      <c r="B10076" s="4" t="s">
        <f>=HYPERLINK("http://anyluxury.ru/shop/odezhda/ofisnye-rubashki/rubashka-zhenskaya-brody-women-belaya-02103102/" , "02103102 Рубашка женская BRODY WOMEN белая, размер XL")</f>
      </c>
      <c r="C10076" s="4" t="n">
        <v>3923.00</v>
      </c>
      <c r="D10076" s="4"/>
    </row>
    <row collapsed="" customFormat="false" customHeight="1" hidden="" ht="14" outlineLevel="0" r="10077">
      <c r="A10077" s="3" t="inlineStr">
        <is>
          <t>10040</t>
        </is>
      </c>
      <c r="B10077" s="4" t="s">
        <f>=HYPERLINK("http://anyluxury.ru/shop/odezhda/ofisnye-rubashki/rubashka-zhenskaya-brody-women-belaya-02103102/" , "02103102 Рубашка женская BRODY WOMEN белая, размер XXL")</f>
      </c>
      <c r="C10077" s="4" t="n">
        <v>3923.00</v>
      </c>
      <c r="D10077" s="4"/>
    </row>
    <row collapsed="" customFormat="false" customHeight="1" hidden="" ht="14" outlineLevel="0" r="10078">
      <c r="A10078" s="3" t="inlineStr">
        <is>
          <t>10041</t>
        </is>
      </c>
      <c r="B10078" s="4" t="s">
        <f>=HYPERLINK("http://anyluxury.ru/shop/odezhda/ofisnye-rubashki/rubashka-muzhskaya-burma-men-bezhevaya-02763111/" , "02763111 Рубашка мужская BURMA MEN бежевая, размер S")</f>
      </c>
      <c r="C10078" s="4" t="n">
        <v>3532.00</v>
      </c>
      <c r="D10078" s="4"/>
    </row>
    <row collapsed="" customFormat="false" customHeight="1" hidden="" ht="14" outlineLevel="0" r="10079">
      <c r="A10079" s="3" t="inlineStr">
        <is>
          <t>10042</t>
        </is>
      </c>
      <c r="B10079" s="4" t="s">
        <f>=HYPERLINK("http://anyluxury.ru/shop/odezhda/ofisnye-rubashki/rubashka-muzhskaya-burma-men-bezhevaya-02763111/" , "02763111 Рубашка мужская BURMA MEN бежевая, размер M")</f>
      </c>
      <c r="C10079" s="4" t="n">
        <v>3532.00</v>
      </c>
      <c r="D10079" s="4"/>
    </row>
    <row collapsed="" customFormat="false" customHeight="1" hidden="" ht="14" outlineLevel="0" r="10080">
      <c r="A10080" s="3" t="inlineStr">
        <is>
          <t>10043</t>
        </is>
      </c>
      <c r="B10080" s="4" t="s">
        <f>=HYPERLINK("http://anyluxury.ru/shop/odezhda/ofisnye-rubashki/rubashka-muzhskaya-burma-men-bezhevaya-02763111/" , "02763111 Рубашка мужская BURMA MEN бежевая, размер L")</f>
      </c>
      <c r="C10080" s="4" t="n">
        <v>3532.00</v>
      </c>
      <c r="D10080" s="4"/>
    </row>
    <row collapsed="" customFormat="false" customHeight="1" hidden="" ht="14" outlineLevel="0" r="10081">
      <c r="A10081" s="3" t="inlineStr">
        <is>
          <t>10044</t>
        </is>
      </c>
      <c r="B10081" s="4" t="s">
        <f>=HYPERLINK("http://anyluxury.ru/shop/odezhda/ofisnye-rubashki/rubashka-muzhskaya-burma-men-bezhevaya-02763111/" , "02763111 Рубашка мужская BURMA MEN бежевая, размер XL")</f>
      </c>
      <c r="C10081" s="4" t="n">
        <v>3532.00</v>
      </c>
      <c r="D10081" s="4"/>
    </row>
    <row collapsed="" customFormat="false" customHeight="1" hidden="" ht="14" outlineLevel="0" r="10082">
      <c r="A10082" s="3" t="inlineStr">
        <is>
          <t>10045</t>
        </is>
      </c>
      <c r="B10082" s="4" t="s">
        <f>=HYPERLINK("http://anyluxury.ru/shop/odezhda/ofisnye-rubashki/rubashka-muzhskaya-burma-men-bezhevaya-02763111/" , "02763111 Рубашка мужская BURMA MEN бежевая, размер XXL")</f>
      </c>
      <c r="C10082" s="4" t="n">
        <v>3532.00</v>
      </c>
      <c r="D10082" s="4"/>
    </row>
    <row collapsed="" customFormat="false" customHeight="1" hidden="" ht="14" outlineLevel="0" r="10083">
      <c r="A10083" s="3" t="inlineStr">
        <is>
          <t>10046</t>
        </is>
      </c>
      <c r="B10083" s="4" t="s">
        <f>=HYPERLINK("http://anyluxury.ru/shop/odezhda/ofisnye-rubashki/rubashka-muzhskaya-burma-men-bezhevaya-02763111/" , "02763111 Рубашка мужская BURMA MEN бежевая, размер 3XL")</f>
      </c>
      <c r="C10083" s="4" t="n">
        <v>3532.00</v>
      </c>
      <c r="D10083" s="4"/>
    </row>
    <row collapsed="" customFormat="false" customHeight="1" hidden="" ht="14" outlineLevel="0" r="10084">
      <c r="A10084" s="3" t="inlineStr">
        <is>
          <t>10047</t>
        </is>
      </c>
      <c r="B10084" s="4" t="s">
        <f>=HYPERLINK("http://anyluxury.ru/shop/odezhda/ofisnye-rubashki/rubashka-zhenskaya-s-dlinnim-rukavom-collar-belaya-1521160/" , "15211.60 Рубашка женская с длинным рукавом Collar, белая , размер 42; 158-164")</f>
      </c>
      <c r="C10084" s="4" t="n">
        <v>1990.00</v>
      </c>
      <c r="D10084" s="4"/>
    </row>
    <row collapsed="" customFormat="false" customHeight="1" hidden="" ht="14" outlineLevel="0" r="10085">
      <c r="A10085" s="3" t="inlineStr">
        <is>
          <t>10048</t>
        </is>
      </c>
      <c r="B10085" s="4" t="s">
        <f>=HYPERLINK("http://anyluxury.ru/shop/odezhda/ofisnye-rubashki/rubashka-zhenskaya-s-dlinnim-rukavom-collar-belaya-1521160/" , "15211.60 Рубашка женская с длинным рукавом Collar, белая, размер 42; 170-176")</f>
      </c>
      <c r="C10085" s="4" t="n">
        <v>1990.00</v>
      </c>
      <c r="D10085" s="4"/>
    </row>
    <row collapsed="" customFormat="false" customHeight="1" hidden="" ht="14" outlineLevel="0" r="10086">
      <c r="A10086" s="3" t="inlineStr">
        <is>
          <t>10049</t>
        </is>
      </c>
      <c r="B10086" s="4" t="s">
        <f>=HYPERLINK("http://anyluxury.ru/shop/odezhda/ofisnye-rubashki/rubashka-zhenskaya-s-dlinnim-rukavom-collar-belaya-1521160/" , "15211.60 Рубашка женская с длинным рукавом Collar, белая, размер 44; 158-164")</f>
      </c>
      <c r="C10086" s="4" t="n">
        <v>1990.00</v>
      </c>
      <c r="D10086" s="4"/>
    </row>
    <row collapsed="" customFormat="false" customHeight="1" hidden="" ht="14" outlineLevel="0" r="10087">
      <c r="A10087" s="3" t="inlineStr">
        <is>
          <t>10050</t>
        </is>
      </c>
      <c r="B10087" s="4" t="s">
        <f>=HYPERLINK("http://anyluxury.ru/shop/odezhda/ofisnye-rubashki/rubashka-zhenskaya-s-dlinnim-rukavom-collar-belaya-1521160/" , "15211.60 Рубашка женская с длинным рукавом Collar, белая, размер 44; 170-176")</f>
      </c>
      <c r="C10087" s="4" t="n">
        <v>1990.00</v>
      </c>
      <c r="D10087" s="4"/>
    </row>
    <row collapsed="" customFormat="false" customHeight="1" hidden="" ht="14" outlineLevel="0" r="10088">
      <c r="A10088" s="3" t="inlineStr">
        <is>
          <t>10051</t>
        </is>
      </c>
      <c r="B10088" s="4" t="s">
        <f>=HYPERLINK("http://anyluxury.ru/shop/odezhda/ofisnye-rubashki/rubashka-zhenskaya-s-dlinnim-rukavom-collar-belaya-1521160/" , "15211.60 Рубашка женская с длинным рукавом Collar, белая, размер 46; 158-164")</f>
      </c>
      <c r="C10088" s="4" t="n">
        <v>1990.00</v>
      </c>
      <c r="D10088" s="4"/>
    </row>
    <row collapsed="" customFormat="false" customHeight="1" hidden="" ht="14" outlineLevel="0" r="10089">
      <c r="A10089" s="3" t="inlineStr">
        <is>
          <t>10052</t>
        </is>
      </c>
      <c r="B10089" s="4" t="s">
        <f>=HYPERLINK("http://anyluxury.ru/shop/odezhda/ofisnye-rubashki/rubashka-zhenskaya-s-dlinnim-rukavom-collar-belaya-1521160/" , "15211.60 Рубашка женская с длинным рукавом Collar, белая, размер 46; 170-176")</f>
      </c>
      <c r="C10089" s="4" t="n">
        <v>1990.00</v>
      </c>
      <c r="D10089" s="4"/>
    </row>
    <row collapsed="" customFormat="false" customHeight="1" hidden="" ht="14" outlineLevel="0" r="10090">
      <c r="A10090" s="3" t="inlineStr">
        <is>
          <t>10053</t>
        </is>
      </c>
      <c r="B10090" s="4" t="s">
        <f>=HYPERLINK("http://anyluxury.ru/shop/odezhda/ofisnye-rubashki/rubashka-zhenskaya-s-dlinnim-rukavom-collar-belaya-1521160/" , "15211.60 Рубашка женская с длинным рукавом Collar, белая, размер 48; 158-164")</f>
      </c>
      <c r="C10090" s="4" t="n">
        <v>1990.00</v>
      </c>
      <c r="D10090" s="4"/>
    </row>
    <row collapsed="" customFormat="false" customHeight="1" hidden="" ht="14" outlineLevel="0" r="10091">
      <c r="A10091" s="3" t="inlineStr">
        <is>
          <t>10054</t>
        </is>
      </c>
      <c r="B10091" s="4" t="s">
        <f>=HYPERLINK("http://anyluxury.ru/shop/odezhda/ofisnye-rubashki/rubashka-zhenskaya-s-dlinnim-rukavom-collar-belaya-1521160/" , "15211.60 Рубашка женская с длинным рукавом Collar, белая, размер 48; 170-176")</f>
      </c>
      <c r="C10091" s="4" t="n">
        <v>1990.00</v>
      </c>
      <c r="D10091" s="4"/>
    </row>
    <row collapsed="" customFormat="false" customHeight="1" hidden="" ht="14" outlineLevel="0" r="10092">
      <c r="A10092" s="3" t="inlineStr">
        <is>
          <t>10055</t>
        </is>
      </c>
      <c r="B10092" s="4" t="s">
        <f>=HYPERLINK("http://anyluxury.ru/shop/odezhda/ofisnye-rubashki/rubashka-zhenskaya-s-dlinnim-rukavom-collar-belaya-1521160/" , "15211.60 Рубашка женская с длинным рукавом Collar, белая, размер 50; 158-164")</f>
      </c>
      <c r="C10092" s="4" t="n">
        <v>1990.00</v>
      </c>
      <c r="D10092" s="4"/>
    </row>
    <row collapsed="" customFormat="false" customHeight="1" hidden="" ht="14" outlineLevel="0" r="10093">
      <c r="A10093" s="3" t="inlineStr">
        <is>
          <t>10056</t>
        </is>
      </c>
      <c r="B10093" s="4" t="s">
        <f>=HYPERLINK("http://anyluxury.ru/shop/odezhda/ofisnye-rubashki/rubashka-zhenskaya-s-dlinnim-rukavom-collar-belaya-1521160/" , "15211.60 Рубашка женская с длинным рукавом Collar, белая, размер 50; 170-176")</f>
      </c>
      <c r="C10093" s="4" t="n">
        <v>1990.00</v>
      </c>
      <c r="D10093" s="4"/>
    </row>
    <row collapsed="" customFormat="false" customHeight="1" hidden="" ht="14" outlineLevel="0" r="10094">
      <c r="A10094" s="3" t="inlineStr">
        <is>
          <t>10057</t>
        </is>
      </c>
      <c r="B10094" s="4" t="s">
        <f>=HYPERLINK("http://anyluxury.ru/shop/odezhda/ofisnye-rubashki/rubashka-zhenskaya-s-dlinnim-rukavom-collar-belaya-1521160/" , "15211.60 Рубашка женская с длинным рукавом Collar, белая, размер 52; 158-164")</f>
      </c>
      <c r="C10094" s="4" t="n">
        <v>1990.00</v>
      </c>
      <c r="D10094" s="4"/>
    </row>
    <row collapsed="" customFormat="false" customHeight="1" hidden="" ht="14" outlineLevel="0" r="10095">
      <c r="A10095" s="3" t="inlineStr">
        <is>
          <t>10058</t>
        </is>
      </c>
      <c r="B10095" s="4" t="s">
        <f>=HYPERLINK("http://anyluxury.ru/shop/odezhda/ofisnye-rubashki/rubashka-zhenskaya-s-dlinnim-rukavom-collar-belaya-1521160/" , "15211.60 Рубашка женская с длинным рукавом Collar, белая, размер 52; 170-176")</f>
      </c>
      <c r="C10095" s="4" t="n">
        <v>1990.00</v>
      </c>
      <c r="D10095" s="4"/>
    </row>
    <row collapsed="" customFormat="false" customHeight="1" hidden="" ht="14" outlineLevel="0" r="10096">
      <c r="A10096" s="3" t="inlineStr">
        <is>
          <t>10059</t>
        </is>
      </c>
      <c r="B10096" s="4" t="s">
        <f>=HYPERLINK("http://anyluxury.ru/shop/odezhda/ofisnye-rubashki/rubashka-zhenskaya-s-dlinnim-rukavom-collar-belaya-1521160/" , "15211.60 Рубашка женская с длинным рукавом Collar, белая, размер 54; 158-164")</f>
      </c>
      <c r="C10096" s="4" t="n">
        <v>1990.00</v>
      </c>
      <c r="D10096" s="4"/>
    </row>
    <row collapsed="" customFormat="false" customHeight="1" hidden="" ht="14" outlineLevel="0" r="10097">
      <c r="A10097" s="3" t="inlineStr">
        <is>
          <t>10060</t>
        </is>
      </c>
      <c r="B10097" s="4" t="s">
        <f>=HYPERLINK("http://anyluxury.ru/shop/odezhda/ofisnye-rubashki/rubashka-zhenskaya-s-dlinnim-rukavom-collar-belaya-1521160/" , "15211.60 Рубашка женская с длинным рукавом Collar, белая, размер 54; 170-176")</f>
      </c>
      <c r="C10097" s="4" t="n">
        <v>1990.00</v>
      </c>
      <c r="D10097" s="4"/>
    </row>
    <row collapsed="" customFormat="false" customHeight="1" hidden="" ht="14" outlineLevel="0" r="10098">
      <c r="A10098" s="3" t="inlineStr">
        <is>
          <t>10061</t>
        </is>
      </c>
      <c r="B10098" s="4" t="s">
        <f>=HYPERLINK("http://anyluxury.ru/shop/odezhda/ofisnye-rubashki/rubashka-zhenskaya-s-dlinnim-rukavom-collar-belaya-1521160/" , "15211.60 Рубашка женская с длинным рукавом Collar, белая, размер 56; 158-164")</f>
      </c>
      <c r="C10098" s="4" t="n">
        <v>1990.00</v>
      </c>
      <c r="D10098" s="4"/>
    </row>
    <row collapsed="" customFormat="false" customHeight="1" hidden="" ht="14" outlineLevel="0" r="10099">
      <c r="A10099" s="3" t="inlineStr">
        <is>
          <t>10062</t>
        </is>
      </c>
      <c r="B10099" s="4" t="s">
        <f>=HYPERLINK("http://anyluxury.ru/shop/odezhda/ofisnye-rubashki/rubashka-zhenskaya-s-dlinnim-rukavom-collar-belaya-1521160/" , "15211.60 Рубашка женская с длинным рукавом Collar, белая, размер 56; 170-176")</f>
      </c>
      <c r="C10099" s="4" t="n">
        <v>1990.00</v>
      </c>
      <c r="D10099" s="4"/>
    </row>
    <row collapsed="" customFormat="false" customHeight="1" hidden="" ht="14" outlineLevel="0" r="10100">
      <c r="A10100" s="3" t="inlineStr">
        <is>
          <t>10063</t>
        </is>
      </c>
      <c r="B10100" s="4" t="s">
        <f>=HYPERLINK("http://anyluxury.ru/shop/odezhda/ofisnye-rubashki/rubashka-zhenskaya-s-dlinnim-rukavom-collar-belaya-1521160/" , "15211.60 Рубашка женская с длинным рукавом Collar, белая, размер 58; 158-164")</f>
      </c>
      <c r="C10100" s="4" t="n">
        <v>1990.00</v>
      </c>
      <c r="D10100" s="4"/>
    </row>
    <row collapsed="" customFormat="false" customHeight="1" hidden="" ht="14" outlineLevel="0" r="10101">
      <c r="A10101" s="3" t="inlineStr">
        <is>
          <t>10064</t>
        </is>
      </c>
      <c r="B10101" s="4" t="s">
        <f>=HYPERLINK("http://anyluxury.ru/shop/odezhda/ofisnye-rubashki/rubashka-zhenskaya-s-dlinnim-rukavom-collar-belaya-1521160/" , "15211.60 Рубашка женская с длинным рукавом Collar, белая, размер 58; 170-176")</f>
      </c>
      <c r="C10101" s="4" t="n">
        <v>1990.00</v>
      </c>
      <c r="D10101" s="4"/>
    </row>
    <row collapsed="" customFormat="false" customHeight="1" hidden="" ht="14" outlineLevel="0" r="10102">
      <c r="A10102" s="3" t="inlineStr">
        <is>
          <t>10065</t>
        </is>
      </c>
      <c r="B10102" s="4" t="s">
        <f>=HYPERLINK("http://anyluxury.ru/shop/odezhda/ofisnye-rubashki/rubashka-zhenskaya-s-dlinnim-rukavom-collar-belaya-1521160/" , "15211.60 Рубашка женская с длинным рукавом Collar, белая, размер 60; 158-164")</f>
      </c>
      <c r="C10102" s="4" t="n">
        <v>1990.00</v>
      </c>
      <c r="D10102" s="4"/>
    </row>
    <row collapsed="" customFormat="false" customHeight="1" hidden="" ht="14" outlineLevel="0" r="10103">
      <c r="A10103" s="3" t="inlineStr">
        <is>
          <t>10066</t>
        </is>
      </c>
      <c r="B10103" s="4" t="s">
        <f>=HYPERLINK("http://anyluxury.ru/shop/odezhda/ofisnye-rubashki/rubashka-zhenskaya-s-dlinnim-rukavom-collar-belaya-1521160/" , "15211.60 Рубашка женская с длинным рукавом Collar, белая, размер 60; 170-176")</f>
      </c>
      <c r="C10103" s="4" t="n">
        <v>1990.00</v>
      </c>
      <c r="D10103" s="4"/>
    </row>
    <row collapsed="" customFormat="false" customHeight="1" hidden="" ht="14" outlineLevel="0" r="10104">
      <c r="A10104" s="3" t="inlineStr">
        <is>
          <t>10067</t>
        </is>
      </c>
      <c r="B10104" s="4" t="s">
        <f>=HYPERLINK("http://anyluxury.ru/shop/odezhda/ofisnye-rubashki/rubashka-zhenskaya-s-dlinnim-rukavom-collar-belaya-1521160/" , "15211.60 Рубашка женская с длинным рукавом Collar, белая, размер 62; 158-164")</f>
      </c>
      <c r="C10104" s="4" t="n">
        <v>2160.00</v>
      </c>
      <c r="D10104" s="4"/>
    </row>
    <row collapsed="" customFormat="false" customHeight="1" hidden="" ht="14" outlineLevel="0" r="10105">
      <c r="A10105" s="3" t="inlineStr">
        <is>
          <t>10068</t>
        </is>
      </c>
      <c r="B10105" s="4" t="s">
        <f>=HYPERLINK("http://anyluxury.ru/shop/odezhda/ofisnye-rubashki/rubashka-zhenskaya-s-dlinnim-rukavom-collar-belaya-1521160/" , "15211.60 Рубашка женская с длинным рукавом Collar, белая, размер 62; 170-176")</f>
      </c>
      <c r="C10105" s="4" t="n">
        <v>2160.00</v>
      </c>
      <c r="D10105" s="4"/>
    </row>
    <row collapsed="" customFormat="false" customHeight="1" hidden="" ht="14" outlineLevel="0" r="10106">
      <c r="A10106" s="3" t="inlineStr">
        <is>
          <t>10069</t>
        </is>
      </c>
      <c r="B10106" s="4" t="s">
        <f>=HYPERLINK("http://anyluxury.ru/shop/odezhda/ofisnye-rubashki/rubashka-zhenskaya-s-dlinnim-rukavom-collar-belaya-1521160/" , "15211.60 Рубашка женская с длинным рукавом Collar, белая, размер 64; 158-164")</f>
      </c>
      <c r="C10106" s="4" t="n">
        <v>2160.00</v>
      </c>
      <c r="D10106" s="4"/>
    </row>
    <row collapsed="" customFormat="false" customHeight="1" hidden="" ht="14" outlineLevel="0" r="10107">
      <c r="A10107" s="3" t="inlineStr">
        <is>
          <t>10070</t>
        </is>
      </c>
      <c r="B10107" s="4" t="s">
        <f>=HYPERLINK("http://anyluxury.ru/shop/odezhda/ofisnye-rubashki/rubashka-zhenskaya-s-dlinnim-rukavom-collar-belaya-1521160/" , "15211.60 Рубашка женская с длинным рукавом Collar, белая, размер 64; 170-176")</f>
      </c>
      <c r="C10107" s="4" t="n">
        <v>2160.00</v>
      </c>
      <c r="D10107" s="4"/>
    </row>
    <row collapsed="" customFormat="false" customHeight="1" hidden="" ht="14" outlineLevel="0" r="10108">
      <c r="A10108" s="3" t="inlineStr">
        <is>
          <t>10071</t>
        </is>
      </c>
      <c r="B10108" s="4" t="s">
        <f>=HYPERLINK("http://anyluxury.ru/shop/odezhda/ofisnye-rubashki/rubashka-zhenskaya-s-dlinnim-rukavom-collar-belaya-1521160/" , "15211.60 Рубашка женская с длинным рукавом Collar, белая, размер 66; 158-164")</f>
      </c>
      <c r="C10108" s="4" t="n">
        <v>2160.00</v>
      </c>
      <c r="D10108" s="4"/>
    </row>
    <row collapsed="" customFormat="false" customHeight="1" hidden="" ht="14" outlineLevel="0" r="10109">
      <c r="A10109" s="3" t="inlineStr">
        <is>
          <t>10072</t>
        </is>
      </c>
      <c r="B10109" s="4" t="s">
        <f>=HYPERLINK("http://anyluxury.ru/shop/odezhda/ofisnye-rubashki/rubashka-zhenskaya-s-dlinnim-rukavom-collar-belaya-1521160/" , "15211.60 Рубашка женская с длинным рукавом Collar, белая, размер 66; 170-176")</f>
      </c>
      <c r="C10109" s="4" t="n">
        <v>2160.00</v>
      </c>
      <c r="D10109" s="4"/>
    </row>
    <row collapsed="" customFormat="false" customHeight="1" hidden="" ht="14" outlineLevel="0" r="10110">
      <c r="A10110" s="3" t="inlineStr">
        <is>
          <t>10073</t>
        </is>
      </c>
      <c r="B10110" s="4" t="s">
        <f>=HYPERLINK("http://anyluxury.ru/shop/odezhda/ofisnye-rubashki/rubashka-zhenskaya-s-dlinnim-rukavom-collar-belaya-1521160/" , "15211.60 Рубашка женская с длинным рукавом Collar, белая, размер 68; 158-164")</f>
      </c>
      <c r="C10110" s="4" t="n">
        <v>2160.00</v>
      </c>
      <c r="D10110" s="4"/>
    </row>
    <row collapsed="" customFormat="false" customHeight="1" hidden="" ht="14" outlineLevel="0" r="10111">
      <c r="A10111" s="3" t="inlineStr">
        <is>
          <t>10074</t>
        </is>
      </c>
      <c r="B10111" s="4" t="s">
        <f>=HYPERLINK("http://anyluxury.ru/shop/odezhda/ofisnye-rubashki/rubashka-zhenskaya-s-dlinnim-rukavom-collar-belaya-1521160/" , "15211.60 Рубашка женская с длинным рукавом Collar, белая, размер 68; 170-176")</f>
      </c>
      <c r="C10111" s="4" t="n">
        <v>2160.00</v>
      </c>
      <c r="D10111" s="4"/>
    </row>
    <row collapsed="" customFormat="false" customHeight="1" hidden="" ht="14" outlineLevel="0" r="10112">
      <c r="A10112" s="3" t="inlineStr">
        <is>
          <t>10075</t>
        </is>
      </c>
      <c r="B10112" s="4" t="s">
        <f>=HYPERLINK("http://anyluxury.ru/shop/odezhda/ofisnye-rubashki/rubashka-zhenskaya-s-dlinnim-rukavom-collar-belaya-1521160/" , "15211.60 Рубашка женская с длинным рукавом Collar, белая, размер 70; 158-164")</f>
      </c>
      <c r="C10112" s="4" t="n">
        <v>2160.00</v>
      </c>
      <c r="D10112" s="4"/>
    </row>
    <row collapsed="" customFormat="false" customHeight="1" hidden="" ht="14" outlineLevel="0" r="10113">
      <c r="A10113" s="3" t="inlineStr">
        <is>
          <t>10076</t>
        </is>
      </c>
      <c r="B10113" s="4" t="s">
        <f>=HYPERLINK("http://anyluxury.ru/shop/odezhda/ofisnye-rubashki/rubashka-zhenskaya-s-dlinnim-rukavom-collar-belaya-1521160/" , "15211.60 Рубашка женская с длинным рукавом Collar, белая, размер 70; 170-176")</f>
      </c>
      <c r="C10113" s="4" t="n">
        <v>2160.00</v>
      </c>
      <c r="D10113" s="4"/>
    </row>
    <row collapsed="" customFormat="false" customHeight="1" hidden="" ht="14" outlineLevel="0" r="10114">
      <c r="A10114" s="3" t="inlineStr">
        <is>
          <t>10077</t>
        </is>
      </c>
      <c r="B10114" s="4" t="s">
        <f>=HYPERLINK("http://anyluxury.ru/shop/odezhda/ofisnye-rubashki/rubashka-muzhskaya-s-dlinnim-rukavom-collar-belaya-1521260/" , "15212.60 Рубашка мужская с длинным рукавом Collar, белая, размер 46; 176")</f>
      </c>
      <c r="C10114" s="4" t="n">
        <v>2390.00</v>
      </c>
      <c r="D10114" s="4"/>
    </row>
    <row collapsed="" customFormat="false" customHeight="1" hidden="" ht="14" outlineLevel="0" r="10115">
      <c r="A10115" s="3" t="inlineStr">
        <is>
          <t>10078</t>
        </is>
      </c>
      <c r="B10115" s="4" t="s">
        <f>=HYPERLINK("http://anyluxury.ru/shop/odezhda/ofisnye-rubashki/rubashka-muzhskaya-s-dlinnim-rukavom-collar-belaya-1521260/" , "15212.60 Рубашка мужская с длинным рукавом Collar, белая, размер 46; 182")</f>
      </c>
      <c r="C10115" s="4" t="n">
        <v>2390.00</v>
      </c>
      <c r="D10115" s="4"/>
    </row>
    <row collapsed="" customFormat="false" customHeight="1" hidden="" ht="14" outlineLevel="0" r="10116">
      <c r="A10116" s="3" t="inlineStr">
        <is>
          <t>10079</t>
        </is>
      </c>
      <c r="B10116" s="4" t="s">
        <f>=HYPERLINK("http://anyluxury.ru/shop/odezhda/ofisnye-rubashki/rubashka-muzhskaya-s-dlinnim-rukavom-collar-belaya-1521260/" , "15212.60 Рубашка мужская с длинным рукавом Collar, белая, размер 46; 188")</f>
      </c>
      <c r="C10116" s="4" t="n">
        <v>2390.00</v>
      </c>
      <c r="D10116" s="4"/>
    </row>
    <row collapsed="" customFormat="false" customHeight="1" hidden="" ht="14" outlineLevel="0" r="10117">
      <c r="A10117" s="3" t="inlineStr">
        <is>
          <t>10080</t>
        </is>
      </c>
      <c r="B10117" s="4" t="s">
        <f>=HYPERLINK("http://anyluxury.ru/shop/odezhda/ofisnye-rubashki/rubashka-muzhskaya-s-dlinnim-rukavom-collar-belaya-1521260/" , "15212.60 Рубашка мужская с длинным рукавом Collar, белая, размер 48; 176")</f>
      </c>
      <c r="C10117" s="4" t="n">
        <v>2390.00</v>
      </c>
      <c r="D10117" s="4"/>
    </row>
    <row collapsed="" customFormat="false" customHeight="1" hidden="" ht="14" outlineLevel="0" r="10118">
      <c r="A10118" s="3" t="inlineStr">
        <is>
          <t>10081</t>
        </is>
      </c>
      <c r="B10118" s="4" t="s">
        <f>=HYPERLINK("http://anyluxury.ru/shop/odezhda/ofisnye-rubashki/rubashka-muzhskaya-s-dlinnim-rukavom-collar-belaya-1521260/" , "15212.60 Рубашка мужская с длинным рукавом Collar, белая, размер 48; 182")</f>
      </c>
      <c r="C10118" s="4" t="n">
        <v>2390.00</v>
      </c>
      <c r="D10118" s="4"/>
    </row>
    <row collapsed="" customFormat="false" customHeight="1" hidden="" ht="14" outlineLevel="0" r="10119">
      <c r="A10119" s="3" t="inlineStr">
        <is>
          <t>10082</t>
        </is>
      </c>
      <c r="B10119" s="4" t="s">
        <f>=HYPERLINK("http://anyluxury.ru/shop/odezhda/ofisnye-rubashki/rubashka-muzhskaya-s-dlinnim-rukavom-collar-belaya-1521260/" , "15212.60 Рубашка мужская с длинным рукавом Collar, белая, размер 48; 188")</f>
      </c>
      <c r="C10119" s="4" t="n">
        <v>2390.00</v>
      </c>
      <c r="D10119" s="4"/>
    </row>
    <row collapsed="" customFormat="false" customHeight="1" hidden="" ht="14" outlineLevel="0" r="10120">
      <c r="A10120" s="3" t="inlineStr">
        <is>
          <t>10083</t>
        </is>
      </c>
      <c r="B10120" s="4" t="s">
        <f>=HYPERLINK("http://anyluxury.ru/shop/odezhda/ofisnye-rubashki/rubashka-muzhskaya-s-dlinnim-rukavom-collar-belaya-1521260/" , "15212.60 Рубашка мужская с длинным рукавом Collar, белая, размер 50; 176")</f>
      </c>
      <c r="C10120" s="4" t="n">
        <v>2390.00</v>
      </c>
      <c r="D10120" s="4"/>
    </row>
    <row collapsed="" customFormat="false" customHeight="1" hidden="" ht="14" outlineLevel="0" r="10121">
      <c r="A10121" s="3" t="inlineStr">
        <is>
          <t>10084</t>
        </is>
      </c>
      <c r="B10121" s="4" t="s">
        <f>=HYPERLINK("http://anyluxury.ru/shop/odezhda/ofisnye-rubashki/rubashka-muzhskaya-s-dlinnim-rukavom-collar-belaya-1521260/" , "15212.60 Рубашка мужская с длинным рукавом Collar, белая, размер 50; 182")</f>
      </c>
      <c r="C10121" s="4" t="n">
        <v>2390.00</v>
      </c>
      <c r="D10121" s="4"/>
    </row>
    <row collapsed="" customFormat="false" customHeight="1" hidden="" ht="14" outlineLevel="0" r="10122">
      <c r="A10122" s="3" t="inlineStr">
        <is>
          <t>10085</t>
        </is>
      </c>
      <c r="B10122" s="4" t="s">
        <f>=HYPERLINK("http://anyluxury.ru/shop/odezhda/ofisnye-rubashki/rubashka-muzhskaya-s-dlinnim-rukavom-collar-belaya-1521260/" , "15212.60 Рубашка мужская с длинным рукавом Collar, белая, размер 50; 188")</f>
      </c>
      <c r="C10122" s="4" t="n">
        <v>2390.00</v>
      </c>
      <c r="D10122" s="4"/>
    </row>
    <row collapsed="" customFormat="false" customHeight="1" hidden="" ht="14" outlineLevel="0" r="10123">
      <c r="A10123" s="3" t="inlineStr">
        <is>
          <t>10086</t>
        </is>
      </c>
      <c r="B10123" s="4" t="s">
        <f>=HYPERLINK("http://anyluxury.ru/shop/odezhda/ofisnye-rubashki/rubashka-muzhskaya-s-dlinnim-rukavom-collar-belaya-1521260/" , "15212.60 Рубашка мужская с длинным рукавом Collar, белая, размер 52; 176")</f>
      </c>
      <c r="C10123" s="4" t="n">
        <v>2390.00</v>
      </c>
      <c r="D10123" s="4"/>
    </row>
    <row collapsed="" customFormat="false" customHeight="1" hidden="" ht="14" outlineLevel="0" r="10124">
      <c r="A10124" s="3" t="inlineStr">
        <is>
          <t>10087</t>
        </is>
      </c>
      <c r="B10124" s="4" t="s">
        <f>=HYPERLINK("http://anyluxury.ru/shop/odezhda/ofisnye-rubashki/rubashka-muzhskaya-s-dlinnim-rukavom-collar-belaya-1521260/" , "15212.60 Рубашка мужская с длинным рукавом Collar, белая, размер 52; 182")</f>
      </c>
      <c r="C10124" s="4" t="n">
        <v>2390.00</v>
      </c>
      <c r="D10124" s="4"/>
    </row>
    <row collapsed="" customFormat="false" customHeight="1" hidden="" ht="14" outlineLevel="0" r="10125">
      <c r="A10125" s="3" t="inlineStr">
        <is>
          <t>10088</t>
        </is>
      </c>
      <c r="B10125" s="4" t="s">
        <f>=HYPERLINK("http://anyluxury.ru/shop/odezhda/ofisnye-rubashki/rubashka-muzhskaya-s-dlinnim-rukavom-collar-belaya-1521260/" , "15212.60 Рубашка мужская с длинным рукавом Collar, белая, размер 52; 188")</f>
      </c>
      <c r="C10125" s="4" t="n">
        <v>2390.00</v>
      </c>
      <c r="D10125" s="4"/>
    </row>
    <row collapsed="" customFormat="false" customHeight="1" hidden="" ht="14" outlineLevel="0" r="10126">
      <c r="A10126" s="3" t="inlineStr">
        <is>
          <t>10089</t>
        </is>
      </c>
      <c r="B10126" s="4" t="s">
        <f>=HYPERLINK("http://anyluxury.ru/shop/odezhda/ofisnye-rubashki/rubashka-muzhskaya-s-dlinnim-rukavom-collar-belaya-1521260/" , "15212.60 Рубашка мужская с длинным рукавом Collar, белая, размер 54; 176")</f>
      </c>
      <c r="C10126" s="4" t="n">
        <v>2390.00</v>
      </c>
      <c r="D10126" s="4"/>
    </row>
    <row collapsed="" customFormat="false" customHeight="1" hidden="" ht="14" outlineLevel="0" r="10127">
      <c r="A10127" s="3" t="inlineStr">
        <is>
          <t>10090</t>
        </is>
      </c>
      <c r="B10127" s="4" t="s">
        <f>=HYPERLINK("http://anyluxury.ru/shop/odezhda/ofisnye-rubashki/rubashka-muzhskaya-s-dlinnim-rukavom-collar-belaya-1521260/" , "15212.60 Рубашка мужская с длинным рукавом Collar, белая, размер 54; 182")</f>
      </c>
      <c r="C10127" s="4" t="n">
        <v>2390.00</v>
      </c>
      <c r="D10127" s="4"/>
    </row>
    <row collapsed="" customFormat="false" customHeight="1" hidden="" ht="14" outlineLevel="0" r="10128">
      <c r="A10128" s="3" t="inlineStr">
        <is>
          <t>10091</t>
        </is>
      </c>
      <c r="B10128" s="4" t="s">
        <f>=HYPERLINK("http://anyluxury.ru/shop/odezhda/ofisnye-rubashki/rubashka-muzhskaya-s-dlinnim-rukavom-collar-belaya-1521260/" , "15212.60 Рубашка мужская с длинным рукавом Collar, белая, размер 54; 188")</f>
      </c>
      <c r="C10128" s="4" t="n">
        <v>2390.00</v>
      </c>
      <c r="D10128" s="4"/>
    </row>
    <row collapsed="" customFormat="false" customHeight="1" hidden="" ht="14" outlineLevel="0" r="10129">
      <c r="A10129" s="3" t="inlineStr">
        <is>
          <t>10092</t>
        </is>
      </c>
      <c r="B10129" s="4" t="s">
        <f>=HYPERLINK("http://anyluxury.ru/shop/odezhda/ofisnye-rubashki/rubashka-muzhskaya-s-dlinnim-rukavom-collar-belaya-1521260/" , "15212.60 Рубашка мужская с длинным рукавом Collar, белая, размер 56; 176")</f>
      </c>
      <c r="C10129" s="4" t="n">
        <v>2390.00</v>
      </c>
      <c r="D10129" s="4"/>
    </row>
    <row collapsed="" customFormat="false" customHeight="1" hidden="" ht="14" outlineLevel="0" r="10130">
      <c r="A10130" s="3" t="inlineStr">
        <is>
          <t>10093</t>
        </is>
      </c>
      <c r="B10130" s="4" t="s">
        <f>=HYPERLINK("http://anyluxury.ru/shop/odezhda/ofisnye-rubashki/rubashka-muzhskaya-s-dlinnim-rukavom-collar-belaya-1521260/" , "15212.60 Рубашка мужская с длинным рукавом Collar, белая, размер 56; 182")</f>
      </c>
      <c r="C10130" s="4" t="n">
        <v>2390.00</v>
      </c>
      <c r="D10130" s="4"/>
    </row>
    <row collapsed="" customFormat="false" customHeight="1" hidden="" ht="14" outlineLevel="0" r="10131">
      <c r="A10131" s="3" t="inlineStr">
        <is>
          <t>10094</t>
        </is>
      </c>
      <c r="B10131" s="4" t="s">
        <f>=HYPERLINK("http://anyluxury.ru/shop/odezhda/ofisnye-rubashki/rubashka-muzhskaya-s-dlinnim-rukavom-collar-belaya-1521260/" , "15212.60 Рубашка мужская с длинным рукавом Collar, белая, размер 56; 188")</f>
      </c>
      <c r="C10131" s="4" t="n">
        <v>2390.00</v>
      </c>
      <c r="D10131" s="4"/>
    </row>
    <row collapsed="" customFormat="false" customHeight="1" hidden="" ht="14" outlineLevel="0" r="10132">
      <c r="A10132" s="3" t="inlineStr">
        <is>
          <t>10095</t>
        </is>
      </c>
      <c r="B10132" s="4" t="s">
        <f>=HYPERLINK("http://anyluxury.ru/shop/odezhda/ofisnye-rubashki/rubashka-muzhskaya-s-dlinnim-rukavom-collar-belaya-1521260/" , "15212.60 Рубашка мужская с длинным рукавом Collar, белая, размер 42; 176")</f>
      </c>
      <c r="C10132" s="4" t="n">
        <v>2390.00</v>
      </c>
      <c r="D10132" s="4"/>
    </row>
    <row collapsed="" customFormat="false" customHeight="1" hidden="" ht="14" outlineLevel="0" r="10133">
      <c r="A10133" s="3" t="inlineStr">
        <is>
          <t>10096</t>
        </is>
      </c>
      <c r="B10133" s="4" t="s">
        <f>=HYPERLINK("http://anyluxury.ru/shop/odezhda/ofisnye-rubashki/rubashka-muzhskaya-s-dlinnim-rukavom-collar-belaya-1521260/" , "15212.60 Рубашка мужская с длинным рукавом Collar, белая, размер 42; 182")</f>
      </c>
      <c r="C10133" s="4" t="n">
        <v>2390.00</v>
      </c>
      <c r="D10133" s="4"/>
    </row>
    <row collapsed="" customFormat="false" customHeight="1" hidden="" ht="14" outlineLevel="0" r="10134">
      <c r="A10134" s="3" t="inlineStr">
        <is>
          <t>10097</t>
        </is>
      </c>
      <c r="B10134" s="4" t="s">
        <f>=HYPERLINK("http://anyluxury.ru/shop/odezhda/ofisnye-rubashki/rubashka-muzhskaya-s-dlinnim-rukavom-collar-belaya-1521260/" , "15212.60 Рубашка мужская с длинным рукавом Collar, белая, размер 42; 188")</f>
      </c>
      <c r="C10134" s="4" t="n">
        <v>2390.00</v>
      </c>
      <c r="D10134" s="4"/>
    </row>
    <row collapsed="" customFormat="false" customHeight="1" hidden="" ht="14" outlineLevel="0" r="10135">
      <c r="A10135" s="3" t="inlineStr">
        <is>
          <t>10098</t>
        </is>
      </c>
      <c r="B10135" s="4" t="s">
        <f>=HYPERLINK("http://anyluxury.ru/shop/odezhda/ofisnye-rubashki/rubashka-muzhskaya-s-dlinnim-rukavom-collar-belaya-1521260/" , "15212.60 Рубашка мужская с длинным рукавом Collar, белая, размер 44; 176")</f>
      </c>
      <c r="C10135" s="4" t="n">
        <v>2390.00</v>
      </c>
      <c r="D10135" s="4"/>
    </row>
    <row collapsed="" customFormat="false" customHeight="1" hidden="" ht="14" outlineLevel="0" r="10136">
      <c r="A10136" s="3" t="inlineStr">
        <is>
          <t>10099</t>
        </is>
      </c>
      <c r="B10136" s="4" t="s">
        <f>=HYPERLINK("http://anyluxury.ru/shop/odezhda/ofisnye-rubashki/rubashka-muzhskaya-s-dlinnim-rukavom-collar-belaya-1521260/" , "15212.60 Рубашка мужская с длинным рукавом Collar, белая, размер 44; 182")</f>
      </c>
      <c r="C10136" s="4" t="n">
        <v>2390.00</v>
      </c>
      <c r="D10136" s="4"/>
    </row>
    <row collapsed="" customFormat="false" customHeight="1" hidden="" ht="14" outlineLevel="0" r="10137">
      <c r="A10137" s="3" t="inlineStr">
        <is>
          <t>10100</t>
        </is>
      </c>
      <c r="B10137" s="4" t="s">
        <f>=HYPERLINK("http://anyluxury.ru/shop/odezhda/ofisnye-rubashki/rubashka-muzhskaya-s-dlinnim-rukavom-collar-belaya-1521260/" , "15212.60 Рубашка мужская с длинным рукавом Collar, белая, размер 44; 188")</f>
      </c>
      <c r="C10137" s="4" t="n">
        <v>2390.00</v>
      </c>
      <c r="D10137" s="4"/>
    </row>
    <row collapsed="" customFormat="false" customHeight="1" hidden="" ht="14" outlineLevel="0" r="10138">
      <c r="A10138" s="3" t="inlineStr">
        <is>
          <t>10101</t>
        </is>
      </c>
      <c r="B10138" s="4" t="s">
        <f>=HYPERLINK("http://anyluxury.ru/shop/odezhda/ofisnye-rubashki/rubashka-muzhskaya-s-dlinnim-rukavom-collar-belaya-1521260/" , "15212.60 Рубашка мужская с длинным рукавом Collar, белая, размер 58; 176")</f>
      </c>
      <c r="C10138" s="4" t="n">
        <v>2390.00</v>
      </c>
      <c r="D10138" s="4"/>
    </row>
    <row collapsed="" customFormat="false" customHeight="1" hidden="" ht="14" outlineLevel="0" r="10139">
      <c r="A10139" s="3" t="inlineStr">
        <is>
          <t>10102</t>
        </is>
      </c>
      <c r="B10139" s="4" t="s">
        <f>=HYPERLINK("http://anyluxury.ru/shop/odezhda/ofisnye-rubashki/rubashka-muzhskaya-s-dlinnim-rukavom-collar-belaya-1521260/" , "15212.60 Рубашка мужская с длинным рукавом Collar, белая, размер 58; 182")</f>
      </c>
      <c r="C10139" s="4" t="n">
        <v>2390.00</v>
      </c>
      <c r="D10139" s="4"/>
    </row>
    <row collapsed="" customFormat="false" customHeight="1" hidden="" ht="14" outlineLevel="0" r="10140">
      <c r="A10140" s="3" t="inlineStr">
        <is>
          <t>10103</t>
        </is>
      </c>
      <c r="B10140" s="4" t="s">
        <f>=HYPERLINK("http://anyluxury.ru/shop/odezhda/ofisnye-rubashki/rubashka-muzhskaya-s-dlinnim-rukavom-collar-belaya-1521260/" , "15212.60 Рубашка мужская с длинным рукавом Collar, белая, размер 58; 188")</f>
      </c>
      <c r="C10140" s="4" t="n">
        <v>2390.00</v>
      </c>
      <c r="D10140" s="4"/>
    </row>
    <row collapsed="" customFormat="false" customHeight="1" hidden="" ht="14" outlineLevel="0" r="10141">
      <c r="A10141" s="3" t="inlineStr">
        <is>
          <t>10104</t>
        </is>
      </c>
      <c r="B10141" s="4" t="s">
        <f>=HYPERLINK("http://anyluxury.ru/shop/odezhda/ofisnye-rubashki/rubashka-muzhskaya-s-dlinnim-rukavom-collar-belaya-1521260/" , "15212.60 Рубашка мужская с длинным рукавом Collar, белая, размер 60; 176")</f>
      </c>
      <c r="C10141" s="4" t="n">
        <v>2390.00</v>
      </c>
      <c r="D10141" s="4"/>
    </row>
    <row collapsed="" customFormat="false" customHeight="1" hidden="" ht="14" outlineLevel="0" r="10142">
      <c r="A10142" s="3" t="inlineStr">
        <is>
          <t>10105</t>
        </is>
      </c>
      <c r="B10142" s="4" t="s">
        <f>=HYPERLINK("http://anyluxury.ru/shop/odezhda/ofisnye-rubashki/rubashka-muzhskaya-s-dlinnim-rukavom-collar-belaya-1521260/" , "15212.60 Рубашка мужская с длинным рукавом Collar, белая, размер 60; 182")</f>
      </c>
      <c r="C10142" s="4" t="n">
        <v>2390.00</v>
      </c>
      <c r="D10142" s="4"/>
    </row>
    <row collapsed="" customFormat="false" customHeight="1" hidden="" ht="14" outlineLevel="0" r="10143">
      <c r="A10143" s="3" t="inlineStr">
        <is>
          <t>10106</t>
        </is>
      </c>
      <c r="B10143" s="4" t="s">
        <f>=HYPERLINK("http://anyluxury.ru/shop/odezhda/ofisnye-rubashki/rubashka-muzhskaya-s-dlinnim-rukavom-collar-belaya-1521260/" , "15212.60 Рубашка мужская с длинным рукавом Collar, белая, размер 60; 188")</f>
      </c>
      <c r="C10143" s="4" t="n">
        <v>2390.00</v>
      </c>
      <c r="D10143" s="4"/>
    </row>
    <row collapsed="" customFormat="false" customHeight="1" hidden="" ht="14" outlineLevel="0" r="10144">
      <c r="A10144" s="3" t="inlineStr">
        <is>
          <t>10107</t>
        </is>
      </c>
      <c r="B10144" s="4" t="s">
        <f>=HYPERLINK("http://anyluxury.ru/shop/odezhda/ofisnye-rubashki/rubashka-muzhskaya-s-dlinnim-rukavom-collar-belaya-1521260/" , "15212.60 Рубашка мужская с длинным рукавом Collar, белая, размер 62; 176")</f>
      </c>
      <c r="C10144" s="4" t="n">
        <v>2580.00</v>
      </c>
      <c r="D10144" s="4"/>
    </row>
    <row collapsed="" customFormat="false" customHeight="1" hidden="" ht="14" outlineLevel="0" r="10145">
      <c r="A10145" s="3" t="inlineStr">
        <is>
          <t>10108</t>
        </is>
      </c>
      <c r="B10145" s="4" t="s">
        <f>=HYPERLINK("http://anyluxury.ru/shop/odezhda/ofisnye-rubashki/rubashka-muzhskaya-s-dlinnim-rukavom-collar-belaya-1521260/" , "15212.60 Рубашка мужская с длинным рукавом Collar, белая, размер 62; 182")</f>
      </c>
      <c r="C10145" s="4" t="n">
        <v>2580.00</v>
      </c>
      <c r="D10145" s="4"/>
    </row>
    <row collapsed="" customFormat="false" customHeight="1" hidden="" ht="14" outlineLevel="0" r="10146">
      <c r="A10146" s="3" t="inlineStr">
        <is>
          <t>10109</t>
        </is>
      </c>
      <c r="B10146" s="4" t="s">
        <f>=HYPERLINK("http://anyluxury.ru/shop/odezhda/ofisnye-rubashki/rubashka-muzhskaya-s-dlinnim-rukavom-collar-belaya-1521260/" , "15212.60 Рубашка мужская с длинным рукавом Collar, белая, размер 62; 188")</f>
      </c>
      <c r="C10146" s="4" t="n">
        <v>2580.00</v>
      </c>
      <c r="D10146" s="4"/>
    </row>
    <row collapsed="" customFormat="false" customHeight="1" hidden="" ht="14" outlineLevel="0" r="10147">
      <c r="A10147" s="3" t="inlineStr">
        <is>
          <t>10110</t>
        </is>
      </c>
      <c r="B10147" s="4" t="s">
        <f>=HYPERLINK("http://anyluxury.ru/shop/odezhda/ofisnye-rubashki/rubashka-muzhskaya-s-dlinnim-rukavom-collar-belaya-1521260/" , "15212.60 Рубашка мужская с длинным рукавом Collar, белая, размер 64; 176")</f>
      </c>
      <c r="C10147" s="4" t="n">
        <v>2580.00</v>
      </c>
      <c r="D10147" s="4"/>
    </row>
    <row collapsed="" customFormat="false" customHeight="1" hidden="" ht="14" outlineLevel="0" r="10148">
      <c r="A10148" s="3" t="inlineStr">
        <is>
          <t>10111</t>
        </is>
      </c>
      <c r="B10148" s="4" t="s">
        <f>=HYPERLINK("http://anyluxury.ru/shop/odezhda/ofisnye-rubashki/rubashka-muzhskaya-s-dlinnim-rukavom-collar-belaya-1521260/" , "15212.60 Рубашка мужская с длинным рукавом Collar, белая, размер 64; 182")</f>
      </c>
      <c r="C10148" s="4" t="n">
        <v>2580.00</v>
      </c>
      <c r="D10148" s="4"/>
    </row>
    <row collapsed="" customFormat="false" customHeight="1" hidden="" ht="14" outlineLevel="0" r="10149">
      <c r="A10149" s="3" t="inlineStr">
        <is>
          <t>10112</t>
        </is>
      </c>
      <c r="B10149" s="4" t="s">
        <f>=HYPERLINK("http://anyluxury.ru/shop/odezhda/ofisnye-rubashki/rubashka-muzhskaya-s-dlinnim-rukavom-collar-belaya-1521260/" , "15212.60 Рубашка мужская с длинным рукавом Collar, белая, размер 64; 188")</f>
      </c>
      <c r="C10149" s="4" t="n">
        <v>2580.00</v>
      </c>
      <c r="D10149" s="4"/>
    </row>
    <row collapsed="" customFormat="false" customHeight="1" hidden="" ht="14" outlineLevel="0" r="10150">
      <c r="A10150" s="3" t="inlineStr">
        <is>
          <t>10113</t>
        </is>
      </c>
      <c r="B10150" s="4" t="s">
        <f>=HYPERLINK("http://anyluxury.ru/shop/odezhda/ofisnye-rubashki/rubashka-muzhskaya-s-dlinnim-rukavom-collar-belaya-1521260/" , "15212.60 Рубашка мужская с длинным рукавом Collar, белая, размер 66; 176")</f>
      </c>
      <c r="C10150" s="4" t="n">
        <v>2580.00</v>
      </c>
      <c r="D10150" s="4"/>
    </row>
    <row collapsed="" customFormat="false" customHeight="1" hidden="" ht="14" outlineLevel="0" r="10151">
      <c r="A10151" s="3" t="inlineStr">
        <is>
          <t>10114</t>
        </is>
      </c>
      <c r="B10151" s="4" t="s">
        <f>=HYPERLINK("http://anyluxury.ru/shop/odezhda/ofisnye-rubashki/rubashka-muzhskaya-s-dlinnim-rukavom-collar-belaya-1521260/" , "15212.60 Рубашка мужская с длинным рукавом Collar, белая, размер 66; 182")</f>
      </c>
      <c r="C10151" s="4" t="n">
        <v>2580.00</v>
      </c>
      <c r="D10151" s="4"/>
    </row>
    <row collapsed="" customFormat="false" customHeight="1" hidden="" ht="14" outlineLevel="0" r="10152">
      <c r="A10152" s="3" t="inlineStr">
        <is>
          <t>10115</t>
        </is>
      </c>
      <c r="B10152" s="4" t="s">
        <f>=HYPERLINK("http://anyluxury.ru/shop/odezhda/ofisnye-rubashki/rubashka-muzhskaya-s-dlinnim-rukavom-collar-belaya-1521260/" , "15212.60 Рубашка мужская с длинным рукавом Collar, белая, размер 66; 188")</f>
      </c>
      <c r="C10152" s="4" t="n">
        <v>2580.00</v>
      </c>
      <c r="D10152" s="4"/>
    </row>
    <row collapsed="" customFormat="false" customHeight="1" hidden="" ht="14" outlineLevel="0" r="10153">
      <c r="A10153" s="3" t="inlineStr">
        <is>
          <t>10116</t>
        </is>
      </c>
      <c r="B10153" s="4" t="s">
        <f>=HYPERLINK("http://anyluxury.ru/shop/odezhda/ofisnye-rubashki/rubashka-muzhskaya-s-dlinnim-rukavom-collar-belaya-1521260/" , "15212.60 Рубашка мужская с длинным рукавом Collar, белая, размер 68; 176")</f>
      </c>
      <c r="C10153" s="4" t="n">
        <v>2580.00</v>
      </c>
      <c r="D10153" s="4"/>
    </row>
    <row collapsed="" customFormat="false" customHeight="1" hidden="" ht="14" outlineLevel="0" r="10154">
      <c r="A10154" s="3" t="inlineStr">
        <is>
          <t>10117</t>
        </is>
      </c>
      <c r="B10154" s="4" t="s">
        <f>=HYPERLINK("http://anyluxury.ru/shop/odezhda/ofisnye-rubashki/rubashka-muzhskaya-s-dlinnim-rukavom-collar-belaya-1521260/" , "15212.60 Рубашка мужская с длинным рукавом Collar, белая, размер 68; 182")</f>
      </c>
      <c r="C10154" s="4" t="n">
        <v>2580.00</v>
      </c>
      <c r="D10154" s="4"/>
    </row>
    <row collapsed="" customFormat="false" customHeight="1" hidden="" ht="14" outlineLevel="0" r="10155">
      <c r="A10155" s="3" t="inlineStr">
        <is>
          <t>10118</t>
        </is>
      </c>
      <c r="B10155" s="4" t="s">
        <f>=HYPERLINK("http://anyluxury.ru/shop/odezhda/ofisnye-rubashki/rubashka-muzhskaya-s-dlinnim-rukavom-collar-belaya-1521260/" , "15212.60 Рубашка мужская с длинным рукавом Collar, белая, размер 68; 188")</f>
      </c>
      <c r="C10155" s="4" t="n">
        <v>2580.00</v>
      </c>
      <c r="D10155" s="4"/>
    </row>
    <row collapsed="" customFormat="false" customHeight="1" hidden="" ht="14" outlineLevel="0" r="10156">
      <c r="A10156" s="3" t="inlineStr">
        <is>
          <t>10119</t>
        </is>
      </c>
      <c r="B10156" s="4" t="s">
        <f>=HYPERLINK("http://anyluxury.ru/shop/odezhda/ofisnye-rubashki/rubashka-muzhskaya-s-dlinnim-rukavom-collar-belaya-1521260/" , "15212.60 Рубашка мужская с длинным рукавом Collar, белая, размер 70; 176")</f>
      </c>
      <c r="C10156" s="4" t="n">
        <v>2580.00</v>
      </c>
      <c r="D10156" s="4"/>
    </row>
    <row collapsed="" customFormat="false" customHeight="1" hidden="" ht="14" outlineLevel="0" r="10157">
      <c r="A10157" s="3" t="inlineStr">
        <is>
          <t>10120</t>
        </is>
      </c>
      <c r="B10157" s="4" t="s">
        <f>=HYPERLINK("http://anyluxury.ru/shop/odezhda/ofisnye-rubashki/rubashka-muzhskaya-s-dlinnim-rukavom-collar-belaya-1521260/" , "15212.60 Рубашка мужская с длинным рукавом Collar, белая, размер 70; 182")</f>
      </c>
      <c r="C10157" s="4" t="n">
        <v>2580.00</v>
      </c>
      <c r="D10157" s="4"/>
    </row>
    <row collapsed="" customFormat="false" customHeight="1" hidden="" ht="14" outlineLevel="0" r="10158">
      <c r="A10158" s="3" t="inlineStr">
        <is>
          <t>10121</t>
        </is>
      </c>
      <c r="B10158" s="4" t="s">
        <f>=HYPERLINK("http://anyluxury.ru/shop/odezhda/ofisnye-rubashki/rubashka-muzhskaya-s-dlinnim-rukavom-collar-belaya-1521260/" , "15212.60 Рубашка мужская с длинным рукавом Collar, белая, размер 70; 188")</f>
      </c>
      <c r="C10158" s="4" t="n">
        <v>2580.00</v>
      </c>
      <c r="D10158" s="4"/>
    </row>
    <row collapsed="" customFormat="false" customHeight="1" hidden="" ht="14" outlineLevel="0" r="10159">
      <c r="A10159" s="3" t="inlineStr">
        <is>
          <t>10122</t>
        </is>
      </c>
      <c r="B10159" s="4" t="s">
        <f>=HYPERLINK("http://anyluxury.ru/shop/odezhda/ofisnye-rubashki/rubashka-zhenskaya-s-korotkim-rukavom-collar-belaya-1721160/" , "17211.60 Рубашка женская с коротким рукавом Collar, белая , размер 42; 158-164")</f>
      </c>
      <c r="C10159" s="4" t="n">
        <v>1960.00</v>
      </c>
      <c r="D10159" s="4"/>
    </row>
    <row collapsed="" customFormat="false" customHeight="1" hidden="" ht="14" outlineLevel="0" r="10160">
      <c r="A10160" s="3" t="inlineStr">
        <is>
          <t>10123</t>
        </is>
      </c>
      <c r="B10160" s="4" t="s">
        <f>=HYPERLINK("http://anyluxury.ru/shop/odezhda/ofisnye-rubashki/rubashka-zhenskaya-s-korotkim-rukavom-collar-belaya-1721160/" , "17211.60 Рубашка женская с коротким рукавом Collar, белая, размер 42; 170-176")</f>
      </c>
      <c r="C10160" s="4" t="n">
        <v>1960.00</v>
      </c>
      <c r="D10160" s="4"/>
    </row>
    <row collapsed="" customFormat="false" customHeight="1" hidden="" ht="14" outlineLevel="0" r="10161">
      <c r="A10161" s="3" t="inlineStr">
        <is>
          <t>10124</t>
        </is>
      </c>
      <c r="B10161" s="4" t="s">
        <f>=HYPERLINK("http://anyluxury.ru/shop/odezhda/ofisnye-rubashki/rubashka-zhenskaya-s-korotkim-rukavom-collar-belaya-1721160/" , "17211.60 Рубашка женская с коротким рукавом Collar, белая, размер 44; 158-164")</f>
      </c>
      <c r="C10161" s="4" t="n">
        <v>1960.00</v>
      </c>
      <c r="D10161" s="4"/>
    </row>
    <row collapsed="" customFormat="false" customHeight="1" hidden="" ht="14" outlineLevel="0" r="10162">
      <c r="A10162" s="3" t="inlineStr">
        <is>
          <t>10125</t>
        </is>
      </c>
      <c r="B10162" s="4" t="s">
        <f>=HYPERLINK("http://anyluxury.ru/shop/odezhda/ofisnye-rubashki/rubashka-zhenskaya-s-korotkim-rukavom-collar-belaya-1721160/" , "17211.60 Рубашка женская с коротким рукавом Collar, белая, размер 44; 170-176")</f>
      </c>
      <c r="C10162" s="4" t="n">
        <v>1960.00</v>
      </c>
      <c r="D10162" s="4"/>
    </row>
    <row collapsed="" customFormat="false" customHeight="1" hidden="" ht="14" outlineLevel="0" r="10163">
      <c r="A10163" s="3" t="inlineStr">
        <is>
          <t>10126</t>
        </is>
      </c>
      <c r="B10163" s="4" t="s">
        <f>=HYPERLINK("http://anyluxury.ru/shop/odezhda/ofisnye-rubashki/rubashka-zhenskaya-s-korotkim-rukavom-collar-belaya-1721160/" , "17211.60 Рубашка женская с коротким рукавом Collar, белая, размер 46; 158-164")</f>
      </c>
      <c r="C10163" s="4" t="n">
        <v>1960.00</v>
      </c>
      <c r="D10163" s="4"/>
    </row>
    <row collapsed="" customFormat="false" customHeight="1" hidden="" ht="14" outlineLevel="0" r="10164">
      <c r="A10164" s="3" t="inlineStr">
        <is>
          <t>10127</t>
        </is>
      </c>
      <c r="B10164" s="4" t="s">
        <f>=HYPERLINK("http://anyluxury.ru/shop/odezhda/ofisnye-rubashki/rubashka-zhenskaya-s-korotkim-rukavom-collar-belaya-1721160/" , "17211.60 Рубашка женская с коротким рукавом Collar, белая, размер 46; 170-176")</f>
      </c>
      <c r="C10164" s="4" t="n">
        <v>1960.00</v>
      </c>
      <c r="D10164" s="4"/>
    </row>
    <row collapsed="" customFormat="false" customHeight="1" hidden="" ht="14" outlineLevel="0" r="10165">
      <c r="A10165" s="3" t="inlineStr">
        <is>
          <t>10128</t>
        </is>
      </c>
      <c r="B10165" s="4" t="s">
        <f>=HYPERLINK("http://anyluxury.ru/shop/odezhda/ofisnye-rubashki/rubashka-zhenskaya-s-korotkim-rukavom-collar-belaya-1721160/" , "17211.60 Рубашка женская с коротким рукавом Collar, белая, размер 48; 158-164")</f>
      </c>
      <c r="C10165" s="4" t="n">
        <v>1960.00</v>
      </c>
      <c r="D10165" s="4"/>
    </row>
    <row collapsed="" customFormat="false" customHeight="1" hidden="" ht="14" outlineLevel="0" r="10166">
      <c r="A10166" s="3" t="inlineStr">
        <is>
          <t>10129</t>
        </is>
      </c>
      <c r="B10166" s="4" t="s">
        <f>=HYPERLINK("http://anyluxury.ru/shop/odezhda/ofisnye-rubashki/rubashka-zhenskaya-s-korotkim-rukavom-collar-belaya-1721160/" , "17211.60 Рубашка женская с коротким рукавом Collar, белая, размер 48; 170-176")</f>
      </c>
      <c r="C10166" s="4" t="n">
        <v>1960.00</v>
      </c>
      <c r="D10166" s="4"/>
    </row>
    <row collapsed="" customFormat="false" customHeight="1" hidden="" ht="14" outlineLevel="0" r="10167">
      <c r="A10167" s="3" t="inlineStr">
        <is>
          <t>10130</t>
        </is>
      </c>
      <c r="B10167" s="4" t="s">
        <f>=HYPERLINK("http://anyluxury.ru/shop/odezhda/ofisnye-rubashki/rubashka-zhenskaya-s-korotkim-rukavom-collar-belaya-1721160/" , "17211.60 Рубашка женская с коротким рукавом Collar, белая, размер 50; 158-164")</f>
      </c>
      <c r="C10167" s="4" t="n">
        <v>1960.00</v>
      </c>
      <c r="D10167" s="4"/>
    </row>
    <row collapsed="" customFormat="false" customHeight="1" hidden="" ht="14" outlineLevel="0" r="10168">
      <c r="A10168" s="3" t="inlineStr">
        <is>
          <t>10131</t>
        </is>
      </c>
      <c r="B10168" s="4" t="s">
        <f>=HYPERLINK("http://anyluxury.ru/shop/odezhda/ofisnye-rubashki/rubashka-zhenskaya-s-korotkim-rukavom-collar-belaya-1721160/" , "17211.60 Рубашка женская с коротким рукавом Collar, белая, размер 50; 170-176")</f>
      </c>
      <c r="C10168" s="4" t="n">
        <v>1960.00</v>
      </c>
      <c r="D10168" s="4"/>
    </row>
    <row collapsed="" customFormat="false" customHeight="1" hidden="" ht="14" outlineLevel="0" r="10169">
      <c r="A10169" s="3" t="inlineStr">
        <is>
          <t>10132</t>
        </is>
      </c>
      <c r="B10169" s="4" t="s">
        <f>=HYPERLINK("http://anyluxury.ru/shop/odezhda/ofisnye-rubashki/rubashka-zhenskaya-s-korotkim-rukavom-collar-belaya-1721160/" , "17211.60 Рубашка женская с коротким рукавом Collar, белая, размер 52; 158-164")</f>
      </c>
      <c r="C10169" s="4" t="n">
        <v>1960.00</v>
      </c>
      <c r="D10169" s="4"/>
    </row>
    <row collapsed="" customFormat="false" customHeight="1" hidden="" ht="14" outlineLevel="0" r="10170">
      <c r="A10170" s="3" t="inlineStr">
        <is>
          <t>10133</t>
        </is>
      </c>
      <c r="B10170" s="4" t="s">
        <f>=HYPERLINK("http://anyluxury.ru/shop/odezhda/ofisnye-rubashki/rubashka-zhenskaya-s-korotkim-rukavom-collar-belaya-1721160/" , "17211.60 Рубашка женская с коротким рукавом Collar, белая, размер 52; 170-176")</f>
      </c>
      <c r="C10170" s="4" t="n">
        <v>1960.00</v>
      </c>
      <c r="D10170" s="4"/>
    </row>
    <row collapsed="" customFormat="false" customHeight="1" hidden="" ht="14" outlineLevel="0" r="10171">
      <c r="A10171" s="3" t="inlineStr">
        <is>
          <t>10134</t>
        </is>
      </c>
      <c r="B10171" s="4" t="s">
        <f>=HYPERLINK("http://anyluxury.ru/shop/odezhda/ofisnye-rubashki/rubashka-zhenskaya-s-korotkim-rukavom-collar-belaya-1721160/" , "17211.60 Рубашка женская с коротким рукавом Collar, белая, размер 54; 158-164")</f>
      </c>
      <c r="C10171" s="4" t="n">
        <v>1960.00</v>
      </c>
      <c r="D10171" s="4"/>
    </row>
    <row collapsed="" customFormat="false" customHeight="1" hidden="" ht="14" outlineLevel="0" r="10172">
      <c r="A10172" s="3" t="inlineStr">
        <is>
          <t>10135</t>
        </is>
      </c>
      <c r="B10172" s="4" t="s">
        <f>=HYPERLINK("http://anyluxury.ru/shop/odezhda/ofisnye-rubashki/rubashka-zhenskaya-s-korotkim-rukavom-collar-belaya-1721160/" , "17211.60 Рубашка женская с коротким рукавом Collar, белая, размер 54; 170-176")</f>
      </c>
      <c r="C10172" s="4" t="n">
        <v>1960.00</v>
      </c>
      <c r="D10172" s="4"/>
    </row>
    <row collapsed="" customFormat="false" customHeight="1" hidden="" ht="14" outlineLevel="0" r="10173">
      <c r="A10173" s="3" t="inlineStr">
        <is>
          <t>10136</t>
        </is>
      </c>
      <c r="B10173" s="4" t="s">
        <f>=HYPERLINK("http://anyluxury.ru/shop/odezhda/ofisnye-rubashki/rubashka-zhenskaya-s-korotkim-rukavom-collar-belaya-1721160/" , "17211.60 Рубашка женская с коротким рукавом Collar, белая, размер 56; 158-164")</f>
      </c>
      <c r="C10173" s="4" t="n">
        <v>1960.00</v>
      </c>
      <c r="D10173" s="4"/>
    </row>
    <row collapsed="" customFormat="false" customHeight="1" hidden="" ht="14" outlineLevel="0" r="10174">
      <c r="A10174" s="3" t="inlineStr">
        <is>
          <t>10137</t>
        </is>
      </c>
      <c r="B10174" s="4" t="s">
        <f>=HYPERLINK("http://anyluxury.ru/shop/odezhda/ofisnye-rubashki/rubashka-zhenskaya-s-korotkim-rukavom-collar-belaya-1721160/" , "17211.60 Рубашка женская с коротким рукавом Collar, белая, размер 56; 170-176")</f>
      </c>
      <c r="C10174" s="4" t="n">
        <v>1960.00</v>
      </c>
      <c r="D10174" s="4"/>
    </row>
    <row collapsed="" customFormat="false" customHeight="1" hidden="" ht="14" outlineLevel="0" r="10175">
      <c r="A10175" s="3" t="inlineStr">
        <is>
          <t>10138</t>
        </is>
      </c>
      <c r="B10175" s="4" t="s">
        <f>=HYPERLINK("http://anyluxury.ru/shop/odezhda/ofisnye-rubashki/rubashka-zhenskaya-s-korotkim-rukavom-collar-belaya-1721160/" , "17211.60 Рубашка женская с коротким рукавом Collar, белая, размер 58; 158-164")</f>
      </c>
      <c r="C10175" s="4" t="n">
        <v>1960.00</v>
      </c>
      <c r="D10175" s="4"/>
    </row>
    <row collapsed="" customFormat="false" customHeight="1" hidden="" ht="14" outlineLevel="0" r="10176">
      <c r="A10176" s="3" t="inlineStr">
        <is>
          <t>10139</t>
        </is>
      </c>
      <c r="B10176" s="4" t="s">
        <f>=HYPERLINK("http://anyluxury.ru/shop/odezhda/ofisnye-rubashki/rubashka-zhenskaya-s-korotkim-rukavom-collar-belaya-1721160/" , "17211.60 Рубашка женская с коротким рукавом Collar, белая, размер 58; 170-176")</f>
      </c>
      <c r="C10176" s="4" t="n">
        <v>1960.00</v>
      </c>
      <c r="D10176" s="4"/>
    </row>
    <row collapsed="" customFormat="false" customHeight="1" hidden="" ht="14" outlineLevel="0" r="10177">
      <c r="A10177" s="3" t="inlineStr">
        <is>
          <t>10140</t>
        </is>
      </c>
      <c r="B10177" s="4" t="s">
        <f>=HYPERLINK("http://anyluxury.ru/shop/odezhda/ofisnye-rubashki/rubashka-zhenskaya-s-korotkim-rukavom-collar-belaya-1721160/" , "17211.60 Рубашка женская с коротким рукавом Collar, белая, размер 60; 158-164")</f>
      </c>
      <c r="C10177" s="4" t="n">
        <v>1960.00</v>
      </c>
      <c r="D10177" s="4"/>
    </row>
    <row collapsed="" customFormat="false" customHeight="1" hidden="" ht="14" outlineLevel="0" r="10178">
      <c r="A10178" s="3" t="inlineStr">
        <is>
          <t>10141</t>
        </is>
      </c>
      <c r="B10178" s="4" t="s">
        <f>=HYPERLINK("http://anyluxury.ru/shop/odezhda/ofisnye-rubashki/rubashka-zhenskaya-s-korotkim-rukavom-collar-belaya-1721160/" , "17211.60 Рубашка женская с коротким рукавом Collar, белая, размер 60; 170-176")</f>
      </c>
      <c r="C10178" s="4" t="n">
        <v>1960.00</v>
      </c>
      <c r="D10178" s="4"/>
    </row>
    <row collapsed="" customFormat="false" customHeight="1" hidden="" ht="14" outlineLevel="0" r="10179">
      <c r="A10179" s="3" t="inlineStr">
        <is>
          <t>10142</t>
        </is>
      </c>
      <c r="B10179" s="4" t="s">
        <f>=HYPERLINK("http://anyluxury.ru/shop/odezhda/ofisnye-rubashki/rubashka-zhenskaya-s-korotkim-rukavom-collar-belaya-1721160/" , "17211.60 Рубашка женская с коротким рукавом Collar, белая, размер 62; 158-164")</f>
      </c>
      <c r="C10179" s="4" t="n">
        <v>1960.00</v>
      </c>
      <c r="D10179" s="4"/>
    </row>
    <row collapsed="" customFormat="false" customHeight="1" hidden="" ht="14" outlineLevel="0" r="10180">
      <c r="A10180" s="3" t="inlineStr">
        <is>
          <t>10143</t>
        </is>
      </c>
      <c r="B10180" s="4" t="s">
        <f>=HYPERLINK("http://anyluxury.ru/shop/odezhda/ofisnye-rubashki/rubashka-zhenskaya-s-korotkim-rukavom-collar-belaya-1721160/" , "17211.60 Рубашка женская с коротким рукавом Collar, белая, размер 62; 170-176")</f>
      </c>
      <c r="C10180" s="4" t="n">
        <v>1960.00</v>
      </c>
      <c r="D10180" s="4"/>
    </row>
    <row collapsed="" customFormat="false" customHeight="1" hidden="" ht="14" outlineLevel="0" r="10181">
      <c r="A10181" s="3" t="inlineStr">
        <is>
          <t>10144</t>
        </is>
      </c>
      <c r="B10181" s="4" t="s">
        <f>=HYPERLINK("http://anyluxury.ru/shop/odezhda/ofisnye-rubashki/rubashka-zhenskaya-s-korotkim-rukavom-collar-belaya-1721160/" , "17211.60 Рубашка женская с коротким рукавом Collar, белая, размер 64; 158-164")</f>
      </c>
      <c r="C10181" s="4" t="n">
        <v>1960.00</v>
      </c>
      <c r="D10181" s="4"/>
    </row>
    <row collapsed="" customFormat="false" customHeight="1" hidden="" ht="14" outlineLevel="0" r="10182">
      <c r="A10182" s="3" t="inlineStr">
        <is>
          <t>10145</t>
        </is>
      </c>
      <c r="B10182" s="4" t="s">
        <f>=HYPERLINK("http://anyluxury.ru/shop/odezhda/ofisnye-rubashki/rubashka-zhenskaya-s-korotkim-rukavom-collar-belaya-1721160/" , "17211.60 Рубашка женская с коротким рукавом Collar, белая, размер 64; 170-176")</f>
      </c>
      <c r="C10182" s="4" t="n">
        <v>1960.00</v>
      </c>
      <c r="D10182" s="4"/>
    </row>
    <row collapsed="" customFormat="false" customHeight="1" hidden="" ht="14" outlineLevel="0" r="10183">
      <c r="A10183" s="3" t="inlineStr">
        <is>
          <t>10146</t>
        </is>
      </c>
      <c r="B10183" s="4" t="s">
        <f>=HYPERLINK("http://anyluxury.ru/shop/odezhda/ofisnye-rubashki/rubashka-zhenskaya-s-korotkim-rukavom-collar-belaya-1721160/" , "17211.60 Рубашка женская с коротким рукавом Collar, белая, размер 66; 158-164")</f>
      </c>
      <c r="C10183" s="4" t="n">
        <v>1960.00</v>
      </c>
      <c r="D10183" s="4"/>
    </row>
    <row collapsed="" customFormat="false" customHeight="1" hidden="" ht="14" outlineLevel="0" r="10184">
      <c r="A10184" s="3" t="inlineStr">
        <is>
          <t>10147</t>
        </is>
      </c>
      <c r="B10184" s="4" t="s">
        <f>=HYPERLINK("http://anyluxury.ru/shop/odezhda/ofisnye-rubashki/rubashka-zhenskaya-s-korotkim-rukavom-collar-belaya-1721160/" , "17211.60 Рубашка женская с коротким рукавом Collar, белая, размер 66; 170-176")</f>
      </c>
      <c r="C10184" s="4" t="n">
        <v>1960.00</v>
      </c>
      <c r="D10184" s="4"/>
    </row>
    <row collapsed="" customFormat="false" customHeight="1" hidden="" ht="14" outlineLevel="0" r="10185">
      <c r="A10185" s="3" t="inlineStr">
        <is>
          <t>10148</t>
        </is>
      </c>
      <c r="B10185" s="4" t="s">
        <f>=HYPERLINK("http://anyluxury.ru/shop/odezhda/ofisnye-rubashki/rubashka-zhenskaya-s-korotkim-rukavom-collar-belaya-1721160/" , "17211.60 Рубашка женская с коротким рукавом Collar, белая, размер 68; 158-164")</f>
      </c>
      <c r="C10185" s="4" t="n">
        <v>1960.00</v>
      </c>
      <c r="D10185" s="4"/>
    </row>
    <row collapsed="" customFormat="false" customHeight="1" hidden="" ht="14" outlineLevel="0" r="10186">
      <c r="A10186" s="3" t="inlineStr">
        <is>
          <t>10149</t>
        </is>
      </c>
      <c r="B10186" s="4" t="s">
        <f>=HYPERLINK("http://anyluxury.ru/shop/odezhda/ofisnye-rubashki/rubashka-zhenskaya-s-korotkim-rukavom-collar-belaya-1721160/" , "17211.60 Рубашка женская с коротким рукавом Collar, белая, размер 68; 170-176")</f>
      </c>
      <c r="C10186" s="4" t="n">
        <v>1960.00</v>
      </c>
      <c r="D10186" s="4"/>
    </row>
    <row collapsed="" customFormat="false" customHeight="1" hidden="" ht="14" outlineLevel="0" r="10187">
      <c r="A10187" s="3" t="inlineStr">
        <is>
          <t>10150</t>
        </is>
      </c>
      <c r="B10187" s="4" t="s">
        <f>=HYPERLINK("http://anyluxury.ru/shop/odezhda/ofisnye-rubashki/rubashka-zhenskaya-s-korotkim-rukavom-collar-belaya-1721160/" , "17211.60 Рубашка женская с коротким рукавом Collar, белая, размер 70; 158-164")</f>
      </c>
      <c r="C10187" s="4" t="n">
        <v>1960.00</v>
      </c>
      <c r="D10187" s="4"/>
    </row>
    <row collapsed="" customFormat="false" customHeight="1" hidden="" ht="14" outlineLevel="0" r="10188">
      <c r="A10188" s="3" t="inlineStr">
        <is>
          <t>10151</t>
        </is>
      </c>
      <c r="B10188" s="4" t="s">
        <f>=HYPERLINK("http://anyluxury.ru/shop/odezhda/ofisnye-rubashki/rubashka-zhenskaya-s-korotkim-rukavom-collar-belaya-1721160/" , "17211.60 Рубашка женская с коротким рукавом Collar, белая, размер 70; 170-176")</f>
      </c>
      <c r="C10188" s="4" t="n">
        <v>1960.00</v>
      </c>
      <c r="D10188" s="4"/>
    </row>
    <row collapsed="" customFormat="false" customHeight="1" hidden="" ht="14" outlineLevel="0" r="10189">
      <c r="A10189" s="3" t="inlineStr">
        <is>
          <t>10152</t>
        </is>
      </c>
      <c r="B10189" s="4" t="s">
        <f>=HYPERLINK("http://anyluxury.ru/shop/odezhda/ofisnye-rubashki/rubashka-muzhskaya-s-korotkim-rukavom-collar-belaya-1721260/" , "17212.60 Рубашка мужская с коротким рукавом Collar, белая, размер 42; 176")</f>
      </c>
      <c r="C10189" s="4" t="n">
        <v>2320.00</v>
      </c>
      <c r="D10189" s="4"/>
    </row>
    <row collapsed="" customFormat="false" customHeight="1" hidden="" ht="14" outlineLevel="0" r="10190">
      <c r="A10190" s="3" t="inlineStr">
        <is>
          <t>10153</t>
        </is>
      </c>
      <c r="B10190" s="4" t="s">
        <f>=HYPERLINK("http://anyluxury.ru/shop/odezhda/ofisnye-rubashki/rubashka-muzhskaya-s-korotkim-rukavom-collar-belaya-1721260/" , "17212.60 Рубашка мужская с коротким рукавом Collar, белая, размер 42; 182")</f>
      </c>
      <c r="C10190" s="4" t="n">
        <v>2320.00</v>
      </c>
      <c r="D10190" s="4"/>
    </row>
    <row collapsed="" customFormat="false" customHeight="1" hidden="" ht="14" outlineLevel="0" r="10191">
      <c r="A10191" s="3" t="inlineStr">
        <is>
          <t>10154</t>
        </is>
      </c>
      <c r="B10191" s="4" t="s">
        <f>=HYPERLINK("http://anyluxury.ru/shop/odezhda/ofisnye-rubashki/rubashka-muzhskaya-s-korotkim-rukavom-collar-belaya-1721260/" , "17212.60 Рубашка мужская с коротким рукавом Collar, белая, размер 42; 188")</f>
      </c>
      <c r="C10191" s="4" t="n">
        <v>2320.00</v>
      </c>
      <c r="D10191" s="4"/>
    </row>
    <row collapsed="" customFormat="false" customHeight="1" hidden="" ht="14" outlineLevel="0" r="10192">
      <c r="A10192" s="3" t="inlineStr">
        <is>
          <t>10155</t>
        </is>
      </c>
      <c r="B10192" s="4" t="s">
        <f>=HYPERLINK("http://anyluxury.ru/shop/odezhda/ofisnye-rubashki/rubashka-muzhskaya-s-korotkim-rukavom-collar-belaya-1721260/" , "17212.60 Рубашка мужская с коротким рукавом Collar, белая, размер 44; 176")</f>
      </c>
      <c r="C10192" s="4" t="n">
        <v>2320.00</v>
      </c>
      <c r="D10192" s="4"/>
    </row>
    <row collapsed="" customFormat="false" customHeight="1" hidden="" ht="14" outlineLevel="0" r="10193">
      <c r="A10193" s="3" t="inlineStr">
        <is>
          <t>10156</t>
        </is>
      </c>
      <c r="B10193" s="4" t="s">
        <f>=HYPERLINK("http://anyluxury.ru/shop/odezhda/ofisnye-rubashki/rubashka-muzhskaya-s-korotkim-rukavom-collar-belaya-1721260/" , "17212.60 Рубашка мужская с коротким рукавом Collar, белая, размер 44; 182")</f>
      </c>
      <c r="C10193" s="4" t="n">
        <v>2320.00</v>
      </c>
      <c r="D10193" s="4"/>
    </row>
    <row collapsed="" customFormat="false" customHeight="1" hidden="" ht="14" outlineLevel="0" r="10194">
      <c r="A10194" s="3" t="inlineStr">
        <is>
          <t>10157</t>
        </is>
      </c>
      <c r="B10194" s="4" t="s">
        <f>=HYPERLINK("http://anyluxury.ru/shop/odezhda/ofisnye-rubashki/rubashka-muzhskaya-s-korotkim-rukavom-collar-belaya-1721260/" , "17212.60 Рубашка мужская с коротким рукавом Collar, белая, размер 44; 188")</f>
      </c>
      <c r="C10194" s="4" t="n">
        <v>2320.00</v>
      </c>
      <c r="D10194" s="4"/>
    </row>
    <row collapsed="" customFormat="false" customHeight="1" hidden="" ht="14" outlineLevel="0" r="10195">
      <c r="A10195" s="3" t="inlineStr">
        <is>
          <t>10158</t>
        </is>
      </c>
      <c r="B10195" s="4" t="s">
        <f>=HYPERLINK("http://anyluxury.ru/shop/odezhda/ofisnye-rubashki/rubashka-muzhskaya-s-korotkim-rukavom-collar-belaya-1721260/" , "17212.60 Рубашка мужская с коротким рукавом Collar, белая, размер 46; 176")</f>
      </c>
      <c r="C10195" s="4" t="n">
        <v>2320.00</v>
      </c>
      <c r="D10195" s="4"/>
    </row>
    <row collapsed="" customFormat="false" customHeight="1" hidden="" ht="14" outlineLevel="0" r="10196">
      <c r="A10196" s="3" t="inlineStr">
        <is>
          <t>10159</t>
        </is>
      </c>
      <c r="B10196" s="4" t="s">
        <f>=HYPERLINK("http://anyluxury.ru/shop/odezhda/ofisnye-rubashki/rubashka-muzhskaya-s-korotkim-rukavom-collar-belaya-1721260/" , "17212.60 Рубашка мужская с коротким рукавом Collar, белая, размер 46; 182")</f>
      </c>
      <c r="C10196" s="4" t="n">
        <v>2320.00</v>
      </c>
      <c r="D10196" s="4"/>
    </row>
    <row collapsed="" customFormat="false" customHeight="1" hidden="" ht="14" outlineLevel="0" r="10197">
      <c r="A10197" s="3" t="inlineStr">
        <is>
          <t>10160</t>
        </is>
      </c>
      <c r="B10197" s="4" t="s">
        <f>=HYPERLINK("http://anyluxury.ru/shop/odezhda/ofisnye-rubashki/rubashka-muzhskaya-s-korotkim-rukavom-collar-belaya-1721260/" , "17212.60 Рубашка мужская с коротким рукавом Collar, белая, размер 46; 188")</f>
      </c>
      <c r="C10197" s="4" t="n">
        <v>2320.00</v>
      </c>
      <c r="D10197" s="4"/>
    </row>
    <row collapsed="" customFormat="false" customHeight="1" hidden="" ht="14" outlineLevel="0" r="10198">
      <c r="A10198" s="3" t="inlineStr">
        <is>
          <t>10161</t>
        </is>
      </c>
      <c r="B10198" s="4" t="s">
        <f>=HYPERLINK("http://anyluxury.ru/shop/odezhda/ofisnye-rubashki/rubashka-muzhskaya-s-korotkim-rukavom-collar-belaya-1721260/" , "17212.60 Рубашка мужская с коротким рукавом Collar, белая, размер 48; 176")</f>
      </c>
      <c r="C10198" s="4" t="n">
        <v>2320.00</v>
      </c>
      <c r="D10198" s="4"/>
    </row>
    <row collapsed="" customFormat="false" customHeight="1" hidden="" ht="14" outlineLevel="0" r="10199">
      <c r="A10199" s="3" t="inlineStr">
        <is>
          <t>10162</t>
        </is>
      </c>
      <c r="B10199" s="4" t="s">
        <f>=HYPERLINK("http://anyluxury.ru/shop/odezhda/ofisnye-rubashki/rubashka-muzhskaya-s-korotkim-rukavom-collar-belaya-1721260/" , "17212.60 Рубашка мужская с коротким рукавом Collar, белая, размер 48; 182")</f>
      </c>
      <c r="C10199" s="4" t="n">
        <v>2320.00</v>
      </c>
      <c r="D10199" s="4"/>
    </row>
    <row collapsed="" customFormat="false" customHeight="1" hidden="" ht="14" outlineLevel="0" r="10200">
      <c r="A10200" s="3" t="inlineStr">
        <is>
          <t>10163</t>
        </is>
      </c>
      <c r="B10200" s="4" t="s">
        <f>=HYPERLINK("http://anyluxury.ru/shop/odezhda/ofisnye-rubashki/rubashka-muzhskaya-s-korotkim-rukavom-collar-belaya-1721260/" , "17212.60 Рубашка мужская с коротким рукавом Collar, белая, размер 48; 188")</f>
      </c>
      <c r="C10200" s="4" t="n">
        <v>2320.00</v>
      </c>
      <c r="D10200" s="4"/>
    </row>
    <row collapsed="" customFormat="false" customHeight="1" hidden="" ht="14" outlineLevel="0" r="10201">
      <c r="A10201" s="3" t="inlineStr">
        <is>
          <t>10164</t>
        </is>
      </c>
      <c r="B10201" s="4" t="s">
        <f>=HYPERLINK("http://anyluxury.ru/shop/odezhda/ofisnye-rubashki/rubashka-muzhskaya-s-korotkim-rukavom-collar-belaya-1721260/" , "17212.60 Рубашка мужская с коротким рукавом Collar, белая, размер 50; 176")</f>
      </c>
      <c r="C10201" s="4" t="n">
        <v>2320.00</v>
      </c>
      <c r="D10201" s="4"/>
    </row>
    <row collapsed="" customFormat="false" customHeight="1" hidden="" ht="14" outlineLevel="0" r="10202">
      <c r="A10202" s="3" t="inlineStr">
        <is>
          <t>10165</t>
        </is>
      </c>
      <c r="B10202" s="4" t="s">
        <f>=HYPERLINK("http://anyluxury.ru/shop/odezhda/ofisnye-rubashki/rubashka-muzhskaya-s-korotkim-rukavom-collar-belaya-1721260/" , "17212.60 Рубашка мужская с коротким рукавом Collar, белая, размер 50; 182")</f>
      </c>
      <c r="C10202" s="4" t="n">
        <v>2320.00</v>
      </c>
      <c r="D10202" s="4"/>
    </row>
    <row collapsed="" customFormat="false" customHeight="1" hidden="" ht="14" outlineLevel="0" r="10203">
      <c r="A10203" s="3" t="inlineStr">
        <is>
          <t>10166</t>
        </is>
      </c>
      <c r="B10203" s="4" t="s">
        <f>=HYPERLINK("http://anyluxury.ru/shop/odezhda/ofisnye-rubashki/rubashka-muzhskaya-s-korotkim-rukavom-collar-belaya-1721260/" , "17212.60 Рубашка мужская с коротким рукавом Collar, белая, размер 50; 188")</f>
      </c>
      <c r="C10203" s="4" t="n">
        <v>2320.00</v>
      </c>
      <c r="D10203" s="4"/>
    </row>
    <row collapsed="" customFormat="false" customHeight="1" hidden="" ht="14" outlineLevel="0" r="10204">
      <c r="A10204" s="3" t="inlineStr">
        <is>
          <t>10167</t>
        </is>
      </c>
      <c r="B10204" s="4" t="s">
        <f>=HYPERLINK("http://anyluxury.ru/shop/odezhda/ofisnye-rubashki/rubashka-muzhskaya-s-korotkim-rukavom-collar-belaya-1721260/" , "17212.60 Рубашка мужская с коротким рукавом Collar, белая, размер 52; 176")</f>
      </c>
      <c r="C10204" s="4" t="n">
        <v>2320.00</v>
      </c>
      <c r="D10204" s="4"/>
    </row>
    <row collapsed="" customFormat="false" customHeight="1" hidden="" ht="14" outlineLevel="0" r="10205">
      <c r="A10205" s="3" t="inlineStr">
        <is>
          <t>10168</t>
        </is>
      </c>
      <c r="B10205" s="4" t="s">
        <f>=HYPERLINK("http://anyluxury.ru/shop/odezhda/ofisnye-rubashki/rubashka-muzhskaya-s-korotkim-rukavom-collar-belaya-1721260/" , "17212.60 Рубашка мужская с коротким рукавом Collar, белая, размер 52; 182")</f>
      </c>
      <c r="C10205" s="4" t="n">
        <v>2320.00</v>
      </c>
      <c r="D10205" s="4"/>
    </row>
    <row collapsed="" customFormat="false" customHeight="1" hidden="" ht="14" outlineLevel="0" r="10206">
      <c r="A10206" s="3" t="inlineStr">
        <is>
          <t>10169</t>
        </is>
      </c>
      <c r="B10206" s="4" t="s">
        <f>=HYPERLINK("http://anyluxury.ru/shop/odezhda/ofisnye-rubashki/rubashka-muzhskaya-s-korotkim-rukavom-collar-belaya-1721260/" , "17212.60 Рубашка мужская с коротким рукавом Collar, белая, размер 52; 188")</f>
      </c>
      <c r="C10206" s="4" t="n">
        <v>2320.00</v>
      </c>
      <c r="D10206" s="4"/>
    </row>
    <row collapsed="" customFormat="false" customHeight="1" hidden="" ht="14" outlineLevel="0" r="10207">
      <c r="A10207" s="3" t="inlineStr">
        <is>
          <t>10170</t>
        </is>
      </c>
      <c r="B10207" s="4" t="s">
        <f>=HYPERLINK("http://anyluxury.ru/shop/odezhda/ofisnye-rubashki/rubashka-muzhskaya-s-korotkim-rukavom-collar-belaya-1721260/" , "17212.60 Рубашка мужская с коротким рукавом Collar, белая, размер 54; 176")</f>
      </c>
      <c r="C10207" s="4" t="n">
        <v>2320.00</v>
      </c>
      <c r="D10207" s="4"/>
    </row>
    <row collapsed="" customFormat="false" customHeight="1" hidden="" ht="14" outlineLevel="0" r="10208">
      <c r="A10208" s="3" t="inlineStr">
        <is>
          <t>10171</t>
        </is>
      </c>
      <c r="B10208" s="4" t="s">
        <f>=HYPERLINK("http://anyluxury.ru/shop/odezhda/ofisnye-rubashki/rubashka-muzhskaya-s-korotkim-rukavom-collar-belaya-1721260/" , "17212.60 Рубашка мужская с коротким рукавом Collar, белая, размер 54; 182")</f>
      </c>
      <c r="C10208" s="4" t="n">
        <v>2320.00</v>
      </c>
      <c r="D10208" s="4"/>
    </row>
    <row collapsed="" customFormat="false" customHeight="1" hidden="" ht="14" outlineLevel="0" r="10209">
      <c r="A10209" s="3" t="inlineStr">
        <is>
          <t>10172</t>
        </is>
      </c>
      <c r="B10209" s="4" t="s">
        <f>=HYPERLINK("http://anyluxury.ru/shop/odezhda/ofisnye-rubashki/rubashka-muzhskaya-s-korotkim-rukavom-collar-belaya-1721260/" , "17212.60 Рубашка мужская с коротким рукавом Collar, белая, размер 54; 188")</f>
      </c>
      <c r="C10209" s="4" t="n">
        <v>2320.00</v>
      </c>
      <c r="D10209" s="4"/>
    </row>
    <row collapsed="" customFormat="false" customHeight="1" hidden="" ht="14" outlineLevel="0" r="10210">
      <c r="A10210" s="3" t="inlineStr">
        <is>
          <t>10173</t>
        </is>
      </c>
      <c r="B10210" s="4" t="s">
        <f>=HYPERLINK("http://anyluxury.ru/shop/odezhda/ofisnye-rubashki/rubashka-muzhskaya-s-korotkim-rukavom-collar-belaya-1721260/" , "17212.60 Рубашка мужская с коротким рукавом Collar, белая, размер 56; 176")</f>
      </c>
      <c r="C10210" s="4" t="n">
        <v>2320.00</v>
      </c>
      <c r="D10210" s="4"/>
    </row>
    <row collapsed="" customFormat="false" customHeight="1" hidden="" ht="14" outlineLevel="0" r="10211">
      <c r="A10211" s="3" t="inlineStr">
        <is>
          <t>10174</t>
        </is>
      </c>
      <c r="B10211" s="4" t="s">
        <f>=HYPERLINK("http://anyluxury.ru/shop/odezhda/ofisnye-rubashki/rubashka-muzhskaya-s-korotkim-rukavom-collar-belaya-1721260/" , "17212.60 Рубашка мужская с коротким рукавом Collar, белая, размер 56; 182")</f>
      </c>
      <c r="C10211" s="4" t="n">
        <v>2320.00</v>
      </c>
      <c r="D10211" s="4"/>
    </row>
    <row collapsed="" customFormat="false" customHeight="1" hidden="" ht="14" outlineLevel="0" r="10212">
      <c r="A10212" s="3" t="inlineStr">
        <is>
          <t>10175</t>
        </is>
      </c>
      <c r="B10212" s="4" t="s">
        <f>=HYPERLINK("http://anyluxury.ru/shop/odezhda/ofisnye-rubashki/rubashka-muzhskaya-s-korotkim-rukavom-collar-belaya-1721260/" , "17212.60 Рубашка мужская с коротким рукавом Collar, белая, размер 56; 188")</f>
      </c>
      <c r="C10212" s="4" t="n">
        <v>2320.00</v>
      </c>
      <c r="D10212" s="4"/>
    </row>
    <row collapsed="" customFormat="false" customHeight="1" hidden="" ht="14" outlineLevel="0" r="10213">
      <c r="A10213" s="3" t="inlineStr">
        <is>
          <t>10176</t>
        </is>
      </c>
      <c r="B10213" s="4" t="s">
        <f>=HYPERLINK("http://anyluxury.ru/shop/odezhda/ofisnye-rubashki/rubashka-muzhskaya-s-korotkim-rukavom-collar-belaya-1721260/" , "17212.60 Рубашка мужская с коротким рукавом Collar, белая, размер 58; 176")</f>
      </c>
      <c r="C10213" s="4" t="n">
        <v>2320.00</v>
      </c>
      <c r="D10213" s="4"/>
    </row>
    <row collapsed="" customFormat="false" customHeight="1" hidden="" ht="14" outlineLevel="0" r="10214">
      <c r="A10214" s="3" t="inlineStr">
        <is>
          <t>10177</t>
        </is>
      </c>
      <c r="B10214" s="4" t="s">
        <f>=HYPERLINK("http://anyluxury.ru/shop/odezhda/ofisnye-rubashki/rubashka-muzhskaya-s-korotkim-rukavom-collar-belaya-1721260/" , "17212.60 Рубашка мужская с коротким рукавом Collar, белая, размер 58; 182")</f>
      </c>
      <c r="C10214" s="4" t="n">
        <v>2320.00</v>
      </c>
      <c r="D10214" s="4"/>
    </row>
    <row collapsed="" customFormat="false" customHeight="1" hidden="" ht="14" outlineLevel="0" r="10215">
      <c r="A10215" s="3" t="inlineStr">
        <is>
          <t>10178</t>
        </is>
      </c>
      <c r="B10215" s="4" t="s">
        <f>=HYPERLINK("http://anyluxury.ru/shop/odezhda/ofisnye-rubashki/rubashka-muzhskaya-s-korotkim-rukavom-collar-belaya-1721260/" , "17212.60 Рубашка мужская с коротким рукавом Collar, белая, размер 58; 188")</f>
      </c>
      <c r="C10215" s="4" t="n">
        <v>2320.00</v>
      </c>
      <c r="D10215" s="4"/>
    </row>
    <row collapsed="" customFormat="false" customHeight="1" hidden="" ht="14" outlineLevel="0" r="10216">
      <c r="A10216" s="3" t="inlineStr">
        <is>
          <t>10179</t>
        </is>
      </c>
      <c r="B10216" s="4" t="s">
        <f>=HYPERLINK("http://anyluxury.ru/shop/odezhda/ofisnye-rubashki/rubashka-muzhskaya-s-korotkim-rukavom-collar-belaya-1721260/" , "17212.60 Рубашка мужская с коротким рукавом Collar, белая, размер 60; 176")</f>
      </c>
      <c r="C10216" s="4" t="n">
        <v>2320.00</v>
      </c>
      <c r="D10216" s="4"/>
    </row>
    <row collapsed="" customFormat="false" customHeight="1" hidden="" ht="14" outlineLevel="0" r="10217">
      <c r="A10217" s="3" t="inlineStr">
        <is>
          <t>10180</t>
        </is>
      </c>
      <c r="B10217" s="4" t="s">
        <f>=HYPERLINK("http://anyluxury.ru/shop/odezhda/ofisnye-rubashki/rubashka-muzhskaya-s-korotkim-rukavom-collar-belaya-1721260/" , "17212.60 Рубашка мужская с коротким рукавом Collar, белая, размер 60; 182")</f>
      </c>
      <c r="C10217" s="4" t="n">
        <v>2320.00</v>
      </c>
      <c r="D10217" s="4"/>
    </row>
    <row collapsed="" customFormat="false" customHeight="1" hidden="" ht="14" outlineLevel="0" r="10218">
      <c r="A10218" s="3" t="inlineStr">
        <is>
          <t>10181</t>
        </is>
      </c>
      <c r="B10218" s="4" t="s">
        <f>=HYPERLINK("http://anyluxury.ru/shop/odezhda/ofisnye-rubashki/rubashka-muzhskaya-s-korotkim-rukavom-collar-belaya-1721260/" , "17212.60 Рубашка мужская с коротким рукавом Collar, белая, размер 60; 188")</f>
      </c>
      <c r="C10218" s="4" t="n">
        <v>2320.00</v>
      </c>
      <c r="D10218" s="4"/>
    </row>
    <row collapsed="" customFormat="false" customHeight="1" hidden="" ht="14" outlineLevel="0" r="10219">
      <c r="A10219" s="3" t="inlineStr">
        <is>
          <t>10182</t>
        </is>
      </c>
      <c r="B10219" s="4" t="s">
        <f>=HYPERLINK("http://anyluxury.ru/shop/odezhda/ofisnye-rubashki/rubashka-muzhskaya-s-korotkim-rukavom-collar-belaya-1721260/" , "17212.60 Рубашка мужская с коротким рукавом Collar, белая, размер 62; 176")</f>
      </c>
      <c r="C10219" s="4" t="n">
        <v>2320.00</v>
      </c>
      <c r="D10219" s="4"/>
    </row>
    <row collapsed="" customFormat="false" customHeight="1" hidden="" ht="14" outlineLevel="0" r="10220">
      <c r="A10220" s="3" t="inlineStr">
        <is>
          <t>10183</t>
        </is>
      </c>
      <c r="B10220" s="4" t="s">
        <f>=HYPERLINK("http://anyluxury.ru/shop/odezhda/ofisnye-rubashki/rubashka-muzhskaya-s-korotkim-rukavom-collar-belaya-1721260/" , "17212.60 Рубашка мужская с коротким рукавом Collar, белая, размер 62; 182")</f>
      </c>
      <c r="C10220" s="4" t="n">
        <v>2320.00</v>
      </c>
      <c r="D10220" s="4"/>
    </row>
    <row collapsed="" customFormat="false" customHeight="1" hidden="" ht="14" outlineLevel="0" r="10221">
      <c r="A10221" s="3" t="inlineStr">
        <is>
          <t>10184</t>
        </is>
      </c>
      <c r="B10221" s="4" t="s">
        <f>=HYPERLINK("http://anyluxury.ru/shop/odezhda/ofisnye-rubashki/rubashka-muzhskaya-s-korotkim-rukavom-collar-belaya-1721260/" , "17212.60 Рубашка мужская с коротким рукавом Collar, белая, размер 62; 188")</f>
      </c>
      <c r="C10221" s="4" t="n">
        <v>2320.00</v>
      </c>
      <c r="D10221" s="4"/>
    </row>
    <row collapsed="" customFormat="false" customHeight="1" hidden="" ht="14" outlineLevel="0" r="10222">
      <c r="A10222" s="3" t="inlineStr">
        <is>
          <t>10185</t>
        </is>
      </c>
      <c r="B10222" s="4" t="s">
        <f>=HYPERLINK("http://anyluxury.ru/shop/odezhda/ofisnye-rubashki/rubashka-muzhskaya-s-korotkim-rukavom-collar-belaya-1721260/" , "17212.60 Рубашка мужская с коротким рукавом Collar, белая, размер 64; 176")</f>
      </c>
      <c r="C10222" s="4" t="n">
        <v>2320.00</v>
      </c>
      <c r="D10222" s="4"/>
    </row>
    <row collapsed="" customFormat="false" customHeight="1" hidden="" ht="14" outlineLevel="0" r="10223">
      <c r="A10223" s="3" t="inlineStr">
        <is>
          <t>10186</t>
        </is>
      </c>
      <c r="B10223" s="4" t="s">
        <f>=HYPERLINK("http://anyluxury.ru/shop/odezhda/ofisnye-rubashki/rubashka-muzhskaya-s-korotkim-rukavom-collar-belaya-1721260/" , "17212.60 Рубашка мужская с коротким рукавом Collar, белая, размер 64; 182")</f>
      </c>
      <c r="C10223" s="4" t="n">
        <v>2320.00</v>
      </c>
      <c r="D10223" s="4"/>
    </row>
    <row collapsed="" customFormat="false" customHeight="1" hidden="" ht="14" outlineLevel="0" r="10224">
      <c r="A10224" s="3" t="inlineStr">
        <is>
          <t>10187</t>
        </is>
      </c>
      <c r="B10224" s="4" t="s">
        <f>=HYPERLINK("http://anyluxury.ru/shop/odezhda/ofisnye-rubashki/rubashka-muzhskaya-s-korotkim-rukavom-collar-belaya-1721260/" , "17212.60 Рубашка мужская с коротким рукавом Collar, белая, размер 64; 188")</f>
      </c>
      <c r="C10224" s="4" t="n">
        <v>2320.00</v>
      </c>
      <c r="D10224" s="4"/>
    </row>
    <row collapsed="" customFormat="false" customHeight="1" hidden="" ht="14" outlineLevel="0" r="10225">
      <c r="A10225" s="3" t="inlineStr">
        <is>
          <t>10188</t>
        </is>
      </c>
      <c r="B10225" s="4" t="s">
        <f>=HYPERLINK("http://anyluxury.ru/shop/odezhda/ofisnye-rubashki/rubashka-muzhskaya-s-korotkim-rukavom-collar-belaya-1721260/" , "17212.60 Рубашка мужская с коротким рукавом Collar, белая, размер 66; 176")</f>
      </c>
      <c r="C10225" s="4" t="n">
        <v>2320.00</v>
      </c>
      <c r="D10225" s="4"/>
    </row>
    <row collapsed="" customFormat="false" customHeight="1" hidden="" ht="14" outlineLevel="0" r="10226">
      <c r="A10226" s="3" t="inlineStr">
        <is>
          <t>10189</t>
        </is>
      </c>
      <c r="B10226" s="4" t="s">
        <f>=HYPERLINK("http://anyluxury.ru/shop/odezhda/ofisnye-rubashki/rubashka-muzhskaya-s-korotkim-rukavom-collar-belaya-1721260/" , "17212.60 Рубашка мужская с коротким рукавом Collar, белая, размер 66; 182")</f>
      </c>
      <c r="C10226" s="4" t="n">
        <v>2320.00</v>
      </c>
      <c r="D10226" s="4"/>
    </row>
    <row collapsed="" customFormat="false" customHeight="1" hidden="" ht="14" outlineLevel="0" r="10227">
      <c r="A10227" s="3" t="inlineStr">
        <is>
          <t>10190</t>
        </is>
      </c>
      <c r="B10227" s="4" t="s">
        <f>=HYPERLINK("http://anyluxury.ru/shop/odezhda/ofisnye-rubashki/rubashka-muzhskaya-s-korotkim-rukavom-collar-belaya-1721260/" , "17212.60 Рубашка мужская с коротким рукавом Collar, белая, размер 66; 188")</f>
      </c>
      <c r="C10227" s="4" t="n">
        <v>2320.00</v>
      </c>
      <c r="D10227" s="4"/>
    </row>
    <row collapsed="" customFormat="false" customHeight="1" hidden="" ht="14" outlineLevel="0" r="10228">
      <c r="A10228" s="3" t="inlineStr">
        <is>
          <t>10191</t>
        </is>
      </c>
      <c r="B10228" s="4" t="s">
        <f>=HYPERLINK("http://anyluxury.ru/shop/odezhda/ofisnye-rubashki/rubashka-muzhskaya-s-korotkim-rukavom-collar-belaya-1721260/" , "17212.60 Рубашка мужская с коротким рукавом Collar, белая, размер 68; 176")</f>
      </c>
      <c r="C10228" s="4" t="n">
        <v>2320.00</v>
      </c>
      <c r="D10228" s="4"/>
    </row>
    <row collapsed="" customFormat="false" customHeight="1" hidden="" ht="14" outlineLevel="0" r="10229">
      <c r="A10229" s="3" t="inlineStr">
        <is>
          <t>10192</t>
        </is>
      </c>
      <c r="B10229" s="4" t="s">
        <f>=HYPERLINK("http://anyluxury.ru/shop/odezhda/ofisnye-rubashki/rubashka-muzhskaya-s-korotkim-rukavom-collar-belaya-1721260/" , "17212.60 Рубашка мужская с коротким рукавом Collar, белая, размер 68; 182")</f>
      </c>
      <c r="C10229" s="4" t="n">
        <v>2320.00</v>
      </c>
      <c r="D10229" s="4"/>
    </row>
    <row collapsed="" customFormat="false" customHeight="1" hidden="" ht="14" outlineLevel="0" r="10230">
      <c r="A10230" s="3" t="inlineStr">
        <is>
          <t>10193</t>
        </is>
      </c>
      <c r="B10230" s="4" t="s">
        <f>=HYPERLINK("http://anyluxury.ru/shop/odezhda/ofisnye-rubashki/rubashka-muzhskaya-s-korotkim-rukavom-collar-belaya-1721260/" , "17212.60 Рубашка мужская с коротким рукавом Collar, белая, размер 68; 188")</f>
      </c>
      <c r="C10230" s="4" t="n">
        <v>2320.00</v>
      </c>
      <c r="D10230" s="4"/>
    </row>
    <row collapsed="" customFormat="false" customHeight="1" hidden="" ht="14" outlineLevel="0" r="10231">
      <c r="A10231" s="3" t="inlineStr">
        <is>
          <t>10194</t>
        </is>
      </c>
      <c r="B10231" s="4" t="s">
        <f>=HYPERLINK("http://anyluxury.ru/shop/odezhda/ofisnye-rubashki/rubashka-muzhskaya-s-korotkim-rukavom-collar-belaya-1721260/" , "17212.60 Рубашка мужская с коротким рукавом Collar, белая, размер 70; 176")</f>
      </c>
      <c r="C10231" s="4" t="n">
        <v>2320.00</v>
      </c>
      <c r="D10231" s="4"/>
    </row>
    <row collapsed="" customFormat="false" customHeight="1" hidden="" ht="14" outlineLevel="0" r="10232">
      <c r="A10232" s="3" t="inlineStr">
        <is>
          <t>10195</t>
        </is>
      </c>
      <c r="B10232" s="4" t="s">
        <f>=HYPERLINK("http://anyluxury.ru/shop/odezhda/ofisnye-rubashki/rubashka-muzhskaya-s-korotkim-rukavom-collar-belaya-1721260/" , "17212.60 Рубашка мужская с коротким рукавом Collar, белая, размер 70; 182")</f>
      </c>
      <c r="C10232" s="4" t="n">
        <v>2320.00</v>
      </c>
      <c r="D10232" s="4"/>
    </row>
    <row collapsed="" customFormat="false" customHeight="1" hidden="" ht="14" outlineLevel="0" r="10233">
      <c r="A10233" s="3" t="inlineStr">
        <is>
          <t>10196</t>
        </is>
      </c>
      <c r="B10233" s="4" t="s">
        <f>=HYPERLINK("http://anyluxury.ru/shop/odezhda/ofisnye-rubashki/rubashka-muzhskaya-s-korotkim-rukavom-collar-belaya-1721260/" , "17212.60 Рубашка мужская с коротким рукавом Collar, белая, размер 70; 188")</f>
      </c>
      <c r="C10233" s="4" t="n">
        <v>2320.00</v>
      </c>
      <c r="D10233" s="4"/>
    </row>
    <row collapsed="" customFormat="false" customHeight="" hidden="" ht="12.1" outlineLevel="0" r="10234">
      <c r="A10234" s="5" t="inlineStr">
        <is>
          <t> -  - Панамы</t>
        </is>
      </c>
      <c r="B10234" s="6"/>
      <c r="C10234" s="6"/>
      <c r="D10234" s="6"/>
    </row>
    <row collapsed="" customFormat="false" customHeight="1" hidden="" ht="14" outlineLevel="0" r="10235">
      <c r="A10235" s="3" t="inlineStr">
        <is>
          <t>10197</t>
        </is>
      </c>
      <c r="B10235" s="4" t="s">
        <f>=HYPERLINK("http://anyluxury.ru/shop/odezhda/panamy/panama-bizbolka-challenge-belaya-336360/" , "3363.60 Панама Bizbolka Challenge, белая")</f>
      </c>
      <c r="C10235" s="4" t="n">
        <v>558.00</v>
      </c>
      <c r="D10235" s="4"/>
    </row>
    <row collapsed="" customFormat="false" customHeight="1" hidden="" ht="14" outlineLevel="0" r="10236">
      <c r="A10236" s="3" t="inlineStr">
        <is>
          <t>10198</t>
        </is>
      </c>
      <c r="B10236" s="4" t="s">
        <f>=HYPERLINK("http://anyluxury.ru/shop/odezhda/panamy/panama-bizbolka-challenge-krasnaya-336350/" , "3363.50 Панама Bizbolka Challenge, красная")</f>
      </c>
      <c r="C10236" s="4" t="n">
        <v>558.00</v>
      </c>
      <c r="D10236" s="4"/>
    </row>
    <row collapsed="" customFormat="false" customHeight="1" hidden="" ht="14" outlineLevel="0" r="10237">
      <c r="A10237" s="3" t="inlineStr">
        <is>
          <t>10199</t>
        </is>
      </c>
      <c r="B10237" s="4" t="s">
        <f>=HYPERLINK("http://anyluxury.ru/shop/odezhda/panamy/panama-bizbolka-challenge-yarkosinyaya-336344/" , "3363.44 Панама Bizbolka Challenge, ярко-синяя")</f>
      </c>
      <c r="C10237" s="4" t="n">
        <v>558.00</v>
      </c>
      <c r="D10237" s="4"/>
    </row>
    <row collapsed="" customFormat="false" customHeight="1" hidden="" ht="14" outlineLevel="0" r="10238">
      <c r="A10238" s="3" t="inlineStr">
        <is>
          <t>10200</t>
        </is>
      </c>
      <c r="B10238" s="4" t="s">
        <f>=HYPERLINK("http://anyluxury.ru/shop/odezhda/panamy/panama-bizbolka-challenge-zheltaya-336380/" , "3363.80 Панама Bizbolka Challenge, желтая")</f>
      </c>
      <c r="C10238" s="4" t="n">
        <v>558.00</v>
      </c>
      <c r="D10238" s="4"/>
    </row>
    <row collapsed="" customFormat="false" customHeight="1" hidden="" ht="14" outlineLevel="0" r="10239">
      <c r="A10239" s="3" t="inlineStr">
        <is>
          <t>10201</t>
        </is>
      </c>
      <c r="B10239" s="4" t="s">
        <f>=HYPERLINK("http://anyluxury.ru/shop/odezhda/panamy/panama-bizbolka-challenge-oranzhevaya-336320/" , "3363.20 Панама Bizbolka Challenge, оранжевая")</f>
      </c>
      <c r="C10239" s="4" t="n">
        <v>558.00</v>
      </c>
      <c r="D10239" s="4"/>
    </row>
    <row collapsed="" customFormat="false" customHeight="1" hidden="" ht="14" outlineLevel="0" r="10240">
      <c r="A10240" s="3" t="inlineStr">
        <is>
          <t>10202</t>
        </is>
      </c>
      <c r="B10240" s="4" t="s">
        <f>=HYPERLINK("http://anyluxury.ru/shop/odezhda/panamy/panama-bizbolka-challenge-temnosinyaya-336340/" , "3363.40 Панама Bizbolka Challenge, темно-синяя")</f>
      </c>
      <c r="C10240" s="4" t="n">
        <v>558.00</v>
      </c>
      <c r="D10240" s="4"/>
    </row>
    <row collapsed="" customFormat="false" customHeight="1" hidden="" ht="14" outlineLevel="0" r="10241">
      <c r="A10241" s="3" t="inlineStr">
        <is>
          <t>10203</t>
        </is>
      </c>
      <c r="B10241" s="4" t="s">
        <f>=HYPERLINK("http://anyluxury.ru/shop/odezhda/panamy/panama-bizbolka-challenge-chernaya-336330/" , "3363.30 Панама Bizbolka Challenge, черная")</f>
      </c>
      <c r="C10241" s="4" t="n">
        <v>558.00</v>
      </c>
      <c r="D10241" s="4"/>
    </row>
    <row collapsed="" customFormat="false" customHeight="1" hidden="" ht="14" outlineLevel="0" r="10242">
      <c r="A10242" s="3" t="inlineStr">
        <is>
          <t>10204</t>
        </is>
      </c>
      <c r="B10242" s="4" t="s">
        <f>=HYPERLINK("http://anyluxury.ru/shop/odezhda/panamy/panama-bizbolka-challenge-golubaya-336314/" , "3363.14 Панама Bizbolka Challenge, голубая")</f>
      </c>
      <c r="C10242" s="4" t="n">
        <v>558.00</v>
      </c>
      <c r="D10242" s="4"/>
    </row>
    <row collapsed="" customFormat="false" customHeight="1" hidden="" ht="14" outlineLevel="0" r="10243">
      <c r="A10243" s="3" t="inlineStr">
        <is>
          <t>10205</t>
        </is>
      </c>
      <c r="B10243" s="4" t="s">
        <f>=HYPERLINK("http://anyluxury.ru/shop/odezhda/panamy/panama-bizbolka-challenge-seraya-336311/" , "3363.11 Панама Bizbolka Challenge, серая")</f>
      </c>
      <c r="C10243" s="4" t="n">
        <v>558.00</v>
      </c>
      <c r="D10243" s="4"/>
    </row>
    <row collapsed="" customFormat="false" customHeight="1" hidden="" ht="14" outlineLevel="0" r="10244">
      <c r="A10244" s="3" t="inlineStr">
        <is>
          <t>10206</t>
        </is>
      </c>
      <c r="B10244" s="4" t="s">
        <f>=HYPERLINK("http://anyluxury.ru/shop/odezhda/panamy/panama-bizbolka-challenge-fioletovaya-336378/" , "3363.78 Панама Bizbolka Challenge, фиолетовая")</f>
      </c>
      <c r="C10244" s="4" t="n">
        <v>558.00</v>
      </c>
      <c r="D10244" s="4"/>
    </row>
    <row collapsed="" customFormat="false" customHeight="1" hidden="" ht="14" outlineLevel="0" r="10245">
      <c r="A10245" s="3" t="inlineStr">
        <is>
          <t>10207</t>
        </is>
      </c>
      <c r="B10245" s="4" t="s">
        <f>=HYPERLINK("http://anyluxury.ru/shop/odezhda/panamy/panama-bizbolka-challenge-zelenoe-yabloko-336394/" , "3363.94 Панама Bizbolka Challenge, зеленое яблоко")</f>
      </c>
      <c r="C10245" s="4" t="n">
        <v>558.00</v>
      </c>
      <c r="D10245" s="4"/>
    </row>
    <row collapsed="" customFormat="false" customHeight="1" hidden="" ht="14" outlineLevel="0" r="10246">
      <c r="A10246" s="3" t="inlineStr">
        <is>
          <t>10208</t>
        </is>
      </c>
      <c r="B10246" s="4" t="s">
        <f>=HYPERLINK("http://anyluxury.ru/shop/odezhda/panamy/shlyapa-daydream-krasnaya-s-chernoy-lentoy-698253/" , "6982.53 Шляпа Daydream, красная с черной лентой")</f>
      </c>
      <c r="C10246" s="4" t="n">
        <v>287.70</v>
      </c>
      <c r="D10246" s="4"/>
    </row>
    <row collapsed="" customFormat="false" customHeight="1" hidden="" ht="14" outlineLevel="0" r="10247">
      <c r="A10247" s="3" t="inlineStr">
        <is>
          <t>10209</t>
        </is>
      </c>
      <c r="B10247" s="4" t="s">
        <f>=HYPERLINK("http://anyluxury.ru/shop/odezhda/panamy/shlyapa-gentleman-chernaya-s-chernoy-lentoy-698133/" , "6981.33 Шляпа Gentleman, черная с черной лентой")</f>
      </c>
      <c r="C10247" s="4" t="n">
        <v>322.70</v>
      </c>
      <c r="D10247" s="4"/>
    </row>
    <row collapsed="" customFormat="false" customHeight="1" hidden="" ht="14" outlineLevel="0" r="10248">
      <c r="A10248" s="3" t="inlineStr">
        <is>
          <t>10210</t>
        </is>
      </c>
      <c r="B10248" s="4" t="s">
        <f>=HYPERLINK("http://anyluxury.ru/shop/odezhda/panamy/panama-palladio-serebristaya-1387811/" , "13878.11 Панама Palladio, серебристая")</f>
      </c>
      <c r="C10248" s="4" t="n">
        <v>360.00</v>
      </c>
      <c r="D10248" s="4"/>
    </row>
    <row collapsed="" customFormat="false" customHeight="1" hidden="" ht="14" outlineLevel="0" r="10249">
      <c r="A10249" s="3" t="inlineStr">
        <is>
          <t>10211</t>
        </is>
      </c>
      <c r="B10249" s="4" t="s">
        <f>=HYPERLINK("http://anyluxury.ru/shop/odezhda/panamy/panama-uteplennaya-shelter-chernaya-1465530/" , "14655.30 Панама утепленная Shelter, черная")</f>
      </c>
      <c r="C10249" s="4" t="n">
        <v>890.00</v>
      </c>
      <c r="D10249" s="4"/>
    </row>
    <row collapsed="" customFormat="false" customHeight="1" hidden="" ht="14" outlineLevel="0" r="10250">
      <c r="A10250" s="3" t="inlineStr">
        <is>
          <t>10212</t>
        </is>
      </c>
      <c r="B10250" s="4" t="s">
        <f>=HYPERLINK("http://anyluxury.ru/shop/odezhda/panamy/panama-uteplennaya-shelter-belaya-1465560/" , "14655.60 Панама утепленная Shelter, белая")</f>
      </c>
      <c r="C10250" s="4" t="n">
        <v>890.00</v>
      </c>
      <c r="D10250" s="4"/>
    </row>
    <row collapsed="" customFormat="false" customHeight="1" hidden="" ht="14" outlineLevel="0" r="10251">
      <c r="A10251" s="3" t="inlineStr">
        <is>
          <t>10213</t>
        </is>
      </c>
      <c r="B10251" s="4" t="s">
        <f>=HYPERLINK("http://anyluxury.ru/shop/odezhda/panamy/panama-vento-chernaya-1465630/" , "14656.30 Панама Vento, черная")</f>
      </c>
      <c r="C10251" s="4" t="n">
        <v>590.00</v>
      </c>
      <c r="D10251" s="4"/>
    </row>
    <row collapsed="" customFormat="false" customHeight="1" hidden="" ht="14" outlineLevel="0" r="10252">
      <c r="A10252" s="3" t="inlineStr">
        <is>
          <t>10214</t>
        </is>
      </c>
      <c r="B10252" s="4" t="s">
        <f>=HYPERLINK("http://anyluxury.ru/shop/odezhda/panamy/panama-vento-belaya-1465660/" , "14656.60 Панама Vento, белая")</f>
      </c>
      <c r="C10252" s="4" t="n">
        <v>590.00</v>
      </c>
      <c r="D10252" s="4"/>
    </row>
    <row collapsed="" customFormat="false" customHeight="1" hidden="" ht="14" outlineLevel="0" r="10253">
      <c r="A10253" s="3" t="inlineStr">
        <is>
          <t>10215</t>
        </is>
      </c>
      <c r="B10253" s="4" t="s">
        <f>=HYPERLINK("http://anyluxury.ru/shop/odezhda/panamy/panama-vento-yarkosinyaya-1465644/" , "14656.44 Панама Vento, ярко-синяя")</f>
      </c>
      <c r="C10253" s="4" t="n">
        <v>590.00</v>
      </c>
      <c r="D10253" s="4"/>
    </row>
    <row collapsed="" customFormat="false" customHeight="1" hidden="" ht="14" outlineLevel="0" r="10254">
      <c r="A10254" s="3" t="inlineStr">
        <is>
          <t>10216</t>
        </is>
      </c>
      <c r="B10254" s="4" t="s">
        <f>=HYPERLINK("http://anyluxury.ru/shop/odezhda/panamy/panama-vento-temnosinyaya-1465640/" , "14656.40 Панама Vento, темно-синяя")</f>
      </c>
      <c r="C10254" s="4" t="n">
        <v>590.00</v>
      </c>
      <c r="D10254" s="4"/>
    </row>
    <row collapsed="" customFormat="false" customHeight="1" hidden="" ht="14" outlineLevel="0" r="10255">
      <c r="A10255" s="3" t="inlineStr">
        <is>
          <t>10217</t>
        </is>
      </c>
      <c r="B10255" s="4" t="s">
        <f>=HYPERLINK("http://anyluxury.ru/shop/odezhda/panamy/panama-skladnaya-orust-krasnaya-s-vodoottalkivayushhey-propitkoy-1154951/" , "11549.51 Панама складная Orust, красная, с водоотталкивающей пропиткой")</f>
      </c>
      <c r="C10255" s="4" t="n">
        <v>480.00</v>
      </c>
      <c r="D10255" s="4"/>
    </row>
    <row collapsed="" customFormat="false" customHeight="1" hidden="" ht="14" outlineLevel="0" r="10256">
      <c r="A10256" s="3" t="inlineStr">
        <is>
          <t>10218</t>
        </is>
      </c>
      <c r="B10256" s="4" t="s">
        <f>=HYPERLINK("http://anyluxury.ru/shop/odezhda/panamy/panama-sunshade-oranzhevaya-1534520/" , "15345.20 Панама Sunshade, оранжевая")</f>
      </c>
      <c r="C10256" s="4" t="n">
        <v>629.00</v>
      </c>
      <c r="D10256" s="4"/>
    </row>
    <row collapsed="" customFormat="false" customHeight="1" hidden="" ht="14" outlineLevel="0" r="10257">
      <c r="A10257" s="3" t="inlineStr">
        <is>
          <t>10219</t>
        </is>
      </c>
      <c r="B10257" s="4" t="s">
        <f>=HYPERLINK("http://anyluxury.ru/shop/odezhda/panamy/panama-manifest-iz-svetootrazhayushhey-tkani-seraya-1534611/" , "15346.11 Панама Manifest из светоотражающей ткани, серая")</f>
      </c>
      <c r="C10257" s="4" t="n">
        <v>760.00</v>
      </c>
      <c r="D10257" s="4"/>
    </row>
    <row collapsed="" customFormat="false" customHeight="1" hidden="" ht="14" outlineLevel="0" r="10258">
      <c r="A10258" s="3" t="inlineStr">
        <is>
          <t>10220</t>
        </is>
      </c>
      <c r="B10258" s="4" t="s">
        <f>=HYPERLINK("http://anyluxury.ru/shop/odezhda/panamy/panama-sombra-chernaya-1889930/" , "18899.30 Панама Sombra, черная")</f>
      </c>
      <c r="C10258" s="4" t="n">
        <v>695.00</v>
      </c>
      <c r="D10258" s="4"/>
    </row>
    <row collapsed="" customFormat="false" customHeight="1" hidden="" ht="14" outlineLevel="0" r="10259">
      <c r="A10259" s="3" t="inlineStr">
        <is>
          <t>10221</t>
        </is>
      </c>
      <c r="B10259" s="4" t="s">
        <f>=HYPERLINK("http://anyluxury.ru/shop/odezhda/panamy/panama-sombra-belaya-1889960/" , "18899.60 Панама Sombra, белая")</f>
      </c>
      <c r="C10259" s="4" t="n">
        <v>695.00</v>
      </c>
      <c r="D10259" s="4"/>
    </row>
    <row collapsed="" customFormat="false" customHeight="1" hidden="" ht="14" outlineLevel="0" r="10260">
      <c r="A10260" s="3" t="inlineStr">
        <is>
          <t>10222</t>
        </is>
      </c>
      <c r="B10260" s="4" t="s">
        <f>=HYPERLINK("http://anyluxury.ru/shop/odezhda/panamy/panama-sombra-bezhevaya-1889910/" , "18899.10 Панама Sombra, бежевая")</f>
      </c>
      <c r="C10260" s="4" t="n">
        <v>695.00</v>
      </c>
      <c r="D10260" s="4"/>
    </row>
    <row collapsed="" customFormat="false" customHeight="1" hidden="" ht="14" outlineLevel="0" r="10261">
      <c r="A10261" s="3" t="inlineStr">
        <is>
          <t>10223</t>
        </is>
      </c>
      <c r="B10261" s="4" t="s">
        <f>=HYPERLINK("http://anyluxury.ru/shop/odezhda/panamy/panama-sombra-temnoseraya-1889911/" , "18899.11 Панама Sombra, темно-серая")</f>
      </c>
      <c r="C10261" s="4" t="n">
        <v>695.00</v>
      </c>
      <c r="D10261" s="4"/>
    </row>
    <row collapsed="" customFormat="false" customHeight="1" hidden="" ht="14" outlineLevel="0" r="10262">
      <c r="A10262" s="3" t="inlineStr">
        <is>
          <t>10224</t>
        </is>
      </c>
      <c r="B10262" s="4" t="s">
        <f>=HYPERLINK("http://anyluxury.ru/shop/odezhda/panamy/panama-sombra-bordovaya-1889955/" , "18899.55 Панама Sombra, бордовая")</f>
      </c>
      <c r="C10262" s="4" t="n">
        <v>695.00</v>
      </c>
      <c r="D10262" s="4"/>
    </row>
    <row collapsed="" customFormat="false" customHeight="1" hidden="" ht="14" outlineLevel="0" r="10263">
      <c r="A10263" s="3" t="inlineStr">
        <is>
          <t>10225</t>
        </is>
      </c>
      <c r="B10263" s="4" t="s">
        <f>=HYPERLINK("http://anyluxury.ru/shop/odezhda/panamy/panama-sombra-sinyaya-1889940/" , "18899.40 Панама Sombra, синяя")</f>
      </c>
      <c r="C10263" s="4" t="n">
        <v>695.00</v>
      </c>
      <c r="D10263" s="4"/>
    </row>
    <row collapsed="" customFormat="false" customHeight="1" hidden="" ht="14" outlineLevel="0" r="10264">
      <c r="A10264" s="3" t="inlineStr">
        <is>
          <t>10226</t>
        </is>
      </c>
      <c r="B10264" s="4" t="s">
        <f>=HYPERLINK("http://anyluxury.ru/shop/odezhda/panamy/panama-summer-dvustoronnyaya-oranzhevaya-s-serim-1584921/" , "15849.21 Панама Summer двусторонняя, оранжевая с серым")</f>
      </c>
      <c r="C10264" s="4" t="n">
        <v>472.00</v>
      </c>
      <c r="D10264" s="4"/>
    </row>
    <row collapsed="" customFormat="false" customHeight="1" hidden="" ht="14" outlineLevel="0" r="10265">
      <c r="A10265" s="3" t="inlineStr">
        <is>
          <t>10227</t>
        </is>
      </c>
      <c r="B10265" s="4" t="s">
        <f>=HYPERLINK("http://anyluxury.ru/shop/odezhda/panamy/panama-summer-dvustoronnyaya-chernaya-s-serim-1584931/" , "15849.31 Панама Summer двусторонняя, черная с серым")</f>
      </c>
      <c r="C10265" s="4" t="n">
        <v>472.00</v>
      </c>
      <c r="D10265" s="4"/>
    </row>
    <row collapsed="" customFormat="false" customHeight="1" hidden="" ht="14" outlineLevel="0" r="10266">
      <c r="A10266" s="3" t="inlineStr">
        <is>
          <t>10228</t>
        </is>
      </c>
      <c r="B10266" s="4" t="s">
        <f>=HYPERLINK("http://anyluxury.ru/shop/odezhda/panamy/panama-summer-dvustoronnyaya-sinyaya-s-serim-1584941/" , "15849.41 Панама Summer двусторонняя, синяя с серым")</f>
      </c>
      <c r="C10266" s="4" t="n">
        <v>472.00</v>
      </c>
      <c r="D10266" s="4"/>
    </row>
    <row collapsed="" customFormat="false" customHeight="1" hidden="" ht="14" outlineLevel="0" r="10267">
      <c r="A10267" s="3" t="inlineStr">
        <is>
          <t>10229</t>
        </is>
      </c>
      <c r="B10267" s="4" t="s">
        <f>=HYPERLINK("http://anyluxury.ru/shop/odezhda/panamy/panama-summer-dvustoronnyaya-krasnaya-s-serim-1584951/" , "15849.51 Панама Summer двусторонняя, красная с серым")</f>
      </c>
      <c r="C10267" s="4" t="n">
        <v>472.00</v>
      </c>
      <c r="D10267" s="4"/>
    </row>
    <row collapsed="" customFormat="false" customHeight="1" hidden="" ht="14" outlineLevel="0" r="10268">
      <c r="A10268" s="3" t="inlineStr">
        <is>
          <t>10230</t>
        </is>
      </c>
      <c r="B10268" s="4" t="s">
        <f>=HYPERLINK("http://anyluxury.ru/shop/odezhda/panamy/panama-summer-dvustoronnyaya-zelenaya-s-serim-1584991/" , "15849.91 Панама Summer двусторонняя, зеленая с серым")</f>
      </c>
      <c r="C10268" s="4" t="n">
        <v>472.00</v>
      </c>
      <c r="D10268" s="4"/>
    </row>
    <row collapsed="" customFormat="false" customHeight="1" hidden="" ht="14" outlineLevel="0" r="10269">
      <c r="A10269" s="3" t="inlineStr">
        <is>
          <t>10231</t>
        </is>
      </c>
      <c r="B10269" s="4" t="s">
        <f>=HYPERLINK("http://anyluxury.ru/shop/odezhda/panamy/panama-sunshade-chernaya-1534530/" , "15345.30 Панама Sunshade, черная")</f>
      </c>
      <c r="C10269" s="4" t="n">
        <v>629.00</v>
      </c>
      <c r="D10269" s="4"/>
    </row>
    <row collapsed="" customFormat="false" customHeight="1" hidden="" ht="14" outlineLevel="0" r="10270">
      <c r="A10270" s="3" t="inlineStr">
        <is>
          <t>10232</t>
        </is>
      </c>
      <c r="B10270" s="4" t="s">
        <f>=HYPERLINK("http://anyluxury.ru/shop/odezhda/panamy/panama-sunshade-belaya-1534560/" , "15345.60 Панама Sunshade, белая")</f>
      </c>
      <c r="C10270" s="4" t="n">
        <v>629.00</v>
      </c>
      <c r="D10270" s="4"/>
    </row>
    <row collapsed="" customFormat="false" customHeight="1" hidden="" ht="14" outlineLevel="0" r="10271">
      <c r="A10271" s="3" t="inlineStr">
        <is>
          <t>10233</t>
        </is>
      </c>
      <c r="B10271" s="4" t="s">
        <f>=HYPERLINK("http://anyluxury.ru/shop/odezhda/panamy/panama-twill-chernaya-03997312/" , "03997312 Панама Twill, черная, размер S/M")</f>
      </c>
      <c r="C10271" s="4" t="n">
        <v>917.00</v>
      </c>
      <c r="D10271" s="4"/>
    </row>
    <row collapsed="" customFormat="false" customHeight="1" hidden="" ht="14" outlineLevel="0" r="10272">
      <c r="A10272" s="3" t="inlineStr">
        <is>
          <t>10234</t>
        </is>
      </c>
      <c r="B10272" s="4" t="s">
        <f>=HYPERLINK("http://anyluxury.ru/shop/odezhda/panamy/panama-twill-chernaya-03997312/" , "03997312 Панама Twill, черная, размер M/L")</f>
      </c>
      <c r="C10272" s="4" t="n">
        <v>917.00</v>
      </c>
      <c r="D10272" s="4"/>
    </row>
    <row collapsed="" customFormat="false" customHeight="1" hidden="" ht="14" outlineLevel="0" r="10273">
      <c r="A10273" s="3" t="inlineStr">
        <is>
          <t>10235</t>
        </is>
      </c>
      <c r="B10273" s="4" t="s">
        <f>=HYPERLINK("http://anyluxury.ru/shop/odezhda/panamy/panama-twill-temnosinyaya-03997319/" , "03997319 Панама Twill, темно-синяя, размер S/M")</f>
      </c>
      <c r="C10273" s="4" t="n">
        <v>917.00</v>
      </c>
      <c r="D10273" s="4"/>
    </row>
    <row collapsed="" customFormat="false" customHeight="1" hidden="" ht="14" outlineLevel="0" r="10274">
      <c r="A10274" s="3" t="inlineStr">
        <is>
          <t>10236</t>
        </is>
      </c>
      <c r="B10274" s="4" t="s">
        <f>=HYPERLINK("http://anyluxury.ru/shop/odezhda/panamy/panama-twill-temnosinyaya-03997319/" , "03997319 Панама Twill, темно-синяя, размер M/L")</f>
      </c>
      <c r="C10274" s="4" t="n">
        <v>917.00</v>
      </c>
      <c r="D10274" s="4"/>
    </row>
    <row collapsed="" customFormat="false" customHeight="1" hidden="" ht="14" outlineLevel="0" r="10275">
      <c r="A10275" s="3" t="inlineStr">
        <is>
          <t>10237</t>
        </is>
      </c>
      <c r="B10275" s="4" t="s">
        <f>=HYPERLINK("http://anyluxury.ru/shop/odezhda/panamy/panama-twill-belaya-03997102/" , "03997102 Панама Twill, белая, размер S/M")</f>
      </c>
      <c r="C10275" s="4" t="n">
        <v>917.00</v>
      </c>
      <c r="D10275" s="4"/>
    </row>
    <row collapsed="" customFormat="false" customHeight="1" hidden="" ht="14" outlineLevel="0" r="10276">
      <c r="A10276" s="3" t="inlineStr">
        <is>
          <t>10238</t>
        </is>
      </c>
      <c r="B10276" s="4" t="s">
        <f>=HYPERLINK("http://anyluxury.ru/shop/odezhda/panamy/panama-twill-belaya-03997102/" , "03997102 Панама Twill, белая, размер M/L")</f>
      </c>
      <c r="C10276" s="4" t="n">
        <v>917.00</v>
      </c>
      <c r="D10276" s="4"/>
    </row>
    <row collapsed="" customFormat="false" customHeight="1" hidden="" ht="14" outlineLevel="0" r="10277">
      <c r="A10277" s="3" t="inlineStr">
        <is>
          <t>10239</t>
        </is>
      </c>
      <c r="B10277" s="4" t="s">
        <f>=HYPERLINK("http://anyluxury.ru/shop/odezhda/panamy/panama-nylon-dvustoronnyaya-zelenaya-so-svetlozelenim-03999875/" , "03999875 Панама Nylon двусторонняя, зеленая со светло-зеленым, размер S/M")</f>
      </c>
      <c r="C10277" s="4" t="n">
        <v>1591.00</v>
      </c>
      <c r="D10277" s="4"/>
    </row>
    <row collapsed="" customFormat="false" customHeight="1" hidden="" ht="14" outlineLevel="0" r="10278">
      <c r="A10278" s="3" t="inlineStr">
        <is>
          <t>10240</t>
        </is>
      </c>
      <c r="B10278" s="4" t="s">
        <f>=HYPERLINK("http://anyluxury.ru/shop/odezhda/panamy/panama-nylon-dvustoronnyaya-zelenaya-so-svetlozelenim-03999875/" , "03999875 Панама Nylon двусторонняя, зеленая со светло-зеленым, размер M/L")</f>
      </c>
      <c r="C10278" s="4" t="n">
        <v>1591.00</v>
      </c>
      <c r="D10278" s="4"/>
    </row>
    <row collapsed="" customFormat="false" customHeight="1" hidden="" ht="14" outlineLevel="0" r="10279">
      <c r="A10279" s="3" t="inlineStr">
        <is>
          <t>10241</t>
        </is>
      </c>
      <c r="B10279" s="4" t="s">
        <f>=HYPERLINK("http://anyluxury.ru/shop/odezhda/panamy/panama-nylon-dvustoronnyaya-chernaya-s-haki-03999873/" , "03999873 Панама Nylon двусторонняя, черная с хаки, размер S/M")</f>
      </c>
      <c r="C10279" s="4" t="n">
        <v>1591.00</v>
      </c>
      <c r="D10279" s="4"/>
    </row>
    <row collapsed="" customFormat="false" customHeight="1" hidden="" ht="14" outlineLevel="0" r="10280">
      <c r="A10280" s="3" t="inlineStr">
        <is>
          <t>10242</t>
        </is>
      </c>
      <c r="B10280" s="4" t="s">
        <f>=HYPERLINK("http://anyluxury.ru/shop/odezhda/panamy/panama-nylon-dvustoronnyaya-chernaya-s-haki-03999873/" , "03999873 Панама Nylon двусторонняя, черная с хаки, размер M/L")</f>
      </c>
      <c r="C10280" s="4" t="n">
        <v>1591.00</v>
      </c>
      <c r="D10280" s="4"/>
    </row>
    <row collapsed="" customFormat="false" customHeight="1" hidden="" ht="14" outlineLevel="0" r="10281">
      <c r="A10281" s="3" t="inlineStr">
        <is>
          <t>10243</t>
        </is>
      </c>
      <c r="B10281" s="4" t="s">
        <f>=HYPERLINK("http://anyluxury.ru/shop/odezhda/panamy/panama-nylon-dvustoronnyaya-temnosinyaya-s-krasnim-03999874/" , "03999874 Панама Nylon двусторонняя, темно-синяя с красным, размер S/M")</f>
      </c>
      <c r="C10281" s="4" t="n">
        <v>1591.00</v>
      </c>
      <c r="D10281" s="4"/>
    </row>
    <row collapsed="" customFormat="false" customHeight="1" hidden="" ht="14" outlineLevel="0" r="10282">
      <c r="A10282" s="3" t="inlineStr">
        <is>
          <t>10244</t>
        </is>
      </c>
      <c r="B10282" s="4" t="s">
        <f>=HYPERLINK("http://anyluxury.ru/shop/odezhda/panamy/panama-nylon-dvustoronnyaya-temnosinyaya-s-krasnim-03999874/" , "03999874 Панама Nylon двусторонняя, темно-синяя с красным, размер M/L")</f>
      </c>
      <c r="C10282" s="4" t="n">
        <v>1591.00</v>
      </c>
      <c r="D10282" s="4"/>
    </row>
    <row collapsed="" customFormat="false" customHeight="1" hidden="" ht="14" outlineLevel="0" r="10283">
      <c r="A10283" s="3" t="inlineStr">
        <is>
          <t>10245</t>
        </is>
      </c>
      <c r="B10283" s="4" t="s">
        <f>=HYPERLINK("http://anyluxury.ru/shop/odezhda/panamy/panama-bucket-dvustoronnyaya-haki-s-bezhevim-03998867/" , "03998867 Панама Bucket двусторонняя, хаки с бежевым, размер S/M")</f>
      </c>
      <c r="C10283" s="4" t="n">
        <v>1290.00</v>
      </c>
      <c r="D10283" s="4"/>
    </row>
    <row collapsed="" customFormat="false" customHeight="1" hidden="" ht="14" outlineLevel="0" r="10284">
      <c r="A10284" s="3" t="inlineStr">
        <is>
          <t>10246</t>
        </is>
      </c>
      <c r="B10284" s="4" t="s">
        <f>=HYPERLINK("http://anyluxury.ru/shop/odezhda/panamy/panama-bucket-dvustoronnyaya-haki-s-bezhevim-03998867/" , "03998867 Панама Bucket двусторонняя, хаки с бежевым, размер M/L")</f>
      </c>
      <c r="C10284" s="4" t="n">
        <v>1290.00</v>
      </c>
      <c r="D10284" s="4"/>
    </row>
    <row collapsed="" customFormat="false" customHeight="1" hidden="" ht="14" outlineLevel="0" r="10285">
      <c r="A10285" s="3" t="inlineStr">
        <is>
          <t>10247</t>
        </is>
      </c>
      <c r="B10285" s="4" t="s">
        <f>=HYPERLINK("http://anyluxury.ru/shop/odezhda/panamy/panama-bucket-dvustoronnyaya-temnoseraya-s-bezhevim-03998868/" , "03998868 Панама Bucket двусторонняя, темно-серая с бежевым, размер S/M")</f>
      </c>
      <c r="C10285" s="4" t="n">
        <v>1290.00</v>
      </c>
      <c r="D10285" s="4"/>
    </row>
    <row collapsed="" customFormat="false" customHeight="1" hidden="" ht="14" outlineLevel="0" r="10286">
      <c r="A10286" s="3" t="inlineStr">
        <is>
          <t>10248</t>
        </is>
      </c>
      <c r="B10286" s="4" t="s">
        <f>=HYPERLINK("http://anyluxury.ru/shop/odezhda/panamy/panama-bucket-dvustoronnyaya-temnoseraya-s-bezhevim-03998868/" , "03998868 Панама Bucket двусторонняя, темно-серая с бежевым, размер M/L")</f>
      </c>
      <c r="C10286" s="4" t="n">
        <v>1290.00</v>
      </c>
      <c r="D10286" s="4"/>
    </row>
    <row collapsed="" customFormat="false" customHeight="1" hidden="" ht="14" outlineLevel="0" r="10287">
      <c r="A10287" s="3" t="inlineStr">
        <is>
          <t>10249</t>
        </is>
      </c>
      <c r="B10287" s="4" t="s">
        <f>=HYPERLINK("http://anyluxury.ru/shop/odezhda/panamy/panama-vento-zheltaya-1465680/" , "14656.80 Панама Vento, желтая")</f>
      </c>
      <c r="C10287" s="4" t="n">
        <v>590.00</v>
      </c>
      <c r="D10287" s="4"/>
    </row>
    <row collapsed="" customFormat="false" customHeight="1" hidden="" ht="14" outlineLevel="0" r="10288">
      <c r="A10288" s="3" t="inlineStr">
        <is>
          <t>10250</t>
        </is>
      </c>
      <c r="B10288" s="4" t="s">
        <f>=HYPERLINK("http://anyluxury.ru/shop/odezhda/panamy/panama-vento-bezhevaya-1465610/" , "14656.10 Панама Vento, бежевая")</f>
      </c>
      <c r="C10288" s="4" t="n">
        <v>590.00</v>
      </c>
      <c r="D10288" s="4"/>
    </row>
    <row collapsed="" customFormat="false" customHeight="1" hidden="" ht="14" outlineLevel="0" r="10289">
      <c r="A10289" s="3" t="inlineStr">
        <is>
          <t>10251</t>
        </is>
      </c>
      <c r="B10289" s="4" t="s">
        <f>=HYPERLINK("http://anyluxury.ru/shop/odezhda/panamy/panama-vento-zelenaya-olivkovaya-1465699/" , "14656.99 Панама Vento, зеленая (оливковая)")</f>
      </c>
      <c r="C10289" s="4" t="n">
        <v>590.00</v>
      </c>
      <c r="D10289" s="4"/>
    </row>
    <row collapsed="" customFormat="false" customHeight="1" hidden="" ht="14" outlineLevel="0" r="10290">
      <c r="A10290" s="3" t="inlineStr">
        <is>
          <t>10252</t>
        </is>
      </c>
      <c r="B10290" s="4" t="s">
        <f>=HYPERLINK("http://anyluxury.ru/shop/odezhda/panamy/panama-c6-belaya-1518360/" , "15183.60 Панама C6, белая")</f>
      </c>
      <c r="C10290" s="4" t="n">
        <v>910.00</v>
      </c>
      <c r="D10290" s="4"/>
    </row>
    <row collapsed="" customFormat="false" customHeight="1" hidden="" ht="14" outlineLevel="0" r="10291">
      <c r="A10291" s="3" t="inlineStr">
        <is>
          <t>10253</t>
        </is>
      </c>
      <c r="B10291" s="4" t="s">
        <f>=HYPERLINK("http://anyluxury.ru/shop/odezhda/panamy/panama-c6-chernaya-1518330/" , "15183.30 Панама C6, черная")</f>
      </c>
      <c r="C10291" s="4" t="n">
        <v>910.00</v>
      </c>
      <c r="D10291" s="4"/>
    </row>
    <row collapsed="" customFormat="false" customHeight="1" hidden="" ht="14" outlineLevel="0" r="10292">
      <c r="A10292" s="3" t="inlineStr">
        <is>
          <t>10254</t>
        </is>
      </c>
      <c r="B10292" s="4" t="s">
        <f>=HYPERLINK("http://anyluxury.ru/shop/odezhda/panamy/panama-c6-sinyaya-1518340/" , "15183.40 Панама C6, синяя")</f>
      </c>
      <c r="C10292" s="4" t="n">
        <v>910.00</v>
      </c>
      <c r="D10292" s="4"/>
    </row>
    <row collapsed="" customFormat="false" customHeight="1" hidden="" ht="14" outlineLevel="0" r="10293">
      <c r="A10293" s="3" t="inlineStr">
        <is>
          <t>10255</t>
        </is>
      </c>
      <c r="B10293" s="4" t="s">
        <f>=HYPERLINK("http://anyluxury.ru/shop/odezhda/panamy/panama-c7-belaya-1518460/" , "15184.60 Панама C7, белая")</f>
      </c>
      <c r="C10293" s="4" t="n">
        <v>1190.00</v>
      </c>
      <c r="D10293" s="4"/>
    </row>
    <row collapsed="" customFormat="false" customHeight="1" hidden="" ht="14" outlineLevel="0" r="10294">
      <c r="A10294" s="3" t="inlineStr">
        <is>
          <t>10256</t>
        </is>
      </c>
      <c r="B10294" s="4" t="s">
        <f>=HYPERLINK("http://anyluxury.ru/shop/odezhda/panamy/panama-c7-chernaya-1518430/" , "15184.30 Панама C7, черная")</f>
      </c>
      <c r="C10294" s="4" t="n">
        <v>1190.00</v>
      </c>
      <c r="D10294" s="4"/>
    </row>
    <row collapsed="" customFormat="false" customHeight="1" hidden="" ht="14" outlineLevel="0" r="10295">
      <c r="A10295" s="3" t="inlineStr">
        <is>
          <t>10257</t>
        </is>
      </c>
      <c r="B10295" s="4" t="s">
        <f>=HYPERLINK("http://anyluxury.ru/shop/odezhda/panamy/panama-c7-sinyaya-1518440/" , "15184.40 Панама C7, синяя")</f>
      </c>
      <c r="C10295" s="4" t="n">
        <v>1190.00</v>
      </c>
      <c r="D10295" s="4"/>
    </row>
    <row collapsed="" customFormat="false" customHeight="1" hidden="" ht="14" outlineLevel="0" r="10296">
      <c r="A10296" s="3" t="inlineStr">
        <is>
          <t>10258</t>
        </is>
      </c>
      <c r="B10296" s="4" t="s">
        <f>=HYPERLINK("http://anyluxury.ru/shop/odezhda/panamy/panama-summer-dvustoronnyaya-zheltaya-s-serim-1584981/" , "15849.81 Панама Summer двусторонняя, желтая с серым")</f>
      </c>
      <c r="C10296" s="4" t="n">
        <v>472.00</v>
      </c>
      <c r="D10296" s="4"/>
    </row>
    <row collapsed="" customFormat="false" customHeight="1" hidden="" ht="14" outlineLevel="0" r="10297">
      <c r="A10297" s="3" t="inlineStr">
        <is>
          <t>10259</t>
        </is>
      </c>
      <c r="B10297" s="4" t="s">
        <f>=HYPERLINK("http://anyluxury.ru/shop/odezhda/panamy/panama-challenge-sirenevaya-orhideya-1640856/" , "16408.56 Панама Challenge, сиреневая (орхидея)")</f>
      </c>
      <c r="C10297" s="4" t="n">
        <v>558.00</v>
      </c>
      <c r="D10297" s="4"/>
    </row>
    <row collapsed="" customFormat="false" customHeight="1" hidden="" ht="14" outlineLevel="0" r="10298">
      <c r="A10298" s="3" t="inlineStr">
        <is>
          <t>10260</t>
        </is>
      </c>
      <c r="B10298" s="4" t="s">
        <f>=HYPERLINK("http://anyluxury.ru/shop/odezhda/panamy/panama-challenge-bezhevaya-1640810/" , "16408.10 Панама Challenge, бежевая")</f>
      </c>
      <c r="C10298" s="4" t="n">
        <v>558.00</v>
      </c>
      <c r="D10298" s="4"/>
    </row>
    <row collapsed="" customFormat="false" customHeight="1" hidden="" ht="14" outlineLevel="0" r="10299">
      <c r="A10299" s="3" t="inlineStr">
        <is>
          <t>10261</t>
        </is>
      </c>
      <c r="B10299" s="4" t="s">
        <f>=HYPERLINK("http://anyluxury.ru/shop/odezhda/panamy/panama-challenge-bordovaya-1640855/" , "16408.55 Панама Challenge, бордовая")</f>
      </c>
      <c r="C10299" s="4" t="n">
        <v>558.00</v>
      </c>
      <c r="D10299" s="4"/>
    </row>
    <row collapsed="" customFormat="false" customHeight="1" hidden="" ht="14" outlineLevel="0" r="10300">
      <c r="A10300" s="3" t="inlineStr">
        <is>
          <t>10262</t>
        </is>
      </c>
      <c r="B10300" s="4" t="s">
        <f>=HYPERLINK("http://anyluxury.ru/shop/odezhda/panamy/panama-challenge-zelenaya-1640890/" , "16408.90 Панама Challenge, зеленая")</f>
      </c>
      <c r="C10300" s="4" t="n">
        <v>558.00</v>
      </c>
      <c r="D10300" s="4"/>
    </row>
    <row collapsed="" customFormat="false" customHeight="1" hidden="" ht="14" outlineLevel="0" r="10301">
      <c r="A10301" s="3" t="inlineStr">
        <is>
          <t>10263</t>
        </is>
      </c>
      <c r="B10301" s="4" t="s">
        <f>=HYPERLINK("http://anyluxury.ru/shop/odezhda/panamy/panama-challenge-yarkorozovaya-fuksiya-1640857/" , "16408.57 Панама Challenge, ярко-розовая (фуксия)")</f>
      </c>
      <c r="C10301" s="4" t="n">
        <v>558.00</v>
      </c>
      <c r="D10301" s="4"/>
    </row>
    <row collapsed="" customFormat="false" customHeight="1" hidden="" ht="14" outlineLevel="0" r="10302">
      <c r="A10302" s="3" t="inlineStr">
        <is>
          <t>10264</t>
        </is>
      </c>
      <c r="B10302" s="4" t="s">
        <f>=HYPERLINK("http://anyluxury.ru/shop/odezhda/panamy/panama-challenge-golubaya-1640814/" , "16408.14 Панама Challenge, голубая")</f>
      </c>
      <c r="C10302" s="4" t="n">
        <v>558.00</v>
      </c>
      <c r="D10302" s="4"/>
    </row>
    <row collapsed="" customFormat="false" customHeight="1" hidden="" ht="14" outlineLevel="0" r="10303">
      <c r="A10303" s="3" t="inlineStr">
        <is>
          <t>10265</t>
        </is>
      </c>
      <c r="B10303" s="4" t="s">
        <f>=HYPERLINK("http://anyluxury.ru/shop/odezhda/panamy/panama-challenge-zheltaya-1640880/" , "16408.80 Панама Challenge, желтая")</f>
      </c>
      <c r="C10303" s="4" t="n">
        <v>558.00</v>
      </c>
      <c r="D10303" s="4"/>
    </row>
    <row collapsed="" customFormat="false" customHeight="1" hidden="" ht="14" outlineLevel="0" r="10304">
      <c r="A10304" s="3" t="inlineStr">
        <is>
          <t>10266</t>
        </is>
      </c>
      <c r="B10304" s="4" t="s">
        <f>=HYPERLINK("http://anyluxury.ru/shop/odezhda/panamy/panama-challenge-zelenoe-yabloko-1640894/" , "16408.94 Панама Challenge, зеленое яблоко")</f>
      </c>
      <c r="C10304" s="4" t="n">
        <v>558.00</v>
      </c>
      <c r="D10304" s="4"/>
    </row>
    <row collapsed="" customFormat="false" customHeight="1" hidden="" ht="14" outlineLevel="0" r="10305">
      <c r="A10305" s="3" t="inlineStr">
        <is>
          <t>10267</t>
        </is>
      </c>
      <c r="B10305" s="4" t="s">
        <f>=HYPERLINK("http://anyluxury.ru/shop/odezhda/panamy/panama-challenge-belaya-1640860/" , "16408.60 Панама Challenge, белая")</f>
      </c>
      <c r="C10305" s="4" t="n">
        <v>558.00</v>
      </c>
      <c r="D10305" s="4"/>
    </row>
    <row collapsed="" customFormat="false" customHeight="" hidden="" ht="12.1" outlineLevel="0" r="10306">
      <c r="A10306" s="5" t="inlineStr">
        <is>
          <t> -  - Ремни</t>
        </is>
      </c>
      <c r="B10306" s="6"/>
      <c r="C10306" s="6"/>
      <c r="D10306" s="6"/>
    </row>
    <row collapsed="" customFormat="false" customHeight="1" hidden="" ht="14" outlineLevel="0" r="10307">
      <c r="A10307" s="3" t="inlineStr">
        <is>
          <t>10268</t>
        </is>
      </c>
      <c r="B10307" s="4" t="s">
        <f>=HYPERLINK("http://anyluxury.ru/shop/odezhda/remni/remen-eclipse-kozha/" , "D1133 Ремень ECLIPSE, кожа")</f>
      </c>
      <c r="C10307" s="4" t="n">
        <v>9590.00</v>
      </c>
      <c r="D10307" s="4"/>
    </row>
    <row collapsed="" customFormat="false" customHeight="1" hidden="" ht="14" outlineLevel="0" r="10308">
      <c r="A10308" s="3" t="inlineStr">
        <is>
          <t>10269</t>
        </is>
      </c>
      <c r="B10308" s="4" t="s">
        <f>=HYPERLINK("http://anyluxury.ru/shop/odezhda/remni/remen-kozha-korichnevyy/" , "D596 Ремень, кожа, коричневый")</f>
      </c>
      <c r="C10308" s="4" t="n">
        <v>7420.00</v>
      </c>
      <c r="D10308" s="4"/>
    </row>
    <row collapsed="" customFormat="false" customHeight="1" hidden="" ht="14" outlineLevel="0" r="10309">
      <c r="A10309" s="3" t="inlineStr">
        <is>
          <t>10270</t>
        </is>
      </c>
      <c r="B10309" s="4" t="s">
        <f>=HYPERLINK("http://anyluxury.ru/shop/odezhda/remni/remen-kozha-tekstil-korichnevyy/" , "D595 Ремень, кожа, текстиль, коричневый")</f>
      </c>
      <c r="C10309" s="4" t="n">
        <v>7420.00</v>
      </c>
      <c r="D10309" s="4"/>
    </row>
    <row collapsed="" customFormat="false" customHeight="1" hidden="" ht="14" outlineLevel="0" r="10310">
      <c r="A10310" s="3" t="inlineStr">
        <is>
          <t>10271</t>
        </is>
      </c>
      <c r="B10310" s="4" t="s">
        <f>=HYPERLINK("http://anyluxury.ru/shop/odezhda/remni/remen-pletenie-kozha-tekstil-korichnevyy-krasno-korichnevyy/" , "D599 Ремень, плетение, кожа, текстиль, коричневый/красно-коричневый")</f>
      </c>
      <c r="C10310" s="4" t="n">
        <v>9240.00</v>
      </c>
      <c r="D10310" s="4"/>
    </row>
    <row collapsed="" customFormat="false" customHeight="1" hidden="" ht="14" outlineLevel="0" r="10311">
      <c r="A10311" s="3" t="inlineStr">
        <is>
          <t>10272</t>
        </is>
      </c>
      <c r="B10311" s="4" t="s">
        <f>=HYPERLINK("http://anyluxury.ru/shop/odezhda/remni/remen-pletenie-kozha-tekstil-korichnevyy-olivkovyy/" , "D600 Ремень, плетение, кожа, текстиль, коричневый/оливковый")</f>
      </c>
      <c r="C10311" s="4" t="n">
        <v>9240.00</v>
      </c>
      <c r="D10311" s="4"/>
    </row>
    <row collapsed="" customFormat="false" customHeight="" hidden="" ht="12.1" outlineLevel="0" r="10312">
      <c r="A10312" s="5" t="inlineStr">
        <is>
          <t> -  - Спортивная одежда</t>
        </is>
      </c>
      <c r="B10312" s="6"/>
      <c r="C10312" s="6"/>
      <c r="D10312" s="6"/>
    </row>
    <row collapsed="" customFormat="false" customHeight="1" hidden="" ht="14" outlineLevel="0" r="10313">
      <c r="A10313" s="3" t="inlineStr">
        <is>
          <t>10273</t>
        </is>
      </c>
      <c r="B10313" s="4" t="s">
        <f>=HYPERLINK("http://anyluxury.ru/shop/odezhda/sportivnaya-odezhda/kurtka-new-york-men-chernaya-01471312/" , "01471312 Куртка NEW YORK MEN черная, размер S")</f>
      </c>
      <c r="C10313" s="4" t="n">
        <v>8354.00</v>
      </c>
      <c r="D10313" s="4"/>
    </row>
    <row collapsed="" customFormat="false" customHeight="1" hidden="" ht="14" outlineLevel="0" r="10314">
      <c r="A10314" s="3" t="inlineStr">
        <is>
          <t>10274</t>
        </is>
      </c>
      <c r="B10314" s="4" t="s">
        <f>=HYPERLINK("http://anyluxury.ru/shop/odezhda/sportivnaya-odezhda/kurtka-new-york-men-chernaya-01471312/" , "01471312 Куртка NEW YORK MEN черная, размер M")</f>
      </c>
      <c r="C10314" s="4" t="n">
        <v>8354.00</v>
      </c>
      <c r="D10314" s="4"/>
    </row>
    <row collapsed="" customFormat="false" customHeight="1" hidden="" ht="14" outlineLevel="0" r="10315">
      <c r="A10315" s="3" t="inlineStr">
        <is>
          <t>10275</t>
        </is>
      </c>
      <c r="B10315" s="4" t="s">
        <f>=HYPERLINK("http://anyluxury.ru/shop/odezhda/sportivnaya-odezhda/kurtka-new-york-men-chernaya-01471312/" , "01471312 Куртка NEW YORK MEN черная, размер L")</f>
      </c>
      <c r="C10315" s="4" t="n">
        <v>8354.00</v>
      </c>
      <c r="D10315" s="4"/>
    </row>
    <row collapsed="" customFormat="false" customHeight="1" hidden="" ht="14" outlineLevel="0" r="10316">
      <c r="A10316" s="3" t="inlineStr">
        <is>
          <t>10276</t>
        </is>
      </c>
      <c r="B10316" s="4" t="s">
        <f>=HYPERLINK("http://anyluxury.ru/shop/odezhda/sportivnaya-odezhda/kurtka-new-york-men-chernaya-01471312/" , "01471312 Куртка NEW YORK MEN черная, размер XL")</f>
      </c>
      <c r="C10316" s="4" t="n">
        <v>8354.00</v>
      </c>
      <c r="D10316" s="4"/>
    </row>
    <row collapsed="" customFormat="false" customHeight="1" hidden="" ht="14" outlineLevel="0" r="10317">
      <c r="A10317" s="3" t="inlineStr">
        <is>
          <t>10277</t>
        </is>
      </c>
      <c r="B10317" s="4" t="s">
        <f>=HYPERLINK("http://anyluxury.ru/shop/odezhda/sportivnaya-odezhda/kurtka-new-york-men-chernaya-01471312/" , "01471312 Куртка NEW YORK MEN черная, размер XXL")</f>
      </c>
      <c r="C10317" s="4" t="n">
        <v>8354.00</v>
      </c>
      <c r="D10317" s="4"/>
    </row>
    <row collapsed="" customFormat="false" customHeight="1" hidden="" ht="14" outlineLevel="0" r="10318">
      <c r="A10318" s="3" t="inlineStr">
        <is>
          <t>10278</t>
        </is>
      </c>
      <c r="B10318" s="4" t="s">
        <f>=HYPERLINK("http://anyluxury.ru/shop/odezhda/sportivnaya-odezhda/kurtka-new-york-men-chernaya-01471312/" , "01471312 Куртка NEW YORK MEN черная, размер 3XL")</f>
      </c>
      <c r="C10318" s="4" t="n">
        <v>9590.00</v>
      </c>
      <c r="D10318" s="4"/>
    </row>
    <row collapsed="" customFormat="false" customHeight="1" hidden="" ht="14" outlineLevel="0" r="10319">
      <c r="A10319" s="3" t="inlineStr">
        <is>
          <t>10279</t>
        </is>
      </c>
      <c r="B10319" s="4" t="s">
        <f>=HYPERLINK("http://anyluxury.ru/shop/odezhda/sportivnaya-odezhda/kurtka-new-york-men-rozoviy-neon-01471153/" , "01471153 Куртка NEW YORK MEN неоновый розовый (коралл), размер S")</f>
      </c>
      <c r="C10319" s="4" t="n">
        <v>8354.00</v>
      </c>
      <c r="D10319" s="4"/>
    </row>
    <row collapsed="" customFormat="false" customHeight="1" hidden="" ht="14" outlineLevel="0" r="10320">
      <c r="A10320" s="3" t="inlineStr">
        <is>
          <t>10280</t>
        </is>
      </c>
      <c r="B10320" s="4" t="s">
        <f>=HYPERLINK("http://anyluxury.ru/shop/odezhda/sportivnaya-odezhda/kurtka-new-york-men-rozoviy-neon-01471153/" , "01471153 Куртка NEW YORK MEN неоновый розовый (коралл), размер M")</f>
      </c>
      <c r="C10320" s="4" t="n">
        <v>8354.00</v>
      </c>
      <c r="D10320" s="4"/>
    </row>
    <row collapsed="" customFormat="false" customHeight="1" hidden="" ht="14" outlineLevel="0" r="10321">
      <c r="A10321" s="3" t="inlineStr">
        <is>
          <t>10281</t>
        </is>
      </c>
      <c r="B10321" s="4" t="s">
        <f>=HYPERLINK("http://anyluxury.ru/shop/odezhda/sportivnaya-odezhda/kurtka-new-york-men-rozoviy-neon-01471153/" , "01471153 Куртка NEW YORK MEN неоновый розовый (коралл), размер L")</f>
      </c>
      <c r="C10321" s="4" t="n">
        <v>8354.00</v>
      </c>
      <c r="D10321" s="4"/>
    </row>
    <row collapsed="" customFormat="false" customHeight="1" hidden="" ht="14" outlineLevel="0" r="10322">
      <c r="A10322" s="3" t="inlineStr">
        <is>
          <t>10282</t>
        </is>
      </c>
      <c r="B10322" s="4" t="s">
        <f>=HYPERLINK("http://anyluxury.ru/shop/odezhda/sportivnaya-odezhda/kurtka-new-york-men-rozoviy-neon-01471153/" , "01471153 Куртка NEW YORK MEN неоновый розовый (коралл), размер XL")</f>
      </c>
      <c r="C10322" s="4" t="n">
        <v>8354.00</v>
      </c>
      <c r="D10322" s="4"/>
    </row>
    <row collapsed="" customFormat="false" customHeight="1" hidden="" ht="14" outlineLevel="0" r="10323">
      <c r="A10323" s="3" t="inlineStr">
        <is>
          <t>10283</t>
        </is>
      </c>
      <c r="B10323" s="4" t="s">
        <f>=HYPERLINK("http://anyluxury.ru/shop/odezhda/sportivnaya-odezhda/kurtka-new-york-men-rozoviy-neon-01471153/" , "01471153 Куртка NEW YORK MEN неоновый розовый (коралл), размер XXL")</f>
      </c>
      <c r="C10323" s="4" t="n">
        <v>8354.00</v>
      </c>
      <c r="D10323" s="4"/>
    </row>
    <row collapsed="" customFormat="false" customHeight="1" hidden="" ht="14" outlineLevel="0" r="10324">
      <c r="A10324" s="3" t="inlineStr">
        <is>
          <t>10284</t>
        </is>
      </c>
      <c r="B10324" s="4" t="s">
        <f>=HYPERLINK("http://anyluxury.ru/shop/odezhda/sportivnaya-odezhda/kurtka-new-york-men-rozoviy-neon-01471153/" , "01471153 Куртка NEW YORK MEN неоновый розовый (коралл), размер 3XL")</f>
      </c>
      <c r="C10324" s="4" t="n">
        <v>9590.00</v>
      </c>
      <c r="D10324" s="4"/>
    </row>
    <row collapsed="" customFormat="false" customHeight="1" hidden="" ht="14" outlineLevel="0" r="10325">
      <c r="A10325" s="3" t="inlineStr">
        <is>
          <t>10285</t>
        </is>
      </c>
      <c r="B10325" s="4" t="s">
        <f>=HYPERLINK("http://anyluxury.ru/shop/odezhda/sportivnaya-odezhda/futbolka-sydney-women-zheltiy-neon-01415306/" , "01415306 Футболка SYDNEY WOMEN, желтый неон, размер XS")</f>
      </c>
      <c r="C10325" s="4" t="n">
        <v>1328.00</v>
      </c>
      <c r="D10325" s="4"/>
    </row>
    <row collapsed="" customFormat="false" customHeight="1" hidden="" ht="14" outlineLevel="0" r="10326">
      <c r="A10326" s="3" t="inlineStr">
        <is>
          <t>10286</t>
        </is>
      </c>
      <c r="B10326" s="4" t="s">
        <f>=HYPERLINK("http://anyluxury.ru/shop/odezhda/sportivnaya-odezhda/futbolka-sydney-women-zheltiy-neon-01415306/" , "01415306 Футболка SYDNEY WOMEN, желтый неон, размер S")</f>
      </c>
      <c r="C10326" s="4" t="n">
        <v>1328.00</v>
      </c>
      <c r="D10326" s="4"/>
    </row>
    <row collapsed="" customFormat="false" customHeight="1" hidden="" ht="14" outlineLevel="0" r="10327">
      <c r="A10327" s="3" t="inlineStr">
        <is>
          <t>10287</t>
        </is>
      </c>
      <c r="B10327" s="4" t="s">
        <f>=HYPERLINK("http://anyluxury.ru/shop/odezhda/sportivnaya-odezhda/futbolka-sydney-women-zheltiy-neon-01415306/" , "01415306 Футболка SYDNEY WOMEN, желтый неон, размер M")</f>
      </c>
      <c r="C10327" s="4" t="n">
        <v>1328.00</v>
      </c>
      <c r="D10327" s="4"/>
    </row>
    <row collapsed="" customFormat="false" customHeight="1" hidden="" ht="14" outlineLevel="0" r="10328">
      <c r="A10328" s="3" t="inlineStr">
        <is>
          <t>10288</t>
        </is>
      </c>
      <c r="B10328" s="4" t="s">
        <f>=HYPERLINK("http://anyluxury.ru/shop/odezhda/sportivnaya-odezhda/futbolka-sydney-women-zheltiy-neon-01415306/" , "01415306 Футболка SYDNEY WOMEN, желтый неон, размер L")</f>
      </c>
      <c r="C10328" s="4" t="n">
        <v>1328.00</v>
      </c>
      <c r="D10328" s="4"/>
    </row>
    <row collapsed="" customFormat="false" customHeight="1" hidden="" ht="14" outlineLevel="0" r="10329">
      <c r="A10329" s="3" t="inlineStr">
        <is>
          <t>10289</t>
        </is>
      </c>
      <c r="B10329" s="4" t="s">
        <f>=HYPERLINK("http://anyluxury.ru/shop/odezhda/sportivnaya-odezhda/futbolka-sydney-women-zheltiy-neon-01415306/" , "01415306 Футболка SYDNEY WOMEN, желтый неон, размер XL")</f>
      </c>
      <c r="C10329" s="4" t="n">
        <v>1328.00</v>
      </c>
      <c r="D10329" s="4"/>
    </row>
    <row collapsed="" customFormat="false" customHeight="1" hidden="" ht="14" outlineLevel="0" r="10330">
      <c r="A10330" s="3" t="inlineStr">
        <is>
          <t>10290</t>
        </is>
      </c>
      <c r="B10330" s="4" t="s">
        <f>=HYPERLINK("http://anyluxury.ru/shop/odezhda/sportivnaya-odezhda/futbolka-sydney-women-zheltiy-neon-01415306/" , "01415306 Футболка SYDNEY WOMEN, желтый неон, размер XXL")</f>
      </c>
      <c r="C10330" s="4" t="n">
        <v>1328.00</v>
      </c>
      <c r="D10330" s="4"/>
    </row>
    <row collapsed="" customFormat="false" customHeight="1" hidden="" ht="14" outlineLevel="0" r="10331">
      <c r="A10331" s="3" t="inlineStr">
        <is>
          <t>10291</t>
        </is>
      </c>
      <c r="B10331" s="4" t="s">
        <f>=HYPERLINK("http://anyluxury.ru/shop/odezhda/sportivnaya-odezhda/shorti-zhenskie-janeiro-rozoviy-neon-01697153/" , "01697153 Шорты женские JANEIRO розовый неон, размер XS/S")</f>
      </c>
      <c r="C10331" s="4" t="n">
        <v>639.00</v>
      </c>
      <c r="D10331" s="4"/>
    </row>
    <row collapsed="" customFormat="false" customHeight="1" hidden="" ht="14" outlineLevel="0" r="10332">
      <c r="A10332" s="3" t="inlineStr">
        <is>
          <t>10292</t>
        </is>
      </c>
      <c r="B10332" s="4" t="s">
        <f>=HYPERLINK("http://anyluxury.ru/shop/odezhda/sportivnaya-odezhda/shorti-zhenskie-janeiro-rozoviy-neon-01697153/" , "01697153 Шорты женские JANEIRO розовый неон, размер M/L")</f>
      </c>
      <c r="C10332" s="4" t="n">
        <v>639.00</v>
      </c>
      <c r="D10332" s="4"/>
    </row>
    <row collapsed="" customFormat="false" customHeight="1" hidden="" ht="14" outlineLevel="0" r="10333">
      <c r="A10333" s="3" t="inlineStr">
        <is>
          <t>10293</t>
        </is>
      </c>
      <c r="B10333" s="4" t="s">
        <f>=HYPERLINK("http://anyluxury.ru/shop/odezhda/sportivnaya-odezhda/shorti-zhenskie-janeiro-rozoviy-neon-01697153/" , "01697153 Шорты женские JANEIRO розовый неон, размер XL/XXL")</f>
      </c>
      <c r="C10333" s="4" t="n">
        <v>639.00</v>
      </c>
      <c r="D10333" s="4"/>
    </row>
    <row collapsed="" customFormat="false" customHeight="1" hidden="" ht="14" outlineLevel="0" r="10334">
      <c r="A10334" s="3" t="inlineStr">
        <is>
          <t>10294</t>
        </is>
      </c>
      <c r="B10334" s="4" t="s">
        <f>=HYPERLINK("http://anyluxury.ru/shop/odezhda/sportivnaya-odezhda/shorti-zhenskie-janeiro-chernie-01697312/" , "01697312 Шорты женские JANEIRO черные, размер 052")</f>
      </c>
      <c r="C10334" s="4" t="n">
        <v>639.00</v>
      </c>
      <c r="D10334" s="4"/>
    </row>
    <row collapsed="" customFormat="false" customHeight="1" hidden="" ht="14" outlineLevel="0" r="10335">
      <c r="A10335" s="3" t="inlineStr">
        <is>
          <t>10295</t>
        </is>
      </c>
      <c r="B10335" s="4" t="s">
        <f>=HYPERLINK("http://anyluxury.ru/shop/odezhda/sportivnaya-odezhda/shorti-zhenskie-janeiro-chernie-01697312/" , "01697312 Шорты женские JANEIRO черные, размер M/L")</f>
      </c>
      <c r="C10335" s="4" t="n">
        <v>639.00</v>
      </c>
      <c r="D10335" s="4"/>
    </row>
    <row collapsed="" customFormat="false" customHeight="1" hidden="" ht="14" outlineLevel="0" r="10336">
      <c r="A10336" s="3" t="inlineStr">
        <is>
          <t>10296</t>
        </is>
      </c>
      <c r="B10336" s="4" t="s">
        <f>=HYPERLINK("http://anyluxury.ru/shop/odezhda/sportivnaya-odezhda/shorti-zhenskie-janeiro-chernie-01697312/" , "01697312 Шорты женские JANEIRO черные, размер XL/XXL")</f>
      </c>
      <c r="C10336" s="4" t="n">
        <v>639.00</v>
      </c>
      <c r="D10336" s="4"/>
    </row>
    <row collapsed="" customFormat="false" customHeight="1" hidden="" ht="14" outlineLevel="0" r="10337">
      <c r="A10337" s="3" t="inlineStr">
        <is>
          <t>10297</t>
        </is>
      </c>
      <c r="B10337" s="4" t="s">
        <f>=HYPERLINK("http://anyluxury.ru/shop/odezhda/sportivnaya-odezhda/kedi-energisk-chernie-684030/" , "6840.30 Кеды Energisk черные, размер 38")</f>
      </c>
      <c r="C10337" s="4" t="n">
        <v>1530.00</v>
      </c>
      <c r="D10337" s="4"/>
    </row>
    <row collapsed="" customFormat="false" customHeight="1" hidden="" ht="14" outlineLevel="0" r="10338">
      <c r="A10338" s="3" t="inlineStr">
        <is>
          <t>10298</t>
        </is>
      </c>
      <c r="B10338" s="4" t="s">
        <f>=HYPERLINK("http://anyluxury.ru/shop/odezhda/sportivnaya-odezhda/kedi-energisk-chernie-684030/" , "6840.30 Кеды Energisk черные, размер 41")</f>
      </c>
      <c r="C10338" s="4" t="n">
        <v>1530.00</v>
      </c>
      <c r="D10338" s="4"/>
    </row>
    <row collapsed="" customFormat="false" customHeight="1" hidden="" ht="14" outlineLevel="0" r="10339">
      <c r="A10339" s="3" t="inlineStr">
        <is>
          <t>10299</t>
        </is>
      </c>
      <c r="B10339" s="4" t="s">
        <f>=HYPERLINK("http://anyluxury.ru/shop/odezhda/sportivnaya-odezhda/kedi-energisk-chernie-684030/" , "6840.30 Кеды Energisk черные, размер 42")</f>
      </c>
      <c r="C10339" s="4" t="n">
        <v>1530.00</v>
      </c>
      <c r="D10339" s="4"/>
    </row>
    <row collapsed="" customFormat="false" customHeight="1" hidden="" ht="14" outlineLevel="0" r="10340">
      <c r="A10340" s="3" t="inlineStr">
        <is>
          <t>10300</t>
        </is>
      </c>
      <c r="B10340" s="4" t="s">
        <f>=HYPERLINK("http://anyluxury.ru/shop/odezhda/sportivnaya-odezhda/kedi-energisk-chernie-684030/" , "6840.30 Кеды Energisk черные, размер 43")</f>
      </c>
      <c r="C10340" s="4" t="n">
        <v>1530.00</v>
      </c>
      <c r="D10340" s="4"/>
    </row>
    <row collapsed="" customFormat="false" customHeight="1" hidden="" ht="14" outlineLevel="0" r="10341">
      <c r="A10341" s="3" t="inlineStr">
        <is>
          <t>10301</t>
        </is>
      </c>
      <c r="B10341" s="4" t="s">
        <f>=HYPERLINK("http://anyluxury.ru/shop/odezhda/sportivnaya-odezhda/kedi-energisk-belie-684060/" , "6840.60 Кеды Energisk белые, размер 35")</f>
      </c>
      <c r="C10341" s="4" t="n">
        <v>1095.00</v>
      </c>
      <c r="D10341" s="4"/>
    </row>
    <row collapsed="" customFormat="false" customHeight="1" hidden="" ht="14" outlineLevel="0" r="10342">
      <c r="A10342" s="3" t="inlineStr">
        <is>
          <t>10302</t>
        </is>
      </c>
      <c r="B10342" s="4" t="s">
        <f>=HYPERLINK("http://anyluxury.ru/shop/odezhda/sportivnaya-odezhda/kedi-energisk-belie-684060/" , "6840.60 Кеды Energisk белые, размер 38")</f>
      </c>
      <c r="C10342" s="4" t="n">
        <v>1530.00</v>
      </c>
      <c r="D10342" s="4"/>
    </row>
    <row collapsed="" customFormat="false" customHeight="1" hidden="" ht="14" outlineLevel="0" r="10343">
      <c r="A10343" s="3" t="inlineStr">
        <is>
          <t>10303</t>
        </is>
      </c>
      <c r="B10343" s="4" t="s">
        <f>=HYPERLINK("http://anyluxury.ru/shop/odezhda/sportivnaya-odezhda/kedi-energisk-belie-684060/" , "6840.60 Кеды Energisk белые, размер 40")</f>
      </c>
      <c r="C10343" s="4" t="n">
        <v>1530.00</v>
      </c>
      <c r="D10343" s="4"/>
    </row>
    <row collapsed="" customFormat="false" customHeight="1" hidden="" ht="14" outlineLevel="0" r="10344">
      <c r="A10344" s="3" t="inlineStr">
        <is>
          <t>10304</t>
        </is>
      </c>
      <c r="B10344" s="4" t="s">
        <f>=HYPERLINK("http://anyluxury.ru/shop/odezhda/sportivnaya-odezhda/kedi-energisk-belie-684060/" , "6840.60 Кеды Energisk белые, размер 41")</f>
      </c>
      <c r="C10344" s="4" t="n">
        <v>1530.00</v>
      </c>
      <c r="D10344" s="4"/>
    </row>
    <row collapsed="" customFormat="false" customHeight="1" hidden="" ht="14" outlineLevel="0" r="10345">
      <c r="A10345" s="3" t="inlineStr">
        <is>
          <t>10305</t>
        </is>
      </c>
      <c r="B10345" s="4" t="s">
        <f>=HYPERLINK("http://anyluxury.ru/shop/odezhda/sportivnaya-odezhda/kedi-energisk-belie-684060/" , "6840.60 Кеды Energisk белые, размер 42")</f>
      </c>
      <c r="C10345" s="4" t="n">
        <v>1530.00</v>
      </c>
      <c r="D10345" s="4"/>
    </row>
    <row collapsed="" customFormat="false" customHeight="1" hidden="" ht="14" outlineLevel="0" r="10346">
      <c r="A10346" s="3" t="inlineStr">
        <is>
          <t>10306</t>
        </is>
      </c>
      <c r="B10346" s="4" t="s">
        <f>=HYPERLINK("http://anyluxury.ru/shop/odezhda/sportivnaya-odezhda/kedi-energisk-belie-684060/" , "6840.60 Кеды Energisk белые, размер 45")</f>
      </c>
      <c r="C10346" s="4" t="n">
        <v>1095.00</v>
      </c>
      <c r="D10346" s="4"/>
    </row>
    <row collapsed="" customFormat="false" customHeight="1" hidden="" ht="14" outlineLevel="0" r="10347">
      <c r="A10347" s="3" t="inlineStr">
        <is>
          <t>10307</t>
        </is>
      </c>
      <c r="B10347" s="4" t="s">
        <f>=HYPERLINK("http://anyluxury.ru/shop/odezhda/sportivnaya-odezhda/kedi-energisk-belie-684060/" , "6840.60 Кеды Energisk белые, размер 46")</f>
      </c>
      <c r="C10347" s="4" t="n">
        <v>1095.00</v>
      </c>
      <c r="D10347" s="4"/>
    </row>
    <row collapsed="" customFormat="false" customHeight="1" hidden="" ht="14" outlineLevel="0" r="10348">
      <c r="A10348" s="3" t="inlineStr">
        <is>
          <t>10308</t>
        </is>
      </c>
      <c r="B10348" s="4" t="s">
        <f>=HYPERLINK("http://anyluxury.ru/shop/odezhda/sportivnaya-odezhda/kedi-energisk-belie-684060/" , "6840.60 Кеды Energisk белые, размер 47")</f>
      </c>
      <c r="C10348" s="4" t="n">
        <v>1095.00</v>
      </c>
      <c r="D10348" s="4"/>
    </row>
    <row collapsed="" customFormat="false" customHeight="1" hidden="" ht="14" outlineLevel="0" r="10349">
      <c r="A10349" s="3" t="inlineStr">
        <is>
          <t>10309</t>
        </is>
      </c>
      <c r="B10349" s="4" t="s">
        <f>=HYPERLINK("http://anyluxury.ru/shop/odezhda/sportivnaya-odezhda/futbolka-s-dlinnim-rukavom-sporty-lsl-men-neonovozelenaya-02071286/" , "02071286 Футболка с длинным рукавом SPORTY LSL MEN неоново-зеленая, размер 3XL")</f>
      </c>
      <c r="C10349" s="4" t="n">
        <v>960.00</v>
      </c>
      <c r="D10349" s="4"/>
    </row>
    <row collapsed="" customFormat="false" customHeight="1" hidden="" ht="14" outlineLevel="0" r="10350">
      <c r="A10350" s="3" t="inlineStr">
        <is>
          <t>10310</t>
        </is>
      </c>
      <c r="B10350" s="4" t="s">
        <f>=HYPERLINK("http://anyluxury.ru/shop/odezhda/sportivnaya-odezhda/futbolka-s-dlinnim-rukavom-sporty-lsl-men-belaya-02071102/" , "02071102 Футболка с длинным рукавом SPORTY LSL MEN белая, размер 3XL")</f>
      </c>
      <c r="C10350" s="4" t="n">
        <v>898.00</v>
      </c>
      <c r="D10350" s="4"/>
    </row>
    <row collapsed="" customFormat="false" customHeight="1" hidden="" ht="14" outlineLevel="0" r="10351">
      <c r="A10351" s="3" t="inlineStr">
        <is>
          <t>10311</t>
        </is>
      </c>
      <c r="B10351" s="4" t="s">
        <f>=HYPERLINK("http://anyluxury.ru/shop/odezhda/sportivnaya-odezhda/mayka-muzhskaya-sporty-tt-men-yarkobiryuzovaya-02073321/" , "02073321 Майка мужская SPORTY TT MEN ярко-бирюзовая, размер S")</f>
      </c>
      <c r="C10351" s="4" t="n">
        <v>577.00</v>
      </c>
      <c r="D10351" s="4"/>
    </row>
    <row collapsed="" customFormat="false" customHeight="1" hidden="" ht="14" outlineLevel="0" r="10352">
      <c r="A10352" s="3" t="inlineStr">
        <is>
          <t>10312</t>
        </is>
      </c>
      <c r="B10352" s="4" t="s">
        <f>=HYPERLINK("http://anyluxury.ru/shop/odezhda/sportivnaya-odezhda/mayka-muzhskaya-sporty-tt-men-yarkobiryuzovaya-02073321/" , "02073321 Майка мужская SPORTY TT MEN ярко-бирюзовая, размер M")</f>
      </c>
      <c r="C10352" s="4" t="n">
        <v>577.00</v>
      </c>
      <c r="D10352" s="4"/>
    </row>
    <row collapsed="" customFormat="false" customHeight="1" hidden="" ht="14" outlineLevel="0" r="10353">
      <c r="A10353" s="3" t="inlineStr">
        <is>
          <t>10313</t>
        </is>
      </c>
      <c r="B10353" s="4" t="s">
        <f>=HYPERLINK("http://anyluxury.ru/shop/odezhda/sportivnaya-odezhda/mayka-muzhskaya-sporty-tt-men-yarkobiryuzovaya-02073321/" , "02073321 Майка мужская SPORTY TT MEN ярко-бирюзовая, размер L")</f>
      </c>
      <c r="C10353" s="4" t="n">
        <v>577.00</v>
      </c>
      <c r="D10353" s="4"/>
    </row>
    <row collapsed="" customFormat="false" customHeight="1" hidden="" ht="14" outlineLevel="0" r="10354">
      <c r="A10354" s="3" t="inlineStr">
        <is>
          <t>10314</t>
        </is>
      </c>
      <c r="B10354" s="4" t="s">
        <f>=HYPERLINK("http://anyluxury.ru/shop/odezhda/sportivnaya-odezhda/mayka-muzhskaya-sporty-tt-men-yarkobiryuzovaya-02073321/" , "02073321 Майка мужская SPORTY TT MEN ярко-бирюзовая, размер XL")</f>
      </c>
      <c r="C10354" s="4" t="n">
        <v>577.00</v>
      </c>
      <c r="D10354" s="4"/>
    </row>
    <row collapsed="" customFormat="false" customHeight="1" hidden="" ht="14" outlineLevel="0" r="10355">
      <c r="A10355" s="3" t="inlineStr">
        <is>
          <t>10315</t>
        </is>
      </c>
      <c r="B10355" s="4" t="s">
        <f>=HYPERLINK("http://anyluxury.ru/shop/odezhda/sportivnaya-odezhda/mayka-muzhskaya-sporty-tt-men-yarkobiryuzovaya-02073321/" , "02073321 Майка мужская SPORTY TT MEN ярко-бирюзовая, размер XXL")</f>
      </c>
      <c r="C10355" s="4" t="n">
        <v>577.00</v>
      </c>
      <c r="D10355" s="4"/>
    </row>
    <row collapsed="" customFormat="false" customHeight="1" hidden="" ht="14" outlineLevel="0" r="10356">
      <c r="A10356" s="3" t="inlineStr">
        <is>
          <t>10316</t>
        </is>
      </c>
      <c r="B10356" s="4" t="s">
        <f>=HYPERLINK("http://anyluxury.ru/shop/odezhda/sportivnaya-odezhda/mayka-muzhskaya-sporty-tt-men-yarkobiryuzovaya-02073321/" , "02073321 Майка мужская SPORTY TT MEN ярко-бирюзовая, размер 3XL")</f>
      </c>
      <c r="C10356" s="4" t="n">
        <v>663.00</v>
      </c>
      <c r="D10356" s="4"/>
    </row>
    <row collapsed="" customFormat="false" customHeight="1" hidden="" ht="14" outlineLevel="0" r="10357">
      <c r="A10357" s="3" t="inlineStr">
        <is>
          <t>10317</t>
        </is>
      </c>
      <c r="B10357" s="4" t="s">
        <f>=HYPERLINK("http://anyluxury.ru/shop/odezhda/sportivnaya-odezhda/mayka-muzhskaya-sporty-tt-men-rozoviy-neon-02073129/" , "02073129 Майка мужская SPORTY TT MEN розовый неон, размер S")</f>
      </c>
      <c r="C10357" s="4" t="n">
        <v>577.00</v>
      </c>
      <c r="D10357" s="4"/>
    </row>
    <row collapsed="" customFormat="false" customHeight="1" hidden="" ht="14" outlineLevel="0" r="10358">
      <c r="A10358" s="3" t="inlineStr">
        <is>
          <t>10318</t>
        </is>
      </c>
      <c r="B10358" s="4" t="s">
        <f>=HYPERLINK("http://anyluxury.ru/shop/odezhda/sportivnaya-odezhda/mayka-muzhskaya-sporty-tt-men-rozoviy-neon-02073129/" , "02073129 Майка мужская SPORTY TT MEN розовый неон, размер M")</f>
      </c>
      <c r="C10358" s="4" t="n">
        <v>577.00</v>
      </c>
      <c r="D10358" s="4"/>
    </row>
    <row collapsed="" customFormat="false" customHeight="1" hidden="" ht="14" outlineLevel="0" r="10359">
      <c r="A10359" s="3" t="inlineStr">
        <is>
          <t>10319</t>
        </is>
      </c>
      <c r="B10359" s="4" t="s">
        <f>=HYPERLINK("http://anyluxury.ru/shop/odezhda/sportivnaya-odezhda/mayka-muzhskaya-sporty-tt-men-rozoviy-neon-02073129/" , "02073129 Майка мужская SPORTY TT MEN розовый неон, размер L")</f>
      </c>
      <c r="C10359" s="4" t="n">
        <v>577.00</v>
      </c>
      <c r="D10359" s="4"/>
    </row>
    <row collapsed="" customFormat="false" customHeight="1" hidden="" ht="14" outlineLevel="0" r="10360">
      <c r="A10360" s="3" t="inlineStr">
        <is>
          <t>10320</t>
        </is>
      </c>
      <c r="B10360" s="4" t="s">
        <f>=HYPERLINK("http://anyluxury.ru/shop/odezhda/sportivnaya-odezhda/mayka-muzhskaya-sporty-tt-men-rozoviy-neon-02073129/" , "02073129 Майка мужская SPORTY TT MEN розовый неон, размер XL")</f>
      </c>
      <c r="C10360" s="4" t="n">
        <v>577.00</v>
      </c>
      <c r="D10360" s="4"/>
    </row>
    <row collapsed="" customFormat="false" customHeight="1" hidden="" ht="14" outlineLevel="0" r="10361">
      <c r="A10361" s="3" t="inlineStr">
        <is>
          <t>10321</t>
        </is>
      </c>
      <c r="B10361" s="4" t="s">
        <f>=HYPERLINK("http://anyluxury.ru/shop/odezhda/sportivnaya-odezhda/mayka-muzhskaya-sporty-tt-men-rozoviy-neon-02073129/" , "02073129 Майка мужская SPORTY TT MEN розовый неон, размер XXL")</f>
      </c>
      <c r="C10361" s="4" t="n">
        <v>577.00</v>
      </c>
      <c r="D10361" s="4"/>
    </row>
    <row collapsed="" customFormat="false" customHeight="1" hidden="" ht="14" outlineLevel="0" r="10362">
      <c r="A10362" s="3" t="inlineStr">
        <is>
          <t>10322</t>
        </is>
      </c>
      <c r="B10362" s="4" t="s">
        <f>=HYPERLINK("http://anyluxury.ru/shop/odezhda/sportivnaya-odezhda/mayka-muzhskaya-sporty-tt-men-rozoviy-neon-02073129/" , "02073129 Майка мужская SPORTY TT MEN розовый неон, размер 3XL")</f>
      </c>
      <c r="C10362" s="4" t="n">
        <v>663.00</v>
      </c>
      <c r="D10362" s="4"/>
    </row>
    <row collapsed="" customFormat="false" customHeight="1" hidden="" ht="14" outlineLevel="0" r="10363">
      <c r="A10363" s="3" t="inlineStr">
        <is>
          <t>10323</t>
        </is>
      </c>
      <c r="B10363" s="4" t="s">
        <f>=HYPERLINK("http://anyluxury.ru/shop/odezhda/sportivnaya-odezhda/perchatki-helix-chernie-1312430/" , "13124.30 Перчатки Helix черные, размер M")</f>
      </c>
      <c r="C10363" s="4" t="n">
        <v>1534.00</v>
      </c>
      <c r="D10363" s="4"/>
    </row>
    <row collapsed="" customFormat="false" customHeight="1" hidden="" ht="14" outlineLevel="0" r="10364">
      <c r="A10364" s="3" t="inlineStr">
        <is>
          <t>10324</t>
        </is>
      </c>
      <c r="B10364" s="4" t="s">
        <f>=HYPERLINK("http://anyluxury.ru/shop/odezhda/sportivnaya-odezhda/perchatki-matrix-chernie-1312630/" , "13126.30 Перчатки Matrix черные, размер M")</f>
      </c>
      <c r="C10364" s="4" t="n">
        <v>3664.00</v>
      </c>
      <c r="D10364" s="4"/>
    </row>
    <row collapsed="" customFormat="false" customHeight="1" hidden="" ht="14" outlineLevel="0" r="10365">
      <c r="A10365" s="3" t="inlineStr">
        <is>
          <t>10325</t>
        </is>
      </c>
      <c r="B10365" s="4" t="s">
        <f>=HYPERLINK("http://anyluxury.ru/shop/odezhda/sportivnaya-odezhda/dzhoggeri-kulonga-molochnobelie-1295960/" , "12959.60 Джоггеры Kulonga, молочно-белые, размер ХS/ S")</f>
      </c>
      <c r="C10365" s="4" t="n">
        <v>3200.00</v>
      </c>
      <c r="D10365" s="4"/>
    </row>
    <row collapsed="" customFormat="false" customHeight="1" hidden="" ht="14" outlineLevel="0" r="10366">
      <c r="A10366" s="3" t="inlineStr">
        <is>
          <t>10326</t>
        </is>
      </c>
      <c r="B10366" s="4" t="s">
        <f>=HYPERLINK("http://anyluxury.ru/shop/odezhda/sportivnaya-odezhda/dzhoggeri-kulonga-molochnobelie-1295960/" , "12959.60 Джоггеры Kulonga, молочно-белые, размер M/ L")</f>
      </c>
      <c r="C10366" s="4" t="n">
        <v>3200.00</v>
      </c>
      <c r="D10366" s="4"/>
    </row>
    <row collapsed="" customFormat="false" customHeight="1" hidden="" ht="14" outlineLevel="0" r="10367">
      <c r="A10367" s="3" t="inlineStr">
        <is>
          <t>10327</t>
        </is>
      </c>
      <c r="B10367" s="4" t="s">
        <f>=HYPERLINK("http://anyluxury.ru/shop/odezhda/sportivnaya-odezhda/dzhoggeri-kulonga-molochnobelie-1295960/" , "12959.60 Джоггеры Kulonga, молочно-белые, размер XL/ XXL")</f>
      </c>
      <c r="C10367" s="4" t="n">
        <v>3200.00</v>
      </c>
      <c r="D10367" s="4"/>
    </row>
    <row collapsed="" customFormat="false" customHeight="1" hidden="" ht="14" outlineLevel="0" r="10368">
      <c r="A10368" s="3" t="inlineStr">
        <is>
          <t>10328</t>
        </is>
      </c>
      <c r="B10368" s="4" t="s">
        <f>=HYPERLINK("http://anyluxury.ru/shop/odezhda/sportivnaya-odezhda/dzhoggeri-kulonga-bezhevie-1295910/" , "12959.10 Джоггеры Kulonga, бежевые, размер ХS/ S")</f>
      </c>
      <c r="C10368" s="4" t="n">
        <v>3200.00</v>
      </c>
      <c r="D10368" s="4"/>
    </row>
    <row collapsed="" customFormat="false" customHeight="1" hidden="" ht="14" outlineLevel="0" r="10369">
      <c r="A10369" s="3" t="inlineStr">
        <is>
          <t>10329</t>
        </is>
      </c>
      <c r="B10369" s="4" t="s">
        <f>=HYPERLINK("http://anyluxury.ru/shop/odezhda/sportivnaya-odezhda/dzhoggeri-kulonga-bezhevie-1295910/" , "12959.10 Джоггеры Kulonga, бежевые, размер M/ L")</f>
      </c>
      <c r="C10369" s="4" t="n">
        <v>3200.00</v>
      </c>
      <c r="D10369" s="4"/>
    </row>
    <row collapsed="" customFormat="false" customHeight="1" hidden="" ht="14" outlineLevel="0" r="10370">
      <c r="A10370" s="3" t="inlineStr">
        <is>
          <t>10330</t>
        </is>
      </c>
      <c r="B10370" s="4" t="s">
        <f>=HYPERLINK("http://anyluxury.ru/shop/odezhda/sportivnaya-odezhda/dzhoggeri-kulonga-bezhevie-1295910/" , "12959.10 Джоггеры Kulonga, бежевые, размер XL/ XXL")</f>
      </c>
      <c r="C10370" s="4" t="n">
        <v>3200.00</v>
      </c>
      <c r="D10370" s="4"/>
    </row>
    <row collapsed="" customFormat="false" customHeight="1" hidden="" ht="14" outlineLevel="0" r="10371">
      <c r="A10371" s="3" t="inlineStr">
        <is>
          <t>10331</t>
        </is>
      </c>
      <c r="B10371" s="4" t="s">
        <f>=HYPERLINK("http://anyluxury.ru/shop/odezhda/sportivnaya-odezhda/dzhoggeri-kulonga-temnozeleniy-haki-1295999/" , "12959.99 Джоггеры Kulonga, темно-зеленый хаки, размер ХS/S")</f>
      </c>
      <c r="C10371" s="4" t="n">
        <v>3200.00</v>
      </c>
      <c r="D10371" s="4"/>
    </row>
    <row collapsed="" customFormat="false" customHeight="1" hidden="" ht="14" outlineLevel="0" r="10372">
      <c r="A10372" s="3" t="inlineStr">
        <is>
          <t>10332</t>
        </is>
      </c>
      <c r="B10372" s="4" t="s">
        <f>=HYPERLINK("http://anyluxury.ru/shop/odezhda/sportivnaya-odezhda/dzhoggeri-kulonga-temnozeleniy-haki-1295999/" , "12959.99 Джоггеры Kulonga, темно-зеленый хаки, размер M/L")</f>
      </c>
      <c r="C10372" s="4" t="n">
        <v>3200.00</v>
      </c>
      <c r="D10372" s="4"/>
    </row>
    <row collapsed="" customFormat="false" customHeight="1" hidden="" ht="14" outlineLevel="0" r="10373">
      <c r="A10373" s="3" t="inlineStr">
        <is>
          <t>10333</t>
        </is>
      </c>
      <c r="B10373" s="4" t="s">
        <f>=HYPERLINK("http://anyluxury.ru/shop/odezhda/sportivnaya-odezhda/dzhoggeri-kulonga-temnozeleniy-haki-1295999/" , "12959.99 Джоггеры Kulonga, темно-зеленый хаки, размер XL/XXL")</f>
      </c>
      <c r="C10373" s="4" t="n">
        <v>3200.00</v>
      </c>
      <c r="D10373" s="4"/>
    </row>
    <row collapsed="" customFormat="false" customHeight="1" hidden="" ht="14" outlineLevel="0" r="10374">
      <c r="A10374" s="3" t="inlineStr">
        <is>
          <t>10334</t>
        </is>
      </c>
      <c r="B10374" s="4" t="s">
        <f>=HYPERLINK("http://anyluxury.ru/shop/odezhda/sportivnaya-odezhda/dzhoggeri-comfort-chernie-1395930/" , "13959.30 Джоггеры Comfort, черные, размер ХS/ S")</f>
      </c>
      <c r="C10374" s="4" t="n">
        <v>2100.00</v>
      </c>
      <c r="D10374" s="4"/>
    </row>
    <row collapsed="" customFormat="false" customHeight="1" hidden="" ht="14" outlineLevel="0" r="10375">
      <c r="A10375" s="3" t="inlineStr">
        <is>
          <t>10335</t>
        </is>
      </c>
      <c r="B10375" s="4" t="s">
        <f>=HYPERLINK("http://anyluxury.ru/shop/odezhda/sportivnaya-odezhda/dzhoggeri-comfort-bezhevie-1395910/" , "13959.10 Джоггеры Comfort, бежевые, размер ХS/ S")</f>
      </c>
      <c r="C10375" s="4" t="n">
        <v>2100.00</v>
      </c>
      <c r="D10375" s="4"/>
    </row>
    <row collapsed="" customFormat="false" customHeight="1" hidden="" ht="14" outlineLevel="0" r="10376">
      <c r="A10376" s="3" t="inlineStr">
        <is>
          <t>10336</t>
        </is>
      </c>
      <c r="B10376" s="4" t="s">
        <f>=HYPERLINK("http://anyluxury.ru/shop/odezhda/sportivnaya-odezhda/dzhoggeri-comfort-bezhevie-1395910/" , "13959.10 Джоггеры Comfort, бежевые, размер M/ L")</f>
      </c>
      <c r="C10376" s="4" t="n">
        <v>2100.00</v>
      </c>
      <c r="D10376" s="4"/>
    </row>
    <row collapsed="" customFormat="false" customHeight="1" hidden="" ht="14" outlineLevel="0" r="10377">
      <c r="A10377" s="3" t="inlineStr">
        <is>
          <t>10337</t>
        </is>
      </c>
      <c r="B10377" s="4" t="s">
        <f>=HYPERLINK("http://anyluxury.ru/shop/odezhda/sportivnaya-odezhda/dzhoggeri-comfort-bezhevie-1395910/" , "13959.10 Джоггеры Comfort, бежевые, размер XL/ XXL")</f>
      </c>
      <c r="C10377" s="4" t="n">
        <v>2100.00</v>
      </c>
      <c r="D10377" s="4"/>
    </row>
    <row collapsed="" customFormat="false" customHeight="1" hidden="" ht="14" outlineLevel="0" r="10378">
      <c r="A10378" s="3" t="inlineStr">
        <is>
          <t>10338</t>
        </is>
      </c>
      <c r="B10378" s="4" t="s">
        <f>=HYPERLINK("http://anyluxury.ru/shop/odezhda/sportivnaya-odezhda/dzhoggeri-comfort-svetloserie-1395912/" , "13959.12 Джоггеры Comfort, светло-серые, размер ХS/ S")</f>
      </c>
      <c r="C10378" s="4" t="n">
        <v>2100.00</v>
      </c>
      <c r="D10378" s="4"/>
    </row>
    <row collapsed="" customFormat="false" customHeight="1" hidden="" ht="14" outlineLevel="0" r="10379">
      <c r="A10379" s="3" t="inlineStr">
        <is>
          <t>10339</t>
        </is>
      </c>
      <c r="B10379" s="4" t="s">
        <f>=HYPERLINK("http://anyluxury.ru/shop/odezhda/sportivnaya-odezhda/dzhoggeri-comfort-serozelenie-1395991/" , "13959.91 Джоггеры Comfort, серо-зеленые, размер ХS/ S")</f>
      </c>
      <c r="C10379" s="4" t="n">
        <v>2100.00</v>
      </c>
      <c r="D10379" s="4"/>
    </row>
    <row collapsed="" customFormat="false" customHeight="1" hidden="" ht="14" outlineLevel="0" r="10380">
      <c r="A10380" s="3" t="inlineStr">
        <is>
          <t>10340</t>
        </is>
      </c>
      <c r="B10380" s="4" t="s">
        <f>=HYPERLINK("http://anyluxury.ru/shop/odezhda/sportivnaya-odezhda/dzhoggeri-comfort-serozelenie-1395991/" , "13959.91 Джоггеры Comfort, серо-зеленые, размер M/ L")</f>
      </c>
      <c r="C10380" s="4" t="n">
        <v>2100.00</v>
      </c>
      <c r="D10380" s="4"/>
    </row>
    <row collapsed="" customFormat="false" customHeight="1" hidden="" ht="14" outlineLevel="0" r="10381">
      <c r="A10381" s="3" t="inlineStr">
        <is>
          <t>10341</t>
        </is>
      </c>
      <c r="B10381" s="4" t="s">
        <f>=HYPERLINK("http://anyluxury.ru/shop/odezhda/sportivnaya-odezhda/dzhoggeri-comfort-serozelenie-1395991/" , "13959.91 Джоггеры Comfort, серо-зеленые, размер ХL/ XXL")</f>
      </c>
      <c r="C10381" s="4" t="n">
        <v>2100.00</v>
      </c>
      <c r="D10381" s="4"/>
    </row>
    <row collapsed="" customFormat="false" customHeight="1" hidden="" ht="14" outlineLevel="0" r="10382">
      <c r="A10382" s="3" t="inlineStr">
        <is>
          <t>10342</t>
        </is>
      </c>
      <c r="B10382" s="4" t="s">
        <f>=HYPERLINK("http://anyluxury.ru/shop/odezhda/sportivnaya-odezhda/dzhoggeri-muzhskie-jet-men-chernie-03808312/" , "03808312 Джоггеры мужские Jet Men, черные, размер XS")</f>
      </c>
      <c r="C10382" s="4" t="n">
        <v>3282.00</v>
      </c>
      <c r="D10382" s="4"/>
    </row>
    <row collapsed="" customFormat="false" customHeight="1" hidden="" ht="14" outlineLevel="0" r="10383">
      <c r="A10383" s="3" t="inlineStr">
        <is>
          <t>10343</t>
        </is>
      </c>
      <c r="B10383" s="4" t="s">
        <f>=HYPERLINK("http://anyluxury.ru/shop/odezhda/sportivnaya-odezhda/dzhoggeri-muzhskie-jet-men-chernie-03808312/" , "03808312 Джоггеры мужские Jet Men, черные, размер S")</f>
      </c>
      <c r="C10383" s="4" t="n">
        <v>3282.00</v>
      </c>
      <c r="D10383" s="4"/>
    </row>
    <row collapsed="" customFormat="false" customHeight="1" hidden="" ht="14" outlineLevel="0" r="10384">
      <c r="A10384" s="3" t="inlineStr">
        <is>
          <t>10344</t>
        </is>
      </c>
      <c r="B10384" s="4" t="s">
        <f>=HYPERLINK("http://anyluxury.ru/shop/odezhda/sportivnaya-odezhda/dzhoggeri-muzhskie-jet-men-chernie-03808312/" , "03808312 Джоггеры мужские Jet Men, черные, размер XXL")</f>
      </c>
      <c r="C10384" s="4" t="n">
        <v>3282.00</v>
      </c>
      <c r="D10384" s="4"/>
    </row>
    <row collapsed="" customFormat="false" customHeight="1" hidden="" ht="14" outlineLevel="0" r="10385">
      <c r="A10385" s="3" t="inlineStr">
        <is>
          <t>10345</t>
        </is>
      </c>
      <c r="B10385" s="4" t="s">
        <f>=HYPERLINK("http://anyluxury.ru/shop/odezhda/sportivnaya-odezhda/dzhoggeri-muzhskie-jet-men-chernie-03808312/" , "03808312 Джоггеры мужские Jet Men, черные, размер 3XL")</f>
      </c>
      <c r="C10385" s="4" t="n">
        <v>3700.00</v>
      </c>
      <c r="D10385" s="4"/>
    </row>
    <row collapsed="" customFormat="false" customHeight="1" hidden="" ht="14" outlineLevel="0" r="10386">
      <c r="A10386" s="3" t="inlineStr">
        <is>
          <t>10346</t>
        </is>
      </c>
      <c r="B10386" s="4" t="s">
        <f>=HYPERLINK("http://anyluxury.ru/shop/odezhda/sportivnaya-odezhda/dzhoggeri-muzhskie-jet-men-temnosinie-03808319/" , "03808319 Джоггеры мужские Jet Men, темно-синие, размер XS")</f>
      </c>
      <c r="C10386" s="4" t="n">
        <v>3282.00</v>
      </c>
      <c r="D10386" s="4"/>
    </row>
    <row collapsed="" customFormat="false" customHeight="1" hidden="" ht="14" outlineLevel="0" r="10387">
      <c r="A10387" s="3" t="inlineStr">
        <is>
          <t>10347</t>
        </is>
      </c>
      <c r="B10387" s="4" t="s">
        <f>=HYPERLINK("http://anyluxury.ru/shop/odezhda/sportivnaya-odezhda/dzhoggeri-muzhskie-jet-men-temnosinie-03808319/" , "03808319 Джоггеры мужские Jet Men, темно-синие, размер S")</f>
      </c>
      <c r="C10387" s="4" t="n">
        <v>3282.00</v>
      </c>
      <c r="D10387" s="4"/>
    </row>
    <row collapsed="" customFormat="false" customHeight="1" hidden="" ht="14" outlineLevel="0" r="10388">
      <c r="A10388" s="3" t="inlineStr">
        <is>
          <t>10348</t>
        </is>
      </c>
      <c r="B10388" s="4" t="s">
        <f>=HYPERLINK("http://anyluxury.ru/shop/odezhda/sportivnaya-odezhda/dzhoggeri-muzhskie-jet-men-temnosinie-03808319/" , "03808319 Джоггеры мужские Jet Men, темно-синие, размер M")</f>
      </c>
      <c r="C10388" s="4" t="n">
        <v>3282.00</v>
      </c>
      <c r="D10388" s="4"/>
    </row>
    <row collapsed="" customFormat="false" customHeight="1" hidden="" ht="14" outlineLevel="0" r="10389">
      <c r="A10389" s="3" t="inlineStr">
        <is>
          <t>10349</t>
        </is>
      </c>
      <c r="B10389" s="4" t="s">
        <f>=HYPERLINK("http://anyluxury.ru/shop/odezhda/sportivnaya-odezhda/dzhoggeri-muzhskie-jet-men-temnosinie-03808319/" , "03808319 Джоггеры мужские Jet Men, темно-синие, размер XXL")</f>
      </c>
      <c r="C10389" s="4" t="n">
        <v>3282.00</v>
      </c>
      <c r="D10389" s="4"/>
    </row>
    <row collapsed="" customFormat="false" customHeight="1" hidden="" ht="14" outlineLevel="0" r="10390">
      <c r="A10390" s="3" t="inlineStr">
        <is>
          <t>10350</t>
        </is>
      </c>
      <c r="B10390" s="4" t="s">
        <f>=HYPERLINK("http://anyluxury.ru/shop/odezhda/sportivnaya-odezhda/dzhoggeri-muzhskie-jet-men-temnosinie-03808319/" , "03808319 Джоггеры мужские Jet Men, темно-синие, размер 3XL")</f>
      </c>
      <c r="C10390" s="4" t="n">
        <v>3700.00</v>
      </c>
      <c r="D10390" s="4"/>
    </row>
    <row collapsed="" customFormat="false" customHeight="1" hidden="" ht="14" outlineLevel="0" r="10391">
      <c r="A10391" s="3" t="inlineStr">
        <is>
          <t>10351</t>
        </is>
      </c>
      <c r="B10391" s="4" t="s">
        <f>=HYPERLINK("http://anyluxury.ru/shop/odezhda/sportivnaya-odezhda/dzhoggeri-muzhskie-jet-men-seriy-melanzh-03808360/" , "03808360 Джоггеры мужские Jet Men, серый меланж, размер XS")</f>
      </c>
      <c r="C10391" s="4" t="n">
        <v>3282.00</v>
      </c>
      <c r="D10391" s="4"/>
    </row>
    <row collapsed="" customFormat="false" customHeight="1" hidden="" ht="14" outlineLevel="0" r="10392">
      <c r="A10392" s="3" t="inlineStr">
        <is>
          <t>10352</t>
        </is>
      </c>
      <c r="B10392" s="4" t="s">
        <f>=HYPERLINK("http://anyluxury.ru/shop/odezhda/sportivnaya-odezhda/dzhoggeri-muzhskie-jet-men-seriy-melanzh-03808360/" , "03808360 Джоггеры мужские Jet Men, серый меланж, размер S")</f>
      </c>
      <c r="C10392" s="4" t="n">
        <v>3282.00</v>
      </c>
      <c r="D10392" s="4"/>
    </row>
    <row collapsed="" customFormat="false" customHeight="1" hidden="" ht="14" outlineLevel="0" r="10393">
      <c r="A10393" s="3" t="inlineStr">
        <is>
          <t>10353</t>
        </is>
      </c>
      <c r="B10393" s="4" t="s">
        <f>=HYPERLINK("http://anyluxury.ru/shop/odezhda/sportivnaya-odezhda/dzhoggeri-muzhskie-jet-men-seriy-melanzh-03808360/" , "03808360 Джоггеры мужские Jet Men, серый меланж, размер M")</f>
      </c>
      <c r="C10393" s="4" t="n">
        <v>3282.00</v>
      </c>
      <c r="D10393" s="4"/>
    </row>
    <row collapsed="" customFormat="false" customHeight="1" hidden="" ht="14" outlineLevel="0" r="10394">
      <c r="A10394" s="3" t="inlineStr">
        <is>
          <t>10354</t>
        </is>
      </c>
      <c r="B10394" s="4" t="s">
        <f>=HYPERLINK("http://anyluxury.ru/shop/odezhda/sportivnaya-odezhda/dzhoggeri-muzhskie-jet-men-seriy-melanzh-03808360/" , "03808360 Джоггеры мужские Jet Men, серый меланж, размер L")</f>
      </c>
      <c r="C10394" s="4" t="n">
        <v>3282.00</v>
      </c>
      <c r="D10394" s="4"/>
    </row>
    <row collapsed="" customFormat="false" customHeight="1" hidden="" ht="14" outlineLevel="0" r="10395">
      <c r="A10395" s="3" t="inlineStr">
        <is>
          <t>10355</t>
        </is>
      </c>
      <c r="B10395" s="4" t="s">
        <f>=HYPERLINK("http://anyluxury.ru/shop/odezhda/sportivnaya-odezhda/dzhoggeri-muzhskie-jet-men-seriy-melanzh-03808360/" , "03808360 Джоггеры мужские Jet Men, серый меланж, размер XL")</f>
      </c>
      <c r="C10395" s="4" t="n">
        <v>3282.00</v>
      </c>
      <c r="D10395" s="4"/>
    </row>
    <row collapsed="" customFormat="false" customHeight="1" hidden="" ht="14" outlineLevel="0" r="10396">
      <c r="A10396" s="3" t="inlineStr">
        <is>
          <t>10356</t>
        </is>
      </c>
      <c r="B10396" s="4" t="s">
        <f>=HYPERLINK("http://anyluxury.ru/shop/odezhda/sportivnaya-odezhda/dzhoggeri-muzhskie-jet-men-seriy-melanzh-03808360/" , "03808360 Джоггеры мужские Jet Men, серый меланж, размер XXL")</f>
      </c>
      <c r="C10396" s="4" t="n">
        <v>3282.00</v>
      </c>
      <c r="D10396" s="4"/>
    </row>
    <row collapsed="" customFormat="false" customHeight="1" hidden="" ht="14" outlineLevel="0" r="10397">
      <c r="A10397" s="3" t="inlineStr">
        <is>
          <t>10357</t>
        </is>
      </c>
      <c r="B10397" s="4" t="s">
        <f>=HYPERLINK("http://anyluxury.ru/shop/odezhda/sportivnaya-odezhda/dzhoggeri-muzhskie-jet-men-seriy-melanzh-03808360/" , "03808360 Джоггеры мужские Jet Men, серый меланж, размер 3XL")</f>
      </c>
      <c r="C10397" s="4" t="n">
        <v>3700.00</v>
      </c>
      <c r="D10397" s="4"/>
    </row>
    <row collapsed="" customFormat="false" customHeight="1" hidden="" ht="14" outlineLevel="0" r="10398">
      <c r="A10398" s="3" t="inlineStr">
        <is>
          <t>10358</t>
        </is>
      </c>
      <c r="B10398" s="4" t="s">
        <f>=HYPERLINK("http://anyluxury.ru/shop/odezhda/sportivnaya-odezhda/losini-zhenskie-jill-chernie-03819309/" , "03819309 Лосины женские Jill, черные, размер XS")</f>
      </c>
      <c r="C10398" s="4" t="n">
        <v>1454.00</v>
      </c>
      <c r="D10398" s="4"/>
    </row>
    <row collapsed="" customFormat="false" customHeight="1" hidden="" ht="14" outlineLevel="0" r="10399">
      <c r="A10399" s="3" t="inlineStr">
        <is>
          <t>10359</t>
        </is>
      </c>
      <c r="B10399" s="4" t="s">
        <f>=HYPERLINK("http://anyluxury.ru/shop/odezhda/sportivnaya-odezhda/losini-zhenskie-jill-chernie-03819309/" , "03819309 Лосины женские Jill, черные, размер S")</f>
      </c>
      <c r="C10399" s="4" t="n">
        <v>1454.00</v>
      </c>
      <c r="D10399" s="4"/>
    </row>
    <row collapsed="" customFormat="false" customHeight="1" hidden="" ht="14" outlineLevel="0" r="10400">
      <c r="A10400" s="3" t="inlineStr">
        <is>
          <t>10360</t>
        </is>
      </c>
      <c r="B10400" s="4" t="s">
        <f>=HYPERLINK("http://anyluxury.ru/shop/odezhda/sportivnaya-odezhda/losini-zhenskie-jill-chernie-03819309/" , "03819309 Лосины женские Jill, черные, размер M")</f>
      </c>
      <c r="C10400" s="4" t="n">
        <v>1454.00</v>
      </c>
      <c r="D10400" s="4"/>
    </row>
    <row collapsed="" customFormat="false" customHeight="1" hidden="" ht="14" outlineLevel="0" r="10401">
      <c r="A10401" s="3" t="inlineStr">
        <is>
          <t>10361</t>
        </is>
      </c>
      <c r="B10401" s="4" t="s">
        <f>=HYPERLINK("http://anyluxury.ru/shop/odezhda/sportivnaya-odezhda/losini-zhenskie-jill-chernie-03819309/" , "03819309 Лосины женские Jill, черные, размер L")</f>
      </c>
      <c r="C10401" s="4" t="n">
        <v>1454.00</v>
      </c>
      <c r="D10401" s="4"/>
    </row>
    <row collapsed="" customFormat="false" customHeight="1" hidden="" ht="14" outlineLevel="0" r="10402">
      <c r="A10402" s="3" t="inlineStr">
        <is>
          <t>10362</t>
        </is>
      </c>
      <c r="B10402" s="4" t="s">
        <f>=HYPERLINK("http://anyluxury.ru/shop/odezhda/sportivnaya-odezhda/losini-zhenskie-jill-chernie-03819309/" , "03819309 Лосины женские Jill, черные, размер XL")</f>
      </c>
      <c r="C10402" s="4" t="n">
        <v>1454.00</v>
      </c>
      <c r="D10402" s="4"/>
    </row>
    <row collapsed="" customFormat="false" customHeight="1" hidden="" ht="14" outlineLevel="0" r="10403">
      <c r="A10403" s="3" t="inlineStr">
        <is>
          <t>10363</t>
        </is>
      </c>
      <c r="B10403" s="4" t="s">
        <f>=HYPERLINK("http://anyluxury.ru/shop/odezhda/sportivnaya-odezhda/losini-zhenskie-jill-chernie-03819309/" , "03819309 Лосины женские Jill, черные, размер XXL")</f>
      </c>
      <c r="C10403" s="4" t="n">
        <v>1454.00</v>
      </c>
      <c r="D10403" s="4"/>
    </row>
    <row collapsed="" customFormat="false" customHeight="1" hidden="" ht="14" outlineLevel="0" r="10404">
      <c r="A10404" s="3" t="inlineStr">
        <is>
          <t>10364</t>
        </is>
      </c>
      <c r="B10404" s="4" t="s">
        <f>=HYPERLINK("http://anyluxury.ru/shop/odezhda/sportivnaya-odezhda/dzhoggeri-jumbo-chernie-03810312/" , "03810312 Джоггеры Jumbo, черные, размер XS")</f>
      </c>
      <c r="C10404" s="4" t="n">
        <v>3388.00</v>
      </c>
      <c r="D10404" s="4"/>
    </row>
    <row collapsed="" customFormat="false" customHeight="1" hidden="" ht="14" outlineLevel="0" r="10405">
      <c r="A10405" s="3" t="inlineStr">
        <is>
          <t>10365</t>
        </is>
      </c>
      <c r="B10405" s="4" t="s">
        <f>=HYPERLINK("http://anyluxury.ru/shop/odezhda/sportivnaya-odezhda/dzhoggeri-jumbo-chernie-03810312/" , "03810312 Джоггеры Jumbo, черные, размер S")</f>
      </c>
      <c r="C10405" s="4" t="n">
        <v>3388.00</v>
      </c>
      <c r="D10405" s="4"/>
    </row>
    <row collapsed="" customFormat="false" customHeight="1" hidden="" ht="14" outlineLevel="0" r="10406">
      <c r="A10406" s="3" t="inlineStr">
        <is>
          <t>10366</t>
        </is>
      </c>
      <c r="B10406" s="4" t="s">
        <f>=HYPERLINK("http://anyluxury.ru/shop/odezhda/sportivnaya-odezhda/dzhoggeri-jumbo-chernie-03810312/" , "03810312 Джоггеры Jumbo, черные, размер M")</f>
      </c>
      <c r="C10406" s="4" t="n">
        <v>3388.00</v>
      </c>
      <c r="D10406" s="4"/>
    </row>
    <row collapsed="" customFormat="false" customHeight="1" hidden="" ht="14" outlineLevel="0" r="10407">
      <c r="A10407" s="3" t="inlineStr">
        <is>
          <t>10367</t>
        </is>
      </c>
      <c r="B10407" s="4" t="s">
        <f>=HYPERLINK("http://anyluxury.ru/shop/odezhda/sportivnaya-odezhda/dzhoggeri-jumbo-chernie-03810312/" , "03810312 Джоггеры Jumbo, черные, размер 3XL")</f>
      </c>
      <c r="C10407" s="4" t="n">
        <v>3825.00</v>
      </c>
      <c r="D10407" s="4"/>
    </row>
    <row collapsed="" customFormat="false" customHeight="1" hidden="" ht="14" outlineLevel="0" r="10408">
      <c r="A10408" s="3" t="inlineStr">
        <is>
          <t>10368</t>
        </is>
      </c>
      <c r="B10408" s="4" t="s">
        <f>=HYPERLINK("http://anyluxury.ru/shop/odezhda/sportivnaya-odezhda/dzhoggeri-jumbo-seriy-melanzh-03810360/" , "03810360 Джоггеры Jumbo серый меланж, размер XS")</f>
      </c>
      <c r="C10408" s="4" t="n">
        <v>3388.00</v>
      </c>
      <c r="D10408" s="4"/>
    </row>
    <row collapsed="" customFormat="false" customHeight="1" hidden="" ht="14" outlineLevel="0" r="10409">
      <c r="A10409" s="3" t="inlineStr">
        <is>
          <t>10369</t>
        </is>
      </c>
      <c r="B10409" s="4" t="s">
        <f>=HYPERLINK("http://anyluxury.ru/shop/odezhda/sportivnaya-odezhda/dzhoggeri-jumbo-seriy-melanzh-03810360/" , "03810360 Джоггеры Jumbo, серый меланж, размер S")</f>
      </c>
      <c r="C10409" s="4" t="n">
        <v>3388.00</v>
      </c>
      <c r="D10409" s="4"/>
    </row>
    <row collapsed="" customFormat="false" customHeight="1" hidden="" ht="14" outlineLevel="0" r="10410">
      <c r="A10410" s="3" t="inlineStr">
        <is>
          <t>10370</t>
        </is>
      </c>
      <c r="B10410" s="4" t="s">
        <f>=HYPERLINK("http://anyluxury.ru/shop/odezhda/sportivnaya-odezhda/dzhoggeri-jumbo-seriy-melanzh-03810360/" , "03810360 Джоггеры Jumbo, серый меланж, размер M")</f>
      </c>
      <c r="C10410" s="4" t="n">
        <v>3388.00</v>
      </c>
      <c r="D10410" s="4"/>
    </row>
    <row collapsed="" customFormat="false" customHeight="1" hidden="" ht="14" outlineLevel="0" r="10411">
      <c r="A10411" s="3" t="inlineStr">
        <is>
          <t>10371</t>
        </is>
      </c>
      <c r="B10411" s="4" t="s">
        <f>=HYPERLINK("http://anyluxury.ru/shop/odezhda/sportivnaya-odezhda/dzhoggeri-jumbo-seriy-melanzh-03810360/" , "03810360 Джоггеры Jumbo, серый меланж, размер L")</f>
      </c>
      <c r="C10411" s="4" t="n">
        <v>3388.00</v>
      </c>
      <c r="D10411" s="4"/>
    </row>
    <row collapsed="" customFormat="false" customHeight="1" hidden="" ht="14" outlineLevel="0" r="10412">
      <c r="A10412" s="3" t="inlineStr">
        <is>
          <t>10372</t>
        </is>
      </c>
      <c r="B10412" s="4" t="s">
        <f>=HYPERLINK("http://anyluxury.ru/shop/odezhda/sportivnaya-odezhda/dzhoggeri-jumbo-seriy-melanzh-03810360/" , "03810360 Джоггеры Jumbo, серый меланж, размер XL")</f>
      </c>
      <c r="C10412" s="4" t="n">
        <v>3388.00</v>
      </c>
      <c r="D10412" s="4"/>
    </row>
    <row collapsed="" customFormat="false" customHeight="1" hidden="" ht="14" outlineLevel="0" r="10413">
      <c r="A10413" s="3" t="inlineStr">
        <is>
          <t>10373</t>
        </is>
      </c>
      <c r="B10413" s="4" t="s">
        <f>=HYPERLINK("http://anyluxury.ru/shop/odezhda/sportivnaya-odezhda/dzhoggeri-jumbo-seriy-melanzh-03810360/" , "03810360 Джоггеры Jumbo, серый меланж, размер XXL")</f>
      </c>
      <c r="C10413" s="4" t="n">
        <v>3388.00</v>
      </c>
      <c r="D10413" s="4"/>
    </row>
    <row collapsed="" customFormat="false" customHeight="1" hidden="" ht="14" outlineLevel="0" r="10414">
      <c r="A10414" s="3" t="inlineStr">
        <is>
          <t>10374</t>
        </is>
      </c>
      <c r="B10414" s="4" t="s">
        <f>=HYPERLINK("http://anyluxury.ru/shop/odezhda/sportivnaya-odezhda/dzhoggeri-jumbo-seriy-melanzh-03810360/" , "03810360 Джоггеры Jumbo, серый меланж, размер 3XL")</f>
      </c>
      <c r="C10414" s="4" t="n">
        <v>3825.00</v>
      </c>
      <c r="D10414" s="4"/>
    </row>
    <row collapsed="" customFormat="false" customHeight="1" hidden="" ht="14" outlineLevel="0" r="10415">
      <c r="A10415" s="3" t="inlineStr">
        <is>
          <t>10375</t>
        </is>
      </c>
      <c r="B10415" s="4" t="s">
        <f>=HYPERLINK("http://anyluxury.ru/shop/odezhda/sportivnaya-odezhda/dzhoggeri-kosmos-20-kremovie-1461660/" , "14616.60 Джоггеры Kosmos 2.0, кремовые, размер XS/S")</f>
      </c>
      <c r="C10415" s="4" t="n">
        <v>1850.00</v>
      </c>
      <c r="D10415" s="4"/>
    </row>
    <row collapsed="" customFormat="false" customHeight="1" hidden="" ht="14" outlineLevel="0" r="10416">
      <c r="A10416" s="3" t="inlineStr">
        <is>
          <t>10376</t>
        </is>
      </c>
      <c r="B10416" s="4" t="s">
        <f>=HYPERLINK("http://anyluxury.ru/shop/odezhda/sportivnaya-odezhda/dzhoggeri-kosmos-20-kremovie-1461660/" , "14616.60 Джоггеры Kosmos 2.0, кремовые, размер XL/ XXL")</f>
      </c>
      <c r="C10416" s="4" t="n">
        <v>1850.00</v>
      </c>
      <c r="D10416" s="4"/>
    </row>
    <row collapsed="" customFormat="false" customHeight="1" hidden="" ht="14" outlineLevel="0" r="10417">
      <c r="A10417" s="3" t="inlineStr">
        <is>
          <t>10377</t>
        </is>
      </c>
      <c r="B10417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S")</f>
      </c>
      <c r="C10417" s="4" t="n">
        <v>2690.00</v>
      </c>
      <c r="D10417" s="4"/>
    </row>
    <row collapsed="" customFormat="false" customHeight="1" hidden="" ht="14" outlineLevel="0" r="10418">
      <c r="A10418" s="3" t="inlineStr">
        <is>
          <t>10378</t>
        </is>
      </c>
      <c r="B10418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M")</f>
      </c>
      <c r="C10418" s="4" t="n">
        <v>2690.00</v>
      </c>
      <c r="D10418" s="4"/>
    </row>
    <row collapsed="" customFormat="false" customHeight="1" hidden="" ht="14" outlineLevel="0" r="10419">
      <c r="A10419" s="3" t="inlineStr">
        <is>
          <t>10379</t>
        </is>
      </c>
      <c r="B10419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L")</f>
      </c>
      <c r="C10419" s="4" t="n">
        <v>2690.00</v>
      </c>
      <c r="D10419" s="4"/>
    </row>
    <row collapsed="" customFormat="false" customHeight="1" hidden="" ht="14" outlineLevel="0" r="10420">
      <c r="A10420" s="3" t="inlineStr">
        <is>
          <t>10380</t>
        </is>
      </c>
      <c r="B10420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XL")</f>
      </c>
      <c r="C10420" s="4" t="n">
        <v>2690.00</v>
      </c>
      <c r="D10420" s="4"/>
    </row>
    <row collapsed="" customFormat="false" customHeight="1" hidden="" ht="14" outlineLevel="0" r="10421">
      <c r="A10421" s="3" t="inlineStr">
        <is>
          <t>10381</t>
        </is>
      </c>
      <c r="B10421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S")</f>
      </c>
      <c r="C10421" s="4" t="n">
        <v>2690.00</v>
      </c>
      <c r="D10421" s="4"/>
    </row>
    <row collapsed="" customFormat="false" customHeight="1" hidden="" ht="14" outlineLevel="0" r="10422">
      <c r="A10422" s="3" t="inlineStr">
        <is>
          <t>10382</t>
        </is>
      </c>
      <c r="B10422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M")</f>
      </c>
      <c r="C10422" s="4" t="n">
        <v>2690.00</v>
      </c>
      <c r="D10422" s="4"/>
    </row>
    <row collapsed="" customFormat="false" customHeight="1" hidden="" ht="14" outlineLevel="0" r="10423">
      <c r="A10423" s="3" t="inlineStr">
        <is>
          <t>10383</t>
        </is>
      </c>
      <c r="B10423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L")</f>
      </c>
      <c r="C10423" s="4" t="n">
        <v>2690.00</v>
      </c>
      <c r="D10423" s="4"/>
    </row>
    <row collapsed="" customFormat="false" customHeight="1" hidden="" ht="14" outlineLevel="0" r="10424">
      <c r="A10424" s="3" t="inlineStr">
        <is>
          <t>10384</t>
        </is>
      </c>
      <c r="B10424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XL")</f>
      </c>
      <c r="C10424" s="4" t="n">
        <v>2690.00</v>
      </c>
      <c r="D10424" s="4"/>
    </row>
    <row collapsed="" customFormat="false" customHeight="1" hidden="" ht="14" outlineLevel="0" r="10425">
      <c r="A10425" s="3" t="inlineStr">
        <is>
          <t>10385</t>
        </is>
      </c>
      <c r="B10425" s="4" t="s">
        <f>=HYPERLINK("http://anyluxury.ru/shop/odezhda/sportivnaya-odezhda/vodonepronicaemie-noski-running-lite-chernie-s-golubim-1550614/" , "15506.14 Водонепроницаемые носки Running Lite, черные с голубым, размер S")</f>
      </c>
      <c r="C10425" s="4" t="n">
        <v>3100.00</v>
      </c>
      <c r="D10425" s="4"/>
    </row>
    <row collapsed="" customFormat="false" customHeight="1" hidden="" ht="14" outlineLevel="0" r="10426">
      <c r="A10426" s="3" t="inlineStr">
        <is>
          <t>10386</t>
        </is>
      </c>
      <c r="B10426" s="4" t="s">
        <f>=HYPERLINK("http://anyluxury.ru/shop/odezhda/sportivnaya-odezhda/vodonepronicaemie-noski-running-lite-chernie-s-golubim-1550614/" , "15506.14 Водонепроницаемые носки Running Lite, черные с голубым, размер M")</f>
      </c>
      <c r="C10426" s="4" t="n">
        <v>3100.00</v>
      </c>
      <c r="D10426" s="4"/>
    </row>
    <row collapsed="" customFormat="false" customHeight="1" hidden="" ht="14" outlineLevel="0" r="10427">
      <c r="A10427" s="3" t="inlineStr">
        <is>
          <t>10387</t>
        </is>
      </c>
      <c r="B10427" s="4" t="s">
        <f>=HYPERLINK("http://anyluxury.ru/shop/odezhda/sportivnaya-odezhda/vodonepronicaemie-noski-running-lite-chernie-s-golubim-1550614/" , "15506.14 Водонепроницаемые носки Running Lite, черные с голубым, размер L")</f>
      </c>
      <c r="C10427" s="4" t="n">
        <v>3100.00</v>
      </c>
      <c r="D10427" s="4"/>
    </row>
    <row collapsed="" customFormat="false" customHeight="1" hidden="" ht="14" outlineLevel="0" r="10428">
      <c r="A10428" s="3" t="inlineStr">
        <is>
          <t>10388</t>
        </is>
      </c>
      <c r="B10428" s="4" t="s">
        <f>=HYPERLINK("http://anyluxury.ru/shop/odezhda/sportivnaya-odezhda/vodonepronicaemie-noski-running-lite-chernie-s-golubim-1550614/" , "15506.14 Водонепроницаемые носки Running Lite, черные с голубым, размер XL")</f>
      </c>
      <c r="C10428" s="4" t="n">
        <v>3100.00</v>
      </c>
      <c r="D10428" s="4"/>
    </row>
    <row collapsed="" customFormat="false" customHeight="1" hidden="" ht="14" outlineLevel="0" r="10429">
      <c r="A10429" s="3" t="inlineStr">
        <is>
          <t>10389</t>
        </is>
      </c>
      <c r="B10429" s="4" t="s">
        <f>=HYPERLINK("http://anyluxury.ru/shop/odezhda/sportivnaya-odezhda/vodonepronicaemie-noski-running-lite-chernie-s-krasnim-1550650/" , "15506.50 Водонепроницаемые носки Running Lite, черные с красным, размер S")</f>
      </c>
      <c r="C10429" s="4" t="n">
        <v>3100.00</v>
      </c>
      <c r="D10429" s="4"/>
    </row>
    <row collapsed="" customFormat="false" customHeight="1" hidden="" ht="14" outlineLevel="0" r="10430">
      <c r="A10430" s="3" t="inlineStr">
        <is>
          <t>10390</t>
        </is>
      </c>
      <c r="B10430" s="4" t="s">
        <f>=HYPERLINK("http://anyluxury.ru/shop/odezhda/sportivnaya-odezhda/vodonepronicaemie-noski-running-lite-chernie-s-krasnim-1550650/" , "15506.50 Водонепроницаемые носки Running Lite, черные с красным, размер M")</f>
      </c>
      <c r="C10430" s="4" t="n">
        <v>3100.00</v>
      </c>
      <c r="D10430" s="4"/>
    </row>
    <row collapsed="" customFormat="false" customHeight="1" hidden="" ht="14" outlineLevel="0" r="10431">
      <c r="A10431" s="3" t="inlineStr">
        <is>
          <t>10391</t>
        </is>
      </c>
      <c r="B10431" s="4" t="s">
        <f>=HYPERLINK("http://anyluxury.ru/shop/odezhda/sportivnaya-odezhda/vodonepronicaemie-noski-running-lite-chernie-s-krasnim-1550650/" , "15506.50 Водонепроницаемые носки Running Lite, черные с красным, размер L")</f>
      </c>
      <c r="C10431" s="4" t="n">
        <v>3100.00</v>
      </c>
      <c r="D10431" s="4"/>
    </row>
    <row collapsed="" customFormat="false" customHeight="1" hidden="" ht="14" outlineLevel="0" r="10432">
      <c r="A10432" s="3" t="inlineStr">
        <is>
          <t>10392</t>
        </is>
      </c>
      <c r="B10432" s="4" t="s">
        <f>=HYPERLINK("http://anyluxury.ru/shop/odezhda/sportivnaya-odezhda/vodonepronicaemie-noski-running-lite-chernie-s-krasnim-1550650/" , "15506.50 Водонепроницаемые носки Running Lite, черные с красным, размер XL")</f>
      </c>
      <c r="C10432" s="4" t="n">
        <v>3100.00</v>
      </c>
      <c r="D10432" s="4"/>
    </row>
    <row collapsed="" customFormat="false" customHeight="1" hidden="" ht="14" outlineLevel="0" r="10433">
      <c r="A10433" s="3" t="inlineStr">
        <is>
          <t>10393</t>
        </is>
      </c>
      <c r="B10433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S")</f>
      </c>
      <c r="C10433" s="4" t="n">
        <v>2170.00</v>
      </c>
      <c r="D10433" s="4"/>
    </row>
    <row collapsed="" customFormat="false" customHeight="1" hidden="" ht="14" outlineLevel="0" r="10434">
      <c r="A10434" s="3" t="inlineStr">
        <is>
          <t>10394</t>
        </is>
      </c>
      <c r="B10434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M")</f>
      </c>
      <c r="C10434" s="4" t="n">
        <v>2170.00</v>
      </c>
      <c r="D10434" s="4"/>
    </row>
    <row collapsed="" customFormat="false" customHeight="1" hidden="" ht="14" outlineLevel="0" r="10435">
      <c r="A10435" s="3" t="inlineStr">
        <is>
          <t>10395</t>
        </is>
      </c>
      <c r="B10435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L")</f>
      </c>
      <c r="C10435" s="4" t="n">
        <v>2170.00</v>
      </c>
      <c r="D10435" s="4"/>
    </row>
    <row collapsed="" customFormat="false" customHeight="1" hidden="" ht="14" outlineLevel="0" r="10436">
      <c r="A10436" s="3" t="inlineStr">
        <is>
          <t>10396</t>
        </is>
      </c>
      <c r="B10436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XL")</f>
      </c>
      <c r="C10436" s="4" t="n">
        <v>2170.00</v>
      </c>
      <c r="D10436" s="4"/>
    </row>
    <row collapsed="" customFormat="false" customHeight="1" hidden="" ht="14" outlineLevel="0" r="10437">
      <c r="A10437" s="3" t="inlineStr">
        <is>
          <t>10397</t>
        </is>
      </c>
      <c r="B10437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S")</f>
      </c>
      <c r="C10437" s="4" t="n">
        <v>2170.00</v>
      </c>
      <c r="D10437" s="4"/>
    </row>
    <row collapsed="" customFormat="false" customHeight="1" hidden="" ht="14" outlineLevel="0" r="10438">
      <c r="A10438" s="3" t="inlineStr">
        <is>
          <t>10398</t>
        </is>
      </c>
      <c r="B10438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M")</f>
      </c>
      <c r="C10438" s="4" t="n">
        <v>2170.00</v>
      </c>
      <c r="D10438" s="4"/>
    </row>
    <row collapsed="" customFormat="false" customHeight="1" hidden="" ht="14" outlineLevel="0" r="10439">
      <c r="A10439" s="3" t="inlineStr">
        <is>
          <t>10399</t>
        </is>
      </c>
      <c r="B10439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L")</f>
      </c>
      <c r="C10439" s="4" t="n">
        <v>2170.00</v>
      </c>
      <c r="D10439" s="4"/>
    </row>
    <row collapsed="" customFormat="false" customHeight="1" hidden="" ht="14" outlineLevel="0" r="10440">
      <c r="A10440" s="3" t="inlineStr">
        <is>
          <t>10400</t>
        </is>
      </c>
      <c r="B10440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XL")</f>
      </c>
      <c r="C10440" s="4" t="n">
        <v>2170.00</v>
      </c>
      <c r="D10440" s="4"/>
    </row>
    <row collapsed="" customFormat="false" customHeight="1" hidden="" ht="14" outlineLevel="0" r="10441">
      <c r="A10441" s="3" t="inlineStr">
        <is>
          <t>10401</t>
        </is>
      </c>
      <c r="B10441" s="4" t="s">
        <f>=HYPERLINK("http://anyluxury.ru/shop/odezhda/sportivnaya-odezhda/vodonepronicaemie-noski-ultra-thin-crew-sinie-s-zheltim-1550740/" , "15507.40 Водонепроницаемые носки Ultra Thin Crew, синие с желтым, размер S")</f>
      </c>
      <c r="C10441" s="4" t="n">
        <v>2170.00</v>
      </c>
      <c r="D10441" s="4"/>
    </row>
    <row collapsed="" customFormat="false" customHeight="1" hidden="" ht="14" outlineLevel="0" r="10442">
      <c r="A10442" s="3" t="inlineStr">
        <is>
          <t>10402</t>
        </is>
      </c>
      <c r="B10442" s="4" t="s">
        <f>=HYPERLINK("http://anyluxury.ru/shop/odezhda/sportivnaya-odezhda/vodonepronicaemie-noski-ultra-thin-crew-sinie-s-zheltim-1550740/" , "15507.40 Водонепроницаемые носки Ultra Thin Crew, синие с желтым, размер M")</f>
      </c>
      <c r="C10442" s="4" t="n">
        <v>2170.00</v>
      </c>
      <c r="D10442" s="4"/>
    </row>
    <row collapsed="" customFormat="false" customHeight="1" hidden="" ht="14" outlineLevel="0" r="10443">
      <c r="A10443" s="3" t="inlineStr">
        <is>
          <t>10403</t>
        </is>
      </c>
      <c r="B10443" s="4" t="s">
        <f>=HYPERLINK("http://anyluxury.ru/shop/odezhda/sportivnaya-odezhda/vodonepronicaemie-noski-ultra-thin-crew-sinie-s-zheltim-1550740/" , "15507.40 Водонепроницаемые носки Ultra Thin Crew, синие с желтым, размер L")</f>
      </c>
      <c r="C10443" s="4" t="n">
        <v>2170.00</v>
      </c>
      <c r="D10443" s="4"/>
    </row>
    <row collapsed="" customFormat="false" customHeight="1" hidden="" ht="14" outlineLevel="0" r="10444">
      <c r="A10444" s="3" t="inlineStr">
        <is>
          <t>10404</t>
        </is>
      </c>
      <c r="B10444" s="4" t="s">
        <f>=HYPERLINK("http://anyluxury.ru/shop/odezhda/sportivnaya-odezhda/vodonepronicaemie-noski-ultra-thin-crew-sinie-s-zheltim-1550740/" , "15507.40 Водонепроницаемые носки Ultra Thin Crew, синие с желтым, размер XL")</f>
      </c>
      <c r="C10444" s="4" t="n">
        <v>2170.00</v>
      </c>
      <c r="D10444" s="4"/>
    </row>
    <row collapsed="" customFormat="false" customHeight="1" hidden="" ht="14" outlineLevel="0" r="10445">
      <c r="A10445" s="3" t="inlineStr">
        <is>
          <t>10405</t>
        </is>
      </c>
      <c r="B10445" s="4" t="s">
        <f>=HYPERLINK("http://anyluxury.ru/shop/odezhda/sportivnaya-odezhda/vodonepronicaemie-noski-thin-serie-1550811/" , "15508.11 Водонепроницаемые носки Thin, серые, размер S")</f>
      </c>
      <c r="C10445" s="4" t="n">
        <v>2090.00</v>
      </c>
      <c r="D10445" s="4"/>
    </row>
    <row collapsed="" customFormat="false" customHeight="1" hidden="" ht="14" outlineLevel="0" r="10446">
      <c r="A10446" s="3" t="inlineStr">
        <is>
          <t>10406</t>
        </is>
      </c>
      <c r="B10446" s="4" t="s">
        <f>=HYPERLINK("http://anyluxury.ru/shop/odezhda/sportivnaya-odezhda/vodonepronicaemie-noski-thin-serie-1550811/" , "15508.11 Водонепроницаемые носки Thin, серые, размер M")</f>
      </c>
      <c r="C10446" s="4" t="n">
        <v>2090.00</v>
      </c>
      <c r="D10446" s="4"/>
    </row>
    <row collapsed="" customFormat="false" customHeight="1" hidden="" ht="14" outlineLevel="0" r="10447">
      <c r="A10447" s="3" t="inlineStr">
        <is>
          <t>10407</t>
        </is>
      </c>
      <c r="B10447" s="4" t="s">
        <f>=HYPERLINK("http://anyluxury.ru/shop/odezhda/sportivnaya-odezhda/vodonepronicaemie-noski-thin-serie-1550811/" , "15508.11 Водонепроницаемые носки Thin, серые, размер L")</f>
      </c>
      <c r="C10447" s="4" t="n">
        <v>2090.00</v>
      </c>
      <c r="D10447" s="4"/>
    </row>
    <row collapsed="" customFormat="false" customHeight="1" hidden="" ht="14" outlineLevel="0" r="10448">
      <c r="A10448" s="3" t="inlineStr">
        <is>
          <t>10408</t>
        </is>
      </c>
      <c r="B10448" s="4" t="s">
        <f>=HYPERLINK("http://anyluxury.ru/shop/odezhda/sportivnaya-odezhda/vodonepronicaemie-noski-thin-serie-1550811/" , "15508.11 Водонепроницаемые носки Thin, серые, размер XL")</f>
      </c>
      <c r="C10448" s="4" t="n">
        <v>2090.00</v>
      </c>
      <c r="D10448" s="4"/>
    </row>
    <row collapsed="" customFormat="false" customHeight="1" hidden="" ht="14" outlineLevel="0" r="10449">
      <c r="A10449" s="3" t="inlineStr">
        <is>
          <t>10409</t>
        </is>
      </c>
      <c r="B10449" s="4" t="s">
        <f>=HYPERLINK("http://anyluxury.ru/shop/odezhda/sportivnaya-odezhda/vodonepronicaemie-noski-thin-temnoserie-1550812/" , "15508.12 Водонепроницаемые носки Thin, темно-серые, размер S")</f>
      </c>
      <c r="C10449" s="4" t="n">
        <v>2090.00</v>
      </c>
      <c r="D10449" s="4"/>
    </row>
    <row collapsed="" customFormat="false" customHeight="1" hidden="" ht="14" outlineLevel="0" r="10450">
      <c r="A10450" s="3" t="inlineStr">
        <is>
          <t>10410</t>
        </is>
      </c>
      <c r="B10450" s="4" t="s">
        <f>=HYPERLINK("http://anyluxury.ru/shop/odezhda/sportivnaya-odezhda/vodonepronicaemie-noski-thin-temnoserie-1550812/" , "15508.12 Водонепроницаемые носки Thin, темно-серые, размер M")</f>
      </c>
      <c r="C10450" s="4" t="n">
        <v>2090.00</v>
      </c>
      <c r="D10450" s="4"/>
    </row>
    <row collapsed="" customFormat="false" customHeight="1" hidden="" ht="14" outlineLevel="0" r="10451">
      <c r="A10451" s="3" t="inlineStr">
        <is>
          <t>10411</t>
        </is>
      </c>
      <c r="B10451" s="4" t="s">
        <f>=HYPERLINK("http://anyluxury.ru/shop/odezhda/sportivnaya-odezhda/vodonepronicaemie-noski-thin-temnoserie-1550812/" , "15508.12 Водонепроницаемые носки Thin, темно-серые, размер L")</f>
      </c>
      <c r="C10451" s="4" t="n">
        <v>2090.00</v>
      </c>
      <c r="D10451" s="4"/>
    </row>
    <row collapsed="" customFormat="false" customHeight="1" hidden="" ht="14" outlineLevel="0" r="10452">
      <c r="A10452" s="3" t="inlineStr">
        <is>
          <t>10412</t>
        </is>
      </c>
      <c r="B10452" s="4" t="s">
        <f>=HYPERLINK("http://anyluxury.ru/shop/odezhda/sportivnaya-odezhda/vodonepronicaemie-noski-thin-temnoserie-1550812/" , "15508.12 Водонепроницаемые носки Thin, темно-серые, размер XL")</f>
      </c>
      <c r="C10452" s="4" t="n">
        <v>2090.00</v>
      </c>
      <c r="D10452" s="4"/>
    </row>
    <row collapsed="" customFormat="false" customHeight="1" hidden="" ht="14" outlineLevel="0" r="10453">
      <c r="A10453" s="3" t="inlineStr">
        <is>
          <t>10413</t>
        </is>
      </c>
      <c r="B10453" s="4" t="s">
        <f>=HYPERLINK("http://anyluxury.ru/shop/odezhda/sportivnaya-odezhda/vodonepronicaemie-noski-thin-chernie-1550830/" , "15508.30 Водонепроницаемые носки Thin, черные, размер S")</f>
      </c>
      <c r="C10453" s="4" t="n">
        <v>2090.00</v>
      </c>
      <c r="D10453" s="4"/>
    </row>
    <row collapsed="" customFormat="false" customHeight="1" hidden="" ht="14" outlineLevel="0" r="10454">
      <c r="A10454" s="3" t="inlineStr">
        <is>
          <t>10414</t>
        </is>
      </c>
      <c r="B10454" s="4" t="s">
        <f>=HYPERLINK("http://anyluxury.ru/shop/odezhda/sportivnaya-odezhda/vodonepronicaemie-noski-thin-chernie-1550830/" , "15508.30 Водонепроницаемые носки Thin, черные, размер M")</f>
      </c>
      <c r="C10454" s="4" t="n">
        <v>2090.00</v>
      </c>
      <c r="D10454" s="4"/>
    </row>
    <row collapsed="" customFormat="false" customHeight="1" hidden="" ht="14" outlineLevel="0" r="10455">
      <c r="A10455" s="3" t="inlineStr">
        <is>
          <t>10415</t>
        </is>
      </c>
      <c r="B10455" s="4" t="s">
        <f>=HYPERLINK("http://anyluxury.ru/shop/odezhda/sportivnaya-odezhda/vodonepronicaemie-noski-thin-chernie-1550830/" , "15508.30 Водонепроницаемые носки Thin, черные, размер L")</f>
      </c>
      <c r="C10455" s="4" t="n">
        <v>2090.00</v>
      </c>
      <c r="D10455" s="4"/>
    </row>
    <row collapsed="" customFormat="false" customHeight="1" hidden="" ht="14" outlineLevel="0" r="10456">
      <c r="A10456" s="3" t="inlineStr">
        <is>
          <t>10416</t>
        </is>
      </c>
      <c r="B10456" s="4" t="s">
        <f>=HYPERLINK("http://anyluxury.ru/shop/odezhda/sportivnaya-odezhda/vodonepronicaemie-noski-thin-chernie-1550830/" , "15508.30 Водонепроницаемые носки Thin, черные, размер XL")</f>
      </c>
      <c r="C10456" s="4" t="n">
        <v>2090.00</v>
      </c>
      <c r="D10456" s="4"/>
    </row>
    <row collapsed="" customFormat="false" customHeight="1" hidden="" ht="14" outlineLevel="0" r="10457">
      <c r="A10457" s="3" t="inlineStr">
        <is>
          <t>10417</t>
        </is>
      </c>
      <c r="B10457" s="4" t="s">
        <f>=HYPERLINK("http://anyluxury.ru/shop/odezhda/sportivnaya-odezhda/dzhoggeri-kulonga-temnosinie-kobalt-1295941/" , "12959.41 Джоггеры Kulonga, темно-синие (кобальт), размер ХS/S")</f>
      </c>
      <c r="C10457" s="4" t="n">
        <v>3200.00</v>
      </c>
      <c r="D10457" s="4"/>
    </row>
    <row collapsed="" customFormat="false" customHeight="1" hidden="" ht="14" outlineLevel="0" r="10458">
      <c r="A10458" s="3" t="inlineStr">
        <is>
          <t>10418</t>
        </is>
      </c>
      <c r="B10458" s="4" t="s">
        <f>=HYPERLINK("http://anyluxury.ru/shop/odezhda/sportivnaya-odezhda/dzhoggeri-kulonga-temnosinie-kobalt-1295941/" , "12959.41 Джоггеры Kulonga, темно-синие (кобальт), размер M/L")</f>
      </c>
      <c r="C10458" s="4" t="n">
        <v>3200.00</v>
      </c>
      <c r="D10458" s="4"/>
    </row>
    <row collapsed="" customFormat="false" customHeight="1" hidden="" ht="14" outlineLevel="0" r="10459">
      <c r="A10459" s="3" t="inlineStr">
        <is>
          <t>10419</t>
        </is>
      </c>
      <c r="B10459" s="4" t="s">
        <f>=HYPERLINK("http://anyluxury.ru/shop/odezhda/sportivnaya-odezhda/dzhoggeri-kulonga-temnosinie-kobalt-1295941/" , "12959.41 Джоггеры Kulonga, темно-синие (кобальт), размер XL/XXL")</f>
      </c>
      <c r="C10459" s="4" t="n">
        <v>3200.00</v>
      </c>
      <c r="D10459" s="4"/>
    </row>
    <row collapsed="" customFormat="false" customHeight="1" hidden="" ht="14" outlineLevel="0" r="10460">
      <c r="A10460" s="3" t="inlineStr">
        <is>
          <t>10420</t>
        </is>
      </c>
      <c r="B10460" s="4" t="s">
        <f>=HYPERLINK("http://anyluxury.ru/shop/odezhda/sportivnaya-odezhda/shapkabalaklava-helma-sinyaya-1239740/" , "12397.40 Шапка-балаклава Helma, синяя")</f>
      </c>
      <c r="C10460" s="4" t="n">
        <v>806.00</v>
      </c>
      <c r="D10460" s="4"/>
    </row>
    <row collapsed="" customFormat="false" customHeight="1" hidden="" ht="14" outlineLevel="0" r="10461">
      <c r="A10461" s="3" t="inlineStr">
        <is>
          <t>10421</t>
        </is>
      </c>
      <c r="B10461" s="4" t="s">
        <f>=HYPERLINK("http://anyluxury.ru/shop/odezhda/sportivnaya-odezhda/shapkabalaklava-helma-krasnaya-1239750/" , "12397.50 Шапка-балаклава Helma, красная")</f>
      </c>
      <c r="C10461" s="4" t="n">
        <v>806.00</v>
      </c>
      <c r="D10461" s="4"/>
    </row>
    <row collapsed="" customFormat="false" customHeight="" hidden="" ht="12.1" outlineLevel="0" r="10462">
      <c r="A10462" s="5" t="inlineStr">
        <is>
          <t> -  - Толстовки</t>
        </is>
      </c>
      <c r="B10462" s="6"/>
      <c r="C10462" s="6"/>
      <c r="D10462" s="6"/>
    </row>
    <row collapsed="" customFormat="false" customHeight="1" hidden="" ht="14" outlineLevel="0" r="10463">
      <c r="A10463" s="3" t="inlineStr">
        <is>
          <t>10422</t>
        </is>
      </c>
      <c r="B10463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S")</f>
      </c>
      <c r="C10463" s="4" t="n">
        <v>4945.00</v>
      </c>
      <c r="D10463" s="4"/>
    </row>
    <row collapsed="" customFormat="false" customHeight="1" hidden="" ht="14" outlineLevel="0" r="10464">
      <c r="A10464" s="3" t="inlineStr">
        <is>
          <t>10423</t>
        </is>
      </c>
      <c r="B10464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L")</f>
      </c>
      <c r="C10464" s="4" t="n">
        <v>4945.00</v>
      </c>
      <c r="D10464" s="4"/>
    </row>
    <row collapsed="" customFormat="false" customHeight="1" hidden="" ht="14" outlineLevel="0" r="10465">
      <c r="A10465" s="3" t="inlineStr">
        <is>
          <t>10424</t>
        </is>
      </c>
      <c r="B10465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XL")</f>
      </c>
      <c r="C10465" s="4" t="n">
        <v>4945.00</v>
      </c>
      <c r="D10465" s="4"/>
    </row>
    <row collapsed="" customFormat="false" customHeight="1" hidden="" ht="14" outlineLevel="0" r="10466">
      <c r="A10466" s="3" t="inlineStr">
        <is>
          <t>10425</t>
        </is>
      </c>
      <c r="B10466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XXL")</f>
      </c>
      <c r="C10466" s="4" t="n">
        <v>4945.00</v>
      </c>
      <c r="D10466" s="4"/>
    </row>
    <row collapsed="" customFormat="false" customHeight="1" hidden="" ht="14" outlineLevel="0" r="10467">
      <c r="A10467" s="3" t="inlineStr">
        <is>
          <t>10426</t>
        </is>
      </c>
      <c r="B10467" s="4" t="s">
        <f>=HYPERLINK("http://anyluxury.ru/shop/odezhda/tolstovki/tolstovka-muzhskaya-soul-men-290-s-kontrastnim-kapyushonom-belaya-523460/" , "5234.60 Толстовка мужская Soul men 290 с контрастным капюшоном, белая, размер 3XL")</f>
      </c>
      <c r="C10467" s="4" t="n">
        <v>5901.00</v>
      </c>
      <c r="D10467" s="4"/>
    </row>
    <row collapsed="" customFormat="false" customHeight="1" hidden="" ht="14" outlineLevel="0" r="10468">
      <c r="A10468" s="3" t="inlineStr">
        <is>
          <t>10427</t>
        </is>
      </c>
      <c r="B10468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S")</f>
      </c>
      <c r="C10468" s="4" t="n">
        <v>4945.00</v>
      </c>
      <c r="D10468" s="4"/>
    </row>
    <row collapsed="" customFormat="false" customHeight="1" hidden="" ht="14" outlineLevel="0" r="10469">
      <c r="A10469" s="3" t="inlineStr">
        <is>
          <t>10428</t>
        </is>
      </c>
      <c r="B10469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L")</f>
      </c>
      <c r="C10469" s="4" t="n">
        <v>4945.00</v>
      </c>
      <c r="D10469" s="4"/>
    </row>
    <row collapsed="" customFormat="false" customHeight="1" hidden="" ht="14" outlineLevel="0" r="10470">
      <c r="A10470" s="3" t="inlineStr">
        <is>
          <t>10429</t>
        </is>
      </c>
      <c r="B10470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XL")</f>
      </c>
      <c r="C10470" s="4" t="n">
        <v>4945.00</v>
      </c>
      <c r="D10470" s="4"/>
    </row>
    <row collapsed="" customFormat="false" customHeight="1" hidden="" ht="14" outlineLevel="0" r="10471">
      <c r="A10471" s="3" t="inlineStr">
        <is>
          <t>10430</t>
        </is>
      </c>
      <c r="B10471" s="4" t="s">
        <f>=HYPERLINK("http://anyluxury.ru/shop/odezhda/tolstovki/tolstovka-muzhskaya-soul-men-290-s-kontrastnim-kapyushonom-temnosinyaya-523440/" , "5234.40 Толстовка мужская Soul men 290 с контрастным капюшоном, темно-синяя, размер 3XL")</f>
      </c>
      <c r="C10471" s="4" t="n">
        <v>5901.00</v>
      </c>
      <c r="D10471" s="4"/>
    </row>
    <row collapsed="" customFormat="false" customHeight="1" hidden="" ht="14" outlineLevel="0" r="10472">
      <c r="A10472" s="3" t="inlineStr">
        <is>
          <t>10431</t>
        </is>
      </c>
      <c r="B10472" s="4" t="s">
        <f>=HYPERLINK("http://anyluxury.ru/shop/odezhda/tolstovki/tolstovka-muzhskaya-soul-men-290-s-kontrastnim-kapyushonom-yarkosinyaya-523444/" , "5234.44 Свитшот мужской Soul men 290 с контрастным капюшоном, ярко-синий, размер S")</f>
      </c>
      <c r="C10472" s="4" t="n">
        <v>4945.00</v>
      </c>
      <c r="D10472" s="4"/>
    </row>
    <row collapsed="" customFormat="false" customHeight="1" hidden="" ht="14" outlineLevel="0" r="10473">
      <c r="A10473" s="3" t="inlineStr">
        <is>
          <t>10432</t>
        </is>
      </c>
      <c r="B10473" s="4" t="s">
        <f>=HYPERLINK("http://anyluxury.ru/shop/odezhda/tolstovki/tolstovka-muzhskaya-soul-men-290-s-kontrastnim-kapyushonom-yarkosinyaya-523444/" , "5234.44 Толстовка мужская Soul men 290 с контрастным капюшоном, ярко-синяя, размер 3XL")</f>
      </c>
      <c r="C10473" s="4" t="n">
        <v>5901.00</v>
      </c>
      <c r="D10473" s="4"/>
    </row>
    <row collapsed="" customFormat="false" customHeight="1" hidden="" ht="14" outlineLevel="0" r="10474">
      <c r="A10474" s="3" t="inlineStr">
        <is>
          <t>10433</t>
        </is>
      </c>
      <c r="B10474" s="4" t="s">
        <f>=HYPERLINK("http://anyluxury.ru/shop/odezhda/tolstovki/tolstovka-scott-290-s-kontrastnim-vorotnikom-na-molnii-temnosinyaya-523340/" , "5233.40 Толстовка Scott 290 с контрастным воротником на молнии, темно-синий, размер S")</f>
      </c>
      <c r="C10474" s="4" t="n">
        <v>4213.00</v>
      </c>
      <c r="D10474" s="4"/>
    </row>
    <row collapsed="" customFormat="false" customHeight="1" hidden="" ht="14" outlineLevel="0" r="10475">
      <c r="A10475" s="3" t="inlineStr">
        <is>
          <t>10434</t>
        </is>
      </c>
      <c r="B10475" s="4" t="s">
        <f>=HYPERLINK("http://anyluxury.ru/shop/odezhda/tolstovki/tolstovka-muzhskaya-na-molnii-s-kapyushonom-seven-men-temnosinyaya-557340/" , "5573.40 Толстовка мужская на молнии с капюшоном Seven Men, темно-синяя, размер M")</f>
      </c>
      <c r="C10475" s="4" t="n">
        <v>4221.00</v>
      </c>
      <c r="D10475" s="4"/>
    </row>
    <row collapsed="" customFormat="false" customHeight="1" hidden="" ht="14" outlineLevel="0" r="10476">
      <c r="A10476" s="3" t="inlineStr">
        <is>
          <t>10435</t>
        </is>
      </c>
      <c r="B10476" s="4" t="s">
        <f>=HYPERLINK("http://anyluxury.ru/shop/odezhda/tolstovki/tolstovka-muzhskaya-na-molnii-s-kapyushonom-seven-men-temnosinyaya-557340/" , "5573.40 Толстовка мужская на молнии с капюшоном Seven Men 290, темно-синяя, размер 3XL")</f>
      </c>
      <c r="C10476" s="4" t="n">
        <v>5014.00</v>
      </c>
      <c r="D10476" s="4"/>
    </row>
    <row collapsed="" customFormat="false" customHeight="1" hidden="" ht="14" outlineLevel="0" r="10477">
      <c r="A10477" s="3" t="inlineStr">
        <is>
          <t>10436</t>
        </is>
      </c>
      <c r="B10477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S")</f>
      </c>
      <c r="C10477" s="4" t="n">
        <v>4221.00</v>
      </c>
      <c r="D10477" s="4"/>
    </row>
    <row collapsed="" customFormat="false" customHeight="1" hidden="" ht="14" outlineLevel="0" r="10478">
      <c r="A10478" s="3" t="inlineStr">
        <is>
          <t>10437</t>
        </is>
      </c>
      <c r="B10478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M")</f>
      </c>
      <c r="C10478" s="4" t="n">
        <v>4221.00</v>
      </c>
      <c r="D10478" s="4"/>
    </row>
    <row collapsed="" customFormat="false" customHeight="1" hidden="" ht="14" outlineLevel="0" r="10479">
      <c r="A10479" s="3" t="inlineStr">
        <is>
          <t>10438</t>
        </is>
      </c>
      <c r="B10479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XL")</f>
      </c>
      <c r="C10479" s="4" t="n">
        <v>4221.00</v>
      </c>
      <c r="D10479" s="4"/>
    </row>
    <row collapsed="" customFormat="false" customHeight="1" hidden="" ht="14" outlineLevel="0" r="10480">
      <c r="A10480" s="3" t="inlineStr">
        <is>
          <t>10439</t>
        </is>
      </c>
      <c r="B10480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3XL")</f>
      </c>
      <c r="C10480" s="4" t="n">
        <v>5014.00</v>
      </c>
      <c r="D10480" s="4"/>
    </row>
    <row collapsed="" customFormat="false" customHeight="1" hidden="" ht="14" outlineLevel="0" r="10481">
      <c r="A10481" s="3" t="inlineStr">
        <is>
          <t>10440</t>
        </is>
      </c>
      <c r="B10481" s="4" t="s">
        <f>=HYPERLINK("http://anyluxury.ru/shop/odezhda/tolstovki/tolstovka-muzhskaya-na-molnii-s-kapyushonom-seven-men-chernaya-557330/" , "5573.30 Толстовка мужская на молнии с капюшоном Seven Men, черная, размер S")</f>
      </c>
      <c r="C10481" s="4" t="n">
        <v>4221.00</v>
      </c>
      <c r="D10481" s="4"/>
    </row>
    <row collapsed="" customFormat="false" customHeight="1" hidden="" ht="14" outlineLevel="0" r="10482">
      <c r="A10482" s="3" t="inlineStr">
        <is>
          <t>10441</t>
        </is>
      </c>
      <c r="B10482" s="4" t="s">
        <f>=HYPERLINK("http://anyluxury.ru/shop/odezhda/tolstovki/tolstovka-muzhskaya-na-molnii-s-kapyushonom-seven-men-chernaya-557330/" , "5573.30 Толстовка мужская на молнии с капюшоном Seven Men, черная, размер L")</f>
      </c>
      <c r="C10482" s="4" t="n">
        <v>4221.00</v>
      </c>
      <c r="D10482" s="4"/>
    </row>
    <row collapsed="" customFormat="false" customHeight="1" hidden="" ht="14" outlineLevel="0" r="10483">
      <c r="A10483" s="3" t="inlineStr">
        <is>
          <t>10442</t>
        </is>
      </c>
      <c r="B10483" s="4" t="s">
        <f>=HYPERLINK("http://anyluxury.ru/shop/odezhda/tolstovki/tolstovka-muzhskaya-na-molnii-s-kapyushonom-seven-men-chernaya-557330/" , "5573.30 Толстовка мужская на молнии с капюшоном Seven Men, черная, размер XL")</f>
      </c>
      <c r="C10483" s="4" t="n">
        <v>4221.00</v>
      </c>
      <c r="D10483" s="4"/>
    </row>
    <row collapsed="" customFormat="false" customHeight="1" hidden="" ht="14" outlineLevel="0" r="10484">
      <c r="A10484" s="3" t="inlineStr">
        <is>
          <t>10443</t>
        </is>
      </c>
      <c r="B10484" s="4" t="s">
        <f>=HYPERLINK("http://anyluxury.ru/shop/odezhda/tolstovki/tolstovka-muzhskaya-na-molnii-s-kapyushonom-seven-men-krasnaya-557350/" , "5573.50 Толстовка мужская на молнии с капюшоном Seven Men, красная, размер S")</f>
      </c>
      <c r="C10484" s="4" t="n">
        <v>4221.00</v>
      </c>
      <c r="D10484" s="4"/>
    </row>
    <row collapsed="" customFormat="false" customHeight="1" hidden="" ht="14" outlineLevel="0" r="10485">
      <c r="A10485" s="3" t="inlineStr">
        <is>
          <t>10444</t>
        </is>
      </c>
      <c r="B10485" s="4" t="s">
        <f>=HYPERLINK("http://anyluxury.ru/shop/odezhda/tolstovki/tolstovka-muzhskaya-na-molnii-s-kapyushonom-seven-men-krasnaya-557350/" , "5573.50 Толстовка мужская на молнии с капюшоном Seven Men, красная, размер M")</f>
      </c>
      <c r="C10485" s="4" t="n">
        <v>4221.00</v>
      </c>
      <c r="D10485" s="4"/>
    </row>
    <row collapsed="" customFormat="false" customHeight="1" hidden="" ht="14" outlineLevel="0" r="10486">
      <c r="A10486" s="3" t="inlineStr">
        <is>
          <t>10445</t>
        </is>
      </c>
      <c r="B10486" s="4" t="s">
        <f>=HYPERLINK("http://anyluxury.ru/shop/odezhda/tolstovki/tolstovka-muzhskaya-na-molnii-s-kapyushonom-seven-men-krasnaya-557350/" , "5573.50 Толстовка мужская на молнии с капюшоном Seven Men, красная, размер L")</f>
      </c>
      <c r="C10486" s="4" t="n">
        <v>4221.00</v>
      </c>
      <c r="D10486" s="4"/>
    </row>
    <row collapsed="" customFormat="false" customHeight="1" hidden="" ht="14" outlineLevel="0" r="10487">
      <c r="A10487" s="3" t="inlineStr">
        <is>
          <t>10446</t>
        </is>
      </c>
      <c r="B10487" s="4" t="s">
        <f>=HYPERLINK("http://anyluxury.ru/shop/odezhda/tolstovki/tolstovka-zhenskaya-na-molnii-s-kapyushonom-seven-women-temnosinyaya-557440/" , "5574.40 Толстовка женская на молнии с капюшоном Seven Women, темно-синяя, размер XL")</f>
      </c>
      <c r="C10487" s="4" t="n">
        <v>4186.00</v>
      </c>
      <c r="D10487" s="4"/>
    </row>
    <row collapsed="" customFormat="false" customHeight="1" hidden="" ht="14" outlineLevel="0" r="10488">
      <c r="A10488" s="3" t="inlineStr">
        <is>
          <t>10447</t>
        </is>
      </c>
      <c r="B10488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S")</f>
      </c>
      <c r="C10488" s="4" t="n">
        <v>4186.00</v>
      </c>
      <c r="D10488" s="4"/>
    </row>
    <row collapsed="" customFormat="false" customHeight="1" hidden="" ht="14" outlineLevel="0" r="10489">
      <c r="A10489" s="3" t="inlineStr">
        <is>
          <t>10448</t>
        </is>
      </c>
      <c r="B10489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L")</f>
      </c>
      <c r="C10489" s="4" t="n">
        <v>4186.00</v>
      </c>
      <c r="D10489" s="4"/>
    </row>
    <row collapsed="" customFormat="false" customHeight="1" hidden="" ht="14" outlineLevel="0" r="10490">
      <c r="A10490" s="3" t="inlineStr">
        <is>
          <t>10449</t>
        </is>
      </c>
      <c r="B10490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XL")</f>
      </c>
      <c r="C10490" s="4" t="n">
        <v>4186.00</v>
      </c>
      <c r="D10490" s="4"/>
    </row>
    <row collapsed="" customFormat="false" customHeight="1" hidden="" ht="14" outlineLevel="0" r="10491">
      <c r="A10491" s="3" t="inlineStr">
        <is>
          <t>10450</t>
        </is>
      </c>
      <c r="B10491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L")</f>
      </c>
      <c r="C10491" s="4" t="n">
        <v>4186.00</v>
      </c>
      <c r="D10491" s="4"/>
    </row>
    <row collapsed="" customFormat="false" customHeight="1" hidden="" ht="14" outlineLevel="0" r="10492">
      <c r="A10492" s="3" t="inlineStr">
        <is>
          <t>10451</t>
        </is>
      </c>
      <c r="B10492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XL")</f>
      </c>
      <c r="C10492" s="4" t="n">
        <v>4186.00</v>
      </c>
      <c r="D10492" s="4"/>
    </row>
    <row collapsed="" customFormat="false" customHeight="1" hidden="" ht="14" outlineLevel="0" r="10493">
      <c r="A10493" s="3" t="inlineStr">
        <is>
          <t>10452</t>
        </is>
      </c>
      <c r="B10493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S")</f>
      </c>
      <c r="C10493" s="4" t="n">
        <v>4186.00</v>
      </c>
      <c r="D10493" s="4"/>
    </row>
    <row collapsed="" customFormat="false" customHeight="1" hidden="" ht="14" outlineLevel="0" r="10494">
      <c r="A10494" s="3" t="inlineStr">
        <is>
          <t>10453</t>
        </is>
      </c>
      <c r="B10494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M")</f>
      </c>
      <c r="C10494" s="4" t="n">
        <v>4186.00</v>
      </c>
      <c r="D10494" s="4"/>
    </row>
    <row collapsed="" customFormat="false" customHeight="1" hidden="" ht="14" outlineLevel="0" r="10495">
      <c r="A10495" s="3" t="inlineStr">
        <is>
          <t>10454</t>
        </is>
      </c>
      <c r="B10495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L")</f>
      </c>
      <c r="C10495" s="4" t="n">
        <v>4186.00</v>
      </c>
      <c r="D10495" s="4"/>
    </row>
    <row collapsed="" customFormat="false" customHeight="1" hidden="" ht="14" outlineLevel="0" r="10496">
      <c r="A10496" s="3" t="inlineStr">
        <is>
          <t>10455</t>
        </is>
      </c>
      <c r="B10496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XL")</f>
      </c>
      <c r="C10496" s="4" t="n">
        <v>4186.00</v>
      </c>
      <c r="D10496" s="4"/>
    </row>
    <row collapsed="" customFormat="false" customHeight="1" hidden="" ht="14" outlineLevel="0" r="10497">
      <c r="A10497" s="3" t="inlineStr">
        <is>
          <t>10456</t>
        </is>
      </c>
      <c r="B10497" s="4" t="s">
        <f>=HYPERLINK("http://anyluxury.ru/shop/odezhda/tolstovki/tolstovka-uniseks-na-molnii-sherpa-280-temnosinyaya-597440/" , "5974.40 Толстовка унисекс на молнии SHERPA 280 темно-синяя, размер XXS")</f>
      </c>
      <c r="C10497" s="4" t="n">
        <v>5967.00</v>
      </c>
      <c r="D10497" s="4"/>
    </row>
    <row collapsed="" customFormat="false" customHeight="1" hidden="" ht="14" outlineLevel="0" r="10498">
      <c r="A10498" s="3" t="inlineStr">
        <is>
          <t>10457</t>
        </is>
      </c>
      <c r="B10498" s="4" t="s">
        <f>=HYPERLINK("http://anyluxury.ru/shop/odezhda/tolstovki/tolstovka-uniseks-na-molnii-sherpa-280-temnosinyaya-597440/" , "5974.40 Толстовка унисекс на молнии SHERPA 280, темно-синяя, размер XS")</f>
      </c>
      <c r="C10498" s="4" t="n">
        <v>5967.00</v>
      </c>
      <c r="D10498" s="4"/>
    </row>
    <row collapsed="" customFormat="false" customHeight="1" hidden="" ht="14" outlineLevel="0" r="10499">
      <c r="A10499" s="3" t="inlineStr">
        <is>
          <t>10458</t>
        </is>
      </c>
      <c r="B10499" s="4" t="s">
        <f>=HYPERLINK("http://anyluxury.ru/shop/odezhda/tolstovki/tolstovka-uniseks-na-molnii-sherpa-280-temnosinyaya-597440/" , "5974.40 Толстовка унисекс на молнии SHERPA 280, темно-синяя, размер S")</f>
      </c>
      <c r="C10499" s="4" t="n">
        <v>5967.00</v>
      </c>
      <c r="D10499" s="4"/>
    </row>
    <row collapsed="" customFormat="false" customHeight="1" hidden="" ht="14" outlineLevel="0" r="10500">
      <c r="A10500" s="3" t="inlineStr">
        <is>
          <t>10459</t>
        </is>
      </c>
      <c r="B10500" s="4" t="s">
        <f>=HYPERLINK("http://anyluxury.ru/shop/odezhda/tolstovki/tolstovka-uniseks-na-molnii-sherpa-280-yarkozelenaya-597490/" , "5974.90 Толстовка унисекс на молнии SHERPA 280, ярко-зеленая, размер XXS")</f>
      </c>
      <c r="C10500" s="4" t="n">
        <v>5680.00</v>
      </c>
      <c r="D10500" s="4"/>
    </row>
    <row collapsed="" customFormat="false" customHeight="1" hidden="" ht="14" outlineLevel="0" r="10501">
      <c r="A10501" s="3" t="inlineStr">
        <is>
          <t>10460</t>
        </is>
      </c>
      <c r="B10501" s="4" t="s">
        <f>=HYPERLINK("http://anyluxury.ru/shop/odezhda/tolstovki/tolstovka-uniseks-na-molnii-sherpa-280-yarkozelenaya-597490/" , "5974.90 Толстовка унисекс на молнии SHERPA 280, темно-зеленая, размер XS")</f>
      </c>
      <c r="C10501" s="4" t="n">
        <v>5680.00</v>
      </c>
      <c r="D10501" s="4"/>
    </row>
    <row collapsed="" customFormat="false" customHeight="1" hidden="" ht="14" outlineLevel="0" r="10502">
      <c r="A10502" s="3" t="inlineStr">
        <is>
          <t>10461</t>
        </is>
      </c>
      <c r="B10502" s="4" t="s">
        <f>=HYPERLINK("http://anyluxury.ru/shop/odezhda/tolstovki/tolstovka-uniseks-na-molnii-sherpa-280-yarkozelenaya-597490/" , "5974.90 Толстовка унисекс на молнии SHERPA 280, темно-зеленая, размер S")</f>
      </c>
      <c r="C10502" s="4" t="n">
        <v>5680.00</v>
      </c>
      <c r="D10502" s="4"/>
    </row>
    <row collapsed="" customFormat="false" customHeight="1" hidden="" ht="14" outlineLevel="0" r="10503">
      <c r="A10503" s="3" t="inlineStr">
        <is>
          <t>10462</t>
        </is>
      </c>
      <c r="B10503" s="4" t="s">
        <f>=HYPERLINK("http://anyluxury.ru/shop/odezhda/tolstovki/tolstovka-uniseks-na-molnii-sherpa-280-yarkozelenaya-597490/" , "5974.90 Толстовка унисекс на молнии SHERPA 280, темно-зеленая, размер M")</f>
      </c>
      <c r="C10503" s="4" t="n">
        <v>5680.00</v>
      </c>
      <c r="D10503" s="4"/>
    </row>
    <row collapsed="" customFormat="false" customHeight="1" hidden="" ht="14" outlineLevel="0" r="10504">
      <c r="A10504" s="3" t="inlineStr">
        <is>
          <t>10463</t>
        </is>
      </c>
      <c r="B10504" s="4" t="s">
        <f>=HYPERLINK("http://anyluxury.ru/shop/odezhda/tolstovki/tolstovka-uniseks-na-molnii-sherpa-280-seriy-melanzh-597410/" , "5974.10 Толстовка унисекс на молнии SHERPA 280 серый меланж, размер XXS")</f>
      </c>
      <c r="C10504" s="4" t="n">
        <v>5967.00</v>
      </c>
      <c r="D10504" s="4"/>
    </row>
    <row collapsed="" customFormat="false" customHeight="1" hidden="" ht="14" outlineLevel="0" r="10505">
      <c r="A10505" s="3" t="inlineStr">
        <is>
          <t>10464</t>
        </is>
      </c>
      <c r="B10505" s="4" t="s">
        <f>=HYPERLINK("http://anyluxury.ru/shop/odezhda/tolstovki/tolstovka-uniseks-na-molnii-sherpa-280-seriy-melanzh-597410/" , "5974.10 Толстовка унисекс на молнии SHERPA 280, серый меланж, размер XS")</f>
      </c>
      <c r="C10505" s="4" t="n">
        <v>5967.00</v>
      </c>
      <c r="D10505" s="4"/>
    </row>
    <row collapsed="" customFormat="false" customHeight="1" hidden="" ht="14" outlineLevel="0" r="10506">
      <c r="A10506" s="3" t="inlineStr">
        <is>
          <t>10465</t>
        </is>
      </c>
      <c r="B10506" s="4" t="s">
        <f>=HYPERLINK("http://anyluxury.ru/shop/odezhda/tolstovki/tolstovka-uniseks-na-molnii-sherpa-280-seriy-melanzh-597410/" , "5974.10 Толстовка унисекс на молнии SHERPA 280, серый меланж, размер S")</f>
      </c>
      <c r="C10506" s="4" t="n">
        <v>5967.00</v>
      </c>
      <c r="D10506" s="4"/>
    </row>
    <row collapsed="" customFormat="false" customHeight="1" hidden="" ht="14" outlineLevel="0" r="10507">
      <c r="A10507" s="3" t="inlineStr">
        <is>
          <t>10466</t>
        </is>
      </c>
      <c r="B10507" s="4" t="s">
        <f>=HYPERLINK("http://anyluxury.ru/shop/odezhda/tolstovki/tolstovka-muzhskaya-prescott-krasniy-657050/" , "6570.50 Толстовка мужская PRESCOTT, красная, размер S")</f>
      </c>
      <c r="C10507" s="4" t="n">
        <v>3514.00</v>
      </c>
      <c r="D10507" s="4"/>
    </row>
    <row collapsed="" customFormat="false" customHeight="1" hidden="" ht="14" outlineLevel="0" r="10508">
      <c r="A10508" s="3" t="inlineStr">
        <is>
          <t>10467</t>
        </is>
      </c>
      <c r="B10508" s="4" t="s">
        <f>=HYPERLINK("http://anyluxury.ru/shop/odezhda/tolstovki/tolstovka-na-molnii-silver-280-temnosinyaya-s-krasnim-47700953/" , "47700953 Толстовка на молнии SILVER 280 темно-синяя с красным, размер XS")</f>
      </c>
      <c r="C10508" s="4" t="n">
        <v>4552.00</v>
      </c>
      <c r="D10508" s="4"/>
    </row>
    <row collapsed="" customFormat="false" customHeight="1" hidden="" ht="14" outlineLevel="0" r="10509">
      <c r="A10509" s="3" t="inlineStr">
        <is>
          <t>10468</t>
        </is>
      </c>
      <c r="B10509" s="4" t="s">
        <f>=HYPERLINK("http://anyluxury.ru/shop/odezhda/tolstovki/tolstovka-na-molnii-silver-280-temnosinyaya-s-krasnim-47700953/" , "47700953 Толстовка на молнии SILVER 280 темно-синяя с красным, размер S")</f>
      </c>
      <c r="C10509" s="4" t="n">
        <v>4552.00</v>
      </c>
      <c r="D10509" s="4"/>
    </row>
    <row collapsed="" customFormat="false" customHeight="1" hidden="" ht="14" outlineLevel="0" r="10510">
      <c r="A10510" s="3" t="inlineStr">
        <is>
          <t>10469</t>
        </is>
      </c>
      <c r="B10510" s="4" t="s">
        <f>=HYPERLINK("http://anyluxury.ru/shop/odezhda/tolstovki/tolstovka-na-molnii-silver-280-temnosinyaya-s-krasnim-47700953/" , "47700953 Толстовка на молнии SILVER 280 темно-синяя с красным, размер M")</f>
      </c>
      <c r="C10510" s="4" t="n">
        <v>4552.00</v>
      </c>
      <c r="D10510" s="4"/>
    </row>
    <row collapsed="" customFormat="false" customHeight="1" hidden="" ht="14" outlineLevel="0" r="10511">
      <c r="A10511" s="3" t="inlineStr">
        <is>
          <t>10470</t>
        </is>
      </c>
      <c r="B10511" s="4" t="s">
        <f>=HYPERLINK("http://anyluxury.ru/shop/odezhda/tolstovki/tolstovka-na-molnii-silver-280-temnosinyaya-s-krasnim-47700953/" , "47700953 Толстовка на молнии SILVER 280 темно-синяя с красным, размер XL")</f>
      </c>
      <c r="C10511" s="4" t="n">
        <v>4547.00</v>
      </c>
      <c r="D10511" s="4"/>
    </row>
    <row collapsed="" customFormat="false" customHeight="1" hidden="" ht="14" outlineLevel="0" r="10512">
      <c r="A10512" s="3" t="inlineStr">
        <is>
          <t>10471</t>
        </is>
      </c>
      <c r="B10512" s="4" t="s">
        <f>=HYPERLINK("http://anyluxury.ru/shop/odezhda/tolstovki/tolstovka-na-molnii-silver-280-temnosinyaya-s-krasnim-47700953/" , "47700953 Толстовка на молнии SILVER 280 темно-синяя с красным, размер XXL")</f>
      </c>
      <c r="C10512" s="4" t="n">
        <v>4547.00</v>
      </c>
      <c r="D10512" s="4"/>
    </row>
    <row collapsed="" customFormat="false" customHeight="1" hidden="" ht="14" outlineLevel="0" r="10513">
      <c r="A10513" s="3" t="inlineStr">
        <is>
          <t>10472</t>
        </is>
      </c>
      <c r="B10513" s="4" t="s">
        <f>=HYPERLINK("http://anyluxury.ru/shop/odezhda/tolstovki/tolstovka-na-molnii-silver-280-fioletovaya-47700720/" , "47700720 Толстовка на молнии SILVER 280 фиолетовая, размер XS")</f>
      </c>
      <c r="C10513" s="4" t="n">
        <v>3534.00</v>
      </c>
      <c r="D10513" s="4"/>
    </row>
    <row collapsed="" customFormat="false" customHeight="1" hidden="" ht="14" outlineLevel="0" r="10514">
      <c r="A10514" s="3" t="inlineStr">
        <is>
          <t>10473</t>
        </is>
      </c>
      <c r="B10514" s="4" t="s">
        <f>=HYPERLINK("http://anyluxury.ru/shop/odezhda/tolstovki/tolstovka-na-molnii-silver-280-fioletovaya-47700720/" , "47700720 Толстовка на молнии SILVER 280 фиолетовая, размер S")</f>
      </c>
      <c r="C10514" s="4" t="n">
        <v>3534.00</v>
      </c>
      <c r="D10514" s="4"/>
    </row>
    <row collapsed="" customFormat="false" customHeight="1" hidden="" ht="14" outlineLevel="0" r="10515">
      <c r="A10515" s="3" t="inlineStr">
        <is>
          <t>10474</t>
        </is>
      </c>
      <c r="B10515" s="4" t="s">
        <f>=HYPERLINK("http://anyluxury.ru/shop/odezhda/tolstovki/tolstovka-na-molnii-silver-280-fioletovaya-47700720/" , "47700720 Толстовка на молнии SILVER 280 фиолетовая, размер M")</f>
      </c>
      <c r="C10515" s="4" t="n">
        <v>3534.00</v>
      </c>
      <c r="D10515" s="4"/>
    </row>
    <row collapsed="" customFormat="false" customHeight="1" hidden="" ht="14" outlineLevel="0" r="10516">
      <c r="A10516" s="3" t="inlineStr">
        <is>
          <t>10475</t>
        </is>
      </c>
      <c r="B10516" s="4" t="s">
        <f>=HYPERLINK("http://anyluxury.ru/shop/odezhda/tolstovki/tolstovka-na-molnii-silver-280-fioletovaya-47700720/" , "47700720 Толстовка на молнии SILVER 280 фиолетовая, размер L")</f>
      </c>
      <c r="C10516" s="4" t="n">
        <v>3534.00</v>
      </c>
      <c r="D10516" s="4"/>
    </row>
    <row collapsed="" customFormat="false" customHeight="1" hidden="" ht="14" outlineLevel="0" r="10517">
      <c r="A10517" s="3" t="inlineStr">
        <is>
          <t>10476</t>
        </is>
      </c>
      <c r="B10517" s="4" t="s">
        <f>=HYPERLINK("http://anyluxury.ru/shop/odezhda/tolstovki/tolstovka-na-molnii-silver-280-fioletovaya-47700720/" , "47700720 Толстовка на молнии SILVER 280 фиолетовая, размер XL")</f>
      </c>
      <c r="C10517" s="4" t="n">
        <v>3534.00</v>
      </c>
      <c r="D10517" s="4"/>
    </row>
    <row collapsed="" customFormat="false" customHeight="1" hidden="" ht="14" outlineLevel="0" r="10518">
      <c r="A10518" s="3" t="inlineStr">
        <is>
          <t>10477</t>
        </is>
      </c>
      <c r="B10518" s="4" t="s">
        <f>=HYPERLINK("http://anyluxury.ru/shop/odezhda/tolstovki/tolstovka-na-molnii-silver-280-fioletovaya-47700720/" , "47700720 Толстовка на молнии SILVER 280 фиолетовая, размер XXL")</f>
      </c>
      <c r="C10518" s="4" t="n">
        <v>3534.00</v>
      </c>
      <c r="D10518" s="4"/>
    </row>
    <row collapsed="" customFormat="false" customHeight="1" hidden="" ht="14" outlineLevel="0" r="10519">
      <c r="A10519" s="3" t="inlineStr">
        <is>
          <t>10478</t>
        </is>
      </c>
      <c r="B10519" s="4" t="s">
        <f>=HYPERLINK("http://anyluxury.ru/shop/odezhda/tolstovki/tolstovka-muzhskaya-na-molnii-sundae-280-chernaya-47200312/" , "47200312 Толстовка мужская на молнии SUNDAE 280 черная, размер S")</f>
      </c>
      <c r="C10519" s="4" t="n">
        <v>3990.00</v>
      </c>
      <c r="D10519" s="4"/>
    </row>
    <row collapsed="" customFormat="false" customHeight="1" hidden="" ht="14" outlineLevel="0" r="10520">
      <c r="A10520" s="3" t="inlineStr">
        <is>
          <t>10479</t>
        </is>
      </c>
      <c r="B10520" s="4" t="s">
        <f>=HYPERLINK("http://anyluxury.ru/shop/odezhda/tolstovki/tolstovka-muzhskaya-na-molnii-sundae-280-chernaya-47200312/" , "47200312 Толстовка мужская на молнии SUNDAE 280 черная, размер M")</f>
      </c>
      <c r="C10520" s="4" t="n">
        <v>3990.00</v>
      </c>
      <c r="D10520" s="4"/>
    </row>
    <row collapsed="" customFormat="false" customHeight="1" hidden="" ht="14" outlineLevel="0" r="10521">
      <c r="A10521" s="3" t="inlineStr">
        <is>
          <t>10480</t>
        </is>
      </c>
      <c r="B10521" s="4" t="s">
        <f>=HYPERLINK("http://anyluxury.ru/shop/odezhda/tolstovki/tolstovka-muzhskaya-na-molnii-sundae-280-chernaya-47200312/" , "47200312 Толстовка мужская на молнии SUNDAE 280 черная, размер L")</f>
      </c>
      <c r="C10521" s="4" t="n">
        <v>3990.00</v>
      </c>
      <c r="D10521" s="4"/>
    </row>
    <row collapsed="" customFormat="false" customHeight="1" hidden="" ht="14" outlineLevel="0" r="10522">
      <c r="A10522" s="3" t="inlineStr">
        <is>
          <t>10481</t>
        </is>
      </c>
      <c r="B10522" s="4" t="s">
        <f>=HYPERLINK("http://anyluxury.ru/shop/odezhda/tolstovki/tolstovka-muzhskaya-na-molnii-sundae-280-chernaya-47200312/" , "47200312 Толстовка мужская на молнии SUNDAE 280 черная, размер XL")</f>
      </c>
      <c r="C10522" s="4" t="n">
        <v>3990.00</v>
      </c>
      <c r="D10522" s="4"/>
    </row>
    <row collapsed="" customFormat="false" customHeight="1" hidden="" ht="14" outlineLevel="0" r="10523">
      <c r="A10523" s="3" t="inlineStr">
        <is>
          <t>10482</t>
        </is>
      </c>
      <c r="B10523" s="4" t="s">
        <f>=HYPERLINK("http://anyluxury.ru/shop/odezhda/tolstovki/tolstovka-muzhskaya-na-molnii-sundae-280-chernaya-47200312/" , "47200312 Толстовка мужская на молнии SUNDAE 280 черная, размер XXL")</f>
      </c>
      <c r="C10523" s="4" t="n">
        <v>3990.00</v>
      </c>
      <c r="D10523" s="4"/>
    </row>
    <row collapsed="" customFormat="false" customHeight="1" hidden="" ht="14" outlineLevel="0" r="10524">
      <c r="A10524" s="3" t="inlineStr">
        <is>
          <t>10483</t>
        </is>
      </c>
      <c r="B10524" s="4" t="s">
        <f>=HYPERLINK("http://anyluxury.ru/shop/odezhda/tolstovki/tolstovka-muzhskaya-na-molnii-sundae-280-temnosinyaya-47200318/" , "47200318 Толстовка мужская на молнии SUNDAE 280 темно-синяя, размер S")</f>
      </c>
      <c r="C10524" s="4" t="n">
        <v>3990.00</v>
      </c>
      <c r="D10524" s="4"/>
    </row>
    <row collapsed="" customFormat="false" customHeight="1" hidden="" ht="14" outlineLevel="0" r="10525">
      <c r="A10525" s="3" t="inlineStr">
        <is>
          <t>10484</t>
        </is>
      </c>
      <c r="B10525" s="4" t="s">
        <f>=HYPERLINK("http://anyluxury.ru/shop/odezhda/tolstovki/tolstovka-muzhskaya-na-molnii-sundae-280-temnosinyaya-47200318/" , "47200318 Толстовка мужская на молнии SUNDAE 280 темно-синяя, размер M")</f>
      </c>
      <c r="C10525" s="4" t="n">
        <v>3990.00</v>
      </c>
      <c r="D10525" s="4"/>
    </row>
    <row collapsed="" customFormat="false" customHeight="1" hidden="" ht="14" outlineLevel="0" r="10526">
      <c r="A10526" s="3" t="inlineStr">
        <is>
          <t>10485</t>
        </is>
      </c>
      <c r="B10526" s="4" t="s">
        <f>=HYPERLINK("http://anyluxury.ru/shop/odezhda/tolstovki/tolstovka-muzhskaya-na-molnii-sundae-280-temnosinyaya-47200318/" , "47200318 Толстовка мужская на молнии SUNDAE 280 темно-синяя, размер L")</f>
      </c>
      <c r="C10526" s="4" t="n">
        <v>3990.00</v>
      </c>
      <c r="D10526" s="4"/>
    </row>
    <row collapsed="" customFormat="false" customHeight="1" hidden="" ht="14" outlineLevel="0" r="10527">
      <c r="A10527" s="3" t="inlineStr">
        <is>
          <t>10486</t>
        </is>
      </c>
      <c r="B10527" s="4" t="s">
        <f>=HYPERLINK("http://anyluxury.ru/shop/odezhda/tolstovki/tolstovka-muzhskaya-na-molnii-sundae-280-temnosinyaya-47200318/" , "47200318 Толстовка мужская на молнии SUNDAE 280 темно-синяя, размер XL")</f>
      </c>
      <c r="C10527" s="4" t="n">
        <v>3990.00</v>
      </c>
      <c r="D10527" s="4"/>
    </row>
    <row collapsed="" customFormat="false" customHeight="1" hidden="" ht="14" outlineLevel="0" r="10528">
      <c r="A10528" s="3" t="inlineStr">
        <is>
          <t>10487</t>
        </is>
      </c>
      <c r="B10528" s="4" t="s">
        <f>=HYPERLINK("http://anyluxury.ru/shop/odezhda/tolstovki/tolstovka-muzhskaya-na-molnii-sundae-280-temnosinyaya-47200318/" , "47200318 Толстовка мужская на молнии SUNDAE 280 темно-синяя, размер XXL")</f>
      </c>
      <c r="C10528" s="4" t="n">
        <v>3990.00</v>
      </c>
      <c r="D10528" s="4"/>
    </row>
    <row collapsed="" customFormat="false" customHeight="1" hidden="" ht="14" outlineLevel="0" r="10529">
      <c r="A10529" s="3" t="inlineStr">
        <is>
          <t>10488</t>
        </is>
      </c>
      <c r="B10529" s="4" t="s">
        <f>=HYPERLINK("http://anyluxury.ru/shop/odezhda/tolstovki/tolstovka-zhenskaya-soul-women-280-temnosinyaya-47100319/" , "47100319 Толстовка женская SOUL WOMEN 280 темно-синяя, размер S")</f>
      </c>
      <c r="C10529" s="4" t="n">
        <v>4915.00</v>
      </c>
      <c r="D10529" s="4"/>
    </row>
    <row collapsed="" customFormat="false" customHeight="1" hidden="" ht="14" outlineLevel="0" r="10530">
      <c r="A10530" s="3" t="inlineStr">
        <is>
          <t>10489</t>
        </is>
      </c>
      <c r="B10530" s="4" t="s">
        <f>=HYPERLINK("http://anyluxury.ru/shop/odezhda/tolstovki/tolstovka-zhenskaya-soul-women-280-temnosinyaya-47100319/" , "47100319 Толстовка женская SOUL WOMEN 280 темно-синяя, размер M")</f>
      </c>
      <c r="C10530" s="4" t="n">
        <v>4915.00</v>
      </c>
      <c r="D10530" s="4"/>
    </row>
    <row collapsed="" customFormat="false" customHeight="1" hidden="" ht="14" outlineLevel="0" r="10531">
      <c r="A10531" s="3" t="inlineStr">
        <is>
          <t>10490</t>
        </is>
      </c>
      <c r="B10531" s="4" t="s">
        <f>=HYPERLINK("http://anyluxury.ru/shop/odezhda/tolstovki/tolstovka-zhenskaya-soul-women-280-temnosinyaya-47100319/" , "47100319 Толстовка женская SOUL WOMEN 280 темно-синяя, размер L")</f>
      </c>
      <c r="C10531" s="4" t="n">
        <v>4915.00</v>
      </c>
      <c r="D10531" s="4"/>
    </row>
    <row collapsed="" customFormat="false" customHeight="1" hidden="" ht="14" outlineLevel="0" r="10532">
      <c r="A10532" s="3" t="inlineStr">
        <is>
          <t>10491</t>
        </is>
      </c>
      <c r="B10532" s="4" t="s">
        <f>=HYPERLINK("http://anyluxury.ru/shop/odezhda/tolstovki/tolstovka-zhenskaya-soul-women-280-temnosinyaya-47100319/" , "47100319 Толстовка женская SOUL WOMEN 280 темно-синяя, размер XL")</f>
      </c>
      <c r="C10532" s="4" t="n">
        <v>4915.00</v>
      </c>
      <c r="D10532" s="4"/>
    </row>
    <row collapsed="" customFormat="false" customHeight="1" hidden="" ht="14" outlineLevel="0" r="10533">
      <c r="A10533" s="3" t="inlineStr">
        <is>
          <t>10492</t>
        </is>
      </c>
      <c r="B10533" s="4" t="s">
        <f>=HYPERLINK("http://anyluxury.ru/shop/odezhda/tolstovki/tolstovka-zhenskaya-soul-women-280-yarkosinyaya-47100241/" , "47100241 Толстовка женская SOUL WOMEN 280 ярко-синяя, размер S")</f>
      </c>
      <c r="C10533" s="4" t="n">
        <v>4915.00</v>
      </c>
      <c r="D10533" s="4"/>
    </row>
    <row collapsed="" customFormat="false" customHeight="1" hidden="" ht="14" outlineLevel="0" r="10534">
      <c r="A10534" s="3" t="inlineStr">
        <is>
          <t>10493</t>
        </is>
      </c>
      <c r="B10534" s="4" t="s">
        <f>=HYPERLINK("http://anyluxury.ru/shop/odezhda/tolstovki/tolstovka-zhenskaya-soul-women-280-yarkosinyaya-47100241/" , "47100241 Толстовка женская SOUL WOMEN 280 ярко-синяя, размер M")</f>
      </c>
      <c r="C10534" s="4" t="n">
        <v>4915.00</v>
      </c>
      <c r="D10534" s="4"/>
    </row>
    <row collapsed="" customFormat="false" customHeight="1" hidden="" ht="14" outlineLevel="0" r="10535">
      <c r="A10535" s="3" t="inlineStr">
        <is>
          <t>10494</t>
        </is>
      </c>
      <c r="B10535" s="4" t="s">
        <f>=HYPERLINK("http://anyluxury.ru/shop/odezhda/tolstovki/tolstovka-zhenskaya-soul-women-280-yarkosinyaya-47100241/" , "47100241 Толстовка женская SOUL WOMEN 280 ярко-синяя, размер L")</f>
      </c>
      <c r="C10535" s="4" t="n">
        <v>4915.00</v>
      </c>
      <c r="D10535" s="4"/>
    </row>
    <row collapsed="" customFormat="false" customHeight="1" hidden="" ht="14" outlineLevel="0" r="10536">
      <c r="A10536" s="3" t="inlineStr">
        <is>
          <t>10495</t>
        </is>
      </c>
      <c r="B10536" s="4" t="s">
        <f>=HYPERLINK("http://anyluxury.ru/shop/odezhda/tolstovki/tolstovka-zhenskaya-soul-women-280-yarkosinyaya-47100241/" , "47100241 Толстовка женская SOUL WOMEN 280 ярко-синяя, размер XL")</f>
      </c>
      <c r="C10536" s="4" t="n">
        <v>4915.00</v>
      </c>
      <c r="D10536" s="4"/>
    </row>
    <row collapsed="" customFormat="false" customHeight="1" hidden="" ht="14" outlineLevel="0" r="10537">
      <c r="A10537" s="3" t="inlineStr">
        <is>
          <t>10496</t>
        </is>
      </c>
      <c r="B10537" s="4" t="s">
        <f>=HYPERLINK("http://anyluxury.ru/shop/odezhda/tolstovki/tolstovka-zhenskaya-soul-women-280-belaya-47100102/" , "47100102 Толстовка женская SOUL WOMEN 280 белая, размер L")</f>
      </c>
      <c r="C10537" s="4" t="n">
        <v>4915.00</v>
      </c>
      <c r="D10537" s="4"/>
    </row>
    <row collapsed="" customFormat="false" customHeight="1" hidden="" ht="14" outlineLevel="0" r="10538">
      <c r="A10538" s="3" t="inlineStr">
        <is>
          <t>10497</t>
        </is>
      </c>
      <c r="B10538" s="4" t="s">
        <f>=HYPERLINK("http://anyluxury.ru/shop/odezhda/tolstovki/tolstovka-zhenskaya-soul-women-280-belaya-47100102/" , "47100102 Толстовка женская SOUL WOMEN 280 белая, размер XL")</f>
      </c>
      <c r="C10538" s="4" t="n">
        <v>4915.00</v>
      </c>
      <c r="D10538" s="4"/>
    </row>
    <row collapsed="" customFormat="false" customHeight="1" hidden="" ht="14" outlineLevel="0" r="10539">
      <c r="A10539" s="3" t="inlineStr">
        <is>
          <t>10498</t>
        </is>
      </c>
      <c r="B10539" s="4" t="s">
        <f>=HYPERLINK("http://anyluxury.ru/shop/odezhda/tolstovki/kurtka-zhenskaya-nova-women-200-chernaya-585030/" , "5850.30 Куртка женская NOVA WOMEN 200 черная, размер S")</f>
      </c>
      <c r="C10539" s="4" t="n">
        <v>2138.00</v>
      </c>
      <c r="D10539" s="4"/>
    </row>
    <row collapsed="" customFormat="false" customHeight="1" hidden="" ht="14" outlineLevel="0" r="10540">
      <c r="A10540" s="3" t="inlineStr">
        <is>
          <t>10499</t>
        </is>
      </c>
      <c r="B10540" s="4" t="s">
        <f>=HYPERLINK("http://anyluxury.ru/shop/odezhda/tolstovki/kurtka-zhenskaya-nova-women-200-chernaya-585030/" , "5850.30 Куртка женская NOVA WOMEN 200 черная, размер M")</f>
      </c>
      <c r="C10540" s="4" t="n">
        <v>2138.00</v>
      </c>
      <c r="D10540" s="4"/>
    </row>
    <row collapsed="" customFormat="false" customHeight="1" hidden="" ht="14" outlineLevel="0" r="10541">
      <c r="A10541" s="3" t="inlineStr">
        <is>
          <t>10500</t>
        </is>
      </c>
      <c r="B10541" s="4" t="s">
        <f>=HYPERLINK("http://anyluxury.ru/shop/odezhda/tolstovki/kurtka-zhenskaya-nova-women-200-chernaya-585030/" , "5850.30 Куртка женская NOVA WOMEN 200 черная, размер L")</f>
      </c>
      <c r="C10541" s="4" t="n">
        <v>2138.00</v>
      </c>
      <c r="D10541" s="4"/>
    </row>
    <row collapsed="" customFormat="false" customHeight="1" hidden="" ht="14" outlineLevel="0" r="10542">
      <c r="A10542" s="3" t="inlineStr">
        <is>
          <t>10501</t>
        </is>
      </c>
      <c r="B10542" s="4" t="s">
        <f>=HYPERLINK("http://anyluxury.ru/shop/odezhda/tolstovki/kurtka-zhenskaya-nova-women-200-chernaya-585030/" , "5850.30 Куртка женская NOVA WOMEN 200 черная, размер XL")</f>
      </c>
      <c r="C10542" s="4" t="n">
        <v>2138.00</v>
      </c>
      <c r="D10542" s="4"/>
    </row>
    <row collapsed="" customFormat="false" customHeight="1" hidden="" ht="14" outlineLevel="0" r="10543">
      <c r="A10543" s="3" t="inlineStr">
        <is>
          <t>10502</t>
        </is>
      </c>
      <c r="B10543" s="4" t="s">
        <f>=HYPERLINK("http://anyluxury.ru/shop/odezhda/tolstovki/kurtka-zhenskaya-nova-women-200-chernaya-585030/" , "5850.30 Куртка женская NOVA WOMEN 200 черная, размер XXL")</f>
      </c>
      <c r="C10543" s="4" t="n">
        <v>2138.00</v>
      </c>
      <c r="D10543" s="4"/>
    </row>
    <row collapsed="" customFormat="false" customHeight="1" hidden="" ht="14" outlineLevel="0" r="10544">
      <c r="A10544" s="3" t="inlineStr">
        <is>
          <t>10503</t>
        </is>
      </c>
      <c r="B10544" s="4" t="s">
        <f>=HYPERLINK("http://anyluxury.ru/shop/odezhda/tolstovki/kurtka-zhenskaya-nova-women-200-temnosinyaya-585040/" , "5850.40 Куртка женская NOVA WOMEN 200 темно-синяя, размер S")</f>
      </c>
      <c r="C10544" s="4" t="n">
        <v>2138.00</v>
      </c>
      <c r="D10544" s="4"/>
    </row>
    <row collapsed="" customFormat="false" customHeight="1" hidden="" ht="14" outlineLevel="0" r="10545">
      <c r="A10545" s="3" t="inlineStr">
        <is>
          <t>10504</t>
        </is>
      </c>
      <c r="B10545" s="4" t="s">
        <f>=HYPERLINK("http://anyluxury.ru/shop/odezhda/tolstovki/kurtka-zhenskaya-nova-women-200-temnosinyaya-585040/" , "5850.40 Куртка женская NOVA WOMEN 200 темно-синяя, размер M")</f>
      </c>
      <c r="C10545" s="4" t="n">
        <v>2138.00</v>
      </c>
      <c r="D10545" s="4"/>
    </row>
    <row collapsed="" customFormat="false" customHeight="1" hidden="" ht="14" outlineLevel="0" r="10546">
      <c r="A10546" s="3" t="inlineStr">
        <is>
          <t>10505</t>
        </is>
      </c>
      <c r="B10546" s="4" t="s">
        <f>=HYPERLINK("http://anyluxury.ru/shop/odezhda/tolstovki/kurtka-zhenskaya-nova-women-200-temnosinyaya-585040/" , "5850.40 Куртка женская NOVA WOMEN 200 темно-синяя, размер L")</f>
      </c>
      <c r="C10546" s="4" t="n">
        <v>2138.00</v>
      </c>
      <c r="D10546" s="4"/>
    </row>
    <row collapsed="" customFormat="false" customHeight="1" hidden="" ht="14" outlineLevel="0" r="10547">
      <c r="A10547" s="3" t="inlineStr">
        <is>
          <t>10506</t>
        </is>
      </c>
      <c r="B10547" s="4" t="s">
        <f>=HYPERLINK("http://anyluxury.ru/shop/odezhda/tolstovki/kurtka-zhenskaya-nova-women-200-temnosinyaya-585040/" , "5850.40 Куртка женская NOVA WOMEN 200 темно-синяя, размер XL")</f>
      </c>
      <c r="C10547" s="4" t="n">
        <v>2138.00</v>
      </c>
      <c r="D10547" s="4"/>
    </row>
    <row collapsed="" customFormat="false" customHeight="1" hidden="" ht="14" outlineLevel="0" r="10548">
      <c r="A10548" s="3" t="inlineStr">
        <is>
          <t>10507</t>
        </is>
      </c>
      <c r="B10548" s="4" t="s">
        <f>=HYPERLINK("http://anyluxury.ru/shop/odezhda/tolstovki/kurtka-zhenskaya-nova-women-200-temnosinyaya-585040/" , "5850.40 Куртка женская NOVA WOMEN 200 темно-синяя, размер XXL")</f>
      </c>
      <c r="C10548" s="4" t="n">
        <v>2138.00</v>
      </c>
      <c r="D10548" s="4"/>
    </row>
    <row collapsed="" customFormat="false" customHeight="1" hidden="" ht="14" outlineLevel="0" r="10549">
      <c r="A10549" s="3" t="inlineStr">
        <is>
          <t>10508</t>
        </is>
      </c>
      <c r="B10549" s="4" t="s">
        <f>=HYPERLINK("http://anyluxury.ru/shop/odezhda/tolstovki/kurtka-zhenskaya-nova-women-200-krasnaya-585050/" , "5850.50 Куртка женская NOVA WOMEN 200 красная, размер S")</f>
      </c>
      <c r="C10549" s="4" t="n">
        <v>2138.00</v>
      </c>
      <c r="D10549" s="4"/>
    </row>
    <row collapsed="" customFormat="false" customHeight="1" hidden="" ht="14" outlineLevel="0" r="10550">
      <c r="A10550" s="3" t="inlineStr">
        <is>
          <t>10509</t>
        </is>
      </c>
      <c r="B10550" s="4" t="s">
        <f>=HYPERLINK("http://anyluxury.ru/shop/odezhda/tolstovki/kurtka-zhenskaya-nova-women-200-krasnaya-585050/" , "5850.50 Куртка женская NOVA WOMEN 200 красная, размер M")</f>
      </c>
      <c r="C10550" s="4" t="n">
        <v>2138.00</v>
      </c>
      <c r="D10550" s="4"/>
    </row>
    <row collapsed="" customFormat="false" customHeight="1" hidden="" ht="14" outlineLevel="0" r="10551">
      <c r="A10551" s="3" t="inlineStr">
        <is>
          <t>10510</t>
        </is>
      </c>
      <c r="B10551" s="4" t="s">
        <f>=HYPERLINK("http://anyluxury.ru/shop/odezhda/tolstovki/kurtka-zhenskaya-nova-women-200-krasnaya-585050/" , "5850.50 Куртка женская NOVA WOMEN 200 красная, размер L")</f>
      </c>
      <c r="C10551" s="4" t="n">
        <v>2138.00</v>
      </c>
      <c r="D10551" s="4"/>
    </row>
    <row collapsed="" customFormat="false" customHeight="1" hidden="" ht="14" outlineLevel="0" r="10552">
      <c r="A10552" s="3" t="inlineStr">
        <is>
          <t>10511</t>
        </is>
      </c>
      <c r="B10552" s="4" t="s">
        <f>=HYPERLINK("http://anyluxury.ru/shop/odezhda/tolstovki/kurtka-zhenskaya-nova-women-200-krasnaya-585050/" , "5850.50 Куртка женская NOVA WOMEN 200 красная, размер XL")</f>
      </c>
      <c r="C10552" s="4" t="n">
        <v>2138.00</v>
      </c>
      <c r="D10552" s="4"/>
    </row>
    <row collapsed="" customFormat="false" customHeight="1" hidden="" ht="14" outlineLevel="0" r="10553">
      <c r="A10553" s="3" t="inlineStr">
        <is>
          <t>10512</t>
        </is>
      </c>
      <c r="B10553" s="4" t="s">
        <f>=HYPERLINK("http://anyluxury.ru/shop/odezhda/tolstovki/kurtka-zhenskaya-nova-women-200-krasnaya-585050/" , "5850.50 Куртка женская NOVA WOMEN 200 красная, размер XXL")</f>
      </c>
      <c r="C10553" s="4" t="n">
        <v>2138.00</v>
      </c>
      <c r="D10553" s="4"/>
    </row>
    <row collapsed="" customFormat="false" customHeight="1" hidden="" ht="14" outlineLevel="0" r="10554">
      <c r="A10554" s="3" t="inlineStr">
        <is>
          <t>10513</t>
        </is>
      </c>
      <c r="B10554" s="4" t="s">
        <f>=HYPERLINK("http://anyluxury.ru/shop/odezhda/tolstovki/tolstovka-uniseks-na-molnii-sherpa-280-yarkosinyaya-597444/" , "5974.44 Толстовка унисекс на молнии SHERPA 280 ярко-синяя, размер XXS")</f>
      </c>
      <c r="C10554" s="4" t="n">
        <v>5967.00</v>
      </c>
      <c r="D10554" s="4"/>
    </row>
    <row collapsed="" customFormat="false" customHeight="1" hidden="" ht="14" outlineLevel="0" r="10555">
      <c r="A10555" s="3" t="inlineStr">
        <is>
          <t>10514</t>
        </is>
      </c>
      <c r="B10555" s="4" t="s">
        <f>=HYPERLINK("http://anyluxury.ru/shop/odezhda/tolstovki/tolstovka-uniseks-na-molnii-sherpa-280-yarkosinyaya-597444/" , "5974.44 Толстовка унисекс на молнии SHERPA 280 ярко-синяя, размер XS")</f>
      </c>
      <c r="C10555" s="4" t="n">
        <v>5967.00</v>
      </c>
      <c r="D10555" s="4"/>
    </row>
    <row collapsed="" customFormat="false" customHeight="1" hidden="" ht="14" outlineLevel="0" r="10556">
      <c r="A10556" s="3" t="inlineStr">
        <is>
          <t>10515</t>
        </is>
      </c>
      <c r="B10556" s="4" t="s">
        <f>=HYPERLINK("http://anyluxury.ru/shop/odezhda/tolstovki/tolstovka-uniseks-na-molnii-sherpa-280-yarkosinyaya-597444/" , "5974.44 Толстовка унисекс на молнии SHERPA 280 ярко-синяя, размер S")</f>
      </c>
      <c r="C10556" s="4" t="n">
        <v>5967.00</v>
      </c>
      <c r="D10556" s="4"/>
    </row>
    <row collapsed="" customFormat="false" customHeight="1" hidden="" ht="14" outlineLevel="0" r="10557">
      <c r="A10557" s="3" t="inlineStr">
        <is>
          <t>10516</t>
        </is>
      </c>
      <c r="B10557" s="4" t="s">
        <f>=HYPERLINK("http://anyluxury.ru/shop/odezhda/tolstovki/tolstovka-uniseks-na-molnii-sherpa-280-yarkosinyaya-597444/" , "5974.44 Толстовка унисекс на молнии SHERPA 280 ярко-синяя, размер M")</f>
      </c>
      <c r="C10557" s="4" t="n">
        <v>5967.00</v>
      </c>
      <c r="D10557" s="4"/>
    </row>
    <row collapsed="" customFormat="false" customHeight="1" hidden="" ht="14" outlineLevel="0" r="10558">
      <c r="A10558" s="3" t="inlineStr">
        <is>
          <t>10517</t>
        </is>
      </c>
      <c r="B10558" s="4" t="s">
        <f>=HYPERLINK("http://anyluxury.ru/shop/odezhda/tolstovki/tolstovka-uniseks-na-molnii-sherpa-280-yarkosinyaya-597444/" , "5974.44 Толстовка унисекс на молнии SHERPA 280 ярко-синяя, размер XL")</f>
      </c>
      <c r="C10558" s="4" t="n">
        <v>5967.00</v>
      </c>
      <c r="D10558" s="4"/>
    </row>
    <row collapsed="" customFormat="false" customHeight="1" hidden="" ht="14" outlineLevel="0" r="10559">
      <c r="A10559" s="3" t="inlineStr">
        <is>
          <t>10518</t>
        </is>
      </c>
      <c r="B10559" s="4" t="s">
        <f>=HYPERLINK("http://anyluxury.ru/shop/odezhda/tolstovki/tolstovka-uniseks-na-molnii-sherpa-280-yarkosinyaya-597444/" , "5974.44 Толстовка унисекс на молнии SHERPA 280 ярко-синяя, размер XXL")</f>
      </c>
      <c r="C10559" s="4" t="n">
        <v>5967.00</v>
      </c>
      <c r="D10559" s="4"/>
    </row>
    <row collapsed="" customFormat="false" customHeight="1" hidden="" ht="14" outlineLevel="0" r="10560">
      <c r="A10560" s="3" t="inlineStr">
        <is>
          <t>10519</t>
        </is>
      </c>
      <c r="B10560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S")</f>
      </c>
      <c r="C10560" s="4" t="n">
        <v>4945.00</v>
      </c>
      <c r="D10560" s="4"/>
    </row>
    <row collapsed="" customFormat="false" customHeight="1" hidden="" ht="14" outlineLevel="0" r="10561">
      <c r="A10561" s="3" t="inlineStr">
        <is>
          <t>10520</t>
        </is>
      </c>
      <c r="B10561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M")</f>
      </c>
      <c r="C10561" s="4" t="n">
        <v>4945.00</v>
      </c>
      <c r="D10561" s="4"/>
    </row>
    <row collapsed="" customFormat="false" customHeight="1" hidden="" ht="14" outlineLevel="0" r="10562">
      <c r="A10562" s="3" t="inlineStr">
        <is>
          <t>10521</t>
        </is>
      </c>
      <c r="B10562" s="4" t="s">
        <f>=HYPERLINK("http://anyluxury.ru/shop/odezhda/tolstovki/tolstovka-uniseks-na-molnii-sherpa-280-chernaya-00584312/" , "00584312 Толстовка унисекс на молнии SHERPA черная, размер XXS")</f>
      </c>
      <c r="C10562" s="4" t="n">
        <v>5967.00</v>
      </c>
      <c r="D10562" s="4"/>
    </row>
    <row collapsed="" customFormat="false" customHeight="1" hidden="" ht="14" outlineLevel="0" r="10563">
      <c r="A10563" s="3" t="inlineStr">
        <is>
          <t>10522</t>
        </is>
      </c>
      <c r="B10563" s="4" t="s">
        <f>=HYPERLINK("http://anyluxury.ru/shop/odezhda/tolstovki/tolstovka-uniseks-na-molnii-sherpa-280-chernaya-00584312/" , "00584312 Толстовка унисекс на молнии SHERPA черная, размер XS")</f>
      </c>
      <c r="C10563" s="4" t="n">
        <v>5967.00</v>
      </c>
      <c r="D10563" s="4"/>
    </row>
    <row collapsed="" customFormat="false" customHeight="1" hidden="" ht="14" outlineLevel="0" r="10564">
      <c r="A10564" s="3" t="inlineStr">
        <is>
          <t>10523</t>
        </is>
      </c>
      <c r="B10564" s="4" t="s">
        <f>=HYPERLINK("http://anyluxury.ru/shop/odezhda/tolstovki/tolstovka-studio-men-svetloseriy-melanzh-01408300/" , "01408300 Толстовка STUDIO MEN серый меланж, размер S")</f>
      </c>
      <c r="C10564" s="4" t="n">
        <v>1466.00</v>
      </c>
      <c r="D10564" s="4"/>
    </row>
    <row collapsed="" customFormat="false" customHeight="1" hidden="" ht="14" outlineLevel="0" r="10565">
      <c r="A10565" s="3" t="inlineStr">
        <is>
          <t>10524</t>
        </is>
      </c>
      <c r="B10565" s="4" t="s">
        <f>=HYPERLINK("http://anyluxury.ru/shop/odezhda/tolstovki/tolstovka-studio-men-svetloseriy-melanzh-01408300/" , "01408300 Толстовка STUDIO MEN серый меланж, размер M")</f>
      </c>
      <c r="C10565" s="4" t="n">
        <v>1466.00</v>
      </c>
      <c r="D10565" s="4"/>
    </row>
    <row collapsed="" customFormat="false" customHeight="1" hidden="" ht="14" outlineLevel="0" r="10566">
      <c r="A10566" s="3" t="inlineStr">
        <is>
          <t>10525</t>
        </is>
      </c>
      <c r="B10566" s="4" t="s">
        <f>=HYPERLINK("http://anyluxury.ru/shop/odezhda/tolstovki/tolstovka-studio-men-svetloseriy-melanzh-01408300/" , "01408300 Толстовка STUDIO MEN серый меланж, размер L")</f>
      </c>
      <c r="C10566" s="4" t="n">
        <v>1466.00</v>
      </c>
      <c r="D10566" s="4"/>
    </row>
    <row collapsed="" customFormat="false" customHeight="1" hidden="" ht="14" outlineLevel="0" r="10567">
      <c r="A10567" s="3" t="inlineStr">
        <is>
          <t>10526</t>
        </is>
      </c>
      <c r="B10567" s="4" t="s">
        <f>=HYPERLINK("http://anyluxury.ru/shop/odezhda/tolstovki/tolstovka-studio-men-svetloseriy-melanzh-01408300/" , "01408300 Толстовка STUDIO MEN серый меланж, размер XL")</f>
      </c>
      <c r="C10567" s="4" t="n">
        <v>1466.00</v>
      </c>
      <c r="D10567" s="4"/>
    </row>
    <row collapsed="" customFormat="false" customHeight="1" hidden="" ht="14" outlineLevel="0" r="10568">
      <c r="A10568" s="3" t="inlineStr">
        <is>
          <t>10527</t>
        </is>
      </c>
      <c r="B10568" s="4" t="s">
        <f>=HYPERLINK("http://anyluxury.ru/shop/odezhda/tolstovki/tolstovka-studio-men-svetloseriy-melanzh-01408300/" , "01408300 Толстовка STUDIO MEN серый меланж, размер XXL")</f>
      </c>
      <c r="C10568" s="4" t="n">
        <v>1466.00</v>
      </c>
      <c r="D10568" s="4"/>
    </row>
    <row collapsed="" customFormat="false" customHeight="1" hidden="" ht="14" outlineLevel="0" r="10569">
      <c r="A10569" s="3" t="inlineStr">
        <is>
          <t>10528</t>
        </is>
      </c>
      <c r="B10569" s="4" t="s">
        <f>=HYPERLINK("http://anyluxury.ru/shop/odezhda/tolstovki/tolstovka-studio-men-siniy-melanzh-01408239/" , "01408239 Толстовка STUDIO MEN синий меланж, размер S")</f>
      </c>
      <c r="C10569" s="4" t="n">
        <v>1466.00</v>
      </c>
      <c r="D10569" s="4"/>
    </row>
    <row collapsed="" customFormat="false" customHeight="1" hidden="" ht="14" outlineLevel="0" r="10570">
      <c r="A10570" s="3" t="inlineStr">
        <is>
          <t>10529</t>
        </is>
      </c>
      <c r="B10570" s="4" t="s">
        <f>=HYPERLINK("http://anyluxury.ru/shop/odezhda/tolstovki/tolstovka-studio-men-siniy-melanzh-01408239/" , "01408239 Толстовка STUDIO MEN синий меланж, размер M")</f>
      </c>
      <c r="C10570" s="4" t="n">
        <v>1466.00</v>
      </c>
      <c r="D10570" s="4"/>
    </row>
    <row collapsed="" customFormat="false" customHeight="1" hidden="" ht="14" outlineLevel="0" r="10571">
      <c r="A10571" s="3" t="inlineStr">
        <is>
          <t>10530</t>
        </is>
      </c>
      <c r="B10571" s="4" t="s">
        <f>=HYPERLINK("http://anyluxury.ru/shop/odezhda/tolstovki/tolstovka-studio-men-siniy-melanzh-01408239/" , "01408239 Толстовка STUDIO MEN синий меланж, размер L")</f>
      </c>
      <c r="C10571" s="4" t="n">
        <v>1466.00</v>
      </c>
      <c r="D10571" s="4"/>
    </row>
    <row collapsed="" customFormat="false" customHeight="1" hidden="" ht="14" outlineLevel="0" r="10572">
      <c r="A10572" s="3" t="inlineStr">
        <is>
          <t>10531</t>
        </is>
      </c>
      <c r="B10572" s="4" t="s">
        <f>=HYPERLINK("http://anyluxury.ru/shop/odezhda/tolstovki/tolstovka-studio-men-siniy-melanzh-01408239/" , "01408239 Толстовка STUDIO MEN синий меланж, размер XL")</f>
      </c>
      <c r="C10572" s="4" t="n">
        <v>1466.00</v>
      </c>
      <c r="D10572" s="4"/>
    </row>
    <row collapsed="" customFormat="false" customHeight="1" hidden="" ht="14" outlineLevel="0" r="10573">
      <c r="A10573" s="3" t="inlineStr">
        <is>
          <t>10532</t>
        </is>
      </c>
      <c r="B10573" s="4" t="s">
        <f>=HYPERLINK("http://anyluxury.ru/shop/odezhda/tolstovki/tolstovka-studio-men-siniy-melanzh-01408239/" , "01408239 Толстовка STUDIO MEN синий меланж, размер XXL")</f>
      </c>
      <c r="C10573" s="4" t="n">
        <v>1466.00</v>
      </c>
      <c r="D10573" s="4"/>
    </row>
    <row collapsed="" customFormat="false" customHeight="1" hidden="" ht="14" outlineLevel="0" r="10574">
      <c r="A10574" s="3" t="inlineStr">
        <is>
          <t>10533</t>
        </is>
      </c>
      <c r="B10574" s="4" t="s">
        <f>=HYPERLINK("http://anyluxury.ru/shop/odezhda/tolstovki/tolstovka-studio-women-svetloseriy-melanzh-01409300/" , "01409300 Толстовка STUDIO WOMEN серый меланж, размер XS")</f>
      </c>
      <c r="C10574" s="4" t="n">
        <v>1440.00</v>
      </c>
      <c r="D10574" s="4"/>
    </row>
    <row collapsed="" customFormat="false" customHeight="1" hidden="" ht="14" outlineLevel="0" r="10575">
      <c r="A10575" s="3" t="inlineStr">
        <is>
          <t>10534</t>
        </is>
      </c>
      <c r="B10575" s="4" t="s">
        <f>=HYPERLINK("http://anyluxury.ru/shop/odezhda/tolstovki/tolstovka-studio-women-svetloseriy-melanzh-01409300/" , "01409300 Толстовка STUDIO WOMEN серый меланж, размер S")</f>
      </c>
      <c r="C10575" s="4" t="n">
        <v>1440.00</v>
      </c>
      <c r="D10575" s="4"/>
    </row>
    <row collapsed="" customFormat="false" customHeight="1" hidden="" ht="14" outlineLevel="0" r="10576">
      <c r="A10576" s="3" t="inlineStr">
        <is>
          <t>10535</t>
        </is>
      </c>
      <c r="B10576" s="4" t="s">
        <f>=HYPERLINK("http://anyluxury.ru/shop/odezhda/tolstovki/tolstovka-studio-women-svetloseriy-melanzh-01409300/" , "01409300 Толстовка STUDIO WOMEN серый меланж, размер M")</f>
      </c>
      <c r="C10576" s="4" t="n">
        <v>1440.00</v>
      </c>
      <c r="D10576" s="4"/>
    </row>
    <row collapsed="" customFormat="false" customHeight="1" hidden="" ht="14" outlineLevel="0" r="10577">
      <c r="A10577" s="3" t="inlineStr">
        <is>
          <t>10536</t>
        </is>
      </c>
      <c r="B10577" s="4" t="s">
        <f>=HYPERLINK("http://anyluxury.ru/shop/odezhda/tolstovki/tolstovka-studio-women-svetloseriy-melanzh-01409300/" , "01409300 Толстовка STUDIO WOMEN серый меланж, размер L")</f>
      </c>
      <c r="C10577" s="4" t="n">
        <v>1440.00</v>
      </c>
      <c r="D10577" s="4"/>
    </row>
    <row collapsed="" customFormat="false" customHeight="1" hidden="" ht="14" outlineLevel="0" r="10578">
      <c r="A10578" s="3" t="inlineStr">
        <is>
          <t>10537</t>
        </is>
      </c>
      <c r="B10578" s="4" t="s">
        <f>=HYPERLINK("http://anyluxury.ru/shop/odezhda/tolstovki/tolstovka-studio-women-svetloseriy-melanzh-01409300/" , "01409300 Толстовка STUDIO WOMEN серый меланж, размер XL")</f>
      </c>
      <c r="C10578" s="4" t="n">
        <v>1440.00</v>
      </c>
      <c r="D10578" s="4"/>
    </row>
    <row collapsed="" customFormat="false" customHeight="1" hidden="" ht="14" outlineLevel="0" r="10579">
      <c r="A10579" s="3" t="inlineStr">
        <is>
          <t>10538</t>
        </is>
      </c>
      <c r="B10579" s="4" t="s">
        <f>=HYPERLINK("http://anyluxury.ru/shop/odezhda/tolstovki/tolstovka-studio-women-svetloseriy-melanzh-01409300/" , "01409300 Толстовка STUDIO WOMEN серый меланж, размер XXL")</f>
      </c>
      <c r="C10579" s="4" t="n">
        <v>1440.00</v>
      </c>
      <c r="D10579" s="4"/>
    </row>
    <row collapsed="" customFormat="false" customHeight="1" hidden="" ht="14" outlineLevel="0" r="10580">
      <c r="A10580" s="3" t="inlineStr">
        <is>
          <t>10539</t>
        </is>
      </c>
      <c r="B10580" s="4" t="s">
        <f>=HYPERLINK("http://anyluxury.ru/shop/odezhda/tolstovki/tolstovka-studio-women-temnoseriy-melanzh-01409360/" , "01409360 Толстовка STUDIO WOMEN серый меланж, размер XS")</f>
      </c>
      <c r="C10580" s="4" t="n">
        <v>1440.00</v>
      </c>
      <c r="D10580" s="4"/>
    </row>
    <row collapsed="" customFormat="false" customHeight="1" hidden="" ht="14" outlineLevel="0" r="10581">
      <c r="A10581" s="3" t="inlineStr">
        <is>
          <t>10540</t>
        </is>
      </c>
      <c r="B10581" s="4" t="s">
        <f>=HYPERLINK("http://anyluxury.ru/shop/odezhda/tolstovki/tolstovka-studio-women-temnoseriy-melanzh-01409360/" , "01409360 Толстовка STUDIO WOMEN серый меланж, размер S")</f>
      </c>
      <c r="C10581" s="4" t="n">
        <v>1440.00</v>
      </c>
      <c r="D10581" s="4"/>
    </row>
    <row collapsed="" customFormat="false" customHeight="1" hidden="" ht="14" outlineLevel="0" r="10582">
      <c r="A10582" s="3" t="inlineStr">
        <is>
          <t>10541</t>
        </is>
      </c>
      <c r="B10582" s="4" t="s">
        <f>=HYPERLINK("http://anyluxury.ru/shop/odezhda/tolstovki/tolstovka-studio-women-temnoseriy-melanzh-01409360/" , "01409360 Толстовка STUDIO WOMEN серый меланж, размер M")</f>
      </c>
      <c r="C10582" s="4" t="n">
        <v>1440.00</v>
      </c>
      <c r="D10582" s="4"/>
    </row>
    <row collapsed="" customFormat="false" customHeight="1" hidden="" ht="14" outlineLevel="0" r="10583">
      <c r="A10583" s="3" t="inlineStr">
        <is>
          <t>10542</t>
        </is>
      </c>
      <c r="B10583" s="4" t="s">
        <f>=HYPERLINK("http://anyluxury.ru/shop/odezhda/tolstovki/tolstovka-studio-women-temnoseriy-melanzh-01409360/" , "01409360 Толстовка STUDIO WOMEN серый меланж, размер L")</f>
      </c>
      <c r="C10583" s="4" t="n">
        <v>1440.00</v>
      </c>
      <c r="D10583" s="4"/>
    </row>
    <row collapsed="" customFormat="false" customHeight="1" hidden="" ht="14" outlineLevel="0" r="10584">
      <c r="A10584" s="3" t="inlineStr">
        <is>
          <t>10543</t>
        </is>
      </c>
      <c r="B10584" s="4" t="s">
        <f>=HYPERLINK("http://anyluxury.ru/shop/odezhda/tolstovki/tolstovka-studio-women-temnoseriy-melanzh-01409360/" , "01409360 Толстовка STUDIO WOMEN серый меланж, размер XL")</f>
      </c>
      <c r="C10584" s="4" t="n">
        <v>1440.00</v>
      </c>
      <c r="D10584" s="4"/>
    </row>
    <row collapsed="" customFormat="false" customHeight="1" hidden="" ht="14" outlineLevel="0" r="10585">
      <c r="A10585" s="3" t="inlineStr">
        <is>
          <t>10544</t>
        </is>
      </c>
      <c r="B10585" s="4" t="s">
        <f>=HYPERLINK("http://anyluxury.ru/shop/odezhda/tolstovki/tolstovka-studio-women-temnoseriy-melanzh-01409360/" , "01409360 Толстовка STUDIO WOMEN серый меланж, размер XXL")</f>
      </c>
      <c r="C10585" s="4" t="n">
        <v>1440.00</v>
      </c>
      <c r="D10585" s="4"/>
    </row>
    <row collapsed="" customFormat="false" customHeight="1" hidden="" ht="14" outlineLevel="0" r="10586">
      <c r="A10586" s="3" t="inlineStr">
        <is>
          <t>10545</t>
        </is>
      </c>
      <c r="B10586" s="4" t="s">
        <f>=HYPERLINK("http://anyluxury.ru/shop/odezhda/tolstovki/tolstovka-studio-women-zeleniy-melanzh-01409262/" , "01409262 Толстовка STUDIO WOMEN зеленый меланж, размер XS")</f>
      </c>
      <c r="C10586" s="4" t="n">
        <v>1440.00</v>
      </c>
      <c r="D10586" s="4"/>
    </row>
    <row collapsed="" customFormat="false" customHeight="1" hidden="" ht="14" outlineLevel="0" r="10587">
      <c r="A10587" s="3" t="inlineStr">
        <is>
          <t>10546</t>
        </is>
      </c>
      <c r="B10587" s="4" t="s">
        <f>=HYPERLINK("http://anyluxury.ru/shop/odezhda/tolstovki/tolstovka-studio-women-zeleniy-melanzh-01409262/" , "01409262 Толстовка STUDIO WOMEN зеленый меланж, размер S")</f>
      </c>
      <c r="C10587" s="4" t="n">
        <v>1440.00</v>
      </c>
      <c r="D10587" s="4"/>
    </row>
    <row collapsed="" customFormat="false" customHeight="1" hidden="" ht="14" outlineLevel="0" r="10588">
      <c r="A10588" s="3" t="inlineStr">
        <is>
          <t>10547</t>
        </is>
      </c>
      <c r="B10588" s="4" t="s">
        <f>=HYPERLINK("http://anyluxury.ru/shop/odezhda/tolstovki/tolstovka-studio-women-zeleniy-melanzh-01409262/" , "01409262 Толстовка STUDIO WOMEN зеленый меланж, размер M")</f>
      </c>
      <c r="C10588" s="4" t="n">
        <v>1440.00</v>
      </c>
      <c r="D10588" s="4"/>
    </row>
    <row collapsed="" customFormat="false" customHeight="1" hidden="" ht="14" outlineLevel="0" r="10589">
      <c r="A10589" s="3" t="inlineStr">
        <is>
          <t>10548</t>
        </is>
      </c>
      <c r="B10589" s="4" t="s">
        <f>=HYPERLINK("http://anyluxury.ru/shop/odezhda/tolstovki/tolstovka-studio-women-zeleniy-melanzh-01409262/" , "01409262 Толстовка STUDIO WOMEN зеленый меланж, размер L")</f>
      </c>
      <c r="C10589" s="4" t="n">
        <v>1440.00</v>
      </c>
      <c r="D10589" s="4"/>
    </row>
    <row collapsed="" customFormat="false" customHeight="1" hidden="" ht="14" outlineLevel="0" r="10590">
      <c r="A10590" s="3" t="inlineStr">
        <is>
          <t>10549</t>
        </is>
      </c>
      <c r="B10590" s="4" t="s">
        <f>=HYPERLINK("http://anyluxury.ru/shop/odezhda/tolstovki/tolstovka-studio-women-zeleniy-melanzh-01409262/" , "01409262 Толстовка STUDIO WOMEN зеленый меланж, размер XL")</f>
      </c>
      <c r="C10590" s="4" t="n">
        <v>1440.00</v>
      </c>
      <c r="D10590" s="4"/>
    </row>
    <row collapsed="" customFormat="false" customHeight="1" hidden="" ht="14" outlineLevel="0" r="10591">
      <c r="A10591" s="3" t="inlineStr">
        <is>
          <t>10550</t>
        </is>
      </c>
      <c r="B10591" s="4" t="s">
        <f>=HYPERLINK("http://anyluxury.ru/shop/odezhda/tolstovki/tolstovka-studio-women-zeleniy-melanzh-01409262/" , "01409262 Толстовка STUDIO WOMEN зеленый меланж, размер XXL")</f>
      </c>
      <c r="C10591" s="4" t="n">
        <v>1440.00</v>
      </c>
      <c r="D10591" s="4"/>
    </row>
    <row collapsed="" customFormat="false" customHeight="1" hidden="" ht="14" outlineLevel="0" r="10592">
      <c r="A10592" s="3" t="inlineStr">
        <is>
          <t>10551</t>
        </is>
      </c>
      <c r="B10592" s="4" t="s">
        <f>=HYPERLINK("http://anyluxury.ru/shop/odezhda/tolstovki/tolstovka-uniseks-stone-chernaya-01714312/" , "01714312 Толстовка унисекс STONE черная, размер XS")</f>
      </c>
      <c r="C10592" s="4" t="n">
        <v>2943.00</v>
      </c>
      <c r="D10592" s="4"/>
    </row>
    <row collapsed="" customFormat="false" customHeight="1" hidden="" ht="14" outlineLevel="0" r="10593">
      <c r="A10593" s="3" t="inlineStr">
        <is>
          <t>10552</t>
        </is>
      </c>
      <c r="B10593" s="4" t="s">
        <f>=HYPERLINK("http://anyluxury.ru/shop/odezhda/tolstovki/tolstovka-uniseks-stone-chernaya-01714312/" , "01714312 Толстовка унисекс STONE черная, размер S")</f>
      </c>
      <c r="C10593" s="4" t="n">
        <v>2943.00</v>
      </c>
      <c r="D10593" s="4"/>
    </row>
    <row collapsed="" customFormat="false" customHeight="1" hidden="" ht="14" outlineLevel="0" r="10594">
      <c r="A10594" s="3" t="inlineStr">
        <is>
          <t>10553</t>
        </is>
      </c>
      <c r="B10594" s="4" t="s">
        <f>=HYPERLINK("http://anyluxury.ru/shop/odezhda/tolstovki/tolstovka-uniseks-stone-chernaya-01714312/" , "01714312 Толстовка унисекс STONE черная, размер M")</f>
      </c>
      <c r="C10594" s="4" t="n">
        <v>2943.00</v>
      </c>
      <c r="D10594" s="4"/>
    </row>
    <row collapsed="" customFormat="false" customHeight="1" hidden="" ht="14" outlineLevel="0" r="10595">
      <c r="A10595" s="3" t="inlineStr">
        <is>
          <t>10554</t>
        </is>
      </c>
      <c r="B10595" s="4" t="s">
        <f>=HYPERLINK("http://anyluxury.ru/shop/odezhda/tolstovki/tolstovka-uniseks-stone-chernaya-01714312/" , "01714312 Толстовка унисекс STONE черная, размер L")</f>
      </c>
      <c r="C10595" s="4" t="n">
        <v>2943.00</v>
      </c>
      <c r="D10595" s="4"/>
    </row>
    <row collapsed="" customFormat="false" customHeight="1" hidden="" ht="14" outlineLevel="0" r="10596">
      <c r="A10596" s="3" t="inlineStr">
        <is>
          <t>10555</t>
        </is>
      </c>
      <c r="B10596" s="4" t="s">
        <f>=HYPERLINK("http://anyluxury.ru/shop/odezhda/tolstovki/tolstovka-uniseks-stone-chernaya-01714312/" , "01714312 Толстовка унисекс STONE черная, размер XL")</f>
      </c>
      <c r="C10596" s="4" t="n">
        <v>2943.00</v>
      </c>
      <c r="D10596" s="4"/>
    </row>
    <row collapsed="" customFormat="false" customHeight="1" hidden="" ht="14" outlineLevel="0" r="10597">
      <c r="A10597" s="3" t="inlineStr">
        <is>
          <t>10556</t>
        </is>
      </c>
      <c r="B10597" s="4" t="s">
        <f>=HYPERLINK("http://anyluxury.ru/shop/odezhda/tolstovki/tolstovka-uniseks-stone-chernaya-01714312/" , "01714312 Толстовка унисекс STONE черная, размер XXL")</f>
      </c>
      <c r="C10597" s="4" t="n">
        <v>2943.00</v>
      </c>
      <c r="D10597" s="4"/>
    </row>
    <row collapsed="" customFormat="false" customHeight="1" hidden="" ht="14" outlineLevel="0" r="10598">
      <c r="A10598" s="3" t="inlineStr">
        <is>
          <t>10557</t>
        </is>
      </c>
      <c r="B10598" s="4" t="s">
        <f>=HYPERLINK("http://anyluxury.ru/shop/odezhda/tolstovki/tolstovka-uniseks-stone-chernaya-01714312/" , "01714312 Толстовка унисекс STONE черная, размер 3XL")</f>
      </c>
      <c r="C10598" s="4" t="n">
        <v>3372.00</v>
      </c>
      <c r="D10598" s="4"/>
    </row>
    <row collapsed="" customFormat="false" customHeight="1" hidden="" ht="14" outlineLevel="0" r="10599">
      <c r="A10599" s="3" t="inlineStr">
        <is>
          <t>10558</t>
        </is>
      </c>
      <c r="B10599" s="4" t="s">
        <f>=HYPERLINK("http://anyluxury.ru/shop/odezhda/tolstovki/tolstovka-uniseks-stone-cherniy-melanzh-01714348/" , "01714348 Толстовка унисекс STONE черный меланж, размер XS")</f>
      </c>
      <c r="C10599" s="4" t="n">
        <v>2943.00</v>
      </c>
      <c r="D10599" s="4"/>
    </row>
    <row collapsed="" customFormat="false" customHeight="1" hidden="" ht="14" outlineLevel="0" r="10600">
      <c r="A10600" s="3" t="inlineStr">
        <is>
          <t>10559</t>
        </is>
      </c>
      <c r="B10600" s="4" t="s">
        <f>=HYPERLINK("http://anyluxury.ru/shop/odezhda/tolstovki/tolstovka-uniseks-stone-cherniy-melanzh-01714348/" , "01714348 Толстовка унисекс STONE черный меланж, размер S")</f>
      </c>
      <c r="C10600" s="4" t="n">
        <v>2943.00</v>
      </c>
      <c r="D10600" s="4"/>
    </row>
    <row collapsed="" customFormat="false" customHeight="1" hidden="" ht="14" outlineLevel="0" r="10601">
      <c r="A10601" s="3" t="inlineStr">
        <is>
          <t>10560</t>
        </is>
      </c>
      <c r="B10601" s="4" t="s">
        <f>=HYPERLINK("http://anyluxury.ru/shop/odezhda/tolstovki/tolstovka-uniseks-stone-cherniy-melanzh-01714348/" , "01714348 Толстовка унисекс STONE черный меланж, размер M")</f>
      </c>
      <c r="C10601" s="4" t="n">
        <v>2943.00</v>
      </c>
      <c r="D10601" s="4"/>
    </row>
    <row collapsed="" customFormat="false" customHeight="1" hidden="" ht="14" outlineLevel="0" r="10602">
      <c r="A10602" s="3" t="inlineStr">
        <is>
          <t>10561</t>
        </is>
      </c>
      <c r="B10602" s="4" t="s">
        <f>=HYPERLINK("http://anyluxury.ru/shop/odezhda/tolstovki/tolstovka-uniseks-stone-cherniy-melanzh-01714348/" , "01714348 Толстовка унисекс STONE черный меланж, размер L")</f>
      </c>
      <c r="C10602" s="4" t="n">
        <v>2943.00</v>
      </c>
      <c r="D10602" s="4"/>
    </row>
    <row collapsed="" customFormat="false" customHeight="1" hidden="" ht="14" outlineLevel="0" r="10603">
      <c r="A10603" s="3" t="inlineStr">
        <is>
          <t>10562</t>
        </is>
      </c>
      <c r="B10603" s="4" t="s">
        <f>=HYPERLINK("http://anyluxury.ru/shop/odezhda/tolstovki/tolstovka-uniseks-stone-cherniy-melanzh-01714348/" , "01714348 Толстовка унисекс STONE черный меланж, размер XL")</f>
      </c>
      <c r="C10603" s="4" t="n">
        <v>2943.00</v>
      </c>
      <c r="D10603" s="4"/>
    </row>
    <row collapsed="" customFormat="false" customHeight="1" hidden="" ht="14" outlineLevel="0" r="10604">
      <c r="A10604" s="3" t="inlineStr">
        <is>
          <t>10563</t>
        </is>
      </c>
      <c r="B10604" s="4" t="s">
        <f>=HYPERLINK("http://anyluxury.ru/shop/odezhda/tolstovki/tolstovka-uniseks-stone-cherniy-melanzh-01714348/" , "01714348 Толстовка унисекс STONE черный меланж, размер XXL")</f>
      </c>
      <c r="C10604" s="4" t="n">
        <v>2943.00</v>
      </c>
      <c r="D10604" s="4"/>
    </row>
    <row collapsed="" customFormat="false" customHeight="1" hidden="" ht="14" outlineLevel="0" r="10605">
      <c r="A10605" s="3" t="inlineStr">
        <is>
          <t>10564</t>
        </is>
      </c>
      <c r="B10605" s="4" t="s">
        <f>=HYPERLINK("http://anyluxury.ru/shop/odezhda/tolstovki/tolstovka-uniseks-stone-cherniy-melanzh-01714348/" , "01714348 Толстовка унисекс STONE черный меланж, размер 3XL")</f>
      </c>
      <c r="C10605" s="4" t="n">
        <v>3372.00</v>
      </c>
      <c r="D10605" s="4"/>
    </row>
    <row collapsed="" customFormat="false" customHeight="1" hidden="" ht="14" outlineLevel="0" r="10606">
      <c r="A10606" s="3" t="inlineStr">
        <is>
          <t>10565</t>
        </is>
      </c>
      <c r="B10606" s="4" t="s">
        <f>=HYPERLINK("http://anyluxury.ru/shop/odezhda/tolstovki/tolstovka-uniseks-stone-temnosinyaya-01714319/" , "01714319 Толстовка унисекс STONE темно-синяя, размер XS")</f>
      </c>
      <c r="C10606" s="4" t="n">
        <v>2943.00</v>
      </c>
      <c r="D10606" s="4"/>
    </row>
    <row collapsed="" customFormat="false" customHeight="1" hidden="" ht="14" outlineLevel="0" r="10607">
      <c r="A10607" s="3" t="inlineStr">
        <is>
          <t>10566</t>
        </is>
      </c>
      <c r="B10607" s="4" t="s">
        <f>=HYPERLINK("http://anyluxury.ru/shop/odezhda/tolstovki/tolstovka-uniseks-stone-temnosinyaya-01714319/" , "01714319 Толстовка унисекс STONE темно-синяя, размер S")</f>
      </c>
      <c r="C10607" s="4" t="n">
        <v>2943.00</v>
      </c>
      <c r="D10607" s="4"/>
    </row>
    <row collapsed="" customFormat="false" customHeight="1" hidden="" ht="14" outlineLevel="0" r="10608">
      <c r="A10608" s="3" t="inlineStr">
        <is>
          <t>10567</t>
        </is>
      </c>
      <c r="B10608" s="4" t="s">
        <f>=HYPERLINK("http://anyluxury.ru/shop/odezhda/tolstovki/tolstovka-uniseks-stone-temnosinyaya-01714319/" , "01714319 Толстовка унисекс STONE темно-синяя, размер M")</f>
      </c>
      <c r="C10608" s="4" t="n">
        <v>2943.00</v>
      </c>
      <c r="D10608" s="4"/>
    </row>
    <row collapsed="" customFormat="false" customHeight="1" hidden="" ht="14" outlineLevel="0" r="10609">
      <c r="A10609" s="3" t="inlineStr">
        <is>
          <t>10568</t>
        </is>
      </c>
      <c r="B10609" s="4" t="s">
        <f>=HYPERLINK("http://anyluxury.ru/shop/odezhda/tolstovki/tolstovka-uniseks-stone-temnosinyaya-01714319/" , "01714319 Толстовка унисекс STONE темно-синяя, размер L")</f>
      </c>
      <c r="C10609" s="4" t="n">
        <v>2943.00</v>
      </c>
      <c r="D10609" s="4"/>
    </row>
    <row collapsed="" customFormat="false" customHeight="1" hidden="" ht="14" outlineLevel="0" r="10610">
      <c r="A10610" s="3" t="inlineStr">
        <is>
          <t>10569</t>
        </is>
      </c>
      <c r="B10610" s="4" t="s">
        <f>=HYPERLINK("http://anyluxury.ru/shop/odezhda/tolstovki/tolstovka-uniseks-stone-temnosinyaya-01714319/" , "01714319 Толстовка унисекс STONE темно-синяя, размер XL")</f>
      </c>
      <c r="C10610" s="4" t="n">
        <v>2943.00</v>
      </c>
      <c r="D10610" s="4"/>
    </row>
    <row collapsed="" customFormat="false" customHeight="1" hidden="" ht="14" outlineLevel="0" r="10611">
      <c r="A10611" s="3" t="inlineStr">
        <is>
          <t>10570</t>
        </is>
      </c>
      <c r="B10611" s="4" t="s">
        <f>=HYPERLINK("http://anyluxury.ru/shop/odezhda/tolstovki/tolstovka-uniseks-stone-temnosinyaya-01714319/" , "01714319 Толстовка унисекс STONE темно-синяя, размер XXL")</f>
      </c>
      <c r="C10611" s="4" t="n">
        <v>2943.00</v>
      </c>
      <c r="D10611" s="4"/>
    </row>
    <row collapsed="" customFormat="false" customHeight="1" hidden="" ht="14" outlineLevel="0" r="10612">
      <c r="A10612" s="3" t="inlineStr">
        <is>
          <t>10571</t>
        </is>
      </c>
      <c r="B10612" s="4" t="s">
        <f>=HYPERLINK("http://anyluxury.ru/shop/odezhda/tolstovki/tolstovka-uniseks-stone-temnosinyaya-01714319/" , "01714319 Толстовка унисекс STONE темно-синяя, размер 3XL")</f>
      </c>
      <c r="C10612" s="4" t="n">
        <v>3372.00</v>
      </c>
      <c r="D10612" s="4"/>
    </row>
    <row collapsed="" customFormat="false" customHeight="1" hidden="" ht="14" outlineLevel="0" r="10613">
      <c r="A10613" s="3" t="inlineStr">
        <is>
          <t>10572</t>
        </is>
      </c>
      <c r="B10613" s="4" t="s">
        <f>=HYPERLINK("http://anyluxury.ru/shop/odezhda/tolstovki/tolstovka-uniseks-stone-seriy-melanzh-01714360/" , "01714360 Толстовка унисекс STONE серый меланж, размер XS")</f>
      </c>
      <c r="C10613" s="4" t="n">
        <v>2943.00</v>
      </c>
      <c r="D10613" s="4"/>
    </row>
    <row collapsed="" customFormat="false" customHeight="1" hidden="" ht="14" outlineLevel="0" r="10614">
      <c r="A10614" s="3" t="inlineStr">
        <is>
          <t>10573</t>
        </is>
      </c>
      <c r="B10614" s="4" t="s">
        <f>=HYPERLINK("http://anyluxury.ru/shop/odezhda/tolstovki/tolstovka-uniseks-stone-seriy-melanzh-01714360/" , "01714360 Толстовка унисекс STONE серый меланж, размер S")</f>
      </c>
      <c r="C10614" s="4" t="n">
        <v>2943.00</v>
      </c>
      <c r="D10614" s="4"/>
    </row>
    <row collapsed="" customFormat="false" customHeight="1" hidden="" ht="14" outlineLevel="0" r="10615">
      <c r="A10615" s="3" t="inlineStr">
        <is>
          <t>10574</t>
        </is>
      </c>
      <c r="B10615" s="4" t="s">
        <f>=HYPERLINK("http://anyluxury.ru/shop/odezhda/tolstovki/tolstovka-uniseks-stone-seriy-melanzh-01714360/" , "01714360 Толстовка унисекс STONE серый меланж, размер M")</f>
      </c>
      <c r="C10615" s="4" t="n">
        <v>2943.00</v>
      </c>
      <c r="D10615" s="4"/>
    </row>
    <row collapsed="" customFormat="false" customHeight="1" hidden="" ht="14" outlineLevel="0" r="10616">
      <c r="A10616" s="3" t="inlineStr">
        <is>
          <t>10575</t>
        </is>
      </c>
      <c r="B10616" s="4" t="s">
        <f>=HYPERLINK("http://anyluxury.ru/shop/odezhda/tolstovki/tolstovka-uniseks-stone-seriy-melanzh-01714360/" , "01714360 Толстовка унисекс STONE серый меланж, размер L")</f>
      </c>
      <c r="C10616" s="4" t="n">
        <v>2943.00</v>
      </c>
      <c r="D10616" s="4"/>
    </row>
    <row collapsed="" customFormat="false" customHeight="1" hidden="" ht="14" outlineLevel="0" r="10617">
      <c r="A10617" s="3" t="inlineStr">
        <is>
          <t>10576</t>
        </is>
      </c>
      <c r="B10617" s="4" t="s">
        <f>=HYPERLINK("http://anyluxury.ru/shop/odezhda/tolstovki/tolstovka-uniseks-stone-seriy-melanzh-01714360/" , "01714360 Толстовка унисекс STONE серый меланж, размер XL")</f>
      </c>
      <c r="C10617" s="4" t="n">
        <v>2943.00</v>
      </c>
      <c r="D10617" s="4"/>
    </row>
    <row collapsed="" customFormat="false" customHeight="1" hidden="" ht="14" outlineLevel="0" r="10618">
      <c r="A10618" s="3" t="inlineStr">
        <is>
          <t>10577</t>
        </is>
      </c>
      <c r="B10618" s="4" t="s">
        <f>=HYPERLINK("http://anyluxury.ru/shop/odezhda/tolstovki/tolstovka-uniseks-stone-seriy-melanzh-01714360/" , "01714360 Толстовка унисекс STONE серый меланж, размер XXL")</f>
      </c>
      <c r="C10618" s="4" t="n">
        <v>2943.00</v>
      </c>
      <c r="D10618" s="4"/>
    </row>
    <row collapsed="" customFormat="false" customHeight="1" hidden="" ht="14" outlineLevel="0" r="10619">
      <c r="A10619" s="3" t="inlineStr">
        <is>
          <t>10578</t>
        </is>
      </c>
      <c r="B10619" s="4" t="s">
        <f>=HYPERLINK("http://anyluxury.ru/shop/odezhda/tolstovki/tolstovka-uniseks-stone-seriy-melanzh-01714360/" , "01714360 Толстовка унисекс STONE серый меланж, размер 3XL")</f>
      </c>
      <c r="C10619" s="4" t="n">
        <v>3372.00</v>
      </c>
      <c r="D10619" s="4"/>
    </row>
    <row collapsed="" customFormat="false" customHeight="1" hidden="" ht="14" outlineLevel="0" r="10620">
      <c r="A10620" s="3" t="inlineStr">
        <is>
          <t>10579</t>
        </is>
      </c>
      <c r="B10620" s="4" t="s">
        <f>=HYPERLINK("http://anyluxury.ru/shop/odezhda/tolstovki/tolstovka-uniseks-stone-krasnaya-01714145/" , "01714145 Толстовка унисекс STONE красная, размер XS")</f>
      </c>
      <c r="C10620" s="4" t="n">
        <v>2943.00</v>
      </c>
      <c r="D10620" s="4"/>
    </row>
    <row collapsed="" customFormat="false" customHeight="1" hidden="" ht="14" outlineLevel="0" r="10621">
      <c r="A10621" s="3" t="inlineStr">
        <is>
          <t>10580</t>
        </is>
      </c>
      <c r="B10621" s="4" t="s">
        <f>=HYPERLINK("http://anyluxury.ru/shop/odezhda/tolstovki/tolstovka-uniseks-stone-krasnaya-01714145/" , "01714145 Толстовка унисекс STONE красная, размер S")</f>
      </c>
      <c r="C10621" s="4" t="n">
        <v>2943.00</v>
      </c>
      <c r="D10621" s="4"/>
    </row>
    <row collapsed="" customFormat="false" customHeight="1" hidden="" ht="14" outlineLevel="0" r="10622">
      <c r="A10622" s="3" t="inlineStr">
        <is>
          <t>10581</t>
        </is>
      </c>
      <c r="B10622" s="4" t="s">
        <f>=HYPERLINK("http://anyluxury.ru/shop/odezhda/tolstovki/tolstovka-uniseks-stone-krasnaya-01714145/" , "01714145 Толстовка унисекс STONE красная, размер M")</f>
      </c>
      <c r="C10622" s="4" t="n">
        <v>2943.00</v>
      </c>
      <c r="D10622" s="4"/>
    </row>
    <row collapsed="" customFormat="false" customHeight="1" hidden="" ht="14" outlineLevel="0" r="10623">
      <c r="A10623" s="3" t="inlineStr">
        <is>
          <t>10582</t>
        </is>
      </c>
      <c r="B10623" s="4" t="s">
        <f>=HYPERLINK("http://anyluxury.ru/shop/odezhda/tolstovki/tolstovka-uniseks-stone-krasnaya-01714145/" , "01714145 Толстовка унисекс STONE красная, размер L")</f>
      </c>
      <c r="C10623" s="4" t="n">
        <v>2943.00</v>
      </c>
      <c r="D10623" s="4"/>
    </row>
    <row collapsed="" customFormat="false" customHeight="1" hidden="" ht="14" outlineLevel="0" r="10624">
      <c r="A10624" s="3" t="inlineStr">
        <is>
          <t>10583</t>
        </is>
      </c>
      <c r="B10624" s="4" t="s">
        <f>=HYPERLINK("http://anyluxury.ru/shop/odezhda/tolstovki/tolstovka-uniseks-stone-krasnaya-01714145/" , "01714145 Толстовка унисекс STONE красная, размер XL")</f>
      </c>
      <c r="C10624" s="4" t="n">
        <v>2943.00</v>
      </c>
      <c r="D10624" s="4"/>
    </row>
    <row collapsed="" customFormat="false" customHeight="1" hidden="" ht="14" outlineLevel="0" r="10625">
      <c r="A10625" s="3" t="inlineStr">
        <is>
          <t>10584</t>
        </is>
      </c>
      <c r="B10625" s="4" t="s">
        <f>=HYPERLINK("http://anyluxury.ru/shop/odezhda/tolstovki/tolstovka-uniseks-stone-krasnaya-01714145/" , "01714145 Толстовка унисекс STONE красная, размер XXL")</f>
      </c>
      <c r="C10625" s="4" t="n">
        <v>2943.00</v>
      </c>
      <c r="D10625" s="4"/>
    </row>
    <row collapsed="" customFormat="false" customHeight="1" hidden="" ht="14" outlineLevel="0" r="10626">
      <c r="A10626" s="3" t="inlineStr">
        <is>
          <t>10585</t>
        </is>
      </c>
      <c r="B10626" s="4" t="s">
        <f>=HYPERLINK("http://anyluxury.ru/shop/odezhda/tolstovki/tolstovka-uniseks-stone-krasnaya-01714145/" , "01714145 Толстовка унисекс STONE красная, размер 3XL")</f>
      </c>
      <c r="C10626" s="4" t="n">
        <v>3372.00</v>
      </c>
      <c r="D10626" s="4"/>
    </row>
    <row collapsed="" customFormat="false" customHeight="1" hidden="" ht="14" outlineLevel="0" r="10627">
      <c r="A10627" s="3" t="inlineStr">
        <is>
          <t>10586</t>
        </is>
      </c>
      <c r="B10627" s="4" t="s">
        <f>=HYPERLINK("http://anyluxury.ru/shop/odezhda/tolstovki/tolstovka-uniseks-stone-yarkosinyaya-royal-01714241/" , "01714241 Толстовка унисекс STONE ярко-синяя, размер XS")</f>
      </c>
      <c r="C10627" s="4" t="n">
        <v>2943.00</v>
      </c>
      <c r="D10627" s="4"/>
    </row>
    <row collapsed="" customFormat="false" customHeight="1" hidden="" ht="14" outlineLevel="0" r="10628">
      <c r="A10628" s="3" t="inlineStr">
        <is>
          <t>10587</t>
        </is>
      </c>
      <c r="B10628" s="4" t="s">
        <f>=HYPERLINK("http://anyluxury.ru/shop/odezhda/tolstovki/tolstovka-uniseks-stone-yarkosinyaya-royal-01714241/" , "01714241 Толстовка унисекс STONE ярко-синяя, размер S")</f>
      </c>
      <c r="C10628" s="4" t="n">
        <v>2943.00</v>
      </c>
      <c r="D10628" s="4"/>
    </row>
    <row collapsed="" customFormat="false" customHeight="1" hidden="" ht="14" outlineLevel="0" r="10629">
      <c r="A10629" s="3" t="inlineStr">
        <is>
          <t>10588</t>
        </is>
      </c>
      <c r="B10629" s="4" t="s">
        <f>=HYPERLINK("http://anyluxury.ru/shop/odezhda/tolstovki/tolstovka-uniseks-stone-yarkosinyaya-royal-01714241/" , "01714241 Толстовка унисекс STONE ярко-синяя, размер M")</f>
      </c>
      <c r="C10629" s="4" t="n">
        <v>2943.00</v>
      </c>
      <c r="D10629" s="4"/>
    </row>
    <row collapsed="" customFormat="false" customHeight="1" hidden="" ht="14" outlineLevel="0" r="10630">
      <c r="A10630" s="3" t="inlineStr">
        <is>
          <t>10589</t>
        </is>
      </c>
      <c r="B10630" s="4" t="s">
        <f>=HYPERLINK("http://anyluxury.ru/shop/odezhda/tolstovki/tolstovka-uniseks-stone-yarkosinyaya-royal-01714241/" , "01714241 Толстовка унисекс STONE ярко-синяя, размер L")</f>
      </c>
      <c r="C10630" s="4" t="n">
        <v>2943.00</v>
      </c>
      <c r="D10630" s="4"/>
    </row>
    <row collapsed="" customFormat="false" customHeight="1" hidden="" ht="14" outlineLevel="0" r="10631">
      <c r="A10631" s="3" t="inlineStr">
        <is>
          <t>10590</t>
        </is>
      </c>
      <c r="B10631" s="4" t="s">
        <f>=HYPERLINK("http://anyluxury.ru/shop/odezhda/tolstovki/tolstovka-uniseks-stone-yarkosinyaya-royal-01714241/" , "01714241 Толстовка унисекс STONE ярко-синяя, размер XL")</f>
      </c>
      <c r="C10631" s="4" t="n">
        <v>2943.00</v>
      </c>
      <c r="D10631" s="4"/>
    </row>
    <row collapsed="" customFormat="false" customHeight="1" hidden="" ht="14" outlineLevel="0" r="10632">
      <c r="A10632" s="3" t="inlineStr">
        <is>
          <t>10591</t>
        </is>
      </c>
      <c r="B10632" s="4" t="s">
        <f>=HYPERLINK("http://anyluxury.ru/shop/odezhda/tolstovki/tolstovka-uniseks-stone-yarkosinyaya-royal-01714241/" , "01714241 Толстовка унисекс STONE ярко-синяя, размер XXL")</f>
      </c>
      <c r="C10632" s="4" t="n">
        <v>2943.00</v>
      </c>
      <c r="D10632" s="4"/>
    </row>
    <row collapsed="" customFormat="false" customHeight="1" hidden="" ht="14" outlineLevel="0" r="10633">
      <c r="A10633" s="3" t="inlineStr">
        <is>
          <t>10592</t>
        </is>
      </c>
      <c r="B10633" s="4" t="s">
        <f>=HYPERLINK("http://anyluxury.ru/shop/odezhda/tolstovki/tolstovka-uniseks-stone-yarkosinyaya-royal-01714241/" , "01714241 Толстовка унисекс STONE ярко-синяя, размер 3XL")</f>
      </c>
      <c r="C10633" s="4" t="n">
        <v>3372.00</v>
      </c>
      <c r="D10633" s="4"/>
    </row>
    <row collapsed="" customFormat="false" customHeight="1" hidden="" ht="14" outlineLevel="0" r="10634">
      <c r="A10634" s="3" t="inlineStr">
        <is>
          <t>10593</t>
        </is>
      </c>
      <c r="B10634" s="4" t="s">
        <f>=HYPERLINK("http://anyluxury.ru/shop/odezhda/tolstovki/kurtka-uniseks-voltage-cherniy-melanzh-s-chernim-01645500/" , "01645500 Куртка унисекс VOLTAGE черный меланж/черный, размер S")</f>
      </c>
      <c r="C10634" s="4" t="n">
        <v>4564.00</v>
      </c>
      <c r="D10634" s="4"/>
    </row>
    <row collapsed="" customFormat="false" customHeight="1" hidden="" ht="14" outlineLevel="0" r="10635">
      <c r="A10635" s="3" t="inlineStr">
        <is>
          <t>10594</t>
        </is>
      </c>
      <c r="B10635" s="4" t="s">
        <f>=HYPERLINK("http://anyluxury.ru/shop/odezhda/tolstovki/kurtka-uniseks-voltage-seriy-melanzh-s-temnosinim-01645508/" , "01645508 Куртка унисекс VOLTAGE меланж/темно-синий, размер S")</f>
      </c>
      <c r="C10635" s="4" t="n">
        <v>4564.00</v>
      </c>
      <c r="D10635" s="4"/>
    </row>
    <row collapsed="" customFormat="false" customHeight="1" hidden="" ht="14" outlineLevel="0" r="10636">
      <c r="A10636" s="3" t="inlineStr">
        <is>
          <t>10595</t>
        </is>
      </c>
      <c r="B10636" s="4" t="s">
        <f>=HYPERLINK("http://anyluxury.ru/shop/odezhda/tolstovki/kurtka-uniseks-voltage-seriy-melanzh-s-temnosinim-01645508/" , "01645508 Куртка унисекс VOLTAGE меланж/темно-синий, размер XXL")</f>
      </c>
      <c r="C10636" s="4" t="n">
        <v>4482.00</v>
      </c>
      <c r="D10636" s="4"/>
    </row>
    <row collapsed="" customFormat="false" customHeight="1" hidden="" ht="14" outlineLevel="0" r="10637">
      <c r="A10637" s="3" t="inlineStr">
        <is>
          <t>10596</t>
        </is>
      </c>
      <c r="B10637" s="4" t="s">
        <f>=HYPERLINK("http://anyluxury.ru/shop/odezhda/tolstovki/tolstovka-zhenskaya-parkwick-krasniy-melanzh-169450/" , "1694.50 Толстовка женская PARKWICK красный меланж, размер XXL")</f>
      </c>
      <c r="C10637" s="4" t="n">
        <v>7328.00</v>
      </c>
      <c r="D10637" s="4"/>
    </row>
    <row collapsed="" customFormat="false" customHeight="1" hidden="" ht="14" outlineLevel="0" r="10638">
      <c r="A10638" s="3" t="inlineStr">
        <is>
          <t>10597</t>
        </is>
      </c>
      <c r="B10638" s="4" t="s">
        <f>=HYPERLINK("http://anyluxury.ru/shop/odezhda/tolstovki/tolstovka-muzhskaya-parkwick-temnosinyaya-169340/" , "1693.40 Толстовка мужская PARKWICK темно-синяя, размер S")</f>
      </c>
      <c r="C10638" s="4" t="n">
        <v>7328.00</v>
      </c>
      <c r="D10638" s="4"/>
    </row>
    <row collapsed="" customFormat="false" customHeight="1" hidden="" ht="14" outlineLevel="0" r="10639">
      <c r="A10639" s="3" t="inlineStr">
        <is>
          <t>10598</t>
        </is>
      </c>
      <c r="B10639" s="4" t="s">
        <f>=HYPERLINK("http://anyluxury.ru/shop/odezhda/tolstovki/tolstovka-muzhskaya-parkwick-temnosinyaya-169340/" , "1693.40 Толстовка мужская PARKWICK темно-синяя, размер M")</f>
      </c>
      <c r="C10639" s="4" t="n">
        <v>7328.00</v>
      </c>
      <c r="D10639" s="4"/>
    </row>
    <row collapsed="" customFormat="false" customHeight="1" hidden="" ht="14" outlineLevel="0" r="10640">
      <c r="A10640" s="3" t="inlineStr">
        <is>
          <t>10599</t>
        </is>
      </c>
      <c r="B10640" s="4" t="s">
        <f>=HYPERLINK("http://anyluxury.ru/shop/odezhda/tolstovki/tolstovka-muzhskaya-parkwick-siniy-melanzh-169347/" , "1693.47 Толстовка мужская PARKWICK синий меланж, размер S")</f>
      </c>
      <c r="C10640" s="4" t="n">
        <v>7328.00</v>
      </c>
      <c r="D10640" s="4"/>
    </row>
    <row collapsed="" customFormat="false" customHeight="1" hidden="" ht="14" outlineLevel="0" r="10641">
      <c r="A10641" s="3" t="inlineStr">
        <is>
          <t>10600</t>
        </is>
      </c>
      <c r="B10641" s="4" t="s">
        <f>=HYPERLINK("http://anyluxury.ru/shop/odezhda/tolstovki/tolstovka-muzhskaya-parkwick-krasniy-melanzh-169350/" , "1693.50 Толстовка мужская PARKWICK красный меланж, размер S")</f>
      </c>
      <c r="C10641" s="4" t="n">
        <v>7328.00</v>
      </c>
      <c r="D10641" s="4"/>
    </row>
    <row collapsed="" customFormat="false" customHeight="1" hidden="" ht="14" outlineLevel="0" r="10642">
      <c r="A10642" s="3" t="inlineStr">
        <is>
          <t>10601</t>
        </is>
      </c>
      <c r="B10642" s="4" t="s">
        <f>=HYPERLINK("http://anyluxury.ru/shop/odezhda/tolstovki/tolstovka-muzhskaya-parkwick-krasniy-melanzh-169350/" , "1693.50 Толстовка мужская PARKWICK красный меланж, размер M")</f>
      </c>
      <c r="C10642" s="4" t="n">
        <v>7328.00</v>
      </c>
      <c r="D10642" s="4"/>
    </row>
    <row collapsed="" customFormat="false" customHeight="1" hidden="" ht="14" outlineLevel="0" r="10643">
      <c r="A10643" s="3" t="inlineStr">
        <is>
          <t>10602</t>
        </is>
      </c>
      <c r="B10643" s="4" t="s">
        <f>=HYPERLINK("http://anyluxury.ru/shop/odezhda/tolstovki/tolstovka-muzhskaya-parkwick-krasniy-melanzh-169350/" , "1693.50 Толстовка мужская PARKWICK красный меланж, размер L")</f>
      </c>
      <c r="C10643" s="4" t="n">
        <v>7328.00</v>
      </c>
      <c r="D10643" s="4"/>
    </row>
    <row collapsed="" customFormat="false" customHeight="1" hidden="" ht="14" outlineLevel="0" r="10644">
      <c r="A10644" s="3" t="inlineStr">
        <is>
          <t>10603</t>
        </is>
      </c>
      <c r="B10644" s="4" t="s">
        <f>=HYPERLINK("http://anyluxury.ru/shop/odezhda/tolstovki/tolstovka-muzhskaya-parkwick-krasniy-melanzh-169350/" , "1693.50 Толстовка мужская PARKWICK красный меланж, размер XL")</f>
      </c>
      <c r="C10644" s="4" t="n">
        <v>7328.00</v>
      </c>
      <c r="D10644" s="4"/>
    </row>
    <row collapsed="" customFormat="false" customHeight="1" hidden="" ht="14" outlineLevel="0" r="10645">
      <c r="A10645" s="3" t="inlineStr">
        <is>
          <t>10604</t>
        </is>
      </c>
      <c r="B10645" s="4" t="s">
        <f>=HYPERLINK("http://anyluxury.ru/shop/odezhda/tolstovki/tolstovka-muzhskaya-parkwick-krasniy-melanzh-169350/" , "1693.50 Толстовка мужская PARKWICK красный меланж, размер XXL")</f>
      </c>
      <c r="C10645" s="4" t="n">
        <v>7328.00</v>
      </c>
      <c r="D10645" s="4"/>
    </row>
    <row collapsed="" customFormat="false" customHeight="1" hidden="" ht="14" outlineLevel="0" r="10646">
      <c r="A10646" s="3" t="inlineStr">
        <is>
          <t>10605</t>
        </is>
      </c>
      <c r="B10646" s="4" t="s">
        <f>=HYPERLINK("http://anyluxury.ru/shop/odezhda/tolstovki/kurtka-zhenskaya-nova-women-200-sinyaya-s-serim-585041/" , "5850.41 Куртка женская NOVA WOMEN 200, синяя с серым, размер S")</f>
      </c>
      <c r="C10646" s="4" t="n">
        <v>2138.00</v>
      </c>
      <c r="D10646" s="4"/>
    </row>
    <row collapsed="" customFormat="false" customHeight="1" hidden="" ht="14" outlineLevel="0" r="10647">
      <c r="A10647" s="3" t="inlineStr">
        <is>
          <t>10606</t>
        </is>
      </c>
      <c r="B10647" s="4" t="s">
        <f>=HYPERLINK("http://anyluxury.ru/shop/odezhda/tolstovki/kurtka-zhenskaya-nova-women-200-sinyaya-s-serim-585041/" , "5850.41 Куртка женская NOVA WOMEN 200, синяя с серым, размер M")</f>
      </c>
      <c r="C10647" s="4" t="n">
        <v>2138.00</v>
      </c>
      <c r="D10647" s="4"/>
    </row>
    <row collapsed="" customFormat="false" customHeight="1" hidden="" ht="14" outlineLevel="0" r="10648">
      <c r="A10648" s="3" t="inlineStr">
        <is>
          <t>10607</t>
        </is>
      </c>
      <c r="B10648" s="4" t="s">
        <f>=HYPERLINK("http://anyluxury.ru/shop/odezhda/tolstovki/kurtka-zhenskaya-nova-women-200-sinyaya-s-serim-585041/" , "5850.41 Куртка женская NOVA WOMEN 200, синяя с серым, размер L")</f>
      </c>
      <c r="C10648" s="4" t="n">
        <v>2138.00</v>
      </c>
      <c r="D10648" s="4"/>
    </row>
    <row collapsed="" customFormat="false" customHeight="1" hidden="" ht="14" outlineLevel="0" r="10649">
      <c r="A10649" s="3" t="inlineStr">
        <is>
          <t>10608</t>
        </is>
      </c>
      <c r="B10649" s="4" t="s">
        <f>=HYPERLINK("http://anyluxury.ru/shop/odezhda/tolstovki/kurtka-zhenskaya-nova-women-200-sinyaya-s-serim-585041/" , "5850.41 Куртка женская NOVA WOMEN 200, синяя с серым, размер XL")</f>
      </c>
      <c r="C10649" s="4" t="n">
        <v>2138.00</v>
      </c>
      <c r="D10649" s="4"/>
    </row>
    <row collapsed="" customFormat="false" customHeight="1" hidden="" ht="14" outlineLevel="0" r="10650">
      <c r="A10650" s="3" t="inlineStr">
        <is>
          <t>10609</t>
        </is>
      </c>
      <c r="B10650" s="4" t="s">
        <f>=HYPERLINK("http://anyluxury.ru/shop/odezhda/tolstovki/kurtka-zhenskaya-nova-women-200-sinyaya-s-serim-585041/" , "5850.41 Куртка женская NOVA WOMEN 200, синяя с серым, размер XXL")</f>
      </c>
      <c r="C10650" s="4" t="n">
        <v>2138.00</v>
      </c>
      <c r="D10650" s="4"/>
    </row>
    <row collapsed="" customFormat="false" customHeight="1" hidden="" ht="14" outlineLevel="0" r="10651">
      <c r="A10651" s="3" t="inlineStr">
        <is>
          <t>10610</t>
        </is>
      </c>
      <c r="B10651" s="4" t="s">
        <f>=HYPERLINK("http://anyluxury.ru/shop/odezhda/tolstovki/tolstovka-muzhskaya-hooded-full-zip-seriy-melanzh-wm647610/" , "WM647610 Толстовка мужская Hooded Full Zip серый меланж, размер XXL")</f>
      </c>
      <c r="C10651" s="4" t="n">
        <v>2318.00</v>
      </c>
      <c r="D10651" s="4"/>
    </row>
    <row collapsed="" customFormat="false" customHeight="1" hidden="" ht="14" outlineLevel="0" r="10652">
      <c r="A10652" s="3" t="inlineStr">
        <is>
          <t>10611</t>
        </is>
      </c>
      <c r="B10652" s="4" t="s">
        <f>=HYPERLINK("http://anyluxury.ru/shop/odezhda/tolstovki/tolstovka-id004-seriy-melanzh-wui22610/" , "WUI22610 Толстовка ID.004 серый меланж, размер S")</f>
      </c>
      <c r="C10652" s="4" t="n">
        <v>2877.00</v>
      </c>
      <c r="D10652" s="4"/>
    </row>
    <row collapsed="" customFormat="false" customHeight="1" hidden="" ht="14" outlineLevel="0" r="10653">
      <c r="A10653" s="3" t="inlineStr">
        <is>
          <t>10612</t>
        </is>
      </c>
      <c r="B10653" s="4" t="s">
        <f>=HYPERLINK("http://anyluxury.ru/shop/odezhda/tolstovki/tolstovka-zhenskaya-hooded-full-zip-belaya-ww642001/" , "WW642001 Толстовка женская Hooded Full Zip белая, размер XS")</f>
      </c>
      <c r="C10653" s="4" t="n">
        <v>2599.00</v>
      </c>
      <c r="D10653" s="4"/>
    </row>
    <row collapsed="" customFormat="false" customHeight="1" hidden="" ht="14" outlineLevel="0" r="10654">
      <c r="A10654" s="3" t="inlineStr">
        <is>
          <t>10613</t>
        </is>
      </c>
      <c r="B10654" s="4" t="s">
        <f>=HYPERLINK("http://anyluxury.ru/shop/odezhda/tolstovki/tolstovka-zhenskaya-hooded-full-zip-belaya-ww642001/" , "WW642001 Толстовка женская Hooded Full Zip белая, размер L")</f>
      </c>
      <c r="C10654" s="4" t="n">
        <v>2599.00</v>
      </c>
      <c r="D10654" s="4"/>
    </row>
    <row collapsed="" customFormat="false" customHeight="1" hidden="" ht="14" outlineLevel="0" r="10655">
      <c r="A10655" s="3" t="inlineStr">
        <is>
          <t>10614</t>
        </is>
      </c>
      <c r="B10655" s="4" t="s">
        <f>=HYPERLINK("http://anyluxury.ru/shop/odezhda/tolstovki/tolstovka-zhenskaya-hooded-full-zip-krasnaya-ww642004/" , "WW642004 Толстовка женская Hooded Full Zip красная, размер XS")</f>
      </c>
      <c r="C10655" s="4" t="n">
        <v>2599.00</v>
      </c>
      <c r="D10655" s="4"/>
    </row>
    <row collapsed="" customFormat="false" customHeight="1" hidden="" ht="14" outlineLevel="0" r="10656">
      <c r="A10656" s="3" t="inlineStr">
        <is>
          <t>10615</t>
        </is>
      </c>
      <c r="B10656" s="4" t="s">
        <f>=HYPERLINK("http://anyluxury.ru/shop/odezhda/tolstovki/tolstovka-zhenskaya-hooded-full-zip-krasnaya-ww642004/" , "WW642004 Толстовка женская Hooded Full Zip красная, размер S")</f>
      </c>
      <c r="C10656" s="4" t="n">
        <v>2599.00</v>
      </c>
      <c r="D10656" s="4"/>
    </row>
    <row collapsed="" customFormat="false" customHeight="1" hidden="" ht="14" outlineLevel="0" r="10657">
      <c r="A10657" s="3" t="inlineStr">
        <is>
          <t>10616</t>
        </is>
      </c>
      <c r="B10657" s="4" t="s">
        <f>=HYPERLINK("http://anyluxury.ru/shop/odezhda/tolstovki/tolstovka-zhenskaya-hooded-full-zip-krasnaya-ww642004/" , "WW642004 Толстовка женская Hooded Full Zip красная, размер M")</f>
      </c>
      <c r="C10657" s="4" t="n">
        <v>2599.00</v>
      </c>
      <c r="D10657" s="4"/>
    </row>
    <row collapsed="" customFormat="false" customHeight="1" hidden="" ht="14" outlineLevel="0" r="10658">
      <c r="A10658" s="3" t="inlineStr">
        <is>
          <t>10617</t>
        </is>
      </c>
      <c r="B10658" s="4" t="s">
        <f>=HYPERLINK("http://anyluxury.ru/shop/odezhda/tolstovki/tolstovka-zhenskaya-hooded-full-zip-krasnaya-ww642004/" , "WW642004 Толстовка женская Hooded Full Zip красная, размер L")</f>
      </c>
      <c r="C10658" s="4" t="n">
        <v>2599.00</v>
      </c>
      <c r="D10658" s="4"/>
    </row>
    <row collapsed="" customFormat="false" customHeight="1" hidden="" ht="14" outlineLevel="0" r="10659">
      <c r="A10659" s="3" t="inlineStr">
        <is>
          <t>10618</t>
        </is>
      </c>
      <c r="B10659" s="4" t="s">
        <f>=HYPERLINK("http://anyluxury.ru/shop/odezhda/tolstovki/tolstovka-zhenskaya-hooded-full-zip-krasnaya-ww642004/" , "WW642004 Толстовка женская Hooded Full Zip красная, размер XL")</f>
      </c>
      <c r="C10659" s="4" t="n">
        <v>2599.00</v>
      </c>
      <c r="D10659" s="4"/>
    </row>
    <row collapsed="" customFormat="false" customHeight="1" hidden="" ht="14" outlineLevel="0" r="10660">
      <c r="A10660" s="3" t="inlineStr">
        <is>
          <t>10619</t>
        </is>
      </c>
      <c r="B10660" s="4" t="s">
        <f>=HYPERLINK("http://anyluxury.ru/shop/odezhda/tolstovki/tolstovka-zhenskaya-hooded-full-zip-krasnaya-ww642004/" , "WW642004 Толстовка женская Hooded Full Zip красная, размер XXL")</f>
      </c>
      <c r="C10660" s="4" t="n">
        <v>2599.00</v>
      </c>
      <c r="D10660" s="4"/>
    </row>
    <row collapsed="" customFormat="false" customHeight="1" hidden="" ht="14" outlineLevel="0" r="10661">
      <c r="A10661" s="3" t="inlineStr">
        <is>
          <t>10620</t>
        </is>
      </c>
      <c r="B10661" s="4" t="s">
        <f>=HYPERLINK("http://anyluxury.ru/shop/odezhda/tolstovki/tolstovka-zhenskaya-hooded-full-zip-yarkosinyaya-ww642450/" , "WW642450 Толстовка женская Hooded Full Zip ярко-синяя, размер XS")</f>
      </c>
      <c r="C10661" s="4" t="n">
        <v>2599.00</v>
      </c>
      <c r="D10661" s="4"/>
    </row>
    <row collapsed="" customFormat="false" customHeight="1" hidden="" ht="14" outlineLevel="0" r="10662">
      <c r="A10662" s="3" t="inlineStr">
        <is>
          <t>10621</t>
        </is>
      </c>
      <c r="B10662" s="4" t="s">
        <f>=HYPERLINK("http://anyluxury.ru/shop/odezhda/tolstovki/tolstovka-zhenskaya-hooded-full-zip-yarkosinyaya-ww642450/" , "WW642450 Толстовка женская Hooded Full Zip ярко-синяя, размер S")</f>
      </c>
      <c r="C10662" s="4" t="n">
        <v>2599.00</v>
      </c>
      <c r="D10662" s="4"/>
    </row>
    <row collapsed="" customFormat="false" customHeight="1" hidden="" ht="14" outlineLevel="0" r="10663">
      <c r="A10663" s="3" t="inlineStr">
        <is>
          <t>10622</t>
        </is>
      </c>
      <c r="B10663" s="4" t="s">
        <f>=HYPERLINK("http://anyluxury.ru/shop/odezhda/tolstovki/tolstovka-zhenskaya-hooded-full-zip-yarkosinyaya-ww642450/" , "WW642450 Толстовка женская Hooded Full Zip ярко-синяя, размер M")</f>
      </c>
      <c r="C10663" s="4" t="n">
        <v>2599.00</v>
      </c>
      <c r="D10663" s="4"/>
    </row>
    <row collapsed="" customFormat="false" customHeight="1" hidden="" ht="14" outlineLevel="0" r="10664">
      <c r="A10664" s="3" t="inlineStr">
        <is>
          <t>10623</t>
        </is>
      </c>
      <c r="B10664" s="4" t="s">
        <f>=HYPERLINK("http://anyluxury.ru/shop/odezhda/tolstovki/tolstovka-zhenskaya-hooded-full-zip-yarkosinyaya-ww642450/" , "WW642450 Толстовка женская Hooded Full Zip ярко-синяя, размер L")</f>
      </c>
      <c r="C10664" s="4" t="n">
        <v>2599.00</v>
      </c>
      <c r="D10664" s="4"/>
    </row>
    <row collapsed="" customFormat="false" customHeight="1" hidden="" ht="14" outlineLevel="0" r="10665">
      <c r="A10665" s="3" t="inlineStr">
        <is>
          <t>10624</t>
        </is>
      </c>
      <c r="B10665" s="4" t="s">
        <f>=HYPERLINK("http://anyluxury.ru/shop/odezhda/tolstovki/tolstovka-zhenskaya-hooded-full-zip-yarkosinyaya-ww642450/" , "WW642450 Толстовка женская Hooded Full Zip ярко-синяя, размер XL")</f>
      </c>
      <c r="C10665" s="4" t="n">
        <v>2599.00</v>
      </c>
      <c r="D10665" s="4"/>
    </row>
    <row collapsed="" customFormat="false" customHeight="1" hidden="" ht="14" outlineLevel="0" r="10666">
      <c r="A10666" s="3" t="inlineStr">
        <is>
          <t>10625</t>
        </is>
      </c>
      <c r="B10666" s="4" t="s">
        <f>=HYPERLINK("http://anyluxury.ru/shop/odezhda/tolstovki/tolstovka-zhenskaya-hooded-full-zip-seriy-melanzh-ww642610/" , "WW642610 Толстовка женская Hooded Full Zip серый меланж, размер XS")</f>
      </c>
      <c r="C10666" s="4" t="n">
        <v>2599.00</v>
      </c>
      <c r="D10666" s="4"/>
    </row>
    <row collapsed="" customFormat="false" customHeight="1" hidden="" ht="14" outlineLevel="0" r="10667">
      <c r="A10667" s="3" t="inlineStr">
        <is>
          <t>10626</t>
        </is>
      </c>
      <c r="B10667" s="4" t="s">
        <f>=HYPERLINK("http://anyluxury.ru/shop/odezhda/tolstovki/tolstovka-zhenskaya-hooded-full-zip-seriy-melanzh-ww642610/" , "WW642610 Толстовка женская Hooded Full Zip серый меланж, размер S")</f>
      </c>
      <c r="C10667" s="4" t="n">
        <v>2599.00</v>
      </c>
      <c r="D10667" s="4"/>
    </row>
    <row collapsed="" customFormat="false" customHeight="1" hidden="" ht="14" outlineLevel="0" r="10668">
      <c r="A10668" s="3" t="inlineStr">
        <is>
          <t>10627</t>
        </is>
      </c>
      <c r="B10668" s="4" t="s">
        <f>=HYPERLINK("http://anyluxury.ru/shop/odezhda/tolstovki/tolstovka-zhenskaya-hooded-full-zip-seriy-melanzh-ww642610/" , "WW642610 Толстовка женская Hooded Full Zip серый меланж, размер M")</f>
      </c>
      <c r="C10668" s="4" t="n">
        <v>2599.00</v>
      </c>
      <c r="D10668" s="4"/>
    </row>
    <row collapsed="" customFormat="false" customHeight="1" hidden="" ht="14" outlineLevel="0" r="10669">
      <c r="A10669" s="3" t="inlineStr">
        <is>
          <t>10628</t>
        </is>
      </c>
      <c r="B10669" s="4" t="s">
        <f>=HYPERLINK("http://anyluxury.ru/shop/odezhda/tolstovki/tolstovka-zhenskaya-hooded-full-zip-seriy-melanzh-ww642610/" , "WW642610 Толстовка женская Hooded Full Zip серый меланж, размер L")</f>
      </c>
      <c r="C10669" s="4" t="n">
        <v>2599.00</v>
      </c>
      <c r="D10669" s="4"/>
    </row>
    <row collapsed="" customFormat="false" customHeight="1" hidden="" ht="14" outlineLevel="0" r="10670">
      <c r="A10670" s="3" t="inlineStr">
        <is>
          <t>10629</t>
        </is>
      </c>
      <c r="B10670" s="4" t="s">
        <f>=HYPERLINK("http://anyluxury.ru/shop/odezhda/tolstovki/tolstovka-zhenskaya-hooded-full-zip-seriy-melanzh-ww642610/" , "WW642610 Толстовка женская Hooded Full Zip серый меланж, размер XL")</f>
      </c>
      <c r="C10670" s="4" t="n">
        <v>2599.00</v>
      </c>
      <c r="D10670" s="4"/>
    </row>
    <row collapsed="" customFormat="false" customHeight="1" hidden="" ht="14" outlineLevel="0" r="10671">
      <c r="A10671" s="3" t="inlineStr">
        <is>
          <t>10630</t>
        </is>
      </c>
      <c r="B10671" s="4" t="s">
        <f>=HYPERLINK("http://anyluxury.ru/shop/odezhda/tolstovki/tolstovka-zhenskaya-hooded-full-zip-seriy-melanzh-ww642610/" , "WW642610 Толстовка женская Hooded Full Zip серый меланж, размер XXL")</f>
      </c>
      <c r="C10671" s="4" t="n">
        <v>2599.00</v>
      </c>
      <c r="D10671" s="4"/>
    </row>
    <row collapsed="" customFormat="false" customHeight="1" hidden="" ht="14" outlineLevel="0" r="10672">
      <c r="A10672" s="3" t="inlineStr">
        <is>
          <t>10631</t>
        </is>
      </c>
      <c r="B10672" s="4" t="s">
        <f>=HYPERLINK("http://anyluxury.ru/shop/odezhda/tolstovki/tolstovka-stan-chernaya-02088312/" , "02088312 Толстовка STAN черная, размер S")</f>
      </c>
      <c r="C10672" s="4" t="n">
        <v>2971.00</v>
      </c>
      <c r="D10672" s="4"/>
    </row>
    <row collapsed="" customFormat="false" customHeight="1" hidden="" ht="14" outlineLevel="0" r="10673">
      <c r="A10673" s="3" t="inlineStr">
        <is>
          <t>10632</t>
        </is>
      </c>
      <c r="B10673" s="4" t="s">
        <f>=HYPERLINK("http://anyluxury.ru/shop/odezhda/tolstovki/tolstovka-stan-chernaya-02088312/" , "02088312 Толстовка STAN черная, размер XXL")</f>
      </c>
      <c r="C10673" s="4" t="n">
        <v>2971.00</v>
      </c>
      <c r="D10673" s="4"/>
    </row>
    <row collapsed="" customFormat="false" customHeight="1" hidden="" ht="14" outlineLevel="0" r="10674">
      <c r="A10674" s="3" t="inlineStr">
        <is>
          <t>10633</t>
        </is>
      </c>
      <c r="B10674" s="4" t="s">
        <f>=HYPERLINK("http://anyluxury.ru/shop/odezhda/tolstovki/tolstovka-stan-chernaya-02088312/" , "02088312 Толстовка STAN черная, размер 3XL")</f>
      </c>
      <c r="C10674" s="4" t="n">
        <v>3386.00</v>
      </c>
      <c r="D10674" s="4"/>
    </row>
    <row collapsed="" customFormat="false" customHeight="1" hidden="" ht="14" outlineLevel="0" r="10675">
      <c r="A10675" s="3" t="inlineStr">
        <is>
          <t>10634</t>
        </is>
      </c>
      <c r="B10675" s="4" t="s">
        <f>=HYPERLINK("http://anyluxury.ru/shop/odezhda/tolstovki/tolstovka-stan-temnosinyaya-02088319/" , "02088319 Толстовка STAN темно-синяя, размер S")</f>
      </c>
      <c r="C10675" s="4" t="n">
        <v>2971.00</v>
      </c>
      <c r="D10675" s="4"/>
    </row>
    <row collapsed="" customFormat="false" customHeight="1" hidden="" ht="14" outlineLevel="0" r="10676">
      <c r="A10676" s="3" t="inlineStr">
        <is>
          <t>10635</t>
        </is>
      </c>
      <c r="B10676" s="4" t="s">
        <f>=HYPERLINK("http://anyluxury.ru/shop/odezhda/tolstovki/tolstovka-stan-temnosinyaya-02088319/" , "02088319 Толстовка STAN темно-синяя, размер M")</f>
      </c>
      <c r="C10676" s="4" t="n">
        <v>2971.00</v>
      </c>
      <c r="D10676" s="4"/>
    </row>
    <row collapsed="" customFormat="false" customHeight="1" hidden="" ht="14" outlineLevel="0" r="10677">
      <c r="A10677" s="3" t="inlineStr">
        <is>
          <t>10636</t>
        </is>
      </c>
      <c r="B10677" s="4" t="s">
        <f>=HYPERLINK("http://anyluxury.ru/shop/odezhda/tolstovki/tolstovka-stan-yarkosinyaya-02088241/" , "02088241 Толстовка STAN ярко-синяя, размер S")</f>
      </c>
      <c r="C10677" s="4" t="n">
        <v>2971.00</v>
      </c>
      <c r="D10677" s="4"/>
    </row>
    <row collapsed="" customFormat="false" customHeight="1" hidden="" ht="14" outlineLevel="0" r="10678">
      <c r="A10678" s="3" t="inlineStr">
        <is>
          <t>10637</t>
        </is>
      </c>
      <c r="B10678" s="4" t="s">
        <f>=HYPERLINK("http://anyluxury.ru/shop/odezhda/tolstovki/tolstovka-stan-yarkosinyaya-02088241/" , "02088241 Толстовка STAN ярко-синяя, размер M")</f>
      </c>
      <c r="C10678" s="4" t="n">
        <v>2971.00</v>
      </c>
      <c r="D10678" s="4"/>
    </row>
    <row collapsed="" customFormat="false" customHeight="1" hidden="" ht="14" outlineLevel="0" r="10679">
      <c r="A10679" s="3" t="inlineStr">
        <is>
          <t>10638</t>
        </is>
      </c>
      <c r="B10679" s="4" t="s">
        <f>=HYPERLINK("http://anyluxury.ru/shop/odezhda/tolstovki/tolstovka-stan-belaya-02088102/" , "02088102 Толстовка STAN белая, размер S")</f>
      </c>
      <c r="C10679" s="4" t="n">
        <v>2799.00</v>
      </c>
      <c r="D10679" s="4"/>
    </row>
    <row collapsed="" customFormat="false" customHeight="1" hidden="" ht="14" outlineLevel="0" r="10680">
      <c r="A10680" s="3" t="inlineStr">
        <is>
          <t>10639</t>
        </is>
      </c>
      <c r="B10680" s="4" t="s">
        <f>=HYPERLINK("http://anyluxury.ru/shop/odezhda/tolstovki/tolstovka-stan-belaya-02088102/" , "02088102 Толстовка STAN белая, размер M")</f>
      </c>
      <c r="C10680" s="4" t="n">
        <v>2799.00</v>
      </c>
      <c r="D10680" s="4"/>
    </row>
    <row collapsed="" customFormat="false" customHeight="1" hidden="" ht="14" outlineLevel="0" r="10681">
      <c r="A10681" s="3" t="inlineStr">
        <is>
          <t>10640</t>
        </is>
      </c>
      <c r="B10681" s="4" t="s">
        <f>=HYPERLINK("http://anyluxury.ru/shop/odezhda/tolstovki/tolstovka-stan-belaya-02088102/" , "02088102 Толстовка STAN белая, размер L")</f>
      </c>
      <c r="C10681" s="4" t="n">
        <v>2799.00</v>
      </c>
      <c r="D10681" s="4"/>
    </row>
    <row collapsed="" customFormat="false" customHeight="1" hidden="" ht="14" outlineLevel="0" r="10682">
      <c r="A10682" s="3" t="inlineStr">
        <is>
          <t>10641</t>
        </is>
      </c>
      <c r="B10682" s="4" t="s">
        <f>=HYPERLINK("http://anyluxury.ru/shop/odezhda/tolstovki/tolstovka-stan-belaya-02088102/" , "02088102 Толстовка STAN белая, размер XL")</f>
      </c>
      <c r="C10682" s="4" t="n">
        <v>2799.00</v>
      </c>
      <c r="D10682" s="4"/>
    </row>
    <row collapsed="" customFormat="false" customHeight="1" hidden="" ht="14" outlineLevel="0" r="10683">
      <c r="A10683" s="3" t="inlineStr">
        <is>
          <t>10642</t>
        </is>
      </c>
      <c r="B10683" s="4" t="s">
        <f>=HYPERLINK("http://anyluxury.ru/shop/odezhda/tolstovki/tolstovka-stan-belaya-02088102/" , "02088102 Толстовка STAN белая, размер XXL")</f>
      </c>
      <c r="C10683" s="4" t="n">
        <v>2799.00</v>
      </c>
      <c r="D10683" s="4"/>
    </row>
    <row collapsed="" customFormat="false" customHeight="1" hidden="" ht="14" outlineLevel="0" r="10684">
      <c r="A10684" s="3" t="inlineStr">
        <is>
          <t>10643</t>
        </is>
      </c>
      <c r="B10684" s="4" t="s">
        <f>=HYPERLINK("http://anyluxury.ru/shop/odezhda/tolstovki/tolstovka-stan-belaya-02088102/" , "02088102 Толстовка STAN белая, размер 3XL")</f>
      </c>
      <c r="C10684" s="4" t="n">
        <v>3197.00</v>
      </c>
      <c r="D10684" s="4"/>
    </row>
    <row collapsed="" customFormat="false" customHeight="1" hidden="" ht="14" outlineLevel="0" r="10685">
      <c r="A10685" s="3" t="inlineStr">
        <is>
          <t>10644</t>
        </is>
      </c>
      <c r="B10685" s="4" t="s">
        <f>=HYPERLINK("http://anyluxury.ru/shop/odezhda/tolstovki/tolstovka-na-molnii-s-kapyushonom-unit-siverga-temnosinyaya-689540/" , "6895.40 Толстовка на молнии с капюшоном Unit Siverga темно-синяя, размер XS")</f>
      </c>
      <c r="C10685" s="4" t="n">
        <v>1768.00</v>
      </c>
      <c r="D10685" s="4"/>
    </row>
    <row collapsed="" customFormat="false" customHeight="1" hidden="" ht="14" outlineLevel="0" r="10686">
      <c r="A10686" s="3" t="inlineStr">
        <is>
          <t>10645</t>
        </is>
      </c>
      <c r="B10686" s="4" t="s">
        <f>=HYPERLINK("http://anyluxury.ru/shop/odezhda/tolstovki/tolstovka-na-molnii-s-kapyushonom-unit-siverga-temnosinyaya-689540/" , "6895.40 Толстовка на молнии с капюшоном Unit Siverga темно-синяя, размер S")</f>
      </c>
      <c r="C10686" s="4" t="n">
        <v>1768.00</v>
      </c>
      <c r="D10686" s="4"/>
    </row>
    <row collapsed="" customFormat="false" customHeight="1" hidden="" ht="14" outlineLevel="0" r="10687">
      <c r="A10687" s="3" t="inlineStr">
        <is>
          <t>10646</t>
        </is>
      </c>
      <c r="B10687" s="4" t="s">
        <f>=HYPERLINK("http://anyluxury.ru/shop/odezhda/tolstovki/tolstovka-na-molnii-s-kapyushonom-unit-siverga-temnosinyaya-689540/" , "6895.40 Толстовка на молнии с капюшоном Unit Siverga темно-синяя, размер M")</f>
      </c>
      <c r="C10687" s="4" t="n">
        <v>1768.00</v>
      </c>
      <c r="D10687" s="4"/>
    </row>
    <row collapsed="" customFormat="false" customHeight="1" hidden="" ht="14" outlineLevel="0" r="10688">
      <c r="A10688" s="3" t="inlineStr">
        <is>
          <t>10647</t>
        </is>
      </c>
      <c r="B10688" s="4" t="s">
        <f>=HYPERLINK("http://anyluxury.ru/shop/odezhda/tolstovki/tolstovka-na-molnii-s-kapyushonom-unit-siverga-temnosinyaya-689540/" , "6895.40 Толстовка на молнии с капюшоном Unit Siverga темно-синяя, размер 3XL")</f>
      </c>
      <c r="C10688" s="4" t="n">
        <v>1768.00</v>
      </c>
      <c r="D10688" s="4"/>
    </row>
    <row collapsed="" customFormat="false" customHeight="1" hidden="" ht="14" outlineLevel="0" r="10689">
      <c r="A10689" s="3" t="inlineStr">
        <is>
          <t>10648</t>
        </is>
      </c>
      <c r="B10689" s="4" t="s">
        <f>=HYPERLINK("http://anyluxury.ru/shop/odezhda/tolstovki/tolstovka-na-molnii-s-kapyushonom-unit-siverga-temnosinyaya-689540/" , "6895.40 Толстовка на молнии с капюшоном Unit Siverga темно-синяя, размер 4XL")</f>
      </c>
      <c r="C10689" s="4" t="n">
        <v>1768.00</v>
      </c>
      <c r="D10689" s="4"/>
    </row>
    <row collapsed="" customFormat="false" customHeight="1" hidden="" ht="14" outlineLevel="0" r="10690">
      <c r="A10690" s="3" t="inlineStr">
        <is>
          <t>10649</t>
        </is>
      </c>
      <c r="B10690" s="4" t="s">
        <f>=HYPERLINK("http://anyluxury.ru/shop/odezhda/tolstovki/tolstovka-na-molnii-s-kapyushonom-unit-siverga-belaya-689560/" , "6895.60 Толстовка на молнии с капюшоном Unit Siverga белая, размер XS")</f>
      </c>
      <c r="C10690" s="4" t="n">
        <v>1768.00</v>
      </c>
      <c r="D10690" s="4"/>
    </row>
    <row collapsed="" customFormat="false" customHeight="1" hidden="" ht="14" outlineLevel="0" r="10691">
      <c r="A10691" s="3" t="inlineStr">
        <is>
          <t>10650</t>
        </is>
      </c>
      <c r="B10691" s="4" t="s">
        <f>=HYPERLINK("http://anyluxury.ru/shop/odezhda/tolstovki/tolstovka-na-molnii-s-kapyushonom-unit-siverga-belaya-689560/" , "6895.60 Толстовка на молнии с капюшоном Unit Siverga белая, размер S")</f>
      </c>
      <c r="C10691" s="4" t="n">
        <v>1768.00</v>
      </c>
      <c r="D10691" s="4"/>
    </row>
    <row collapsed="" customFormat="false" customHeight="1" hidden="" ht="14" outlineLevel="0" r="10692">
      <c r="A10692" s="3" t="inlineStr">
        <is>
          <t>10651</t>
        </is>
      </c>
      <c r="B10692" s="4" t="s">
        <f>=HYPERLINK("http://anyluxury.ru/shop/odezhda/tolstovki/tolstovka-na-molnii-s-kapyushonom-unit-siverga-belaya-689560/" , "6895.60 Толстовка на молнии с капюшоном Unit Siverga белая, размер M")</f>
      </c>
      <c r="C10692" s="4" t="n">
        <v>1768.00</v>
      </c>
      <c r="D10692" s="4"/>
    </row>
    <row collapsed="" customFormat="false" customHeight="1" hidden="" ht="14" outlineLevel="0" r="10693">
      <c r="A10693" s="3" t="inlineStr">
        <is>
          <t>10652</t>
        </is>
      </c>
      <c r="B10693" s="4" t="s">
        <f>=HYPERLINK("http://anyluxury.ru/shop/odezhda/tolstovki/tolstovka-na-molnii-s-kapyushonom-unit-siverga-belaya-689560/" , "6895.60 Толстовка на молнии с капюшоном Unit Siverga белая, размер L")</f>
      </c>
      <c r="C10693" s="4" t="n">
        <v>1768.00</v>
      </c>
      <c r="D10693" s="4"/>
    </row>
    <row collapsed="" customFormat="false" customHeight="1" hidden="" ht="14" outlineLevel="0" r="10694">
      <c r="A10694" s="3" t="inlineStr">
        <is>
          <t>10653</t>
        </is>
      </c>
      <c r="B10694" s="4" t="s">
        <f>=HYPERLINK("http://anyluxury.ru/shop/odezhda/tolstovki/tolstovka-na-molnii-s-kapyushonom-unit-siverga-belaya-689560/" , "6895.60 Толстовка на молнии с капюшоном Unit Siverga белая, размер XXL")</f>
      </c>
      <c r="C10694" s="4" t="n">
        <v>1768.00</v>
      </c>
      <c r="D10694" s="4"/>
    </row>
    <row collapsed="" customFormat="false" customHeight="1" hidden="" ht="14" outlineLevel="0" r="10695">
      <c r="A10695" s="3" t="inlineStr">
        <is>
          <t>10654</t>
        </is>
      </c>
      <c r="B10695" s="4" t="s">
        <f>=HYPERLINK("http://anyluxury.ru/shop/odezhda/tolstovki/tolstovka-na-molnii-s-kapyushonom-unit-siverga-belaya-689560/" , "6895.60 Толстовка на молнии с капюшоном Unit Siverga белая, размер 3XL")</f>
      </c>
      <c r="C10695" s="4" t="n">
        <v>1768.00</v>
      </c>
      <c r="D10695" s="4"/>
    </row>
    <row collapsed="" customFormat="false" customHeight="1" hidden="" ht="14" outlineLevel="0" r="10696">
      <c r="A10696" s="3" t="inlineStr">
        <is>
          <t>10655</t>
        </is>
      </c>
      <c r="B10696" s="4" t="s">
        <f>=HYPERLINK("http://anyluxury.ru/shop/odezhda/tolstovki/tolstovka-na-molnii-s-kapyushonom-unit-siverga-belaya-689560/" , "6895.60 Толстовка на молнии с капюшоном Unit Siverga белая, размер 4XL")</f>
      </c>
      <c r="C10696" s="4" t="n">
        <v>1768.00</v>
      </c>
      <c r="D10696" s="4"/>
    </row>
    <row collapsed="" customFormat="false" customHeight="1" hidden="" ht="14" outlineLevel="0" r="10697">
      <c r="A10697" s="3" t="inlineStr">
        <is>
          <t>10656</t>
        </is>
      </c>
      <c r="B10697" s="4" t="s">
        <f>=HYPERLINK("http://anyluxury.ru/shop/odezhda/tolstovki/tolstovka-na-molnii-s-kapyushonom-unit-siverga-seriy-melanzh-689511/" , "6895.11 Толстовка на молнии с капюшоном Unit Siverga серый меланж, размер XS")</f>
      </c>
      <c r="C10697" s="4" t="n">
        <v>1768.00</v>
      </c>
      <c r="D10697" s="4"/>
    </row>
    <row collapsed="" customFormat="false" customHeight="1" hidden="" ht="14" outlineLevel="0" r="10698">
      <c r="A10698" s="3" t="inlineStr">
        <is>
          <t>10657</t>
        </is>
      </c>
      <c r="B10698" s="4" t="s">
        <f>=HYPERLINK("http://anyluxury.ru/shop/odezhda/tolstovki/tolstovka-na-molnii-s-kapyushonom-unit-siverga-seriy-melanzh-689511/" , "6895.11 Толстовка на молнии с капюшоном Unit Siverga серый меланж, размер S")</f>
      </c>
      <c r="C10698" s="4" t="n">
        <v>1768.00</v>
      </c>
      <c r="D10698" s="4"/>
    </row>
    <row collapsed="" customFormat="false" customHeight="1" hidden="" ht="14" outlineLevel="0" r="10699">
      <c r="A10699" s="3" t="inlineStr">
        <is>
          <t>10658</t>
        </is>
      </c>
      <c r="B10699" s="4" t="s">
        <f>=HYPERLINK("http://anyluxury.ru/shop/odezhda/tolstovki/tolstovka-na-molnii-s-kapyushonom-unit-siverga-seriy-melanzh-689511/" , "6895.11 Толстовка на молнии с капюшоном Unit Siverga серый меланж, размер M")</f>
      </c>
      <c r="C10699" s="4" t="n">
        <v>1768.00</v>
      </c>
      <c r="D10699" s="4"/>
    </row>
    <row collapsed="" customFormat="false" customHeight="1" hidden="" ht="14" outlineLevel="0" r="10700">
      <c r="A10700" s="3" t="inlineStr">
        <is>
          <t>10659</t>
        </is>
      </c>
      <c r="B10700" s="4" t="s">
        <f>=HYPERLINK("http://anyluxury.ru/shop/odezhda/tolstovki/tolstovka-na-molnii-s-kapyushonom-unit-siverga-seriy-melanzh-689511/" , "6895.11 Толстовка на молнии с капюшоном Unit Siverga серый меланж, размер XXL")</f>
      </c>
      <c r="C10700" s="4" t="n">
        <v>1768.00</v>
      </c>
      <c r="D10700" s="4"/>
    </row>
    <row collapsed="" customFormat="false" customHeight="1" hidden="" ht="14" outlineLevel="0" r="10701">
      <c r="A10701" s="3" t="inlineStr">
        <is>
          <t>10660</t>
        </is>
      </c>
      <c r="B10701" s="4" t="s">
        <f>=HYPERLINK("http://anyluxury.ru/shop/odezhda/tolstovki/tolstovka-na-molnii-s-kapyushonom-unit-siverga-seriy-melanzh-689511/" , "6895.11 Толстовка на молнии с капюшоном Unit Siverga серый меланж, размер 3XL")</f>
      </c>
      <c r="C10701" s="4" t="n">
        <v>1768.00</v>
      </c>
      <c r="D10701" s="4"/>
    </row>
    <row collapsed="" customFormat="false" customHeight="1" hidden="" ht="14" outlineLevel="0" r="10702">
      <c r="A10702" s="3" t="inlineStr">
        <is>
          <t>10661</t>
        </is>
      </c>
      <c r="B10702" s="4" t="s">
        <f>=HYPERLINK("http://anyluxury.ru/shop/odezhda/tolstovki/tolstovka-na-molnii-s-kapyushonom-unit-siverga-seriy-melanzh-689511/" , "6895.11 Толстовка на молнии с капюшоном Unit Siverga серый меланж, размер 4XL")</f>
      </c>
      <c r="C10702" s="4" t="n">
        <v>1768.00</v>
      </c>
      <c r="D10702" s="4"/>
    </row>
    <row collapsed="" customFormat="false" customHeight="1" hidden="" ht="14" outlineLevel="0" r="10703">
      <c r="A10703" s="3" t="inlineStr">
        <is>
          <t>10662</t>
        </is>
      </c>
      <c r="B10703" s="4" t="s">
        <f>=HYPERLINK("http://anyluxury.ru/shop/odezhda/tolstovki/tolstovka-na-molnii-s-kapyushonom-unit-siverga-seriy-melanzh-689511/" , "6895.11 Толстовка на молнии с капюшоном Siverga, серый меланж, размер 5XL")</f>
      </c>
      <c r="C10703" s="4" t="n">
        <v>1768.00</v>
      </c>
      <c r="D10703" s="4"/>
    </row>
    <row collapsed="" customFormat="false" customHeight="1" hidden="" ht="14" outlineLevel="0" r="10704">
      <c r="A10704" s="3" t="inlineStr">
        <is>
          <t>10663</t>
        </is>
      </c>
      <c r="B10704" s="4" t="s">
        <f>=HYPERLINK("http://anyluxury.ru/shop/odezhda/tolstovki/tolstovka-na-molnii-s-kapyushonom-unit-siverga-krasnaya-689550/" , "6895.50 Толстовка на молнии с капюшоном Unit Siverga красная, размер S")</f>
      </c>
      <c r="C10704" s="4" t="n">
        <v>1768.00</v>
      </c>
      <c r="D10704" s="4"/>
    </row>
    <row collapsed="" customFormat="false" customHeight="1" hidden="" ht="14" outlineLevel="0" r="10705">
      <c r="A10705" s="3" t="inlineStr">
        <is>
          <t>10664</t>
        </is>
      </c>
      <c r="B10705" s="4" t="s">
        <f>=HYPERLINK("http://anyluxury.ru/shop/odezhda/tolstovki/tolstovka-na-molnii-s-kapyushonom-unit-siverga-krasnaya-689550/" , "6895.50 Толстовка на молнии с капюшоном Unit Siverga красная, размер M")</f>
      </c>
      <c r="C10705" s="4" t="n">
        <v>1768.00</v>
      </c>
      <c r="D10705" s="4"/>
    </row>
    <row collapsed="" customFormat="false" customHeight="1" hidden="" ht="14" outlineLevel="0" r="10706">
      <c r="A10706" s="3" t="inlineStr">
        <is>
          <t>10665</t>
        </is>
      </c>
      <c r="B10706" s="4" t="s">
        <f>=HYPERLINK("http://anyluxury.ru/shop/odezhda/tolstovki/tolstovka-na-molnii-s-kapyushonom-unit-siverga-krasnaya-689550/" , "6895.50 Толстовка на молнии с капюшоном Unit Siverga красная, размер L")</f>
      </c>
      <c r="C10706" s="4" t="n">
        <v>1768.00</v>
      </c>
      <c r="D10706" s="4"/>
    </row>
    <row collapsed="" customFormat="false" customHeight="1" hidden="" ht="14" outlineLevel="0" r="10707">
      <c r="A10707" s="3" t="inlineStr">
        <is>
          <t>10666</t>
        </is>
      </c>
      <c r="B10707" s="4" t="s">
        <f>=HYPERLINK("http://anyluxury.ru/shop/odezhda/tolstovki/tolstovka-na-molnii-s-kapyushonom-unit-siverga-krasnaya-689550/" , "6895.50 Толстовка на молнии с капюшоном Unit Siverga красная, размер XXL")</f>
      </c>
      <c r="C10707" s="4" t="n">
        <v>1768.00</v>
      </c>
      <c r="D10707" s="4"/>
    </row>
    <row collapsed="" customFormat="false" customHeight="1" hidden="" ht="14" outlineLevel="0" r="10708">
      <c r="A10708" s="3" t="inlineStr">
        <is>
          <t>10667</t>
        </is>
      </c>
      <c r="B10708" s="4" t="s">
        <f>=HYPERLINK("http://anyluxury.ru/shop/odezhda/tolstovki/tolstovka-na-molnii-s-kapyushonom-unit-siverga-krasnaya-689550/" , "6895.50 Толстовка на молнии с капюшоном Unit Siverga красная, размер 3XL")</f>
      </c>
      <c r="C10708" s="4" t="n">
        <v>1768.00</v>
      </c>
      <c r="D10708" s="4"/>
    </row>
    <row collapsed="" customFormat="false" customHeight="1" hidden="" ht="14" outlineLevel="0" r="10709">
      <c r="A10709" s="3" t="inlineStr">
        <is>
          <t>10668</t>
        </is>
      </c>
      <c r="B10709" s="4" t="s">
        <f>=HYPERLINK("http://anyluxury.ru/shop/odezhda/tolstovki/tolstovka-na-molnii-s-kapyushonom-unit-siverga-krasnaya-689550/" , "6895.50 Толстовка на молнии с капюшоном Unit Siverga красная, размер 4XL")</f>
      </c>
      <c r="C10709" s="4" t="n">
        <v>1768.00</v>
      </c>
      <c r="D10709" s="4"/>
    </row>
    <row collapsed="" customFormat="false" customHeight="1" hidden="" ht="14" outlineLevel="0" r="10710">
      <c r="A10710" s="3" t="inlineStr">
        <is>
          <t>10669</t>
        </is>
      </c>
      <c r="B10710" s="4" t="s">
        <f>=HYPERLINK("http://anyluxury.ru/shop/odezhda/tolstovki/tolstovka-na-molnii-s-kapyushonom-unit-siverga-chernaya-689530/" , "6895.30 Толстовка на молнии с капюшоном Unit Siverga черная, размер XS")</f>
      </c>
      <c r="C10710" s="4" t="n">
        <v>1768.00</v>
      </c>
      <c r="D10710" s="4"/>
    </row>
    <row collapsed="" customFormat="false" customHeight="1" hidden="" ht="14" outlineLevel="0" r="10711">
      <c r="A10711" s="3" t="inlineStr">
        <is>
          <t>10670</t>
        </is>
      </c>
      <c r="B10711" s="4" t="s">
        <f>=HYPERLINK("http://anyluxury.ru/shop/odezhda/tolstovki/tolstovka-na-molnii-s-kapyushonom-unit-siverga-chernaya-689530/" , "6895.30 Толстовка на молнии с капюшоном Unit Siverga черная, размер S")</f>
      </c>
      <c r="C10711" s="4" t="n">
        <v>1768.00</v>
      </c>
      <c r="D10711" s="4"/>
    </row>
    <row collapsed="" customFormat="false" customHeight="1" hidden="" ht="14" outlineLevel="0" r="10712">
      <c r="A10712" s="3" t="inlineStr">
        <is>
          <t>10671</t>
        </is>
      </c>
      <c r="B10712" s="4" t="s">
        <f>=HYPERLINK("http://anyluxury.ru/shop/odezhda/tolstovki/tolstovka-na-molnii-s-kapyushonom-unit-siverga-chernaya-689530/" , "6895.30 Толстовка на молнии с капюшоном Unit Siverga черная, размер M")</f>
      </c>
      <c r="C10712" s="4" t="n">
        <v>1768.00</v>
      </c>
      <c r="D10712" s="4"/>
    </row>
    <row collapsed="" customFormat="false" customHeight="1" hidden="" ht="14" outlineLevel="0" r="10713">
      <c r="A10713" s="3" t="inlineStr">
        <is>
          <t>10672</t>
        </is>
      </c>
      <c r="B10713" s="4" t="s">
        <f>=HYPERLINK("http://anyluxury.ru/shop/odezhda/tolstovki/tolstovka-na-molnii-s-kapyushonom-unit-siverga-chernaya-689530/" , "6895.30 Толстовка на молнии с капюшоном Unit Siverga черная, размер 4XL")</f>
      </c>
      <c r="C10713" s="4" t="n">
        <v>1768.00</v>
      </c>
      <c r="D10713" s="4"/>
    </row>
    <row collapsed="" customFormat="false" customHeight="1" hidden="" ht="14" outlineLevel="0" r="10714">
      <c r="A10714" s="3" t="inlineStr">
        <is>
          <t>10673</t>
        </is>
      </c>
      <c r="B10714" s="4" t="s">
        <f>=HYPERLINK("http://anyluxury.ru/shop/odezhda/tolstovki/tolstovka-na-molnii-s-kapyushonom-unit-siverga-chernaya-689530/" , "6895.30 Толстовка на молнии с капюшоном Siverga, черная, размер 5XL")</f>
      </c>
      <c r="C10714" s="4" t="n">
        <v>1768.00</v>
      </c>
      <c r="D10714" s="4"/>
    </row>
    <row collapsed="" customFormat="false" customHeight="1" hidden="" ht="14" outlineLevel="0" r="10715">
      <c r="A10715" s="3" t="inlineStr">
        <is>
          <t>10674</t>
        </is>
      </c>
      <c r="B10715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XS")</f>
      </c>
      <c r="C10715" s="4" t="n">
        <v>2250.00</v>
      </c>
      <c r="D10715" s="4"/>
    </row>
    <row collapsed="" customFormat="false" customHeight="1" hidden="" ht="14" outlineLevel="0" r="10716">
      <c r="A10716" s="3" t="inlineStr">
        <is>
          <t>10675</t>
        </is>
      </c>
      <c r="B10716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S")</f>
      </c>
      <c r="C10716" s="4" t="n">
        <v>2250.00</v>
      </c>
      <c r="D10716" s="4"/>
    </row>
    <row collapsed="" customFormat="false" customHeight="1" hidden="" ht="14" outlineLevel="0" r="10717">
      <c r="A10717" s="3" t="inlineStr">
        <is>
          <t>10676</t>
        </is>
      </c>
      <c r="B10717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XL")</f>
      </c>
      <c r="C10717" s="4" t="n">
        <v>2250.00</v>
      </c>
      <c r="D10717" s="4"/>
    </row>
    <row collapsed="" customFormat="false" customHeight="1" hidden="" ht="14" outlineLevel="0" r="10718">
      <c r="A10718" s="3" t="inlineStr">
        <is>
          <t>10677</t>
        </is>
      </c>
      <c r="B10718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4XL")</f>
      </c>
      <c r="C10718" s="4" t="n">
        <v>2250.00</v>
      </c>
      <c r="D10718" s="4"/>
    </row>
    <row collapsed="" customFormat="false" customHeight="1" hidden="" ht="14" outlineLevel="0" r="10719">
      <c r="A10719" s="3" t="inlineStr">
        <is>
          <t>10678</t>
        </is>
      </c>
      <c r="B10719" s="4" t="s">
        <f>=HYPERLINK("http://anyluxury.ru/shop/odezhda/tolstovki/tolstovka-na-molnii-s-kapyushonom-unit-siverga-heavy-temnosinyaya-692740/" , "6927.40 Толстовка на молнии с капюшоном Siverga Heavy, темно-синяя, размер 5XL")</f>
      </c>
      <c r="C10719" s="4" t="n">
        <v>2250.00</v>
      </c>
      <c r="D10719" s="4"/>
    </row>
    <row collapsed="" customFormat="false" customHeight="1" hidden="" ht="14" outlineLevel="0" r="10720">
      <c r="A10720" s="3" t="inlineStr">
        <is>
          <t>10679</t>
        </is>
      </c>
      <c r="B10720" s="4" t="s">
        <f>=HYPERLINK("http://anyluxury.ru/shop/odezhda/tolstovki/tolstovka-na-molnii-s-kapyushonom-unit-siverga-heavy-belaya-692760/" , "6927.60 Толстовка на молнии с капюшоном Unit Siverga Heavy белая, размер XS")</f>
      </c>
      <c r="C10720" s="4" t="n">
        <v>2250.00</v>
      </c>
      <c r="D10720" s="4"/>
    </row>
    <row collapsed="" customFormat="false" customHeight="1" hidden="" ht="14" outlineLevel="0" r="10721">
      <c r="A10721" s="3" t="inlineStr">
        <is>
          <t>10680</t>
        </is>
      </c>
      <c r="B10721" s="4" t="s">
        <f>=HYPERLINK("http://anyluxury.ru/shop/odezhda/tolstovki/tolstovka-na-molnii-s-kapyushonom-unit-siverga-heavy-belaya-692760/" , "6927.60 Толстовка на молнии с капюшоном Unit Siverga Heavy белая, размер S")</f>
      </c>
      <c r="C10721" s="4" t="n">
        <v>2250.00</v>
      </c>
      <c r="D10721" s="4"/>
    </row>
    <row collapsed="" customFormat="false" customHeight="1" hidden="" ht="14" outlineLevel="0" r="10722">
      <c r="A10722" s="3" t="inlineStr">
        <is>
          <t>10681</t>
        </is>
      </c>
      <c r="B10722" s="4" t="s">
        <f>=HYPERLINK("http://anyluxury.ru/shop/odezhda/tolstovki/tolstovka-na-molnii-s-kapyushonom-unit-siverga-heavy-belaya-692760/" , "6927.60 Толстовка на молнии с капюшоном Unit Siverga Heavy белая, размер M")</f>
      </c>
      <c r="C10722" s="4" t="n">
        <v>2250.00</v>
      </c>
      <c r="D10722" s="4"/>
    </row>
    <row collapsed="" customFormat="false" customHeight="1" hidden="" ht="14" outlineLevel="0" r="10723">
      <c r="A10723" s="3" t="inlineStr">
        <is>
          <t>10682</t>
        </is>
      </c>
      <c r="B10723" s="4" t="s">
        <f>=HYPERLINK("http://anyluxury.ru/shop/odezhda/tolstovki/tolstovka-na-molnii-s-kapyushonom-unit-siverga-heavy-belaya-692760/" , "6927.60 Толстовка на молнии с капюшоном Unit Siverga Heavy белая, размер L")</f>
      </c>
      <c r="C10723" s="4" t="n">
        <v>2250.00</v>
      </c>
      <c r="D10723" s="4"/>
    </row>
    <row collapsed="" customFormat="false" customHeight="1" hidden="" ht="14" outlineLevel="0" r="10724">
      <c r="A10724" s="3" t="inlineStr">
        <is>
          <t>10683</t>
        </is>
      </c>
      <c r="B10724" s="4" t="s">
        <f>=HYPERLINK("http://anyluxury.ru/shop/odezhda/tolstovki/tolstovka-na-molnii-s-kapyushonom-unit-siverga-heavy-belaya-692760/" , "6927.60 Толстовка на молнии с капюшоном Unit Siverga Heavy белая, размер XL")</f>
      </c>
      <c r="C10724" s="4" t="n">
        <v>2250.00</v>
      </c>
      <c r="D10724" s="4"/>
    </row>
    <row collapsed="" customFormat="false" customHeight="1" hidden="" ht="14" outlineLevel="0" r="10725">
      <c r="A10725" s="3" t="inlineStr">
        <is>
          <t>10684</t>
        </is>
      </c>
      <c r="B10725" s="4" t="s">
        <f>=HYPERLINK("http://anyluxury.ru/shop/odezhda/tolstovki/tolstovka-na-molnii-s-kapyushonom-unit-siverga-heavy-belaya-692760/" , "6927.60 Толстовка на молнии с капюшоном Unit Siverga Heavy белая, размер XXL")</f>
      </c>
      <c r="C10725" s="4" t="n">
        <v>2250.00</v>
      </c>
      <c r="D10725" s="4"/>
    </row>
    <row collapsed="" customFormat="false" customHeight="1" hidden="" ht="14" outlineLevel="0" r="10726">
      <c r="A10726" s="3" t="inlineStr">
        <is>
          <t>10685</t>
        </is>
      </c>
      <c r="B10726" s="4" t="s">
        <f>=HYPERLINK("http://anyluxury.ru/shop/odezhda/tolstovki/tolstovka-na-molnii-s-kapyushonom-unit-siverga-heavy-belaya-692760/" , "6927.60 Толстовка на молнии с капюшоном Unit Siverga Heavy белая, размер 3XL")</f>
      </c>
      <c r="C10726" s="4" t="n">
        <v>2250.00</v>
      </c>
      <c r="D10726" s="4"/>
    </row>
    <row collapsed="" customFormat="false" customHeight="1" hidden="" ht="14" outlineLevel="0" r="10727">
      <c r="A10727" s="3" t="inlineStr">
        <is>
          <t>10686</t>
        </is>
      </c>
      <c r="B10727" s="4" t="s">
        <f>=HYPERLINK("http://anyluxury.ru/shop/odezhda/tolstovki/tolstovka-na-molnii-s-kapyushonom-unit-siverga-heavy-belaya-692760/" , "6927.60 Толстовка на молнии с капюшоном Unit Siverga Heavy белая, размер 4XL")</f>
      </c>
      <c r="C10727" s="4" t="n">
        <v>2250.00</v>
      </c>
      <c r="D10727" s="4"/>
    </row>
    <row collapsed="" customFormat="false" customHeight="1" hidden="" ht="14" outlineLevel="0" r="10728">
      <c r="A10728" s="3" t="inlineStr">
        <is>
          <t>10687</t>
        </is>
      </c>
      <c r="B10728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XS")</f>
      </c>
      <c r="C10728" s="4" t="n">
        <v>2250.00</v>
      </c>
      <c r="D10728" s="4"/>
    </row>
    <row collapsed="" customFormat="false" customHeight="1" hidden="" ht="14" outlineLevel="0" r="10729">
      <c r="A10729" s="3" t="inlineStr">
        <is>
          <t>10688</t>
        </is>
      </c>
      <c r="B10729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S")</f>
      </c>
      <c r="C10729" s="4" t="n">
        <v>2250.00</v>
      </c>
      <c r="D10729" s="4"/>
    </row>
    <row collapsed="" customFormat="false" customHeight="1" hidden="" ht="14" outlineLevel="0" r="10730">
      <c r="A10730" s="3" t="inlineStr">
        <is>
          <t>10689</t>
        </is>
      </c>
      <c r="B10730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M")</f>
      </c>
      <c r="C10730" s="4" t="n">
        <v>2250.00</v>
      </c>
      <c r="D10730" s="4"/>
    </row>
    <row collapsed="" customFormat="false" customHeight="1" hidden="" ht="14" outlineLevel="0" r="10731">
      <c r="A10731" s="3" t="inlineStr">
        <is>
          <t>10690</t>
        </is>
      </c>
      <c r="B10731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L")</f>
      </c>
      <c r="C10731" s="4" t="n">
        <v>2250.00</v>
      </c>
      <c r="D10731" s="4"/>
    </row>
    <row collapsed="" customFormat="false" customHeight="1" hidden="" ht="14" outlineLevel="0" r="10732">
      <c r="A10732" s="3" t="inlineStr">
        <is>
          <t>10691</t>
        </is>
      </c>
      <c r="B10732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3XL")</f>
      </c>
      <c r="C10732" s="4" t="n">
        <v>2250.00</v>
      </c>
      <c r="D10732" s="4"/>
    </row>
    <row collapsed="" customFormat="false" customHeight="1" hidden="" ht="14" outlineLevel="0" r="10733">
      <c r="A10733" s="3" t="inlineStr">
        <is>
          <t>10692</t>
        </is>
      </c>
      <c r="B10733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4XL")</f>
      </c>
      <c r="C10733" s="4" t="n">
        <v>2250.00</v>
      </c>
      <c r="D10733" s="4"/>
    </row>
    <row collapsed="" customFormat="false" customHeight="1" hidden="" ht="14" outlineLevel="0" r="10734">
      <c r="A10734" s="3" t="inlineStr">
        <is>
          <t>10693</t>
        </is>
      </c>
      <c r="B10734" s="4" t="s">
        <f>=HYPERLINK("http://anyluxury.ru/shop/odezhda/tolstovki/tolstovka-na-molnii-s-kapyushonom-unit-siverga-heavy-krasnaya-692750/" , "6927.50 Толстовка на молнии с капюшоном Unit Siverga Heavy красная, размер XS")</f>
      </c>
      <c r="C10734" s="4" t="n">
        <v>2250.00</v>
      </c>
      <c r="D10734" s="4"/>
    </row>
    <row collapsed="" customFormat="false" customHeight="1" hidden="" ht="14" outlineLevel="0" r="10735">
      <c r="A10735" s="3" t="inlineStr">
        <is>
          <t>10694</t>
        </is>
      </c>
      <c r="B10735" s="4" t="s">
        <f>=HYPERLINK("http://anyluxury.ru/shop/odezhda/tolstovki/tolstovka-na-molnii-s-kapyushonom-unit-siverga-heavy-krasnaya-692750/" , "6927.50 Толстовка на молнии с капюшоном Unit Siverga Heavy красная, размер S")</f>
      </c>
      <c r="C10735" s="4" t="n">
        <v>2250.00</v>
      </c>
      <c r="D10735" s="4"/>
    </row>
    <row collapsed="" customFormat="false" customHeight="1" hidden="" ht="14" outlineLevel="0" r="10736">
      <c r="A10736" s="3" t="inlineStr">
        <is>
          <t>10695</t>
        </is>
      </c>
      <c r="B10736" s="4" t="s">
        <f>=HYPERLINK("http://anyluxury.ru/shop/odezhda/tolstovki/tolstovka-na-molnii-s-kapyushonom-unit-siverga-heavy-krasnaya-692750/" , "6927.50 Толстовка на молнии с капюшоном Unit Siverga Heavy красная, размер M")</f>
      </c>
      <c r="C10736" s="4" t="n">
        <v>2250.00</v>
      </c>
      <c r="D10736" s="4"/>
    </row>
    <row collapsed="" customFormat="false" customHeight="1" hidden="" ht="14" outlineLevel="0" r="10737">
      <c r="A10737" s="3" t="inlineStr">
        <is>
          <t>10696</t>
        </is>
      </c>
      <c r="B10737" s="4" t="s">
        <f>=HYPERLINK("http://anyluxury.ru/shop/odezhda/tolstovki/tolstovka-na-molnii-s-kapyushonom-unit-siverga-heavy-krasnaya-692750/" , "6927.50 Толстовка на молнии с капюшоном Unit Siverga Heavy красная, размер XL")</f>
      </c>
      <c r="C10737" s="4" t="n">
        <v>2250.00</v>
      </c>
      <c r="D10737" s="4"/>
    </row>
    <row collapsed="" customFormat="false" customHeight="1" hidden="" ht="14" outlineLevel="0" r="10738">
      <c r="A10738" s="3" t="inlineStr">
        <is>
          <t>10697</t>
        </is>
      </c>
      <c r="B10738" s="4" t="s">
        <f>=HYPERLINK("http://anyluxury.ru/shop/odezhda/tolstovki/tolstovka-na-molnii-s-kapyushonom-unit-siverga-heavy-krasnaya-692750/" , "6927.50 Толстовка на молнии с капюшоном Unit Siverga Heavy красная, размер 3XL")</f>
      </c>
      <c r="C10738" s="4" t="n">
        <v>2250.00</v>
      </c>
      <c r="D10738" s="4"/>
    </row>
    <row collapsed="" customFormat="false" customHeight="1" hidden="" ht="14" outlineLevel="0" r="10739">
      <c r="A10739" s="3" t="inlineStr">
        <is>
          <t>10698</t>
        </is>
      </c>
      <c r="B10739" s="4" t="s">
        <f>=HYPERLINK("http://anyluxury.ru/shop/odezhda/tolstovki/tolstovka-na-molnii-s-kapyushonom-unit-siverga-heavy-krasnaya-692750/" , "6927.50 Толстовка на молнии с капюшоном Unit Siverga Heavy красная, размер 4XL")</f>
      </c>
      <c r="C10739" s="4" t="n">
        <v>2250.00</v>
      </c>
      <c r="D10739" s="4"/>
    </row>
    <row collapsed="" customFormat="false" customHeight="1" hidden="" ht="14" outlineLevel="0" r="10740">
      <c r="A10740" s="3" t="inlineStr">
        <is>
          <t>10699</t>
        </is>
      </c>
      <c r="B10740" s="4" t="s">
        <f>=HYPERLINK("http://anyluxury.ru/shop/odezhda/tolstovki/tolstovka-na-molnii-s-kapyushonom-unit-siverga-heavy-chernaya-692730/" , "6927.30 Толстовка на молнии с капюшоном Unit Siverga Heavy черная, размер XS")</f>
      </c>
      <c r="C10740" s="4" t="n">
        <v>2250.00</v>
      </c>
      <c r="D10740" s="4"/>
    </row>
    <row collapsed="" customFormat="false" customHeight="1" hidden="" ht="14" outlineLevel="0" r="10741">
      <c r="A10741" s="3" t="inlineStr">
        <is>
          <t>10700</t>
        </is>
      </c>
      <c r="B10741" s="4" t="s">
        <f>=HYPERLINK("http://anyluxury.ru/shop/odezhda/tolstovki/tolstovka-na-molnii-s-kapyushonom-unit-siverga-heavy-chernaya-692730/" , "6927.30 Толстовка на молнии с капюшоном Unit Siverga Heavy черная, размер S")</f>
      </c>
      <c r="C10741" s="4" t="n">
        <v>2250.00</v>
      </c>
      <c r="D10741" s="4"/>
    </row>
    <row collapsed="" customFormat="false" customHeight="1" hidden="" ht="14" outlineLevel="0" r="10742">
      <c r="A10742" s="3" t="inlineStr">
        <is>
          <t>10701</t>
        </is>
      </c>
      <c r="B10742" s="4" t="s">
        <f>=HYPERLINK("http://anyluxury.ru/shop/odezhda/tolstovki/tolstovka-na-molnii-s-kapyushonom-unit-siverga-heavy-chernaya-692730/" , "6927.30 Толстовка на молнии с капюшоном Unit Siverga Heavy черная, размер XL")</f>
      </c>
      <c r="C10742" s="4" t="n">
        <v>2250.00</v>
      </c>
      <c r="D10742" s="4"/>
    </row>
    <row collapsed="" customFormat="false" customHeight="1" hidden="" ht="14" outlineLevel="0" r="10743">
      <c r="A10743" s="3" t="inlineStr">
        <is>
          <t>10702</t>
        </is>
      </c>
      <c r="B10743" s="4" t="s">
        <f>=HYPERLINK("http://anyluxury.ru/shop/odezhda/tolstovki/tolstovka-na-molnii-s-kapyushonom-unit-siverga-heavy-chernaya-692730/" , "6927.30 Толстовка на молнии с капюшоном Unit Siverga Heavy черная, размер 4XL")</f>
      </c>
      <c r="C10743" s="4" t="n">
        <v>2250.00</v>
      </c>
      <c r="D10743" s="4"/>
    </row>
    <row collapsed="" customFormat="false" customHeight="1" hidden="" ht="14" outlineLevel="0" r="10744">
      <c r="A10744" s="3" t="inlineStr">
        <is>
          <t>10703</t>
        </is>
      </c>
      <c r="B10744" s="4" t="s">
        <f>=HYPERLINK("http://anyluxury.ru/shop/odezhda/tolstovki/tolstovka-muzhskaya-hooded-full-zip-chernaya-wm647002/" , "WM647002 Толстовка мужская Hooded Full Zip черная, размер L")</f>
      </c>
      <c r="C10744" s="4" t="n">
        <v>2318.00</v>
      </c>
      <c r="D10744" s="4"/>
    </row>
    <row collapsed="" customFormat="false" customHeight="1" hidden="" ht="14" outlineLevel="0" r="10745">
      <c r="A10745" s="3" t="inlineStr">
        <is>
          <t>10704</t>
        </is>
      </c>
      <c r="B10745" s="4" t="s">
        <f>=HYPERLINK("http://anyluxury.ru/shop/odezhda/tolstovki/tolstovka-s-kapyushonom-na-molnii-unit-siverga-yarkosinyaya-689544/" , "6895.44 Толстовка с капюшоном на молнии Unit Siverga ярко-синяя, размер XS")</f>
      </c>
      <c r="C10745" s="4" t="n">
        <v>1768.00</v>
      </c>
      <c r="D10745" s="4"/>
    </row>
    <row collapsed="" customFormat="false" customHeight="1" hidden="" ht="14" outlineLevel="0" r="10746">
      <c r="A10746" s="3" t="inlineStr">
        <is>
          <t>10705</t>
        </is>
      </c>
      <c r="B10746" s="4" t="s">
        <f>=HYPERLINK("http://anyluxury.ru/shop/odezhda/tolstovki/tolstovka-s-kapyushonom-na-molnii-unit-siverga-yarkosinyaya-689544/" , "6895.44 Толстовка с капюшоном на молнии Unit Siverga ярко-синяя, размер S")</f>
      </c>
      <c r="C10746" s="4" t="n">
        <v>1768.00</v>
      </c>
      <c r="D10746" s="4"/>
    </row>
    <row collapsed="" customFormat="false" customHeight="1" hidden="" ht="14" outlineLevel="0" r="10747">
      <c r="A10747" s="3" t="inlineStr">
        <is>
          <t>10706</t>
        </is>
      </c>
      <c r="B10747" s="4" t="s">
        <f>=HYPERLINK("http://anyluxury.ru/shop/odezhda/tolstovki/tolstovka-s-kapyushonom-na-molnii-unit-siverga-yarkosinyaya-689544/" , "6895.44 Толстовка с капюшоном на молнии Unit Siverga ярко-синяя, размер XL")</f>
      </c>
      <c r="C10747" s="4" t="n">
        <v>1768.00</v>
      </c>
      <c r="D10747" s="4"/>
    </row>
    <row collapsed="" customFormat="false" customHeight="1" hidden="" ht="14" outlineLevel="0" r="10748">
      <c r="A10748" s="3" t="inlineStr">
        <is>
          <t>10707</t>
        </is>
      </c>
      <c r="B10748" s="4" t="s">
        <f>=HYPERLINK("http://anyluxury.ru/shop/odezhda/tolstovki/tolstovka-s-kapyushonom-na-molnii-unit-siverga-yarkosinyaya-689544/" , "6895.44 Толстовка с капюшоном на молнии Unit Siverga ярко-синяя, размер XXL")</f>
      </c>
      <c r="C10748" s="4" t="n">
        <v>1768.00</v>
      </c>
      <c r="D10748" s="4"/>
    </row>
    <row collapsed="" customFormat="false" customHeight="1" hidden="" ht="14" outlineLevel="0" r="10749">
      <c r="A10749" s="3" t="inlineStr">
        <is>
          <t>10708</t>
        </is>
      </c>
      <c r="B10749" s="4" t="s">
        <f>=HYPERLINK("http://anyluxury.ru/shop/odezhda/tolstovki/tolstovka-s-kapyushonom-na-molnii-unit-siverga-yarkosinyaya-689544/" , "6895.44 Толстовка с капюшоном на молнии Unit Siverga ярко-синяя, размер 3XL")</f>
      </c>
      <c r="C10749" s="4" t="n">
        <v>1768.00</v>
      </c>
      <c r="D10749" s="4"/>
    </row>
    <row collapsed="" customFormat="false" customHeight="1" hidden="" ht="14" outlineLevel="0" r="10750">
      <c r="A10750" s="3" t="inlineStr">
        <is>
          <t>10709</t>
        </is>
      </c>
      <c r="B10750" s="4" t="s">
        <f>=HYPERLINK("http://anyluxury.ru/shop/odezhda/tolstovki/tolstovka-s-kapyushonom-na-molnii-unit-siverga-yarkosinyaya-689544/" , "6895.44 Толстовка с капюшоном на молнии Unit Siverga ярко-синяя, размер 4XL")</f>
      </c>
      <c r="C10750" s="4" t="n">
        <v>1768.00</v>
      </c>
      <c r="D10750" s="4"/>
    </row>
    <row collapsed="" customFormat="false" customHeight="1" hidden="" ht="14" outlineLevel="0" r="10751">
      <c r="A10751" s="3" t="inlineStr">
        <is>
          <t>10710</t>
        </is>
      </c>
      <c r="B10751" s="4" t="s">
        <f>=HYPERLINK("http://anyluxury.ru/shop/odezhda/tolstovki/tolstovka-s-kapyushonom-na-molnii-unit-siverga-yarkosinyaya-689544/" , "6895.44 Толстовка на молнии с капюшоном Siverga, ярко-синяя, размер 5XL")</f>
      </c>
      <c r="C10751" s="4" t="n">
        <v>1768.00</v>
      </c>
      <c r="D10751" s="4"/>
    </row>
    <row collapsed="" customFormat="false" customHeight="1" hidden="" ht="14" outlineLevel="0" r="10752">
      <c r="A10752" s="3" t="inlineStr">
        <is>
          <t>10711</t>
        </is>
      </c>
      <c r="B10752" s="4" t="s">
        <f>=HYPERLINK("http://anyluxury.ru/shop/odezhda/tolstovki/tolstovka-s-kapyushonom-na-molnii-unit-siverga-fioletovaya-689578/" , "6895.78 Толстовка с капюшоном на молнии Unit Siverga фиолетовая, размер XS")</f>
      </c>
      <c r="C10752" s="4" t="n">
        <v>1768.00</v>
      </c>
      <c r="D10752" s="4"/>
    </row>
    <row collapsed="" customFormat="false" customHeight="1" hidden="" ht="14" outlineLevel="0" r="10753">
      <c r="A10753" s="3" t="inlineStr">
        <is>
          <t>10712</t>
        </is>
      </c>
      <c r="B10753" s="4" t="s">
        <f>=HYPERLINK("http://anyluxury.ru/shop/odezhda/tolstovki/tolstovka-s-kapyushonom-na-molnii-unit-siverga-fioletovaya-689578/" , "6895.78 Толстовка с капюшоном на молнии Unit Siverga фиолетовая, размер S")</f>
      </c>
      <c r="C10753" s="4" t="n">
        <v>1768.00</v>
      </c>
      <c r="D10753" s="4"/>
    </row>
    <row collapsed="" customFormat="false" customHeight="1" hidden="" ht="14" outlineLevel="0" r="10754">
      <c r="A10754" s="3" t="inlineStr">
        <is>
          <t>10713</t>
        </is>
      </c>
      <c r="B10754" s="4" t="s">
        <f>=HYPERLINK("http://anyluxury.ru/shop/odezhda/tolstovki/tolstovka-s-kapyushonom-na-molnii-unit-siverga-fioletovaya-689578/" , "6895.78 Толстовка с капюшоном на молнии Unit Siverga фиолетовая, размер M")</f>
      </c>
      <c r="C10754" s="4" t="n">
        <v>1768.00</v>
      </c>
      <c r="D10754" s="4"/>
    </row>
    <row collapsed="" customFormat="false" customHeight="1" hidden="" ht="14" outlineLevel="0" r="10755">
      <c r="A10755" s="3" t="inlineStr">
        <is>
          <t>10714</t>
        </is>
      </c>
      <c r="B10755" s="4" t="s">
        <f>=HYPERLINK("http://anyluxury.ru/shop/odezhda/tolstovki/tolstovka-s-kapyushonom-na-molnii-unit-siverga-fioletovaya-689578/" , "6895.78 Толстовка с капюшоном на молнии Unit Siverga фиолетовая, размер XL")</f>
      </c>
      <c r="C10755" s="4" t="n">
        <v>1768.00</v>
      </c>
      <c r="D10755" s="4"/>
    </row>
    <row collapsed="" customFormat="false" customHeight="1" hidden="" ht="14" outlineLevel="0" r="10756">
      <c r="A10756" s="3" t="inlineStr">
        <is>
          <t>10715</t>
        </is>
      </c>
      <c r="B10756" s="4" t="s">
        <f>=HYPERLINK("http://anyluxury.ru/shop/odezhda/tolstovki/tolstovka-s-kapyushonom-na-molnii-unit-siverga-fioletovaya-689578/" , "6895.78 Толстовка с капюшоном на молнии Unit Siverga фиолетовая, размер XXL")</f>
      </c>
      <c r="C10756" s="4" t="n">
        <v>1768.00</v>
      </c>
      <c r="D10756" s="4"/>
    </row>
    <row collapsed="" customFormat="false" customHeight="1" hidden="" ht="14" outlineLevel="0" r="10757">
      <c r="A10757" s="3" t="inlineStr">
        <is>
          <t>10716</t>
        </is>
      </c>
      <c r="B10757" s="4" t="s">
        <f>=HYPERLINK("http://anyluxury.ru/shop/odezhda/tolstovki/tolstovka-s-kapyushonom-na-molnii-unit-siverga-fioletovaya-689578/" , "6895.78 Толстовка с капюшоном на молнии Unit Siverga фиолетовая, размер 3XL")</f>
      </c>
      <c r="C10757" s="4" t="n">
        <v>1768.00</v>
      </c>
      <c r="D10757" s="4"/>
    </row>
    <row collapsed="" customFormat="false" customHeight="1" hidden="" ht="14" outlineLevel="0" r="10758">
      <c r="A10758" s="3" t="inlineStr">
        <is>
          <t>10717</t>
        </is>
      </c>
      <c r="B10758" s="4" t="s">
        <f>=HYPERLINK("http://anyluxury.ru/shop/odezhda/tolstovki/tolstovka-s-kapyushonom-na-molnii-unit-siverga-heavy-biryuzovaya-692714/" , "6927.14 Толстовка с капюшоном на молнии Unit Siverga Heavy бирюзовая, размер XS")</f>
      </c>
      <c r="C10758" s="4" t="n">
        <v>2250.00</v>
      </c>
      <c r="D10758" s="4"/>
    </row>
    <row collapsed="" customFormat="false" customHeight="1" hidden="" ht="14" outlineLevel="0" r="10759">
      <c r="A10759" s="3" t="inlineStr">
        <is>
          <t>10718</t>
        </is>
      </c>
      <c r="B10759" s="4" t="s">
        <f>=HYPERLINK("http://anyluxury.ru/shop/odezhda/tolstovki/tolstovka-s-kapyushonom-na-molnii-unit-siverga-heavy-biryuzovaya-692714/" , "6927.14 Толстовка с капюшоном на молнии Unit Siverga Heavy бирюзовая, размер XL")</f>
      </c>
      <c r="C10759" s="4" t="n">
        <v>2250.00</v>
      </c>
      <c r="D10759" s="4"/>
    </row>
    <row collapsed="" customFormat="false" customHeight="1" hidden="" ht="14" outlineLevel="0" r="10760">
      <c r="A10760" s="3" t="inlineStr">
        <is>
          <t>10719</t>
        </is>
      </c>
      <c r="B10760" s="4" t="s">
        <f>=HYPERLINK("http://anyluxury.ru/shop/odezhda/tolstovki/tolstovka-s-kapyushonom-na-molnii-unit-siverga-heavy-biryuzovaya-692714/" , "6927.14 Толстовка с капюшоном на молнии Unit Siverga Heavy бирюзовая, размер 3XL")</f>
      </c>
      <c r="C10760" s="4" t="n">
        <v>2250.00</v>
      </c>
      <c r="D10760" s="4"/>
    </row>
    <row collapsed="" customFormat="false" customHeight="1" hidden="" ht="14" outlineLevel="0" r="10761">
      <c r="A10761" s="3" t="inlineStr">
        <is>
          <t>10720</t>
        </is>
      </c>
      <c r="B10761" s="4" t="s">
        <f>=HYPERLINK("http://anyluxury.ru/shop/odezhda/tolstovki/tolstovka-s-kapyushonom-na-molnii-unit-siverga-heavy-biryuzovaya-692714/" , "6927.14 Толстовка с капюшоном на молнии Unit Siverga Heavy бирюзовая, размер 4XL")</f>
      </c>
      <c r="C10761" s="4" t="n">
        <v>2250.00</v>
      </c>
      <c r="D10761" s="4"/>
    </row>
    <row collapsed="" customFormat="false" customHeight="1" hidden="" ht="14" outlineLevel="0" r="10762">
      <c r="A10762" s="3" t="inlineStr">
        <is>
          <t>10721</t>
        </is>
      </c>
      <c r="B10762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XS")</f>
      </c>
      <c r="C10762" s="4" t="n">
        <v>2250.00</v>
      </c>
      <c r="D10762" s="4"/>
    </row>
    <row collapsed="" customFormat="false" customHeight="1" hidden="" ht="14" outlineLevel="0" r="10763">
      <c r="A10763" s="3" t="inlineStr">
        <is>
          <t>10722</t>
        </is>
      </c>
      <c r="B10763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S")</f>
      </c>
      <c r="C10763" s="4" t="n">
        <v>2250.00</v>
      </c>
      <c r="D10763" s="4"/>
    </row>
    <row collapsed="" customFormat="false" customHeight="1" hidden="" ht="14" outlineLevel="0" r="10764">
      <c r="A10764" s="3" t="inlineStr">
        <is>
          <t>10723</t>
        </is>
      </c>
      <c r="B10764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M")</f>
      </c>
      <c r="C10764" s="4" t="n">
        <v>2250.00</v>
      </c>
      <c r="D10764" s="4"/>
    </row>
    <row collapsed="" customFormat="false" customHeight="1" hidden="" ht="14" outlineLevel="0" r="10765">
      <c r="A10765" s="3" t="inlineStr">
        <is>
          <t>10724</t>
        </is>
      </c>
      <c r="B10765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L")</f>
      </c>
      <c r="C10765" s="4" t="n">
        <v>2250.00</v>
      </c>
      <c r="D10765" s="4"/>
    </row>
    <row collapsed="" customFormat="false" customHeight="1" hidden="" ht="14" outlineLevel="0" r="10766">
      <c r="A10766" s="3" t="inlineStr">
        <is>
          <t>10725</t>
        </is>
      </c>
      <c r="B10766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XL")</f>
      </c>
      <c r="C10766" s="4" t="n">
        <v>2250.00</v>
      </c>
      <c r="D10766" s="4"/>
    </row>
    <row collapsed="" customFormat="false" customHeight="1" hidden="" ht="14" outlineLevel="0" r="10767">
      <c r="A10767" s="3" t="inlineStr">
        <is>
          <t>10726</t>
        </is>
      </c>
      <c r="B10767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3XL")</f>
      </c>
      <c r="C10767" s="4" t="n">
        <v>2250.00</v>
      </c>
      <c r="D10767" s="4"/>
    </row>
    <row collapsed="" customFormat="false" customHeight="1" hidden="" ht="14" outlineLevel="0" r="10768">
      <c r="A10768" s="3" t="inlineStr">
        <is>
          <t>10727</t>
        </is>
      </c>
      <c r="B10768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4XL")</f>
      </c>
      <c r="C10768" s="4" t="n">
        <v>2250.00</v>
      </c>
      <c r="D10768" s="4"/>
    </row>
    <row collapsed="" customFormat="false" customHeight="1" hidden="" ht="14" outlineLevel="0" r="10769">
      <c r="A10769" s="3" t="inlineStr">
        <is>
          <t>10728</t>
        </is>
      </c>
      <c r="B10769" s="4" t="s">
        <f>=HYPERLINK("http://anyluxury.ru/shop/odezhda/tolstovki/tolstovka-uniseks-stone-belaya-01714102/" , "01714102 Толстовка унисекс STONE, белая, размер XS")</f>
      </c>
      <c r="C10769" s="4" t="n">
        <v>2943.00</v>
      </c>
      <c r="D10769" s="4"/>
    </row>
    <row collapsed="" customFormat="false" customHeight="1" hidden="" ht="14" outlineLevel="0" r="10770">
      <c r="A10770" s="3" t="inlineStr">
        <is>
          <t>10729</t>
        </is>
      </c>
      <c r="B10770" s="4" t="s">
        <f>=HYPERLINK("http://anyluxury.ru/shop/odezhda/tolstovki/tolstovka-uniseks-stone-belaya-01714102/" , "01714102 Толстовка унисекс STONE, белая, размер S")</f>
      </c>
      <c r="C10770" s="4" t="n">
        <v>2943.00</v>
      </c>
      <c r="D10770" s="4"/>
    </row>
    <row collapsed="" customFormat="false" customHeight="1" hidden="" ht="14" outlineLevel="0" r="10771">
      <c r="A10771" s="3" t="inlineStr">
        <is>
          <t>10730</t>
        </is>
      </c>
      <c r="B10771" s="4" t="s">
        <f>=HYPERLINK("http://anyluxury.ru/shop/odezhda/tolstovki/tolstovka-uniseks-stone-belaya-01714102/" , "01714102 Толстовка унисекс STONE, белая, размер M")</f>
      </c>
      <c r="C10771" s="4" t="n">
        <v>2943.00</v>
      </c>
      <c r="D10771" s="4"/>
    </row>
    <row collapsed="" customFormat="false" customHeight="1" hidden="" ht="14" outlineLevel="0" r="10772">
      <c r="A10772" s="3" t="inlineStr">
        <is>
          <t>10731</t>
        </is>
      </c>
      <c r="B10772" s="4" t="s">
        <f>=HYPERLINK("http://anyluxury.ru/shop/odezhda/tolstovki/tolstovka-uniseks-stone-belaya-01714102/" , "01714102 Толстовка унисекс STONE, белая, размер L")</f>
      </c>
      <c r="C10772" s="4" t="n">
        <v>2943.00</v>
      </c>
      <c r="D10772" s="4"/>
    </row>
    <row collapsed="" customFormat="false" customHeight="1" hidden="" ht="14" outlineLevel="0" r="10773">
      <c r="A10773" s="3" t="inlineStr">
        <is>
          <t>10732</t>
        </is>
      </c>
      <c r="B10773" s="4" t="s">
        <f>=HYPERLINK("http://anyluxury.ru/shop/odezhda/tolstovki/tolstovka-uniseks-stone-belaya-01714102/" , "01714102 Толстовка унисекс STONE, белая, размер XL")</f>
      </c>
      <c r="C10773" s="4" t="n">
        <v>2943.00</v>
      </c>
      <c r="D10773" s="4"/>
    </row>
    <row collapsed="" customFormat="false" customHeight="1" hidden="" ht="14" outlineLevel="0" r="10774">
      <c r="A10774" s="3" t="inlineStr">
        <is>
          <t>10733</t>
        </is>
      </c>
      <c r="B10774" s="4" t="s">
        <f>=HYPERLINK("http://anyluxury.ru/shop/odezhda/tolstovki/tolstovka-uniseks-stone-belaya-01714102/" , "01714102 Толстовка унисекс STONE, белая, размер XXL")</f>
      </c>
      <c r="C10774" s="4" t="n">
        <v>2943.00</v>
      </c>
      <c r="D10774" s="4"/>
    </row>
    <row collapsed="" customFormat="false" customHeight="1" hidden="" ht="14" outlineLevel="0" r="10775">
      <c r="A10775" s="3" t="inlineStr">
        <is>
          <t>10734</t>
        </is>
      </c>
      <c r="B10775" s="4" t="s">
        <f>=HYPERLINK("http://anyluxury.ru/shop/odezhda/tolstovki/tolstovka-uniseks-stone-belaya-01714102/" , "01714102 Толстовка унисекс STONE, белая, размер 3XL")</f>
      </c>
      <c r="C10775" s="4" t="n">
        <v>3372.00</v>
      </c>
      <c r="D10775" s="4"/>
    </row>
    <row collapsed="" customFormat="false" customHeight="1" hidden="" ht="14" outlineLevel="0" r="10776">
      <c r="A10776" s="3" t="inlineStr">
        <is>
          <t>10735</t>
        </is>
      </c>
      <c r="B10776" s="4" t="s">
        <f>=HYPERLINK("http://anyluxury.ru/shop/odezhda/tolstovki/tolstovka-uniseks-stone-yarkozelenaya-01714272/" , "01714272 Толстовка унисекс STONE, ярко-зеленая, размер XS")</f>
      </c>
      <c r="C10776" s="4" t="n">
        <v>2943.00</v>
      </c>
      <c r="D10776" s="4"/>
    </row>
    <row collapsed="" customFormat="false" customHeight="1" hidden="" ht="14" outlineLevel="0" r="10777">
      <c r="A10777" s="3" t="inlineStr">
        <is>
          <t>10736</t>
        </is>
      </c>
      <c r="B10777" s="4" t="s">
        <f>=HYPERLINK("http://anyluxury.ru/shop/odezhda/tolstovki/tolstovka-uniseks-stone-yarkozelenaya-01714272/" , "01714272 Толстовка унисекс STONE, ярко-зеленая, размер M")</f>
      </c>
      <c r="C10777" s="4" t="n">
        <v>2943.00</v>
      </c>
      <c r="D10777" s="4"/>
    </row>
    <row collapsed="" customFormat="false" customHeight="1" hidden="" ht="14" outlineLevel="0" r="10778">
      <c r="A10778" s="3" t="inlineStr">
        <is>
          <t>10737</t>
        </is>
      </c>
      <c r="B10778" s="4" t="s">
        <f>=HYPERLINK("http://anyluxury.ru/shop/odezhda/tolstovki/tolstovka-uniseks-stone-yarkozelenaya-01714272/" , "01714272 Толстовка унисекс STONE, ярко-зеленая, размер L")</f>
      </c>
      <c r="C10778" s="4" t="n">
        <v>2943.00</v>
      </c>
      <c r="D10778" s="4"/>
    </row>
    <row collapsed="" customFormat="false" customHeight="1" hidden="" ht="14" outlineLevel="0" r="10779">
      <c r="A10779" s="3" t="inlineStr">
        <is>
          <t>10738</t>
        </is>
      </c>
      <c r="B10779" s="4" t="s">
        <f>=HYPERLINK("http://anyluxury.ru/shop/odezhda/tolstovki/tolstovka-uniseks-stone-yarkozelenaya-01714272/" , "01714272 Толстовка унисекс STONE, ярко-зеленая, размер XXL")</f>
      </c>
      <c r="C10779" s="4" t="n">
        <v>2943.00</v>
      </c>
      <c r="D10779" s="4"/>
    </row>
    <row collapsed="" customFormat="false" customHeight="1" hidden="" ht="14" outlineLevel="0" r="10780">
      <c r="A10780" s="3" t="inlineStr">
        <is>
          <t>10739</t>
        </is>
      </c>
      <c r="B10780" s="4" t="s">
        <f>=HYPERLINK("http://anyluxury.ru/shop/odezhda/tolstovki/tolstovka-uniseks-stone-yarkozelenaya-01714272/" , "01714272 Толстовка унисекс STONE, ярко-зеленая, размер 3XL")</f>
      </c>
      <c r="C10780" s="4" t="n">
        <v>3372.00</v>
      </c>
      <c r="D10780" s="4"/>
    </row>
    <row collapsed="" customFormat="false" customHeight="1" hidden="" ht="14" outlineLevel="0" r="10781">
      <c r="A10781" s="3" t="inlineStr">
        <is>
          <t>10740</t>
        </is>
      </c>
      <c r="B10781" s="4" t="s">
        <f>=HYPERLINK("http://anyluxury.ru/shop/odezhda/tolstovki/tolstovka-na-molnii-s-kapyushonom-unit-siverga-zelenoe-yabloko-689594/" , "6895.94 Толстовка на молнии с капюшоном Unit Siverga зеленое яблоко, размер XS")</f>
      </c>
      <c r="C10781" s="4" t="n">
        <v>1768.00</v>
      </c>
      <c r="D10781" s="4"/>
    </row>
    <row collapsed="" customFormat="false" customHeight="1" hidden="" ht="14" outlineLevel="0" r="10782">
      <c r="A10782" s="3" t="inlineStr">
        <is>
          <t>10741</t>
        </is>
      </c>
      <c r="B10782" s="4" t="s">
        <f>=HYPERLINK("http://anyluxury.ru/shop/odezhda/tolstovki/tolstovka-na-molnii-s-kapyushonom-unit-siverga-zelenoe-yabloko-689594/" , "6895.94 Толстовка на молнии с капюшоном Unit Siverga зеленое яблоко, размер S")</f>
      </c>
      <c r="C10782" s="4" t="n">
        <v>1768.00</v>
      </c>
      <c r="D10782" s="4"/>
    </row>
    <row collapsed="" customFormat="false" customHeight="1" hidden="" ht="14" outlineLevel="0" r="10783">
      <c r="A10783" s="3" t="inlineStr">
        <is>
          <t>10742</t>
        </is>
      </c>
      <c r="B10783" s="4" t="s">
        <f>=HYPERLINK("http://anyluxury.ru/shop/odezhda/tolstovki/tolstovka-na-molnii-s-kapyushonom-unit-siverga-zelenoe-yabloko-689594/" , "6895.94 Толстовка на молнии с капюшоном Unit Siverga зеленое яблоко, размер M")</f>
      </c>
      <c r="C10783" s="4" t="n">
        <v>1768.00</v>
      </c>
      <c r="D10783" s="4"/>
    </row>
    <row collapsed="" customFormat="false" customHeight="1" hidden="" ht="14" outlineLevel="0" r="10784">
      <c r="A10784" s="3" t="inlineStr">
        <is>
          <t>10743</t>
        </is>
      </c>
      <c r="B10784" s="4" t="s">
        <f>=HYPERLINK("http://anyluxury.ru/shop/odezhda/tolstovki/tolstovka-na-molnii-s-kapyushonom-unit-siverga-zelenoe-yabloko-689594/" , "6895.94 Толстовка на молнии с капюшоном Unit Siverga зеленое яблоко, размер XL")</f>
      </c>
      <c r="C10784" s="4" t="n">
        <v>1768.00</v>
      </c>
      <c r="D10784" s="4"/>
    </row>
    <row collapsed="" customFormat="false" customHeight="1" hidden="" ht="14" outlineLevel="0" r="10785">
      <c r="A10785" s="3" t="inlineStr">
        <is>
          <t>10744</t>
        </is>
      </c>
      <c r="B10785" s="4" t="s">
        <f>=HYPERLINK("http://anyluxury.ru/shop/odezhda/tolstovki/tolstovka-na-molnii-s-kapyushonom-unit-siverga-zelenoe-yabloko-689594/" , "6895.94 Толстовка на молнии с капюшоном Unit Siverga зеленое яблоко, размер XXL")</f>
      </c>
      <c r="C10785" s="4" t="n">
        <v>1768.00</v>
      </c>
      <c r="D10785" s="4"/>
    </row>
    <row collapsed="" customFormat="false" customHeight="1" hidden="" ht="14" outlineLevel="0" r="10786">
      <c r="A10786" s="3" t="inlineStr">
        <is>
          <t>10745</t>
        </is>
      </c>
      <c r="B10786" s="4" t="s">
        <f>=HYPERLINK("http://anyluxury.ru/shop/odezhda/tolstovki/tolstovka-na-molnii-s-kapyushonom-unit-siverga-zelenoe-yabloko-689594/" , "6895.94 Толстовка на молнии с капюшоном Unit Siverga зеленое яблоко, размер 3XL")</f>
      </c>
      <c r="C10786" s="4" t="n">
        <v>1768.00</v>
      </c>
      <c r="D10786" s="4"/>
    </row>
    <row collapsed="" customFormat="false" customHeight="1" hidden="" ht="14" outlineLevel="0" r="10787">
      <c r="A10787" s="3" t="inlineStr">
        <is>
          <t>10746</t>
        </is>
      </c>
      <c r="B10787" s="4" t="s">
        <f>=HYPERLINK("http://anyluxury.ru/shop/odezhda/tolstovki/tolstovka-na-molnii-s-kapyushonom-unit-siverga-zelenoe-yabloko-689594/" , "6895.94 Толстовка на молнии с капюшоном Unit Siverga зеленое яблоко, размер 4XL")</f>
      </c>
      <c r="C10787" s="4" t="n">
        <v>1768.00</v>
      </c>
      <c r="D10787" s="4"/>
    </row>
    <row collapsed="" customFormat="false" customHeight="1" hidden="" ht="14" outlineLevel="0" r="10788">
      <c r="A10788" s="3" t="inlineStr">
        <is>
          <t>10747</t>
        </is>
      </c>
      <c r="B10788" s="4" t="s">
        <f>=HYPERLINK("http://anyluxury.ru/shop/odezhda/tolstovki/tolstovka-na-molnii-s-kapyushonom-unit-siverga-zheltaya-689580/" , "6895.80 Толстовка на молнии с капюшоном Unit Siverga желтая, размер XS")</f>
      </c>
      <c r="C10788" s="4" t="n">
        <v>1768.00</v>
      </c>
      <c r="D10788" s="4"/>
    </row>
    <row collapsed="" customFormat="false" customHeight="1" hidden="" ht="14" outlineLevel="0" r="10789">
      <c r="A10789" s="3" t="inlineStr">
        <is>
          <t>10748</t>
        </is>
      </c>
      <c r="B10789" s="4" t="s">
        <f>=HYPERLINK("http://anyluxury.ru/shop/odezhda/tolstovki/tolstovka-na-molnii-s-kapyushonom-unit-siverga-zheltaya-689580/" , "6895.80 Толстовка на молнии с капюшоном Unit Siverga желтая, размер S")</f>
      </c>
      <c r="C10789" s="4" t="n">
        <v>1768.00</v>
      </c>
      <c r="D10789" s="4"/>
    </row>
    <row collapsed="" customFormat="false" customHeight="1" hidden="" ht="14" outlineLevel="0" r="10790">
      <c r="A10790" s="3" t="inlineStr">
        <is>
          <t>10749</t>
        </is>
      </c>
      <c r="B10790" s="4" t="s">
        <f>=HYPERLINK("http://anyluxury.ru/shop/odezhda/tolstovki/tolstovka-na-molnii-s-kapyushonom-unit-siverga-zheltaya-689580/" , "6895.80 Толстовка на молнии с капюшоном Unit Siverga желтая, размер XL")</f>
      </c>
      <c r="C10790" s="4" t="n">
        <v>1768.00</v>
      </c>
      <c r="D10790" s="4"/>
    </row>
    <row collapsed="" customFormat="false" customHeight="1" hidden="" ht="14" outlineLevel="0" r="10791">
      <c r="A10791" s="3" t="inlineStr">
        <is>
          <t>10750</t>
        </is>
      </c>
      <c r="B10791" s="4" t="s">
        <f>=HYPERLINK("http://anyluxury.ru/shop/odezhda/tolstovki/tolstovka-na-molnii-s-kapyushonom-unit-siverga-zheltaya-689580/" , "6895.80 Толстовка на молнии с капюшоном Unit Siverga желтая, размер XXL")</f>
      </c>
      <c r="C10791" s="4" t="n">
        <v>1768.00</v>
      </c>
      <c r="D10791" s="4"/>
    </row>
    <row collapsed="" customFormat="false" customHeight="1" hidden="" ht="14" outlineLevel="0" r="10792">
      <c r="A10792" s="3" t="inlineStr">
        <is>
          <t>10751</t>
        </is>
      </c>
      <c r="B10792" s="4" t="s">
        <f>=HYPERLINK("http://anyluxury.ru/shop/odezhda/tolstovki/tolstovka-na-molnii-s-kapyushonom-unit-siverga-zheltaya-689580/" , "6895.80 Толстовка на молнии с капюшоном Unit Siverga желтая, размер 3XL")</f>
      </c>
      <c r="C10792" s="4" t="n">
        <v>1768.00</v>
      </c>
      <c r="D10792" s="4"/>
    </row>
    <row collapsed="" customFormat="false" customHeight="1" hidden="" ht="14" outlineLevel="0" r="10793">
      <c r="A10793" s="3" t="inlineStr">
        <is>
          <t>10752</t>
        </is>
      </c>
      <c r="B10793" s="4" t="s">
        <f>=HYPERLINK("http://anyluxury.ru/shop/odezhda/tolstovki/tolstovka-na-molnii-s-kapyushonom-unit-siverga-zheltaya-689580/" , "6895.80 Толстовка на молнии с капюшоном Unit Siverga желтая, размер 4XL")</f>
      </c>
      <c r="C10793" s="4" t="n">
        <v>1768.00</v>
      </c>
      <c r="D10793" s="4"/>
    </row>
    <row collapsed="" customFormat="false" customHeight="1" hidden="" ht="14" outlineLevel="0" r="10794">
      <c r="A10794" s="3" t="inlineStr">
        <is>
          <t>10753</t>
        </is>
      </c>
      <c r="B10794" s="4" t="s">
        <f>=HYPERLINK("http://anyluxury.ru/shop/odezhda/tolstovki/bomber-college-cherniy-1157730/" , "11577.30 Бомбер College черный, размер XS")</f>
      </c>
      <c r="C10794" s="4" t="n">
        <v>3955.00</v>
      </c>
      <c r="D10794" s="4"/>
    </row>
    <row collapsed="" customFormat="false" customHeight="1" hidden="" ht="14" outlineLevel="0" r="10795">
      <c r="A10795" s="3" t="inlineStr">
        <is>
          <t>10754</t>
        </is>
      </c>
      <c r="B10795" s="4" t="s">
        <f>=HYPERLINK("http://anyluxury.ru/shop/odezhda/tolstovki/bomber-college-cherniy-1157730/" , "11577.30 Бомбер College черный, размер XS")</f>
      </c>
      <c r="C10795" s="4" t="n">
        <v>3955.00</v>
      </c>
      <c r="D10795" s="4"/>
    </row>
    <row collapsed="" customFormat="false" customHeight="1" hidden="" ht="14" outlineLevel="0" r="10796">
      <c r="A10796" s="3" t="inlineStr">
        <is>
          <t>10755</t>
        </is>
      </c>
      <c r="B10796" s="4" t="s">
        <f>=HYPERLINK("http://anyluxury.ru/shop/odezhda/tolstovki/bomber-college-cherniy-1157730/" , "11577.30 Бомбер College черный, размер XL")</f>
      </c>
      <c r="C10796" s="4" t="n">
        <v>3955.00</v>
      </c>
      <c r="D10796" s="4"/>
    </row>
    <row collapsed="" customFormat="false" customHeight="1" hidden="" ht="14" outlineLevel="0" r="10797">
      <c r="A10797" s="3" t="inlineStr">
        <is>
          <t>10756</t>
        </is>
      </c>
      <c r="B10797" s="4" t="s">
        <f>=HYPERLINK("http://anyluxury.ru/shop/odezhda/tolstovki/bomber-college-bordoviy-1157755/" , "11577.55 Бомбер College бордовый, размер M")</f>
      </c>
      <c r="C10797" s="4" t="n">
        <v>3955.00</v>
      </c>
      <c r="D10797" s="4"/>
    </row>
    <row collapsed="" customFormat="false" customHeight="1" hidden="" ht="14" outlineLevel="0" r="10798">
      <c r="A10798" s="3" t="inlineStr">
        <is>
          <t>10757</t>
        </is>
      </c>
      <c r="B10798" s="4" t="s">
        <f>=HYPERLINK("http://anyluxury.ru/shop/odezhda/tolstovki/bomber-college-bordoviy-1157755/" , "11577.55 Бомбер College бордовый, размер L")</f>
      </c>
      <c r="C10798" s="4" t="n">
        <v>3955.00</v>
      </c>
      <c r="D10798" s="4"/>
    </row>
    <row collapsed="" customFormat="false" customHeight="1" hidden="" ht="14" outlineLevel="0" r="10799">
      <c r="A10799" s="3" t="inlineStr">
        <is>
          <t>10758</t>
        </is>
      </c>
      <c r="B10799" s="4" t="s">
        <f>=HYPERLINK("http://anyluxury.ru/shop/odezhda/tolstovki/bomber-college-bordoviy-1157755/" , "11577.55 Бомбер College, бордовый, размер XS")</f>
      </c>
      <c r="C10799" s="4" t="n">
        <v>3955.00</v>
      </c>
      <c r="D10799" s="4"/>
    </row>
    <row collapsed="" customFormat="false" customHeight="1" hidden="" ht="14" outlineLevel="0" r="10800">
      <c r="A10800" s="3" t="inlineStr">
        <is>
          <t>10759</t>
        </is>
      </c>
      <c r="B10800" s="4" t="s">
        <f>=HYPERLINK("http://anyluxury.ru/shop/odezhda/tolstovki/bomber-college-bordoviy-1157755/" , "11577.55 Бомбер College, бордовый, размер S")</f>
      </c>
      <c r="C10800" s="4" t="n">
        <v>3955.00</v>
      </c>
      <c r="D10800" s="4"/>
    </row>
    <row collapsed="" customFormat="false" customHeight="1" hidden="" ht="14" outlineLevel="0" r="10801">
      <c r="A10801" s="3" t="inlineStr">
        <is>
          <t>10760</t>
        </is>
      </c>
      <c r="B10801" s="4" t="s">
        <f>=HYPERLINK("http://anyluxury.ru/shop/odezhda/tolstovki/bomber-college-bordoviy-1157755/" , "11577.55 Бомбер College, бордовый, размер M")</f>
      </c>
      <c r="C10801" s="4" t="n">
        <v>3955.00</v>
      </c>
      <c r="D10801" s="4"/>
    </row>
    <row collapsed="" customFormat="false" customHeight="1" hidden="" ht="14" outlineLevel="0" r="10802">
      <c r="A10802" s="3" t="inlineStr">
        <is>
          <t>10761</t>
        </is>
      </c>
      <c r="B10802" s="4" t="s">
        <f>=HYPERLINK("http://anyluxury.ru/shop/odezhda/tolstovki/bomber-college-bordoviy-1157755/" , "11577.55 Бомбер College, бордовый, размер L")</f>
      </c>
      <c r="C10802" s="4" t="n">
        <v>3955.00</v>
      </c>
      <c r="D10802" s="4"/>
    </row>
    <row collapsed="" customFormat="false" customHeight="1" hidden="" ht="14" outlineLevel="0" r="10803">
      <c r="A10803" s="3" t="inlineStr">
        <is>
          <t>10762</t>
        </is>
      </c>
      <c r="B10803" s="4" t="s">
        <f>=HYPERLINK("http://anyluxury.ru/shop/odezhda/tolstovki/bomber-college-bordoviy-1157755/" , "11577.55 Бомбер College , бордовый, размер XL")</f>
      </c>
      <c r="C10803" s="4" t="n">
        <v>3955.00</v>
      </c>
      <c r="D10803" s="4"/>
    </row>
    <row collapsed="" customFormat="false" customHeight="1" hidden="" ht="14" outlineLevel="0" r="10804">
      <c r="A10804" s="3" t="inlineStr">
        <is>
          <t>10763</t>
        </is>
      </c>
      <c r="B10804" s="4" t="s">
        <f>=HYPERLINK("http://anyluxury.ru/shop/odezhda/tolstovki/bomber-college-bordoviy-1157755/" , "11577.55 Бомбер College, бордовый, размер XXL")</f>
      </c>
      <c r="C10804" s="4" t="n">
        <v>3955.00</v>
      </c>
      <c r="D10804" s="4"/>
    </row>
    <row collapsed="" customFormat="false" customHeight="1" hidden="" ht="14" outlineLevel="0" r="10805">
      <c r="A10805" s="3" t="inlineStr">
        <is>
          <t>10764</t>
        </is>
      </c>
      <c r="B10805" s="4" t="s">
        <f>=HYPERLINK("http://anyluxury.ru/shop/odezhda/tolstovki/tolstovka-stan-temnozelenaya-02088264/" , "02088264 Толстовка STAN темно-зеленая, размер S")</f>
      </c>
      <c r="C10805" s="4" t="n">
        <v>2971.00</v>
      </c>
      <c r="D10805" s="4"/>
    </row>
    <row collapsed="" customFormat="false" customHeight="1" hidden="" ht="14" outlineLevel="0" r="10806">
      <c r="A10806" s="3" t="inlineStr">
        <is>
          <t>10765</t>
        </is>
      </c>
      <c r="B10806" s="4" t="s">
        <f>=HYPERLINK("http://anyluxury.ru/shop/odezhda/tolstovki/tolstovka-stan-temnozelenaya-02088264/" , "02088264 Толстовка STAN темно-зеленая, размер M")</f>
      </c>
      <c r="C10806" s="4" t="n">
        <v>2971.00</v>
      </c>
      <c r="D10806" s="4"/>
    </row>
    <row collapsed="" customFormat="false" customHeight="1" hidden="" ht="14" outlineLevel="0" r="10807">
      <c r="A10807" s="3" t="inlineStr">
        <is>
          <t>10766</t>
        </is>
      </c>
      <c r="B10807" s="4" t="s">
        <f>=HYPERLINK("http://anyluxury.ru/shop/odezhda/tolstovki/tolstovka-stan-temnozelenaya-02088264/" , "02088264 Толстовка STAN темно-зеленая, размер L")</f>
      </c>
      <c r="C10807" s="4" t="n">
        <v>2971.00</v>
      </c>
      <c r="D10807" s="4"/>
    </row>
    <row collapsed="" customFormat="false" customHeight="1" hidden="" ht="14" outlineLevel="0" r="10808">
      <c r="A10808" s="3" t="inlineStr">
        <is>
          <t>10767</t>
        </is>
      </c>
      <c r="B10808" s="4" t="s">
        <f>=HYPERLINK("http://anyluxury.ru/shop/odezhda/tolstovki/tolstovka-stan-temnozelenaya-02088264/" , "02088264 Толстовка STAN темно-зеленая, размер XL")</f>
      </c>
      <c r="C10808" s="4" t="n">
        <v>2971.00</v>
      </c>
      <c r="D10808" s="4"/>
    </row>
    <row collapsed="" customFormat="false" customHeight="1" hidden="" ht="14" outlineLevel="0" r="10809">
      <c r="A10809" s="3" t="inlineStr">
        <is>
          <t>10768</t>
        </is>
      </c>
      <c r="B10809" s="4" t="s">
        <f>=HYPERLINK("http://anyluxury.ru/shop/odezhda/tolstovki/tolstovka-stan-temnozelenaya-02088264/" , "02088264 Толстовка STAN темно-зеленая, размер XXL")</f>
      </c>
      <c r="C10809" s="4" t="n">
        <v>2971.00</v>
      </c>
      <c r="D10809" s="4"/>
    </row>
    <row collapsed="" customFormat="false" customHeight="1" hidden="" ht="14" outlineLevel="0" r="10810">
      <c r="A10810" s="3" t="inlineStr">
        <is>
          <t>10769</t>
        </is>
      </c>
      <c r="B10810" s="4" t="s">
        <f>=HYPERLINK("http://anyluxury.ru/shop/odezhda/tolstovki/tolstovka-stan-temnozelenaya-02088264/" , "02088264 Толстовка STAN темно-зеленая, размер 3XL")</f>
      </c>
      <c r="C10810" s="4" t="n">
        <v>3386.00</v>
      </c>
      <c r="D10810" s="4"/>
    </row>
    <row collapsed="" customFormat="false" customHeight="1" hidden="" ht="14" outlineLevel="0" r="10811">
      <c r="A10811" s="3" t="inlineStr">
        <is>
          <t>10770</t>
        </is>
      </c>
      <c r="B10811" s="4" t="s">
        <f>=HYPERLINK("http://anyluxury.ru/shop/odezhda/tolstovki/tolstovka-stan-seriy-melanzh-02088360/" , "02088360 Толстовка STAN серый меланж, размер S")</f>
      </c>
      <c r="C10811" s="4" t="n">
        <v>2971.00</v>
      </c>
      <c r="D10811" s="4"/>
    </row>
    <row collapsed="" customFormat="false" customHeight="1" hidden="" ht="14" outlineLevel="0" r="10812">
      <c r="A10812" s="3" t="inlineStr">
        <is>
          <t>10771</t>
        </is>
      </c>
      <c r="B10812" s="4" t="s">
        <f>=HYPERLINK("http://anyluxury.ru/shop/odezhda/tolstovki/tolstovka-stan-seriy-melanzh-02088360/" , "02088360 Толстовка STAN серый меланж, размер M")</f>
      </c>
      <c r="C10812" s="4" t="n">
        <v>2971.00</v>
      </c>
      <c r="D10812" s="4"/>
    </row>
    <row collapsed="" customFormat="false" customHeight="1" hidden="" ht="14" outlineLevel="0" r="10813">
      <c r="A10813" s="3" t="inlineStr">
        <is>
          <t>10772</t>
        </is>
      </c>
      <c r="B10813" s="4" t="s">
        <f>=HYPERLINK("http://anyluxury.ru/shop/odezhda/tolstovki/tolstovka-stan-seriy-melanzh-02088360/" , "02088360 Толстовка STAN серый меланж, размер L")</f>
      </c>
      <c r="C10813" s="4" t="n">
        <v>2971.00</v>
      </c>
      <c r="D10813" s="4"/>
    </row>
    <row collapsed="" customFormat="false" customHeight="1" hidden="" ht="14" outlineLevel="0" r="10814">
      <c r="A10814" s="3" t="inlineStr">
        <is>
          <t>10773</t>
        </is>
      </c>
      <c r="B10814" s="4" t="s">
        <f>=HYPERLINK("http://anyluxury.ru/shop/odezhda/tolstovki/tolstovka-stan-seriy-melanzh-02088360/" , "02088360 Толстовка STAN серый меланж, размер XL")</f>
      </c>
      <c r="C10814" s="4" t="n">
        <v>2971.00</v>
      </c>
      <c r="D10814" s="4"/>
    </row>
    <row collapsed="" customFormat="false" customHeight="1" hidden="" ht="14" outlineLevel="0" r="10815">
      <c r="A10815" s="3" t="inlineStr">
        <is>
          <t>10774</t>
        </is>
      </c>
      <c r="B10815" s="4" t="s">
        <f>=HYPERLINK("http://anyluxury.ru/shop/odezhda/tolstovki/tolstovka-stan-seriy-melanzh-02088360/" , "02088360 Толстовка STAN серый меланж, размер XXL")</f>
      </c>
      <c r="C10815" s="4" t="n">
        <v>2971.00</v>
      </c>
      <c r="D10815" s="4"/>
    </row>
    <row collapsed="" customFormat="false" customHeight="1" hidden="" ht="14" outlineLevel="0" r="10816">
      <c r="A10816" s="3" t="inlineStr">
        <is>
          <t>10775</t>
        </is>
      </c>
      <c r="B10816" s="4" t="s">
        <f>=HYPERLINK("http://anyluxury.ru/shop/odezhda/tolstovki/tolstovka-stan-seriy-melanzh-02088360/" , "02088360 Толстовка STAN серый меланж, размер 3XL")</f>
      </c>
      <c r="C10816" s="4" t="n">
        <v>3386.00</v>
      </c>
      <c r="D10816" s="4"/>
    </row>
    <row collapsed="" customFormat="false" customHeight="1" hidden="" ht="14" outlineLevel="0" r="10817">
      <c r="A10817" s="3" t="inlineStr">
        <is>
          <t>10776</t>
        </is>
      </c>
      <c r="B10817" s="4" t="s">
        <f>=HYPERLINK("http://anyluxury.ru/shop/odezhda/tolstovki/tolstovka-stan-oranzhevaya-02088400/" , "02088400 Толстовка STAN оранжевая, размер S")</f>
      </c>
      <c r="C10817" s="4" t="n">
        <v>2971.00</v>
      </c>
      <c r="D10817" s="4"/>
    </row>
    <row collapsed="" customFormat="false" customHeight="1" hidden="" ht="14" outlineLevel="0" r="10818">
      <c r="A10818" s="3" t="inlineStr">
        <is>
          <t>10777</t>
        </is>
      </c>
      <c r="B10818" s="4" t="s">
        <f>=HYPERLINK("http://anyluxury.ru/shop/odezhda/tolstovki/tolstovka-stan-oranzhevaya-02088400/" , "02088400 Толстовка STAN оранжевая, размер M")</f>
      </c>
      <c r="C10818" s="4" t="n">
        <v>2971.00</v>
      </c>
      <c r="D10818" s="4"/>
    </row>
    <row collapsed="" customFormat="false" customHeight="1" hidden="" ht="14" outlineLevel="0" r="10819">
      <c r="A10819" s="3" t="inlineStr">
        <is>
          <t>10778</t>
        </is>
      </c>
      <c r="B10819" s="4" t="s">
        <f>=HYPERLINK("http://anyluxury.ru/shop/odezhda/tolstovki/tolstovka-stan-oranzhevaya-02088400/" , "02088400 Толстовка STAN оранжевая, размер L")</f>
      </c>
      <c r="C10819" s="4" t="n">
        <v>2971.00</v>
      </c>
      <c r="D10819" s="4"/>
    </row>
    <row collapsed="" customFormat="false" customHeight="1" hidden="" ht="14" outlineLevel="0" r="10820">
      <c r="A10820" s="3" t="inlineStr">
        <is>
          <t>10779</t>
        </is>
      </c>
      <c r="B10820" s="4" t="s">
        <f>=HYPERLINK("http://anyluxury.ru/shop/odezhda/tolstovki/tolstovka-stan-oranzhevaya-02088400/" , "02088400 Толстовка STAN оранжевая, размер XL")</f>
      </c>
      <c r="C10820" s="4" t="n">
        <v>2971.00</v>
      </c>
      <c r="D10820" s="4"/>
    </row>
    <row collapsed="" customFormat="false" customHeight="1" hidden="" ht="14" outlineLevel="0" r="10821">
      <c r="A10821" s="3" t="inlineStr">
        <is>
          <t>10780</t>
        </is>
      </c>
      <c r="B10821" s="4" t="s">
        <f>=HYPERLINK("http://anyluxury.ru/shop/odezhda/tolstovki/tolstovka-stan-oranzhevaya-02088400/" , "02088400 Толстовка STAN оранжевая, размер XXL")</f>
      </c>
      <c r="C10821" s="4" t="n">
        <v>2971.00</v>
      </c>
      <c r="D10821" s="4"/>
    </row>
    <row collapsed="" customFormat="false" customHeight="1" hidden="" ht="14" outlineLevel="0" r="10822">
      <c r="A10822" s="3" t="inlineStr">
        <is>
          <t>10781</t>
        </is>
      </c>
      <c r="B10822" s="4" t="s">
        <f>=HYPERLINK("http://anyluxury.ru/shop/odezhda/tolstovki/tolstovka-stan-oranzhevaya-02088400/" , "02088400 Толстовка STAN оранжевая, размер 3XL")</f>
      </c>
      <c r="C10822" s="4" t="n">
        <v>3386.00</v>
      </c>
      <c r="D10822" s="4"/>
    </row>
    <row collapsed="" customFormat="false" customHeight="1" hidden="" ht="14" outlineLevel="0" r="10823">
      <c r="A10823" s="3" t="inlineStr">
        <is>
          <t>10782</t>
        </is>
      </c>
      <c r="B10823" s="4" t="s">
        <f>=HYPERLINK("http://anyluxury.ru/shop/odezhda/tolstovki/svitshot-uniseks-set-in-krasniy-wu01w004/" , "WU01W004 Свитшот унисекс Set In, красный, размер XS")</f>
      </c>
      <c r="C10823" s="4" t="n">
        <v>1369.00</v>
      </c>
      <c r="D10823" s="4"/>
    </row>
    <row collapsed="" customFormat="false" customHeight="1" hidden="" ht="14" outlineLevel="0" r="10824">
      <c r="A10824" s="3" t="inlineStr">
        <is>
          <t>10783</t>
        </is>
      </c>
      <c r="B10824" s="4" t="s">
        <f>=HYPERLINK("http://anyluxury.ru/shop/odezhda/tolstovki/svitshot-uniseks-set-in-krasniy-wu01w004/" , "WU01W004 Свитшот унисекс Set In, красный, размер S")</f>
      </c>
      <c r="C10824" s="4" t="n">
        <v>1369.00</v>
      </c>
      <c r="D10824" s="4"/>
    </row>
    <row collapsed="" customFormat="false" customHeight="1" hidden="" ht="14" outlineLevel="0" r="10825">
      <c r="A10825" s="3" t="inlineStr">
        <is>
          <t>10784</t>
        </is>
      </c>
      <c r="B10825" s="4" t="s">
        <f>=HYPERLINK("http://anyluxury.ru/shop/odezhda/tolstovki/svitshot-uniseks-set-in-krasniy-wu01w004/" , "WU01W004 Свитшот унисекс Set In, красный, размер M")</f>
      </c>
      <c r="C10825" s="4" t="n">
        <v>1369.00</v>
      </c>
      <c r="D10825" s="4"/>
    </row>
    <row collapsed="" customFormat="false" customHeight="1" hidden="" ht="14" outlineLevel="0" r="10826">
      <c r="A10826" s="3" t="inlineStr">
        <is>
          <t>10785</t>
        </is>
      </c>
      <c r="B10826" s="4" t="s">
        <f>=HYPERLINK("http://anyluxury.ru/shop/odezhda/tolstovki/svitshot-uniseks-set-in-krasniy-wu01w004/" , "WU01W004 Свитшот унисекс Set In, красный, размер L")</f>
      </c>
      <c r="C10826" s="4" t="n">
        <v>1369.00</v>
      </c>
      <c r="D10826" s="4"/>
    </row>
    <row collapsed="" customFormat="false" customHeight="1" hidden="" ht="14" outlineLevel="0" r="10827">
      <c r="A10827" s="3" t="inlineStr">
        <is>
          <t>10786</t>
        </is>
      </c>
      <c r="B10827" s="4" t="s">
        <f>=HYPERLINK("http://anyluxury.ru/shop/odezhda/tolstovki/svitshot-uniseks-set-in-krasniy-wu01w004/" , "WU01W004 Свитшот унисекс Set In, красный, размер XL")</f>
      </c>
      <c r="C10827" s="4" t="n">
        <v>1369.00</v>
      </c>
      <c r="D10827" s="4"/>
    </row>
    <row collapsed="" customFormat="false" customHeight="1" hidden="" ht="14" outlineLevel="0" r="10828">
      <c r="A10828" s="3" t="inlineStr">
        <is>
          <t>10787</t>
        </is>
      </c>
      <c r="B10828" s="4" t="s">
        <f>=HYPERLINK("http://anyluxury.ru/shop/odezhda/tolstovki/svitshot-uniseks-set-in-krasniy-wu01w004/" , "WU01W004 Свитшот унисекс Set In, красный, размер XXL")</f>
      </c>
      <c r="C10828" s="4" t="n">
        <v>1369.00</v>
      </c>
      <c r="D10828" s="4"/>
    </row>
    <row collapsed="" customFormat="false" customHeight="1" hidden="" ht="14" outlineLevel="0" r="10829">
      <c r="A10829" s="3" t="inlineStr">
        <is>
          <t>10788</t>
        </is>
      </c>
      <c r="B10829" s="4" t="s">
        <f>=HYPERLINK("http://anyluxury.ru/shop/odezhda/tolstovki/svitshot-uniseks-set-in-krasniy-wu01w004/" , "WU01W004 Свитшот унисекс Set In, красный, размер 3XL")</f>
      </c>
      <c r="C10829" s="4" t="n">
        <v>1369.00</v>
      </c>
      <c r="D10829" s="4"/>
    </row>
    <row collapsed="" customFormat="false" customHeight="1" hidden="" ht="14" outlineLevel="0" r="10830">
      <c r="A10830" s="3" t="inlineStr">
        <is>
          <t>10789</t>
        </is>
      </c>
      <c r="B10830" s="4" t="s">
        <f>=HYPERLINK("http://anyluxury.ru/shop/odezhda/tolstovki/svitshot-uniseks-set-in-krasniy-wu01w004/" , "WU01W004 Свитшот унисекс Set In, красный, размер 4XL")</f>
      </c>
      <c r="C10830" s="4" t="n">
        <v>1701.00</v>
      </c>
      <c r="D10830" s="4"/>
    </row>
    <row collapsed="" customFormat="false" customHeight="1" hidden="" ht="14" outlineLevel="0" r="10831">
      <c r="A10831" s="3" t="inlineStr">
        <is>
          <t>10790</t>
        </is>
      </c>
      <c r="B10831" s="4" t="s">
        <f>=HYPERLINK("http://anyluxury.ru/shop/odezhda/tolstovki/svitshot-uniseks-set-in-krasniy-wu01w004/" , "WU01W004 Свитшот унисекс Set In, красный, размер 5XL")</f>
      </c>
      <c r="C10831" s="4" t="n">
        <v>1701.00</v>
      </c>
      <c r="D10831" s="4"/>
    </row>
    <row collapsed="" customFormat="false" customHeight="1" hidden="" ht="14" outlineLevel="0" r="10832">
      <c r="A10832" s="3" t="inlineStr">
        <is>
          <t>10791</t>
        </is>
      </c>
      <c r="B10832" s="4" t="s">
        <f>=HYPERLINK("http://anyluxury.ru/shop/odezhda/tolstovki/svitshot-uniseks-set-in-zheltiy-wu01w201/" , "WU01W201 Свитшот унисекс Set In, желтый, размер XS")</f>
      </c>
      <c r="C10832" s="4" t="n">
        <v>1369.00</v>
      </c>
      <c r="D10832" s="4"/>
    </row>
    <row collapsed="" customFormat="false" customHeight="1" hidden="" ht="14" outlineLevel="0" r="10833">
      <c r="A10833" s="3" t="inlineStr">
        <is>
          <t>10792</t>
        </is>
      </c>
      <c r="B10833" s="4" t="s">
        <f>=HYPERLINK("http://anyluxury.ru/shop/odezhda/tolstovki/svitshot-uniseks-set-in-zheltiy-wu01w201/" , "WU01W201 Свитшот унисекс Set In, желтый, размер S")</f>
      </c>
      <c r="C10833" s="4" t="n">
        <v>1369.00</v>
      </c>
      <c r="D10833" s="4"/>
    </row>
    <row collapsed="" customFormat="false" customHeight="1" hidden="" ht="14" outlineLevel="0" r="10834">
      <c r="A10834" s="3" t="inlineStr">
        <is>
          <t>10793</t>
        </is>
      </c>
      <c r="B10834" s="4" t="s">
        <f>=HYPERLINK("http://anyluxury.ru/shop/odezhda/tolstovki/svitshot-uniseks-set-in-zheltiy-wu01w201/" , "WU01W201 Свитшот унисекс Set In, желтый, размер M")</f>
      </c>
      <c r="C10834" s="4" t="n">
        <v>1369.00</v>
      </c>
      <c r="D10834" s="4"/>
    </row>
    <row collapsed="" customFormat="false" customHeight="1" hidden="" ht="14" outlineLevel="0" r="10835">
      <c r="A10835" s="3" t="inlineStr">
        <is>
          <t>10794</t>
        </is>
      </c>
      <c r="B10835" s="4" t="s">
        <f>=HYPERLINK("http://anyluxury.ru/shop/odezhda/tolstovki/svitshot-uniseks-set-in-zheltiy-wu01w201/" , "WU01W201 Свитшот унисекс Set In, желтый, размер L")</f>
      </c>
      <c r="C10835" s="4" t="n">
        <v>1369.00</v>
      </c>
      <c r="D10835" s="4"/>
    </row>
    <row collapsed="" customFormat="false" customHeight="1" hidden="" ht="14" outlineLevel="0" r="10836">
      <c r="A10836" s="3" t="inlineStr">
        <is>
          <t>10795</t>
        </is>
      </c>
      <c r="B10836" s="4" t="s">
        <f>=HYPERLINK("http://anyluxury.ru/shop/odezhda/tolstovki/svitshot-uniseks-set-in-zheltiy-wu01w201/" , "WU01W201 Свитшот унисекс Set In, желтый, размер XL")</f>
      </c>
      <c r="C10836" s="4" t="n">
        <v>1369.00</v>
      </c>
      <c r="D10836" s="4"/>
    </row>
    <row collapsed="" customFormat="false" customHeight="1" hidden="" ht="14" outlineLevel="0" r="10837">
      <c r="A10837" s="3" t="inlineStr">
        <is>
          <t>10796</t>
        </is>
      </c>
      <c r="B10837" s="4" t="s">
        <f>=HYPERLINK("http://anyluxury.ru/shop/odezhda/tolstovki/svitshot-uniseks-set-in-zheltiy-wu01w201/" , "WU01W201 Свитшот унисекс Set In, желтый, размер XXL")</f>
      </c>
      <c r="C10837" s="4" t="n">
        <v>1369.00</v>
      </c>
      <c r="D10837" s="4"/>
    </row>
    <row collapsed="" customFormat="false" customHeight="1" hidden="" ht="14" outlineLevel="0" r="10838">
      <c r="A10838" s="3" t="inlineStr">
        <is>
          <t>10797</t>
        </is>
      </c>
      <c r="B10838" s="4" t="s">
        <f>=HYPERLINK("http://anyluxury.ru/shop/odezhda/tolstovki/svitshot-uniseks-set-in-zheltiy-wu01w201/" , "WU01W201 Свитшот унисекс Set In, желтый, размер 3XL")</f>
      </c>
      <c r="C10838" s="4" t="n">
        <v>1369.00</v>
      </c>
      <c r="D10838" s="4"/>
    </row>
    <row collapsed="" customFormat="false" customHeight="1" hidden="" ht="14" outlineLevel="0" r="10839">
      <c r="A10839" s="3" t="inlineStr">
        <is>
          <t>10798</t>
        </is>
      </c>
      <c r="B10839" s="4" t="s">
        <f>=HYPERLINK("http://anyluxury.ru/shop/odezhda/tolstovki/svitshot-uniseks-set-in-svetlooranzheviy-wu01w255/" , "WU01W255 Свитшот унисекс Set In, светло-оранжевый, размер XS")</f>
      </c>
      <c r="C10839" s="4" t="n">
        <v>1369.00</v>
      </c>
      <c r="D10839" s="4"/>
    </row>
    <row collapsed="" customFormat="false" customHeight="1" hidden="" ht="14" outlineLevel="0" r="10840">
      <c r="A10840" s="3" t="inlineStr">
        <is>
          <t>10799</t>
        </is>
      </c>
      <c r="B10840" s="4" t="s">
        <f>=HYPERLINK("http://anyluxury.ru/shop/odezhda/tolstovki/svitshot-uniseks-set-in-svetlooranzheviy-wu01w255/" , "WU01W255 Свитшот унисекс Set In, светло-оранжевый, размер S")</f>
      </c>
      <c r="C10840" s="4" t="n">
        <v>1369.00</v>
      </c>
      <c r="D10840" s="4"/>
    </row>
    <row collapsed="" customFormat="false" customHeight="1" hidden="" ht="14" outlineLevel="0" r="10841">
      <c r="A10841" s="3" t="inlineStr">
        <is>
          <t>10800</t>
        </is>
      </c>
      <c r="B10841" s="4" t="s">
        <f>=HYPERLINK("http://anyluxury.ru/shop/odezhda/tolstovki/svitshot-uniseks-set-in-svetlooranzheviy-wu01w255/" , "WU01W255 Свитшот унисекс Set In, светло-оранжевый, размер M")</f>
      </c>
      <c r="C10841" s="4" t="n">
        <v>1369.00</v>
      </c>
      <c r="D10841" s="4"/>
    </row>
    <row collapsed="" customFormat="false" customHeight="1" hidden="" ht="14" outlineLevel="0" r="10842">
      <c r="A10842" s="3" t="inlineStr">
        <is>
          <t>10801</t>
        </is>
      </c>
      <c r="B10842" s="4" t="s">
        <f>=HYPERLINK("http://anyluxury.ru/shop/odezhda/tolstovki/svitshot-uniseks-set-in-svetlooranzheviy-wu01w255/" , "WU01W255 Свитшот унисекс Set In, светло-оранжевый, размер L")</f>
      </c>
      <c r="C10842" s="4" t="n">
        <v>1369.00</v>
      </c>
      <c r="D10842" s="4"/>
    </row>
    <row collapsed="" customFormat="false" customHeight="1" hidden="" ht="14" outlineLevel="0" r="10843">
      <c r="A10843" s="3" t="inlineStr">
        <is>
          <t>10802</t>
        </is>
      </c>
      <c r="B10843" s="4" t="s">
        <f>=HYPERLINK("http://anyluxury.ru/shop/odezhda/tolstovki/svitshot-uniseks-set-in-svetlooranzheviy-wu01w255/" , "WU01W255 Свитшот унисекс Set In, светло-оранжевый, размер XL")</f>
      </c>
      <c r="C10843" s="4" t="n">
        <v>1369.00</v>
      </c>
      <c r="D10843" s="4"/>
    </row>
    <row collapsed="" customFormat="false" customHeight="1" hidden="" ht="14" outlineLevel="0" r="10844">
      <c r="A10844" s="3" t="inlineStr">
        <is>
          <t>10803</t>
        </is>
      </c>
      <c r="B10844" s="4" t="s">
        <f>=HYPERLINK("http://anyluxury.ru/shop/odezhda/tolstovki/svitshot-uniseks-set-in-svetlooranzheviy-wu01w255/" , "WU01W255 Свитшот унисекс Set In, светло-оранжевый, размер XXL")</f>
      </c>
      <c r="C10844" s="4" t="n">
        <v>1369.00</v>
      </c>
      <c r="D10844" s="4"/>
    </row>
    <row collapsed="" customFormat="false" customHeight="1" hidden="" ht="14" outlineLevel="0" r="10845">
      <c r="A10845" s="3" t="inlineStr">
        <is>
          <t>10804</t>
        </is>
      </c>
      <c r="B10845" s="4" t="s">
        <f>=HYPERLINK("http://anyluxury.ru/shop/odezhda/tolstovki/svitshot-uniseks-set-in-svetlooranzheviy-wu01w255/" , "WU01W255 Свитшот унисекс Set In, светло-оранжевый, размер 3XL")</f>
      </c>
      <c r="C10845" s="4" t="n">
        <v>1369.00</v>
      </c>
      <c r="D10845" s="4"/>
    </row>
    <row collapsed="" customFormat="false" customHeight="1" hidden="" ht="14" outlineLevel="0" r="10846">
      <c r="A10846" s="3" t="inlineStr">
        <is>
          <t>10805</t>
        </is>
      </c>
      <c r="B10846" s="4" t="s">
        <f>=HYPERLINK("http://anyluxury.ru/shop/odezhda/tolstovki/svitshot-uniseks-set-in-svetlorozoviy-wu01w305/" , "WU01W305 Свитшот унисекс Set In, светло-розовый, размер XS")</f>
      </c>
      <c r="C10846" s="4" t="n">
        <v>1369.00</v>
      </c>
      <c r="D10846" s="4"/>
    </row>
    <row collapsed="" customFormat="false" customHeight="1" hidden="" ht="14" outlineLevel="0" r="10847">
      <c r="A10847" s="3" t="inlineStr">
        <is>
          <t>10806</t>
        </is>
      </c>
      <c r="B10847" s="4" t="s">
        <f>=HYPERLINK("http://anyluxury.ru/shop/odezhda/tolstovki/svitshot-uniseks-set-in-svetlorozoviy-wu01w305/" , "WU01W305 Свитшот унисекс Set In, светло-розовый, размер S")</f>
      </c>
      <c r="C10847" s="4" t="n">
        <v>1369.00</v>
      </c>
      <c r="D10847" s="4"/>
    </row>
    <row collapsed="" customFormat="false" customHeight="1" hidden="" ht="14" outlineLevel="0" r="10848">
      <c r="A10848" s="3" t="inlineStr">
        <is>
          <t>10807</t>
        </is>
      </c>
      <c r="B10848" s="4" t="s">
        <f>=HYPERLINK("http://anyluxury.ru/shop/odezhda/tolstovki/svitshot-uniseks-set-in-svetlorozoviy-wu01w305/" , "WU01W305 Свитшот унисекс Set In, светло-розовый, размер M")</f>
      </c>
      <c r="C10848" s="4" t="n">
        <v>1369.00</v>
      </c>
      <c r="D10848" s="4"/>
    </row>
    <row collapsed="" customFormat="false" customHeight="1" hidden="" ht="14" outlineLevel="0" r="10849">
      <c r="A10849" s="3" t="inlineStr">
        <is>
          <t>10808</t>
        </is>
      </c>
      <c r="B10849" s="4" t="s">
        <f>=HYPERLINK("http://anyluxury.ru/shop/odezhda/tolstovki/svitshot-uniseks-set-in-svetlorozoviy-wu01w305/" , "WU01W305 Свитшот унисекс Set In, светло-розовый, размер L")</f>
      </c>
      <c r="C10849" s="4" t="n">
        <v>1369.00</v>
      </c>
      <c r="D10849" s="4"/>
    </row>
    <row collapsed="" customFormat="false" customHeight="1" hidden="" ht="14" outlineLevel="0" r="10850">
      <c r="A10850" s="3" t="inlineStr">
        <is>
          <t>10809</t>
        </is>
      </c>
      <c r="B10850" s="4" t="s">
        <f>=HYPERLINK("http://anyluxury.ru/shop/odezhda/tolstovki/svitshot-uniseks-set-in-svetlorozoviy-wu01w305/" , "WU01W305 Свитшот унисекс Set In, светло-розовый, размер XL")</f>
      </c>
      <c r="C10850" s="4" t="n">
        <v>1369.00</v>
      </c>
      <c r="D10850" s="4"/>
    </row>
    <row collapsed="" customFormat="false" customHeight="1" hidden="" ht="14" outlineLevel="0" r="10851">
      <c r="A10851" s="3" t="inlineStr">
        <is>
          <t>10810</t>
        </is>
      </c>
      <c r="B10851" s="4" t="s">
        <f>=HYPERLINK("http://anyluxury.ru/shop/odezhda/tolstovki/svitshot-uniseks-set-in-svetlorozoviy-wu01w305/" , "WU01W305 Свитшот унисекс Set In, светло-розовый, размер XXL")</f>
      </c>
      <c r="C10851" s="4" t="n">
        <v>1369.00</v>
      </c>
      <c r="D10851" s="4"/>
    </row>
    <row collapsed="" customFormat="false" customHeight="1" hidden="" ht="14" outlineLevel="0" r="10852">
      <c r="A10852" s="3" t="inlineStr">
        <is>
          <t>10811</t>
        </is>
      </c>
      <c r="B10852" s="4" t="s">
        <f>=HYPERLINK("http://anyluxury.ru/shop/odezhda/tolstovki/svitshot-uniseks-set-in-svetlorozoviy-wu01w305/" , "WU01W305 Свитшот унисекс Set In, светло-розовый, размер 3XL")</f>
      </c>
      <c r="C10852" s="4" t="n">
        <v>1369.00</v>
      </c>
      <c r="D10852" s="4"/>
    </row>
    <row collapsed="" customFormat="false" customHeight="1" hidden="" ht="14" outlineLevel="0" r="10853">
      <c r="A10853" s="3" t="inlineStr">
        <is>
          <t>10812</t>
        </is>
      </c>
      <c r="B10853" s="4" t="s">
        <f>=HYPERLINK("http://anyluxury.ru/shop/odezhda/tolstovki/svitshot-uniseks-set-in-rozoviy-wu01w308/" , "WU01W308 Свитшот унисекс Set In, розовый, размер XS")</f>
      </c>
      <c r="C10853" s="4" t="n">
        <v>1369.00</v>
      </c>
      <c r="D10853" s="4"/>
    </row>
    <row collapsed="" customFormat="false" customHeight="1" hidden="" ht="14" outlineLevel="0" r="10854">
      <c r="A10854" s="3" t="inlineStr">
        <is>
          <t>10813</t>
        </is>
      </c>
      <c r="B10854" s="4" t="s">
        <f>=HYPERLINK("http://anyluxury.ru/shop/odezhda/tolstovki/svitshot-uniseks-set-in-rozoviy-wu01w308/" , "WU01W308 Свитшот унисекс Set In, розовый, размер S")</f>
      </c>
      <c r="C10854" s="4" t="n">
        <v>1369.00</v>
      </c>
      <c r="D10854" s="4"/>
    </row>
    <row collapsed="" customFormat="false" customHeight="1" hidden="" ht="14" outlineLevel="0" r="10855">
      <c r="A10855" s="3" t="inlineStr">
        <is>
          <t>10814</t>
        </is>
      </c>
      <c r="B10855" s="4" t="s">
        <f>=HYPERLINK("http://anyluxury.ru/shop/odezhda/tolstovki/svitshot-uniseks-set-in-rozoviy-wu01w308/" , "WU01W308 Свитшот унисекс Set In, розовый, размер M")</f>
      </c>
      <c r="C10855" s="4" t="n">
        <v>1369.00</v>
      </c>
      <c r="D10855" s="4"/>
    </row>
    <row collapsed="" customFormat="false" customHeight="1" hidden="" ht="14" outlineLevel="0" r="10856">
      <c r="A10856" s="3" t="inlineStr">
        <is>
          <t>10815</t>
        </is>
      </c>
      <c r="B10856" s="4" t="s">
        <f>=HYPERLINK("http://anyluxury.ru/shop/odezhda/tolstovki/svitshot-uniseks-set-in-rozoviy-wu01w308/" , "WU01W308 Свитшот унисекс Set In, розовый, размер L")</f>
      </c>
      <c r="C10856" s="4" t="n">
        <v>1369.00</v>
      </c>
      <c r="D10856" s="4"/>
    </row>
    <row collapsed="" customFormat="false" customHeight="1" hidden="" ht="14" outlineLevel="0" r="10857">
      <c r="A10857" s="3" t="inlineStr">
        <is>
          <t>10816</t>
        </is>
      </c>
      <c r="B10857" s="4" t="s">
        <f>=HYPERLINK("http://anyluxury.ru/shop/odezhda/tolstovki/svitshot-uniseks-set-in-rozoviy-wu01w308/" , "WU01W308 Свитшот унисекс Set In, розовый, размер XL")</f>
      </c>
      <c r="C10857" s="4" t="n">
        <v>1369.00</v>
      </c>
      <c r="D10857" s="4"/>
    </row>
    <row collapsed="" customFormat="false" customHeight="1" hidden="" ht="14" outlineLevel="0" r="10858">
      <c r="A10858" s="3" t="inlineStr">
        <is>
          <t>10817</t>
        </is>
      </c>
      <c r="B10858" s="4" t="s">
        <f>=HYPERLINK("http://anyluxury.ru/shop/odezhda/tolstovki/svitshot-uniseks-set-in-rozoviy-wu01w308/" , "WU01W308 Свитшот унисекс Set In, розовый, размер XXL")</f>
      </c>
      <c r="C10858" s="4" t="n">
        <v>1369.00</v>
      </c>
      <c r="D10858" s="4"/>
    </row>
    <row collapsed="" customFormat="false" customHeight="1" hidden="" ht="14" outlineLevel="0" r="10859">
      <c r="A10859" s="3" t="inlineStr">
        <is>
          <t>10818</t>
        </is>
      </c>
      <c r="B10859" s="4" t="s">
        <f>=HYPERLINK("http://anyluxury.ru/shop/odezhda/tolstovki/svitshot-uniseks-set-in-rozoviy-wu01w308/" , "WU01W308 Свитшот унисекс Set In, розовый, размер 3XL")</f>
      </c>
      <c r="C10859" s="4" t="n">
        <v>1369.00</v>
      </c>
      <c r="D10859" s="4"/>
    </row>
    <row collapsed="" customFormat="false" customHeight="1" hidden="" ht="14" outlineLevel="0" r="10860">
      <c r="A10860" s="3" t="inlineStr">
        <is>
          <t>10819</t>
        </is>
      </c>
      <c r="B10860" s="4" t="s">
        <f>=HYPERLINK("http://anyluxury.ru/shop/odezhda/tolstovki/svitshot-uniseks-set-in-liloviy-wu01w339/" , "WU01W339 Свитшот унисекс Set In, лиловый, размер XS")</f>
      </c>
      <c r="C10860" s="4" t="n">
        <v>1369.00</v>
      </c>
      <c r="D10860" s="4"/>
    </row>
    <row collapsed="" customFormat="false" customHeight="1" hidden="" ht="14" outlineLevel="0" r="10861">
      <c r="A10861" s="3" t="inlineStr">
        <is>
          <t>10820</t>
        </is>
      </c>
      <c r="B10861" s="4" t="s">
        <f>=HYPERLINK("http://anyluxury.ru/shop/odezhda/tolstovki/svitshot-uniseks-set-in-liloviy-wu01w339/" , "WU01W339 Свитшот унисекс Set In, лиловый, размер S")</f>
      </c>
      <c r="C10861" s="4" t="n">
        <v>1369.00</v>
      </c>
      <c r="D10861" s="4"/>
    </row>
    <row collapsed="" customFormat="false" customHeight="1" hidden="" ht="14" outlineLevel="0" r="10862">
      <c r="A10862" s="3" t="inlineStr">
        <is>
          <t>10821</t>
        </is>
      </c>
      <c r="B10862" s="4" t="s">
        <f>=HYPERLINK("http://anyluxury.ru/shop/odezhda/tolstovki/svitshot-uniseks-set-in-liloviy-wu01w339/" , "WU01W339 Свитшот унисекс Set In, лиловый, размер M")</f>
      </c>
      <c r="C10862" s="4" t="n">
        <v>1369.00</v>
      </c>
      <c r="D10862" s="4"/>
    </row>
    <row collapsed="" customFormat="false" customHeight="1" hidden="" ht="14" outlineLevel="0" r="10863">
      <c r="A10863" s="3" t="inlineStr">
        <is>
          <t>10822</t>
        </is>
      </c>
      <c r="B10863" s="4" t="s">
        <f>=HYPERLINK("http://anyluxury.ru/shop/odezhda/tolstovki/svitshot-uniseks-set-in-liloviy-wu01w339/" , "WU01W339 Свитшот унисекс Set In, лиловый, размер L")</f>
      </c>
      <c r="C10863" s="4" t="n">
        <v>1369.00</v>
      </c>
      <c r="D10863" s="4"/>
    </row>
    <row collapsed="" customFormat="false" customHeight="1" hidden="" ht="14" outlineLevel="0" r="10864">
      <c r="A10864" s="3" t="inlineStr">
        <is>
          <t>10823</t>
        </is>
      </c>
      <c r="B10864" s="4" t="s">
        <f>=HYPERLINK("http://anyluxury.ru/shop/odezhda/tolstovki/svitshot-uniseks-set-in-liloviy-wu01w339/" , "WU01W339 Свитшот унисекс Set In, лиловый, размер XL")</f>
      </c>
      <c r="C10864" s="4" t="n">
        <v>1369.00</v>
      </c>
      <c r="D10864" s="4"/>
    </row>
    <row collapsed="" customFormat="false" customHeight="1" hidden="" ht="14" outlineLevel="0" r="10865">
      <c r="A10865" s="3" t="inlineStr">
        <is>
          <t>10824</t>
        </is>
      </c>
      <c r="B10865" s="4" t="s">
        <f>=HYPERLINK("http://anyluxury.ru/shop/odezhda/tolstovki/svitshot-uniseks-set-in-liloviy-wu01w339/" , "WU01W339 Свитшот унисекс Set In, лиловый, размер XXL")</f>
      </c>
      <c r="C10865" s="4" t="n">
        <v>1369.00</v>
      </c>
      <c r="D10865" s="4"/>
    </row>
    <row collapsed="" customFormat="false" customHeight="1" hidden="" ht="14" outlineLevel="0" r="10866">
      <c r="A10866" s="3" t="inlineStr">
        <is>
          <t>10825</t>
        </is>
      </c>
      <c r="B10866" s="4" t="s">
        <f>=HYPERLINK("http://anyluxury.ru/shop/odezhda/tolstovki/svitshot-uniseks-set-in-liloviy-wu01w339/" , "WU01W339 Свитшот унисекс Set In, лиловый, размер 3XL")</f>
      </c>
      <c r="C10866" s="4" t="n">
        <v>1369.00</v>
      </c>
      <c r="D10866" s="4"/>
    </row>
    <row collapsed="" customFormat="false" customHeight="1" hidden="" ht="14" outlineLevel="0" r="10867">
      <c r="A10867" s="3" t="inlineStr">
        <is>
          <t>10826</t>
        </is>
      </c>
      <c r="B10867" s="4" t="s">
        <f>=HYPERLINK("http://anyluxury.ru/shop/odezhda/tolstovki/svitshot-uniseks-set-in-fioletoviy-wu01w351/" , "WU01W351 Свитшот унисекс Set In, фиолетовый, размер XS")</f>
      </c>
      <c r="C10867" s="4" t="n">
        <v>1369.00</v>
      </c>
      <c r="D10867" s="4"/>
    </row>
    <row collapsed="" customFormat="false" customHeight="1" hidden="" ht="14" outlineLevel="0" r="10868">
      <c r="A10868" s="3" t="inlineStr">
        <is>
          <t>10827</t>
        </is>
      </c>
      <c r="B10868" s="4" t="s">
        <f>=HYPERLINK("http://anyluxury.ru/shop/odezhda/tolstovki/svitshot-uniseks-set-in-fioletoviy-wu01w351/" , "WU01W351 Свитшот унисекс Set In, фиолетовый, размер S")</f>
      </c>
      <c r="C10868" s="4" t="n">
        <v>1369.00</v>
      </c>
      <c r="D10868" s="4"/>
    </row>
    <row collapsed="" customFormat="false" customHeight="1" hidden="" ht="14" outlineLevel="0" r="10869">
      <c r="A10869" s="3" t="inlineStr">
        <is>
          <t>10828</t>
        </is>
      </c>
      <c r="B10869" s="4" t="s">
        <f>=HYPERLINK("http://anyluxury.ru/shop/odezhda/tolstovki/svitshot-uniseks-set-in-fioletoviy-wu01w351/" , "WU01W351 Свитшот унисекс Set In, фиолетовый, размер M")</f>
      </c>
      <c r="C10869" s="4" t="n">
        <v>1369.00</v>
      </c>
      <c r="D10869" s="4"/>
    </row>
    <row collapsed="" customFormat="false" customHeight="1" hidden="" ht="14" outlineLevel="0" r="10870">
      <c r="A10870" s="3" t="inlineStr">
        <is>
          <t>10829</t>
        </is>
      </c>
      <c r="B10870" s="4" t="s">
        <f>=HYPERLINK("http://anyluxury.ru/shop/odezhda/tolstovki/svitshot-uniseks-set-in-fioletoviy-wu01w351/" , "WU01W351 Свитшот унисекс Set In, фиолетовый, размер L")</f>
      </c>
      <c r="C10870" s="4" t="n">
        <v>1369.00</v>
      </c>
      <c r="D10870" s="4"/>
    </row>
    <row collapsed="" customFormat="false" customHeight="1" hidden="" ht="14" outlineLevel="0" r="10871">
      <c r="A10871" s="3" t="inlineStr">
        <is>
          <t>10830</t>
        </is>
      </c>
      <c r="B10871" s="4" t="s">
        <f>=HYPERLINK("http://anyluxury.ru/shop/odezhda/tolstovki/svitshot-uniseks-set-in-fioletoviy-wu01w351/" , "WU01W351 Свитшот унисекс Set In, фиолетовый, размер XL")</f>
      </c>
      <c r="C10871" s="4" t="n">
        <v>1369.00</v>
      </c>
      <c r="D10871" s="4"/>
    </row>
    <row collapsed="" customFormat="false" customHeight="1" hidden="" ht="14" outlineLevel="0" r="10872">
      <c r="A10872" s="3" t="inlineStr">
        <is>
          <t>10831</t>
        </is>
      </c>
      <c r="B10872" s="4" t="s">
        <f>=HYPERLINK("http://anyluxury.ru/shop/odezhda/tolstovki/svitshot-uniseks-set-in-fioletoviy-wu01w351/" , "WU01W351 Свитшот унисекс Set In, фиолетовый, размер XXL")</f>
      </c>
      <c r="C10872" s="4" t="n">
        <v>1369.00</v>
      </c>
      <c r="D10872" s="4"/>
    </row>
    <row collapsed="" customFormat="false" customHeight="1" hidden="" ht="14" outlineLevel="0" r="10873">
      <c r="A10873" s="3" t="inlineStr">
        <is>
          <t>10832</t>
        </is>
      </c>
      <c r="B10873" s="4" t="s">
        <f>=HYPERLINK("http://anyluxury.ru/shop/odezhda/tolstovki/svitshot-uniseks-set-in-fioletoviy-wu01w351/" , "WU01W351 Свитшот унисекс Set In, фиолетовый, размер 3XL")</f>
      </c>
      <c r="C10873" s="4" t="n">
        <v>1369.00</v>
      </c>
      <c r="D10873" s="4"/>
    </row>
    <row collapsed="" customFormat="false" customHeight="1" hidden="" ht="14" outlineLevel="0" r="10874">
      <c r="A10874" s="3" t="inlineStr">
        <is>
          <t>10833</t>
        </is>
      </c>
      <c r="B10874" s="4" t="s">
        <f>=HYPERLINK("http://anyluxury.ru/shop/odezhda/tolstovki/svitshot-uniseks-set-in-svetlogoluboy-wu01w405/" , "WU01W405 Свитшот унисекс Set In, светло-голубой, размер XS")</f>
      </c>
      <c r="C10874" s="4" t="n">
        <v>1369.00</v>
      </c>
      <c r="D10874" s="4"/>
    </row>
    <row collapsed="" customFormat="false" customHeight="1" hidden="" ht="14" outlineLevel="0" r="10875">
      <c r="A10875" s="3" t="inlineStr">
        <is>
          <t>10834</t>
        </is>
      </c>
      <c r="B10875" s="4" t="s">
        <f>=HYPERLINK("http://anyluxury.ru/shop/odezhda/tolstovki/svitshot-uniseks-set-in-svetlogoluboy-wu01w405/" , "WU01W405 Свитшот унисекс Set In, светло-голубой, размер S")</f>
      </c>
      <c r="C10875" s="4" t="n">
        <v>1369.00</v>
      </c>
      <c r="D10875" s="4"/>
    </row>
    <row collapsed="" customFormat="false" customHeight="1" hidden="" ht="14" outlineLevel="0" r="10876">
      <c r="A10876" s="3" t="inlineStr">
        <is>
          <t>10835</t>
        </is>
      </c>
      <c r="B10876" s="4" t="s">
        <f>=HYPERLINK("http://anyluxury.ru/shop/odezhda/tolstovki/svitshot-uniseks-set-in-svetlogoluboy-wu01w405/" , "WU01W405 Свитшот унисекс Set In, светло-голубой, размер M")</f>
      </c>
      <c r="C10876" s="4" t="n">
        <v>1369.00</v>
      </c>
      <c r="D10876" s="4"/>
    </row>
    <row collapsed="" customFormat="false" customHeight="1" hidden="" ht="14" outlineLevel="0" r="10877">
      <c r="A10877" s="3" t="inlineStr">
        <is>
          <t>10836</t>
        </is>
      </c>
      <c r="B10877" s="4" t="s">
        <f>=HYPERLINK("http://anyluxury.ru/shop/odezhda/tolstovki/svitshot-uniseks-set-in-svetlogoluboy-wu01w405/" , "WU01W405 Свитшот унисекс Set In, светло-голубой, размер L")</f>
      </c>
      <c r="C10877" s="4" t="n">
        <v>1369.00</v>
      </c>
      <c r="D10877" s="4"/>
    </row>
    <row collapsed="" customFormat="false" customHeight="1" hidden="" ht="14" outlineLevel="0" r="10878">
      <c r="A10878" s="3" t="inlineStr">
        <is>
          <t>10837</t>
        </is>
      </c>
      <c r="B10878" s="4" t="s">
        <f>=HYPERLINK("http://anyluxury.ru/shop/odezhda/tolstovki/svitshot-uniseks-set-in-svetlogoluboy-wu01w405/" , "WU01W405 Свитшот унисекс Set In, светло-голубой, размер XL")</f>
      </c>
      <c r="C10878" s="4" t="n">
        <v>1369.00</v>
      </c>
      <c r="D10878" s="4"/>
    </row>
    <row collapsed="" customFormat="false" customHeight="1" hidden="" ht="14" outlineLevel="0" r="10879">
      <c r="A10879" s="3" t="inlineStr">
        <is>
          <t>10838</t>
        </is>
      </c>
      <c r="B10879" s="4" t="s">
        <f>=HYPERLINK("http://anyluxury.ru/shop/odezhda/tolstovki/svitshot-uniseks-set-in-svetlogoluboy-wu01w405/" , "WU01W405 Свитшот унисекс Set In, светло-голубой, размер XXL")</f>
      </c>
      <c r="C10879" s="4" t="n">
        <v>1369.00</v>
      </c>
      <c r="D10879" s="4"/>
    </row>
    <row collapsed="" customFormat="false" customHeight="1" hidden="" ht="14" outlineLevel="0" r="10880">
      <c r="A10880" s="3" t="inlineStr">
        <is>
          <t>10839</t>
        </is>
      </c>
      <c r="B10880" s="4" t="s">
        <f>=HYPERLINK("http://anyluxury.ru/shop/odezhda/tolstovki/svitshot-uniseks-set-in-svetlogoluboy-wu01w405/" , "WU01W405 Свитшот унисекс Set In, светло-голубой, размер 3XL")</f>
      </c>
      <c r="C10880" s="4" t="n">
        <v>1369.00</v>
      </c>
      <c r="D10880" s="4"/>
    </row>
    <row collapsed="" customFormat="false" customHeight="1" hidden="" ht="14" outlineLevel="0" r="10881">
      <c r="A10881" s="3" t="inlineStr">
        <is>
          <t>10840</t>
        </is>
      </c>
      <c r="B10881" s="4" t="s">
        <f>=HYPERLINK("http://anyluxury.ru/shop/odezhda/tolstovki/svitshot-uniseks-set-in-yarkosiniy-wu01w453/" , "WU01W453 Свитшот унисекс Set In, ярко-синий, размер XS")</f>
      </c>
      <c r="C10881" s="4" t="n">
        <v>1369.00</v>
      </c>
      <c r="D10881" s="4"/>
    </row>
    <row collapsed="" customFormat="false" customHeight="1" hidden="" ht="14" outlineLevel="0" r="10882">
      <c r="A10882" s="3" t="inlineStr">
        <is>
          <t>10841</t>
        </is>
      </c>
      <c r="B10882" s="4" t="s">
        <f>=HYPERLINK("http://anyluxury.ru/shop/odezhda/tolstovki/svitshot-uniseks-set-in-yarkosiniy-wu01w453/" , "WU01W453 Свитшот унисекс Set In, ярко-синий, размер S")</f>
      </c>
      <c r="C10882" s="4" t="n">
        <v>1369.00</v>
      </c>
      <c r="D10882" s="4"/>
    </row>
    <row collapsed="" customFormat="false" customHeight="1" hidden="" ht="14" outlineLevel="0" r="10883">
      <c r="A10883" s="3" t="inlineStr">
        <is>
          <t>10842</t>
        </is>
      </c>
      <c r="B10883" s="4" t="s">
        <f>=HYPERLINK("http://anyluxury.ru/shop/odezhda/tolstovki/svitshot-uniseks-set-in-yarkosiniy-wu01w453/" , "WU01W453 Свитшот унисекс Set In, ярко-синий, размер M")</f>
      </c>
      <c r="C10883" s="4" t="n">
        <v>1369.00</v>
      </c>
      <c r="D10883" s="4"/>
    </row>
    <row collapsed="" customFormat="false" customHeight="1" hidden="" ht="14" outlineLevel="0" r="10884">
      <c r="A10884" s="3" t="inlineStr">
        <is>
          <t>10843</t>
        </is>
      </c>
      <c r="B10884" s="4" t="s">
        <f>=HYPERLINK("http://anyluxury.ru/shop/odezhda/tolstovki/svitshot-uniseks-set-in-yarkosiniy-wu01w453/" , "WU01W453 Свитшот унисекс Set In, ярко-синий, размер L")</f>
      </c>
      <c r="C10884" s="4" t="n">
        <v>1369.00</v>
      </c>
      <c r="D10884" s="4"/>
    </row>
    <row collapsed="" customFormat="false" customHeight="1" hidden="" ht="14" outlineLevel="0" r="10885">
      <c r="A10885" s="3" t="inlineStr">
        <is>
          <t>10844</t>
        </is>
      </c>
      <c r="B10885" s="4" t="s">
        <f>=HYPERLINK("http://anyluxury.ru/shop/odezhda/tolstovki/svitshot-uniseks-set-in-yarkosiniy-wu01w453/" , "WU01W453 Свитшот унисекс Set In, ярко-синий, размер XL")</f>
      </c>
      <c r="C10885" s="4" t="n">
        <v>1369.00</v>
      </c>
      <c r="D10885" s="4"/>
    </row>
    <row collapsed="" customFormat="false" customHeight="1" hidden="" ht="14" outlineLevel="0" r="10886">
      <c r="A10886" s="3" t="inlineStr">
        <is>
          <t>10845</t>
        </is>
      </c>
      <c r="B10886" s="4" t="s">
        <f>=HYPERLINK("http://anyluxury.ru/shop/odezhda/tolstovki/svitshot-uniseks-set-in-yarkosiniy-wu01w453/" , "WU01W453 Свитшот унисекс Set In, ярко-синий, размер XXL")</f>
      </c>
      <c r="C10886" s="4" t="n">
        <v>1369.00</v>
      </c>
      <c r="D10886" s="4"/>
    </row>
    <row collapsed="" customFormat="false" customHeight="1" hidden="" ht="14" outlineLevel="0" r="10887">
      <c r="A10887" s="3" t="inlineStr">
        <is>
          <t>10846</t>
        </is>
      </c>
      <c r="B10887" s="4" t="s">
        <f>=HYPERLINK("http://anyluxury.ru/shop/odezhda/tolstovki/svitshot-uniseks-set-in-yarkosiniy-wu01w453/" , "WU01W453 Свитшот унисекс Set In, ярко-синий, размер 3XL")</f>
      </c>
      <c r="C10887" s="4" t="n">
        <v>1369.00</v>
      </c>
      <c r="D10887" s="4"/>
    </row>
    <row collapsed="" customFormat="false" customHeight="1" hidden="" ht="14" outlineLevel="0" r="10888">
      <c r="A10888" s="3" t="inlineStr">
        <is>
          <t>10847</t>
        </is>
      </c>
      <c r="B10888" s="4" t="s">
        <f>=HYPERLINK("http://anyluxury.ru/shop/odezhda/tolstovki/svitshot-uniseks-set-in-yarkosiniy-wu01w453/" , "WU01W453 Свитшот унисекс Set In, ярко-синий, размер 4XL")</f>
      </c>
      <c r="C10888" s="4" t="n">
        <v>1701.00</v>
      </c>
      <c r="D10888" s="4"/>
    </row>
    <row collapsed="" customFormat="false" customHeight="1" hidden="" ht="14" outlineLevel="0" r="10889">
      <c r="A10889" s="3" t="inlineStr">
        <is>
          <t>10848</t>
        </is>
      </c>
      <c r="B10889" s="4" t="s">
        <f>=HYPERLINK("http://anyluxury.ru/shop/odezhda/tolstovki/svitshot-uniseks-set-in-yarkosiniy-wu01w453/" , "WU01W453 Свитшот унисекс Set In, ярко-синий, размер 5XL")</f>
      </c>
      <c r="C10889" s="4" t="n">
        <v>1701.00</v>
      </c>
      <c r="D10889" s="4"/>
    </row>
    <row collapsed="" customFormat="false" customHeight="1" hidden="" ht="14" outlineLevel="0" r="10890">
      <c r="A10890" s="3" t="inlineStr">
        <is>
          <t>10849</t>
        </is>
      </c>
      <c r="B10890" s="4" t="s">
        <f>=HYPERLINK("http://anyluxury.ru/shop/odezhda/tolstovki/svitshot-uniseks-set-in-serozeleniy-wu01w502/" , "WU01W502 Свитшот унисекс Set In, серо-зеленый, размер XS")</f>
      </c>
      <c r="C10890" s="4" t="n">
        <v>1369.00</v>
      </c>
      <c r="D10890" s="4"/>
    </row>
    <row collapsed="" customFormat="false" customHeight="1" hidden="" ht="14" outlineLevel="0" r="10891">
      <c r="A10891" s="3" t="inlineStr">
        <is>
          <t>10850</t>
        </is>
      </c>
      <c r="B10891" s="4" t="s">
        <f>=HYPERLINK("http://anyluxury.ru/shop/odezhda/tolstovki/svitshot-uniseks-set-in-serozeleniy-wu01w502/" , "WU01W502 Свитшот унисекс Set In, серо-зеленый, размер S")</f>
      </c>
      <c r="C10891" s="4" t="n">
        <v>1369.00</v>
      </c>
      <c r="D10891" s="4"/>
    </row>
    <row collapsed="" customFormat="false" customHeight="1" hidden="" ht="14" outlineLevel="0" r="10892">
      <c r="A10892" s="3" t="inlineStr">
        <is>
          <t>10851</t>
        </is>
      </c>
      <c r="B10892" s="4" t="s">
        <f>=HYPERLINK("http://anyluxury.ru/shop/odezhda/tolstovki/svitshot-uniseks-set-in-serozeleniy-wu01w502/" , "WU01W502 Свитшот унисекс Set In, серо-зеленый, размер M")</f>
      </c>
      <c r="C10892" s="4" t="n">
        <v>1369.00</v>
      </c>
      <c r="D10892" s="4"/>
    </row>
    <row collapsed="" customFormat="false" customHeight="1" hidden="" ht="14" outlineLevel="0" r="10893">
      <c r="A10893" s="3" t="inlineStr">
        <is>
          <t>10852</t>
        </is>
      </c>
      <c r="B10893" s="4" t="s">
        <f>=HYPERLINK("http://anyluxury.ru/shop/odezhda/tolstovki/svitshot-uniseks-set-in-serozeleniy-wu01w502/" , "WU01W502 Свитшот унисекс Set In, серо-зеленый, размер L")</f>
      </c>
      <c r="C10893" s="4" t="n">
        <v>1369.00</v>
      </c>
      <c r="D10893" s="4"/>
    </row>
    <row collapsed="" customFormat="false" customHeight="1" hidden="" ht="14" outlineLevel="0" r="10894">
      <c r="A10894" s="3" t="inlineStr">
        <is>
          <t>10853</t>
        </is>
      </c>
      <c r="B10894" s="4" t="s">
        <f>=HYPERLINK("http://anyluxury.ru/shop/odezhda/tolstovki/svitshot-uniseks-set-in-serozeleniy-wu01w502/" , "WU01W502 Свитшот унисекс Set In, серо-зеленый, размер XL")</f>
      </c>
      <c r="C10894" s="4" t="n">
        <v>1369.00</v>
      </c>
      <c r="D10894" s="4"/>
    </row>
    <row collapsed="" customFormat="false" customHeight="1" hidden="" ht="14" outlineLevel="0" r="10895">
      <c r="A10895" s="3" t="inlineStr">
        <is>
          <t>10854</t>
        </is>
      </c>
      <c r="B10895" s="4" t="s">
        <f>=HYPERLINK("http://anyluxury.ru/shop/odezhda/tolstovki/svitshot-uniseks-set-in-serozeleniy-wu01w502/" , "WU01W502 Свитшот унисекс Set In, серо-зеленый, размер XXL")</f>
      </c>
      <c r="C10895" s="4" t="n">
        <v>1369.00</v>
      </c>
      <c r="D10895" s="4"/>
    </row>
    <row collapsed="" customFormat="false" customHeight="1" hidden="" ht="14" outlineLevel="0" r="10896">
      <c r="A10896" s="3" t="inlineStr">
        <is>
          <t>10855</t>
        </is>
      </c>
      <c r="B10896" s="4" t="s">
        <f>=HYPERLINK("http://anyluxury.ru/shop/odezhda/tolstovki/svitshot-uniseks-set-in-serozeleniy-wu01w502/" , "WU01W502 Свитшот унисекс Set In, серо-зеленый, размер 3XL")</f>
      </c>
      <c r="C10896" s="4" t="n">
        <v>1369.00</v>
      </c>
      <c r="D10896" s="4"/>
    </row>
    <row collapsed="" customFormat="false" customHeight="1" hidden="" ht="14" outlineLevel="0" r="10897">
      <c r="A10897" s="3" t="inlineStr">
        <is>
          <t>10856</t>
        </is>
      </c>
      <c r="B10897" s="4" t="s">
        <f>=HYPERLINK("http://anyluxury.ru/shop/odezhda/tolstovki/svitshot-uniseks-set-in-svetlozeleniy-wu01w503/" , "WU01W503 Свитшот унисекс Set In, светло-зеленый, размер XS")</f>
      </c>
      <c r="C10897" s="4" t="n">
        <v>1369.00</v>
      </c>
      <c r="D10897" s="4"/>
    </row>
    <row collapsed="" customFormat="false" customHeight="1" hidden="" ht="14" outlineLevel="0" r="10898">
      <c r="A10898" s="3" t="inlineStr">
        <is>
          <t>10857</t>
        </is>
      </c>
      <c r="B10898" s="4" t="s">
        <f>=HYPERLINK("http://anyluxury.ru/shop/odezhda/tolstovki/svitshot-uniseks-set-in-svetlozeleniy-wu01w503/" , "WU01W503 Свитшот унисекс Set In, светло-зеленый, размер S")</f>
      </c>
      <c r="C10898" s="4" t="n">
        <v>1369.00</v>
      </c>
      <c r="D10898" s="4"/>
    </row>
    <row collapsed="" customFormat="false" customHeight="1" hidden="" ht="14" outlineLevel="0" r="10899">
      <c r="A10899" s="3" t="inlineStr">
        <is>
          <t>10858</t>
        </is>
      </c>
      <c r="B10899" s="4" t="s">
        <f>=HYPERLINK("http://anyluxury.ru/shop/odezhda/tolstovki/svitshot-uniseks-set-in-svetlozeleniy-wu01w503/" , "WU01W503 Свитшот унисекс Set In, светло-зеленый, размер M")</f>
      </c>
      <c r="C10899" s="4" t="n">
        <v>1369.00</v>
      </c>
      <c r="D10899" s="4"/>
    </row>
    <row collapsed="" customFormat="false" customHeight="1" hidden="" ht="14" outlineLevel="0" r="10900">
      <c r="A10900" s="3" t="inlineStr">
        <is>
          <t>10859</t>
        </is>
      </c>
      <c r="B10900" s="4" t="s">
        <f>=HYPERLINK("http://anyluxury.ru/shop/odezhda/tolstovki/svitshot-uniseks-set-in-svetlozeleniy-wu01w503/" , "WU01W503 Свитшот унисекс Set In, светло-зеленый, размер L")</f>
      </c>
      <c r="C10900" s="4" t="n">
        <v>1369.00</v>
      </c>
      <c r="D10900" s="4"/>
    </row>
    <row collapsed="" customFormat="false" customHeight="1" hidden="" ht="14" outlineLevel="0" r="10901">
      <c r="A10901" s="3" t="inlineStr">
        <is>
          <t>10860</t>
        </is>
      </c>
      <c r="B10901" s="4" t="s">
        <f>=HYPERLINK("http://anyluxury.ru/shop/odezhda/tolstovki/svitshot-uniseks-set-in-svetlozeleniy-wu01w503/" , "WU01W503 Свитшот унисекс Set In, светло-зеленый, размер XL")</f>
      </c>
      <c r="C10901" s="4" t="n">
        <v>1369.00</v>
      </c>
      <c r="D10901" s="4"/>
    </row>
    <row collapsed="" customFormat="false" customHeight="1" hidden="" ht="14" outlineLevel="0" r="10902">
      <c r="A10902" s="3" t="inlineStr">
        <is>
          <t>10861</t>
        </is>
      </c>
      <c r="B10902" s="4" t="s">
        <f>=HYPERLINK("http://anyluxury.ru/shop/odezhda/tolstovki/svitshot-uniseks-set-in-svetlozeleniy-wu01w503/" , "WU01W503 Свитшот унисекс Set In, светло-зеленый, размер XXL")</f>
      </c>
      <c r="C10902" s="4" t="n">
        <v>1369.00</v>
      </c>
      <c r="D10902" s="4"/>
    </row>
    <row collapsed="" customFormat="false" customHeight="1" hidden="" ht="14" outlineLevel="0" r="10903">
      <c r="A10903" s="3" t="inlineStr">
        <is>
          <t>10862</t>
        </is>
      </c>
      <c r="B10903" s="4" t="s">
        <f>=HYPERLINK("http://anyluxury.ru/shop/odezhda/tolstovki/svitshot-uniseks-set-in-svetlozeleniy-wu01w503/" , "WU01W503 Свитшот унисекс Set In, светло-зеленый, размер 3XL")</f>
      </c>
      <c r="C10903" s="4" t="n">
        <v>1369.00</v>
      </c>
      <c r="D10903" s="4"/>
    </row>
    <row collapsed="" customFormat="false" customHeight="1" hidden="" ht="14" outlineLevel="0" r="10904">
      <c r="A10904" s="3" t="inlineStr">
        <is>
          <t>10863</t>
        </is>
      </c>
      <c r="B10904" s="4" t="s">
        <f>=HYPERLINK("http://anyluxury.ru/shop/odezhda/tolstovki/svitshot-uniseks-set-in-zeleniy-wu01w520/" , "WU01W520 Свитшот унисекс Set In, зеленый, размер XS")</f>
      </c>
      <c r="C10904" s="4" t="n">
        <v>1369.00</v>
      </c>
      <c r="D10904" s="4"/>
    </row>
    <row collapsed="" customFormat="false" customHeight="1" hidden="" ht="14" outlineLevel="0" r="10905">
      <c r="A10905" s="3" t="inlineStr">
        <is>
          <t>10864</t>
        </is>
      </c>
      <c r="B10905" s="4" t="s">
        <f>=HYPERLINK("http://anyluxury.ru/shop/odezhda/tolstovki/svitshot-uniseks-set-in-zeleniy-wu01w520/" , "WU01W520 Свитшот унисекс Set In, зеленый, размер S")</f>
      </c>
      <c r="C10905" s="4" t="n">
        <v>1369.00</v>
      </c>
      <c r="D10905" s="4"/>
    </row>
    <row collapsed="" customFormat="false" customHeight="1" hidden="" ht="14" outlineLevel="0" r="10906">
      <c r="A10906" s="3" t="inlineStr">
        <is>
          <t>10865</t>
        </is>
      </c>
      <c r="B10906" s="4" t="s">
        <f>=HYPERLINK("http://anyluxury.ru/shop/odezhda/tolstovki/svitshot-uniseks-set-in-zeleniy-wu01w520/" , "WU01W520 Свитшот унисекс Set In, зеленый, размер M")</f>
      </c>
      <c r="C10906" s="4" t="n">
        <v>1369.00</v>
      </c>
      <c r="D10906" s="4"/>
    </row>
    <row collapsed="" customFormat="false" customHeight="1" hidden="" ht="14" outlineLevel="0" r="10907">
      <c r="A10907" s="3" t="inlineStr">
        <is>
          <t>10866</t>
        </is>
      </c>
      <c r="B10907" s="4" t="s">
        <f>=HYPERLINK("http://anyluxury.ru/shop/odezhda/tolstovki/svitshot-uniseks-set-in-zeleniy-wu01w520/" , "WU01W520 Свитшот унисекс Set In, зеленый, размер L")</f>
      </c>
      <c r="C10907" s="4" t="n">
        <v>1369.00</v>
      </c>
      <c r="D10907" s="4"/>
    </row>
    <row collapsed="" customFormat="false" customHeight="1" hidden="" ht="14" outlineLevel="0" r="10908">
      <c r="A10908" s="3" t="inlineStr">
        <is>
          <t>10867</t>
        </is>
      </c>
      <c r="B10908" s="4" t="s">
        <f>=HYPERLINK("http://anyluxury.ru/shop/odezhda/tolstovki/svitshot-uniseks-set-in-zeleniy-wu01w520/" , "WU01W520 Свитшот унисекс Set In, зеленый, размер XL")</f>
      </c>
      <c r="C10908" s="4" t="n">
        <v>1369.00</v>
      </c>
      <c r="D10908" s="4"/>
    </row>
    <row collapsed="" customFormat="false" customHeight="1" hidden="" ht="14" outlineLevel="0" r="10909">
      <c r="A10909" s="3" t="inlineStr">
        <is>
          <t>10868</t>
        </is>
      </c>
      <c r="B10909" s="4" t="s">
        <f>=HYPERLINK("http://anyluxury.ru/shop/odezhda/tolstovki/svitshot-uniseks-set-in-zeleniy-wu01w520/" , "WU01W520 Свитшот унисекс Set In, зеленый, размер XXL")</f>
      </c>
      <c r="C10909" s="4" t="n">
        <v>1369.00</v>
      </c>
      <c r="D10909" s="4"/>
    </row>
    <row collapsed="" customFormat="false" customHeight="1" hidden="" ht="14" outlineLevel="0" r="10910">
      <c r="A10910" s="3" t="inlineStr">
        <is>
          <t>10869</t>
        </is>
      </c>
      <c r="B10910" s="4" t="s">
        <f>=HYPERLINK("http://anyluxury.ru/shop/odezhda/tolstovki/svitshot-uniseks-set-in-zeleniy-wu01w520/" , "WU01W520 Свитшот унисекс Set In, зеленый, размер 3XL")</f>
      </c>
      <c r="C10910" s="4" t="n">
        <v>1369.00</v>
      </c>
      <c r="D10910" s="4"/>
    </row>
    <row collapsed="" customFormat="false" customHeight="1" hidden="" ht="14" outlineLevel="0" r="10911">
      <c r="A10911" s="3" t="inlineStr">
        <is>
          <t>10870</t>
        </is>
      </c>
      <c r="B10911" s="4" t="s">
        <f>=HYPERLINK("http://anyluxury.ru/shop/odezhda/tolstovki/svitshot-uniseks-set-in-haki-wu01w551/" , "WU01W551 Свитшот унисекс Set In, хаки, размер XS")</f>
      </c>
      <c r="C10911" s="4" t="n">
        <v>1369.00</v>
      </c>
      <c r="D10911" s="4"/>
    </row>
    <row collapsed="" customFormat="false" customHeight="1" hidden="" ht="14" outlineLevel="0" r="10912">
      <c r="A10912" s="3" t="inlineStr">
        <is>
          <t>10871</t>
        </is>
      </c>
      <c r="B10912" s="4" t="s">
        <f>=HYPERLINK("http://anyluxury.ru/shop/odezhda/tolstovki/svitshot-uniseks-set-in-haki-wu01w551/" , "WU01W551 Свитшот унисекс Set In, хаки, размер S")</f>
      </c>
      <c r="C10912" s="4" t="n">
        <v>1369.00</v>
      </c>
      <c r="D10912" s="4"/>
    </row>
    <row collapsed="" customFormat="false" customHeight="1" hidden="" ht="14" outlineLevel="0" r="10913">
      <c r="A10913" s="3" t="inlineStr">
        <is>
          <t>10872</t>
        </is>
      </c>
      <c r="B10913" s="4" t="s">
        <f>=HYPERLINK("http://anyluxury.ru/shop/odezhda/tolstovki/svitshot-uniseks-set-in-haki-wu01w551/" , "WU01W551 Свитшот унисекс Set In, хаки, размер M")</f>
      </c>
      <c r="C10913" s="4" t="n">
        <v>1369.00</v>
      </c>
      <c r="D10913" s="4"/>
    </row>
    <row collapsed="" customFormat="false" customHeight="1" hidden="" ht="14" outlineLevel="0" r="10914">
      <c r="A10914" s="3" t="inlineStr">
        <is>
          <t>10873</t>
        </is>
      </c>
      <c r="B10914" s="4" t="s">
        <f>=HYPERLINK("http://anyluxury.ru/shop/odezhda/tolstovki/svitshot-uniseks-set-in-haki-wu01w551/" , "WU01W551 Свитшот унисекс Set In, хаки, размер L")</f>
      </c>
      <c r="C10914" s="4" t="n">
        <v>1369.00</v>
      </c>
      <c r="D10914" s="4"/>
    </row>
    <row collapsed="" customFormat="false" customHeight="1" hidden="" ht="14" outlineLevel="0" r="10915">
      <c r="A10915" s="3" t="inlineStr">
        <is>
          <t>10874</t>
        </is>
      </c>
      <c r="B10915" s="4" t="s">
        <f>=HYPERLINK("http://anyluxury.ru/shop/odezhda/tolstovki/svitshot-uniseks-set-in-haki-wu01w551/" , "WU01W551 Свитшот унисекс Set In, хаки, размер XL")</f>
      </c>
      <c r="C10915" s="4" t="n">
        <v>1369.00</v>
      </c>
      <c r="D10915" s="4"/>
    </row>
    <row collapsed="" customFormat="false" customHeight="1" hidden="" ht="14" outlineLevel="0" r="10916">
      <c r="A10916" s="3" t="inlineStr">
        <is>
          <t>10875</t>
        </is>
      </c>
      <c r="B10916" s="4" t="s">
        <f>=HYPERLINK("http://anyluxury.ru/shop/odezhda/tolstovki/svitshot-uniseks-set-in-haki-wu01w551/" , "WU01W551 Свитшот унисекс Set In, хаки, размер XXL")</f>
      </c>
      <c r="C10916" s="4" t="n">
        <v>1369.00</v>
      </c>
      <c r="D10916" s="4"/>
    </row>
    <row collapsed="" customFormat="false" customHeight="1" hidden="" ht="14" outlineLevel="0" r="10917">
      <c r="A10917" s="3" t="inlineStr">
        <is>
          <t>10876</t>
        </is>
      </c>
      <c r="B10917" s="4" t="s">
        <f>=HYPERLINK("http://anyluxury.ru/shop/odezhda/tolstovki/svitshot-uniseks-set-in-haki-wu01w551/" , "WU01W551 Свитшот унисекс Set In, хаки, размер 3XL")</f>
      </c>
      <c r="C10917" s="4" t="n">
        <v>1369.00</v>
      </c>
      <c r="D10917" s="4"/>
    </row>
    <row collapsed="" customFormat="false" customHeight="1" hidden="" ht="14" outlineLevel="0" r="10918">
      <c r="A10918" s="3" t="inlineStr">
        <is>
          <t>10877</t>
        </is>
      </c>
      <c r="B10918" s="4" t="s">
        <f>=HYPERLINK("http://anyluxury.ru/shop/odezhda/tolstovki/svitshot-uniseks-set-in-temnoseriy-melanzh-wu01w623/" , "WU01W623 Свитшот унисекс Set In, темно-серый меланж, размер XS")</f>
      </c>
      <c r="C10918" s="4" t="n">
        <v>1369.00</v>
      </c>
      <c r="D10918" s="4"/>
    </row>
    <row collapsed="" customFormat="false" customHeight="1" hidden="" ht="14" outlineLevel="0" r="10919">
      <c r="A10919" s="3" t="inlineStr">
        <is>
          <t>10878</t>
        </is>
      </c>
      <c r="B10919" s="4" t="s">
        <f>=HYPERLINK("http://anyluxury.ru/shop/odezhda/tolstovki/svitshot-uniseks-set-in-temnoseriy-melanzh-wu01w623/" , "WU01W623 Свитшот унисекс Set In, темно-серый меланж, размер S")</f>
      </c>
      <c r="C10919" s="4" t="n">
        <v>1369.00</v>
      </c>
      <c r="D10919" s="4"/>
    </row>
    <row collapsed="" customFormat="false" customHeight="1" hidden="" ht="14" outlineLevel="0" r="10920">
      <c r="A10920" s="3" t="inlineStr">
        <is>
          <t>10879</t>
        </is>
      </c>
      <c r="B10920" s="4" t="s">
        <f>=HYPERLINK("http://anyluxury.ru/shop/odezhda/tolstovki/svitshot-uniseks-set-in-temnoseriy-melanzh-wu01w623/" , "WU01W623 Свитшот унисекс Set In, темно-серый меланж, размер M")</f>
      </c>
      <c r="C10920" s="4" t="n">
        <v>1369.00</v>
      </c>
      <c r="D10920" s="4"/>
    </row>
    <row collapsed="" customFormat="false" customHeight="1" hidden="" ht="14" outlineLevel="0" r="10921">
      <c r="A10921" s="3" t="inlineStr">
        <is>
          <t>10880</t>
        </is>
      </c>
      <c r="B10921" s="4" t="s">
        <f>=HYPERLINK("http://anyluxury.ru/shop/odezhda/tolstovki/svitshot-uniseks-set-in-temnoseriy-melanzh-wu01w623/" , "WU01W623 Свитшот унисекс Set In, темно-серый меланж, размер L")</f>
      </c>
      <c r="C10921" s="4" t="n">
        <v>1369.00</v>
      </c>
      <c r="D10921" s="4"/>
    </row>
    <row collapsed="" customFormat="false" customHeight="1" hidden="" ht="14" outlineLevel="0" r="10922">
      <c r="A10922" s="3" t="inlineStr">
        <is>
          <t>10881</t>
        </is>
      </c>
      <c r="B10922" s="4" t="s">
        <f>=HYPERLINK("http://anyluxury.ru/shop/odezhda/tolstovki/svitshot-uniseks-set-in-temnoseriy-melanzh-wu01w623/" , "WU01W623 Свитшот унисекс Set In, темно-серый меланж, размер XL")</f>
      </c>
      <c r="C10922" s="4" t="n">
        <v>1369.00</v>
      </c>
      <c r="D10922" s="4"/>
    </row>
    <row collapsed="" customFormat="false" customHeight="1" hidden="" ht="14" outlineLevel="0" r="10923">
      <c r="A10923" s="3" t="inlineStr">
        <is>
          <t>10882</t>
        </is>
      </c>
      <c r="B10923" s="4" t="s">
        <f>=HYPERLINK("http://anyluxury.ru/shop/odezhda/tolstovki/svitshot-uniseks-set-in-temnoseriy-melanzh-wu01w623/" , "WU01W623 Свитшот унисекс Set In, темно-серый меланж, размер XXL")</f>
      </c>
      <c r="C10923" s="4" t="n">
        <v>1369.00</v>
      </c>
      <c r="D10923" s="4"/>
    </row>
    <row collapsed="" customFormat="false" customHeight="1" hidden="" ht="14" outlineLevel="0" r="10924">
      <c r="A10924" s="3" t="inlineStr">
        <is>
          <t>10883</t>
        </is>
      </c>
      <c r="B10924" s="4" t="s">
        <f>=HYPERLINK("http://anyluxury.ru/shop/odezhda/tolstovki/svitshot-uniseks-set-in-temnoseriy-melanzh-wu01w623/" , "WU01W623 Свитшот унисекс Set In, темно-серый меланж, размер 3XL")</f>
      </c>
      <c r="C10924" s="4" t="n">
        <v>1369.00</v>
      </c>
      <c r="D10924" s="4"/>
    </row>
    <row collapsed="" customFormat="false" customHeight="1" hidden="" ht="14" outlineLevel="0" r="10925">
      <c r="A10925" s="3" t="inlineStr">
        <is>
          <t>10884</t>
        </is>
      </c>
      <c r="B10925" s="4" t="s">
        <f>=HYPERLINK("http://anyluxury.ru/shop/odezhda/tolstovki/svitshot-uniseks-set-in-seriy-stalnoy-wu01w665/" , "WU01W665 Свитшот унисекс Set In, серый (стальной), размер XS")</f>
      </c>
      <c r="C10925" s="4" t="n">
        <v>1369.00</v>
      </c>
      <c r="D10925" s="4"/>
    </row>
    <row collapsed="" customFormat="false" customHeight="1" hidden="" ht="14" outlineLevel="0" r="10926">
      <c r="A10926" s="3" t="inlineStr">
        <is>
          <t>10885</t>
        </is>
      </c>
      <c r="B10926" s="4" t="s">
        <f>=HYPERLINK("http://anyluxury.ru/shop/odezhda/tolstovki/svitshot-uniseks-set-in-seriy-stalnoy-wu01w665/" , "WU01W665 Свитшот унисекс Set In, серый (стальной), размер S")</f>
      </c>
      <c r="C10926" s="4" t="n">
        <v>1369.00</v>
      </c>
      <c r="D10926" s="4"/>
    </row>
    <row collapsed="" customFormat="false" customHeight="1" hidden="" ht="14" outlineLevel="0" r="10927">
      <c r="A10927" s="3" t="inlineStr">
        <is>
          <t>10886</t>
        </is>
      </c>
      <c r="B10927" s="4" t="s">
        <f>=HYPERLINK("http://anyluxury.ru/shop/odezhda/tolstovki/svitshot-uniseks-set-in-seriy-stalnoy-wu01w665/" , "WU01W665 Свитшот унисекс Set In, серый (стальной), размер M")</f>
      </c>
      <c r="C10927" s="4" t="n">
        <v>1369.00</v>
      </c>
      <c r="D10927" s="4"/>
    </row>
    <row collapsed="" customFormat="false" customHeight="1" hidden="" ht="14" outlineLevel="0" r="10928">
      <c r="A10928" s="3" t="inlineStr">
        <is>
          <t>10887</t>
        </is>
      </c>
      <c r="B10928" s="4" t="s">
        <f>=HYPERLINK("http://anyluxury.ru/shop/odezhda/tolstovki/svitshot-uniseks-set-in-seriy-stalnoy-wu01w665/" , "WU01W665 Свитшот унисекс Set In, серый (стальной), размер L")</f>
      </c>
      <c r="C10928" s="4" t="n">
        <v>1369.00</v>
      </c>
      <c r="D10928" s="4"/>
    </row>
    <row collapsed="" customFormat="false" customHeight="1" hidden="" ht="14" outlineLevel="0" r="10929">
      <c r="A10929" s="3" t="inlineStr">
        <is>
          <t>10888</t>
        </is>
      </c>
      <c r="B10929" s="4" t="s">
        <f>=HYPERLINK("http://anyluxury.ru/shop/odezhda/tolstovki/svitshot-uniseks-set-in-seriy-stalnoy-wu01w665/" , "WU01W665 Свитшот унисекс Set In, серый (стальной), размер XL")</f>
      </c>
      <c r="C10929" s="4" t="n">
        <v>1369.00</v>
      </c>
      <c r="D10929" s="4"/>
    </row>
    <row collapsed="" customFormat="false" customHeight="1" hidden="" ht="14" outlineLevel="0" r="10930">
      <c r="A10930" s="3" t="inlineStr">
        <is>
          <t>10889</t>
        </is>
      </c>
      <c r="B10930" s="4" t="s">
        <f>=HYPERLINK("http://anyluxury.ru/shop/odezhda/tolstovki/svitshot-uniseks-set-in-seriy-stalnoy-wu01w665/" , "WU01W665 Свитшот унисекс Set In, серый (стальной), размер XXL")</f>
      </c>
      <c r="C10930" s="4" t="n">
        <v>1369.00</v>
      </c>
      <c r="D10930" s="4"/>
    </row>
    <row collapsed="" customFormat="false" customHeight="1" hidden="" ht="14" outlineLevel="0" r="10931">
      <c r="A10931" s="3" t="inlineStr">
        <is>
          <t>10890</t>
        </is>
      </c>
      <c r="B10931" s="4" t="s">
        <f>=HYPERLINK("http://anyluxury.ru/shop/odezhda/tolstovki/svitshot-uniseks-set-in-seriy-stalnoy-wu01w665/" , "WU01W665 Свитшот унисекс Set In, серый (стальной), размер 3XL")</f>
      </c>
      <c r="C10931" s="4" t="n">
        <v>1369.00</v>
      </c>
      <c r="D10931" s="4"/>
    </row>
    <row collapsed="" customFormat="false" customHeight="1" hidden="" ht="14" outlineLevel="0" r="10932">
      <c r="A10932" s="3" t="inlineStr">
        <is>
          <t>10891</t>
        </is>
      </c>
      <c r="B10932" s="4" t="s">
        <f>=HYPERLINK("http://anyluxury.ru/shop/odezhda/tolstovki/svitshot-uniseks-set-in-temnoseriy-wu01w669/" , "WU01W669 Свитшот унисекс Set In, темно-серый, размер XS")</f>
      </c>
      <c r="C10932" s="4" t="n">
        <v>1369.00</v>
      </c>
      <c r="D10932" s="4"/>
    </row>
    <row collapsed="" customFormat="false" customHeight="1" hidden="" ht="14" outlineLevel="0" r="10933">
      <c r="A10933" s="3" t="inlineStr">
        <is>
          <t>10892</t>
        </is>
      </c>
      <c r="B10933" s="4" t="s">
        <f>=HYPERLINK("http://anyluxury.ru/shop/odezhda/tolstovki/svitshot-uniseks-set-in-temnoseriy-wu01w669/" , "WU01W669 Свитшот унисекс Set In, темно-серый, размер S")</f>
      </c>
      <c r="C10933" s="4" t="n">
        <v>1369.00</v>
      </c>
      <c r="D10933" s="4"/>
    </row>
    <row collapsed="" customFormat="false" customHeight="1" hidden="" ht="14" outlineLevel="0" r="10934">
      <c r="A10934" s="3" t="inlineStr">
        <is>
          <t>10893</t>
        </is>
      </c>
      <c r="B10934" s="4" t="s">
        <f>=HYPERLINK("http://anyluxury.ru/shop/odezhda/tolstovki/svitshot-uniseks-set-in-temnoseriy-wu01w669/" , "WU01W669 Свитшот унисекс Set In, темно-серый, размер M")</f>
      </c>
      <c r="C10934" s="4" t="n">
        <v>1369.00</v>
      </c>
      <c r="D10934" s="4"/>
    </row>
    <row collapsed="" customFormat="false" customHeight="1" hidden="" ht="14" outlineLevel="0" r="10935">
      <c r="A10935" s="3" t="inlineStr">
        <is>
          <t>10894</t>
        </is>
      </c>
      <c r="B10935" s="4" t="s">
        <f>=HYPERLINK("http://anyluxury.ru/shop/odezhda/tolstovki/svitshot-uniseks-set-in-temnoseriy-wu01w669/" , "WU01W669 Свитшот унисекс Set In, темно-серый, размер L")</f>
      </c>
      <c r="C10935" s="4" t="n">
        <v>1369.00</v>
      </c>
      <c r="D10935" s="4"/>
    </row>
    <row collapsed="" customFormat="false" customHeight="1" hidden="" ht="14" outlineLevel="0" r="10936">
      <c r="A10936" s="3" t="inlineStr">
        <is>
          <t>10895</t>
        </is>
      </c>
      <c r="B10936" s="4" t="s">
        <f>=HYPERLINK("http://anyluxury.ru/shop/odezhda/tolstovki/svitshot-uniseks-set-in-temnoseriy-wu01w669/" , "WU01W669 Свитшот унисекс Set In, темно-серый, размер XL")</f>
      </c>
      <c r="C10936" s="4" t="n">
        <v>1369.00</v>
      </c>
      <c r="D10936" s="4"/>
    </row>
    <row collapsed="" customFormat="false" customHeight="1" hidden="" ht="14" outlineLevel="0" r="10937">
      <c r="A10937" s="3" t="inlineStr">
        <is>
          <t>10896</t>
        </is>
      </c>
      <c r="B10937" s="4" t="s">
        <f>=HYPERLINK("http://anyluxury.ru/shop/odezhda/tolstovki/svitshot-uniseks-set-in-temnoseriy-wu01w669/" , "WU01W669 Свитшот унисекс Set In, темно-серый, размер XXL")</f>
      </c>
      <c r="C10937" s="4" t="n">
        <v>1369.00</v>
      </c>
      <c r="D10937" s="4"/>
    </row>
    <row collapsed="" customFormat="false" customHeight="1" hidden="" ht="14" outlineLevel="0" r="10938">
      <c r="A10938" s="3" t="inlineStr">
        <is>
          <t>10897</t>
        </is>
      </c>
      <c r="B10938" s="4" t="s">
        <f>=HYPERLINK("http://anyluxury.ru/shop/odezhda/tolstovki/svitshot-uniseks-set-in-temnoseriy-wu01w669/" , "WU01W669 Свитшот унисекс Set In, темно-серый, размер 3XL")</f>
      </c>
      <c r="C10938" s="4" t="n">
        <v>1369.00</v>
      </c>
      <c r="D10938" s="4"/>
    </row>
    <row collapsed="" customFormat="false" customHeight="1" hidden="" ht="14" outlineLevel="0" r="10939">
      <c r="A10939" s="3" t="inlineStr">
        <is>
          <t>10898</t>
        </is>
      </c>
      <c r="B10939" s="4" t="s">
        <f>=HYPERLINK("http://anyluxury.ru/shop/odezhda/tolstovki/svitshot-uniseks-set-in-temnoseriy-wu01w669/" , "WU01W669 Свитшот унисекс Set In, темно-серый, размер 4XL")</f>
      </c>
      <c r="C10939" s="4" t="n">
        <v>1701.00</v>
      </c>
      <c r="D10939" s="4"/>
    </row>
    <row collapsed="" customFormat="false" customHeight="1" hidden="" ht="14" outlineLevel="0" r="10940">
      <c r="A10940" s="3" t="inlineStr">
        <is>
          <t>10899</t>
        </is>
      </c>
      <c r="B10940" s="4" t="s">
        <f>=HYPERLINK("http://anyluxury.ru/shop/odezhda/tolstovki/svitshot-uniseks-set-in-temnoseriy-wu01w669/" , "WU01W669 Свитшот унисекс Set In, темно-серый, размер 5XL")</f>
      </c>
      <c r="C10940" s="4" t="n">
        <v>1701.00</v>
      </c>
      <c r="D10940" s="4"/>
    </row>
    <row collapsed="" customFormat="false" customHeight="1" hidden="" ht="14" outlineLevel="0" r="10941">
      <c r="A10941" s="3" t="inlineStr">
        <is>
          <t>10900</t>
        </is>
      </c>
      <c r="B10941" s="4" t="s">
        <f>=HYPERLINK("http://anyluxury.ru/shop/odezhda/tolstovki/svitshot-uniseks-set-in-temnozeleniy-wu01w882/" , "WU01W882 Свитшот унисекс Set In, темно-зеленый, размер XS")</f>
      </c>
      <c r="C10941" s="4" t="n">
        <v>1369.00</v>
      </c>
      <c r="D10941" s="4"/>
    </row>
    <row collapsed="" customFormat="false" customHeight="1" hidden="" ht="14" outlineLevel="0" r="10942">
      <c r="A10942" s="3" t="inlineStr">
        <is>
          <t>10901</t>
        </is>
      </c>
      <c r="B10942" s="4" t="s">
        <f>=HYPERLINK("http://anyluxury.ru/shop/odezhda/tolstovki/svitshot-uniseks-set-in-temnozeleniy-wu01w882/" , "WU01W882 Свитшот унисекс Set In, темно-зеленый, размер S")</f>
      </c>
      <c r="C10942" s="4" t="n">
        <v>1369.00</v>
      </c>
      <c r="D10942" s="4"/>
    </row>
    <row collapsed="" customFormat="false" customHeight="1" hidden="" ht="14" outlineLevel="0" r="10943">
      <c r="A10943" s="3" t="inlineStr">
        <is>
          <t>10902</t>
        </is>
      </c>
      <c r="B10943" s="4" t="s">
        <f>=HYPERLINK("http://anyluxury.ru/shop/odezhda/tolstovki/svitshot-uniseks-set-in-temnozeleniy-wu01w882/" , "WU01W882 Свитшот унисекс Set In, темно-зеленый, размер M")</f>
      </c>
      <c r="C10943" s="4" t="n">
        <v>1369.00</v>
      </c>
      <c r="D10943" s="4"/>
    </row>
    <row collapsed="" customFormat="false" customHeight="1" hidden="" ht="14" outlineLevel="0" r="10944">
      <c r="A10944" s="3" t="inlineStr">
        <is>
          <t>10903</t>
        </is>
      </c>
      <c r="B10944" s="4" t="s">
        <f>=HYPERLINK("http://anyluxury.ru/shop/odezhda/tolstovki/svitshot-uniseks-set-in-temnozeleniy-wu01w882/" , "WU01W882 Свитшот унисекс Set In, темно-зеленый, размер L")</f>
      </c>
      <c r="C10944" s="4" t="n">
        <v>1369.00</v>
      </c>
      <c r="D10944" s="4"/>
    </row>
    <row collapsed="" customFormat="false" customHeight="1" hidden="" ht="14" outlineLevel="0" r="10945">
      <c r="A10945" s="3" t="inlineStr">
        <is>
          <t>10904</t>
        </is>
      </c>
      <c r="B10945" s="4" t="s">
        <f>=HYPERLINK("http://anyluxury.ru/shop/odezhda/tolstovki/svitshot-uniseks-set-in-temnozeleniy-wu01w882/" , "WU01W882 Свитшот унисекс Set In, темно-зеленый, размер XL")</f>
      </c>
      <c r="C10945" s="4" t="n">
        <v>1369.00</v>
      </c>
      <c r="D10945" s="4"/>
    </row>
    <row collapsed="" customFormat="false" customHeight="1" hidden="" ht="14" outlineLevel="0" r="10946">
      <c r="A10946" s="3" t="inlineStr">
        <is>
          <t>10905</t>
        </is>
      </c>
      <c r="B10946" s="4" t="s">
        <f>=HYPERLINK("http://anyluxury.ru/shop/odezhda/tolstovki/svitshot-uniseks-set-in-temnozeleniy-wu01w882/" , "WU01W882 Свитшот унисекс Set In, темно-зеленый, размер XXL")</f>
      </c>
      <c r="C10946" s="4" t="n">
        <v>1369.00</v>
      </c>
      <c r="D10946" s="4"/>
    </row>
    <row collapsed="" customFormat="false" customHeight="1" hidden="" ht="14" outlineLevel="0" r="10947">
      <c r="A10947" s="3" t="inlineStr">
        <is>
          <t>10906</t>
        </is>
      </c>
      <c r="B10947" s="4" t="s">
        <f>=HYPERLINK("http://anyluxury.ru/shop/odezhda/tolstovki/svitshot-uniseks-set-in-temnozeleniy-wu01w882/" , "WU01W882 Свитшот унисекс Set In, темно-зеленый, размер 3XL")</f>
      </c>
      <c r="C10947" s="4" t="n">
        <v>1369.00</v>
      </c>
      <c r="D10947" s="4"/>
    </row>
    <row collapsed="" customFormat="false" customHeight="1" hidden="" ht="14" outlineLevel="0" r="10948">
      <c r="A10948" s="3" t="inlineStr">
        <is>
          <t>10907</t>
        </is>
      </c>
      <c r="B10948" s="4" t="s">
        <f>=HYPERLINK("http://anyluxury.ru/shop/odezhda/tolstovki/svitshot-zhenskiy-set-in-krasniy-ww02w004/" , "WW02W004 Свитшот женский Set In, красный, размер XS")</f>
      </c>
      <c r="C10948" s="4" t="n">
        <v>1305.00</v>
      </c>
      <c r="D10948" s="4"/>
    </row>
    <row collapsed="" customFormat="false" customHeight="1" hidden="" ht="14" outlineLevel="0" r="10949">
      <c r="A10949" s="3" t="inlineStr">
        <is>
          <t>10908</t>
        </is>
      </c>
      <c r="B10949" s="4" t="s">
        <f>=HYPERLINK("http://anyluxury.ru/shop/odezhda/tolstovki/svitshot-zhenskiy-set-in-krasniy-ww02w004/" , "WW02W004 Свитшот женский Set In, красный, размер S")</f>
      </c>
      <c r="C10949" s="4" t="n">
        <v>1305.00</v>
      </c>
      <c r="D10949" s="4"/>
    </row>
    <row collapsed="" customFormat="false" customHeight="1" hidden="" ht="14" outlineLevel="0" r="10950">
      <c r="A10950" s="3" t="inlineStr">
        <is>
          <t>10909</t>
        </is>
      </c>
      <c r="B10950" s="4" t="s">
        <f>=HYPERLINK("http://anyluxury.ru/shop/odezhda/tolstovki/svitshot-zhenskiy-set-in-krasniy-ww02w004/" , "WW02W004 Свитшот женский Set In, красный, размер M")</f>
      </c>
      <c r="C10950" s="4" t="n">
        <v>1305.00</v>
      </c>
      <c r="D10950" s="4"/>
    </row>
    <row collapsed="" customFormat="false" customHeight="1" hidden="" ht="14" outlineLevel="0" r="10951">
      <c r="A10951" s="3" t="inlineStr">
        <is>
          <t>10910</t>
        </is>
      </c>
      <c r="B10951" s="4" t="s">
        <f>=HYPERLINK("http://anyluxury.ru/shop/odezhda/tolstovki/svitshot-zhenskiy-set-in-krasniy-ww02w004/" , "WW02W004 Свитшот женский Set In, красный, размер L")</f>
      </c>
      <c r="C10951" s="4" t="n">
        <v>1305.00</v>
      </c>
      <c r="D10951" s="4"/>
    </row>
    <row collapsed="" customFormat="false" customHeight="1" hidden="" ht="14" outlineLevel="0" r="10952">
      <c r="A10952" s="3" t="inlineStr">
        <is>
          <t>10911</t>
        </is>
      </c>
      <c r="B10952" s="4" t="s">
        <f>=HYPERLINK("http://anyluxury.ru/shop/odezhda/tolstovki/svitshot-zhenskiy-set-in-krasniy-ww02w004/" , "WW02W004 Свитшот женский Set In, красный, размер XL")</f>
      </c>
      <c r="C10952" s="4" t="n">
        <v>1305.00</v>
      </c>
      <c r="D10952" s="4"/>
    </row>
    <row collapsed="" customFormat="false" customHeight="1" hidden="" ht="14" outlineLevel="0" r="10953">
      <c r="A10953" s="3" t="inlineStr">
        <is>
          <t>10912</t>
        </is>
      </c>
      <c r="B10953" s="4" t="s">
        <f>=HYPERLINK("http://anyluxury.ru/shop/odezhda/tolstovki/svitshot-zhenskiy-set-in-krasniy-ww02w004/" , "WW02W004 Свитшот женский Set In, красный, размер XXL")</f>
      </c>
      <c r="C10953" s="4" t="n">
        <v>1305.00</v>
      </c>
      <c r="D10953" s="4"/>
    </row>
    <row collapsed="" customFormat="false" customHeight="1" hidden="" ht="14" outlineLevel="0" r="10954">
      <c r="A10954" s="3" t="inlineStr">
        <is>
          <t>10913</t>
        </is>
      </c>
      <c r="B10954" s="4" t="s">
        <f>=HYPERLINK("http://anyluxury.ru/shop/odezhda/tolstovki/svitshot-zhenskiy-set-in-krasniy-ww02w004/" , "WW02W004 Свитшот женский Set In, красный, размер 3XL")</f>
      </c>
      <c r="C10954" s="4" t="n">
        <v>1614.00</v>
      </c>
      <c r="D10954" s="4"/>
    </row>
    <row collapsed="" customFormat="false" customHeight="1" hidden="" ht="14" outlineLevel="0" r="10955">
      <c r="A10955" s="3" t="inlineStr">
        <is>
          <t>10914</t>
        </is>
      </c>
      <c r="B10955" s="4" t="s">
        <f>=HYPERLINK("http://anyluxury.ru/shop/odezhda/tolstovki/svitshot-zhenskiy-set-in-oranzheviy-ww02w233/" , "WW02W233 Свитшот женский Set In, оранжевый, размер XS")</f>
      </c>
      <c r="C10955" s="4" t="n">
        <v>1305.00</v>
      </c>
      <c r="D10955" s="4"/>
    </row>
    <row collapsed="" customFormat="false" customHeight="1" hidden="" ht="14" outlineLevel="0" r="10956">
      <c r="A10956" s="3" t="inlineStr">
        <is>
          <t>10915</t>
        </is>
      </c>
      <c r="B10956" s="4" t="s">
        <f>=HYPERLINK("http://anyluxury.ru/shop/odezhda/tolstovki/svitshot-zhenskiy-set-in-oranzheviy-ww02w233/" , "WW02W233 Свитшот женский Set In, оранжевый, размер S")</f>
      </c>
      <c r="C10956" s="4" t="n">
        <v>1305.00</v>
      </c>
      <c r="D10956" s="4"/>
    </row>
    <row collapsed="" customFormat="false" customHeight="1" hidden="" ht="14" outlineLevel="0" r="10957">
      <c r="A10957" s="3" t="inlineStr">
        <is>
          <t>10916</t>
        </is>
      </c>
      <c r="B10957" s="4" t="s">
        <f>=HYPERLINK("http://anyluxury.ru/shop/odezhda/tolstovki/svitshot-zhenskiy-set-in-oranzheviy-ww02w233/" , "WW02W233 Свитшот женский Set In, оранжевый, размер M")</f>
      </c>
      <c r="C10957" s="4" t="n">
        <v>1305.00</v>
      </c>
      <c r="D10957" s="4"/>
    </row>
    <row collapsed="" customFormat="false" customHeight="1" hidden="" ht="14" outlineLevel="0" r="10958">
      <c r="A10958" s="3" t="inlineStr">
        <is>
          <t>10917</t>
        </is>
      </c>
      <c r="B10958" s="4" t="s">
        <f>=HYPERLINK("http://anyluxury.ru/shop/odezhda/tolstovki/svitshot-zhenskiy-set-in-oranzheviy-ww02w233/" , "WW02W233 Свитшот женский Set In, оранжевый, размер L")</f>
      </c>
      <c r="C10958" s="4" t="n">
        <v>1305.00</v>
      </c>
      <c r="D10958" s="4"/>
    </row>
    <row collapsed="" customFormat="false" customHeight="1" hidden="" ht="14" outlineLevel="0" r="10959">
      <c r="A10959" s="3" t="inlineStr">
        <is>
          <t>10918</t>
        </is>
      </c>
      <c r="B10959" s="4" t="s">
        <f>=HYPERLINK("http://anyluxury.ru/shop/odezhda/tolstovki/svitshot-zhenskiy-set-in-oranzheviy-ww02w233/" , "WW02W233 Свитшот женский Set In, оранжевый, размер XL")</f>
      </c>
      <c r="C10959" s="4" t="n">
        <v>1305.00</v>
      </c>
      <c r="D10959" s="4"/>
    </row>
    <row collapsed="" customFormat="false" customHeight="1" hidden="" ht="14" outlineLevel="0" r="10960">
      <c r="A10960" s="3" t="inlineStr">
        <is>
          <t>10919</t>
        </is>
      </c>
      <c r="B10960" s="4" t="s">
        <f>=HYPERLINK("http://anyluxury.ru/shop/odezhda/tolstovki/svitshot-zhenskiy-set-in-oranzheviy-ww02w233/" , "WW02W233 Свитшот женский Set In, оранжевый, размер XXL")</f>
      </c>
      <c r="C10960" s="4" t="n">
        <v>1305.00</v>
      </c>
      <c r="D10960" s="4"/>
    </row>
    <row collapsed="" customFormat="false" customHeight="1" hidden="" ht="14" outlineLevel="0" r="10961">
      <c r="A10961" s="3" t="inlineStr">
        <is>
          <t>10920</t>
        </is>
      </c>
      <c r="B10961" s="4" t="s">
        <f>=HYPERLINK("http://anyluxury.ru/shop/odezhda/tolstovki/svitshot-zhenskiy-set-in-svetlooranzheviy-ww02w255/" , "WW02W255 Свитшот женский Set In, светло-оранжевый, размер XS")</f>
      </c>
      <c r="C10961" s="4" t="n">
        <v>1305.00</v>
      </c>
      <c r="D10961" s="4"/>
    </row>
    <row collapsed="" customFormat="false" customHeight="1" hidden="" ht="14" outlineLevel="0" r="10962">
      <c r="A10962" s="3" t="inlineStr">
        <is>
          <t>10921</t>
        </is>
      </c>
      <c r="B10962" s="4" t="s">
        <f>=HYPERLINK("http://anyluxury.ru/shop/odezhda/tolstovki/svitshot-zhenskiy-set-in-svetlooranzheviy-ww02w255/" , "WW02W255 Свитшот женский Set In, светло-оранжевый, размер S")</f>
      </c>
      <c r="C10962" s="4" t="n">
        <v>1305.00</v>
      </c>
      <c r="D10962" s="4"/>
    </row>
    <row collapsed="" customFormat="false" customHeight="1" hidden="" ht="14" outlineLevel="0" r="10963">
      <c r="A10963" s="3" t="inlineStr">
        <is>
          <t>10922</t>
        </is>
      </c>
      <c r="B10963" s="4" t="s">
        <f>=HYPERLINK("http://anyluxury.ru/shop/odezhda/tolstovki/svitshot-zhenskiy-set-in-svetlooranzheviy-ww02w255/" , "WW02W255 Свитшот женский Set In, светло-оранжевый, размер M")</f>
      </c>
      <c r="C10963" s="4" t="n">
        <v>1305.00</v>
      </c>
      <c r="D10963" s="4"/>
    </row>
    <row collapsed="" customFormat="false" customHeight="1" hidden="" ht="14" outlineLevel="0" r="10964">
      <c r="A10964" s="3" t="inlineStr">
        <is>
          <t>10923</t>
        </is>
      </c>
      <c r="B10964" s="4" t="s">
        <f>=HYPERLINK("http://anyluxury.ru/shop/odezhda/tolstovki/svitshot-zhenskiy-set-in-svetlooranzheviy-ww02w255/" , "WW02W255 Свитшот женский Set In, светло-оранжевый, размер L")</f>
      </c>
      <c r="C10964" s="4" t="n">
        <v>1305.00</v>
      </c>
      <c r="D10964" s="4"/>
    </row>
    <row collapsed="" customFormat="false" customHeight="1" hidden="" ht="14" outlineLevel="0" r="10965">
      <c r="A10965" s="3" t="inlineStr">
        <is>
          <t>10924</t>
        </is>
      </c>
      <c r="B10965" s="4" t="s">
        <f>=HYPERLINK("http://anyluxury.ru/shop/odezhda/tolstovki/svitshot-zhenskiy-set-in-svetlooranzheviy-ww02w255/" , "WW02W255 Свитшот женский Set In, светло-оранжевый, размер XL")</f>
      </c>
      <c r="C10965" s="4" t="n">
        <v>1305.00</v>
      </c>
      <c r="D10965" s="4"/>
    </row>
    <row collapsed="" customFormat="false" customHeight="1" hidden="" ht="14" outlineLevel="0" r="10966">
      <c r="A10966" s="3" t="inlineStr">
        <is>
          <t>10925</t>
        </is>
      </c>
      <c r="B10966" s="4" t="s">
        <f>=HYPERLINK("http://anyluxury.ru/shop/odezhda/tolstovki/svitshot-zhenskiy-set-in-svetlooranzheviy-ww02w255/" , "WW02W255 Свитшот женский Set In, светло-оранжевый, размер XXL")</f>
      </c>
      <c r="C10966" s="4" t="n">
        <v>1305.00</v>
      </c>
      <c r="D10966" s="4"/>
    </row>
    <row collapsed="" customFormat="false" customHeight="1" hidden="" ht="14" outlineLevel="0" r="10967">
      <c r="A10967" s="3" t="inlineStr">
        <is>
          <t>10926</t>
        </is>
      </c>
      <c r="B10967" s="4" t="s">
        <f>=HYPERLINK("http://anyluxury.ru/shop/odezhda/tolstovki/svitshot-zhenskiy-set-in-svetlorozoviy-ww02w305/" , "WW02W305 Свитшот женский Set In, светло-розовый, размер XS")</f>
      </c>
      <c r="C10967" s="4" t="n">
        <v>1305.00</v>
      </c>
      <c r="D10967" s="4"/>
    </row>
    <row collapsed="" customFormat="false" customHeight="1" hidden="" ht="14" outlineLevel="0" r="10968">
      <c r="A10968" s="3" t="inlineStr">
        <is>
          <t>10927</t>
        </is>
      </c>
      <c r="B10968" s="4" t="s">
        <f>=HYPERLINK("http://anyluxury.ru/shop/odezhda/tolstovki/svitshot-zhenskiy-set-in-svetlorozoviy-ww02w305/" , "WW02W305 Свитшот женский Set In, светло-розовый, размер S")</f>
      </c>
      <c r="C10968" s="4" t="n">
        <v>1305.00</v>
      </c>
      <c r="D10968" s="4"/>
    </row>
    <row collapsed="" customFormat="false" customHeight="1" hidden="" ht="14" outlineLevel="0" r="10969">
      <c r="A10969" s="3" t="inlineStr">
        <is>
          <t>10928</t>
        </is>
      </c>
      <c r="B10969" s="4" t="s">
        <f>=HYPERLINK("http://anyluxury.ru/shop/odezhda/tolstovki/svitshot-zhenskiy-set-in-svetlorozoviy-ww02w305/" , "WW02W305 Свитшот женский Set In, светло-розовый, размер M")</f>
      </c>
      <c r="C10969" s="4" t="n">
        <v>1305.00</v>
      </c>
      <c r="D10969" s="4"/>
    </row>
    <row collapsed="" customFormat="false" customHeight="1" hidden="" ht="14" outlineLevel="0" r="10970">
      <c r="A10970" s="3" t="inlineStr">
        <is>
          <t>10929</t>
        </is>
      </c>
      <c r="B10970" s="4" t="s">
        <f>=HYPERLINK("http://anyluxury.ru/shop/odezhda/tolstovki/svitshot-zhenskiy-set-in-svetlorozoviy-ww02w305/" , "WW02W305 Свитшот женский Set In, светло-розовый, размер L")</f>
      </c>
      <c r="C10970" s="4" t="n">
        <v>1305.00</v>
      </c>
      <c r="D10970" s="4"/>
    </row>
    <row collapsed="" customFormat="false" customHeight="1" hidden="" ht="14" outlineLevel="0" r="10971">
      <c r="A10971" s="3" t="inlineStr">
        <is>
          <t>10930</t>
        </is>
      </c>
      <c r="B10971" s="4" t="s">
        <f>=HYPERLINK("http://anyluxury.ru/shop/odezhda/tolstovki/svitshot-zhenskiy-set-in-svetlorozoviy-ww02w305/" , "WW02W305 Свитшот женский Set In, светло-розовый, размер XL")</f>
      </c>
      <c r="C10971" s="4" t="n">
        <v>1305.00</v>
      </c>
      <c r="D10971" s="4"/>
    </row>
    <row collapsed="" customFormat="false" customHeight="1" hidden="" ht="14" outlineLevel="0" r="10972">
      <c r="A10972" s="3" t="inlineStr">
        <is>
          <t>10931</t>
        </is>
      </c>
      <c r="B10972" s="4" t="s">
        <f>=HYPERLINK("http://anyluxury.ru/shop/odezhda/tolstovki/svitshot-zhenskiy-set-in-svetlorozoviy-ww02w305/" , "WW02W305 Свитшот женский Set In, светло-розовый, размер XXL")</f>
      </c>
      <c r="C10972" s="4" t="n">
        <v>1305.00</v>
      </c>
      <c r="D10972" s="4"/>
    </row>
    <row collapsed="" customFormat="false" customHeight="1" hidden="" ht="14" outlineLevel="0" r="10973">
      <c r="A10973" s="3" t="inlineStr">
        <is>
          <t>10932</t>
        </is>
      </c>
      <c r="B10973" s="4" t="s">
        <f>=HYPERLINK("http://anyluxury.ru/shop/odezhda/tolstovki/svitshot-zhenskiy-set-in-rozoviy-ww02w308/" , "WW02W308 Свитшот женский Set In, розовый, размер XS")</f>
      </c>
      <c r="C10973" s="4" t="n">
        <v>1305.00</v>
      </c>
      <c r="D10973" s="4"/>
    </row>
    <row collapsed="" customFormat="false" customHeight="1" hidden="" ht="14" outlineLevel="0" r="10974">
      <c r="A10974" s="3" t="inlineStr">
        <is>
          <t>10933</t>
        </is>
      </c>
      <c r="B10974" s="4" t="s">
        <f>=HYPERLINK("http://anyluxury.ru/shop/odezhda/tolstovki/svitshot-zhenskiy-set-in-rozoviy-ww02w308/" , "WW02W308 Свитшот женский Set In, розовый, размер S")</f>
      </c>
      <c r="C10974" s="4" t="n">
        <v>1305.00</v>
      </c>
      <c r="D10974" s="4"/>
    </row>
    <row collapsed="" customFormat="false" customHeight="1" hidden="" ht="14" outlineLevel="0" r="10975">
      <c r="A10975" s="3" t="inlineStr">
        <is>
          <t>10934</t>
        </is>
      </c>
      <c r="B10975" s="4" t="s">
        <f>=HYPERLINK("http://anyluxury.ru/shop/odezhda/tolstovki/svitshot-zhenskiy-set-in-rozoviy-ww02w308/" , "WW02W308 Свитшот женский Set In, розовый, размер M")</f>
      </c>
      <c r="C10975" s="4" t="n">
        <v>1305.00</v>
      </c>
      <c r="D10975" s="4"/>
    </row>
    <row collapsed="" customFormat="false" customHeight="1" hidden="" ht="14" outlineLevel="0" r="10976">
      <c r="A10976" s="3" t="inlineStr">
        <is>
          <t>10935</t>
        </is>
      </c>
      <c r="B10976" s="4" t="s">
        <f>=HYPERLINK("http://anyluxury.ru/shop/odezhda/tolstovki/svitshot-zhenskiy-set-in-rozoviy-ww02w308/" , "WW02W308 Свитшот женский Set In, розовый, размер L")</f>
      </c>
      <c r="C10976" s="4" t="n">
        <v>1305.00</v>
      </c>
      <c r="D10976" s="4"/>
    </row>
    <row collapsed="" customFormat="false" customHeight="1" hidden="" ht="14" outlineLevel="0" r="10977">
      <c r="A10977" s="3" t="inlineStr">
        <is>
          <t>10936</t>
        </is>
      </c>
      <c r="B10977" s="4" t="s">
        <f>=HYPERLINK("http://anyluxury.ru/shop/odezhda/tolstovki/svitshot-zhenskiy-set-in-rozoviy-ww02w308/" , "WW02W308 Свитшот женский Set In, розовый, размер XL")</f>
      </c>
      <c r="C10977" s="4" t="n">
        <v>1305.00</v>
      </c>
      <c r="D10977" s="4"/>
    </row>
    <row collapsed="" customFormat="false" customHeight="1" hidden="" ht="14" outlineLevel="0" r="10978">
      <c r="A10978" s="3" t="inlineStr">
        <is>
          <t>10937</t>
        </is>
      </c>
      <c r="B10978" s="4" t="s">
        <f>=HYPERLINK("http://anyluxury.ru/shop/odezhda/tolstovki/svitshot-zhenskiy-set-in-rozoviy-ww02w308/" , "WW02W308 Свитшот женский Set In, розовый, размер XXL")</f>
      </c>
      <c r="C10978" s="4" t="n">
        <v>1305.00</v>
      </c>
      <c r="D10978" s="4"/>
    </row>
    <row collapsed="" customFormat="false" customHeight="1" hidden="" ht="14" outlineLevel="0" r="10979">
      <c r="A10979" s="3" t="inlineStr">
        <is>
          <t>10938</t>
        </is>
      </c>
      <c r="B10979" s="4" t="s">
        <f>=HYPERLINK("http://anyluxury.ru/shop/odezhda/tolstovki/svitshot-zhenskiy-set-in-fioletoviy-ww02w351/" , "WW02W351 Свитшот женский Set In, фиолетовый, размер XS")</f>
      </c>
      <c r="C10979" s="4" t="n">
        <v>1305.00</v>
      </c>
      <c r="D10979" s="4"/>
    </row>
    <row collapsed="" customFormat="false" customHeight="1" hidden="" ht="14" outlineLevel="0" r="10980">
      <c r="A10980" s="3" t="inlineStr">
        <is>
          <t>10939</t>
        </is>
      </c>
      <c r="B10980" s="4" t="s">
        <f>=HYPERLINK("http://anyluxury.ru/shop/odezhda/tolstovki/svitshot-zhenskiy-set-in-fioletoviy-ww02w351/" , "WW02W351 Свитшот женский Set In, фиолетовый, размер S")</f>
      </c>
      <c r="C10980" s="4" t="n">
        <v>1305.00</v>
      </c>
      <c r="D10980" s="4"/>
    </row>
    <row collapsed="" customFormat="false" customHeight="1" hidden="" ht="14" outlineLevel="0" r="10981">
      <c r="A10981" s="3" t="inlineStr">
        <is>
          <t>10940</t>
        </is>
      </c>
      <c r="B10981" s="4" t="s">
        <f>=HYPERLINK("http://anyluxury.ru/shop/odezhda/tolstovki/svitshot-zhenskiy-set-in-fioletoviy-ww02w351/" , "WW02W351 Свитшот женский Set In, фиолетовый, размер M")</f>
      </c>
      <c r="C10981" s="4" t="n">
        <v>1305.00</v>
      </c>
      <c r="D10981" s="4"/>
    </row>
    <row collapsed="" customFormat="false" customHeight="1" hidden="" ht="14" outlineLevel="0" r="10982">
      <c r="A10982" s="3" t="inlineStr">
        <is>
          <t>10941</t>
        </is>
      </c>
      <c r="B10982" s="4" t="s">
        <f>=HYPERLINK("http://anyluxury.ru/shop/odezhda/tolstovki/svitshot-zhenskiy-set-in-fioletoviy-ww02w351/" , "WW02W351 Свитшот женский Set In, фиолетовый, размер L")</f>
      </c>
      <c r="C10982" s="4" t="n">
        <v>1305.00</v>
      </c>
      <c r="D10982" s="4"/>
    </row>
    <row collapsed="" customFormat="false" customHeight="1" hidden="" ht="14" outlineLevel="0" r="10983">
      <c r="A10983" s="3" t="inlineStr">
        <is>
          <t>10942</t>
        </is>
      </c>
      <c r="B10983" s="4" t="s">
        <f>=HYPERLINK("http://anyluxury.ru/shop/odezhda/tolstovki/svitshot-zhenskiy-set-in-fioletoviy-ww02w351/" , "WW02W351 Свитшот женский Set In, фиолетовый, размер XL")</f>
      </c>
      <c r="C10983" s="4" t="n">
        <v>1305.00</v>
      </c>
      <c r="D10983" s="4"/>
    </row>
    <row collapsed="" customFormat="false" customHeight="1" hidden="" ht="14" outlineLevel="0" r="10984">
      <c r="A10984" s="3" t="inlineStr">
        <is>
          <t>10943</t>
        </is>
      </c>
      <c r="B10984" s="4" t="s">
        <f>=HYPERLINK("http://anyluxury.ru/shop/odezhda/tolstovki/svitshot-zhenskiy-set-in-fioletoviy-ww02w351/" , "WW02W351 Свитшот женский Set In, фиолетовый, размер XXL")</f>
      </c>
      <c r="C10984" s="4" t="n">
        <v>1305.00</v>
      </c>
      <c r="D10984" s="4"/>
    </row>
    <row collapsed="" customFormat="false" customHeight="1" hidden="" ht="14" outlineLevel="0" r="10985">
      <c r="A10985" s="3" t="inlineStr">
        <is>
          <t>10944</t>
        </is>
      </c>
      <c r="B10985" s="4" t="s">
        <f>=HYPERLINK("http://anyluxury.ru/shop/odezhda/tolstovki/svitshot-zhenskiy-set-in-svetlogoluboy-ww02w405/" , "WW02W405 Свитшот женский Set In, светло-голубой, размер XS")</f>
      </c>
      <c r="C10985" s="4" t="n">
        <v>1305.00</v>
      </c>
      <c r="D10985" s="4"/>
    </row>
    <row collapsed="" customFormat="false" customHeight="1" hidden="" ht="14" outlineLevel="0" r="10986">
      <c r="A10986" s="3" t="inlineStr">
        <is>
          <t>10945</t>
        </is>
      </c>
      <c r="B10986" s="4" t="s">
        <f>=HYPERLINK("http://anyluxury.ru/shop/odezhda/tolstovki/svitshot-zhenskiy-set-in-svetlogoluboy-ww02w405/" , "WW02W405 Свитшот женский Set In, светло-голубой, размер S")</f>
      </c>
      <c r="C10986" s="4" t="n">
        <v>1305.00</v>
      </c>
      <c r="D10986" s="4"/>
    </row>
    <row collapsed="" customFormat="false" customHeight="1" hidden="" ht="14" outlineLevel="0" r="10987">
      <c r="A10987" s="3" t="inlineStr">
        <is>
          <t>10946</t>
        </is>
      </c>
      <c r="B10987" s="4" t="s">
        <f>=HYPERLINK("http://anyluxury.ru/shop/odezhda/tolstovki/svitshot-zhenskiy-set-in-svetlogoluboy-ww02w405/" , "WW02W405 Свитшот женский Set In, светло-голубой, размер M")</f>
      </c>
      <c r="C10987" s="4" t="n">
        <v>1305.00</v>
      </c>
      <c r="D10987" s="4"/>
    </row>
    <row collapsed="" customFormat="false" customHeight="1" hidden="" ht="14" outlineLevel="0" r="10988">
      <c r="A10988" s="3" t="inlineStr">
        <is>
          <t>10947</t>
        </is>
      </c>
      <c r="B10988" s="4" t="s">
        <f>=HYPERLINK("http://anyluxury.ru/shop/odezhda/tolstovki/svitshot-zhenskiy-set-in-svetlogoluboy-ww02w405/" , "WW02W405 Свитшот женский Set In, светло-голубой, размер L")</f>
      </c>
      <c r="C10988" s="4" t="n">
        <v>1305.00</v>
      </c>
      <c r="D10988" s="4"/>
    </row>
    <row collapsed="" customFormat="false" customHeight="1" hidden="" ht="14" outlineLevel="0" r="10989">
      <c r="A10989" s="3" t="inlineStr">
        <is>
          <t>10948</t>
        </is>
      </c>
      <c r="B10989" s="4" t="s">
        <f>=HYPERLINK("http://anyluxury.ru/shop/odezhda/tolstovki/svitshot-zhenskiy-set-in-svetlogoluboy-ww02w405/" , "WW02W405 Свитшот женский Set In, светло-голубой, размер XL")</f>
      </c>
      <c r="C10989" s="4" t="n">
        <v>1305.00</v>
      </c>
      <c r="D10989" s="4"/>
    </row>
    <row collapsed="" customFormat="false" customHeight="1" hidden="" ht="14" outlineLevel="0" r="10990">
      <c r="A10990" s="3" t="inlineStr">
        <is>
          <t>10949</t>
        </is>
      </c>
      <c r="B10990" s="4" t="s">
        <f>=HYPERLINK("http://anyluxury.ru/shop/odezhda/tolstovki/svitshot-zhenskiy-set-in-svetlogoluboy-ww02w405/" , "WW02W405 Свитшот женский Set In, светло-голубой, размер XXL")</f>
      </c>
      <c r="C10990" s="4" t="n">
        <v>1305.00</v>
      </c>
      <c r="D10990" s="4"/>
    </row>
    <row collapsed="" customFormat="false" customHeight="1" hidden="" ht="14" outlineLevel="0" r="10991">
      <c r="A10991" s="3" t="inlineStr">
        <is>
          <t>10950</t>
        </is>
      </c>
      <c r="B10991" s="4" t="s">
        <f>=HYPERLINK("http://anyluxury.ru/shop/odezhda/tolstovki/svitshot-zhenskiy-set-in-biryuzoviy-ww02w443/" , "WW02W443 Свитшот женский Set In, бирюзовый, размер XS")</f>
      </c>
      <c r="C10991" s="4" t="n">
        <v>1305.00</v>
      </c>
      <c r="D10991" s="4"/>
    </row>
    <row collapsed="" customFormat="false" customHeight="1" hidden="" ht="14" outlineLevel="0" r="10992">
      <c r="A10992" s="3" t="inlineStr">
        <is>
          <t>10951</t>
        </is>
      </c>
      <c r="B10992" s="4" t="s">
        <f>=HYPERLINK("http://anyluxury.ru/shop/odezhda/tolstovki/svitshot-zhenskiy-set-in-biryuzoviy-ww02w443/" , "WW02W443 Свитшот женский Set In, бирюзовый, размер S")</f>
      </c>
      <c r="C10992" s="4" t="n">
        <v>1305.00</v>
      </c>
      <c r="D10992" s="4"/>
    </row>
    <row collapsed="" customFormat="false" customHeight="1" hidden="" ht="14" outlineLevel="0" r="10993">
      <c r="A10993" s="3" t="inlineStr">
        <is>
          <t>10952</t>
        </is>
      </c>
      <c r="B10993" s="4" t="s">
        <f>=HYPERLINK("http://anyluxury.ru/shop/odezhda/tolstovki/svitshot-zhenskiy-set-in-biryuzoviy-ww02w443/" , "WW02W443 Свитшот женский Set In, бирюзовый, размер M")</f>
      </c>
      <c r="C10993" s="4" t="n">
        <v>1305.00</v>
      </c>
      <c r="D10993" s="4"/>
    </row>
    <row collapsed="" customFormat="false" customHeight="1" hidden="" ht="14" outlineLevel="0" r="10994">
      <c r="A10994" s="3" t="inlineStr">
        <is>
          <t>10953</t>
        </is>
      </c>
      <c r="B10994" s="4" t="s">
        <f>=HYPERLINK("http://anyluxury.ru/shop/odezhda/tolstovki/svitshot-zhenskiy-set-in-biryuzoviy-ww02w443/" , "WW02W443 Свитшот женский Set In, бирюзовый, размер L")</f>
      </c>
      <c r="C10994" s="4" t="n">
        <v>1305.00</v>
      </c>
      <c r="D10994" s="4"/>
    </row>
    <row collapsed="" customFormat="false" customHeight="1" hidden="" ht="14" outlineLevel="0" r="10995">
      <c r="A10995" s="3" t="inlineStr">
        <is>
          <t>10954</t>
        </is>
      </c>
      <c r="B10995" s="4" t="s">
        <f>=HYPERLINK("http://anyluxury.ru/shop/odezhda/tolstovki/svitshot-zhenskiy-set-in-biryuzoviy-ww02w443/" , "WW02W443 Свитшот женский Set In, бирюзовый, размер XL")</f>
      </c>
      <c r="C10995" s="4" t="n">
        <v>1305.00</v>
      </c>
      <c r="D10995" s="4"/>
    </row>
    <row collapsed="" customFormat="false" customHeight="1" hidden="" ht="14" outlineLevel="0" r="10996">
      <c r="A10996" s="3" t="inlineStr">
        <is>
          <t>10955</t>
        </is>
      </c>
      <c r="B10996" s="4" t="s">
        <f>=HYPERLINK("http://anyluxury.ru/shop/odezhda/tolstovki/svitshot-zhenskiy-set-in-biryuzoviy-ww02w443/" , "WW02W443 Свитшот женский Set In, бирюзовый, размер XXL")</f>
      </c>
      <c r="C10996" s="4" t="n">
        <v>1305.00</v>
      </c>
      <c r="D10996" s="4"/>
    </row>
    <row collapsed="" customFormat="false" customHeight="1" hidden="" ht="14" outlineLevel="0" r="10997">
      <c r="A10997" s="3" t="inlineStr">
        <is>
          <t>10956</t>
        </is>
      </c>
      <c r="B10997" s="4" t="s">
        <f>=HYPERLINK("http://anyluxury.ru/shop/odezhda/tolstovki/svitshot-zhenskiy-set-in-yarkosiniy-ww02w453/" , "WW02W453 Свитшот женский Set In, ярко-синий, размер XS")</f>
      </c>
      <c r="C10997" s="4" t="n">
        <v>1305.00</v>
      </c>
      <c r="D10997" s="4"/>
    </row>
    <row collapsed="" customFormat="false" customHeight="1" hidden="" ht="14" outlineLevel="0" r="10998">
      <c r="A10998" s="3" t="inlineStr">
        <is>
          <t>10957</t>
        </is>
      </c>
      <c r="B10998" s="4" t="s">
        <f>=HYPERLINK("http://anyluxury.ru/shop/odezhda/tolstovki/svitshot-zhenskiy-set-in-yarkosiniy-ww02w453/" , "WW02W453 Свитшот женский Set In, ярко-синий, размер S")</f>
      </c>
      <c r="C10998" s="4" t="n">
        <v>1305.00</v>
      </c>
      <c r="D10998" s="4"/>
    </row>
    <row collapsed="" customFormat="false" customHeight="1" hidden="" ht="14" outlineLevel="0" r="10999">
      <c r="A10999" s="3" t="inlineStr">
        <is>
          <t>10958</t>
        </is>
      </c>
      <c r="B10999" s="4" t="s">
        <f>=HYPERLINK("http://anyluxury.ru/shop/odezhda/tolstovki/svitshot-zhenskiy-set-in-yarkosiniy-ww02w453/" , "WW02W453 Свитшот женский Set In, ярко-синий, размер M")</f>
      </c>
      <c r="C10999" s="4" t="n">
        <v>1305.00</v>
      </c>
      <c r="D10999" s="4"/>
    </row>
    <row collapsed="" customFormat="false" customHeight="1" hidden="" ht="14" outlineLevel="0" r="11000">
      <c r="A11000" s="3" t="inlineStr">
        <is>
          <t>10959</t>
        </is>
      </c>
      <c r="B11000" s="4" t="s">
        <f>=HYPERLINK("http://anyluxury.ru/shop/odezhda/tolstovki/svitshot-zhenskiy-set-in-yarkosiniy-ww02w453/" , "WW02W453 Свитшот женский Set In, ярко-синий, размер L")</f>
      </c>
      <c r="C11000" s="4" t="n">
        <v>1305.00</v>
      </c>
      <c r="D11000" s="4"/>
    </row>
    <row collapsed="" customFormat="false" customHeight="1" hidden="" ht="14" outlineLevel="0" r="11001">
      <c r="A11001" s="3" t="inlineStr">
        <is>
          <t>10960</t>
        </is>
      </c>
      <c r="B11001" s="4" t="s">
        <f>=HYPERLINK("http://anyluxury.ru/shop/odezhda/tolstovki/svitshot-zhenskiy-set-in-yarkosiniy-ww02w453/" , "WW02W453 Свитшот женский Set In, ярко-синий, размер XL")</f>
      </c>
      <c r="C11001" s="4" t="n">
        <v>1305.00</v>
      </c>
      <c r="D11001" s="4"/>
    </row>
    <row collapsed="" customFormat="false" customHeight="1" hidden="" ht="14" outlineLevel="0" r="11002">
      <c r="A11002" s="3" t="inlineStr">
        <is>
          <t>10961</t>
        </is>
      </c>
      <c r="B11002" s="4" t="s">
        <f>=HYPERLINK("http://anyluxury.ru/shop/odezhda/tolstovki/svitshot-zhenskiy-set-in-yarkosiniy-ww02w453/" , "WW02W453 Свитшот женский Set In, ярко-синий, размер XXL")</f>
      </c>
      <c r="C11002" s="4" t="n">
        <v>1305.00</v>
      </c>
      <c r="D11002" s="4"/>
    </row>
    <row collapsed="" customFormat="false" customHeight="1" hidden="" ht="14" outlineLevel="0" r="11003">
      <c r="A11003" s="3" t="inlineStr">
        <is>
          <t>10962</t>
        </is>
      </c>
      <c r="B11003" s="4" t="s">
        <f>=HYPERLINK("http://anyluxury.ru/shop/odezhda/tolstovki/svitshot-zhenskiy-set-in-yarkosiniy-ww02w453/" , "WW02W453 Свитшот женский Set In, ярко-синий, размер 3XL")</f>
      </c>
      <c r="C11003" s="4" t="n">
        <v>1614.00</v>
      </c>
      <c r="D11003" s="4"/>
    </row>
    <row collapsed="" customFormat="false" customHeight="1" hidden="" ht="14" outlineLevel="0" r="11004">
      <c r="A11004" s="3" t="inlineStr">
        <is>
          <t>10963</t>
        </is>
      </c>
      <c r="B11004" s="4" t="s">
        <f>=HYPERLINK("http://anyluxury.ru/shop/odezhda/tolstovki/svitshot-zhenskiy-set-in-serozeleniy-ww02w502/" , "WW02W502 Свитшот женский Set In, серо-зеленый, размер XS")</f>
      </c>
      <c r="C11004" s="4" t="n">
        <v>1305.00</v>
      </c>
      <c r="D11004" s="4"/>
    </row>
    <row collapsed="" customFormat="false" customHeight="1" hidden="" ht="14" outlineLevel="0" r="11005">
      <c r="A11005" s="3" t="inlineStr">
        <is>
          <t>10964</t>
        </is>
      </c>
      <c r="B11005" s="4" t="s">
        <f>=HYPERLINK("http://anyluxury.ru/shop/odezhda/tolstovki/svitshot-zhenskiy-set-in-serozeleniy-ww02w502/" , "WW02W502 Свитшот женский Set In, серо-зеленый, размер S")</f>
      </c>
      <c r="C11005" s="4" t="n">
        <v>1305.00</v>
      </c>
      <c r="D11005" s="4"/>
    </row>
    <row collapsed="" customFormat="false" customHeight="1" hidden="" ht="14" outlineLevel="0" r="11006">
      <c r="A11006" s="3" t="inlineStr">
        <is>
          <t>10965</t>
        </is>
      </c>
      <c r="B11006" s="4" t="s">
        <f>=HYPERLINK("http://anyluxury.ru/shop/odezhda/tolstovki/svitshot-zhenskiy-set-in-serozeleniy-ww02w502/" , "WW02W502 Свитшот женский Set In, серо-зеленый, размер M")</f>
      </c>
      <c r="C11006" s="4" t="n">
        <v>1305.00</v>
      </c>
      <c r="D11006" s="4"/>
    </row>
    <row collapsed="" customFormat="false" customHeight="1" hidden="" ht="14" outlineLevel="0" r="11007">
      <c r="A11007" s="3" t="inlineStr">
        <is>
          <t>10966</t>
        </is>
      </c>
      <c r="B11007" s="4" t="s">
        <f>=HYPERLINK("http://anyluxury.ru/shop/odezhda/tolstovki/svitshot-zhenskiy-set-in-serozeleniy-ww02w502/" , "WW02W502 Свитшот женский Set In, серо-зеленый, размер L")</f>
      </c>
      <c r="C11007" s="4" t="n">
        <v>1305.00</v>
      </c>
      <c r="D11007" s="4"/>
    </row>
    <row collapsed="" customFormat="false" customHeight="1" hidden="" ht="14" outlineLevel="0" r="11008">
      <c r="A11008" s="3" t="inlineStr">
        <is>
          <t>10967</t>
        </is>
      </c>
      <c r="B11008" s="4" t="s">
        <f>=HYPERLINK("http://anyluxury.ru/shop/odezhda/tolstovki/svitshot-zhenskiy-set-in-serozeleniy-ww02w502/" , "WW02W502 Свитшот женский Set In, серо-зеленый, размер XL")</f>
      </c>
      <c r="C11008" s="4" t="n">
        <v>1305.00</v>
      </c>
      <c r="D11008" s="4"/>
    </row>
    <row collapsed="" customFormat="false" customHeight="1" hidden="" ht="14" outlineLevel="0" r="11009">
      <c r="A11009" s="3" t="inlineStr">
        <is>
          <t>10968</t>
        </is>
      </c>
      <c r="B11009" s="4" t="s">
        <f>=HYPERLINK("http://anyluxury.ru/shop/odezhda/tolstovki/svitshot-zhenskiy-set-in-serozeleniy-ww02w502/" , "WW02W502 Свитшот женский Set In, серо-зеленый, размер XXL")</f>
      </c>
      <c r="C11009" s="4" t="n">
        <v>1305.00</v>
      </c>
      <c r="D11009" s="4"/>
    </row>
    <row collapsed="" customFormat="false" customHeight="1" hidden="" ht="14" outlineLevel="0" r="11010">
      <c r="A11010" s="3" t="inlineStr">
        <is>
          <t>10969</t>
        </is>
      </c>
      <c r="B11010" s="4" t="s">
        <f>=HYPERLINK("http://anyluxury.ru/shop/odezhda/tolstovki/svitshot-zhenskiy-set-in-svetlozeleniy-ww02w503/" , "WW02W503 Свитшот женский Set In, светло-зеленый, размер XS")</f>
      </c>
      <c r="C11010" s="4" t="n">
        <v>1305.00</v>
      </c>
      <c r="D11010" s="4"/>
    </row>
    <row collapsed="" customFormat="false" customHeight="1" hidden="" ht="14" outlineLevel="0" r="11011">
      <c r="A11011" s="3" t="inlineStr">
        <is>
          <t>10970</t>
        </is>
      </c>
      <c r="B11011" s="4" t="s">
        <f>=HYPERLINK("http://anyluxury.ru/shop/odezhda/tolstovki/svitshot-zhenskiy-set-in-svetlozeleniy-ww02w503/" , "WW02W503 Свитшот женский Set In, светло-зеленый, размер S")</f>
      </c>
      <c r="C11011" s="4" t="n">
        <v>1305.00</v>
      </c>
      <c r="D11011" s="4"/>
    </row>
    <row collapsed="" customFormat="false" customHeight="1" hidden="" ht="14" outlineLevel="0" r="11012">
      <c r="A11012" s="3" t="inlineStr">
        <is>
          <t>10971</t>
        </is>
      </c>
      <c r="B11012" s="4" t="s">
        <f>=HYPERLINK("http://anyluxury.ru/shop/odezhda/tolstovki/svitshot-zhenskiy-set-in-svetlozeleniy-ww02w503/" , "WW02W503 Свитшот женский Set In, светло-зеленый, размер M")</f>
      </c>
      <c r="C11012" s="4" t="n">
        <v>1305.00</v>
      </c>
      <c r="D11012" s="4"/>
    </row>
    <row collapsed="" customFormat="false" customHeight="1" hidden="" ht="14" outlineLevel="0" r="11013">
      <c r="A11013" s="3" t="inlineStr">
        <is>
          <t>10972</t>
        </is>
      </c>
      <c r="B11013" s="4" t="s">
        <f>=HYPERLINK("http://anyluxury.ru/shop/odezhda/tolstovki/svitshot-zhenskiy-set-in-svetlozeleniy-ww02w503/" , "WW02W503 Свитшот женский Set In, светло-зеленый, размер L")</f>
      </c>
      <c r="C11013" s="4" t="n">
        <v>1305.00</v>
      </c>
      <c r="D11013" s="4"/>
    </row>
    <row collapsed="" customFormat="false" customHeight="1" hidden="" ht="14" outlineLevel="0" r="11014">
      <c r="A11014" s="3" t="inlineStr">
        <is>
          <t>10973</t>
        </is>
      </c>
      <c r="B11014" s="4" t="s">
        <f>=HYPERLINK("http://anyluxury.ru/shop/odezhda/tolstovki/svitshot-zhenskiy-set-in-svetlozeleniy-ww02w503/" , "WW02W503 Свитшот женский Set In, светло-зеленый, размер XL")</f>
      </c>
      <c r="C11014" s="4" t="n">
        <v>1305.00</v>
      </c>
      <c r="D11014" s="4"/>
    </row>
    <row collapsed="" customFormat="false" customHeight="1" hidden="" ht="14" outlineLevel="0" r="11015">
      <c r="A11015" s="3" t="inlineStr">
        <is>
          <t>10974</t>
        </is>
      </c>
      <c r="B11015" s="4" t="s">
        <f>=HYPERLINK("http://anyluxury.ru/shop/odezhda/tolstovki/svitshot-zhenskiy-set-in-svetlozeleniy-ww02w503/" , "WW02W503 Свитшот женский Set In, светло-зеленый, размер XXL")</f>
      </c>
      <c r="C11015" s="4" t="n">
        <v>1305.00</v>
      </c>
      <c r="D11015" s="4"/>
    </row>
    <row collapsed="" customFormat="false" customHeight="1" hidden="" ht="14" outlineLevel="0" r="11016">
      <c r="A11016" s="3" t="inlineStr">
        <is>
          <t>10975</t>
        </is>
      </c>
      <c r="B11016" s="4" t="s">
        <f>=HYPERLINK("http://anyluxury.ru/shop/odezhda/tolstovki/svitshot-zhenskiy-set-in-zeleniy-ww02w520/" , "WW02W520 Свитшот женский Set In, зеленый, размер XS")</f>
      </c>
      <c r="C11016" s="4" t="n">
        <v>1305.00</v>
      </c>
      <c r="D11016" s="4"/>
    </row>
    <row collapsed="" customFormat="false" customHeight="1" hidden="" ht="14" outlineLevel="0" r="11017">
      <c r="A11017" s="3" t="inlineStr">
        <is>
          <t>10976</t>
        </is>
      </c>
      <c r="B11017" s="4" t="s">
        <f>=HYPERLINK("http://anyluxury.ru/shop/odezhda/tolstovki/svitshot-zhenskiy-set-in-zeleniy-ww02w520/" , "WW02W520 Свитшот женский Set In, зеленый, размер S")</f>
      </c>
      <c r="C11017" s="4" t="n">
        <v>1305.00</v>
      </c>
      <c r="D11017" s="4"/>
    </row>
    <row collapsed="" customFormat="false" customHeight="1" hidden="" ht="14" outlineLevel="0" r="11018">
      <c r="A11018" s="3" t="inlineStr">
        <is>
          <t>10977</t>
        </is>
      </c>
      <c r="B11018" s="4" t="s">
        <f>=HYPERLINK("http://anyluxury.ru/shop/odezhda/tolstovki/svitshot-zhenskiy-set-in-zeleniy-ww02w520/" , "WW02W520 Свитшот женский Set In, зеленый, размер M")</f>
      </c>
      <c r="C11018" s="4" t="n">
        <v>1305.00</v>
      </c>
      <c r="D11018" s="4"/>
    </row>
    <row collapsed="" customFormat="false" customHeight="1" hidden="" ht="14" outlineLevel="0" r="11019">
      <c r="A11019" s="3" t="inlineStr">
        <is>
          <t>10978</t>
        </is>
      </c>
      <c r="B11019" s="4" t="s">
        <f>=HYPERLINK("http://anyluxury.ru/shop/odezhda/tolstovki/svitshot-zhenskiy-set-in-zeleniy-ww02w520/" , "WW02W520 Свитшот женский Set In, зеленый, размер L")</f>
      </c>
      <c r="C11019" s="4" t="n">
        <v>1305.00</v>
      </c>
      <c r="D11019" s="4"/>
    </row>
    <row collapsed="" customFormat="false" customHeight="1" hidden="" ht="14" outlineLevel="0" r="11020">
      <c r="A11020" s="3" t="inlineStr">
        <is>
          <t>10979</t>
        </is>
      </c>
      <c r="B11020" s="4" t="s">
        <f>=HYPERLINK("http://anyluxury.ru/shop/odezhda/tolstovki/svitshot-zhenskiy-set-in-zeleniy-ww02w520/" , "WW02W520 Свитшот женский Set In, зеленый, размер XL")</f>
      </c>
      <c r="C11020" s="4" t="n">
        <v>1305.00</v>
      </c>
      <c r="D11020" s="4"/>
    </row>
    <row collapsed="" customFormat="false" customHeight="1" hidden="" ht="14" outlineLevel="0" r="11021">
      <c r="A11021" s="3" t="inlineStr">
        <is>
          <t>10980</t>
        </is>
      </c>
      <c r="B11021" s="4" t="s">
        <f>=HYPERLINK("http://anyluxury.ru/shop/odezhda/tolstovki/svitshot-zhenskiy-set-in-zeleniy-ww02w520/" , "WW02W520 Свитшот женский Set In, зеленый, размер XXL")</f>
      </c>
      <c r="C11021" s="4" t="n">
        <v>1305.00</v>
      </c>
      <c r="D11021" s="4"/>
    </row>
    <row collapsed="" customFormat="false" customHeight="1" hidden="" ht="14" outlineLevel="0" r="11022">
      <c r="A11022" s="3" t="inlineStr">
        <is>
          <t>10981</t>
        </is>
      </c>
      <c r="B11022" s="4" t="s">
        <f>=HYPERLINK("http://anyluxury.ru/shop/odezhda/tolstovki/svitshot-zhenskiy-set-in-haki-ww02w551/" , "WW02W551 Свитшот женский Set In, хаки, размер XS")</f>
      </c>
      <c r="C11022" s="4" t="n">
        <v>1305.00</v>
      </c>
      <c r="D11022" s="4"/>
    </row>
    <row collapsed="" customFormat="false" customHeight="1" hidden="" ht="14" outlineLevel="0" r="11023">
      <c r="A11023" s="3" t="inlineStr">
        <is>
          <t>10982</t>
        </is>
      </c>
      <c r="B11023" s="4" t="s">
        <f>=HYPERLINK("http://anyluxury.ru/shop/odezhda/tolstovki/svitshot-zhenskiy-set-in-haki-ww02w551/" , "WW02W551 Свитшот женский Set In, хаки, размер S")</f>
      </c>
      <c r="C11023" s="4" t="n">
        <v>1305.00</v>
      </c>
      <c r="D11023" s="4"/>
    </row>
    <row collapsed="" customFormat="false" customHeight="1" hidden="" ht="14" outlineLevel="0" r="11024">
      <c r="A11024" s="3" t="inlineStr">
        <is>
          <t>10983</t>
        </is>
      </c>
      <c r="B11024" s="4" t="s">
        <f>=HYPERLINK("http://anyluxury.ru/shop/odezhda/tolstovki/svitshot-zhenskiy-set-in-haki-ww02w551/" , "WW02W551 Свитшот женский Set In, хаки, размер M")</f>
      </c>
      <c r="C11024" s="4" t="n">
        <v>1305.00</v>
      </c>
      <c r="D11024" s="4"/>
    </row>
    <row collapsed="" customFormat="false" customHeight="1" hidden="" ht="14" outlineLevel="0" r="11025">
      <c r="A11025" s="3" t="inlineStr">
        <is>
          <t>10984</t>
        </is>
      </c>
      <c r="B11025" s="4" t="s">
        <f>=HYPERLINK("http://anyluxury.ru/shop/odezhda/tolstovki/svitshot-zhenskiy-set-in-haki-ww02w551/" , "WW02W551 Свитшот женский Set In, хаки, размер L")</f>
      </c>
      <c r="C11025" s="4" t="n">
        <v>1305.00</v>
      </c>
      <c r="D11025" s="4"/>
    </row>
    <row collapsed="" customFormat="false" customHeight="1" hidden="" ht="14" outlineLevel="0" r="11026">
      <c r="A11026" s="3" t="inlineStr">
        <is>
          <t>10985</t>
        </is>
      </c>
      <c r="B11026" s="4" t="s">
        <f>=HYPERLINK("http://anyluxury.ru/shop/odezhda/tolstovki/svitshot-zhenskiy-set-in-haki-ww02w551/" , "WW02W551 Свитшот женский Set In, хаки, размер XL")</f>
      </c>
      <c r="C11026" s="4" t="n">
        <v>1305.00</v>
      </c>
      <c r="D11026" s="4"/>
    </row>
    <row collapsed="" customFormat="false" customHeight="1" hidden="" ht="14" outlineLevel="0" r="11027">
      <c r="A11027" s="3" t="inlineStr">
        <is>
          <t>10986</t>
        </is>
      </c>
      <c r="B11027" s="4" t="s">
        <f>=HYPERLINK("http://anyluxury.ru/shop/odezhda/tolstovki/svitshot-zhenskiy-set-in-haki-ww02w551/" , "WW02W551 Свитшот женский Set In, хаки, размер XXL")</f>
      </c>
      <c r="C11027" s="4" t="n">
        <v>1305.00</v>
      </c>
      <c r="D11027" s="4"/>
    </row>
    <row collapsed="" customFormat="false" customHeight="1" hidden="" ht="14" outlineLevel="0" r="11028">
      <c r="A11028" s="3" t="inlineStr">
        <is>
          <t>10987</t>
        </is>
      </c>
      <c r="B11028" s="4" t="s">
        <f>=HYPERLINK("http://anyluxury.ru/shop/odezhda/tolstovki/svitshot-zhenskiy-set-in-temnoseriy-melanzh-ww02w623/" , "WW02W623 Свитшот женский Set In, темно-серый меланж, размер XS")</f>
      </c>
      <c r="C11028" s="4" t="n">
        <v>1305.00</v>
      </c>
      <c r="D11028" s="4"/>
    </row>
    <row collapsed="" customFormat="false" customHeight="1" hidden="" ht="14" outlineLevel="0" r="11029">
      <c r="A11029" s="3" t="inlineStr">
        <is>
          <t>10988</t>
        </is>
      </c>
      <c r="B11029" s="4" t="s">
        <f>=HYPERLINK("http://anyluxury.ru/shop/odezhda/tolstovki/svitshot-zhenskiy-set-in-temnoseriy-melanzh-ww02w623/" , "WW02W623 Свитшот женский Set In, темно-серый меланж, размер S")</f>
      </c>
      <c r="C11029" s="4" t="n">
        <v>1305.00</v>
      </c>
      <c r="D11029" s="4"/>
    </row>
    <row collapsed="" customFormat="false" customHeight="1" hidden="" ht="14" outlineLevel="0" r="11030">
      <c r="A11030" s="3" t="inlineStr">
        <is>
          <t>10989</t>
        </is>
      </c>
      <c r="B11030" s="4" t="s">
        <f>=HYPERLINK("http://anyluxury.ru/shop/odezhda/tolstovki/svitshot-zhenskiy-set-in-temnoseriy-melanzh-ww02w623/" , "WW02W623 Свитшот женский Set In, темно-серый меланж, размер M")</f>
      </c>
      <c r="C11030" s="4" t="n">
        <v>1305.00</v>
      </c>
      <c r="D11030" s="4"/>
    </row>
    <row collapsed="" customFormat="false" customHeight="1" hidden="" ht="14" outlineLevel="0" r="11031">
      <c r="A11031" s="3" t="inlineStr">
        <is>
          <t>10990</t>
        </is>
      </c>
      <c r="B11031" s="4" t="s">
        <f>=HYPERLINK("http://anyluxury.ru/shop/odezhda/tolstovki/svitshot-zhenskiy-set-in-temnoseriy-melanzh-ww02w623/" , "WW02W623 Свитшот женский Set In, темно-серый меланж, размер L")</f>
      </c>
      <c r="C11031" s="4" t="n">
        <v>1305.00</v>
      </c>
      <c r="D11031" s="4"/>
    </row>
    <row collapsed="" customFormat="false" customHeight="1" hidden="" ht="14" outlineLevel="0" r="11032">
      <c r="A11032" s="3" t="inlineStr">
        <is>
          <t>10991</t>
        </is>
      </c>
      <c r="B11032" s="4" t="s">
        <f>=HYPERLINK("http://anyluxury.ru/shop/odezhda/tolstovki/svitshot-zhenskiy-set-in-temnoseriy-melanzh-ww02w623/" , "WW02W623 Свитшот женский Set In, темно-серый меланж, размер XL")</f>
      </c>
      <c r="C11032" s="4" t="n">
        <v>1305.00</v>
      </c>
      <c r="D11032" s="4"/>
    </row>
    <row collapsed="" customFormat="false" customHeight="1" hidden="" ht="14" outlineLevel="0" r="11033">
      <c r="A11033" s="3" t="inlineStr">
        <is>
          <t>10992</t>
        </is>
      </c>
      <c r="B11033" s="4" t="s">
        <f>=HYPERLINK("http://anyluxury.ru/shop/odezhda/tolstovki/svitshot-zhenskiy-set-in-temnoseriy-melanzh-ww02w623/" , "WW02W623 Свитшот женский Set In, темно-серый меланж, размер XXL")</f>
      </c>
      <c r="C11033" s="4" t="n">
        <v>1305.00</v>
      </c>
      <c r="D11033" s="4"/>
    </row>
    <row collapsed="" customFormat="false" customHeight="1" hidden="" ht="14" outlineLevel="0" r="11034">
      <c r="A11034" s="3" t="inlineStr">
        <is>
          <t>10993</t>
        </is>
      </c>
      <c r="B11034" s="4" t="s">
        <f>=HYPERLINK("http://anyluxury.ru/shop/odezhda/tolstovki/svitshot-zhenskiy-set-in-seriy-stalnoy-ww02w665/" , "WW02W665 Свитшот женский Set In, серый (стальной), размер XS")</f>
      </c>
      <c r="C11034" s="4" t="n">
        <v>1305.00</v>
      </c>
      <c r="D11034" s="4"/>
    </row>
    <row collapsed="" customFormat="false" customHeight="1" hidden="" ht="14" outlineLevel="0" r="11035">
      <c r="A11035" s="3" t="inlineStr">
        <is>
          <t>10994</t>
        </is>
      </c>
      <c r="B11035" s="4" t="s">
        <f>=HYPERLINK("http://anyluxury.ru/shop/odezhda/tolstovki/svitshot-zhenskiy-set-in-seriy-stalnoy-ww02w665/" , "WW02W665 Свитшот женский Set In, серый (стальной), размер S")</f>
      </c>
      <c r="C11035" s="4" t="n">
        <v>1305.00</v>
      </c>
      <c r="D11035" s="4"/>
    </row>
    <row collapsed="" customFormat="false" customHeight="1" hidden="" ht="14" outlineLevel="0" r="11036">
      <c r="A11036" s="3" t="inlineStr">
        <is>
          <t>10995</t>
        </is>
      </c>
      <c r="B11036" s="4" t="s">
        <f>=HYPERLINK("http://anyluxury.ru/shop/odezhda/tolstovki/svitshot-zhenskiy-set-in-seriy-stalnoy-ww02w665/" , "WW02W665 Свитшот женский Set In, серый (стальной), размер M")</f>
      </c>
      <c r="C11036" s="4" t="n">
        <v>1305.00</v>
      </c>
      <c r="D11036" s="4"/>
    </row>
    <row collapsed="" customFormat="false" customHeight="1" hidden="" ht="14" outlineLevel="0" r="11037">
      <c r="A11037" s="3" t="inlineStr">
        <is>
          <t>10996</t>
        </is>
      </c>
      <c r="B11037" s="4" t="s">
        <f>=HYPERLINK("http://anyluxury.ru/shop/odezhda/tolstovki/svitshot-zhenskiy-set-in-seriy-stalnoy-ww02w665/" , "WW02W665 Свитшот женский Set In, серый (стальной), размер L")</f>
      </c>
      <c r="C11037" s="4" t="n">
        <v>1305.00</v>
      </c>
      <c r="D11037" s="4"/>
    </row>
    <row collapsed="" customFormat="false" customHeight="1" hidden="" ht="14" outlineLevel="0" r="11038">
      <c r="A11038" s="3" t="inlineStr">
        <is>
          <t>10997</t>
        </is>
      </c>
      <c r="B11038" s="4" t="s">
        <f>=HYPERLINK("http://anyluxury.ru/shop/odezhda/tolstovki/svitshot-zhenskiy-set-in-seriy-stalnoy-ww02w665/" , "WW02W665 Свитшот женский Set In, серый (стальной), размер XL")</f>
      </c>
      <c r="C11038" s="4" t="n">
        <v>1305.00</v>
      </c>
      <c r="D11038" s="4"/>
    </row>
    <row collapsed="" customFormat="false" customHeight="1" hidden="" ht="14" outlineLevel="0" r="11039">
      <c r="A11039" s="3" t="inlineStr">
        <is>
          <t>10998</t>
        </is>
      </c>
      <c r="B11039" s="4" t="s">
        <f>=HYPERLINK("http://anyluxury.ru/shop/odezhda/tolstovki/svitshot-zhenskiy-set-in-seriy-stalnoy-ww02w665/" , "WW02W665 Свитшот женский Set In, серый (стальной), размер XXL")</f>
      </c>
      <c r="C11039" s="4" t="n">
        <v>1305.00</v>
      </c>
      <c r="D11039" s="4"/>
    </row>
    <row collapsed="" customFormat="false" customHeight="1" hidden="" ht="14" outlineLevel="0" r="11040">
      <c r="A11040" s="3" t="inlineStr">
        <is>
          <t>10999</t>
        </is>
      </c>
      <c r="B11040" s="4" t="s">
        <f>=HYPERLINK("http://anyluxury.ru/shop/odezhda/tolstovki/svitshot-zhenskiy-set-in-temnoseriy-ww02w669/" , "WW02W669 Свитшот женский Set In, темно-серый, размер XS")</f>
      </c>
      <c r="C11040" s="4" t="n">
        <v>1305.00</v>
      </c>
      <c r="D11040" s="4"/>
    </row>
    <row collapsed="" customFormat="false" customHeight="1" hidden="" ht="14" outlineLevel="0" r="11041">
      <c r="A11041" s="3" t="inlineStr">
        <is>
          <t>11000</t>
        </is>
      </c>
      <c r="B11041" s="4" t="s">
        <f>=HYPERLINK("http://anyluxury.ru/shop/odezhda/tolstovki/svitshot-zhenskiy-set-in-temnoseriy-ww02w669/" , "WW02W669 Свитшот женский Set In, темно-серый, размер S")</f>
      </c>
      <c r="C11041" s="4" t="n">
        <v>1305.00</v>
      </c>
      <c r="D11041" s="4"/>
    </row>
    <row collapsed="" customFormat="false" customHeight="1" hidden="" ht="14" outlineLevel="0" r="11042">
      <c r="A11042" s="3" t="inlineStr">
        <is>
          <t>11001</t>
        </is>
      </c>
      <c r="B11042" s="4" t="s">
        <f>=HYPERLINK("http://anyluxury.ru/shop/odezhda/tolstovki/svitshot-zhenskiy-set-in-temnoseriy-ww02w669/" , "WW02W669 Свитшот женский Set In, темно-серый, размер M")</f>
      </c>
      <c r="C11042" s="4" t="n">
        <v>1305.00</v>
      </c>
      <c r="D11042" s="4"/>
    </row>
    <row collapsed="" customFormat="false" customHeight="1" hidden="" ht="14" outlineLevel="0" r="11043">
      <c r="A11043" s="3" t="inlineStr">
        <is>
          <t>11002</t>
        </is>
      </c>
      <c r="B11043" s="4" t="s">
        <f>=HYPERLINK("http://anyluxury.ru/shop/odezhda/tolstovki/svitshot-zhenskiy-set-in-temnoseriy-ww02w669/" , "WW02W669 Свитшот женский Set In, темно-серый, размер L")</f>
      </c>
      <c r="C11043" s="4" t="n">
        <v>1305.00</v>
      </c>
      <c r="D11043" s="4"/>
    </row>
    <row collapsed="" customFormat="false" customHeight="1" hidden="" ht="14" outlineLevel="0" r="11044">
      <c r="A11044" s="3" t="inlineStr">
        <is>
          <t>11003</t>
        </is>
      </c>
      <c r="B11044" s="4" t="s">
        <f>=HYPERLINK("http://anyluxury.ru/shop/odezhda/tolstovki/svitshot-zhenskiy-set-in-temnoseriy-ww02w669/" , "WW02W669 Свитшот женский Set In, темно-серый, размер XL")</f>
      </c>
      <c r="C11044" s="4" t="n">
        <v>1305.00</v>
      </c>
      <c r="D11044" s="4"/>
    </row>
    <row collapsed="" customFormat="false" customHeight="1" hidden="" ht="14" outlineLevel="0" r="11045">
      <c r="A11045" s="3" t="inlineStr">
        <is>
          <t>11004</t>
        </is>
      </c>
      <c r="B11045" s="4" t="s">
        <f>=HYPERLINK("http://anyluxury.ru/shop/odezhda/tolstovki/svitshot-zhenskiy-set-in-temnoseriy-ww02w669/" , "WW02W669 Свитшот женский Set In, темно-серый, размер XXL")</f>
      </c>
      <c r="C11045" s="4" t="n">
        <v>1305.00</v>
      </c>
      <c r="D11045" s="4"/>
    </row>
    <row collapsed="" customFormat="false" customHeight="1" hidden="" ht="14" outlineLevel="0" r="11046">
      <c r="A11046" s="3" t="inlineStr">
        <is>
          <t>11005</t>
        </is>
      </c>
      <c r="B11046" s="4" t="s">
        <f>=HYPERLINK("http://anyluxury.ru/shop/odezhda/tolstovki/svitshot-zhenskiy-set-in-temnoseriy-ww02w669/" , "WW02W669 Свитшот женский Set In, темно-серый, размер 3XL")</f>
      </c>
      <c r="C11046" s="4" t="n">
        <v>1614.00</v>
      </c>
      <c r="D11046" s="4"/>
    </row>
    <row collapsed="" customFormat="false" customHeight="1" hidden="" ht="14" outlineLevel="0" r="11047">
      <c r="A11047" s="3" t="inlineStr">
        <is>
          <t>11006</t>
        </is>
      </c>
      <c r="B11047" s="4" t="s">
        <f>=HYPERLINK("http://anyluxury.ru/shop/odezhda/tolstovki/svitshot-zhenskiy-set-in-dimchatoseriy-ww02w672/" , "WW02W672 Свитшот женский Set In, дымчато-серый, размер XS")</f>
      </c>
      <c r="C11047" s="4" t="n">
        <v>1305.00</v>
      </c>
      <c r="D11047" s="4"/>
    </row>
    <row collapsed="" customFormat="false" customHeight="1" hidden="" ht="14" outlineLevel="0" r="11048">
      <c r="A11048" s="3" t="inlineStr">
        <is>
          <t>11007</t>
        </is>
      </c>
      <c r="B11048" s="4" t="s">
        <f>=HYPERLINK("http://anyluxury.ru/shop/odezhda/tolstovki/svitshot-zhenskiy-set-in-dimchatoseriy-ww02w672/" , "WW02W672 Свитшот женский Set In, дымчато-серый, размер S")</f>
      </c>
      <c r="C11048" s="4" t="n">
        <v>1305.00</v>
      </c>
      <c r="D11048" s="4"/>
    </row>
    <row collapsed="" customFormat="false" customHeight="1" hidden="" ht="14" outlineLevel="0" r="11049">
      <c r="A11049" s="3" t="inlineStr">
        <is>
          <t>11008</t>
        </is>
      </c>
      <c r="B11049" s="4" t="s">
        <f>=HYPERLINK("http://anyluxury.ru/shop/odezhda/tolstovki/svitshot-zhenskiy-set-in-dimchatoseriy-ww02w672/" , "WW02W672 Свитшот женский Set In, дымчато-серый, размер M")</f>
      </c>
      <c r="C11049" s="4" t="n">
        <v>1305.00</v>
      </c>
      <c r="D11049" s="4"/>
    </row>
    <row collapsed="" customFormat="false" customHeight="1" hidden="" ht="14" outlineLevel="0" r="11050">
      <c r="A11050" s="3" t="inlineStr">
        <is>
          <t>11009</t>
        </is>
      </c>
      <c r="B11050" s="4" t="s">
        <f>=HYPERLINK("http://anyluxury.ru/shop/odezhda/tolstovki/svitshot-zhenskiy-set-in-dimchatoseriy-ww02w672/" , "WW02W672 Свитшот женский Set In, дымчато-серый, размер L")</f>
      </c>
      <c r="C11050" s="4" t="n">
        <v>1305.00</v>
      </c>
      <c r="D11050" s="4"/>
    </row>
    <row collapsed="" customFormat="false" customHeight="1" hidden="" ht="14" outlineLevel="0" r="11051">
      <c r="A11051" s="3" t="inlineStr">
        <is>
          <t>11010</t>
        </is>
      </c>
      <c r="B11051" s="4" t="s">
        <f>=HYPERLINK("http://anyluxury.ru/shop/odezhda/tolstovki/svitshot-zhenskiy-set-in-dimchatoseriy-ww02w672/" , "WW02W672 Свитшот женский Set In, дымчато-серый, размер XL")</f>
      </c>
      <c r="C11051" s="4" t="n">
        <v>1305.00</v>
      </c>
      <c r="D11051" s="4"/>
    </row>
    <row collapsed="" customFormat="false" customHeight="1" hidden="" ht="14" outlineLevel="0" r="11052">
      <c r="A11052" s="3" t="inlineStr">
        <is>
          <t>11011</t>
        </is>
      </c>
      <c r="B11052" s="4" t="s">
        <f>=HYPERLINK("http://anyluxury.ru/shop/odezhda/tolstovki/svitshot-zhenskiy-set-in-dimchatoseriy-ww02w672/" , "WW02W672 Свитшот женский Set In, дымчато-серый, размер XXL")</f>
      </c>
      <c r="C11052" s="4" t="n">
        <v>1305.00</v>
      </c>
      <c r="D11052" s="4"/>
    </row>
    <row collapsed="" customFormat="false" customHeight="1" hidden="" ht="14" outlineLevel="0" r="11053">
      <c r="A11053" s="3" t="inlineStr">
        <is>
          <t>11012</t>
        </is>
      </c>
      <c r="B11053" s="4" t="s">
        <f>=HYPERLINK("http://anyluxury.ru/shop/odezhda/tolstovki/svitshot-zhenskiy-set-in-bordoviy-ww02w881/" , "WW02W881 Свитшот женский Set In, бордовый, размер XS")</f>
      </c>
      <c r="C11053" s="4" t="n">
        <v>1305.00</v>
      </c>
      <c r="D11053" s="4"/>
    </row>
    <row collapsed="" customFormat="false" customHeight="1" hidden="" ht="14" outlineLevel="0" r="11054">
      <c r="A11054" s="3" t="inlineStr">
        <is>
          <t>11013</t>
        </is>
      </c>
      <c r="B11054" s="4" t="s">
        <f>=HYPERLINK("http://anyluxury.ru/shop/odezhda/tolstovki/svitshot-zhenskiy-set-in-bordoviy-ww02w881/" , "WW02W881 Свитшот женский Set In, бордовый, размер S")</f>
      </c>
      <c r="C11054" s="4" t="n">
        <v>1305.00</v>
      </c>
      <c r="D11054" s="4"/>
    </row>
    <row collapsed="" customFormat="false" customHeight="1" hidden="" ht="14" outlineLevel="0" r="11055">
      <c r="A11055" s="3" t="inlineStr">
        <is>
          <t>11014</t>
        </is>
      </c>
      <c r="B11055" s="4" t="s">
        <f>=HYPERLINK("http://anyluxury.ru/shop/odezhda/tolstovki/svitshot-zhenskiy-set-in-bordoviy-ww02w881/" , "WW02W881 Свитшот женский Set In, бордовый, размер M")</f>
      </c>
      <c r="C11055" s="4" t="n">
        <v>1305.00</v>
      </c>
      <c r="D11055" s="4"/>
    </row>
    <row collapsed="" customFormat="false" customHeight="1" hidden="" ht="14" outlineLevel="0" r="11056">
      <c r="A11056" s="3" t="inlineStr">
        <is>
          <t>11015</t>
        </is>
      </c>
      <c r="B11056" s="4" t="s">
        <f>=HYPERLINK("http://anyluxury.ru/shop/odezhda/tolstovki/svitshot-zhenskiy-set-in-bordoviy-ww02w881/" , "WW02W881 Свитшот женский Set In, бордовый, размер L")</f>
      </c>
      <c r="C11056" s="4" t="n">
        <v>1305.00</v>
      </c>
      <c r="D11056" s="4"/>
    </row>
    <row collapsed="" customFormat="false" customHeight="1" hidden="" ht="14" outlineLevel="0" r="11057">
      <c r="A11057" s="3" t="inlineStr">
        <is>
          <t>11016</t>
        </is>
      </c>
      <c r="B11057" s="4" t="s">
        <f>=HYPERLINK("http://anyluxury.ru/shop/odezhda/tolstovki/svitshot-zhenskiy-set-in-bordoviy-ww02w881/" , "WW02W881 Свитшот женский Set In, бордовый, размер XL")</f>
      </c>
      <c r="C11057" s="4" t="n">
        <v>1305.00</v>
      </c>
      <c r="D11057" s="4"/>
    </row>
    <row collapsed="" customFormat="false" customHeight="1" hidden="" ht="14" outlineLevel="0" r="11058">
      <c r="A11058" s="3" t="inlineStr">
        <is>
          <t>11017</t>
        </is>
      </c>
      <c r="B11058" s="4" t="s">
        <f>=HYPERLINK("http://anyluxury.ru/shop/odezhda/tolstovki/svitshot-zhenskiy-set-in-bordoviy-ww02w881/" , "WW02W881 Свитшот женский Set In, бордовый, размер XXL")</f>
      </c>
      <c r="C11058" s="4" t="n">
        <v>1305.00</v>
      </c>
      <c r="D11058" s="4"/>
    </row>
    <row collapsed="" customFormat="false" customHeight="1" hidden="" ht="14" outlineLevel="0" r="11059">
      <c r="A11059" s="3" t="inlineStr">
        <is>
          <t>11018</t>
        </is>
      </c>
      <c r="B11059" s="4" t="s">
        <f>=HYPERLINK("http://anyluxury.ru/shop/odezhda/tolstovki/svitshot-zhenskiy-set-in-temnozeleniy-ww02w882/" , "WW02W882 Свитшот женский Set In, темно-зеленый, размер XS")</f>
      </c>
      <c r="C11059" s="4" t="n">
        <v>1305.00</v>
      </c>
      <c r="D11059" s="4"/>
    </row>
    <row collapsed="" customFormat="false" customHeight="1" hidden="" ht="14" outlineLevel="0" r="11060">
      <c r="A11060" s="3" t="inlineStr">
        <is>
          <t>11019</t>
        </is>
      </c>
      <c r="B11060" s="4" t="s">
        <f>=HYPERLINK("http://anyluxury.ru/shop/odezhda/tolstovki/svitshot-zhenskiy-set-in-temnozeleniy-ww02w882/" , "WW02W882 Свитшот женский Set In, темно-зеленый, размер S")</f>
      </c>
      <c r="C11060" s="4" t="n">
        <v>1305.00</v>
      </c>
      <c r="D11060" s="4"/>
    </row>
    <row collapsed="" customFormat="false" customHeight="1" hidden="" ht="14" outlineLevel="0" r="11061">
      <c r="A11061" s="3" t="inlineStr">
        <is>
          <t>11020</t>
        </is>
      </c>
      <c r="B11061" s="4" t="s">
        <f>=HYPERLINK("http://anyluxury.ru/shop/odezhda/tolstovki/svitshot-zhenskiy-set-in-temnozeleniy-ww02w882/" , "WW02W882 Свитшот женский Set In, темно-зеленый, размер M")</f>
      </c>
      <c r="C11061" s="4" t="n">
        <v>1305.00</v>
      </c>
      <c r="D11061" s="4"/>
    </row>
    <row collapsed="" customFormat="false" customHeight="1" hidden="" ht="14" outlineLevel="0" r="11062">
      <c r="A11062" s="3" t="inlineStr">
        <is>
          <t>11021</t>
        </is>
      </c>
      <c r="B11062" s="4" t="s">
        <f>=HYPERLINK("http://anyluxury.ru/shop/odezhda/tolstovki/svitshot-zhenskiy-set-in-temnozeleniy-ww02w882/" , "WW02W882 Свитшот женский Set In, темно-зеленый, размер L")</f>
      </c>
      <c r="C11062" s="4" t="n">
        <v>1305.00</v>
      </c>
      <c r="D11062" s="4"/>
    </row>
    <row collapsed="" customFormat="false" customHeight="1" hidden="" ht="14" outlineLevel="0" r="11063">
      <c r="A11063" s="3" t="inlineStr">
        <is>
          <t>11022</t>
        </is>
      </c>
      <c r="B11063" s="4" t="s">
        <f>=HYPERLINK("http://anyluxury.ru/shop/odezhda/tolstovki/svitshot-zhenskiy-set-in-temnozeleniy-ww02w882/" , "WW02W882 Свитшот женский Set In, темно-зеленый, размер XL")</f>
      </c>
      <c r="C11063" s="4" t="n">
        <v>1305.00</v>
      </c>
      <c r="D11063" s="4"/>
    </row>
    <row collapsed="" customFormat="false" customHeight="1" hidden="" ht="14" outlineLevel="0" r="11064">
      <c r="A11064" s="3" t="inlineStr">
        <is>
          <t>11023</t>
        </is>
      </c>
      <c r="B11064" s="4" t="s">
        <f>=HYPERLINK("http://anyluxury.ru/shop/odezhda/tolstovki/svitshot-zhenskiy-set-in-temnozeleniy-ww02w882/" , "WW02W882 Свитшот женский Set In, темно-зеленый, размер XXL")</f>
      </c>
      <c r="C11064" s="4" t="n">
        <v>1305.00</v>
      </c>
      <c r="D11064" s="4"/>
    </row>
    <row collapsed="" customFormat="false" customHeight="1" hidden="" ht="14" outlineLevel="0" r="11065">
      <c r="A11065" s="3" t="inlineStr">
        <is>
          <t>11024</t>
        </is>
      </c>
      <c r="B11065" s="4" t="s">
        <f>=HYPERLINK("http://anyluxury.ru/shop/odezhda/tolstovki/tolstovka-s-kapyushonom-uniseks-hoodie-zheltaya-wu03w201/" , "WU03W201 Толстовка с капюшоном унисекс Hoodie, желтая, размер XS")</f>
      </c>
      <c r="C11065" s="4" t="n">
        <v>1865.00</v>
      </c>
      <c r="D11065" s="4"/>
    </row>
    <row collapsed="" customFormat="false" customHeight="1" hidden="" ht="14" outlineLevel="0" r="11066">
      <c r="A11066" s="3" t="inlineStr">
        <is>
          <t>11025</t>
        </is>
      </c>
      <c r="B11066" s="4" t="s">
        <f>=HYPERLINK("http://anyluxury.ru/shop/odezhda/tolstovki/tolstovka-s-kapyushonom-uniseks-hoodie-zheltaya-wu03w201/" , "WU03W201 Толстовка с капюшоном унисекс Hoodie, желтая, размер S")</f>
      </c>
      <c r="C11066" s="4" t="n">
        <v>1865.00</v>
      </c>
      <c r="D11066" s="4"/>
    </row>
    <row collapsed="" customFormat="false" customHeight="1" hidden="" ht="14" outlineLevel="0" r="11067">
      <c r="A11067" s="3" t="inlineStr">
        <is>
          <t>11026</t>
        </is>
      </c>
      <c r="B11067" s="4" t="s">
        <f>=HYPERLINK("http://anyluxury.ru/shop/odezhda/tolstovki/tolstovka-s-kapyushonom-uniseks-hoodie-zheltaya-wu03w201/" , "WU03W201 Толстовка с капюшоном унисекс Hoodie, желтая, размер M")</f>
      </c>
      <c r="C11067" s="4" t="n">
        <v>1865.00</v>
      </c>
      <c r="D11067" s="4"/>
    </row>
    <row collapsed="" customFormat="false" customHeight="1" hidden="" ht="14" outlineLevel="0" r="11068">
      <c r="A11068" s="3" t="inlineStr">
        <is>
          <t>11027</t>
        </is>
      </c>
      <c r="B11068" s="4" t="s">
        <f>=HYPERLINK("http://anyluxury.ru/shop/odezhda/tolstovki/tolstovka-s-kapyushonom-uniseks-hoodie-zheltaya-wu03w201/" , "WU03W201 Толстовка с капюшоном унисекс Hoodie, желтая, размер L")</f>
      </c>
      <c r="C11068" s="4" t="n">
        <v>1865.00</v>
      </c>
      <c r="D11068" s="4"/>
    </row>
    <row collapsed="" customFormat="false" customHeight="1" hidden="" ht="14" outlineLevel="0" r="11069">
      <c r="A11069" s="3" t="inlineStr">
        <is>
          <t>11028</t>
        </is>
      </c>
      <c r="B11069" s="4" t="s">
        <f>=HYPERLINK("http://anyluxury.ru/shop/odezhda/tolstovki/tolstovka-s-kapyushonom-uniseks-hoodie-zheltaya-wu03w201/" , "WU03W201 Толстовка с капюшоном унисекс Hoodie, желтая, размер XL")</f>
      </c>
      <c r="C11069" s="4" t="n">
        <v>1865.00</v>
      </c>
      <c r="D11069" s="4"/>
    </row>
    <row collapsed="" customFormat="false" customHeight="1" hidden="" ht="14" outlineLevel="0" r="11070">
      <c r="A11070" s="3" t="inlineStr">
        <is>
          <t>11029</t>
        </is>
      </c>
      <c r="B11070" s="4" t="s">
        <f>=HYPERLINK("http://anyluxury.ru/shop/odezhda/tolstovki/tolstovka-s-kapyushonom-uniseks-hoodie-zheltaya-wu03w201/" , "WU03W201 Толстовка с капюшоном унисекс Hoodie, желтая, размер XXL")</f>
      </c>
      <c r="C11070" s="4" t="n">
        <v>1865.00</v>
      </c>
      <c r="D11070" s="4"/>
    </row>
    <row collapsed="" customFormat="false" customHeight="1" hidden="" ht="14" outlineLevel="0" r="11071">
      <c r="A11071" s="3" t="inlineStr">
        <is>
          <t>11030</t>
        </is>
      </c>
      <c r="B11071" s="4" t="s">
        <f>=HYPERLINK("http://anyluxury.ru/shop/odezhda/tolstovki/tolstovka-s-kapyushonom-uniseks-hoodie-zheltaya-wu03w201/" , "WU03W201 Толстовка с капюшоном унисекс Hoodie, желтая, размер 3XL")</f>
      </c>
      <c r="C11071" s="4" t="n">
        <v>1865.00</v>
      </c>
      <c r="D11071" s="4"/>
    </row>
    <row collapsed="" customFormat="false" customHeight="1" hidden="" ht="14" outlineLevel="0" r="11072">
      <c r="A11072" s="3" t="inlineStr">
        <is>
          <t>11031</t>
        </is>
      </c>
      <c r="B11072" s="4" t="s">
        <f>=HYPERLINK("http://anyluxury.ru/shop/odezhda/tolstovki/tolstovka-s-kapyushonom-uniseks-hoodie-svetlooranzhevaya-wu03w255/" , "WU03W255 Толстовка с капюшоном унисекс Hoodie, светло-оранжевая, размер XS")</f>
      </c>
      <c r="C11072" s="4" t="n">
        <v>1865.00</v>
      </c>
      <c r="D11072" s="4"/>
    </row>
    <row collapsed="" customFormat="false" customHeight="1" hidden="" ht="14" outlineLevel="0" r="11073">
      <c r="A11073" s="3" t="inlineStr">
        <is>
          <t>11032</t>
        </is>
      </c>
      <c r="B11073" s="4" t="s">
        <f>=HYPERLINK("http://anyluxury.ru/shop/odezhda/tolstovki/tolstovka-s-kapyushonom-uniseks-hoodie-svetlooranzhevaya-wu03w255/" , "WU03W255 Толстовка с капюшоном унисекс Hoodie, светло-оранжевая, размер S")</f>
      </c>
      <c r="C11073" s="4" t="n">
        <v>1865.00</v>
      </c>
      <c r="D11073" s="4"/>
    </row>
    <row collapsed="" customFormat="false" customHeight="1" hidden="" ht="14" outlineLevel="0" r="11074">
      <c r="A11074" s="3" t="inlineStr">
        <is>
          <t>11033</t>
        </is>
      </c>
      <c r="B11074" s="4" t="s">
        <f>=HYPERLINK("http://anyluxury.ru/shop/odezhda/tolstovki/tolstovka-s-kapyushonom-uniseks-hoodie-svetlooranzhevaya-wu03w255/" , "WU03W255 Толстовка с капюшоном унисекс Hoodie, светло-оранжевая, размер M")</f>
      </c>
      <c r="C11074" s="4" t="n">
        <v>1865.00</v>
      </c>
      <c r="D11074" s="4"/>
    </row>
    <row collapsed="" customFormat="false" customHeight="1" hidden="" ht="14" outlineLevel="0" r="11075">
      <c r="A11075" s="3" t="inlineStr">
        <is>
          <t>11034</t>
        </is>
      </c>
      <c r="B11075" s="4" t="s">
        <f>=HYPERLINK("http://anyluxury.ru/shop/odezhda/tolstovki/tolstovka-s-kapyushonom-uniseks-hoodie-svetlooranzhevaya-wu03w255/" , "WU03W255 Толстовка с капюшоном унисекс Hoodie, светло-оранжевая, размер L")</f>
      </c>
      <c r="C11075" s="4" t="n">
        <v>1865.00</v>
      </c>
      <c r="D11075" s="4"/>
    </row>
    <row collapsed="" customFormat="false" customHeight="1" hidden="" ht="14" outlineLevel="0" r="11076">
      <c r="A11076" s="3" t="inlineStr">
        <is>
          <t>11035</t>
        </is>
      </c>
      <c r="B11076" s="4" t="s">
        <f>=HYPERLINK("http://anyluxury.ru/shop/odezhda/tolstovki/tolstovka-s-kapyushonom-uniseks-hoodie-svetlooranzhevaya-wu03w255/" , "WU03W255 Толстовка с капюшоном унисекс Hoodie, светло-оранжевая, размер XL")</f>
      </c>
      <c r="C11076" s="4" t="n">
        <v>1865.00</v>
      </c>
      <c r="D11076" s="4"/>
    </row>
    <row collapsed="" customFormat="false" customHeight="1" hidden="" ht="14" outlineLevel="0" r="11077">
      <c r="A11077" s="3" t="inlineStr">
        <is>
          <t>11036</t>
        </is>
      </c>
      <c r="B11077" s="4" t="s">
        <f>=HYPERLINK("http://anyluxury.ru/shop/odezhda/tolstovki/tolstovka-s-kapyushonom-uniseks-hoodie-svetlooranzhevaya-wu03w255/" , "WU03W255 Толстовка с капюшоном унисекс Hoodie, светло-оранжевая, размер XXL")</f>
      </c>
      <c r="C11077" s="4" t="n">
        <v>1865.00</v>
      </c>
      <c r="D11077" s="4"/>
    </row>
    <row collapsed="" customFormat="false" customHeight="1" hidden="" ht="14" outlineLevel="0" r="11078">
      <c r="A11078" s="3" t="inlineStr">
        <is>
          <t>11037</t>
        </is>
      </c>
      <c r="B11078" s="4" t="s">
        <f>=HYPERLINK("http://anyluxury.ru/shop/odezhda/tolstovki/tolstovka-s-kapyushonom-uniseks-hoodie-svetlooranzhevaya-wu03w255/" , "WU03W255 Толстовка с капюшоном унисекс Hoodie, светло-оранжевая, размер 3XL")</f>
      </c>
      <c r="C11078" s="4" t="n">
        <v>1865.00</v>
      </c>
      <c r="D11078" s="4"/>
    </row>
    <row collapsed="" customFormat="false" customHeight="1" hidden="" ht="14" outlineLevel="0" r="11079">
      <c r="A11079" s="3" t="inlineStr">
        <is>
          <t>11038</t>
        </is>
      </c>
      <c r="B11079" s="4" t="s">
        <f>=HYPERLINK("http://anyluxury.ru/shop/odezhda/tolstovki/tolstovka-s-kapyushonom-uniseks-hoodie-lilovaya-wu03w339/" , "WU03W339 Толстовка с капюшоном унисекс Hoodie, лиловая, размер XS")</f>
      </c>
      <c r="C11079" s="4" t="n">
        <v>1865.00</v>
      </c>
      <c r="D11079" s="4"/>
    </row>
    <row collapsed="" customFormat="false" customHeight="1" hidden="" ht="14" outlineLevel="0" r="11080">
      <c r="A11080" s="3" t="inlineStr">
        <is>
          <t>11039</t>
        </is>
      </c>
      <c r="B11080" s="4" t="s">
        <f>=HYPERLINK("http://anyluxury.ru/shop/odezhda/tolstovki/tolstovka-s-kapyushonom-uniseks-hoodie-lilovaya-wu03w339/" , "WU03W339 Толстовка с капюшоном унисекс Hoodie, лиловая, размер S")</f>
      </c>
      <c r="C11080" s="4" t="n">
        <v>1865.00</v>
      </c>
      <c r="D11080" s="4"/>
    </row>
    <row collapsed="" customFormat="false" customHeight="1" hidden="" ht="14" outlineLevel="0" r="11081">
      <c r="A11081" s="3" t="inlineStr">
        <is>
          <t>11040</t>
        </is>
      </c>
      <c r="B11081" s="4" t="s">
        <f>=HYPERLINK("http://anyluxury.ru/shop/odezhda/tolstovki/tolstovka-s-kapyushonom-uniseks-hoodie-lilovaya-wu03w339/" , "WU03W339 Толстовка с капюшоном унисекс Hoodie, лиловая, размер M")</f>
      </c>
      <c r="C11081" s="4" t="n">
        <v>1865.00</v>
      </c>
      <c r="D11081" s="4"/>
    </row>
    <row collapsed="" customFormat="false" customHeight="1" hidden="" ht="14" outlineLevel="0" r="11082">
      <c r="A11082" s="3" t="inlineStr">
        <is>
          <t>11041</t>
        </is>
      </c>
      <c r="B11082" s="4" t="s">
        <f>=HYPERLINK("http://anyluxury.ru/shop/odezhda/tolstovki/tolstovka-s-kapyushonom-uniseks-hoodie-lilovaya-wu03w339/" , "WU03W339 Толстовка с капюшоном унисекс Hoodie, лиловая, размер L")</f>
      </c>
      <c r="C11082" s="4" t="n">
        <v>1865.00</v>
      </c>
      <c r="D11082" s="4"/>
    </row>
    <row collapsed="" customFormat="false" customHeight="1" hidden="" ht="14" outlineLevel="0" r="11083">
      <c r="A11083" s="3" t="inlineStr">
        <is>
          <t>11042</t>
        </is>
      </c>
      <c r="B11083" s="4" t="s">
        <f>=HYPERLINK("http://anyluxury.ru/shop/odezhda/tolstovki/tolstovka-s-kapyushonom-uniseks-hoodie-lilovaya-wu03w339/" , "WU03W339 Толстовка с капюшоном унисекс Hoodie, лиловая, размер XL")</f>
      </c>
      <c r="C11083" s="4" t="n">
        <v>1865.00</v>
      </c>
      <c r="D11083" s="4"/>
    </row>
    <row collapsed="" customFormat="false" customHeight="1" hidden="" ht="14" outlineLevel="0" r="11084">
      <c r="A11084" s="3" t="inlineStr">
        <is>
          <t>11043</t>
        </is>
      </c>
      <c r="B11084" s="4" t="s">
        <f>=HYPERLINK("http://anyluxury.ru/shop/odezhda/tolstovki/tolstovka-s-kapyushonom-uniseks-hoodie-lilovaya-wu03w339/" , "WU03W339 Толстовка с капюшоном унисекс Hoodie, лиловая, размер XXL")</f>
      </c>
      <c r="C11084" s="4" t="n">
        <v>1865.00</v>
      </c>
      <c r="D11084" s="4"/>
    </row>
    <row collapsed="" customFormat="false" customHeight="1" hidden="" ht="14" outlineLevel="0" r="11085">
      <c r="A11085" s="3" t="inlineStr">
        <is>
          <t>11044</t>
        </is>
      </c>
      <c r="B11085" s="4" t="s">
        <f>=HYPERLINK("http://anyluxury.ru/shop/odezhda/tolstovki/tolstovka-s-kapyushonom-uniseks-hoodie-lilovaya-wu03w339/" , "WU03W339 Толстовка с капюшоном унисекс Hoodie, лиловая, размер 3XL")</f>
      </c>
      <c r="C11085" s="4" t="n">
        <v>1865.00</v>
      </c>
      <c r="D11085" s="4"/>
    </row>
    <row collapsed="" customFormat="false" customHeight="1" hidden="" ht="14" outlineLevel="0" r="11086">
      <c r="A11086" s="3" t="inlineStr">
        <is>
          <t>11045</t>
        </is>
      </c>
      <c r="B11086" s="4" t="s">
        <f>=HYPERLINK("http://anyluxury.ru/shop/odezhda/tolstovki/tolstovka-s-kapyushonom-uniseks-hoodie-fioletovaya-wu03w351/" , "WU03W351 Толстовка с капюшоном унисекс Hoodie, фиолетовая, размер XS")</f>
      </c>
      <c r="C11086" s="4" t="n">
        <v>1865.00</v>
      </c>
      <c r="D11086" s="4"/>
    </row>
    <row collapsed="" customFormat="false" customHeight="1" hidden="" ht="14" outlineLevel="0" r="11087">
      <c r="A11087" s="3" t="inlineStr">
        <is>
          <t>11046</t>
        </is>
      </c>
      <c r="B11087" s="4" t="s">
        <f>=HYPERLINK("http://anyluxury.ru/shop/odezhda/tolstovki/tolstovka-s-kapyushonom-uniseks-hoodie-fioletovaya-wu03w351/" , "WU03W351 Толстовка с капюшоном унисекс Hoodie, фиолетовая, размер S")</f>
      </c>
      <c r="C11087" s="4" t="n">
        <v>1865.00</v>
      </c>
      <c r="D11087" s="4"/>
    </row>
    <row collapsed="" customFormat="false" customHeight="1" hidden="" ht="14" outlineLevel="0" r="11088">
      <c r="A11088" s="3" t="inlineStr">
        <is>
          <t>11047</t>
        </is>
      </c>
      <c r="B11088" s="4" t="s">
        <f>=HYPERLINK("http://anyluxury.ru/shop/odezhda/tolstovki/tolstovka-s-kapyushonom-uniseks-hoodie-fioletovaya-wu03w351/" , "WU03W351 Толстовка с капюшоном унисекс Hoodie, фиолетовая, размер M")</f>
      </c>
      <c r="C11088" s="4" t="n">
        <v>1865.00</v>
      </c>
      <c r="D11088" s="4"/>
    </row>
    <row collapsed="" customFormat="false" customHeight="1" hidden="" ht="14" outlineLevel="0" r="11089">
      <c r="A11089" s="3" t="inlineStr">
        <is>
          <t>11048</t>
        </is>
      </c>
      <c r="B11089" s="4" t="s">
        <f>=HYPERLINK("http://anyluxury.ru/shop/odezhda/tolstovki/tolstovka-s-kapyushonom-uniseks-hoodie-fioletovaya-wu03w351/" , "WU03W351 Толстовка с капюшоном унисекс Hoodie, фиолетовая, размер L")</f>
      </c>
      <c r="C11089" s="4" t="n">
        <v>1865.00</v>
      </c>
      <c r="D11089" s="4"/>
    </row>
    <row collapsed="" customFormat="false" customHeight="1" hidden="" ht="14" outlineLevel="0" r="11090">
      <c r="A11090" s="3" t="inlineStr">
        <is>
          <t>11049</t>
        </is>
      </c>
      <c r="B11090" s="4" t="s">
        <f>=HYPERLINK("http://anyluxury.ru/shop/odezhda/tolstovki/tolstovka-s-kapyushonom-uniseks-hoodie-fioletovaya-wu03w351/" , "WU03W351 Толстовка с капюшоном унисекс Hoodie, фиолетовая, размер XL")</f>
      </c>
      <c r="C11090" s="4" t="n">
        <v>1865.00</v>
      </c>
      <c r="D11090" s="4"/>
    </row>
    <row collapsed="" customFormat="false" customHeight="1" hidden="" ht="14" outlineLevel="0" r="11091">
      <c r="A11091" s="3" t="inlineStr">
        <is>
          <t>11050</t>
        </is>
      </c>
      <c r="B11091" s="4" t="s">
        <f>=HYPERLINK("http://anyluxury.ru/shop/odezhda/tolstovki/tolstovka-s-kapyushonom-uniseks-hoodie-fioletovaya-wu03w351/" , "WU03W351 Толстовка с капюшоном унисекс Hoodie, фиолетовая, размер XXL")</f>
      </c>
      <c r="C11091" s="4" t="n">
        <v>1865.00</v>
      </c>
      <c r="D11091" s="4"/>
    </row>
    <row collapsed="" customFormat="false" customHeight="1" hidden="" ht="14" outlineLevel="0" r="11092">
      <c r="A11092" s="3" t="inlineStr">
        <is>
          <t>11051</t>
        </is>
      </c>
      <c r="B11092" s="4" t="s">
        <f>=HYPERLINK("http://anyluxury.ru/shop/odezhda/tolstovki/tolstovka-s-kapyushonom-uniseks-hoodie-fioletovaya-wu03w351/" , "WU03W351 Толстовка с капюшоном унисекс Hoodie, фиолетовая, размер 3XL")</f>
      </c>
      <c r="C11092" s="4" t="n">
        <v>1865.00</v>
      </c>
      <c r="D11092" s="4"/>
    </row>
    <row collapsed="" customFormat="false" customHeight="1" hidden="" ht="14" outlineLevel="0" r="11093">
      <c r="A11093" s="3" t="inlineStr">
        <is>
          <t>11052</t>
        </is>
      </c>
      <c r="B11093" s="4" t="s">
        <f>=HYPERLINK("http://anyluxury.ru/shop/odezhda/tolstovki/tolstovka-s-kapyushonom-uniseks-hoodie-svetlogolubaya-wu03w405/" , "WU03W405 Толстовка с капюшоном унисекс Hoodie, светло-голубая, размер XS")</f>
      </c>
      <c r="C11093" s="4" t="n">
        <v>1865.00</v>
      </c>
      <c r="D11093" s="4"/>
    </row>
    <row collapsed="" customFormat="false" customHeight="1" hidden="" ht="14" outlineLevel="0" r="11094">
      <c r="A11094" s="3" t="inlineStr">
        <is>
          <t>11053</t>
        </is>
      </c>
      <c r="B11094" s="4" t="s">
        <f>=HYPERLINK("http://anyluxury.ru/shop/odezhda/tolstovki/tolstovka-s-kapyushonom-uniseks-hoodie-svetlogolubaya-wu03w405/" , "WU03W405 Толстовка с капюшоном унисекс Hoodie, светло-голубая, размер S")</f>
      </c>
      <c r="C11094" s="4" t="n">
        <v>1865.00</v>
      </c>
      <c r="D11094" s="4"/>
    </row>
    <row collapsed="" customFormat="false" customHeight="1" hidden="" ht="14" outlineLevel="0" r="11095">
      <c r="A11095" s="3" t="inlineStr">
        <is>
          <t>11054</t>
        </is>
      </c>
      <c r="B11095" s="4" t="s">
        <f>=HYPERLINK("http://anyluxury.ru/shop/odezhda/tolstovki/tolstovka-s-kapyushonom-uniseks-hoodie-svetlogolubaya-wu03w405/" , "WU03W405 Толстовка с капюшоном унисекс Hoodie, светло-голубая, размер M")</f>
      </c>
      <c r="C11095" s="4" t="n">
        <v>1865.00</v>
      </c>
      <c r="D11095" s="4"/>
    </row>
    <row collapsed="" customFormat="false" customHeight="1" hidden="" ht="14" outlineLevel="0" r="11096">
      <c r="A11096" s="3" t="inlineStr">
        <is>
          <t>11055</t>
        </is>
      </c>
      <c r="B11096" s="4" t="s">
        <f>=HYPERLINK("http://anyluxury.ru/shop/odezhda/tolstovki/tolstovka-s-kapyushonom-uniseks-hoodie-svetlogolubaya-wu03w405/" , "WU03W405 Толстовка с капюшоном унисекс Hoodie, светло-голубая, размер L")</f>
      </c>
      <c r="C11096" s="4" t="n">
        <v>1865.00</v>
      </c>
      <c r="D11096" s="4"/>
    </row>
    <row collapsed="" customFormat="false" customHeight="1" hidden="" ht="14" outlineLevel="0" r="11097">
      <c r="A11097" s="3" t="inlineStr">
        <is>
          <t>11056</t>
        </is>
      </c>
      <c r="B11097" s="4" t="s">
        <f>=HYPERLINK("http://anyluxury.ru/shop/odezhda/tolstovki/tolstovka-s-kapyushonom-uniseks-hoodie-svetlogolubaya-wu03w405/" , "WU03W405 Толстовка с капюшоном унисекс Hoodie, светло-голубая, размер XL")</f>
      </c>
      <c r="C11097" s="4" t="n">
        <v>1865.00</v>
      </c>
      <c r="D11097" s="4"/>
    </row>
    <row collapsed="" customFormat="false" customHeight="1" hidden="" ht="14" outlineLevel="0" r="11098">
      <c r="A11098" s="3" t="inlineStr">
        <is>
          <t>11057</t>
        </is>
      </c>
      <c r="B11098" s="4" t="s">
        <f>=HYPERLINK("http://anyluxury.ru/shop/odezhda/tolstovki/tolstovka-s-kapyushonom-uniseks-hoodie-svetlogolubaya-wu03w405/" , "WU03W405 Толстовка с капюшоном унисекс Hoodie, светло-голубая, размер XXL")</f>
      </c>
      <c r="C11098" s="4" t="n">
        <v>1865.00</v>
      </c>
      <c r="D11098" s="4"/>
    </row>
    <row collapsed="" customFormat="false" customHeight="1" hidden="" ht="14" outlineLevel="0" r="11099">
      <c r="A11099" s="3" t="inlineStr">
        <is>
          <t>11058</t>
        </is>
      </c>
      <c r="B11099" s="4" t="s">
        <f>=HYPERLINK("http://anyluxury.ru/shop/odezhda/tolstovki/tolstovka-s-kapyushonom-uniseks-hoodie-svetlogolubaya-wu03w405/" , "WU03W405 Толстовка с капюшоном унисекс Hoodie, светло-голубая, размер 3XL")</f>
      </c>
      <c r="C11099" s="4" t="n">
        <v>1865.00</v>
      </c>
      <c r="D11099" s="4"/>
    </row>
    <row collapsed="" customFormat="false" customHeight="1" hidden="" ht="14" outlineLevel="0" r="11100">
      <c r="A11100" s="3" t="inlineStr">
        <is>
          <t>11059</t>
        </is>
      </c>
      <c r="B11100" s="4" t="s">
        <f>=HYPERLINK("http://anyluxury.ru/shop/odezhda/tolstovki/tolstovka-s-kapyushonom-uniseks-hoodie-biryuzovaya-wu03w443/" , "WU03W443 Толстовка с капюшоном унисекс Hoodie, бирюзовая, размер XS")</f>
      </c>
      <c r="C11100" s="4" t="n">
        <v>1865.00</v>
      </c>
      <c r="D11100" s="4"/>
    </row>
    <row collapsed="" customFormat="false" customHeight="1" hidden="" ht="14" outlineLevel="0" r="11101">
      <c r="A11101" s="3" t="inlineStr">
        <is>
          <t>11060</t>
        </is>
      </c>
      <c r="B11101" s="4" t="s">
        <f>=HYPERLINK("http://anyluxury.ru/shop/odezhda/tolstovki/tolstovka-s-kapyushonom-uniseks-hoodie-biryuzovaya-wu03w443/" , "WU03W443 Толстовка с капюшоном унисекс Hoodie, бирюзовая, размер S")</f>
      </c>
      <c r="C11101" s="4" t="n">
        <v>1865.00</v>
      </c>
      <c r="D11101" s="4"/>
    </row>
    <row collapsed="" customFormat="false" customHeight="1" hidden="" ht="14" outlineLevel="0" r="11102">
      <c r="A11102" s="3" t="inlineStr">
        <is>
          <t>11061</t>
        </is>
      </c>
      <c r="B11102" s="4" t="s">
        <f>=HYPERLINK("http://anyluxury.ru/shop/odezhda/tolstovki/tolstovka-s-kapyushonom-uniseks-hoodie-biryuzovaya-wu03w443/" , "WU03W443 Толстовка с капюшоном унисекс Hoodie, бирюзовая, размер M")</f>
      </c>
      <c r="C11102" s="4" t="n">
        <v>1865.00</v>
      </c>
      <c r="D11102" s="4"/>
    </row>
    <row collapsed="" customFormat="false" customHeight="1" hidden="" ht="14" outlineLevel="0" r="11103">
      <c r="A11103" s="3" t="inlineStr">
        <is>
          <t>11062</t>
        </is>
      </c>
      <c r="B11103" s="4" t="s">
        <f>=HYPERLINK("http://anyluxury.ru/shop/odezhda/tolstovki/tolstovka-s-kapyushonom-uniseks-hoodie-biryuzovaya-wu03w443/" , "WU03W443 Толстовка с капюшоном унисекс Hoodie, бирюзовая, размер L")</f>
      </c>
      <c r="C11103" s="4" t="n">
        <v>1865.00</v>
      </c>
      <c r="D11103" s="4"/>
    </row>
    <row collapsed="" customFormat="false" customHeight="1" hidden="" ht="14" outlineLevel="0" r="11104">
      <c r="A11104" s="3" t="inlineStr">
        <is>
          <t>11063</t>
        </is>
      </c>
      <c r="B11104" s="4" t="s">
        <f>=HYPERLINK("http://anyluxury.ru/shop/odezhda/tolstovki/tolstovka-s-kapyushonom-uniseks-hoodie-biryuzovaya-wu03w443/" , "WU03W443 Толстовка с капюшоном унисекс Hoodie, бирюзовая, размер XL")</f>
      </c>
      <c r="C11104" s="4" t="n">
        <v>1865.00</v>
      </c>
      <c r="D11104" s="4"/>
    </row>
    <row collapsed="" customFormat="false" customHeight="1" hidden="" ht="14" outlineLevel="0" r="11105">
      <c r="A11105" s="3" t="inlineStr">
        <is>
          <t>11064</t>
        </is>
      </c>
      <c r="B11105" s="4" t="s">
        <f>=HYPERLINK("http://anyluxury.ru/shop/odezhda/tolstovki/tolstovka-s-kapyushonom-uniseks-hoodie-biryuzovaya-wu03w443/" , "WU03W443 Толстовка с капюшоном унисекс Hoodie, бирюзовая, размер XXL")</f>
      </c>
      <c r="C11105" s="4" t="n">
        <v>1865.00</v>
      </c>
      <c r="D11105" s="4"/>
    </row>
    <row collapsed="" customFormat="false" customHeight="1" hidden="" ht="14" outlineLevel="0" r="11106">
      <c r="A11106" s="3" t="inlineStr">
        <is>
          <t>11065</t>
        </is>
      </c>
      <c r="B11106" s="4" t="s">
        <f>=HYPERLINK("http://anyluxury.ru/shop/odezhda/tolstovki/tolstovka-s-kapyushonom-uniseks-hoodie-biryuzovaya-wu03w443/" , "WU03W443 Толстовка с капюшоном унисекс Hoodie, бирюзовая, размер 3XL")</f>
      </c>
      <c r="C11106" s="4" t="n">
        <v>1865.00</v>
      </c>
      <c r="D11106" s="4"/>
    </row>
    <row collapsed="" customFormat="false" customHeight="1" hidden="" ht="14" outlineLevel="0" r="11107">
      <c r="A11107" s="3" t="inlineStr">
        <is>
          <t>11066</t>
        </is>
      </c>
      <c r="B11107" s="4" t="s">
        <f>=HYPERLINK("http://anyluxury.ru/shop/odezhda/tolstovki/tolstovka-s-kapyushonom-uniseks-hoodie-svetlozelenaya-wu03w503/" , "WU03W503 Толстовка с капюшоном унисекс Hoodie, светло-зеленая, размер XS")</f>
      </c>
      <c r="C11107" s="4" t="n">
        <v>1865.00</v>
      </c>
      <c r="D11107" s="4"/>
    </row>
    <row collapsed="" customFormat="false" customHeight="1" hidden="" ht="14" outlineLevel="0" r="11108">
      <c r="A11108" s="3" t="inlineStr">
        <is>
          <t>11067</t>
        </is>
      </c>
      <c r="B11108" s="4" t="s">
        <f>=HYPERLINK("http://anyluxury.ru/shop/odezhda/tolstovki/tolstovka-s-kapyushonom-uniseks-hoodie-svetlozelenaya-wu03w503/" , "WU03W503 Толстовка с капюшоном унисекс Hoodie, светло-зеленая, размер S")</f>
      </c>
      <c r="C11108" s="4" t="n">
        <v>1865.00</v>
      </c>
      <c r="D11108" s="4"/>
    </row>
    <row collapsed="" customFormat="false" customHeight="1" hidden="" ht="14" outlineLevel="0" r="11109">
      <c r="A11109" s="3" t="inlineStr">
        <is>
          <t>11068</t>
        </is>
      </c>
      <c r="B11109" s="4" t="s">
        <f>=HYPERLINK("http://anyluxury.ru/shop/odezhda/tolstovki/tolstovka-s-kapyushonom-uniseks-hoodie-svetlozelenaya-wu03w503/" , "WU03W503 Толстовка с капюшоном унисекс Hoodie, светло-зеленая, размер M")</f>
      </c>
      <c r="C11109" s="4" t="n">
        <v>1865.00</v>
      </c>
      <c r="D11109" s="4"/>
    </row>
    <row collapsed="" customFormat="false" customHeight="1" hidden="" ht="14" outlineLevel="0" r="11110">
      <c r="A11110" s="3" t="inlineStr">
        <is>
          <t>11069</t>
        </is>
      </c>
      <c r="B11110" s="4" t="s">
        <f>=HYPERLINK("http://anyluxury.ru/shop/odezhda/tolstovki/tolstovka-s-kapyushonom-uniseks-hoodie-svetlozelenaya-wu03w503/" , "WU03W503 Толстовка с капюшоном унисекс Hoodie, светло-зеленая, размер L")</f>
      </c>
      <c r="C11110" s="4" t="n">
        <v>1865.00</v>
      </c>
      <c r="D11110" s="4"/>
    </row>
    <row collapsed="" customFormat="false" customHeight="1" hidden="" ht="14" outlineLevel="0" r="11111">
      <c r="A11111" s="3" t="inlineStr">
        <is>
          <t>11070</t>
        </is>
      </c>
      <c r="B11111" s="4" t="s">
        <f>=HYPERLINK("http://anyluxury.ru/shop/odezhda/tolstovki/tolstovka-s-kapyushonom-uniseks-hoodie-svetlozelenaya-wu03w503/" , "WU03W503 Толстовка с капюшоном унисекс Hoodie, светло-зеленая, размер XL")</f>
      </c>
      <c r="C11111" s="4" t="n">
        <v>1865.00</v>
      </c>
      <c r="D11111" s="4"/>
    </row>
    <row collapsed="" customFormat="false" customHeight="1" hidden="" ht="14" outlineLevel="0" r="11112">
      <c r="A11112" s="3" t="inlineStr">
        <is>
          <t>11071</t>
        </is>
      </c>
      <c r="B11112" s="4" t="s">
        <f>=HYPERLINK("http://anyluxury.ru/shop/odezhda/tolstovki/tolstovka-s-kapyushonom-uniseks-hoodie-svetlozelenaya-wu03w503/" , "WU03W503 Толстовка с капюшоном унисекс Hoodie, светло-зеленая, размер XXL")</f>
      </c>
      <c r="C11112" s="4" t="n">
        <v>1865.00</v>
      </c>
      <c r="D11112" s="4"/>
    </row>
    <row collapsed="" customFormat="false" customHeight="1" hidden="" ht="14" outlineLevel="0" r="11113">
      <c r="A11113" s="3" t="inlineStr">
        <is>
          <t>11072</t>
        </is>
      </c>
      <c r="B11113" s="4" t="s">
        <f>=HYPERLINK("http://anyluxury.ru/shop/odezhda/tolstovki/tolstovka-s-kapyushonom-uniseks-hoodie-svetlozelenaya-wu03w503/" , "WU03W503 Толстовка с капюшоном унисекс Hoodie, светло-зеленая, размер 3XL")</f>
      </c>
      <c r="C11113" s="4" t="n">
        <v>1865.00</v>
      </c>
      <c r="D11113" s="4"/>
    </row>
    <row collapsed="" customFormat="false" customHeight="1" hidden="" ht="14" outlineLevel="0" r="11114">
      <c r="A11114" s="3" t="inlineStr">
        <is>
          <t>11073</t>
        </is>
      </c>
      <c r="B11114" s="4" t="s">
        <f>=HYPERLINK("http://anyluxury.ru/shop/odezhda/tolstovki/tolstovka-s-kapyushonom-uniseks-hoodie-haki-wu03w551/" , "WU03W551 Толстовка с капюшоном унисекс Hoodie, хаки, размер XS")</f>
      </c>
      <c r="C11114" s="4" t="n">
        <v>1865.00</v>
      </c>
      <c r="D11114" s="4"/>
    </row>
    <row collapsed="" customFormat="false" customHeight="1" hidden="" ht="14" outlineLevel="0" r="11115">
      <c r="A11115" s="3" t="inlineStr">
        <is>
          <t>11074</t>
        </is>
      </c>
      <c r="B11115" s="4" t="s">
        <f>=HYPERLINK("http://anyluxury.ru/shop/odezhda/tolstovki/tolstovka-s-kapyushonom-uniseks-hoodie-haki-wu03w551/" , "WU03W551 Толстовка с капюшоном унисекс Hoodie, хаки, размер S")</f>
      </c>
      <c r="C11115" s="4" t="n">
        <v>1865.00</v>
      </c>
      <c r="D11115" s="4"/>
    </row>
    <row collapsed="" customFormat="false" customHeight="1" hidden="" ht="14" outlineLevel="0" r="11116">
      <c r="A11116" s="3" t="inlineStr">
        <is>
          <t>11075</t>
        </is>
      </c>
      <c r="B11116" s="4" t="s">
        <f>=HYPERLINK("http://anyluxury.ru/shop/odezhda/tolstovki/tolstovka-s-kapyushonom-uniseks-hoodie-haki-wu03w551/" , "WU03W551 Толстовка с капюшоном унисекс Hoodie, хаки, размер M")</f>
      </c>
      <c r="C11116" s="4" t="n">
        <v>1865.00</v>
      </c>
      <c r="D11116" s="4"/>
    </row>
    <row collapsed="" customFormat="false" customHeight="1" hidden="" ht="14" outlineLevel="0" r="11117">
      <c r="A11117" s="3" t="inlineStr">
        <is>
          <t>11076</t>
        </is>
      </c>
      <c r="B11117" s="4" t="s">
        <f>=HYPERLINK("http://anyluxury.ru/shop/odezhda/tolstovki/tolstovka-s-kapyushonom-uniseks-hoodie-haki-wu03w551/" , "WU03W551 Толстовка с капюшоном унисекс Hoodie, хаки, размер L")</f>
      </c>
      <c r="C11117" s="4" t="n">
        <v>1865.00</v>
      </c>
      <c r="D11117" s="4"/>
    </row>
    <row collapsed="" customFormat="false" customHeight="1" hidden="" ht="14" outlineLevel="0" r="11118">
      <c r="A11118" s="3" t="inlineStr">
        <is>
          <t>11077</t>
        </is>
      </c>
      <c r="B11118" s="4" t="s">
        <f>=HYPERLINK("http://anyluxury.ru/shop/odezhda/tolstovki/tolstovka-s-kapyushonom-uniseks-hoodie-haki-wu03w551/" , "WU03W551 Толстовка с капюшоном унисекс Hoodie, хаки, размер XL")</f>
      </c>
      <c r="C11118" s="4" t="n">
        <v>1865.00</v>
      </c>
      <c r="D11118" s="4"/>
    </row>
    <row collapsed="" customFormat="false" customHeight="1" hidden="" ht="14" outlineLevel="0" r="11119">
      <c r="A11119" s="3" t="inlineStr">
        <is>
          <t>11078</t>
        </is>
      </c>
      <c r="B11119" s="4" t="s">
        <f>=HYPERLINK("http://anyluxury.ru/shop/odezhda/tolstovki/tolstovka-s-kapyushonom-uniseks-hoodie-haki-wu03w551/" , "WU03W551 Толстовка с капюшоном унисекс Hoodie, хаки, размер XXL")</f>
      </c>
      <c r="C11119" s="4" t="n">
        <v>1865.00</v>
      </c>
      <c r="D11119" s="4"/>
    </row>
    <row collapsed="" customFormat="false" customHeight="1" hidden="" ht="14" outlineLevel="0" r="11120">
      <c r="A11120" s="3" t="inlineStr">
        <is>
          <t>11079</t>
        </is>
      </c>
      <c r="B11120" s="4" t="s">
        <f>=HYPERLINK("http://anyluxury.ru/shop/odezhda/tolstovki/tolstovka-s-kapyushonom-uniseks-hoodie-haki-wu03w551/" , "WU03W551 Толстовка с капюшоном унисекс Hoodie, хаки, размер 3XL")</f>
      </c>
      <c r="C11120" s="4" t="n">
        <v>1865.00</v>
      </c>
      <c r="D11120" s="4"/>
    </row>
    <row collapsed="" customFormat="false" customHeight="1" hidden="" ht="14" outlineLevel="0" r="11121">
      <c r="A11121" s="3" t="inlineStr">
        <is>
          <t>11080</t>
        </is>
      </c>
      <c r="B11121" s="4" t="s">
        <f>=HYPERLINK("http://anyluxury.ru/shop/odezhda/tolstovki/tolstovka-s-kapyushonom-uniseks-hoodie-temnoseriy-melanzh-wu03w623/" , "WU03W623 Толстовка с капюшоном унисекс Hoodie, темно-серый меланж, размер XS")</f>
      </c>
      <c r="C11121" s="4" t="n">
        <v>1865.00</v>
      </c>
      <c r="D11121" s="4"/>
    </row>
    <row collapsed="" customFormat="false" customHeight="1" hidden="" ht="14" outlineLevel="0" r="11122">
      <c r="A11122" s="3" t="inlineStr">
        <is>
          <t>11081</t>
        </is>
      </c>
      <c r="B11122" s="4" t="s">
        <f>=HYPERLINK("http://anyluxury.ru/shop/odezhda/tolstovki/tolstovka-s-kapyushonom-uniseks-hoodie-temnoseriy-melanzh-wu03w623/" , "WU03W623 Толстовка с капюшоном унисекс Hoodie, темно-серый меланж, размер S")</f>
      </c>
      <c r="C11122" s="4" t="n">
        <v>1865.00</v>
      </c>
      <c r="D11122" s="4"/>
    </row>
    <row collapsed="" customFormat="false" customHeight="1" hidden="" ht="14" outlineLevel="0" r="11123">
      <c r="A11123" s="3" t="inlineStr">
        <is>
          <t>11082</t>
        </is>
      </c>
      <c r="B11123" s="4" t="s">
        <f>=HYPERLINK("http://anyluxury.ru/shop/odezhda/tolstovki/tolstovka-s-kapyushonom-uniseks-hoodie-temnoseriy-melanzh-wu03w623/" , "WU03W623 Толстовка с капюшоном унисекс Hoodie, темно-серый меланж, размер M")</f>
      </c>
      <c r="C11123" s="4" t="n">
        <v>1865.00</v>
      </c>
      <c r="D11123" s="4"/>
    </row>
    <row collapsed="" customFormat="false" customHeight="1" hidden="" ht="14" outlineLevel="0" r="11124">
      <c r="A11124" s="3" t="inlineStr">
        <is>
          <t>11083</t>
        </is>
      </c>
      <c r="B11124" s="4" t="s">
        <f>=HYPERLINK("http://anyluxury.ru/shop/odezhda/tolstovki/tolstovka-s-kapyushonom-uniseks-hoodie-temnoseriy-melanzh-wu03w623/" , "WU03W623 Толстовка с капюшоном унисекс Hoodie, темно-серый меланж, размер L")</f>
      </c>
      <c r="C11124" s="4" t="n">
        <v>1865.00</v>
      </c>
      <c r="D11124" s="4"/>
    </row>
    <row collapsed="" customFormat="false" customHeight="1" hidden="" ht="14" outlineLevel="0" r="11125">
      <c r="A11125" s="3" t="inlineStr">
        <is>
          <t>11084</t>
        </is>
      </c>
      <c r="B11125" s="4" t="s">
        <f>=HYPERLINK("http://anyluxury.ru/shop/odezhda/tolstovki/tolstovka-s-kapyushonom-uniseks-hoodie-temnoseriy-melanzh-wu03w623/" , "WU03W623 Толстовка с капюшоном унисекс Hoodie, темно-серый меланж, размер XL")</f>
      </c>
      <c r="C11125" s="4" t="n">
        <v>1865.00</v>
      </c>
      <c r="D11125" s="4"/>
    </row>
    <row collapsed="" customFormat="false" customHeight="1" hidden="" ht="14" outlineLevel="0" r="11126">
      <c r="A11126" s="3" t="inlineStr">
        <is>
          <t>11085</t>
        </is>
      </c>
      <c r="B11126" s="4" t="s">
        <f>=HYPERLINK("http://anyluxury.ru/shop/odezhda/tolstovki/tolstovka-s-kapyushonom-uniseks-hoodie-temnoseriy-melanzh-wu03w623/" , "WU03W623 Толстовка с капюшоном унисекс Hoodie, темно-серый меланж, размер XXL")</f>
      </c>
      <c r="C11126" s="4" t="n">
        <v>1865.00</v>
      </c>
      <c r="D11126" s="4"/>
    </row>
    <row collapsed="" customFormat="false" customHeight="1" hidden="" ht="14" outlineLevel="0" r="11127">
      <c r="A11127" s="3" t="inlineStr">
        <is>
          <t>11086</t>
        </is>
      </c>
      <c r="B11127" s="4" t="s">
        <f>=HYPERLINK("http://anyluxury.ru/shop/odezhda/tolstovki/tolstovka-s-kapyushonom-uniseks-hoodie-temnoseriy-melanzh-wu03w623/" , "WU03W623 Толстовка с капюшоном унисекс Hoodie, темно-серый меланж, размер 3XL")</f>
      </c>
      <c r="C11127" s="4" t="n">
        <v>1865.00</v>
      </c>
      <c r="D11127" s="4"/>
    </row>
    <row collapsed="" customFormat="false" customHeight="1" hidden="" ht="14" outlineLevel="0" r="11128">
      <c r="A11128" s="3" t="inlineStr">
        <is>
          <t>11087</t>
        </is>
      </c>
      <c r="B11128" s="4" t="s">
        <f>=HYPERLINK("http://anyluxury.ru/shop/odezhda/tolstovki/tolstovka-s-kapyushonom-uniseks-hoodie-temnozelenaya-wu03w882/" , "WU03W882 Толстовка с капюшоном унисекс Hoodie, темно-зеленая, размер XS")</f>
      </c>
      <c r="C11128" s="4" t="n">
        <v>1865.00</v>
      </c>
      <c r="D11128" s="4"/>
    </row>
    <row collapsed="" customFormat="false" customHeight="1" hidden="" ht="14" outlineLevel="0" r="11129">
      <c r="A11129" s="3" t="inlineStr">
        <is>
          <t>11088</t>
        </is>
      </c>
      <c r="B11129" s="4" t="s">
        <f>=HYPERLINK("http://anyluxury.ru/shop/odezhda/tolstovki/tolstovka-s-kapyushonom-uniseks-hoodie-temnozelenaya-wu03w882/" , "WU03W882 Толстовка с капюшоном унисекс Hoodie, темно-зеленая, размер S")</f>
      </c>
      <c r="C11129" s="4" t="n">
        <v>1865.00</v>
      </c>
      <c r="D11129" s="4"/>
    </row>
    <row collapsed="" customFormat="false" customHeight="1" hidden="" ht="14" outlineLevel="0" r="11130">
      <c r="A11130" s="3" t="inlineStr">
        <is>
          <t>11089</t>
        </is>
      </c>
      <c r="B11130" s="4" t="s">
        <f>=HYPERLINK("http://anyluxury.ru/shop/odezhda/tolstovki/tolstovka-s-kapyushonom-uniseks-hoodie-temnozelenaya-wu03w882/" , "WU03W882 Толстовка с капюшоном унисекс Hoodie, темно-зеленая, размер M")</f>
      </c>
      <c r="C11130" s="4" t="n">
        <v>1865.00</v>
      </c>
      <c r="D11130" s="4"/>
    </row>
    <row collapsed="" customFormat="false" customHeight="1" hidden="" ht="14" outlineLevel="0" r="11131">
      <c r="A11131" s="3" t="inlineStr">
        <is>
          <t>11090</t>
        </is>
      </c>
      <c r="B11131" s="4" t="s">
        <f>=HYPERLINK("http://anyluxury.ru/shop/odezhda/tolstovki/tolstovka-s-kapyushonom-uniseks-hoodie-temnozelenaya-wu03w882/" , "WU03W882 Толстовка с капюшоном унисекс Hoodie, темно-зеленая, размер L")</f>
      </c>
      <c r="C11131" s="4" t="n">
        <v>1865.00</v>
      </c>
      <c r="D11131" s="4"/>
    </row>
    <row collapsed="" customFormat="false" customHeight="1" hidden="" ht="14" outlineLevel="0" r="11132">
      <c r="A11132" s="3" t="inlineStr">
        <is>
          <t>11091</t>
        </is>
      </c>
      <c r="B11132" s="4" t="s">
        <f>=HYPERLINK("http://anyluxury.ru/shop/odezhda/tolstovki/tolstovka-s-kapyushonom-uniseks-hoodie-temnozelenaya-wu03w882/" , "WU03W882 Толстовка с капюшоном унисекс Hoodie, темно-зеленая, размер XL")</f>
      </c>
      <c r="C11132" s="4" t="n">
        <v>1865.00</v>
      </c>
      <c r="D11132" s="4"/>
    </row>
    <row collapsed="" customFormat="false" customHeight="1" hidden="" ht="14" outlineLevel="0" r="11133">
      <c r="A11133" s="3" t="inlineStr">
        <is>
          <t>11092</t>
        </is>
      </c>
      <c r="B11133" s="4" t="s">
        <f>=HYPERLINK("http://anyluxury.ru/shop/odezhda/tolstovki/tolstovka-s-kapyushonom-uniseks-hoodie-temnozelenaya-wu03w882/" , "WU03W882 Толстовка с капюшоном унисекс Hoodie, темно-зеленая, размер XXL")</f>
      </c>
      <c r="C11133" s="4" t="n">
        <v>1865.00</v>
      </c>
      <c r="D11133" s="4"/>
    </row>
    <row collapsed="" customFormat="false" customHeight="1" hidden="" ht="14" outlineLevel="0" r="11134">
      <c r="A11134" s="3" t="inlineStr">
        <is>
          <t>11093</t>
        </is>
      </c>
      <c r="B11134" s="4" t="s">
        <f>=HYPERLINK("http://anyluxury.ru/shop/odezhda/tolstovki/tolstovka-s-kapyushonom-uniseks-hoodie-temnozelenaya-wu03w882/" , "WU03W882 Толстовка с капюшоном унисекс Hoodie, темно-зеленая, размер 3XL")</f>
      </c>
      <c r="C11134" s="4" t="n">
        <v>1865.00</v>
      </c>
      <c r="D11134" s="4"/>
    </row>
    <row collapsed="" customFormat="false" customHeight="1" hidden="" ht="14" outlineLevel="0" r="11135">
      <c r="A11135" s="3" t="inlineStr">
        <is>
          <t>11094</t>
        </is>
      </c>
      <c r="B11135" s="4" t="s">
        <f>=HYPERLINK("http://anyluxury.ru/shop/odezhda/tolstovki/tolstovka-s-kapyushonom-zhenskaya-hoodie-oranzhevaya-ww04w233/" , "WW04W233 Толстовка с капюшоном женская Hoodie, оранжевая, размер XS")</f>
      </c>
      <c r="C11135" s="4" t="n">
        <v>1769.00</v>
      </c>
      <c r="D11135" s="4"/>
    </row>
    <row collapsed="" customFormat="false" customHeight="1" hidden="" ht="14" outlineLevel="0" r="11136">
      <c r="A11136" s="3" t="inlineStr">
        <is>
          <t>11095</t>
        </is>
      </c>
      <c r="B11136" s="4" t="s">
        <f>=HYPERLINK("http://anyluxury.ru/shop/odezhda/tolstovki/tolstovka-s-kapyushonom-zhenskaya-hoodie-oranzhevaya-ww04w233/" , "WW04W233 Толстовка с капюшоном женская Hoodie, оранжевая, размер S")</f>
      </c>
      <c r="C11136" s="4" t="n">
        <v>1769.00</v>
      </c>
      <c r="D11136" s="4"/>
    </row>
    <row collapsed="" customFormat="false" customHeight="1" hidden="" ht="14" outlineLevel="0" r="11137">
      <c r="A11137" s="3" t="inlineStr">
        <is>
          <t>11096</t>
        </is>
      </c>
      <c r="B11137" s="4" t="s">
        <f>=HYPERLINK("http://anyluxury.ru/shop/odezhda/tolstovki/tolstovka-s-kapyushonom-zhenskaya-hoodie-oranzhevaya-ww04w233/" , "WW04W233 Толстовка с капюшоном женская Hoodie, оранжевая, размер M")</f>
      </c>
      <c r="C11137" s="4" t="n">
        <v>1769.00</v>
      </c>
      <c r="D11137" s="4"/>
    </row>
    <row collapsed="" customFormat="false" customHeight="1" hidden="" ht="14" outlineLevel="0" r="11138">
      <c r="A11138" s="3" t="inlineStr">
        <is>
          <t>11097</t>
        </is>
      </c>
      <c r="B11138" s="4" t="s">
        <f>=HYPERLINK("http://anyluxury.ru/shop/odezhda/tolstovki/tolstovka-s-kapyushonom-zhenskaya-hoodie-oranzhevaya-ww04w233/" , "WW04W233 Толстовка с капюшоном женская Hoodie, оранжевая, размер L")</f>
      </c>
      <c r="C11138" s="4" t="n">
        <v>1769.00</v>
      </c>
      <c r="D11138" s="4"/>
    </row>
    <row collapsed="" customFormat="false" customHeight="1" hidden="" ht="14" outlineLevel="0" r="11139">
      <c r="A11139" s="3" t="inlineStr">
        <is>
          <t>11098</t>
        </is>
      </c>
      <c r="B11139" s="4" t="s">
        <f>=HYPERLINK("http://anyluxury.ru/shop/odezhda/tolstovki/tolstovka-s-kapyushonom-zhenskaya-hoodie-oranzhevaya-ww04w233/" , "WW04W233 Толстовка с капюшоном женская Hoodie, оранжевая, размер XL")</f>
      </c>
      <c r="C11139" s="4" t="n">
        <v>1769.00</v>
      </c>
      <c r="D11139" s="4"/>
    </row>
    <row collapsed="" customFormat="false" customHeight="1" hidden="" ht="14" outlineLevel="0" r="11140">
      <c r="A11140" s="3" t="inlineStr">
        <is>
          <t>11099</t>
        </is>
      </c>
      <c r="B11140" s="4" t="s">
        <f>=HYPERLINK("http://anyluxury.ru/shop/odezhda/tolstovki/tolstovka-s-kapyushonom-zhenskaya-hoodie-oranzhevaya-ww04w233/" , "WW04W233 Толстовка с капюшоном женская Hoodie, оранжевая, размер XXL")</f>
      </c>
      <c r="C11140" s="4" t="n">
        <v>1769.00</v>
      </c>
      <c r="D11140" s="4"/>
    </row>
    <row collapsed="" customFormat="false" customHeight="1" hidden="" ht="14" outlineLevel="0" r="11141">
      <c r="A11141" s="3" t="inlineStr">
        <is>
          <t>11100</t>
        </is>
      </c>
      <c r="B11141" s="4" t="s">
        <f>=HYPERLINK("http://anyluxury.ru/shop/odezhda/tolstovki/tolstovka-s-kapyushonom-zhenskaya-hoodie-svetlooranzhevaya-ww04w255/" , "WW04W255 Толстовка с капюшоном женская Hoodie, светло-оранжевая, размер XS")</f>
      </c>
      <c r="C11141" s="4" t="n">
        <v>1769.00</v>
      </c>
      <c r="D11141" s="4"/>
    </row>
    <row collapsed="" customFormat="false" customHeight="1" hidden="" ht="14" outlineLevel="0" r="11142">
      <c r="A11142" s="3" t="inlineStr">
        <is>
          <t>11101</t>
        </is>
      </c>
      <c r="B11142" s="4" t="s">
        <f>=HYPERLINK("http://anyluxury.ru/shop/odezhda/tolstovki/tolstovka-s-kapyushonom-zhenskaya-hoodie-svetlooranzhevaya-ww04w255/" , "WW04W255 Толстовка с капюшоном женская Hoodie, светло-оранжевая, размер S")</f>
      </c>
      <c r="C11142" s="4" t="n">
        <v>1769.00</v>
      </c>
      <c r="D11142" s="4"/>
    </row>
    <row collapsed="" customFormat="false" customHeight="1" hidden="" ht="14" outlineLevel="0" r="11143">
      <c r="A11143" s="3" t="inlineStr">
        <is>
          <t>11102</t>
        </is>
      </c>
      <c r="B11143" s="4" t="s">
        <f>=HYPERLINK("http://anyluxury.ru/shop/odezhda/tolstovki/tolstovka-s-kapyushonom-zhenskaya-hoodie-svetlooranzhevaya-ww04w255/" , "WW04W255 Толстовка с капюшоном женская Hoodie, светло-оранжевая, размер M")</f>
      </c>
      <c r="C11143" s="4" t="n">
        <v>1769.00</v>
      </c>
      <c r="D11143" s="4"/>
    </row>
    <row collapsed="" customFormat="false" customHeight="1" hidden="" ht="14" outlineLevel="0" r="11144">
      <c r="A11144" s="3" t="inlineStr">
        <is>
          <t>11103</t>
        </is>
      </c>
      <c r="B11144" s="4" t="s">
        <f>=HYPERLINK("http://anyluxury.ru/shop/odezhda/tolstovki/tolstovka-s-kapyushonom-zhenskaya-hoodie-svetlooranzhevaya-ww04w255/" , "WW04W255 Толстовка с капюшоном женская Hoodie, светло-оранжевая, размер L")</f>
      </c>
      <c r="C11144" s="4" t="n">
        <v>1769.00</v>
      </c>
      <c r="D11144" s="4"/>
    </row>
    <row collapsed="" customFormat="false" customHeight="1" hidden="" ht="14" outlineLevel="0" r="11145">
      <c r="A11145" s="3" t="inlineStr">
        <is>
          <t>11104</t>
        </is>
      </c>
      <c r="B11145" s="4" t="s">
        <f>=HYPERLINK("http://anyluxury.ru/shop/odezhda/tolstovki/tolstovka-s-kapyushonom-zhenskaya-hoodie-svetlooranzhevaya-ww04w255/" , "WW04W255 Толстовка с капюшоном женская Hoodie, светло-оранжевая, размер XL")</f>
      </c>
      <c r="C11145" s="4" t="n">
        <v>1769.00</v>
      </c>
      <c r="D11145" s="4"/>
    </row>
    <row collapsed="" customFormat="false" customHeight="1" hidden="" ht="14" outlineLevel="0" r="11146">
      <c r="A11146" s="3" t="inlineStr">
        <is>
          <t>11105</t>
        </is>
      </c>
      <c r="B11146" s="4" t="s">
        <f>=HYPERLINK("http://anyluxury.ru/shop/odezhda/tolstovki/tolstovka-s-kapyushonom-zhenskaya-hoodie-svetlooranzhevaya-ww04w255/" , "WW04W255 Толстовка с капюшоном женская Hoodie, светло-оранжевая, размер XXL")</f>
      </c>
      <c r="C11146" s="4" t="n">
        <v>1769.00</v>
      </c>
      <c r="D11146" s="4"/>
    </row>
    <row collapsed="" customFormat="false" customHeight="1" hidden="" ht="14" outlineLevel="0" r="11147">
      <c r="A11147" s="3" t="inlineStr">
        <is>
          <t>11106</t>
        </is>
      </c>
      <c r="B11147" s="4" t="s">
        <f>=HYPERLINK("http://anyluxury.ru/shop/odezhda/tolstovki/tolstovka-s-kapyushonom-zhenskaya-hoodie-svetlorozovaya-ww04w305/" , "WW04W305 Толстовка с капюшоном женская Hoodie, светло-розовая, размер XS")</f>
      </c>
      <c r="C11147" s="4" t="n">
        <v>1769.00</v>
      </c>
      <c r="D11147" s="4"/>
    </row>
    <row collapsed="" customFormat="false" customHeight="1" hidden="" ht="14" outlineLevel="0" r="11148">
      <c r="A11148" s="3" t="inlineStr">
        <is>
          <t>11107</t>
        </is>
      </c>
      <c r="B11148" s="4" t="s">
        <f>=HYPERLINK("http://anyluxury.ru/shop/odezhda/tolstovki/tolstovka-s-kapyushonom-zhenskaya-hoodie-svetlorozovaya-ww04w305/" , "WW04W305 Толстовка с капюшоном женская Hoodie, светло-розовая, размер S")</f>
      </c>
      <c r="C11148" s="4" t="n">
        <v>1769.00</v>
      </c>
      <c r="D11148" s="4"/>
    </row>
    <row collapsed="" customFormat="false" customHeight="1" hidden="" ht="14" outlineLevel="0" r="11149">
      <c r="A11149" s="3" t="inlineStr">
        <is>
          <t>11108</t>
        </is>
      </c>
      <c r="B11149" s="4" t="s">
        <f>=HYPERLINK("http://anyluxury.ru/shop/odezhda/tolstovki/tolstovka-s-kapyushonom-zhenskaya-hoodie-svetlorozovaya-ww04w305/" , "WW04W305 Толстовка с капюшоном женская Hoodie, светло-розовая, размер M")</f>
      </c>
      <c r="C11149" s="4" t="n">
        <v>1769.00</v>
      </c>
      <c r="D11149" s="4"/>
    </row>
    <row collapsed="" customFormat="false" customHeight="1" hidden="" ht="14" outlineLevel="0" r="11150">
      <c r="A11150" s="3" t="inlineStr">
        <is>
          <t>11109</t>
        </is>
      </c>
      <c r="B11150" s="4" t="s">
        <f>=HYPERLINK("http://anyluxury.ru/shop/odezhda/tolstovki/tolstovka-s-kapyushonom-zhenskaya-hoodie-svetlorozovaya-ww04w305/" , "WW04W305 Толстовка с капюшоном женская Hoodie, светло-розовая, размер L")</f>
      </c>
      <c r="C11150" s="4" t="n">
        <v>1769.00</v>
      </c>
      <c r="D11150" s="4"/>
    </row>
    <row collapsed="" customFormat="false" customHeight="1" hidden="" ht="14" outlineLevel="0" r="11151">
      <c r="A11151" s="3" t="inlineStr">
        <is>
          <t>11110</t>
        </is>
      </c>
      <c r="B11151" s="4" t="s">
        <f>=HYPERLINK("http://anyluxury.ru/shop/odezhda/tolstovki/tolstovka-s-kapyushonom-zhenskaya-hoodie-svetlorozovaya-ww04w305/" , "WW04W305 Толстовка с капюшоном женская Hoodie, светло-розовая, размер XL")</f>
      </c>
      <c r="C11151" s="4" t="n">
        <v>1769.00</v>
      </c>
      <c r="D11151" s="4"/>
    </row>
    <row collapsed="" customFormat="false" customHeight="1" hidden="" ht="14" outlineLevel="0" r="11152">
      <c r="A11152" s="3" t="inlineStr">
        <is>
          <t>11111</t>
        </is>
      </c>
      <c r="B11152" s="4" t="s">
        <f>=HYPERLINK("http://anyluxury.ru/shop/odezhda/tolstovki/tolstovka-s-kapyushonom-zhenskaya-hoodie-svetlorozovaya-ww04w305/" , "WW04W305 Толстовка с капюшоном женская Hoodie, светло-розовая, размер XXL")</f>
      </c>
      <c r="C11152" s="4" t="n">
        <v>1769.00</v>
      </c>
      <c r="D11152" s="4"/>
    </row>
    <row collapsed="" customFormat="false" customHeight="1" hidden="" ht="14" outlineLevel="0" r="11153">
      <c r="A11153" s="3" t="inlineStr">
        <is>
          <t>11112</t>
        </is>
      </c>
      <c r="B11153" s="4" t="s">
        <f>=HYPERLINK("http://anyluxury.ru/shop/odezhda/tolstovki/tolstovka-s-kapyushonom-zhenskaya-hoodie-rozovaya-ww04w308/" , "WW04W308 Толстовка с капюшоном женская Hoodie, розовая, размер XS")</f>
      </c>
      <c r="C11153" s="4" t="n">
        <v>1769.00</v>
      </c>
      <c r="D11153" s="4"/>
    </row>
    <row collapsed="" customFormat="false" customHeight="1" hidden="" ht="14" outlineLevel="0" r="11154">
      <c r="A11154" s="3" t="inlineStr">
        <is>
          <t>11113</t>
        </is>
      </c>
      <c r="B11154" s="4" t="s">
        <f>=HYPERLINK("http://anyluxury.ru/shop/odezhda/tolstovki/tolstovka-s-kapyushonom-zhenskaya-hoodie-rozovaya-ww04w308/" , "WW04W308 Толстовка с капюшоном женская Hoodie, розовая, размер S")</f>
      </c>
      <c r="C11154" s="4" t="n">
        <v>1769.00</v>
      </c>
      <c r="D11154" s="4"/>
    </row>
    <row collapsed="" customFormat="false" customHeight="1" hidden="" ht="14" outlineLevel="0" r="11155">
      <c r="A11155" s="3" t="inlineStr">
        <is>
          <t>11114</t>
        </is>
      </c>
      <c r="B11155" s="4" t="s">
        <f>=HYPERLINK("http://anyluxury.ru/shop/odezhda/tolstovki/tolstovka-s-kapyushonom-zhenskaya-hoodie-rozovaya-ww04w308/" , "WW04W308 Толстовка с капюшоном женская Hoodie, розовая, размер M")</f>
      </c>
      <c r="C11155" s="4" t="n">
        <v>1769.00</v>
      </c>
      <c r="D11155" s="4"/>
    </row>
    <row collapsed="" customFormat="false" customHeight="1" hidden="" ht="14" outlineLevel="0" r="11156">
      <c r="A11156" s="3" t="inlineStr">
        <is>
          <t>11115</t>
        </is>
      </c>
      <c r="B11156" s="4" t="s">
        <f>=HYPERLINK("http://anyluxury.ru/shop/odezhda/tolstovki/tolstovka-s-kapyushonom-zhenskaya-hoodie-rozovaya-ww04w308/" , "WW04W308 Толстовка с капюшоном женская Hoodie, розовая, размер L")</f>
      </c>
      <c r="C11156" s="4" t="n">
        <v>1769.00</v>
      </c>
      <c r="D11156" s="4"/>
    </row>
    <row collapsed="" customFormat="false" customHeight="1" hidden="" ht="14" outlineLevel="0" r="11157">
      <c r="A11157" s="3" t="inlineStr">
        <is>
          <t>11116</t>
        </is>
      </c>
      <c r="B11157" s="4" t="s">
        <f>=HYPERLINK("http://anyluxury.ru/shop/odezhda/tolstovki/tolstovka-s-kapyushonom-zhenskaya-hoodie-rozovaya-ww04w308/" , "WW04W308 Толстовка с капюшоном женская Hoodie, розовая, размер XL")</f>
      </c>
      <c r="C11157" s="4" t="n">
        <v>1769.00</v>
      </c>
      <c r="D11157" s="4"/>
    </row>
    <row collapsed="" customFormat="false" customHeight="1" hidden="" ht="14" outlineLevel="0" r="11158">
      <c r="A11158" s="3" t="inlineStr">
        <is>
          <t>11117</t>
        </is>
      </c>
      <c r="B11158" s="4" t="s">
        <f>=HYPERLINK("http://anyluxury.ru/shop/odezhda/tolstovki/tolstovka-s-kapyushonom-zhenskaya-hoodie-rozovaya-ww04w308/" , "WW04W308 Толстовка с капюшоном женская Hoodie, розовая, размер XXL")</f>
      </c>
      <c r="C11158" s="4" t="n">
        <v>1769.00</v>
      </c>
      <c r="D11158" s="4"/>
    </row>
    <row collapsed="" customFormat="false" customHeight="1" hidden="" ht="14" outlineLevel="0" r="11159">
      <c r="A11159" s="3" t="inlineStr">
        <is>
          <t>11118</t>
        </is>
      </c>
      <c r="B11159" s="4" t="s">
        <f>=HYPERLINK("http://anyluxury.ru/shop/odezhda/tolstovki/tolstovka-s-kapyushonom-zhenskaya-hoodie-svetlogolubaya-ww04w405/" , "WW04W405 Толстовка с капюшоном женская Hoodie, светло-голубая, размер XS")</f>
      </c>
      <c r="C11159" s="4" t="n">
        <v>1769.00</v>
      </c>
      <c r="D11159" s="4"/>
    </row>
    <row collapsed="" customFormat="false" customHeight="1" hidden="" ht="14" outlineLevel="0" r="11160">
      <c r="A11160" s="3" t="inlineStr">
        <is>
          <t>11119</t>
        </is>
      </c>
      <c r="B11160" s="4" t="s">
        <f>=HYPERLINK("http://anyluxury.ru/shop/odezhda/tolstovki/tolstovka-s-kapyushonom-zhenskaya-hoodie-svetlogolubaya-ww04w405/" , "WW04W405 Толстовка с капюшоном женская Hoodie, светло-голубая, размер S")</f>
      </c>
      <c r="C11160" s="4" t="n">
        <v>1769.00</v>
      </c>
      <c r="D11160" s="4"/>
    </row>
    <row collapsed="" customFormat="false" customHeight="1" hidden="" ht="14" outlineLevel="0" r="11161">
      <c r="A11161" s="3" t="inlineStr">
        <is>
          <t>11120</t>
        </is>
      </c>
      <c r="B11161" s="4" t="s">
        <f>=HYPERLINK("http://anyluxury.ru/shop/odezhda/tolstovki/tolstovka-s-kapyushonom-zhenskaya-hoodie-svetlogolubaya-ww04w405/" , "WW04W405 Толстовка с капюшоном женская Hoodie, светло-голубая, размер M")</f>
      </c>
      <c r="C11161" s="4" t="n">
        <v>1769.00</v>
      </c>
      <c r="D11161" s="4"/>
    </row>
    <row collapsed="" customFormat="false" customHeight="1" hidden="" ht="14" outlineLevel="0" r="11162">
      <c r="A11162" s="3" t="inlineStr">
        <is>
          <t>11121</t>
        </is>
      </c>
      <c r="B11162" s="4" t="s">
        <f>=HYPERLINK("http://anyluxury.ru/shop/odezhda/tolstovki/tolstovka-s-kapyushonom-zhenskaya-hoodie-svetlogolubaya-ww04w405/" , "WW04W405 Толстовка с капюшоном женская Hoodie, светло-голубая, размер L")</f>
      </c>
      <c r="C11162" s="4" t="n">
        <v>1769.00</v>
      </c>
      <c r="D11162" s="4"/>
    </row>
    <row collapsed="" customFormat="false" customHeight="1" hidden="" ht="14" outlineLevel="0" r="11163">
      <c r="A11163" s="3" t="inlineStr">
        <is>
          <t>11122</t>
        </is>
      </c>
      <c r="B11163" s="4" t="s">
        <f>=HYPERLINK("http://anyluxury.ru/shop/odezhda/tolstovki/tolstovka-s-kapyushonom-zhenskaya-hoodie-svetlogolubaya-ww04w405/" , "WW04W405 Толстовка с капюшоном женская Hoodie, светло-голубая, размер XL")</f>
      </c>
      <c r="C11163" s="4" t="n">
        <v>1769.00</v>
      </c>
      <c r="D11163" s="4"/>
    </row>
    <row collapsed="" customFormat="false" customHeight="1" hidden="" ht="14" outlineLevel="0" r="11164">
      <c r="A11164" s="3" t="inlineStr">
        <is>
          <t>11123</t>
        </is>
      </c>
      <c r="B11164" s="4" t="s">
        <f>=HYPERLINK("http://anyluxury.ru/shop/odezhda/tolstovki/tolstovka-s-kapyushonom-zhenskaya-hoodie-svetlogolubaya-ww04w405/" , "WW04W405 Толстовка с капюшоном женская Hoodie, светло-голубая, размер XXL")</f>
      </c>
      <c r="C11164" s="4" t="n">
        <v>1769.00</v>
      </c>
      <c r="D11164" s="4"/>
    </row>
    <row collapsed="" customFormat="false" customHeight="1" hidden="" ht="14" outlineLevel="0" r="11165">
      <c r="A11165" s="3" t="inlineStr">
        <is>
          <t>11124</t>
        </is>
      </c>
      <c r="B11165" s="4" t="s">
        <f>=HYPERLINK("http://anyluxury.ru/shop/odezhda/tolstovki/tolstovka-s-kapyushonom-zhenskaya-hoodie-biryuzovaya-ww04w443/" , "WW04W443 Толстовка с капюшоном женская Hoodie, бирюзовая, размер XS")</f>
      </c>
      <c r="C11165" s="4" t="n">
        <v>1769.00</v>
      </c>
      <c r="D11165" s="4"/>
    </row>
    <row collapsed="" customFormat="false" customHeight="1" hidden="" ht="14" outlineLevel="0" r="11166">
      <c r="A11166" s="3" t="inlineStr">
        <is>
          <t>11125</t>
        </is>
      </c>
      <c r="B11166" s="4" t="s">
        <f>=HYPERLINK("http://anyluxury.ru/shop/odezhda/tolstovki/tolstovka-s-kapyushonom-zhenskaya-hoodie-biryuzovaya-ww04w443/" , "WW04W443 Толстовка с капюшоном женская Hoodie, бирюзовая, размер S")</f>
      </c>
      <c r="C11166" s="4" t="n">
        <v>1769.00</v>
      </c>
      <c r="D11166" s="4"/>
    </row>
    <row collapsed="" customFormat="false" customHeight="1" hidden="" ht="14" outlineLevel="0" r="11167">
      <c r="A11167" s="3" t="inlineStr">
        <is>
          <t>11126</t>
        </is>
      </c>
      <c r="B11167" s="4" t="s">
        <f>=HYPERLINK("http://anyluxury.ru/shop/odezhda/tolstovki/tolstovka-s-kapyushonom-zhenskaya-hoodie-biryuzovaya-ww04w443/" , "WW04W443 Толстовка с капюшоном женская Hoodie, бирюзовая, размер M")</f>
      </c>
      <c r="C11167" s="4" t="n">
        <v>1769.00</v>
      </c>
      <c r="D11167" s="4"/>
    </row>
    <row collapsed="" customFormat="false" customHeight="1" hidden="" ht="14" outlineLevel="0" r="11168">
      <c r="A11168" s="3" t="inlineStr">
        <is>
          <t>11127</t>
        </is>
      </c>
      <c r="B11168" s="4" t="s">
        <f>=HYPERLINK("http://anyluxury.ru/shop/odezhda/tolstovki/tolstovka-s-kapyushonom-zhenskaya-hoodie-biryuzovaya-ww04w443/" , "WW04W443 Толстовка с капюшоном женская Hoodie, бирюзовая, размер L")</f>
      </c>
      <c r="C11168" s="4" t="n">
        <v>1769.00</v>
      </c>
      <c r="D11168" s="4"/>
    </row>
    <row collapsed="" customFormat="false" customHeight="1" hidden="" ht="14" outlineLevel="0" r="11169">
      <c r="A11169" s="3" t="inlineStr">
        <is>
          <t>11128</t>
        </is>
      </c>
      <c r="B11169" s="4" t="s">
        <f>=HYPERLINK("http://anyluxury.ru/shop/odezhda/tolstovki/tolstovka-s-kapyushonom-zhenskaya-hoodie-biryuzovaya-ww04w443/" , "WW04W443 Толстовка с капюшоном женская Hoodie, бирюзовая, размер XL")</f>
      </c>
      <c r="C11169" s="4" t="n">
        <v>1769.00</v>
      </c>
      <c r="D11169" s="4"/>
    </row>
    <row collapsed="" customFormat="false" customHeight="1" hidden="" ht="14" outlineLevel="0" r="11170">
      <c r="A11170" s="3" t="inlineStr">
        <is>
          <t>11129</t>
        </is>
      </c>
      <c r="B11170" s="4" t="s">
        <f>=HYPERLINK("http://anyluxury.ru/shop/odezhda/tolstovki/tolstovka-s-kapyushonom-zhenskaya-hoodie-biryuzovaya-ww04w443/" , "WW04W443 Толстовка с капюшоном женская Hoodie, бирюзовая, размер XXL")</f>
      </c>
      <c r="C11170" s="4" t="n">
        <v>1769.00</v>
      </c>
      <c r="D11170" s="4"/>
    </row>
    <row collapsed="" customFormat="false" customHeight="1" hidden="" ht="14" outlineLevel="0" r="11171">
      <c r="A11171" s="3" t="inlineStr">
        <is>
          <t>11130</t>
        </is>
      </c>
      <c r="B11171" s="4" t="s">
        <f>=HYPERLINK("http://anyluxury.ru/shop/odezhda/tolstovki/tolstovka-s-kapyushonom-zhenskaya-hoodie-yarkosinyaya-ww04w453/" , "WW04W453 Толстовка с капюшоном женская Hoodie, ярко-синяя, размер XS")</f>
      </c>
      <c r="C11171" s="4" t="n">
        <v>1769.00</v>
      </c>
      <c r="D11171" s="4"/>
    </row>
    <row collapsed="" customFormat="false" customHeight="1" hidden="" ht="14" outlineLevel="0" r="11172">
      <c r="A11172" s="3" t="inlineStr">
        <is>
          <t>11131</t>
        </is>
      </c>
      <c r="B11172" s="4" t="s">
        <f>=HYPERLINK("http://anyluxury.ru/shop/odezhda/tolstovki/tolstovka-s-kapyushonom-zhenskaya-hoodie-yarkosinyaya-ww04w453/" , "WW04W453 Толстовка с капюшоном женская Hoodie, ярко-синяя, размер S")</f>
      </c>
      <c r="C11172" s="4" t="n">
        <v>1769.00</v>
      </c>
      <c r="D11172" s="4"/>
    </row>
    <row collapsed="" customFormat="false" customHeight="1" hidden="" ht="14" outlineLevel="0" r="11173">
      <c r="A11173" s="3" t="inlineStr">
        <is>
          <t>11132</t>
        </is>
      </c>
      <c r="B11173" s="4" t="s">
        <f>=HYPERLINK("http://anyluxury.ru/shop/odezhda/tolstovki/tolstovka-s-kapyushonom-zhenskaya-hoodie-yarkosinyaya-ww04w453/" , "WW04W453 Толстовка с капюшоном женская Hoodie, ярко-синяя, размер M")</f>
      </c>
      <c r="C11173" s="4" t="n">
        <v>1769.00</v>
      </c>
      <c r="D11173" s="4"/>
    </row>
    <row collapsed="" customFormat="false" customHeight="1" hidden="" ht="14" outlineLevel="0" r="11174">
      <c r="A11174" s="3" t="inlineStr">
        <is>
          <t>11133</t>
        </is>
      </c>
      <c r="B11174" s="4" t="s">
        <f>=HYPERLINK("http://anyluxury.ru/shop/odezhda/tolstovki/tolstovka-s-kapyushonom-zhenskaya-hoodie-yarkosinyaya-ww04w453/" , "WW04W453 Толстовка с капюшоном женская Hoodie, ярко-синяя, размер L")</f>
      </c>
      <c r="C11174" s="4" t="n">
        <v>1769.00</v>
      </c>
      <c r="D11174" s="4"/>
    </row>
    <row collapsed="" customFormat="false" customHeight="1" hidden="" ht="14" outlineLevel="0" r="11175">
      <c r="A11175" s="3" t="inlineStr">
        <is>
          <t>11134</t>
        </is>
      </c>
      <c r="B11175" s="4" t="s">
        <f>=HYPERLINK("http://anyluxury.ru/shop/odezhda/tolstovki/tolstovka-s-kapyushonom-zhenskaya-hoodie-yarkosinyaya-ww04w453/" , "WW04W453 Толстовка с капюшоном женская Hoodie, ярко-синяя, размер XL")</f>
      </c>
      <c r="C11175" s="4" t="n">
        <v>1769.00</v>
      </c>
      <c r="D11175" s="4"/>
    </row>
    <row collapsed="" customFormat="false" customHeight="1" hidden="" ht="14" outlineLevel="0" r="11176">
      <c r="A11176" s="3" t="inlineStr">
        <is>
          <t>11135</t>
        </is>
      </c>
      <c r="B11176" s="4" t="s">
        <f>=HYPERLINK("http://anyluxury.ru/shop/odezhda/tolstovki/tolstovka-s-kapyushonom-zhenskaya-hoodie-yarkosinyaya-ww04w453/" , "WW04W453 Толстовка с капюшоном женская Hoodie, ярко-синяя, размер XXL")</f>
      </c>
      <c r="C11176" s="4" t="n">
        <v>1769.00</v>
      </c>
      <c r="D11176" s="4"/>
    </row>
    <row collapsed="" customFormat="false" customHeight="1" hidden="" ht="14" outlineLevel="0" r="11177">
      <c r="A11177" s="3" t="inlineStr">
        <is>
          <t>11136</t>
        </is>
      </c>
      <c r="B11177" s="4" t="s">
        <f>=HYPERLINK("http://anyluxury.ru/shop/odezhda/tolstovki/tolstovka-s-kapyushonom-zhenskaya-hoodie-yarkosinyaya-ww04w453/" , "WW04W453 Толстовка с капюшоном женская Hoodie, ярко-синяя, размер 3XL")</f>
      </c>
      <c r="C11177" s="4" t="n">
        <v>2174.00</v>
      </c>
      <c r="D11177" s="4"/>
    </row>
    <row collapsed="" customFormat="false" customHeight="1" hidden="" ht="14" outlineLevel="0" r="11178">
      <c r="A11178" s="3" t="inlineStr">
        <is>
          <t>11137</t>
        </is>
      </c>
      <c r="B11178" s="4" t="s">
        <f>=HYPERLINK("http://anyluxury.ru/shop/odezhda/tolstovki/tolstovka-s-kapyushonom-zhenskaya-hoodie-svetlozelenaya-ww04w503/" , "WW04W503 Толстовка с капюшоном женская Hoodie, светло-зеленая, размер XS")</f>
      </c>
      <c r="C11178" s="4" t="n">
        <v>1769.00</v>
      </c>
      <c r="D11178" s="4"/>
    </row>
    <row collapsed="" customFormat="false" customHeight="1" hidden="" ht="14" outlineLevel="0" r="11179">
      <c r="A11179" s="3" t="inlineStr">
        <is>
          <t>11138</t>
        </is>
      </c>
      <c r="B11179" s="4" t="s">
        <f>=HYPERLINK("http://anyluxury.ru/shop/odezhda/tolstovki/tolstovka-s-kapyushonom-zhenskaya-hoodie-svetlozelenaya-ww04w503/" , "WW04W503 Толстовка с капюшоном женская Hoodie, светло-зеленая, размер S")</f>
      </c>
      <c r="C11179" s="4" t="n">
        <v>1769.00</v>
      </c>
      <c r="D11179" s="4"/>
    </row>
    <row collapsed="" customFormat="false" customHeight="1" hidden="" ht="14" outlineLevel="0" r="11180">
      <c r="A11180" s="3" t="inlineStr">
        <is>
          <t>11139</t>
        </is>
      </c>
      <c r="B11180" s="4" t="s">
        <f>=HYPERLINK("http://anyluxury.ru/shop/odezhda/tolstovki/tolstovka-s-kapyushonom-zhenskaya-hoodie-svetlozelenaya-ww04w503/" , "WW04W503 Толстовка с капюшоном женская Hoodie, светло-зеленая, размер M")</f>
      </c>
      <c r="C11180" s="4" t="n">
        <v>1769.00</v>
      </c>
      <c r="D11180" s="4"/>
    </row>
    <row collapsed="" customFormat="false" customHeight="1" hidden="" ht="14" outlineLevel="0" r="11181">
      <c r="A11181" s="3" t="inlineStr">
        <is>
          <t>11140</t>
        </is>
      </c>
      <c r="B11181" s="4" t="s">
        <f>=HYPERLINK("http://anyluxury.ru/shop/odezhda/tolstovki/tolstovka-s-kapyushonom-zhenskaya-hoodie-svetlozelenaya-ww04w503/" , "WW04W503 Толстовка с капюшоном женская Hoodie, светло-зеленая, размер L")</f>
      </c>
      <c r="C11181" s="4" t="n">
        <v>1769.00</v>
      </c>
      <c r="D11181" s="4"/>
    </row>
    <row collapsed="" customFormat="false" customHeight="1" hidden="" ht="14" outlineLevel="0" r="11182">
      <c r="A11182" s="3" t="inlineStr">
        <is>
          <t>11141</t>
        </is>
      </c>
      <c r="B11182" s="4" t="s">
        <f>=HYPERLINK("http://anyluxury.ru/shop/odezhda/tolstovki/tolstovka-s-kapyushonom-zhenskaya-hoodie-svetlozelenaya-ww04w503/" , "WW04W503 Толстовка с капюшоном женская Hoodie, светло-зеленая, размер XL")</f>
      </c>
      <c r="C11182" s="4" t="n">
        <v>1769.00</v>
      </c>
      <c r="D11182" s="4"/>
    </row>
    <row collapsed="" customFormat="false" customHeight="1" hidden="" ht="14" outlineLevel="0" r="11183">
      <c r="A11183" s="3" t="inlineStr">
        <is>
          <t>11142</t>
        </is>
      </c>
      <c r="B11183" s="4" t="s">
        <f>=HYPERLINK("http://anyluxury.ru/shop/odezhda/tolstovki/tolstovka-s-kapyushonom-zhenskaya-hoodie-svetlozelenaya-ww04w503/" , "WW04W503 Толстовка с капюшоном женская Hoodie, светло-зеленая, размер XXL")</f>
      </c>
      <c r="C11183" s="4" t="n">
        <v>1769.00</v>
      </c>
      <c r="D11183" s="4"/>
    </row>
    <row collapsed="" customFormat="false" customHeight="1" hidden="" ht="14" outlineLevel="0" r="11184">
      <c r="A11184" s="3" t="inlineStr">
        <is>
          <t>11143</t>
        </is>
      </c>
      <c r="B11184" s="4" t="s">
        <f>=HYPERLINK("http://anyluxury.ru/shop/odezhda/tolstovki/tolstovka-s-kapyushonom-zhenskaya-hoodie-zelenaya-ww04w520/" , "WW04W520 Толстовка с капюшоном женская Hoodie, зеленая, размер XS")</f>
      </c>
      <c r="C11184" s="4" t="n">
        <v>1769.00</v>
      </c>
      <c r="D11184" s="4"/>
    </row>
    <row collapsed="" customFormat="false" customHeight="1" hidden="" ht="14" outlineLevel="0" r="11185">
      <c r="A11185" s="3" t="inlineStr">
        <is>
          <t>11144</t>
        </is>
      </c>
      <c r="B11185" s="4" t="s">
        <f>=HYPERLINK("http://anyluxury.ru/shop/odezhda/tolstovki/tolstovka-s-kapyushonom-zhenskaya-hoodie-zelenaya-ww04w520/" , "WW04W520 Толстовка с капюшоном женская Hoodie, зеленая, размер S")</f>
      </c>
      <c r="C11185" s="4" t="n">
        <v>1769.00</v>
      </c>
      <c r="D11185" s="4"/>
    </row>
    <row collapsed="" customFormat="false" customHeight="1" hidden="" ht="14" outlineLevel="0" r="11186">
      <c r="A11186" s="3" t="inlineStr">
        <is>
          <t>11145</t>
        </is>
      </c>
      <c r="B11186" s="4" t="s">
        <f>=HYPERLINK("http://anyluxury.ru/shop/odezhda/tolstovki/tolstovka-s-kapyushonom-zhenskaya-hoodie-zelenaya-ww04w520/" , "WW04W520 Толстовка с капюшоном женская Hoodie, зеленая, размер M")</f>
      </c>
      <c r="C11186" s="4" t="n">
        <v>1769.00</v>
      </c>
      <c r="D11186" s="4"/>
    </row>
    <row collapsed="" customFormat="false" customHeight="1" hidden="" ht="14" outlineLevel="0" r="11187">
      <c r="A11187" s="3" t="inlineStr">
        <is>
          <t>11146</t>
        </is>
      </c>
      <c r="B11187" s="4" t="s">
        <f>=HYPERLINK("http://anyluxury.ru/shop/odezhda/tolstovki/tolstovka-s-kapyushonom-zhenskaya-hoodie-zelenaya-ww04w520/" , "WW04W520 Толстовка с капюшоном женская Hoodie, зеленая, размер L")</f>
      </c>
      <c r="C11187" s="4" t="n">
        <v>1769.00</v>
      </c>
      <c r="D11187" s="4"/>
    </row>
    <row collapsed="" customFormat="false" customHeight="1" hidden="" ht="14" outlineLevel="0" r="11188">
      <c r="A11188" s="3" t="inlineStr">
        <is>
          <t>11147</t>
        </is>
      </c>
      <c r="B11188" s="4" t="s">
        <f>=HYPERLINK("http://anyluxury.ru/shop/odezhda/tolstovki/tolstovka-s-kapyushonom-zhenskaya-hoodie-zelenaya-ww04w520/" , "WW04W520 Толстовка с капюшоном женская Hoodie, зеленая, размер XL")</f>
      </c>
      <c r="C11188" s="4" t="n">
        <v>1769.00</v>
      </c>
      <c r="D11188" s="4"/>
    </row>
    <row collapsed="" customFormat="false" customHeight="1" hidden="" ht="14" outlineLevel="0" r="11189">
      <c r="A11189" s="3" t="inlineStr">
        <is>
          <t>11148</t>
        </is>
      </c>
      <c r="B11189" s="4" t="s">
        <f>=HYPERLINK("http://anyluxury.ru/shop/odezhda/tolstovki/tolstovka-s-kapyushonom-zhenskaya-hoodie-zelenaya-ww04w520/" , "WW04W520 Толстовка с капюшоном женская Hoodie, зеленая, размер XXL")</f>
      </c>
      <c r="C11189" s="4" t="n">
        <v>1769.00</v>
      </c>
      <c r="D11189" s="4"/>
    </row>
    <row collapsed="" customFormat="false" customHeight="1" hidden="" ht="14" outlineLevel="0" r="11190">
      <c r="A11190" s="3" t="inlineStr">
        <is>
          <t>11149</t>
        </is>
      </c>
      <c r="B11190" s="4" t="s">
        <f>=HYPERLINK("http://anyluxury.ru/shop/odezhda/tolstovki/tolstovka-s-kapyushonom-zhenskaya-hoodie-haki-ww04w551/" , "WW04W551 Толстовка с капюшоном женская Hoodie, хаки, размер XS")</f>
      </c>
      <c r="C11190" s="4" t="n">
        <v>1769.00</v>
      </c>
      <c r="D11190" s="4"/>
    </row>
    <row collapsed="" customFormat="false" customHeight="1" hidden="" ht="14" outlineLevel="0" r="11191">
      <c r="A11191" s="3" t="inlineStr">
        <is>
          <t>11150</t>
        </is>
      </c>
      <c r="B11191" s="4" t="s">
        <f>=HYPERLINK("http://anyluxury.ru/shop/odezhda/tolstovki/tolstovka-s-kapyushonom-zhenskaya-hoodie-haki-ww04w551/" , "WW04W551 Толстовка с капюшоном женская Hoodie, хаки, размер S")</f>
      </c>
      <c r="C11191" s="4" t="n">
        <v>1769.00</v>
      </c>
      <c r="D11191" s="4"/>
    </row>
    <row collapsed="" customFormat="false" customHeight="1" hidden="" ht="14" outlineLevel="0" r="11192">
      <c r="A11192" s="3" t="inlineStr">
        <is>
          <t>11151</t>
        </is>
      </c>
      <c r="B11192" s="4" t="s">
        <f>=HYPERLINK("http://anyluxury.ru/shop/odezhda/tolstovki/tolstovka-s-kapyushonom-zhenskaya-hoodie-haki-ww04w551/" , "WW04W551 Толстовка с капюшоном женская Hoodie, хаки, размер M")</f>
      </c>
      <c r="C11192" s="4" t="n">
        <v>1769.00</v>
      </c>
      <c r="D11192" s="4"/>
    </row>
    <row collapsed="" customFormat="false" customHeight="1" hidden="" ht="14" outlineLevel="0" r="11193">
      <c r="A11193" s="3" t="inlineStr">
        <is>
          <t>11152</t>
        </is>
      </c>
      <c r="B11193" s="4" t="s">
        <f>=HYPERLINK("http://anyluxury.ru/shop/odezhda/tolstovki/tolstovka-s-kapyushonom-zhenskaya-hoodie-haki-ww04w551/" , "WW04W551 Толстовка с капюшоном женская Hoodie, хаки, размер L")</f>
      </c>
      <c r="C11193" s="4" t="n">
        <v>1769.00</v>
      </c>
      <c r="D11193" s="4"/>
    </row>
    <row collapsed="" customFormat="false" customHeight="1" hidden="" ht="14" outlineLevel="0" r="11194">
      <c r="A11194" s="3" t="inlineStr">
        <is>
          <t>11153</t>
        </is>
      </c>
      <c r="B11194" s="4" t="s">
        <f>=HYPERLINK("http://anyluxury.ru/shop/odezhda/tolstovki/tolstovka-s-kapyushonom-zhenskaya-hoodie-haki-ww04w551/" , "WW04W551 Толстовка с капюшоном женская Hoodie, хаки, размер XL")</f>
      </c>
      <c r="C11194" s="4" t="n">
        <v>1769.00</v>
      </c>
      <c r="D11194" s="4"/>
    </row>
    <row collapsed="" customFormat="false" customHeight="1" hidden="" ht="14" outlineLevel="0" r="11195">
      <c r="A11195" s="3" t="inlineStr">
        <is>
          <t>11154</t>
        </is>
      </c>
      <c r="B11195" s="4" t="s">
        <f>=HYPERLINK("http://anyluxury.ru/shop/odezhda/tolstovki/tolstovka-s-kapyushonom-zhenskaya-hoodie-haki-ww04w551/" , "WW04W551 Толстовка с капюшоном женская Hoodie, хаки, размер XXL")</f>
      </c>
      <c r="C11195" s="4" t="n">
        <v>1769.00</v>
      </c>
      <c r="D11195" s="4"/>
    </row>
    <row collapsed="" customFormat="false" customHeight="1" hidden="" ht="14" outlineLevel="0" r="11196">
      <c r="A11196" s="3" t="inlineStr">
        <is>
          <t>11155</t>
        </is>
      </c>
      <c r="B11196" s="4" t="s">
        <f>=HYPERLINK("http://anyluxury.ru/shop/odezhda/tolstovki/tolstovka-s-kapyushonom-zhenskaya-hoodie-temnoseriy-melanzh-ww04w623/" , "WW04W623 Толстовка с капюшоном женская Hoodie, темно-серый меланж, размер XS")</f>
      </c>
      <c r="C11196" s="4" t="n">
        <v>1769.00</v>
      </c>
      <c r="D11196" s="4"/>
    </row>
    <row collapsed="" customFormat="false" customHeight="1" hidden="" ht="14" outlineLevel="0" r="11197">
      <c r="A11197" s="3" t="inlineStr">
        <is>
          <t>11156</t>
        </is>
      </c>
      <c r="B11197" s="4" t="s">
        <f>=HYPERLINK("http://anyluxury.ru/shop/odezhda/tolstovki/tolstovka-s-kapyushonom-zhenskaya-hoodie-temnoseriy-melanzh-ww04w623/" , "WW04W623 Толстовка с капюшоном женская Hoodie, темно-серый меланж, размер S")</f>
      </c>
      <c r="C11197" s="4" t="n">
        <v>1769.00</v>
      </c>
      <c r="D11197" s="4"/>
    </row>
    <row collapsed="" customFormat="false" customHeight="1" hidden="" ht="14" outlineLevel="0" r="11198">
      <c r="A11198" s="3" t="inlineStr">
        <is>
          <t>11157</t>
        </is>
      </c>
      <c r="B11198" s="4" t="s">
        <f>=HYPERLINK("http://anyluxury.ru/shop/odezhda/tolstovki/tolstovka-s-kapyushonom-zhenskaya-hoodie-temnoseriy-melanzh-ww04w623/" , "WW04W623 Толстовка с капюшоном женская Hoodie, темно-серый меланж, размер M")</f>
      </c>
      <c r="C11198" s="4" t="n">
        <v>1769.00</v>
      </c>
      <c r="D11198" s="4"/>
    </row>
    <row collapsed="" customFormat="false" customHeight="1" hidden="" ht="14" outlineLevel="0" r="11199">
      <c r="A11199" s="3" t="inlineStr">
        <is>
          <t>11158</t>
        </is>
      </c>
      <c r="B11199" s="4" t="s">
        <f>=HYPERLINK("http://anyluxury.ru/shop/odezhda/tolstovki/tolstovka-s-kapyushonom-zhenskaya-hoodie-temnoseriy-melanzh-ww04w623/" , "WW04W623 Толстовка с капюшоном женская Hoodie, темно-серый меланж, размер L")</f>
      </c>
      <c r="C11199" s="4" t="n">
        <v>1769.00</v>
      </c>
      <c r="D11199" s="4"/>
    </row>
    <row collapsed="" customFormat="false" customHeight="1" hidden="" ht="14" outlineLevel="0" r="11200">
      <c r="A11200" s="3" t="inlineStr">
        <is>
          <t>11159</t>
        </is>
      </c>
      <c r="B11200" s="4" t="s">
        <f>=HYPERLINK("http://anyluxury.ru/shop/odezhda/tolstovki/tolstovka-s-kapyushonom-zhenskaya-hoodie-temnoseriy-melanzh-ww04w623/" , "WW04W623 Толстовка с капюшоном женская Hoodie, темно-серый меланж, размер XL")</f>
      </c>
      <c r="C11200" s="4" t="n">
        <v>1769.00</v>
      </c>
      <c r="D11200" s="4"/>
    </row>
    <row collapsed="" customFormat="false" customHeight="1" hidden="" ht="14" outlineLevel="0" r="11201">
      <c r="A11201" s="3" t="inlineStr">
        <is>
          <t>11160</t>
        </is>
      </c>
      <c r="B11201" s="4" t="s">
        <f>=HYPERLINK("http://anyluxury.ru/shop/odezhda/tolstovki/tolstovka-s-kapyushonom-zhenskaya-hoodie-temnoseriy-melanzh-ww04w623/" , "WW04W623 Толстовка с капюшоном женская Hoodie, темно-серый меланж, размер XXL")</f>
      </c>
      <c r="C11201" s="4" t="n">
        <v>1769.00</v>
      </c>
      <c r="D11201" s="4"/>
    </row>
    <row collapsed="" customFormat="false" customHeight="1" hidden="" ht="14" outlineLevel="0" r="11202">
      <c r="A11202" s="3" t="inlineStr">
        <is>
          <t>11161</t>
        </is>
      </c>
      <c r="B11202" s="4" t="s">
        <f>=HYPERLINK("http://anyluxury.ru/shop/odezhda/tolstovki/tolstovka-s-kapyushonom-zhenskaya-hoodie-seraya-stalnaya-ww04w665/" , "WW04W665 Толстовка с капюшоном женская Hoodie, серая (стальная), размер XS")</f>
      </c>
      <c r="C11202" s="4" t="n">
        <v>1769.00</v>
      </c>
      <c r="D11202" s="4"/>
    </row>
    <row collapsed="" customFormat="false" customHeight="1" hidden="" ht="14" outlineLevel="0" r="11203">
      <c r="A11203" s="3" t="inlineStr">
        <is>
          <t>11162</t>
        </is>
      </c>
      <c r="B11203" s="4" t="s">
        <f>=HYPERLINK("http://anyluxury.ru/shop/odezhda/tolstovki/tolstovka-s-kapyushonom-zhenskaya-hoodie-seraya-stalnaya-ww04w665/" , "WW04W665 Толстовка с капюшоном женская Hoodie, серая (стальная), размер S")</f>
      </c>
      <c r="C11203" s="4" t="n">
        <v>1769.00</v>
      </c>
      <c r="D11203" s="4"/>
    </row>
    <row collapsed="" customFormat="false" customHeight="1" hidden="" ht="14" outlineLevel="0" r="11204">
      <c r="A11204" s="3" t="inlineStr">
        <is>
          <t>11163</t>
        </is>
      </c>
      <c r="B11204" s="4" t="s">
        <f>=HYPERLINK("http://anyluxury.ru/shop/odezhda/tolstovki/tolstovka-s-kapyushonom-zhenskaya-hoodie-seraya-stalnaya-ww04w665/" , "WW04W665 Толстовка с капюшоном женская Hoodie, серая (стальная), размер M")</f>
      </c>
      <c r="C11204" s="4" t="n">
        <v>1769.00</v>
      </c>
      <c r="D11204" s="4"/>
    </row>
    <row collapsed="" customFormat="false" customHeight="1" hidden="" ht="14" outlineLevel="0" r="11205">
      <c r="A11205" s="3" t="inlineStr">
        <is>
          <t>11164</t>
        </is>
      </c>
      <c r="B11205" s="4" t="s">
        <f>=HYPERLINK("http://anyluxury.ru/shop/odezhda/tolstovki/tolstovka-s-kapyushonom-zhenskaya-hoodie-seraya-stalnaya-ww04w665/" , "WW04W665 Толстовка с капюшоном женская Hoodie, серая (стальная), размер L")</f>
      </c>
      <c r="C11205" s="4" t="n">
        <v>1769.00</v>
      </c>
      <c r="D11205" s="4"/>
    </row>
    <row collapsed="" customFormat="false" customHeight="1" hidden="" ht="14" outlineLevel="0" r="11206">
      <c r="A11206" s="3" t="inlineStr">
        <is>
          <t>11165</t>
        </is>
      </c>
      <c r="B11206" s="4" t="s">
        <f>=HYPERLINK("http://anyluxury.ru/shop/odezhda/tolstovki/tolstovka-s-kapyushonom-zhenskaya-hoodie-seraya-stalnaya-ww04w665/" , "WW04W665 Толстовка с капюшоном женская Hoodie, серая (стальная), размер XL")</f>
      </c>
      <c r="C11206" s="4" t="n">
        <v>1769.00</v>
      </c>
      <c r="D11206" s="4"/>
    </row>
    <row collapsed="" customFormat="false" customHeight="1" hidden="" ht="14" outlineLevel="0" r="11207">
      <c r="A11207" s="3" t="inlineStr">
        <is>
          <t>11166</t>
        </is>
      </c>
      <c r="B11207" s="4" t="s">
        <f>=HYPERLINK("http://anyluxury.ru/shop/odezhda/tolstovki/tolstovka-s-kapyushonom-zhenskaya-hoodie-seraya-stalnaya-ww04w665/" , "WW04W665 Толстовка с капюшоном женская Hoodie, серая (стальная), размер XXL")</f>
      </c>
      <c r="C11207" s="4" t="n">
        <v>1769.00</v>
      </c>
      <c r="D11207" s="4"/>
    </row>
    <row collapsed="" customFormat="false" customHeight="1" hidden="" ht="14" outlineLevel="0" r="11208">
      <c r="A11208" s="3" t="inlineStr">
        <is>
          <t>11167</t>
        </is>
      </c>
      <c r="B11208" s="4" t="s">
        <f>=HYPERLINK("http://anyluxury.ru/shop/odezhda/tolstovki/tolstovka-s-kapyushonom-zhenskaya-hoodie-temnoseraya-ww04w669/" , "WW04W669 Толстовка с капюшоном женская Hoodie, темно-серая, размер XS")</f>
      </c>
      <c r="C11208" s="4" t="n">
        <v>1769.00</v>
      </c>
      <c r="D11208" s="4"/>
    </row>
    <row collapsed="" customFormat="false" customHeight="1" hidden="" ht="14" outlineLevel="0" r="11209">
      <c r="A11209" s="3" t="inlineStr">
        <is>
          <t>11168</t>
        </is>
      </c>
      <c r="B11209" s="4" t="s">
        <f>=HYPERLINK("http://anyluxury.ru/shop/odezhda/tolstovki/tolstovka-s-kapyushonom-zhenskaya-hoodie-temnoseraya-ww04w669/" , "WW04W669 Толстовка с капюшоном женская Hoodie, темно-серая, размер S")</f>
      </c>
      <c r="C11209" s="4" t="n">
        <v>1769.00</v>
      </c>
      <c r="D11209" s="4"/>
    </row>
    <row collapsed="" customFormat="false" customHeight="1" hidden="" ht="14" outlineLevel="0" r="11210">
      <c r="A11210" s="3" t="inlineStr">
        <is>
          <t>11169</t>
        </is>
      </c>
      <c r="B11210" s="4" t="s">
        <f>=HYPERLINK("http://anyluxury.ru/shop/odezhda/tolstovki/tolstovka-s-kapyushonom-zhenskaya-hoodie-temnoseraya-ww04w669/" , "WW04W669 Толстовка с капюшоном женская Hoodie, темно-серая, размер M")</f>
      </c>
      <c r="C11210" s="4" t="n">
        <v>1769.00</v>
      </c>
      <c r="D11210" s="4"/>
    </row>
    <row collapsed="" customFormat="false" customHeight="1" hidden="" ht="14" outlineLevel="0" r="11211">
      <c r="A11211" s="3" t="inlineStr">
        <is>
          <t>11170</t>
        </is>
      </c>
      <c r="B11211" s="4" t="s">
        <f>=HYPERLINK("http://anyluxury.ru/shop/odezhda/tolstovki/tolstovka-s-kapyushonom-zhenskaya-hoodie-temnoseraya-ww04w669/" , "WW04W669 Толстовка с капюшоном женская Hoodie, темно-серая, размер L")</f>
      </c>
      <c r="C11211" s="4" t="n">
        <v>1769.00</v>
      </c>
      <c r="D11211" s="4"/>
    </row>
    <row collapsed="" customFormat="false" customHeight="1" hidden="" ht="14" outlineLevel="0" r="11212">
      <c r="A11212" s="3" t="inlineStr">
        <is>
          <t>11171</t>
        </is>
      </c>
      <c r="B11212" s="4" t="s">
        <f>=HYPERLINK("http://anyluxury.ru/shop/odezhda/tolstovki/tolstovka-s-kapyushonom-zhenskaya-hoodie-temnoseraya-ww04w669/" , "WW04W669 Толстовка с капюшоном женская Hoodie, темно-серая, размер XL")</f>
      </c>
      <c r="C11212" s="4" t="n">
        <v>1769.00</v>
      </c>
      <c r="D11212" s="4"/>
    </row>
    <row collapsed="" customFormat="false" customHeight="1" hidden="" ht="14" outlineLevel="0" r="11213">
      <c r="A11213" s="3" t="inlineStr">
        <is>
          <t>11172</t>
        </is>
      </c>
      <c r="B11213" s="4" t="s">
        <f>=HYPERLINK("http://anyluxury.ru/shop/odezhda/tolstovki/tolstovka-s-kapyushonom-zhenskaya-hoodie-temnoseraya-ww04w669/" , "WW04W669 Толстовка с капюшоном женская Hoodie, темно-серая, размер XXL")</f>
      </c>
      <c r="C11213" s="4" t="n">
        <v>1769.00</v>
      </c>
      <c r="D11213" s="4"/>
    </row>
    <row collapsed="" customFormat="false" customHeight="1" hidden="" ht="14" outlineLevel="0" r="11214">
      <c r="A11214" s="3" t="inlineStr">
        <is>
          <t>11173</t>
        </is>
      </c>
      <c r="B11214" s="4" t="s">
        <f>=HYPERLINK("http://anyluxury.ru/shop/odezhda/tolstovki/tolstovka-s-kapyushonom-zhenskaya-hoodie-temnoseraya-ww04w669/" , "WW04W669 Толстовка с капюшоном женская Hoodie, темно-серая, размер 3XL")</f>
      </c>
      <c r="C11214" s="4" t="n">
        <v>2174.00</v>
      </c>
      <c r="D11214" s="4"/>
    </row>
    <row collapsed="" customFormat="false" customHeight="1" hidden="" ht="14" outlineLevel="0" r="11215">
      <c r="A11215" s="3" t="inlineStr">
        <is>
          <t>11174</t>
        </is>
      </c>
      <c r="B11215" s="4" t="s">
        <f>=HYPERLINK("http://anyluxury.ru/shop/odezhda/tolstovki/tolstovka-s-kapyushonom-zhenskaya-hoodie-dimchatoseraya-ww04w672/" , "WW04W672 Толстовка с капюшоном женская Hoodie, дымчато-серая, размер XS")</f>
      </c>
      <c r="C11215" s="4" t="n">
        <v>1769.00</v>
      </c>
      <c r="D11215" s="4"/>
    </row>
    <row collapsed="" customFormat="false" customHeight="1" hidden="" ht="14" outlineLevel="0" r="11216">
      <c r="A11216" s="3" t="inlineStr">
        <is>
          <t>11175</t>
        </is>
      </c>
      <c r="B11216" s="4" t="s">
        <f>=HYPERLINK("http://anyluxury.ru/shop/odezhda/tolstovki/tolstovka-s-kapyushonom-zhenskaya-hoodie-dimchatoseraya-ww04w672/" , "WW04W672 Толстовка с капюшоном женская Hoodie, дымчато-серая, размер S")</f>
      </c>
      <c r="C11216" s="4" t="n">
        <v>1769.00</v>
      </c>
      <c r="D11216" s="4"/>
    </row>
    <row collapsed="" customFormat="false" customHeight="1" hidden="" ht="14" outlineLevel="0" r="11217">
      <c r="A11217" s="3" t="inlineStr">
        <is>
          <t>11176</t>
        </is>
      </c>
      <c r="B11217" s="4" t="s">
        <f>=HYPERLINK("http://anyluxury.ru/shop/odezhda/tolstovki/tolstovka-s-kapyushonom-zhenskaya-hoodie-dimchatoseraya-ww04w672/" , "WW04W672 Толстовка с капюшоном женская Hoodie, дымчато-серая, размер M")</f>
      </c>
      <c r="C11217" s="4" t="n">
        <v>1769.00</v>
      </c>
      <c r="D11217" s="4"/>
    </row>
    <row collapsed="" customFormat="false" customHeight="1" hidden="" ht="14" outlineLevel="0" r="11218">
      <c r="A11218" s="3" t="inlineStr">
        <is>
          <t>11177</t>
        </is>
      </c>
      <c r="B11218" s="4" t="s">
        <f>=HYPERLINK("http://anyluxury.ru/shop/odezhda/tolstovki/tolstovka-s-kapyushonom-zhenskaya-hoodie-dimchatoseraya-ww04w672/" , "WW04W672 Толстовка с капюшоном женская Hoodie, дымчато-серая, размер L")</f>
      </c>
      <c r="C11218" s="4" t="n">
        <v>1769.00</v>
      </c>
      <c r="D11218" s="4"/>
    </row>
    <row collapsed="" customFormat="false" customHeight="1" hidden="" ht="14" outlineLevel="0" r="11219">
      <c r="A11219" s="3" t="inlineStr">
        <is>
          <t>11178</t>
        </is>
      </c>
      <c r="B11219" s="4" t="s">
        <f>=HYPERLINK("http://anyluxury.ru/shop/odezhda/tolstovki/tolstovka-s-kapyushonom-zhenskaya-hoodie-dimchatoseraya-ww04w672/" , "WW04W672 Толстовка с капюшоном женская Hoodie, дымчато-серая, размер XL")</f>
      </c>
      <c r="C11219" s="4" t="n">
        <v>1769.00</v>
      </c>
      <c r="D11219" s="4"/>
    </row>
    <row collapsed="" customFormat="false" customHeight="1" hidden="" ht="14" outlineLevel="0" r="11220">
      <c r="A11220" s="3" t="inlineStr">
        <is>
          <t>11179</t>
        </is>
      </c>
      <c r="B11220" s="4" t="s">
        <f>=HYPERLINK("http://anyluxury.ru/shop/odezhda/tolstovki/tolstovka-s-kapyushonom-zhenskaya-hoodie-dimchatoseraya-ww04w672/" , "WW04W672 Толстовка с капюшоном женская Hoodie, дымчато-серая, размер XXL")</f>
      </c>
      <c r="C11220" s="4" t="n">
        <v>1769.00</v>
      </c>
      <c r="D11220" s="4"/>
    </row>
    <row collapsed="" customFormat="false" customHeight="1" hidden="" ht="14" outlineLevel="0" r="11221">
      <c r="A11221" s="3" t="inlineStr">
        <is>
          <t>11180</t>
        </is>
      </c>
      <c r="B11221" s="4" t="s">
        <f>=HYPERLINK("http://anyluxury.ru/shop/odezhda/tolstovki/tolstovka-s-kapyushonom-zhenskaya-hoodie-temnozelenaya-ww04w882/" , "WW04W882 Толстовка с капюшоном женская Hoodie, темно-зеленая, размер XS")</f>
      </c>
      <c r="C11221" s="4" t="n">
        <v>1769.00</v>
      </c>
      <c r="D11221" s="4"/>
    </row>
    <row collapsed="" customFormat="false" customHeight="1" hidden="" ht="14" outlineLevel="0" r="11222">
      <c r="A11222" s="3" t="inlineStr">
        <is>
          <t>11181</t>
        </is>
      </c>
      <c r="B11222" s="4" t="s">
        <f>=HYPERLINK("http://anyluxury.ru/shop/odezhda/tolstovki/tolstovka-s-kapyushonom-zhenskaya-hoodie-temnozelenaya-ww04w882/" , "WW04W882 Толстовка с капюшоном женская Hoodie, темно-зеленая, размер S")</f>
      </c>
      <c r="C11222" s="4" t="n">
        <v>1769.00</v>
      </c>
      <c r="D11222" s="4"/>
    </row>
    <row collapsed="" customFormat="false" customHeight="1" hidden="" ht="14" outlineLevel="0" r="11223">
      <c r="A11223" s="3" t="inlineStr">
        <is>
          <t>11182</t>
        </is>
      </c>
      <c r="B11223" s="4" t="s">
        <f>=HYPERLINK("http://anyluxury.ru/shop/odezhda/tolstovki/tolstovka-s-kapyushonom-zhenskaya-hoodie-temnozelenaya-ww04w882/" , "WW04W882 Толстовка с капюшоном женская Hoodie, темно-зеленая, размер M")</f>
      </c>
      <c r="C11223" s="4" t="n">
        <v>1769.00</v>
      </c>
      <c r="D11223" s="4"/>
    </row>
    <row collapsed="" customFormat="false" customHeight="1" hidden="" ht="14" outlineLevel="0" r="11224">
      <c r="A11224" s="3" t="inlineStr">
        <is>
          <t>11183</t>
        </is>
      </c>
      <c r="B11224" s="4" t="s">
        <f>=HYPERLINK("http://anyluxury.ru/shop/odezhda/tolstovki/tolstovka-s-kapyushonom-zhenskaya-hoodie-temnozelenaya-ww04w882/" , "WW04W882 Толстовка с капюшоном женская Hoodie, темно-зеленая, размер L")</f>
      </c>
      <c r="C11224" s="4" t="n">
        <v>1769.00</v>
      </c>
      <c r="D11224" s="4"/>
    </row>
    <row collapsed="" customFormat="false" customHeight="1" hidden="" ht="14" outlineLevel="0" r="11225">
      <c r="A11225" s="3" t="inlineStr">
        <is>
          <t>11184</t>
        </is>
      </c>
      <c r="B11225" s="4" t="s">
        <f>=HYPERLINK("http://anyluxury.ru/shop/odezhda/tolstovki/tolstovka-s-kapyushonom-zhenskaya-hoodie-temnozelenaya-ww04w882/" , "WW04W882 Толстовка с капюшоном женская Hoodie, темно-зеленая, размер XL")</f>
      </c>
      <c r="C11225" s="4" t="n">
        <v>1769.00</v>
      </c>
      <c r="D11225" s="4"/>
    </row>
    <row collapsed="" customFormat="false" customHeight="1" hidden="" ht="14" outlineLevel="0" r="11226">
      <c r="A11226" s="3" t="inlineStr">
        <is>
          <t>11185</t>
        </is>
      </c>
      <c r="B11226" s="4" t="s">
        <f>=HYPERLINK("http://anyluxury.ru/shop/odezhda/tolstovki/tolstovka-s-kapyushonom-zhenskaya-hoodie-temnozelenaya-ww04w882/" , "WW04W882 Толстовка с капюшоном женская Hoodie, темно-зеленая, размер XXL")</f>
      </c>
      <c r="C11226" s="4" t="n">
        <v>1769.00</v>
      </c>
      <c r="D11226" s="4"/>
    </row>
    <row collapsed="" customFormat="false" customHeight="1" hidden="" ht="14" outlineLevel="0" r="11227">
      <c r="A11227" s="3" t="inlineStr">
        <is>
          <t>11186</t>
        </is>
      </c>
      <c r="B11227" s="4" t="s">
        <f>=HYPERLINK("http://anyluxury.ru/shop/odezhda/tolstovki/svitshot-uniseks-bnc-organic-oranzheviy-wu31b233/" , "WU31B233 Свитшот унисекс BNC Organic, оранжевый, размер XS")</f>
      </c>
      <c r="C11227" s="4" t="n">
        <v>1764.00</v>
      </c>
      <c r="D11227" s="4"/>
    </row>
    <row collapsed="" customFormat="false" customHeight="1" hidden="" ht="14" outlineLevel="0" r="11228">
      <c r="A11228" s="3" t="inlineStr">
        <is>
          <t>11187</t>
        </is>
      </c>
      <c r="B11228" s="4" t="s">
        <f>=HYPERLINK("http://anyluxury.ru/shop/odezhda/tolstovki/svitshot-uniseks-bnc-organic-oranzheviy-wu31b233/" , "WU31B233 Свитшот унисекс BNC Organic, оранжевый, размер S")</f>
      </c>
      <c r="C11228" s="4" t="n">
        <v>1764.00</v>
      </c>
      <c r="D11228" s="4"/>
    </row>
    <row collapsed="" customFormat="false" customHeight="1" hidden="" ht="14" outlineLevel="0" r="11229">
      <c r="A11229" s="3" t="inlineStr">
        <is>
          <t>11188</t>
        </is>
      </c>
      <c r="B11229" s="4" t="s">
        <f>=HYPERLINK("http://anyluxury.ru/shop/odezhda/tolstovki/svitshot-uniseks-bnc-organic-oranzheviy-wu31b233/" , "WU31B233 Свитшот унисекс BNC Organic, оранжевый, размер M")</f>
      </c>
      <c r="C11229" s="4" t="n">
        <v>1764.00</v>
      </c>
      <c r="D11229" s="4"/>
    </row>
    <row collapsed="" customFormat="false" customHeight="1" hidden="" ht="14" outlineLevel="0" r="11230">
      <c r="A11230" s="3" t="inlineStr">
        <is>
          <t>11189</t>
        </is>
      </c>
      <c r="B11230" s="4" t="s">
        <f>=HYPERLINK("http://anyluxury.ru/shop/odezhda/tolstovki/svitshot-uniseks-bnc-organic-oranzheviy-wu31b233/" , "WU31B233 Свитшот унисекс BNC Organic, оранжевый, размер L")</f>
      </c>
      <c r="C11230" s="4" t="n">
        <v>1764.00</v>
      </c>
      <c r="D11230" s="4"/>
    </row>
    <row collapsed="" customFormat="false" customHeight="1" hidden="" ht="14" outlineLevel="0" r="11231">
      <c r="A11231" s="3" t="inlineStr">
        <is>
          <t>11190</t>
        </is>
      </c>
      <c r="B11231" s="4" t="s">
        <f>=HYPERLINK("http://anyluxury.ru/shop/odezhda/tolstovki/svitshot-uniseks-bnc-organic-oranzheviy-wu31b233/" , "WU31B233 Свитшот унисекс BNC Organic, оранжевый, размер XL")</f>
      </c>
      <c r="C11231" s="4" t="n">
        <v>1764.00</v>
      </c>
      <c r="D11231" s="4"/>
    </row>
    <row collapsed="" customFormat="false" customHeight="1" hidden="" ht="14" outlineLevel="0" r="11232">
      <c r="A11232" s="3" t="inlineStr">
        <is>
          <t>11191</t>
        </is>
      </c>
      <c r="B11232" s="4" t="s">
        <f>=HYPERLINK("http://anyluxury.ru/shop/odezhda/tolstovki/svitshot-uniseks-bnc-organic-oranzheviy-wu31b233/" , "WU31B233 Свитшот унисекс BNC Organic, оранжевый, размер XXL")</f>
      </c>
      <c r="C11232" s="4" t="n">
        <v>1764.00</v>
      </c>
      <c r="D11232" s="4"/>
    </row>
    <row collapsed="" customFormat="false" customHeight="1" hidden="" ht="14" outlineLevel="0" r="11233">
      <c r="A11233" s="3" t="inlineStr">
        <is>
          <t>11192</t>
        </is>
      </c>
      <c r="B11233" s="4" t="s">
        <f>=HYPERLINK("http://anyluxury.ru/shop/odezhda/tolstovki/svitshot-uniseks-bnc-organic-oranzheviy-wu31b233/" , "WU31B233 Свитшот унисекс BNC Organic, оранжевый, размер 3XL")</f>
      </c>
      <c r="C11233" s="4" t="n">
        <v>1764.00</v>
      </c>
      <c r="D11233" s="4"/>
    </row>
    <row collapsed="" customFormat="false" customHeight="1" hidden="" ht="14" outlineLevel="0" r="11234">
      <c r="A11234" s="3" t="inlineStr">
        <is>
          <t>11193</t>
        </is>
      </c>
      <c r="B11234" s="4" t="s">
        <f>=HYPERLINK("http://anyluxury.ru/shop/odezhda/tolstovki/svitshot-uniseks-bnc-organic-yarkorozoviy-fuksiya-wu31b309/" , "WU31B309 Свитшот унисекс BNC Organic, ярко-розовый (фуксия), размер XS")</f>
      </c>
      <c r="C11234" s="4" t="n">
        <v>1764.00</v>
      </c>
      <c r="D11234" s="4"/>
    </row>
    <row collapsed="" customFormat="false" customHeight="1" hidden="" ht="14" outlineLevel="0" r="11235">
      <c r="A11235" s="3" t="inlineStr">
        <is>
          <t>11194</t>
        </is>
      </c>
      <c r="B11235" s="4" t="s">
        <f>=HYPERLINK("http://anyluxury.ru/shop/odezhda/tolstovki/svitshot-uniseks-bnc-organic-yarkorozoviy-fuksiya-wu31b309/" , "WU31B309 Свитшот унисекс BNC Organic, ярко-розовый (фуксия), размер S")</f>
      </c>
      <c r="C11235" s="4" t="n">
        <v>1764.00</v>
      </c>
      <c r="D11235" s="4"/>
    </row>
    <row collapsed="" customFormat="false" customHeight="1" hidden="" ht="14" outlineLevel="0" r="11236">
      <c r="A11236" s="3" t="inlineStr">
        <is>
          <t>11195</t>
        </is>
      </c>
      <c r="B11236" s="4" t="s">
        <f>=HYPERLINK("http://anyluxury.ru/shop/odezhda/tolstovki/svitshot-uniseks-bnc-organic-yarkorozoviy-fuksiya-wu31b309/" , "WU31B309 Свитшот унисекс BNC Organic, ярко-розовый (фуксия), размер M")</f>
      </c>
      <c r="C11236" s="4" t="n">
        <v>1764.00</v>
      </c>
      <c r="D11236" s="4"/>
    </row>
    <row collapsed="" customFormat="false" customHeight="1" hidden="" ht="14" outlineLevel="0" r="11237">
      <c r="A11237" s="3" t="inlineStr">
        <is>
          <t>11196</t>
        </is>
      </c>
      <c r="B11237" s="4" t="s">
        <f>=HYPERLINK("http://anyluxury.ru/shop/odezhda/tolstovki/svitshot-uniseks-bnc-organic-yarkorozoviy-fuksiya-wu31b309/" , "WU31B309 Свитшот унисекс BNC Organic, ярко-розовый (фуксия), размер L")</f>
      </c>
      <c r="C11237" s="4" t="n">
        <v>1764.00</v>
      </c>
      <c r="D11237" s="4"/>
    </row>
    <row collapsed="" customFormat="false" customHeight="1" hidden="" ht="14" outlineLevel="0" r="11238">
      <c r="A11238" s="3" t="inlineStr">
        <is>
          <t>11197</t>
        </is>
      </c>
      <c r="B11238" s="4" t="s">
        <f>=HYPERLINK("http://anyluxury.ru/shop/odezhda/tolstovki/svitshot-uniseks-bnc-organic-yarkorozoviy-fuksiya-wu31b309/" , "WU31B309 Свитшот унисекс BNC Organic, ярко-розовый (фуксия), размер XL")</f>
      </c>
      <c r="C11238" s="4" t="n">
        <v>1764.00</v>
      </c>
      <c r="D11238" s="4"/>
    </row>
    <row collapsed="" customFormat="false" customHeight="1" hidden="" ht="14" outlineLevel="0" r="11239">
      <c r="A11239" s="3" t="inlineStr">
        <is>
          <t>11198</t>
        </is>
      </c>
      <c r="B11239" s="4" t="s">
        <f>=HYPERLINK("http://anyluxury.ru/shop/odezhda/tolstovki/svitshot-uniseks-bnc-organic-yarkorozoviy-fuksiya-wu31b309/" , "WU31B309 Свитшот унисекс BNC Organic, ярко-розовый (фуксия), размер XXL")</f>
      </c>
      <c r="C11239" s="4" t="n">
        <v>1764.00</v>
      </c>
      <c r="D11239" s="4"/>
    </row>
    <row collapsed="" customFormat="false" customHeight="1" hidden="" ht="14" outlineLevel="0" r="11240">
      <c r="A11240" s="3" t="inlineStr">
        <is>
          <t>11199</t>
        </is>
      </c>
      <c r="B11240" s="4" t="s">
        <f>=HYPERLINK("http://anyluxury.ru/shop/odezhda/tolstovki/svitshot-uniseks-bnc-organic-yarkorozoviy-fuksiya-wu31b309/" , "WU31B309 Свитшот унисекс BNC Organic, ярко-розовый (фуксия), размер 3XL")</f>
      </c>
      <c r="C11240" s="4" t="n">
        <v>1764.00</v>
      </c>
      <c r="D11240" s="4"/>
    </row>
    <row collapsed="" customFormat="false" customHeight="1" hidden="" ht="14" outlineLevel="0" r="11241">
      <c r="A11241" s="3" t="inlineStr">
        <is>
          <t>11200</t>
        </is>
      </c>
      <c r="B11241" s="4" t="s">
        <f>=HYPERLINK("http://anyluxury.ru/shop/odezhda/tolstovki/svitshot-uniseks-bnc-organic-serogoluboy-wu31b457/" , "WU31B457 Свитшот унисекс BNC Organic, серо-голубой, размер XS")</f>
      </c>
      <c r="C11241" s="4" t="n">
        <v>1764.00</v>
      </c>
      <c r="D11241" s="4"/>
    </row>
    <row collapsed="" customFormat="false" customHeight="1" hidden="" ht="14" outlineLevel="0" r="11242">
      <c r="A11242" s="3" t="inlineStr">
        <is>
          <t>11201</t>
        </is>
      </c>
      <c r="B11242" s="4" t="s">
        <f>=HYPERLINK("http://anyluxury.ru/shop/odezhda/tolstovki/svitshot-uniseks-bnc-organic-serogoluboy-wu31b457/" , "WU31B457 Свитшот унисекс BNC Organic, серо-голубой, размер S")</f>
      </c>
      <c r="C11242" s="4" t="n">
        <v>1764.00</v>
      </c>
      <c r="D11242" s="4"/>
    </row>
    <row collapsed="" customFormat="false" customHeight="1" hidden="" ht="14" outlineLevel="0" r="11243">
      <c r="A11243" s="3" t="inlineStr">
        <is>
          <t>11202</t>
        </is>
      </c>
      <c r="B11243" s="4" t="s">
        <f>=HYPERLINK("http://anyluxury.ru/shop/odezhda/tolstovki/svitshot-uniseks-bnc-organic-serogoluboy-wu31b457/" , "WU31B457 Свитшот унисекс BNC Organic, серо-голубой, размер M")</f>
      </c>
      <c r="C11243" s="4" t="n">
        <v>1764.00</v>
      </c>
      <c r="D11243" s="4"/>
    </row>
    <row collapsed="" customFormat="false" customHeight="1" hidden="" ht="14" outlineLevel="0" r="11244">
      <c r="A11244" s="3" t="inlineStr">
        <is>
          <t>11203</t>
        </is>
      </c>
      <c r="B11244" s="4" t="s">
        <f>=HYPERLINK("http://anyluxury.ru/shop/odezhda/tolstovki/svitshot-uniseks-bnc-organic-serogoluboy-wu31b457/" , "WU31B457 Свитшот унисекс BNC Organic, серо-голубой, размер L")</f>
      </c>
      <c r="C11244" s="4" t="n">
        <v>1764.00</v>
      </c>
      <c r="D11244" s="4"/>
    </row>
    <row collapsed="" customFormat="false" customHeight="1" hidden="" ht="14" outlineLevel="0" r="11245">
      <c r="A11245" s="3" t="inlineStr">
        <is>
          <t>11204</t>
        </is>
      </c>
      <c r="B11245" s="4" t="s">
        <f>=HYPERLINK("http://anyluxury.ru/shop/odezhda/tolstovki/svitshot-uniseks-bnc-organic-serogoluboy-wu31b457/" , "WU31B457 Свитшот унисекс BNC Organic, серо-голубой, размер XL")</f>
      </c>
      <c r="C11245" s="4" t="n">
        <v>1764.00</v>
      </c>
      <c r="D11245" s="4"/>
    </row>
    <row collapsed="" customFormat="false" customHeight="1" hidden="" ht="14" outlineLevel="0" r="11246">
      <c r="A11246" s="3" t="inlineStr">
        <is>
          <t>11205</t>
        </is>
      </c>
      <c r="B11246" s="4" t="s">
        <f>=HYPERLINK("http://anyluxury.ru/shop/odezhda/tolstovki/svitshot-uniseks-bnc-organic-serogoluboy-wu31b457/" , "WU31B457 Свитшот унисекс BNC Organic, серо-голубой, размер XXL")</f>
      </c>
      <c r="C11246" s="4" t="n">
        <v>1764.00</v>
      </c>
      <c r="D11246" s="4"/>
    </row>
    <row collapsed="" customFormat="false" customHeight="1" hidden="" ht="14" outlineLevel="0" r="11247">
      <c r="A11247" s="3" t="inlineStr">
        <is>
          <t>11206</t>
        </is>
      </c>
      <c r="B11247" s="4" t="s">
        <f>=HYPERLINK("http://anyluxury.ru/shop/odezhda/tolstovki/svitshot-uniseks-bnc-organic-serogoluboy-wu31b457/" , "WU31B457 Свитшот унисекс BNC Organic, серо-голубой, размер 3XL")</f>
      </c>
      <c r="C11247" s="4" t="n">
        <v>1764.00</v>
      </c>
      <c r="D11247" s="4"/>
    </row>
    <row collapsed="" customFormat="false" customHeight="1" hidden="" ht="14" outlineLevel="0" r="11248">
      <c r="A11248" s="3" t="inlineStr">
        <is>
          <t>11207</t>
        </is>
      </c>
      <c r="B11248" s="4" t="s">
        <f>=HYPERLINK("http://anyluxury.ru/shop/odezhda/tolstovki/svitshot-uniseks-bnc-organic-zelenoe-yabloko-wu31b560/" , "WU31B560 Свитшот унисекс BNC Organic, зеленое яблоко, размер XS")</f>
      </c>
      <c r="C11248" s="4" t="n">
        <v>1764.00</v>
      </c>
      <c r="D11248" s="4"/>
    </row>
    <row collapsed="" customFormat="false" customHeight="1" hidden="" ht="14" outlineLevel="0" r="11249">
      <c r="A11249" s="3" t="inlineStr">
        <is>
          <t>11208</t>
        </is>
      </c>
      <c r="B11249" s="4" t="s">
        <f>=HYPERLINK("http://anyluxury.ru/shop/odezhda/tolstovki/svitshot-uniseks-bnc-organic-zelenoe-yabloko-wu31b560/" , "WU31B560 Свитшот унисекс BNC Organic, зеленое яблоко, размер S")</f>
      </c>
      <c r="C11249" s="4" t="n">
        <v>1764.00</v>
      </c>
      <c r="D11249" s="4"/>
    </row>
    <row collapsed="" customFormat="false" customHeight="1" hidden="" ht="14" outlineLevel="0" r="11250">
      <c r="A11250" s="3" t="inlineStr">
        <is>
          <t>11209</t>
        </is>
      </c>
      <c r="B11250" s="4" t="s">
        <f>=HYPERLINK("http://anyluxury.ru/shop/odezhda/tolstovki/svitshot-uniseks-bnc-organic-zelenoe-yabloko-wu31b560/" , "WU31B560 Свитшот унисекс BNC Organic, зеленое яблоко, размер M")</f>
      </c>
      <c r="C11250" s="4" t="n">
        <v>1764.00</v>
      </c>
      <c r="D11250" s="4"/>
    </row>
    <row collapsed="" customFormat="false" customHeight="1" hidden="" ht="14" outlineLevel="0" r="11251">
      <c r="A11251" s="3" t="inlineStr">
        <is>
          <t>11210</t>
        </is>
      </c>
      <c r="B11251" s="4" t="s">
        <f>=HYPERLINK("http://anyluxury.ru/shop/odezhda/tolstovki/svitshot-uniseks-bnc-organic-zelenoe-yabloko-wu31b560/" , "WU31B560 Свитшот унисекс BNC Organic, зеленое яблоко, размер L")</f>
      </c>
      <c r="C11251" s="4" t="n">
        <v>1764.00</v>
      </c>
      <c r="D11251" s="4"/>
    </row>
    <row collapsed="" customFormat="false" customHeight="1" hidden="" ht="14" outlineLevel="0" r="11252">
      <c r="A11252" s="3" t="inlineStr">
        <is>
          <t>11211</t>
        </is>
      </c>
      <c r="B11252" s="4" t="s">
        <f>=HYPERLINK("http://anyluxury.ru/shop/odezhda/tolstovki/svitshot-uniseks-bnc-organic-zelenoe-yabloko-wu31b560/" , "WU31B560 Свитшот унисекс BNC Organic, зеленое яблоко, размер XL")</f>
      </c>
      <c r="C11252" s="4" t="n">
        <v>1764.00</v>
      </c>
      <c r="D11252" s="4"/>
    </row>
    <row collapsed="" customFormat="false" customHeight="1" hidden="" ht="14" outlineLevel="0" r="11253">
      <c r="A11253" s="3" t="inlineStr">
        <is>
          <t>11212</t>
        </is>
      </c>
      <c r="B11253" s="4" t="s">
        <f>=HYPERLINK("http://anyluxury.ru/shop/odezhda/tolstovki/svitshot-uniseks-bnc-organic-zelenoe-yabloko-wu31b560/" , "WU31B560 Свитшот унисекс BNC Organic, зеленое яблоко, размер XXL")</f>
      </c>
      <c r="C11253" s="4" t="n">
        <v>1764.00</v>
      </c>
      <c r="D11253" s="4"/>
    </row>
    <row collapsed="" customFormat="false" customHeight="1" hidden="" ht="14" outlineLevel="0" r="11254">
      <c r="A11254" s="3" t="inlineStr">
        <is>
          <t>11213</t>
        </is>
      </c>
      <c r="B11254" s="4" t="s">
        <f>=HYPERLINK("http://anyluxury.ru/shop/odezhda/tolstovki/svitshot-uniseks-bnc-organic-zelenoe-yabloko-wu31b560/" , "WU31B560 Свитшот унисекс BNC Organic, зеленое яблоко, размер 3XL")</f>
      </c>
      <c r="C11254" s="4" t="n">
        <v>1764.00</v>
      </c>
      <c r="D11254" s="4"/>
    </row>
    <row collapsed="" customFormat="false" customHeight="1" hidden="" ht="14" outlineLevel="0" r="11255">
      <c r="A11255" s="3" t="inlineStr">
        <is>
          <t>11214</t>
        </is>
      </c>
      <c r="B11255" s="4" t="s">
        <f>=HYPERLINK("http://anyluxury.ru/shop/odezhda/tolstovki/svitshot-uniseks-bnc-organic-temnoseriy-wu31b669/" , "WU31B669 Свитшот унисекс BNC Organic, темно-серый, размер XS")</f>
      </c>
      <c r="C11255" s="4" t="n">
        <v>1764.00</v>
      </c>
      <c r="D11255" s="4"/>
    </row>
    <row collapsed="" customFormat="false" customHeight="1" hidden="" ht="14" outlineLevel="0" r="11256">
      <c r="A11256" s="3" t="inlineStr">
        <is>
          <t>11215</t>
        </is>
      </c>
      <c r="B11256" s="4" t="s">
        <f>=HYPERLINK("http://anyluxury.ru/shop/odezhda/tolstovki/svitshot-uniseks-bnc-organic-temnoseriy-wu31b669/" , "WU31B669 Свитшот унисекс BNC Organic, темно-серый, размер S")</f>
      </c>
      <c r="C11256" s="4" t="n">
        <v>1764.00</v>
      </c>
      <c r="D11256" s="4"/>
    </row>
    <row collapsed="" customFormat="false" customHeight="1" hidden="" ht="14" outlineLevel="0" r="11257">
      <c r="A11257" s="3" t="inlineStr">
        <is>
          <t>11216</t>
        </is>
      </c>
      <c r="B11257" s="4" t="s">
        <f>=HYPERLINK("http://anyluxury.ru/shop/odezhda/tolstovki/svitshot-uniseks-bnc-organic-temnoseriy-wu31b669/" , "WU31B669 Свитшот унисекс BNC Organic, темно-серый, размер M")</f>
      </c>
      <c r="C11257" s="4" t="n">
        <v>1764.00</v>
      </c>
      <c r="D11257" s="4"/>
    </row>
    <row collapsed="" customFormat="false" customHeight="1" hidden="" ht="14" outlineLevel="0" r="11258">
      <c r="A11258" s="3" t="inlineStr">
        <is>
          <t>11217</t>
        </is>
      </c>
      <c r="B11258" s="4" t="s">
        <f>=HYPERLINK("http://anyluxury.ru/shop/odezhda/tolstovki/svitshot-uniseks-bnc-organic-temnoseriy-wu31b669/" , "WU31B669 Свитшот унисекс BNC Organic, темно-серый, размер L")</f>
      </c>
      <c r="C11258" s="4" t="n">
        <v>1764.00</v>
      </c>
      <c r="D11258" s="4"/>
    </row>
    <row collapsed="" customFormat="false" customHeight="1" hidden="" ht="14" outlineLevel="0" r="11259">
      <c r="A11259" s="3" t="inlineStr">
        <is>
          <t>11218</t>
        </is>
      </c>
      <c r="B11259" s="4" t="s">
        <f>=HYPERLINK("http://anyluxury.ru/shop/odezhda/tolstovki/svitshot-uniseks-bnc-organic-temnoseriy-wu31b669/" , "WU31B669 Свитшот унисекс BNC Organic, темно-серый, размер XL")</f>
      </c>
      <c r="C11259" s="4" t="n">
        <v>1764.00</v>
      </c>
      <c r="D11259" s="4"/>
    </row>
    <row collapsed="" customFormat="false" customHeight="1" hidden="" ht="14" outlineLevel="0" r="11260">
      <c r="A11260" s="3" t="inlineStr">
        <is>
          <t>11219</t>
        </is>
      </c>
      <c r="B11260" s="4" t="s">
        <f>=HYPERLINK("http://anyluxury.ru/shop/odezhda/tolstovki/svitshot-uniseks-bnc-organic-temnoseriy-wu31b669/" , "WU31B669 Свитшот унисекс BNC Organic, темно-серый, размер XXL")</f>
      </c>
      <c r="C11260" s="4" t="n">
        <v>1764.00</v>
      </c>
      <c r="D11260" s="4"/>
    </row>
    <row collapsed="" customFormat="false" customHeight="1" hidden="" ht="14" outlineLevel="0" r="11261">
      <c r="A11261" s="3" t="inlineStr">
        <is>
          <t>11220</t>
        </is>
      </c>
      <c r="B11261" s="4" t="s">
        <f>=HYPERLINK("http://anyluxury.ru/shop/odezhda/tolstovki/svitshot-uniseks-bnc-organic-temnoseriy-wu31b669/" , "WU31B669 Свитшот унисекс BNC Organic, темно-серый, размер 3XL")</f>
      </c>
      <c r="C11261" s="4" t="n">
        <v>1764.00</v>
      </c>
      <c r="D11261" s="4"/>
    </row>
    <row collapsed="" customFormat="false" customHeight="1" hidden="" ht="14" outlineLevel="0" r="11262">
      <c r="A11262" s="3" t="inlineStr">
        <is>
          <t>11221</t>
        </is>
      </c>
      <c r="B11262" s="4" t="s">
        <f>=HYPERLINK("http://anyluxury.ru/shop/odezhda/tolstovki/svitshot-uniseks-bnc-organic-temnozeleniy-wu31b882/" , "WU31B882 Свитшот унисекс BNC Organic, темно-зеленый, размер XS")</f>
      </c>
      <c r="C11262" s="4" t="n">
        <v>1764.00</v>
      </c>
      <c r="D11262" s="4"/>
    </row>
    <row collapsed="" customFormat="false" customHeight="1" hidden="" ht="14" outlineLevel="0" r="11263">
      <c r="A11263" s="3" t="inlineStr">
        <is>
          <t>11222</t>
        </is>
      </c>
      <c r="B11263" s="4" t="s">
        <f>=HYPERLINK("http://anyluxury.ru/shop/odezhda/tolstovki/svitshot-uniseks-bnc-organic-temnozeleniy-wu31b882/" , "WU31B882 Свитшот унисекс BNC Organic, темно-зеленый, размер S")</f>
      </c>
      <c r="C11263" s="4" t="n">
        <v>1764.00</v>
      </c>
      <c r="D11263" s="4"/>
    </row>
    <row collapsed="" customFormat="false" customHeight="1" hidden="" ht="14" outlineLevel="0" r="11264">
      <c r="A11264" s="3" t="inlineStr">
        <is>
          <t>11223</t>
        </is>
      </c>
      <c r="B11264" s="4" t="s">
        <f>=HYPERLINK("http://anyluxury.ru/shop/odezhda/tolstovki/svitshot-uniseks-bnc-organic-temnozeleniy-wu31b882/" , "WU31B882 Свитшот унисекс BNC Organic, темно-зеленый, размер M")</f>
      </c>
      <c r="C11264" s="4" t="n">
        <v>1764.00</v>
      </c>
      <c r="D11264" s="4"/>
    </row>
    <row collapsed="" customFormat="false" customHeight="1" hidden="" ht="14" outlineLevel="0" r="11265">
      <c r="A11265" s="3" t="inlineStr">
        <is>
          <t>11224</t>
        </is>
      </c>
      <c r="B11265" s="4" t="s">
        <f>=HYPERLINK("http://anyluxury.ru/shop/odezhda/tolstovki/svitshot-uniseks-bnc-organic-temnozeleniy-wu31b882/" , "WU31B882 Свитшот унисекс BNC Organic, темно-зеленый, размер L")</f>
      </c>
      <c r="C11265" s="4" t="n">
        <v>1764.00</v>
      </c>
      <c r="D11265" s="4"/>
    </row>
    <row collapsed="" customFormat="false" customHeight="1" hidden="" ht="14" outlineLevel="0" r="11266">
      <c r="A11266" s="3" t="inlineStr">
        <is>
          <t>11225</t>
        </is>
      </c>
      <c r="B11266" s="4" t="s">
        <f>=HYPERLINK("http://anyluxury.ru/shop/odezhda/tolstovki/svitshot-uniseks-bnc-organic-temnozeleniy-wu31b882/" , "WU31B882 Свитшот унисекс BNC Organic, темно-зеленый, размер XL")</f>
      </c>
      <c r="C11266" s="4" t="n">
        <v>1764.00</v>
      </c>
      <c r="D11266" s="4"/>
    </row>
    <row collapsed="" customFormat="false" customHeight="1" hidden="" ht="14" outlineLevel="0" r="11267">
      <c r="A11267" s="3" t="inlineStr">
        <is>
          <t>11226</t>
        </is>
      </c>
      <c r="B11267" s="4" t="s">
        <f>=HYPERLINK("http://anyluxury.ru/shop/odezhda/tolstovki/svitshot-uniseks-bnc-organic-temnozeleniy-wu31b882/" , "WU31B882 Свитшот унисекс BNC Organic, темно-зеленый, размер XXL")</f>
      </c>
      <c r="C11267" s="4" t="n">
        <v>1764.00</v>
      </c>
      <c r="D11267" s="4"/>
    </row>
    <row collapsed="" customFormat="false" customHeight="1" hidden="" ht="14" outlineLevel="0" r="11268">
      <c r="A11268" s="3" t="inlineStr">
        <is>
          <t>11227</t>
        </is>
      </c>
      <c r="B11268" s="4" t="s">
        <f>=HYPERLINK("http://anyluxury.ru/shop/odezhda/tolstovki/svitshot-uniseks-bnc-organic-temnozeleniy-wu31b882/" , "WU31B882 Свитшот унисекс BNC Organic, темно-зеленый, размер 3XL")</f>
      </c>
      <c r="C11268" s="4" t="n">
        <v>1764.00</v>
      </c>
      <c r="D11268" s="4"/>
    </row>
    <row collapsed="" customFormat="false" customHeight="1" hidden="" ht="14" outlineLevel="0" r="11269">
      <c r="A11269" s="3" t="inlineStr">
        <is>
          <t>11228</t>
        </is>
      </c>
      <c r="B11269" s="4" t="s">
        <f>=HYPERLINK("http://anyluxury.ru/shop/odezhda/tolstovki/svitshot-zhenskiy-bnc-organic-beliy-ww32b001/" , "WW32B001 Свитшот женский BNC Organic, белый, размер XS")</f>
      </c>
      <c r="C11269" s="4" t="n">
        <v>1699.00</v>
      </c>
      <c r="D11269" s="4"/>
    </row>
    <row collapsed="" customFormat="false" customHeight="1" hidden="" ht="14" outlineLevel="0" r="11270">
      <c r="A11270" s="3" t="inlineStr">
        <is>
          <t>11229</t>
        </is>
      </c>
      <c r="B11270" s="4" t="s">
        <f>=HYPERLINK("http://anyluxury.ru/shop/odezhda/tolstovki/svitshot-zhenskiy-bnc-organic-beliy-ww32b001/" , "WW32B001 Свитшот женский BNC Organic, белый, размер S")</f>
      </c>
      <c r="C11270" s="4" t="n">
        <v>1699.00</v>
      </c>
      <c r="D11270" s="4"/>
    </row>
    <row collapsed="" customFormat="false" customHeight="1" hidden="" ht="14" outlineLevel="0" r="11271">
      <c r="A11271" s="3" t="inlineStr">
        <is>
          <t>11230</t>
        </is>
      </c>
      <c r="B11271" s="4" t="s">
        <f>=HYPERLINK("http://anyluxury.ru/shop/odezhda/tolstovki/svitshot-zhenskiy-bnc-organic-beliy-ww32b001/" , "WW32B001 Свитшот женский BNC Organic, белый, размер M")</f>
      </c>
      <c r="C11271" s="4" t="n">
        <v>1699.00</v>
      </c>
      <c r="D11271" s="4"/>
    </row>
    <row collapsed="" customFormat="false" customHeight="1" hidden="" ht="14" outlineLevel="0" r="11272">
      <c r="A11272" s="3" t="inlineStr">
        <is>
          <t>11231</t>
        </is>
      </c>
      <c r="B11272" s="4" t="s">
        <f>=HYPERLINK("http://anyluxury.ru/shop/odezhda/tolstovki/svitshot-zhenskiy-bnc-organic-beliy-ww32b001/" , "WW32B001 Свитшот женский BNC Organic, белый, размер L")</f>
      </c>
      <c r="C11272" s="4" t="n">
        <v>1699.00</v>
      </c>
      <c r="D11272" s="4"/>
    </row>
    <row collapsed="" customFormat="false" customHeight="1" hidden="" ht="14" outlineLevel="0" r="11273">
      <c r="A11273" s="3" t="inlineStr">
        <is>
          <t>11232</t>
        </is>
      </c>
      <c r="B11273" s="4" t="s">
        <f>=HYPERLINK("http://anyluxury.ru/shop/odezhda/tolstovki/svitshot-zhenskiy-bnc-organic-beliy-ww32b001/" , "WW32B001 Свитшот женский BNC Organic, белый, размер XL")</f>
      </c>
      <c r="C11273" s="4" t="n">
        <v>1699.00</v>
      </c>
      <c r="D11273" s="4"/>
    </row>
    <row collapsed="" customFormat="false" customHeight="1" hidden="" ht="14" outlineLevel="0" r="11274">
      <c r="A11274" s="3" t="inlineStr">
        <is>
          <t>11233</t>
        </is>
      </c>
      <c r="B11274" s="4" t="s">
        <f>=HYPERLINK("http://anyluxury.ru/shop/odezhda/tolstovki/svitshot-zhenskiy-bnc-organic-beliy-ww32b001/" , "WW32B001 Свитшот женский BNC Organic, белый, размер XXL")</f>
      </c>
      <c r="C11274" s="4" t="n">
        <v>1699.00</v>
      </c>
      <c r="D11274" s="4"/>
    </row>
    <row collapsed="" customFormat="false" customHeight="1" hidden="" ht="14" outlineLevel="0" r="11275">
      <c r="A11275" s="3" t="inlineStr">
        <is>
          <t>11234</t>
        </is>
      </c>
      <c r="B11275" s="4" t="s">
        <f>=HYPERLINK("http://anyluxury.ru/shop/odezhda/tolstovki/svitshot-zhenskiy-bnc-organic-oranzheviy-ww32b233/" , "WW32B233 Свитшот женский BNC Organic, оранжевый, размер XS")</f>
      </c>
      <c r="C11275" s="4" t="n">
        <v>1699.00</v>
      </c>
      <c r="D11275" s="4"/>
    </row>
    <row collapsed="" customFormat="false" customHeight="1" hidden="" ht="14" outlineLevel="0" r="11276">
      <c r="A11276" s="3" t="inlineStr">
        <is>
          <t>11235</t>
        </is>
      </c>
      <c r="B11276" s="4" t="s">
        <f>=HYPERLINK("http://anyluxury.ru/shop/odezhda/tolstovki/svitshot-zhenskiy-bnc-organic-oranzheviy-ww32b233/" , "WW32B233 Свитшот женский BNC Organic, оранжевый, размер S")</f>
      </c>
      <c r="C11276" s="4" t="n">
        <v>1699.00</v>
      </c>
      <c r="D11276" s="4"/>
    </row>
    <row collapsed="" customFormat="false" customHeight="1" hidden="" ht="14" outlineLevel="0" r="11277">
      <c r="A11277" s="3" t="inlineStr">
        <is>
          <t>11236</t>
        </is>
      </c>
      <c r="B11277" s="4" t="s">
        <f>=HYPERLINK("http://anyluxury.ru/shop/odezhda/tolstovki/svitshot-zhenskiy-bnc-organic-oranzheviy-ww32b233/" , "WW32B233 Свитшот женский BNC Organic, оранжевый, размер M")</f>
      </c>
      <c r="C11277" s="4" t="n">
        <v>1699.00</v>
      </c>
      <c r="D11277" s="4"/>
    </row>
    <row collapsed="" customFormat="false" customHeight="1" hidden="" ht="14" outlineLevel="0" r="11278">
      <c r="A11278" s="3" t="inlineStr">
        <is>
          <t>11237</t>
        </is>
      </c>
      <c r="B11278" s="4" t="s">
        <f>=HYPERLINK("http://anyluxury.ru/shop/odezhda/tolstovki/svitshot-zhenskiy-bnc-organic-oranzheviy-ww32b233/" , "WW32B233 Свитшот женский BNC Organic, оранжевый, размер L")</f>
      </c>
      <c r="C11278" s="4" t="n">
        <v>1699.00</v>
      </c>
      <c r="D11278" s="4"/>
    </row>
    <row collapsed="" customFormat="false" customHeight="1" hidden="" ht="14" outlineLevel="0" r="11279">
      <c r="A11279" s="3" t="inlineStr">
        <is>
          <t>11238</t>
        </is>
      </c>
      <c r="B11279" s="4" t="s">
        <f>=HYPERLINK("http://anyluxury.ru/shop/odezhda/tolstovki/svitshot-zhenskiy-bnc-organic-oranzheviy-ww32b233/" , "WW32B233 Свитшот женский BNC Organic, оранжевый, размер XL")</f>
      </c>
      <c r="C11279" s="4" t="n">
        <v>1699.00</v>
      </c>
      <c r="D11279" s="4"/>
    </row>
    <row collapsed="" customFormat="false" customHeight="1" hidden="" ht="14" outlineLevel="0" r="11280">
      <c r="A11280" s="3" t="inlineStr">
        <is>
          <t>11239</t>
        </is>
      </c>
      <c r="B11280" s="4" t="s">
        <f>=HYPERLINK("http://anyluxury.ru/shop/odezhda/tolstovki/svitshot-zhenskiy-bnc-organic-oranzheviy-ww32b233/" , "WW32B233 Свитшот женский BNC Organic, оранжевый, размер XXL")</f>
      </c>
      <c r="C11280" s="4" t="n">
        <v>1699.00</v>
      </c>
      <c r="D11280" s="4"/>
    </row>
    <row collapsed="" customFormat="false" customHeight="1" hidden="" ht="14" outlineLevel="0" r="11281">
      <c r="A11281" s="3" t="inlineStr">
        <is>
          <t>11240</t>
        </is>
      </c>
      <c r="B11281" s="4" t="s">
        <f>=HYPERLINK("http://anyluxury.ru/shop/odezhda/tolstovki/svitshot-zhenskiy-bnc-organic-yarkorozoviy-fuksiya-ww32b309/" , "WW32B309 Свитшот женский BNC Organic, ярко-розовый (фуксия), размер XS")</f>
      </c>
      <c r="C11281" s="4" t="n">
        <v>1699.00</v>
      </c>
      <c r="D11281" s="4"/>
    </row>
    <row collapsed="" customFormat="false" customHeight="1" hidden="" ht="14" outlineLevel="0" r="11282">
      <c r="A11282" s="3" t="inlineStr">
        <is>
          <t>11241</t>
        </is>
      </c>
      <c r="B11282" s="4" t="s">
        <f>=HYPERLINK("http://anyluxury.ru/shop/odezhda/tolstovki/svitshot-zhenskiy-bnc-organic-yarkorozoviy-fuksiya-ww32b309/" , "WW32B309 Свитшот женский BNC Organic, ярко-розовый (фуксия), размер S")</f>
      </c>
      <c r="C11282" s="4" t="n">
        <v>1699.00</v>
      </c>
      <c r="D11282" s="4"/>
    </row>
    <row collapsed="" customFormat="false" customHeight="1" hidden="" ht="14" outlineLevel="0" r="11283">
      <c r="A11283" s="3" t="inlineStr">
        <is>
          <t>11242</t>
        </is>
      </c>
      <c r="B11283" s="4" t="s">
        <f>=HYPERLINK("http://anyluxury.ru/shop/odezhda/tolstovki/svitshot-zhenskiy-bnc-organic-yarkorozoviy-fuksiya-ww32b309/" , "WW32B309 Свитшот женский BNC Organic, ярко-розовый (фуксия), размер M")</f>
      </c>
      <c r="C11283" s="4" t="n">
        <v>1699.00</v>
      </c>
      <c r="D11283" s="4"/>
    </row>
    <row collapsed="" customFormat="false" customHeight="1" hidden="" ht="14" outlineLevel="0" r="11284">
      <c r="A11284" s="3" t="inlineStr">
        <is>
          <t>11243</t>
        </is>
      </c>
      <c r="B11284" s="4" t="s">
        <f>=HYPERLINK("http://anyluxury.ru/shop/odezhda/tolstovki/svitshot-zhenskiy-bnc-organic-yarkorozoviy-fuksiya-ww32b309/" , "WW32B309 Свитшот женский BNC Organic, ярко-розовый (фуксия), размер L")</f>
      </c>
      <c r="C11284" s="4" t="n">
        <v>1699.00</v>
      </c>
      <c r="D11284" s="4"/>
    </row>
    <row collapsed="" customFormat="false" customHeight="1" hidden="" ht="14" outlineLevel="0" r="11285">
      <c r="A11285" s="3" t="inlineStr">
        <is>
          <t>11244</t>
        </is>
      </c>
      <c r="B11285" s="4" t="s">
        <f>=HYPERLINK("http://anyluxury.ru/shop/odezhda/tolstovki/svitshot-zhenskiy-bnc-organic-yarkorozoviy-fuksiya-ww32b309/" , "WW32B309 Свитшот женский BNC Organic, ярко-розовый (фуксия), размер XL")</f>
      </c>
      <c r="C11285" s="4" t="n">
        <v>1699.00</v>
      </c>
      <c r="D11285" s="4"/>
    </row>
    <row collapsed="" customFormat="false" customHeight="1" hidden="" ht="14" outlineLevel="0" r="11286">
      <c r="A11286" s="3" t="inlineStr">
        <is>
          <t>11245</t>
        </is>
      </c>
      <c r="B11286" s="4" t="s">
        <f>=HYPERLINK("http://anyluxury.ru/shop/odezhda/tolstovki/svitshot-zhenskiy-bnc-organic-yarkorozoviy-fuksiya-ww32b309/" , "WW32B309 Свитшот женский BNC Organic, ярко-розовый (фуксия), размер XXL")</f>
      </c>
      <c r="C11286" s="4" t="n">
        <v>1699.00</v>
      </c>
      <c r="D11286" s="4"/>
    </row>
    <row collapsed="" customFormat="false" customHeight="1" hidden="" ht="14" outlineLevel="0" r="11287">
      <c r="A11287" s="3" t="inlineStr">
        <is>
          <t>11246</t>
        </is>
      </c>
      <c r="B11287" s="4" t="s">
        <f>=HYPERLINK("http://anyluxury.ru/shop/odezhda/tolstovki/svitshot-zhenskiy-bnc-organic-zelenoe-yabloko-ww32b560/" , "WW32B560 Свитшот женский BNC Organic, зеленое яблоко, размер XS")</f>
      </c>
      <c r="C11287" s="4" t="n">
        <v>1699.00</v>
      </c>
      <c r="D11287" s="4"/>
    </row>
    <row collapsed="" customFormat="false" customHeight="1" hidden="" ht="14" outlineLevel="0" r="11288">
      <c r="A11288" s="3" t="inlineStr">
        <is>
          <t>11247</t>
        </is>
      </c>
      <c r="B11288" s="4" t="s">
        <f>=HYPERLINK("http://anyluxury.ru/shop/odezhda/tolstovki/svitshot-zhenskiy-bnc-organic-zelenoe-yabloko-ww32b560/" , "WW32B560 Свитшот женский BNC Organic, зеленое яблоко, размер S")</f>
      </c>
      <c r="C11288" s="4" t="n">
        <v>1699.00</v>
      </c>
      <c r="D11288" s="4"/>
    </row>
    <row collapsed="" customFormat="false" customHeight="1" hidden="" ht="14" outlineLevel="0" r="11289">
      <c r="A11289" s="3" t="inlineStr">
        <is>
          <t>11248</t>
        </is>
      </c>
      <c r="B11289" s="4" t="s">
        <f>=HYPERLINK("http://anyluxury.ru/shop/odezhda/tolstovki/svitshot-zhenskiy-bnc-organic-zelenoe-yabloko-ww32b560/" , "WW32B560 Свитшот женский BNC Organic, зеленое яблоко, размер M")</f>
      </c>
      <c r="C11289" s="4" t="n">
        <v>1699.00</v>
      </c>
      <c r="D11289" s="4"/>
    </row>
    <row collapsed="" customFormat="false" customHeight="1" hidden="" ht="14" outlineLevel="0" r="11290">
      <c r="A11290" s="3" t="inlineStr">
        <is>
          <t>11249</t>
        </is>
      </c>
      <c r="B11290" s="4" t="s">
        <f>=HYPERLINK("http://anyluxury.ru/shop/odezhda/tolstovki/svitshot-zhenskiy-bnc-organic-zelenoe-yabloko-ww32b560/" , "WW32B560 Свитшот женский BNC Organic, зеленое яблоко, размер L")</f>
      </c>
      <c r="C11290" s="4" t="n">
        <v>1699.00</v>
      </c>
      <c r="D11290" s="4"/>
    </row>
    <row collapsed="" customFormat="false" customHeight="1" hidden="" ht="14" outlineLevel="0" r="11291">
      <c r="A11291" s="3" t="inlineStr">
        <is>
          <t>11250</t>
        </is>
      </c>
      <c r="B11291" s="4" t="s">
        <f>=HYPERLINK("http://anyluxury.ru/shop/odezhda/tolstovki/svitshot-zhenskiy-bnc-organic-zelenoe-yabloko-ww32b560/" , "WW32B560 Свитшот женский BNC Organic, зеленое яблоко, размер XL")</f>
      </c>
      <c r="C11291" s="4" t="n">
        <v>1699.00</v>
      </c>
      <c r="D11291" s="4"/>
    </row>
    <row collapsed="" customFormat="false" customHeight="1" hidden="" ht="14" outlineLevel="0" r="11292">
      <c r="A11292" s="3" t="inlineStr">
        <is>
          <t>11251</t>
        </is>
      </c>
      <c r="B11292" s="4" t="s">
        <f>=HYPERLINK("http://anyluxury.ru/shop/odezhda/tolstovki/svitshot-zhenskiy-bnc-organic-zelenoe-yabloko-ww32b560/" , "WW32B560 Свитшот женский BNC Organic, зеленое яблоко, размер XXL")</f>
      </c>
      <c r="C11292" s="4" t="n">
        <v>1699.00</v>
      </c>
      <c r="D11292" s="4"/>
    </row>
    <row collapsed="" customFormat="false" customHeight="1" hidden="" ht="14" outlineLevel="0" r="11293">
      <c r="A11293" s="3" t="inlineStr">
        <is>
          <t>11252</t>
        </is>
      </c>
      <c r="B11293" s="4" t="s">
        <f>=HYPERLINK("http://anyluxury.ru/shop/odezhda/tolstovki/svitshot-zhenskiy-bnc-organic-temnoseriy-ww32b669/" , "WW32B669 Свитшот женский BNC Organic, темно-серый, размер XS")</f>
      </c>
      <c r="C11293" s="4" t="n">
        <v>1699.00</v>
      </c>
      <c r="D11293" s="4"/>
    </row>
    <row collapsed="" customFormat="false" customHeight="1" hidden="" ht="14" outlineLevel="0" r="11294">
      <c r="A11294" s="3" t="inlineStr">
        <is>
          <t>11253</t>
        </is>
      </c>
      <c r="B11294" s="4" t="s">
        <f>=HYPERLINK("http://anyluxury.ru/shop/odezhda/tolstovki/svitshot-zhenskiy-bnc-organic-temnoseriy-ww32b669/" , "WW32B669 Свитшот женский BNC Organic, темно-серый, размер S")</f>
      </c>
      <c r="C11294" s="4" t="n">
        <v>1699.00</v>
      </c>
      <c r="D11294" s="4"/>
    </row>
    <row collapsed="" customFormat="false" customHeight="1" hidden="" ht="14" outlineLevel="0" r="11295">
      <c r="A11295" s="3" t="inlineStr">
        <is>
          <t>11254</t>
        </is>
      </c>
      <c r="B11295" s="4" t="s">
        <f>=HYPERLINK("http://anyluxury.ru/shop/odezhda/tolstovki/svitshot-zhenskiy-bnc-organic-temnoseriy-ww32b669/" , "WW32B669 Свитшот женский BNC Organic, темно-серый, размер M")</f>
      </c>
      <c r="C11295" s="4" t="n">
        <v>1699.00</v>
      </c>
      <c r="D11295" s="4"/>
    </row>
    <row collapsed="" customFormat="false" customHeight="1" hidden="" ht="14" outlineLevel="0" r="11296">
      <c r="A11296" s="3" t="inlineStr">
        <is>
          <t>11255</t>
        </is>
      </c>
      <c r="B11296" s="4" t="s">
        <f>=HYPERLINK("http://anyluxury.ru/shop/odezhda/tolstovki/svitshot-zhenskiy-bnc-organic-temnoseriy-ww32b669/" , "WW32B669 Свитшот женский BNC Organic, темно-серый, размер L")</f>
      </c>
      <c r="C11296" s="4" t="n">
        <v>1699.00</v>
      </c>
      <c r="D11296" s="4"/>
    </row>
    <row collapsed="" customFormat="false" customHeight="1" hidden="" ht="14" outlineLevel="0" r="11297">
      <c r="A11297" s="3" t="inlineStr">
        <is>
          <t>11256</t>
        </is>
      </c>
      <c r="B11297" s="4" t="s">
        <f>=HYPERLINK("http://anyluxury.ru/shop/odezhda/tolstovki/svitshot-zhenskiy-bnc-organic-temnoseriy-ww32b669/" , "WW32B669 Свитшот женский BNC Organic, темно-серый, размер XL")</f>
      </c>
      <c r="C11297" s="4" t="n">
        <v>1699.00</v>
      </c>
      <c r="D11297" s="4"/>
    </row>
    <row collapsed="" customFormat="false" customHeight="1" hidden="" ht="14" outlineLevel="0" r="11298">
      <c r="A11298" s="3" t="inlineStr">
        <is>
          <t>11257</t>
        </is>
      </c>
      <c r="B11298" s="4" t="s">
        <f>=HYPERLINK("http://anyluxury.ru/shop/odezhda/tolstovki/svitshot-zhenskiy-bnc-organic-temnoseriy-ww32b669/" , "WW32B669 Свитшот женский BNC Organic, темно-серый, размер XXL")</f>
      </c>
      <c r="C11298" s="4" t="n">
        <v>1699.00</v>
      </c>
      <c r="D11298" s="4"/>
    </row>
    <row collapsed="" customFormat="false" customHeight="1" hidden="" ht="14" outlineLevel="0" r="11299">
      <c r="A11299" s="3" t="inlineStr">
        <is>
          <t>11258</t>
        </is>
      </c>
      <c r="B11299" s="4" t="s">
        <f>=HYPERLINK("http://anyluxury.ru/shop/odezhda/tolstovki/svitshot-zhenskiy-bnc-organic-temnozeleniy-ww32b882/" , "WW32B882 Свитшот женский BNC Organic, темно-зеленый, размер XS")</f>
      </c>
      <c r="C11299" s="4" t="n">
        <v>1699.00</v>
      </c>
      <c r="D11299" s="4"/>
    </row>
    <row collapsed="" customFormat="false" customHeight="1" hidden="" ht="14" outlineLevel="0" r="11300">
      <c r="A11300" s="3" t="inlineStr">
        <is>
          <t>11259</t>
        </is>
      </c>
      <c r="B11300" s="4" t="s">
        <f>=HYPERLINK("http://anyluxury.ru/shop/odezhda/tolstovki/svitshot-zhenskiy-bnc-organic-temnozeleniy-ww32b882/" , "WW32B882 Свитшот женский BNC Organic, темно-зеленый, размер S")</f>
      </c>
      <c r="C11300" s="4" t="n">
        <v>1699.00</v>
      </c>
      <c r="D11300" s="4"/>
    </row>
    <row collapsed="" customFormat="false" customHeight="1" hidden="" ht="14" outlineLevel="0" r="11301">
      <c r="A11301" s="3" t="inlineStr">
        <is>
          <t>11260</t>
        </is>
      </c>
      <c r="B11301" s="4" t="s">
        <f>=HYPERLINK("http://anyluxury.ru/shop/odezhda/tolstovki/svitshot-zhenskiy-bnc-organic-temnozeleniy-ww32b882/" , "WW32B882 Свитшот женский BNC Organic, темно-зеленый, размер M")</f>
      </c>
      <c r="C11301" s="4" t="n">
        <v>1699.00</v>
      </c>
      <c r="D11301" s="4"/>
    </row>
    <row collapsed="" customFormat="false" customHeight="1" hidden="" ht="14" outlineLevel="0" r="11302">
      <c r="A11302" s="3" t="inlineStr">
        <is>
          <t>11261</t>
        </is>
      </c>
      <c r="B11302" s="4" t="s">
        <f>=HYPERLINK("http://anyluxury.ru/shop/odezhda/tolstovki/svitshot-zhenskiy-bnc-organic-temnozeleniy-ww32b882/" , "WW32B882 Свитшот женский BNC Organic, темно-зеленый, размер L")</f>
      </c>
      <c r="C11302" s="4" t="n">
        <v>1699.00</v>
      </c>
      <c r="D11302" s="4"/>
    </row>
    <row collapsed="" customFormat="false" customHeight="1" hidden="" ht="14" outlineLevel="0" r="11303">
      <c r="A11303" s="3" t="inlineStr">
        <is>
          <t>11262</t>
        </is>
      </c>
      <c r="B11303" s="4" t="s">
        <f>=HYPERLINK("http://anyluxury.ru/shop/odezhda/tolstovki/svitshot-zhenskiy-bnc-organic-temnozeleniy-ww32b882/" , "WW32B882 Свитшот женский BNC Organic, темно-зеленый, размер XL")</f>
      </c>
      <c r="C11303" s="4" t="n">
        <v>1699.00</v>
      </c>
      <c r="D11303" s="4"/>
    </row>
    <row collapsed="" customFormat="false" customHeight="1" hidden="" ht="14" outlineLevel="0" r="11304">
      <c r="A11304" s="3" t="inlineStr">
        <is>
          <t>11263</t>
        </is>
      </c>
      <c r="B11304" s="4" t="s">
        <f>=HYPERLINK("http://anyluxury.ru/shop/odezhda/tolstovki/svitshot-zhenskiy-bnc-organic-temnozeleniy-ww32b882/" , "WW32B882 Свитшот женский BNC Organic, темно-зеленый, размер XXL")</f>
      </c>
      <c r="C11304" s="4" t="n">
        <v>1699.00</v>
      </c>
      <c r="D11304" s="4"/>
    </row>
    <row collapsed="" customFormat="false" customHeight="1" hidden="" ht="14" outlineLevel="0" r="11305">
      <c r="A11305" s="3" t="inlineStr">
        <is>
          <t>11264</t>
        </is>
      </c>
      <c r="B11305" s="4" t="s">
        <f>=HYPERLINK("http://anyluxury.ru/shop/odezhda/tolstovki/tolstovka-s-kapyushonom-uniseks-bnc-organic-oranzhevaya-wu33b233/" , "WU33B233 Толстовка с капюшоном унисекс BNC Organic, оранжевая, размер XS")</f>
      </c>
      <c r="C11305" s="4" t="n">
        <v>2242.00</v>
      </c>
      <c r="D11305" s="4"/>
    </row>
    <row collapsed="" customFormat="false" customHeight="1" hidden="" ht="14" outlineLevel="0" r="11306">
      <c r="A11306" s="3" t="inlineStr">
        <is>
          <t>11265</t>
        </is>
      </c>
      <c r="B11306" s="4" t="s">
        <f>=HYPERLINK("http://anyluxury.ru/shop/odezhda/tolstovki/tolstovka-s-kapyushonom-uniseks-bnc-organic-oranzhevaya-wu33b233/" , "WU33B233 Толстовка с капюшоном унисекс BNC Organic, оранжевая, размер S")</f>
      </c>
      <c r="C11306" s="4" t="n">
        <v>2242.00</v>
      </c>
      <c r="D11306" s="4"/>
    </row>
    <row collapsed="" customFormat="false" customHeight="1" hidden="" ht="14" outlineLevel="0" r="11307">
      <c r="A11307" s="3" t="inlineStr">
        <is>
          <t>11266</t>
        </is>
      </c>
      <c r="B11307" s="4" t="s">
        <f>=HYPERLINK("http://anyluxury.ru/shop/odezhda/tolstovki/tolstovka-s-kapyushonom-uniseks-bnc-organic-oranzhevaya-wu33b233/" , "WU33B233 Толстовка с капюшоном унисекс BNC Organic, оранжевая, размер M")</f>
      </c>
      <c r="C11307" s="4" t="n">
        <v>2242.00</v>
      </c>
      <c r="D11307" s="4"/>
    </row>
    <row collapsed="" customFormat="false" customHeight="1" hidden="" ht="14" outlineLevel="0" r="11308">
      <c r="A11308" s="3" t="inlineStr">
        <is>
          <t>11267</t>
        </is>
      </c>
      <c r="B11308" s="4" t="s">
        <f>=HYPERLINK("http://anyluxury.ru/shop/odezhda/tolstovki/tolstovka-s-kapyushonom-uniseks-bnc-organic-oranzhevaya-wu33b233/" , "WU33B233 Толстовка с капюшоном унисекс BNC Organic, оранжевая, размер L")</f>
      </c>
      <c r="C11308" s="4" t="n">
        <v>2242.00</v>
      </c>
      <c r="D11308" s="4"/>
    </row>
    <row collapsed="" customFormat="false" customHeight="1" hidden="" ht="14" outlineLevel="0" r="11309">
      <c r="A11309" s="3" t="inlineStr">
        <is>
          <t>11268</t>
        </is>
      </c>
      <c r="B11309" s="4" t="s">
        <f>=HYPERLINK("http://anyluxury.ru/shop/odezhda/tolstovki/tolstovka-s-kapyushonom-uniseks-bnc-organic-oranzhevaya-wu33b233/" , "WU33B233 Толстовка с капюшоном унисекс BNC Organic, оранжевая, размер XL")</f>
      </c>
      <c r="C11309" s="4" t="n">
        <v>2242.00</v>
      </c>
      <c r="D11309" s="4"/>
    </row>
    <row collapsed="" customFormat="false" customHeight="1" hidden="" ht="14" outlineLevel="0" r="11310">
      <c r="A11310" s="3" t="inlineStr">
        <is>
          <t>11269</t>
        </is>
      </c>
      <c r="B11310" s="4" t="s">
        <f>=HYPERLINK("http://anyluxury.ru/shop/odezhda/tolstovki/tolstovka-s-kapyushonom-uniseks-bnc-organic-oranzhevaya-wu33b233/" , "WU33B233 Толстовка с капюшоном унисекс BNC Organic, оранжевая, размер XXL")</f>
      </c>
      <c r="C11310" s="4" t="n">
        <v>2242.00</v>
      </c>
      <c r="D11310" s="4"/>
    </row>
    <row collapsed="" customFormat="false" customHeight="1" hidden="" ht="14" outlineLevel="0" r="11311">
      <c r="A11311" s="3" t="inlineStr">
        <is>
          <t>11270</t>
        </is>
      </c>
      <c r="B11311" s="4" t="s">
        <f>=HYPERLINK("http://anyluxury.ru/shop/odezhda/tolstovki/tolstovka-s-kapyushonom-uniseks-bnc-organic-oranzhevaya-wu33b233/" , "WU33B233 Толстовка с капюшоном унисекс BNC Organic, оранжевая, размер 3XL")</f>
      </c>
      <c r="C11311" s="4" t="n">
        <v>2242.00</v>
      </c>
      <c r="D11311" s="4"/>
    </row>
    <row collapsed="" customFormat="false" customHeight="1" hidden="" ht="14" outlineLevel="0" r="11312">
      <c r="A11312" s="3" t="inlineStr">
        <is>
          <t>11271</t>
        </is>
      </c>
      <c r="B11312" s="4" t="s">
        <f>=HYPERLINK("http://anyluxury.ru/shop/odezhda/tolstovki/tolstovka-s-kapyushonom-uniseks-bnc-organic-fioletovaya-wu33b351/" , "WU33B351 Толстовка с капюшоном унисекс BNC Organic, фиолетовая, размер XS")</f>
      </c>
      <c r="C11312" s="4" t="n">
        <v>2242.00</v>
      </c>
      <c r="D11312" s="4"/>
    </row>
    <row collapsed="" customFormat="false" customHeight="1" hidden="" ht="14" outlineLevel="0" r="11313">
      <c r="A11313" s="3" t="inlineStr">
        <is>
          <t>11272</t>
        </is>
      </c>
      <c r="B11313" s="4" t="s">
        <f>=HYPERLINK("http://anyluxury.ru/shop/odezhda/tolstovki/tolstovka-s-kapyushonom-uniseks-bnc-organic-fioletovaya-wu33b351/" , "WU33B351 Толстовка с капюшоном унисекс BNC Organic, фиолетовая, размер S")</f>
      </c>
      <c r="C11313" s="4" t="n">
        <v>2242.00</v>
      </c>
      <c r="D11313" s="4"/>
    </row>
    <row collapsed="" customFormat="false" customHeight="1" hidden="" ht="14" outlineLevel="0" r="11314">
      <c r="A11314" s="3" t="inlineStr">
        <is>
          <t>11273</t>
        </is>
      </c>
      <c r="B11314" s="4" t="s">
        <f>=HYPERLINK("http://anyluxury.ru/shop/odezhda/tolstovki/tolstovka-s-kapyushonom-uniseks-bnc-organic-fioletovaya-wu33b351/" , "WU33B351 Толстовка с капюшоном унисекс BNC Organic, фиолетовая, размер M")</f>
      </c>
      <c r="C11314" s="4" t="n">
        <v>2242.00</v>
      </c>
      <c r="D11314" s="4"/>
    </row>
    <row collapsed="" customFormat="false" customHeight="1" hidden="" ht="14" outlineLevel="0" r="11315">
      <c r="A11315" s="3" t="inlineStr">
        <is>
          <t>11274</t>
        </is>
      </c>
      <c r="B11315" s="4" t="s">
        <f>=HYPERLINK("http://anyluxury.ru/shop/odezhda/tolstovki/tolstovka-s-kapyushonom-uniseks-bnc-organic-fioletovaya-wu33b351/" , "WU33B351 Толстовка с капюшоном унисекс BNC Organic, фиолетовая, размер L")</f>
      </c>
      <c r="C11315" s="4" t="n">
        <v>2242.00</v>
      </c>
      <c r="D11315" s="4"/>
    </row>
    <row collapsed="" customFormat="false" customHeight="1" hidden="" ht="14" outlineLevel="0" r="11316">
      <c r="A11316" s="3" t="inlineStr">
        <is>
          <t>11275</t>
        </is>
      </c>
      <c r="B11316" s="4" t="s">
        <f>=HYPERLINK("http://anyluxury.ru/shop/odezhda/tolstovki/tolstovka-s-kapyushonom-uniseks-bnc-organic-fioletovaya-wu33b351/" , "WU33B351 Толстовка с капюшоном унисекс BNC Organic, фиолетовая, размер XL")</f>
      </c>
      <c r="C11316" s="4" t="n">
        <v>2242.00</v>
      </c>
      <c r="D11316" s="4"/>
    </row>
    <row collapsed="" customFormat="false" customHeight="1" hidden="" ht="14" outlineLevel="0" r="11317">
      <c r="A11317" s="3" t="inlineStr">
        <is>
          <t>11276</t>
        </is>
      </c>
      <c r="B11317" s="4" t="s">
        <f>=HYPERLINK("http://anyluxury.ru/shop/odezhda/tolstovki/tolstovka-s-kapyushonom-uniseks-bnc-organic-fioletovaya-wu33b351/" , "WU33B351 Толстовка с капюшоном унисекс BNC Organic, фиолетовая, размер XXL")</f>
      </c>
      <c r="C11317" s="4" t="n">
        <v>2242.00</v>
      </c>
      <c r="D11317" s="4"/>
    </row>
    <row collapsed="" customFormat="false" customHeight="1" hidden="" ht="14" outlineLevel="0" r="11318">
      <c r="A11318" s="3" t="inlineStr">
        <is>
          <t>11277</t>
        </is>
      </c>
      <c r="B11318" s="4" t="s">
        <f>=HYPERLINK("http://anyluxury.ru/shop/odezhda/tolstovki/tolstovka-s-kapyushonom-uniseks-bnc-organic-fioletovaya-wu33b351/" , "WU33B351 Толстовка с капюшоном унисекс BNC Organic, фиолетовая, размер 3XL")</f>
      </c>
      <c r="C11318" s="4" t="n">
        <v>2242.00</v>
      </c>
      <c r="D11318" s="4"/>
    </row>
    <row collapsed="" customFormat="false" customHeight="1" hidden="" ht="14" outlineLevel="0" r="11319">
      <c r="A11319" s="3" t="inlineStr">
        <is>
          <t>11278</t>
        </is>
      </c>
      <c r="B11319" s="4" t="s">
        <f>=HYPERLINK("http://anyluxury.ru/shop/odezhda/tolstovki/tolstovka-s-kapyushonom-uniseks-bnc-organic-temnozelenaya-wu33b882/" , "WU33B882 Толстовка с капюшоном унисекс BNC Organic, темно-зеленая, размер XS")</f>
      </c>
      <c r="C11319" s="4" t="n">
        <v>2242.00</v>
      </c>
      <c r="D11319" s="4"/>
    </row>
    <row collapsed="" customFormat="false" customHeight="1" hidden="" ht="14" outlineLevel="0" r="11320">
      <c r="A11320" s="3" t="inlineStr">
        <is>
          <t>11279</t>
        </is>
      </c>
      <c r="B11320" s="4" t="s">
        <f>=HYPERLINK("http://anyluxury.ru/shop/odezhda/tolstovki/tolstovka-s-kapyushonom-uniseks-bnc-organic-temnozelenaya-wu33b882/" , "WU33B882 Толстовка с капюшоном унисекс BNC Organic, темно-зеленая, размер S")</f>
      </c>
      <c r="C11320" s="4" t="n">
        <v>2242.00</v>
      </c>
      <c r="D11320" s="4"/>
    </row>
    <row collapsed="" customFormat="false" customHeight="1" hidden="" ht="14" outlineLevel="0" r="11321">
      <c r="A11321" s="3" t="inlineStr">
        <is>
          <t>11280</t>
        </is>
      </c>
      <c r="B11321" s="4" t="s">
        <f>=HYPERLINK("http://anyluxury.ru/shop/odezhda/tolstovki/tolstovka-s-kapyushonom-uniseks-bnc-organic-temnozelenaya-wu33b882/" , "WU33B882 Толстовка с капюшоном унисекс BNC Organic, темно-зеленая, размер M")</f>
      </c>
      <c r="C11321" s="4" t="n">
        <v>2242.00</v>
      </c>
      <c r="D11321" s="4"/>
    </row>
    <row collapsed="" customFormat="false" customHeight="1" hidden="" ht="14" outlineLevel="0" r="11322">
      <c r="A11322" s="3" t="inlineStr">
        <is>
          <t>11281</t>
        </is>
      </c>
      <c r="B11322" s="4" t="s">
        <f>=HYPERLINK("http://anyluxury.ru/shop/odezhda/tolstovki/tolstovka-s-kapyushonom-uniseks-bnc-organic-temnozelenaya-wu33b882/" , "WU33B882 Толстовка с капюшоном унисекс BNC Organic, темно-зеленая, размер L")</f>
      </c>
      <c r="C11322" s="4" t="n">
        <v>2242.00</v>
      </c>
      <c r="D11322" s="4"/>
    </row>
    <row collapsed="" customFormat="false" customHeight="1" hidden="" ht="14" outlineLevel="0" r="11323">
      <c r="A11323" s="3" t="inlineStr">
        <is>
          <t>11282</t>
        </is>
      </c>
      <c r="B11323" s="4" t="s">
        <f>=HYPERLINK("http://anyluxury.ru/shop/odezhda/tolstovki/tolstovka-s-kapyushonom-uniseks-bnc-organic-temnozelenaya-wu33b882/" , "WU33B882 Толстовка с капюшоном унисекс BNC Organic, темно-зеленая, размер XL")</f>
      </c>
      <c r="C11323" s="4" t="n">
        <v>2242.00</v>
      </c>
      <c r="D11323" s="4"/>
    </row>
    <row collapsed="" customFormat="false" customHeight="1" hidden="" ht="14" outlineLevel="0" r="11324">
      <c r="A11324" s="3" t="inlineStr">
        <is>
          <t>11283</t>
        </is>
      </c>
      <c r="B11324" s="4" t="s">
        <f>=HYPERLINK("http://anyluxury.ru/shop/odezhda/tolstovki/tolstovka-s-kapyushonom-uniseks-bnc-organic-temnozelenaya-wu33b882/" , "WU33B882 Толстовка с капюшоном унисекс BNC Organic, темно-зеленая, размер XXL")</f>
      </c>
      <c r="C11324" s="4" t="n">
        <v>2242.00</v>
      </c>
      <c r="D11324" s="4"/>
    </row>
    <row collapsed="" customFormat="false" customHeight="1" hidden="" ht="14" outlineLevel="0" r="11325">
      <c r="A11325" s="3" t="inlineStr">
        <is>
          <t>11284</t>
        </is>
      </c>
      <c r="B11325" s="4" t="s">
        <f>=HYPERLINK("http://anyluxury.ru/shop/odezhda/tolstovki/tolstovka-s-kapyushonom-uniseks-bnc-organic-temnozelenaya-wu33b882/" , "WU33B882 Толстовка с капюшоном унисекс BNC Organic, темно-зеленая, размер 3XL")</f>
      </c>
      <c r="C11325" s="4" t="n">
        <v>2242.00</v>
      </c>
      <c r="D11325" s="4"/>
    </row>
    <row collapsed="" customFormat="false" customHeight="1" hidden="" ht="14" outlineLevel="0" r="11326">
      <c r="A11326" s="3" t="inlineStr">
        <is>
          <t>11285</t>
        </is>
      </c>
      <c r="B11326" s="4" t="s">
        <f>=HYPERLINK("http://anyluxury.ru/shop/odezhda/tolstovki/tolstovka-s-kapyushonom-zhenskaya-bnc-organic-belaya-ww34b001/" , "WW34B001 Толстовка с капюшоном женская BNC Organic, белая, размер XS")</f>
      </c>
      <c r="C11326" s="4" t="n">
        <v>2152.00</v>
      </c>
      <c r="D11326" s="4"/>
    </row>
    <row collapsed="" customFormat="false" customHeight="1" hidden="" ht="14" outlineLevel="0" r="11327">
      <c r="A11327" s="3" t="inlineStr">
        <is>
          <t>11286</t>
        </is>
      </c>
      <c r="B11327" s="4" t="s">
        <f>=HYPERLINK("http://anyluxury.ru/shop/odezhda/tolstovki/tolstovka-s-kapyushonom-zhenskaya-bnc-organic-belaya-ww34b001/" , "WW34B001 Толстовка с капюшоном женская BNC Organic, белая, размер S")</f>
      </c>
      <c r="C11327" s="4" t="n">
        <v>2152.00</v>
      </c>
      <c r="D11327" s="4"/>
    </row>
    <row collapsed="" customFormat="false" customHeight="1" hidden="" ht="14" outlineLevel="0" r="11328">
      <c r="A11328" s="3" t="inlineStr">
        <is>
          <t>11287</t>
        </is>
      </c>
      <c r="B11328" s="4" t="s">
        <f>=HYPERLINK("http://anyluxury.ru/shop/odezhda/tolstovki/tolstovka-s-kapyushonom-zhenskaya-bnc-organic-belaya-ww34b001/" , "WW34B001 Толстовка с капюшоном женская BNC Organic, белая, размер M")</f>
      </c>
      <c r="C11328" s="4" t="n">
        <v>2152.00</v>
      </c>
      <c r="D11328" s="4"/>
    </row>
    <row collapsed="" customFormat="false" customHeight="1" hidden="" ht="14" outlineLevel="0" r="11329">
      <c r="A11329" s="3" t="inlineStr">
        <is>
          <t>11288</t>
        </is>
      </c>
      <c r="B11329" s="4" t="s">
        <f>=HYPERLINK("http://anyluxury.ru/shop/odezhda/tolstovki/tolstovka-s-kapyushonom-zhenskaya-bnc-organic-belaya-ww34b001/" , "WW34B001 Толстовка с капюшоном женская BNC Organic, белая, размер L")</f>
      </c>
      <c r="C11329" s="4" t="n">
        <v>2152.00</v>
      </c>
      <c r="D11329" s="4"/>
    </row>
    <row collapsed="" customFormat="false" customHeight="1" hidden="" ht="14" outlineLevel="0" r="11330">
      <c r="A11330" s="3" t="inlineStr">
        <is>
          <t>11289</t>
        </is>
      </c>
      <c r="B11330" s="4" t="s">
        <f>=HYPERLINK("http://anyluxury.ru/shop/odezhda/tolstovki/tolstovka-s-kapyushonom-zhenskaya-bnc-organic-belaya-ww34b001/" , "WW34B001 Толстовка с капюшоном женская BNC Organic, белая, размер XL")</f>
      </c>
      <c r="C11330" s="4" t="n">
        <v>2152.00</v>
      </c>
      <c r="D11330" s="4"/>
    </row>
    <row collapsed="" customFormat="false" customHeight="1" hidden="" ht="14" outlineLevel="0" r="11331">
      <c r="A11331" s="3" t="inlineStr">
        <is>
          <t>11290</t>
        </is>
      </c>
      <c r="B11331" s="4" t="s">
        <f>=HYPERLINK("http://anyluxury.ru/shop/odezhda/tolstovki/tolstovka-s-kapyushonom-zhenskaya-bnc-organic-belaya-ww34b001/" , "WW34B001 Толстовка с капюшоном женская BNC Organic, белая, размер XXL")</f>
      </c>
      <c r="C11331" s="4" t="n">
        <v>2152.00</v>
      </c>
      <c r="D11331" s="4"/>
    </row>
    <row collapsed="" customFormat="false" customHeight="1" hidden="" ht="14" outlineLevel="0" r="11332">
      <c r="A11332" s="3" t="inlineStr">
        <is>
          <t>11291</t>
        </is>
      </c>
      <c r="B11332" s="4" t="s">
        <f>=HYPERLINK("http://anyluxury.ru/shop/odezhda/tolstovki/tolstovka-s-kapyushonom-zhenskaya-bnc-organic-krasnaya-ww34b004/" , "WW34B004 Толстовка с капюшоном женская BNC Organic, красная, размер XS")</f>
      </c>
      <c r="C11332" s="4" t="n">
        <v>2152.00</v>
      </c>
      <c r="D11332" s="4"/>
    </row>
    <row collapsed="" customFormat="false" customHeight="1" hidden="" ht="14" outlineLevel="0" r="11333">
      <c r="A11333" s="3" t="inlineStr">
        <is>
          <t>11292</t>
        </is>
      </c>
      <c r="B11333" s="4" t="s">
        <f>=HYPERLINK("http://anyluxury.ru/shop/odezhda/tolstovki/tolstovka-s-kapyushonom-zhenskaya-bnc-organic-krasnaya-ww34b004/" , "WW34B004 Толстовка с капюшоном женская BNC Organic, красная, размер S")</f>
      </c>
      <c r="C11333" s="4" t="n">
        <v>2152.00</v>
      </c>
      <c r="D11333" s="4"/>
    </row>
    <row collapsed="" customFormat="false" customHeight="1" hidden="" ht="14" outlineLevel="0" r="11334">
      <c r="A11334" s="3" t="inlineStr">
        <is>
          <t>11293</t>
        </is>
      </c>
      <c r="B11334" s="4" t="s">
        <f>=HYPERLINK("http://anyluxury.ru/shop/odezhda/tolstovki/tolstovka-s-kapyushonom-zhenskaya-bnc-organic-krasnaya-ww34b004/" , "WW34B004 Толстовка с капюшоном женская BNC Organic, красная, размер M")</f>
      </c>
      <c r="C11334" s="4" t="n">
        <v>2152.00</v>
      </c>
      <c r="D11334" s="4"/>
    </row>
    <row collapsed="" customFormat="false" customHeight="1" hidden="" ht="14" outlineLevel="0" r="11335">
      <c r="A11335" s="3" t="inlineStr">
        <is>
          <t>11294</t>
        </is>
      </c>
      <c r="B11335" s="4" t="s">
        <f>=HYPERLINK("http://anyluxury.ru/shop/odezhda/tolstovki/tolstovka-s-kapyushonom-zhenskaya-bnc-organic-krasnaya-ww34b004/" , "WW34B004 Толстовка с капюшоном женская BNC Organic, красная, размер L")</f>
      </c>
      <c r="C11335" s="4" t="n">
        <v>2152.00</v>
      </c>
      <c r="D11335" s="4"/>
    </row>
    <row collapsed="" customFormat="false" customHeight="1" hidden="" ht="14" outlineLevel="0" r="11336">
      <c r="A11336" s="3" t="inlineStr">
        <is>
          <t>11295</t>
        </is>
      </c>
      <c r="B11336" s="4" t="s">
        <f>=HYPERLINK("http://anyluxury.ru/shop/odezhda/tolstovki/tolstovka-s-kapyushonom-zhenskaya-bnc-organic-krasnaya-ww34b004/" , "WW34B004 Толстовка с капюшоном женская BNC Organic, красная, размер XL")</f>
      </c>
      <c r="C11336" s="4" t="n">
        <v>2152.00</v>
      </c>
      <c r="D11336" s="4"/>
    </row>
    <row collapsed="" customFormat="false" customHeight="1" hidden="" ht="14" outlineLevel="0" r="11337">
      <c r="A11337" s="3" t="inlineStr">
        <is>
          <t>11296</t>
        </is>
      </c>
      <c r="B11337" s="4" t="s">
        <f>=HYPERLINK("http://anyluxury.ru/shop/odezhda/tolstovki/tolstovka-s-kapyushonom-zhenskaya-bnc-organic-krasnaya-ww34b004/" , "WW34B004 Толстовка с капюшоном женская BNC Organic, красная, размер XXL")</f>
      </c>
      <c r="C11337" s="4" t="n">
        <v>2152.00</v>
      </c>
      <c r="D11337" s="4"/>
    </row>
    <row collapsed="" customFormat="false" customHeight="1" hidden="" ht="14" outlineLevel="0" r="11338">
      <c r="A11338" s="3" t="inlineStr">
        <is>
          <t>11297</t>
        </is>
      </c>
      <c r="B11338" s="4" t="s">
        <f>=HYPERLINK("http://anyluxury.ru/shop/odezhda/tolstovki/tolstovka-s-kapyushonom-zhenskaya-bnc-organic-chernaya-ww34b005/" , "WW34B005 Толстовка с капюшоном женская BNC Organic, черная, размер XS")</f>
      </c>
      <c r="C11338" s="4" t="n">
        <v>2152.00</v>
      </c>
      <c r="D11338" s="4"/>
    </row>
    <row collapsed="" customFormat="false" customHeight="1" hidden="" ht="14" outlineLevel="0" r="11339">
      <c r="A11339" s="3" t="inlineStr">
        <is>
          <t>11298</t>
        </is>
      </c>
      <c r="B11339" s="4" t="s">
        <f>=HYPERLINK("http://anyluxury.ru/shop/odezhda/tolstovki/tolstovka-s-kapyushonom-zhenskaya-bnc-organic-chernaya-ww34b005/" , "WW34B005 Толстовка с капюшоном женская BNC Organic, черная, размер S")</f>
      </c>
      <c r="C11339" s="4" t="n">
        <v>2152.00</v>
      </c>
      <c r="D11339" s="4"/>
    </row>
    <row collapsed="" customFormat="false" customHeight="1" hidden="" ht="14" outlineLevel="0" r="11340">
      <c r="A11340" s="3" t="inlineStr">
        <is>
          <t>11299</t>
        </is>
      </c>
      <c r="B11340" s="4" t="s">
        <f>=HYPERLINK("http://anyluxury.ru/shop/odezhda/tolstovki/tolstovka-s-kapyushonom-zhenskaya-bnc-organic-chernaya-ww34b005/" , "WW34B005 Толстовка с капюшоном женская BNC Organic, черная, размер M")</f>
      </c>
      <c r="C11340" s="4" t="n">
        <v>2152.00</v>
      </c>
      <c r="D11340" s="4"/>
    </row>
    <row collapsed="" customFormat="false" customHeight="1" hidden="" ht="14" outlineLevel="0" r="11341">
      <c r="A11341" s="3" t="inlineStr">
        <is>
          <t>11300</t>
        </is>
      </c>
      <c r="B11341" s="4" t="s">
        <f>=HYPERLINK("http://anyluxury.ru/shop/odezhda/tolstovki/tolstovka-s-kapyushonom-zhenskaya-bnc-organic-chernaya-ww34b005/" , "WW34B005 Толстовка с капюшоном женская BNC Organic, черная, размер L")</f>
      </c>
      <c r="C11341" s="4" t="n">
        <v>2152.00</v>
      </c>
      <c r="D11341" s="4"/>
    </row>
    <row collapsed="" customFormat="false" customHeight="1" hidden="" ht="14" outlineLevel="0" r="11342">
      <c r="A11342" s="3" t="inlineStr">
        <is>
          <t>11301</t>
        </is>
      </c>
      <c r="B11342" s="4" t="s">
        <f>=HYPERLINK("http://anyluxury.ru/shop/odezhda/tolstovki/tolstovka-s-kapyushonom-zhenskaya-bnc-organic-chernaya-ww34b005/" , "WW34B005 Толстовка с капюшоном женская BNC Organic, черная, размер XL")</f>
      </c>
      <c r="C11342" s="4" t="n">
        <v>2152.00</v>
      </c>
      <c r="D11342" s="4"/>
    </row>
    <row collapsed="" customFormat="false" customHeight="1" hidden="" ht="14" outlineLevel="0" r="11343">
      <c r="A11343" s="3" t="inlineStr">
        <is>
          <t>11302</t>
        </is>
      </c>
      <c r="B11343" s="4" t="s">
        <f>=HYPERLINK("http://anyluxury.ru/shop/odezhda/tolstovki/tolstovka-s-kapyushonom-zhenskaya-bnc-organic-chernaya-ww34b005/" , "WW34B005 Толстовка с капюшоном женская BNC Organic, черная, размер XXL")</f>
      </c>
      <c r="C11343" s="4" t="n">
        <v>2152.00</v>
      </c>
      <c r="D11343" s="4"/>
    </row>
    <row collapsed="" customFormat="false" customHeight="1" hidden="" ht="14" outlineLevel="0" r="11344">
      <c r="A11344" s="3" t="inlineStr">
        <is>
          <t>11303</t>
        </is>
      </c>
      <c r="B11344" s="4" t="s">
        <f>=HYPERLINK("http://anyluxury.ru/shop/odezhda/tolstovki/tolstovka-s-kapyushonom-zhenskaya-bnc-organic-temnosinyaya-ww34b006/" , "WW34B006 Толстовка с капюшоном женская BNC Organic, темно-синяя, размер XS")</f>
      </c>
      <c r="C11344" s="4" t="n">
        <v>2152.00</v>
      </c>
      <c r="D11344" s="4"/>
    </row>
    <row collapsed="" customFormat="false" customHeight="1" hidden="" ht="14" outlineLevel="0" r="11345">
      <c r="A11345" s="3" t="inlineStr">
        <is>
          <t>11304</t>
        </is>
      </c>
      <c r="B11345" s="4" t="s">
        <f>=HYPERLINK("http://anyluxury.ru/shop/odezhda/tolstovki/tolstovka-s-kapyushonom-zhenskaya-bnc-organic-temnosinyaya-ww34b006/" , "WW34B006 Толстовка с капюшоном женская BNC Organic, темно-синяя, размер S")</f>
      </c>
      <c r="C11345" s="4" t="n">
        <v>2152.00</v>
      </c>
      <c r="D11345" s="4"/>
    </row>
    <row collapsed="" customFormat="false" customHeight="1" hidden="" ht="14" outlineLevel="0" r="11346">
      <c r="A11346" s="3" t="inlineStr">
        <is>
          <t>11305</t>
        </is>
      </c>
      <c r="B11346" s="4" t="s">
        <f>=HYPERLINK("http://anyluxury.ru/shop/odezhda/tolstovki/tolstovka-s-kapyushonom-zhenskaya-bnc-organic-temnosinyaya-ww34b006/" , "WW34B006 Толстовка с капюшоном женская BNC Organic, темно-синяя, размер M")</f>
      </c>
      <c r="C11346" s="4" t="n">
        <v>2152.00</v>
      </c>
      <c r="D11346" s="4"/>
    </row>
    <row collapsed="" customFormat="false" customHeight="1" hidden="" ht="14" outlineLevel="0" r="11347">
      <c r="A11347" s="3" t="inlineStr">
        <is>
          <t>11306</t>
        </is>
      </c>
      <c r="B11347" s="4" t="s">
        <f>=HYPERLINK("http://anyluxury.ru/shop/odezhda/tolstovki/tolstovka-s-kapyushonom-zhenskaya-bnc-organic-temnosinyaya-ww34b006/" , "WW34B006 Толстовка с капюшоном женская BNC Organic, темно-синяя, размер L")</f>
      </c>
      <c r="C11347" s="4" t="n">
        <v>2152.00</v>
      </c>
      <c r="D11347" s="4"/>
    </row>
    <row collapsed="" customFormat="false" customHeight="1" hidden="" ht="14" outlineLevel="0" r="11348">
      <c r="A11348" s="3" t="inlineStr">
        <is>
          <t>11307</t>
        </is>
      </c>
      <c r="B11348" s="4" t="s">
        <f>=HYPERLINK("http://anyluxury.ru/shop/odezhda/tolstovki/tolstovka-s-kapyushonom-zhenskaya-bnc-organic-temnosinyaya-ww34b006/" , "WW34B006 Толстовка с капюшоном женская BNC Organic, темно-синяя, размер XL")</f>
      </c>
      <c r="C11348" s="4" t="n">
        <v>2152.00</v>
      </c>
      <c r="D11348" s="4"/>
    </row>
    <row collapsed="" customFormat="false" customHeight="1" hidden="" ht="14" outlineLevel="0" r="11349">
      <c r="A11349" s="3" t="inlineStr">
        <is>
          <t>11308</t>
        </is>
      </c>
      <c r="B11349" s="4" t="s">
        <f>=HYPERLINK("http://anyluxury.ru/shop/odezhda/tolstovki/tolstovka-s-kapyushonom-zhenskaya-bnc-organic-temnosinyaya-ww34b006/" , "WW34B006 Толстовка с капюшоном женская BNC Organic, темно-синяя, размер XXL")</f>
      </c>
      <c r="C11349" s="4" t="n">
        <v>2152.00</v>
      </c>
      <c r="D11349" s="4"/>
    </row>
    <row collapsed="" customFormat="false" customHeight="1" hidden="" ht="14" outlineLevel="0" r="11350">
      <c r="A11350" s="3" t="inlineStr">
        <is>
          <t>11309</t>
        </is>
      </c>
      <c r="B11350" s="4" t="s">
        <f>=HYPERLINK("http://anyluxury.ru/shop/odezhda/tolstovki/tolstovka-s-kapyushonom-zhenskaya-bnc-organic-oranzhevaya-ww34b233/" , "WW34B233 Толстовка с капюшоном женская BNC Organic, оранжевая, размер XS")</f>
      </c>
      <c r="C11350" s="4" t="n">
        <v>2152.00</v>
      </c>
      <c r="D11350" s="4"/>
    </row>
    <row collapsed="" customFormat="false" customHeight="1" hidden="" ht="14" outlineLevel="0" r="11351">
      <c r="A11351" s="3" t="inlineStr">
        <is>
          <t>11310</t>
        </is>
      </c>
      <c r="B11351" s="4" t="s">
        <f>=HYPERLINK("http://anyluxury.ru/shop/odezhda/tolstovki/tolstovka-s-kapyushonom-zhenskaya-bnc-organic-oranzhevaya-ww34b233/" , "WW34B233 Толстовка с капюшоном женская BNC Organic, оранжевая, размер S")</f>
      </c>
      <c r="C11351" s="4" t="n">
        <v>2152.00</v>
      </c>
      <c r="D11351" s="4"/>
    </row>
    <row collapsed="" customFormat="false" customHeight="1" hidden="" ht="14" outlineLevel="0" r="11352">
      <c r="A11352" s="3" t="inlineStr">
        <is>
          <t>11311</t>
        </is>
      </c>
      <c r="B11352" s="4" t="s">
        <f>=HYPERLINK("http://anyluxury.ru/shop/odezhda/tolstovki/tolstovka-s-kapyushonom-zhenskaya-bnc-organic-oranzhevaya-ww34b233/" , "WW34B233 Толстовка с капюшоном женская BNC Organic, оранжевая, размер M")</f>
      </c>
      <c r="C11352" s="4" t="n">
        <v>2152.00</v>
      </c>
      <c r="D11352" s="4"/>
    </row>
    <row collapsed="" customFormat="false" customHeight="1" hidden="" ht="14" outlineLevel="0" r="11353">
      <c r="A11353" s="3" t="inlineStr">
        <is>
          <t>11312</t>
        </is>
      </c>
      <c r="B11353" s="4" t="s">
        <f>=HYPERLINK("http://anyluxury.ru/shop/odezhda/tolstovki/tolstovka-s-kapyushonom-zhenskaya-bnc-organic-oranzhevaya-ww34b233/" , "WW34B233 Толстовка с капюшоном женская BNC Organic, оранжевая, размер L")</f>
      </c>
      <c r="C11353" s="4" t="n">
        <v>2152.00</v>
      </c>
      <c r="D11353" s="4"/>
    </row>
    <row collapsed="" customFormat="false" customHeight="1" hidden="" ht="14" outlineLevel="0" r="11354">
      <c r="A11354" s="3" t="inlineStr">
        <is>
          <t>11313</t>
        </is>
      </c>
      <c r="B11354" s="4" t="s">
        <f>=HYPERLINK("http://anyluxury.ru/shop/odezhda/tolstovki/tolstovka-s-kapyushonom-zhenskaya-bnc-organic-oranzhevaya-ww34b233/" , "WW34B233 Толстовка с капюшоном женская BNC Organic, оранжевая, размер XL")</f>
      </c>
      <c r="C11354" s="4" t="n">
        <v>2152.00</v>
      </c>
      <c r="D11354" s="4"/>
    </row>
    <row collapsed="" customFormat="false" customHeight="1" hidden="" ht="14" outlineLevel="0" r="11355">
      <c r="A11355" s="3" t="inlineStr">
        <is>
          <t>11314</t>
        </is>
      </c>
      <c r="B11355" s="4" t="s">
        <f>=HYPERLINK("http://anyluxury.ru/shop/odezhda/tolstovki/tolstovka-s-kapyushonom-zhenskaya-bnc-organic-oranzhevaya-ww34b233/" , "WW34B233 Толстовка с капюшоном женская BNC Organic, оранжевая, размер XXL")</f>
      </c>
      <c r="C11355" s="4" t="n">
        <v>2152.00</v>
      </c>
      <c r="D11355" s="4"/>
    </row>
    <row collapsed="" customFormat="false" customHeight="1" hidden="" ht="14" outlineLevel="0" r="11356">
      <c r="A11356" s="3" t="inlineStr">
        <is>
          <t>11315</t>
        </is>
      </c>
      <c r="B11356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XS")</f>
      </c>
      <c r="C11356" s="4" t="n">
        <v>2152.00</v>
      </c>
      <c r="D11356" s="4"/>
    </row>
    <row collapsed="" customFormat="false" customHeight="1" hidden="" ht="14" outlineLevel="0" r="11357">
      <c r="A11357" s="3" t="inlineStr">
        <is>
          <t>11316</t>
        </is>
      </c>
      <c r="B11357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S")</f>
      </c>
      <c r="C11357" s="4" t="n">
        <v>2152.00</v>
      </c>
      <c r="D11357" s="4"/>
    </row>
    <row collapsed="" customFormat="false" customHeight="1" hidden="" ht="14" outlineLevel="0" r="11358">
      <c r="A11358" s="3" t="inlineStr">
        <is>
          <t>11317</t>
        </is>
      </c>
      <c r="B11358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M")</f>
      </c>
      <c r="C11358" s="4" t="n">
        <v>2152.00</v>
      </c>
      <c r="D11358" s="4"/>
    </row>
    <row collapsed="" customFormat="false" customHeight="1" hidden="" ht="14" outlineLevel="0" r="11359">
      <c r="A11359" s="3" t="inlineStr">
        <is>
          <t>11318</t>
        </is>
      </c>
      <c r="B11359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L")</f>
      </c>
      <c r="C11359" s="4" t="n">
        <v>2152.00</v>
      </c>
      <c r="D11359" s="4"/>
    </row>
    <row collapsed="" customFormat="false" customHeight="1" hidden="" ht="14" outlineLevel="0" r="11360">
      <c r="A11360" s="3" t="inlineStr">
        <is>
          <t>11319</t>
        </is>
      </c>
      <c r="B11360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XL")</f>
      </c>
      <c r="C11360" s="4" t="n">
        <v>2152.00</v>
      </c>
      <c r="D11360" s="4"/>
    </row>
    <row collapsed="" customFormat="false" customHeight="1" hidden="" ht="14" outlineLevel="0" r="11361">
      <c r="A11361" s="3" t="inlineStr">
        <is>
          <t>11320</t>
        </is>
      </c>
      <c r="B11361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XXL")</f>
      </c>
      <c r="C11361" s="4" t="n">
        <v>2152.00</v>
      </c>
      <c r="D11361" s="4"/>
    </row>
    <row collapsed="" customFormat="false" customHeight="1" hidden="" ht="14" outlineLevel="0" r="11362">
      <c r="A11362" s="3" t="inlineStr">
        <is>
          <t>11321</t>
        </is>
      </c>
      <c r="B11362" s="4" t="s">
        <f>=HYPERLINK("http://anyluxury.ru/shop/odezhda/tolstovki/tolstovka-s-kapyushonom-zhenskaya-bnc-organic-bordovaya-ww34b370/" , "WW34B370 Толстовка с капюшоном женская BNC Organic, бордовая, размер XS")</f>
      </c>
      <c r="C11362" s="4" t="n">
        <v>2152.00</v>
      </c>
      <c r="D11362" s="4"/>
    </row>
    <row collapsed="" customFormat="false" customHeight="1" hidden="" ht="14" outlineLevel="0" r="11363">
      <c r="A11363" s="3" t="inlineStr">
        <is>
          <t>11322</t>
        </is>
      </c>
      <c r="B11363" s="4" t="s">
        <f>=HYPERLINK("http://anyluxury.ru/shop/odezhda/tolstovki/tolstovka-s-kapyushonom-zhenskaya-bnc-organic-bordovaya-ww34b370/" , "WW34B370 Толстовка с капюшоном женская BNC Organic, бордовая, размер S")</f>
      </c>
      <c r="C11363" s="4" t="n">
        <v>2152.00</v>
      </c>
      <c r="D11363" s="4"/>
    </row>
    <row collapsed="" customFormat="false" customHeight="1" hidden="" ht="14" outlineLevel="0" r="11364">
      <c r="A11364" s="3" t="inlineStr">
        <is>
          <t>11323</t>
        </is>
      </c>
      <c r="B11364" s="4" t="s">
        <f>=HYPERLINK("http://anyluxury.ru/shop/odezhda/tolstovki/tolstovka-s-kapyushonom-zhenskaya-bnc-organic-bordovaya-ww34b370/" , "WW34B370 Толстовка с капюшоном женская BNC Organic, бордовая, размер M")</f>
      </c>
      <c r="C11364" s="4" t="n">
        <v>2152.00</v>
      </c>
      <c r="D11364" s="4"/>
    </row>
    <row collapsed="" customFormat="false" customHeight="1" hidden="" ht="14" outlineLevel="0" r="11365">
      <c r="A11365" s="3" t="inlineStr">
        <is>
          <t>11324</t>
        </is>
      </c>
      <c r="B11365" s="4" t="s">
        <f>=HYPERLINK("http://anyluxury.ru/shop/odezhda/tolstovki/tolstovka-s-kapyushonom-zhenskaya-bnc-organic-bordovaya-ww34b370/" , "WW34B370 Толстовка с капюшоном женская BNC Organic, бордовая, размер L")</f>
      </c>
      <c r="C11365" s="4" t="n">
        <v>2152.00</v>
      </c>
      <c r="D11365" s="4"/>
    </row>
    <row collapsed="" customFormat="false" customHeight="1" hidden="" ht="14" outlineLevel="0" r="11366">
      <c r="A11366" s="3" t="inlineStr">
        <is>
          <t>11325</t>
        </is>
      </c>
      <c r="B11366" s="4" t="s">
        <f>=HYPERLINK("http://anyluxury.ru/shop/odezhda/tolstovki/tolstovka-s-kapyushonom-zhenskaya-bnc-organic-bordovaya-ww34b370/" , "WW34B370 Толстовка с капюшоном женская BNC Organic, бордовая, размер XL")</f>
      </c>
      <c r="C11366" s="4" t="n">
        <v>2152.00</v>
      </c>
      <c r="D11366" s="4"/>
    </row>
    <row collapsed="" customFormat="false" customHeight="1" hidden="" ht="14" outlineLevel="0" r="11367">
      <c r="A11367" s="3" t="inlineStr">
        <is>
          <t>11326</t>
        </is>
      </c>
      <c r="B11367" s="4" t="s">
        <f>=HYPERLINK("http://anyluxury.ru/shop/odezhda/tolstovki/tolstovka-s-kapyushonom-zhenskaya-bnc-organic-bordovaya-ww34b370/" , "WW34B370 Толстовка с капюшоном женская BNC Organic, бордовая, размер XXL")</f>
      </c>
      <c r="C11367" s="4" t="n">
        <v>2152.00</v>
      </c>
      <c r="D11367" s="4"/>
    </row>
    <row collapsed="" customFormat="false" customHeight="1" hidden="" ht="14" outlineLevel="0" r="11368">
      <c r="A11368" s="3" t="inlineStr">
        <is>
          <t>11327</t>
        </is>
      </c>
      <c r="B11368" s="4" t="s">
        <f>=HYPERLINK("http://anyluxury.ru/shop/odezhda/tolstovki/tolstovka-s-kapyushonom-zhenskaya-bnc-organic-serozelenaya-ww34b502/" , "WW34B502 Толстовка с капюшоном женская BNC Organic, серо-зеленая, размер XS")</f>
      </c>
      <c r="C11368" s="4" t="n">
        <v>2152.00</v>
      </c>
      <c r="D11368" s="4"/>
    </row>
    <row collapsed="" customFormat="false" customHeight="1" hidden="" ht="14" outlineLevel="0" r="11369">
      <c r="A11369" s="3" t="inlineStr">
        <is>
          <t>11328</t>
        </is>
      </c>
      <c r="B11369" s="4" t="s">
        <f>=HYPERLINK("http://anyluxury.ru/shop/odezhda/tolstovki/tolstovka-s-kapyushonom-zhenskaya-bnc-organic-serozelenaya-ww34b502/" , "WW34B502 Толстовка с капюшоном женская BNC Organic, серо-зеленая, размер S")</f>
      </c>
      <c r="C11369" s="4" t="n">
        <v>2152.00</v>
      </c>
      <c r="D11369" s="4"/>
    </row>
    <row collapsed="" customFormat="false" customHeight="1" hidden="" ht="14" outlineLevel="0" r="11370">
      <c r="A11370" s="3" t="inlineStr">
        <is>
          <t>11329</t>
        </is>
      </c>
      <c r="B11370" s="4" t="s">
        <f>=HYPERLINK("http://anyluxury.ru/shop/odezhda/tolstovki/tolstovka-s-kapyushonom-zhenskaya-bnc-organic-serozelenaya-ww34b502/" , "WW34B502 Толстовка с капюшоном женская BNC Organic, серо-зеленая, размер M")</f>
      </c>
      <c r="C11370" s="4" t="n">
        <v>2152.00</v>
      </c>
      <c r="D11370" s="4"/>
    </row>
    <row collapsed="" customFormat="false" customHeight="1" hidden="" ht="14" outlineLevel="0" r="11371">
      <c r="A11371" s="3" t="inlineStr">
        <is>
          <t>11330</t>
        </is>
      </c>
      <c r="B11371" s="4" t="s">
        <f>=HYPERLINK("http://anyluxury.ru/shop/odezhda/tolstovki/tolstovka-s-kapyushonom-zhenskaya-bnc-organic-serozelenaya-ww34b502/" , "WW34B502 Толстовка с капюшоном женская BNC Organic, серо-зеленая, размер L")</f>
      </c>
      <c r="C11371" s="4" t="n">
        <v>2152.00</v>
      </c>
      <c r="D11371" s="4"/>
    </row>
    <row collapsed="" customFormat="false" customHeight="1" hidden="" ht="14" outlineLevel="0" r="11372">
      <c r="A11372" s="3" t="inlineStr">
        <is>
          <t>11331</t>
        </is>
      </c>
      <c r="B11372" s="4" t="s">
        <f>=HYPERLINK("http://anyluxury.ru/shop/odezhda/tolstovki/tolstovka-s-kapyushonom-zhenskaya-bnc-organic-serozelenaya-ww34b502/" , "WW34B502 Толстовка с капюшоном женская BNC Organic, серо-зеленая, размер XL")</f>
      </c>
      <c r="C11372" s="4" t="n">
        <v>2152.00</v>
      </c>
      <c r="D11372" s="4"/>
    </row>
    <row collapsed="" customFormat="false" customHeight="1" hidden="" ht="14" outlineLevel="0" r="11373">
      <c r="A11373" s="3" t="inlineStr">
        <is>
          <t>11332</t>
        </is>
      </c>
      <c r="B11373" s="4" t="s">
        <f>=HYPERLINK("http://anyluxury.ru/shop/odezhda/tolstovki/tolstovka-s-kapyushonom-zhenskaya-bnc-organic-serozelenaya-ww34b502/" , "WW34B502 Толстовка с капюшоном женская BNC Organic, серо-зеленая, размер XXL")</f>
      </c>
      <c r="C11373" s="4" t="n">
        <v>2152.00</v>
      </c>
      <c r="D11373" s="4"/>
    </row>
    <row collapsed="" customFormat="false" customHeight="1" hidden="" ht="14" outlineLevel="0" r="11374">
      <c r="A11374" s="3" t="inlineStr">
        <is>
          <t>11333</t>
        </is>
      </c>
      <c r="B11374" s="4" t="s">
        <f>=HYPERLINK("http://anyluxury.ru/shop/odezhda/tolstovki/tolstovka-s-kapyushonom-zhenskaya-bnc-organic-zelenaya-ww34b515/" , "WW34B515 Толстовка с капюшоном женская BNC Organic, зеленая, размер XS")</f>
      </c>
      <c r="C11374" s="4" t="n">
        <v>2152.00</v>
      </c>
      <c r="D11374" s="4"/>
    </row>
    <row collapsed="" customFormat="false" customHeight="1" hidden="" ht="14" outlineLevel="0" r="11375">
      <c r="A11375" s="3" t="inlineStr">
        <is>
          <t>11334</t>
        </is>
      </c>
      <c r="B11375" s="4" t="s">
        <f>=HYPERLINK("http://anyluxury.ru/shop/odezhda/tolstovki/tolstovka-s-kapyushonom-zhenskaya-bnc-organic-zelenaya-ww34b515/" , "WW34B515 Толстовка с капюшоном женская BNC Organic, зеленая, размер S")</f>
      </c>
      <c r="C11375" s="4" t="n">
        <v>2152.00</v>
      </c>
      <c r="D11375" s="4"/>
    </row>
    <row collapsed="" customFormat="false" customHeight="1" hidden="" ht="14" outlineLevel="0" r="11376">
      <c r="A11376" s="3" t="inlineStr">
        <is>
          <t>11335</t>
        </is>
      </c>
      <c r="B11376" s="4" t="s">
        <f>=HYPERLINK("http://anyluxury.ru/shop/odezhda/tolstovki/tolstovka-s-kapyushonom-zhenskaya-bnc-organic-zelenaya-ww34b515/" , "WW34B515 Толстовка с капюшоном женская BNC Organic, зеленая, размер M")</f>
      </c>
      <c r="C11376" s="4" t="n">
        <v>2152.00</v>
      </c>
      <c r="D11376" s="4"/>
    </row>
    <row collapsed="" customFormat="false" customHeight="1" hidden="" ht="14" outlineLevel="0" r="11377">
      <c r="A11377" s="3" t="inlineStr">
        <is>
          <t>11336</t>
        </is>
      </c>
      <c r="B11377" s="4" t="s">
        <f>=HYPERLINK("http://anyluxury.ru/shop/odezhda/tolstovki/tolstovka-s-kapyushonom-zhenskaya-bnc-organic-zelenaya-ww34b515/" , "WW34B515 Толстовка с капюшоном женская BNC Organic, зеленая, размер L")</f>
      </c>
      <c r="C11377" s="4" t="n">
        <v>2152.00</v>
      </c>
      <c r="D11377" s="4"/>
    </row>
    <row collapsed="" customFormat="false" customHeight="1" hidden="" ht="14" outlineLevel="0" r="11378">
      <c r="A11378" s="3" t="inlineStr">
        <is>
          <t>11337</t>
        </is>
      </c>
      <c r="B11378" s="4" t="s">
        <f>=HYPERLINK("http://anyluxury.ru/shop/odezhda/tolstovki/tolstovka-s-kapyushonom-zhenskaya-bnc-organic-zelenaya-ww34b515/" , "WW34B515 Толстовка с капюшоном женская BNC Organic, зеленая, размер XL")</f>
      </c>
      <c r="C11378" s="4" t="n">
        <v>2152.00</v>
      </c>
      <c r="D11378" s="4"/>
    </row>
    <row collapsed="" customFormat="false" customHeight="1" hidden="" ht="14" outlineLevel="0" r="11379">
      <c r="A11379" s="3" t="inlineStr">
        <is>
          <t>11338</t>
        </is>
      </c>
      <c r="B11379" s="4" t="s">
        <f>=HYPERLINK("http://anyluxury.ru/shop/odezhda/tolstovki/tolstovka-s-kapyushonom-zhenskaya-bnc-organic-zelenaya-ww34b515/" , "WW34B515 Толстовка с капюшоном женская BNC Organic, зеленая, размер XXL")</f>
      </c>
      <c r="C11379" s="4" t="n">
        <v>2152.00</v>
      </c>
      <c r="D11379" s="4"/>
    </row>
    <row collapsed="" customFormat="false" customHeight="1" hidden="" ht="14" outlineLevel="0" r="11380">
      <c r="A11380" s="3" t="inlineStr">
        <is>
          <t>11339</t>
        </is>
      </c>
      <c r="B11380" s="4" t="s">
        <f>=HYPERLINK("http://anyluxury.ru/shop/odezhda/tolstovki/tolstovka-s-kapyushonom-zhenskaya-bnc-organic-temnoseraya-ww34b669/" , "WW34B669 Толстовка с капюшоном женская BNC Organic, темно-серая, размер XS")</f>
      </c>
      <c r="C11380" s="4" t="n">
        <v>2152.00</v>
      </c>
      <c r="D11380" s="4"/>
    </row>
    <row collapsed="" customFormat="false" customHeight="1" hidden="" ht="14" outlineLevel="0" r="11381">
      <c r="A11381" s="3" t="inlineStr">
        <is>
          <t>11340</t>
        </is>
      </c>
      <c r="B11381" s="4" t="s">
        <f>=HYPERLINK("http://anyluxury.ru/shop/odezhda/tolstovki/tolstovka-s-kapyushonom-zhenskaya-bnc-organic-temnoseraya-ww34b669/" , "WW34B669 Толстовка с капюшоном женская BNC Organic, темно-серая, размер S")</f>
      </c>
      <c r="C11381" s="4" t="n">
        <v>2152.00</v>
      </c>
      <c r="D11381" s="4"/>
    </row>
    <row collapsed="" customFormat="false" customHeight="1" hidden="" ht="14" outlineLevel="0" r="11382">
      <c r="A11382" s="3" t="inlineStr">
        <is>
          <t>11341</t>
        </is>
      </c>
      <c r="B11382" s="4" t="s">
        <f>=HYPERLINK("http://anyluxury.ru/shop/odezhda/tolstovki/tolstovka-s-kapyushonom-zhenskaya-bnc-organic-temnoseraya-ww34b669/" , "WW34B669 Толстовка с капюшоном женская BNC Organic, темно-серая, размер M")</f>
      </c>
      <c r="C11382" s="4" t="n">
        <v>2152.00</v>
      </c>
      <c r="D11382" s="4"/>
    </row>
    <row collapsed="" customFormat="false" customHeight="1" hidden="" ht="14" outlineLevel="0" r="11383">
      <c r="A11383" s="3" t="inlineStr">
        <is>
          <t>11342</t>
        </is>
      </c>
      <c r="B11383" s="4" t="s">
        <f>=HYPERLINK("http://anyluxury.ru/shop/odezhda/tolstovki/tolstovka-s-kapyushonom-zhenskaya-bnc-organic-temnoseraya-ww34b669/" , "WW34B669 Толстовка с капюшоном женская BNC Organic, темно-серая, размер L")</f>
      </c>
      <c r="C11383" s="4" t="n">
        <v>2152.00</v>
      </c>
      <c r="D11383" s="4"/>
    </row>
    <row collapsed="" customFormat="false" customHeight="1" hidden="" ht="14" outlineLevel="0" r="11384">
      <c r="A11384" s="3" t="inlineStr">
        <is>
          <t>11343</t>
        </is>
      </c>
      <c r="B11384" s="4" t="s">
        <f>=HYPERLINK("http://anyluxury.ru/shop/odezhda/tolstovki/tolstovka-s-kapyushonom-zhenskaya-bnc-organic-temnoseraya-ww34b669/" , "WW34B669 Толстовка с капюшоном женская BNC Organic, темно-серая, размер XL")</f>
      </c>
      <c r="C11384" s="4" t="n">
        <v>2152.00</v>
      </c>
      <c r="D11384" s="4"/>
    </row>
    <row collapsed="" customFormat="false" customHeight="1" hidden="" ht="14" outlineLevel="0" r="11385">
      <c r="A11385" s="3" t="inlineStr">
        <is>
          <t>11344</t>
        </is>
      </c>
      <c r="B11385" s="4" t="s">
        <f>=HYPERLINK("http://anyluxury.ru/shop/odezhda/tolstovki/tolstovka-s-kapyushonom-zhenskaya-bnc-organic-temnoseraya-ww34b669/" , "WW34B669 Толстовка с капюшоном женская BNC Organic, темно-серая, размер XXL")</f>
      </c>
      <c r="C11385" s="4" t="n">
        <v>2152.00</v>
      </c>
      <c r="D11385" s="4"/>
    </row>
    <row collapsed="" customFormat="false" customHeight="1" hidden="" ht="14" outlineLevel="0" r="11386">
      <c r="A11386" s="3" t="inlineStr">
        <is>
          <t>11345</t>
        </is>
      </c>
      <c r="B11386" s="4" t="s">
        <f>=HYPERLINK("http://anyluxury.ru/shop/odezhda/tolstovki/tolstovka-s-kapyushonom-zhenskaya-bnc-organic-temnozelenaya-ww34b882/" , "WW34B882 Толстовка с капюшоном женская BNC Organic, темно-зеленая, размер XS")</f>
      </c>
      <c r="C11386" s="4" t="n">
        <v>2152.00</v>
      </c>
      <c r="D11386" s="4"/>
    </row>
    <row collapsed="" customFormat="false" customHeight="1" hidden="" ht="14" outlineLevel="0" r="11387">
      <c r="A11387" s="3" t="inlineStr">
        <is>
          <t>11346</t>
        </is>
      </c>
      <c r="B11387" s="4" t="s">
        <f>=HYPERLINK("http://anyluxury.ru/shop/odezhda/tolstovki/tolstovka-s-kapyushonom-zhenskaya-bnc-organic-temnozelenaya-ww34b882/" , "WW34B882 Толстовка с капюшоном женская BNC Organic, темно-зеленая, размер S")</f>
      </c>
      <c r="C11387" s="4" t="n">
        <v>2152.00</v>
      </c>
      <c r="D11387" s="4"/>
    </row>
    <row collapsed="" customFormat="false" customHeight="1" hidden="" ht="14" outlineLevel="0" r="11388">
      <c r="A11388" s="3" t="inlineStr">
        <is>
          <t>11347</t>
        </is>
      </c>
      <c r="B11388" s="4" t="s">
        <f>=HYPERLINK("http://anyluxury.ru/shop/odezhda/tolstovki/tolstovka-s-kapyushonom-zhenskaya-bnc-organic-temnozelenaya-ww34b882/" , "WW34B882 Толстовка с капюшоном женская BNC Organic, темно-зеленая, размер M")</f>
      </c>
      <c r="C11388" s="4" t="n">
        <v>2152.00</v>
      </c>
      <c r="D11388" s="4"/>
    </row>
    <row collapsed="" customFormat="false" customHeight="1" hidden="" ht="14" outlineLevel="0" r="11389">
      <c r="A11389" s="3" t="inlineStr">
        <is>
          <t>11348</t>
        </is>
      </c>
      <c r="B11389" s="4" t="s">
        <f>=HYPERLINK("http://anyluxury.ru/shop/odezhda/tolstovki/tolstovka-s-kapyushonom-zhenskaya-bnc-organic-temnozelenaya-ww34b882/" , "WW34B882 Толстовка с капюшоном женская BNC Organic, темно-зеленая, размер L")</f>
      </c>
      <c r="C11389" s="4" t="n">
        <v>2152.00</v>
      </c>
      <c r="D11389" s="4"/>
    </row>
    <row collapsed="" customFormat="false" customHeight="1" hidden="" ht="14" outlineLevel="0" r="11390">
      <c r="A11390" s="3" t="inlineStr">
        <is>
          <t>11349</t>
        </is>
      </c>
      <c r="B11390" s="4" t="s">
        <f>=HYPERLINK("http://anyluxury.ru/shop/odezhda/tolstovki/tolstovka-s-kapyushonom-zhenskaya-bnc-organic-temnozelenaya-ww34b882/" , "WW34B882 Толстовка с капюшоном женская BNC Organic, темно-зеленая, размер XL")</f>
      </c>
      <c r="C11390" s="4" t="n">
        <v>2152.00</v>
      </c>
      <c r="D11390" s="4"/>
    </row>
    <row collapsed="" customFormat="false" customHeight="1" hidden="" ht="14" outlineLevel="0" r="11391">
      <c r="A11391" s="3" t="inlineStr">
        <is>
          <t>11350</t>
        </is>
      </c>
      <c r="B11391" s="4" t="s">
        <f>=HYPERLINK("http://anyluxury.ru/shop/odezhda/tolstovki/tolstovka-s-kapyushonom-zhenskaya-bnc-organic-temnozelenaya-ww34b882/" , "WW34B882 Толстовка с капюшоном женская BNC Organic, темно-зеленая, размер XXL")</f>
      </c>
      <c r="C11391" s="4" t="n">
        <v>2152.00</v>
      </c>
      <c r="D11391" s="4"/>
    </row>
    <row collapsed="" customFormat="false" customHeight="1" hidden="" ht="14" outlineLevel="0" r="11392">
      <c r="A11392" s="3" t="inlineStr">
        <is>
          <t>11351</t>
        </is>
      </c>
      <c r="B11392" s="4" t="s">
        <f>=HYPERLINK("http://anyluxury.ru/shop/odezhda/tolstovki/tolstovka-na-molnii-s-kapyushonom-uniseks-bnc-organic-belaya-wu35b001/" , "WU35B001 Толстовка на молнии с капюшоном унисекс BNC Organic, белая, размер XS")</f>
      </c>
      <c r="C11392" s="4" t="n">
        <v>4112.00</v>
      </c>
      <c r="D11392" s="4"/>
    </row>
    <row collapsed="" customFormat="false" customHeight="1" hidden="" ht="14" outlineLevel="0" r="11393">
      <c r="A11393" s="3" t="inlineStr">
        <is>
          <t>11352</t>
        </is>
      </c>
      <c r="B11393" s="4" t="s">
        <f>=HYPERLINK("http://anyluxury.ru/shop/odezhda/tolstovki/tolstovka-na-molnii-s-kapyushonom-uniseks-bnc-organic-belaya-wu35b001/" , "WU35B001 Толстовка на молнии с капюшоном унисекс BNC Organic, белая, размер S")</f>
      </c>
      <c r="C11393" s="4" t="n">
        <v>4112.00</v>
      </c>
      <c r="D11393" s="4"/>
    </row>
    <row collapsed="" customFormat="false" customHeight="1" hidden="" ht="14" outlineLevel="0" r="11394">
      <c r="A11394" s="3" t="inlineStr">
        <is>
          <t>11353</t>
        </is>
      </c>
      <c r="B11394" s="4" t="s">
        <f>=HYPERLINK("http://anyluxury.ru/shop/odezhda/tolstovki/tolstovka-na-molnii-s-kapyushonom-uniseks-bnc-organic-belaya-wu35b001/" , "WU35B001 Толстовка на молнии с капюшоном унисекс BNC Organic, белая, размер M")</f>
      </c>
      <c r="C11394" s="4" t="n">
        <v>4112.00</v>
      </c>
      <c r="D11394" s="4"/>
    </row>
    <row collapsed="" customFormat="false" customHeight="1" hidden="" ht="14" outlineLevel="0" r="11395">
      <c r="A11395" s="3" t="inlineStr">
        <is>
          <t>11354</t>
        </is>
      </c>
      <c r="B11395" s="4" t="s">
        <f>=HYPERLINK("http://anyluxury.ru/shop/odezhda/tolstovki/tolstovka-na-molnii-s-kapyushonom-uniseks-bnc-organic-belaya-wu35b001/" , "WU35B001 Толстовка на молнии с капюшоном унисекс BNC Organic, белая, размер L")</f>
      </c>
      <c r="C11395" s="4" t="n">
        <v>4112.00</v>
      </c>
      <c r="D11395" s="4"/>
    </row>
    <row collapsed="" customFormat="false" customHeight="1" hidden="" ht="14" outlineLevel="0" r="11396">
      <c r="A11396" s="3" t="inlineStr">
        <is>
          <t>11355</t>
        </is>
      </c>
      <c r="B11396" s="4" t="s">
        <f>=HYPERLINK("http://anyluxury.ru/shop/odezhda/tolstovki/tolstovka-na-molnii-s-kapyushonom-uniseks-bnc-organic-belaya-wu35b001/" , "WU35B001 Толстовка на молнии с капюшоном унисекс BNC Organic, белая, размер XL")</f>
      </c>
      <c r="C11396" s="4" t="n">
        <v>4112.00</v>
      </c>
      <c r="D11396" s="4"/>
    </row>
    <row collapsed="" customFormat="false" customHeight="1" hidden="" ht="14" outlineLevel="0" r="11397">
      <c r="A11397" s="3" t="inlineStr">
        <is>
          <t>11356</t>
        </is>
      </c>
      <c r="B11397" s="4" t="s">
        <f>=HYPERLINK("http://anyluxury.ru/shop/odezhda/tolstovki/tolstovka-na-molnii-s-kapyushonom-uniseks-bnc-organic-belaya-wu35b001/" , "WU35B001 Толстовка на молнии с капюшоном унисекс BNC Organic, белая, размер XXL")</f>
      </c>
      <c r="C11397" s="4" t="n">
        <v>4112.00</v>
      </c>
      <c r="D11397" s="4"/>
    </row>
    <row collapsed="" customFormat="false" customHeight="1" hidden="" ht="14" outlineLevel="0" r="11398">
      <c r="A11398" s="3" t="inlineStr">
        <is>
          <t>11357</t>
        </is>
      </c>
      <c r="B11398" s="4" t="s">
        <f>=HYPERLINK("http://anyluxury.ru/shop/odezhda/tolstovki/tolstovka-na-molnii-s-kapyushonom-uniseks-bnc-organic-belaya-wu35b001/" , "WU35B001 Толстовка на молнии с капюшоном унисекс BNC Organic, белая, размер 3XL")</f>
      </c>
      <c r="C11398" s="4" t="n">
        <v>4112.00</v>
      </c>
      <c r="D11398" s="4"/>
    </row>
    <row collapsed="" customFormat="false" customHeight="1" hidden="" ht="14" outlineLevel="0" r="11399">
      <c r="A11399" s="3" t="inlineStr">
        <is>
          <t>11358</t>
        </is>
      </c>
      <c r="B11399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XS")</f>
      </c>
      <c r="C11399" s="4" t="n">
        <v>4112.00</v>
      </c>
      <c r="D11399" s="4"/>
    </row>
    <row collapsed="" customFormat="false" customHeight="1" hidden="" ht="14" outlineLevel="0" r="11400">
      <c r="A11400" s="3" t="inlineStr">
        <is>
          <t>11359</t>
        </is>
      </c>
      <c r="B11400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S")</f>
      </c>
      <c r="C11400" s="4" t="n">
        <v>4112.00</v>
      </c>
      <c r="D11400" s="4"/>
    </row>
    <row collapsed="" customFormat="false" customHeight="1" hidden="" ht="14" outlineLevel="0" r="11401">
      <c r="A11401" s="3" t="inlineStr">
        <is>
          <t>11360</t>
        </is>
      </c>
      <c r="B11401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M")</f>
      </c>
      <c r="C11401" s="4" t="n">
        <v>4112.00</v>
      </c>
      <c r="D11401" s="4"/>
    </row>
    <row collapsed="" customFormat="false" customHeight="1" hidden="" ht="14" outlineLevel="0" r="11402">
      <c r="A11402" s="3" t="inlineStr">
        <is>
          <t>11361</t>
        </is>
      </c>
      <c r="B11402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L")</f>
      </c>
      <c r="C11402" s="4" t="n">
        <v>4112.00</v>
      </c>
      <c r="D11402" s="4"/>
    </row>
    <row collapsed="" customFormat="false" customHeight="1" hidden="" ht="14" outlineLevel="0" r="11403">
      <c r="A11403" s="3" t="inlineStr">
        <is>
          <t>11362</t>
        </is>
      </c>
      <c r="B11403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XL")</f>
      </c>
      <c r="C11403" s="4" t="n">
        <v>4112.00</v>
      </c>
      <c r="D11403" s="4"/>
    </row>
    <row collapsed="" customFormat="false" customHeight="1" hidden="" ht="14" outlineLevel="0" r="11404">
      <c r="A11404" s="3" t="inlineStr">
        <is>
          <t>11363</t>
        </is>
      </c>
      <c r="B11404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XXL")</f>
      </c>
      <c r="C11404" s="4" t="n">
        <v>4112.00</v>
      </c>
      <c r="D11404" s="4"/>
    </row>
    <row collapsed="" customFormat="false" customHeight="1" hidden="" ht="14" outlineLevel="0" r="11405">
      <c r="A11405" s="3" t="inlineStr">
        <is>
          <t>11364</t>
        </is>
      </c>
      <c r="B11405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XS")</f>
      </c>
      <c r="C11405" s="4" t="n">
        <v>4112.00</v>
      </c>
      <c r="D11405" s="4"/>
    </row>
    <row collapsed="" customFormat="false" customHeight="1" hidden="" ht="14" outlineLevel="0" r="11406">
      <c r="A11406" s="3" t="inlineStr">
        <is>
          <t>11365</t>
        </is>
      </c>
      <c r="B11406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S")</f>
      </c>
      <c r="C11406" s="4" t="n">
        <v>4112.00</v>
      </c>
      <c r="D11406" s="4"/>
    </row>
    <row collapsed="" customFormat="false" customHeight="1" hidden="" ht="14" outlineLevel="0" r="11407">
      <c r="A11407" s="3" t="inlineStr">
        <is>
          <t>11366</t>
        </is>
      </c>
      <c r="B11407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M")</f>
      </c>
      <c r="C11407" s="4" t="n">
        <v>4112.00</v>
      </c>
      <c r="D11407" s="4"/>
    </row>
    <row collapsed="" customFormat="false" customHeight="1" hidden="" ht="14" outlineLevel="0" r="11408">
      <c r="A11408" s="3" t="inlineStr">
        <is>
          <t>11367</t>
        </is>
      </c>
      <c r="B11408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L")</f>
      </c>
      <c r="C11408" s="4" t="n">
        <v>4112.00</v>
      </c>
      <c r="D11408" s="4"/>
    </row>
    <row collapsed="" customFormat="false" customHeight="1" hidden="" ht="14" outlineLevel="0" r="11409">
      <c r="A11409" s="3" t="inlineStr">
        <is>
          <t>11368</t>
        </is>
      </c>
      <c r="B11409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XL")</f>
      </c>
      <c r="C11409" s="4" t="n">
        <v>4112.00</v>
      </c>
      <c r="D11409" s="4"/>
    </row>
    <row collapsed="" customFormat="false" customHeight="1" hidden="" ht="14" outlineLevel="0" r="11410">
      <c r="A11410" s="3" t="inlineStr">
        <is>
          <t>11369</t>
        </is>
      </c>
      <c r="B11410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XXL")</f>
      </c>
      <c r="C11410" s="4" t="n">
        <v>4112.00</v>
      </c>
      <c r="D11410" s="4"/>
    </row>
    <row collapsed="" customFormat="false" customHeight="1" hidden="" ht="14" outlineLevel="0" r="11411">
      <c r="A11411" s="3" t="inlineStr">
        <is>
          <t>11370</t>
        </is>
      </c>
      <c r="B11411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3XL")</f>
      </c>
      <c r="C11411" s="4" t="n">
        <v>4112.00</v>
      </c>
      <c r="D11411" s="4"/>
    </row>
    <row collapsed="" customFormat="false" customHeight="1" hidden="" ht="14" outlineLevel="0" r="11412">
      <c r="A11412" s="3" t="inlineStr">
        <is>
          <t>11371</t>
        </is>
      </c>
      <c r="B11412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XS")</f>
      </c>
      <c r="C11412" s="4" t="n">
        <v>4112.00</v>
      </c>
      <c r="D11412" s="4"/>
    </row>
    <row collapsed="" customFormat="false" customHeight="1" hidden="" ht="14" outlineLevel="0" r="11413">
      <c r="A11413" s="3" t="inlineStr">
        <is>
          <t>11372</t>
        </is>
      </c>
      <c r="B11413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S")</f>
      </c>
      <c r="C11413" s="4" t="n">
        <v>4112.00</v>
      </c>
      <c r="D11413" s="4"/>
    </row>
    <row collapsed="" customFormat="false" customHeight="1" hidden="" ht="14" outlineLevel="0" r="11414">
      <c r="A11414" s="3" t="inlineStr">
        <is>
          <t>11373</t>
        </is>
      </c>
      <c r="B11414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M")</f>
      </c>
      <c r="C11414" s="4" t="n">
        <v>4112.00</v>
      </c>
      <c r="D11414" s="4"/>
    </row>
    <row collapsed="" customFormat="false" customHeight="1" hidden="" ht="14" outlineLevel="0" r="11415">
      <c r="A11415" s="3" t="inlineStr">
        <is>
          <t>11374</t>
        </is>
      </c>
      <c r="B11415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XXL")</f>
      </c>
      <c r="C11415" s="4" t="n">
        <v>4112.00</v>
      </c>
      <c r="D11415" s="4"/>
    </row>
    <row collapsed="" customFormat="false" customHeight="1" hidden="" ht="14" outlineLevel="0" r="11416">
      <c r="A11416" s="3" t="inlineStr">
        <is>
          <t>11375</t>
        </is>
      </c>
      <c r="B11416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3XL")</f>
      </c>
      <c r="C11416" s="4" t="n">
        <v>4112.00</v>
      </c>
      <c r="D11416" s="4"/>
    </row>
    <row collapsed="" customFormat="false" customHeight="1" hidden="" ht="14" outlineLevel="0" r="11417">
      <c r="A11417" s="3" t="inlineStr">
        <is>
          <t>11376</t>
        </is>
      </c>
      <c r="B11417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XS")</f>
      </c>
      <c r="C11417" s="4" t="n">
        <v>4112.00</v>
      </c>
      <c r="D11417" s="4"/>
    </row>
    <row collapsed="" customFormat="false" customHeight="1" hidden="" ht="14" outlineLevel="0" r="11418">
      <c r="A11418" s="3" t="inlineStr">
        <is>
          <t>11377</t>
        </is>
      </c>
      <c r="B11418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S")</f>
      </c>
      <c r="C11418" s="4" t="n">
        <v>4112.00</v>
      </c>
      <c r="D11418" s="4"/>
    </row>
    <row collapsed="" customFormat="false" customHeight="1" hidden="" ht="14" outlineLevel="0" r="11419">
      <c r="A11419" s="3" t="inlineStr">
        <is>
          <t>11378</t>
        </is>
      </c>
      <c r="B11419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M")</f>
      </c>
      <c r="C11419" s="4" t="n">
        <v>4112.00</v>
      </c>
      <c r="D11419" s="4"/>
    </row>
    <row collapsed="" customFormat="false" customHeight="1" hidden="" ht="14" outlineLevel="0" r="11420">
      <c r="A11420" s="3" t="inlineStr">
        <is>
          <t>11379</t>
        </is>
      </c>
      <c r="B11420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L")</f>
      </c>
      <c r="C11420" s="4" t="n">
        <v>4112.00</v>
      </c>
      <c r="D11420" s="4"/>
    </row>
    <row collapsed="" customFormat="false" customHeight="1" hidden="" ht="14" outlineLevel="0" r="11421">
      <c r="A11421" s="3" t="inlineStr">
        <is>
          <t>11380</t>
        </is>
      </c>
      <c r="B11421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XL")</f>
      </c>
      <c r="C11421" s="4" t="n">
        <v>4112.00</v>
      </c>
      <c r="D11421" s="4"/>
    </row>
    <row collapsed="" customFormat="false" customHeight="1" hidden="" ht="14" outlineLevel="0" r="11422">
      <c r="A11422" s="3" t="inlineStr">
        <is>
          <t>11381</t>
        </is>
      </c>
      <c r="B11422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XXL")</f>
      </c>
      <c r="C11422" s="4" t="n">
        <v>4112.00</v>
      </c>
      <c r="D11422" s="4"/>
    </row>
    <row collapsed="" customFormat="false" customHeight="1" hidden="" ht="14" outlineLevel="0" r="11423">
      <c r="A11423" s="3" t="inlineStr">
        <is>
          <t>11382</t>
        </is>
      </c>
      <c r="B11423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3XL")</f>
      </c>
      <c r="C11423" s="4" t="n">
        <v>4112.00</v>
      </c>
      <c r="D11423" s="4"/>
    </row>
    <row collapsed="" customFormat="false" customHeight="1" hidden="" ht="14" outlineLevel="0" r="11424">
      <c r="A11424" s="3" t="inlineStr">
        <is>
          <t>11383</t>
        </is>
      </c>
      <c r="B11424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XS")</f>
      </c>
      <c r="C11424" s="4" t="n">
        <v>4112.00</v>
      </c>
      <c r="D11424" s="4"/>
    </row>
    <row collapsed="" customFormat="false" customHeight="1" hidden="" ht="14" outlineLevel="0" r="11425">
      <c r="A11425" s="3" t="inlineStr">
        <is>
          <t>11384</t>
        </is>
      </c>
      <c r="B11425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M")</f>
      </c>
      <c r="C11425" s="4" t="n">
        <v>4112.00</v>
      </c>
      <c r="D11425" s="4"/>
    </row>
    <row collapsed="" customFormat="false" customHeight="1" hidden="" ht="14" outlineLevel="0" r="11426">
      <c r="A11426" s="3" t="inlineStr">
        <is>
          <t>11385</t>
        </is>
      </c>
      <c r="B11426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L")</f>
      </c>
      <c r="C11426" s="4" t="n">
        <v>4112.00</v>
      </c>
      <c r="D11426" s="4"/>
    </row>
    <row collapsed="" customFormat="false" customHeight="1" hidden="" ht="14" outlineLevel="0" r="11427">
      <c r="A11427" s="3" t="inlineStr">
        <is>
          <t>11386</t>
        </is>
      </c>
      <c r="B11427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XL")</f>
      </c>
      <c r="C11427" s="4" t="n">
        <v>4112.00</v>
      </c>
      <c r="D11427" s="4"/>
    </row>
    <row collapsed="" customFormat="false" customHeight="1" hidden="" ht="14" outlineLevel="0" r="11428">
      <c r="A11428" s="3" t="inlineStr">
        <is>
          <t>11387</t>
        </is>
      </c>
      <c r="B11428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XXL")</f>
      </c>
      <c r="C11428" s="4" t="n">
        <v>4112.00</v>
      </c>
      <c r="D11428" s="4"/>
    </row>
    <row collapsed="" customFormat="false" customHeight="1" hidden="" ht="14" outlineLevel="0" r="11429">
      <c r="A11429" s="3" t="inlineStr">
        <is>
          <t>11388</t>
        </is>
      </c>
      <c r="B11429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3XL")</f>
      </c>
      <c r="C11429" s="4" t="n">
        <v>4112.00</v>
      </c>
      <c r="D11429" s="4"/>
    </row>
    <row collapsed="" customFormat="false" customHeight="1" hidden="" ht="14" outlineLevel="0" r="11430">
      <c r="A11430" s="3" t="inlineStr">
        <is>
          <t>11389</t>
        </is>
      </c>
      <c r="B11430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XS")</f>
      </c>
      <c r="C11430" s="4" t="n">
        <v>4112.00</v>
      </c>
      <c r="D11430" s="4"/>
    </row>
    <row collapsed="" customFormat="false" customHeight="1" hidden="" ht="14" outlineLevel="0" r="11431">
      <c r="A11431" s="3" t="inlineStr">
        <is>
          <t>11390</t>
        </is>
      </c>
      <c r="B11431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S")</f>
      </c>
      <c r="C11431" s="4" t="n">
        <v>4112.00</v>
      </c>
      <c r="D11431" s="4"/>
    </row>
    <row collapsed="" customFormat="false" customHeight="1" hidden="" ht="14" outlineLevel="0" r="11432">
      <c r="A11432" s="3" t="inlineStr">
        <is>
          <t>11391</t>
        </is>
      </c>
      <c r="B11432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M")</f>
      </c>
      <c r="C11432" s="4" t="n">
        <v>4112.00</v>
      </c>
      <c r="D11432" s="4"/>
    </row>
    <row collapsed="" customFormat="false" customHeight="1" hidden="" ht="14" outlineLevel="0" r="11433">
      <c r="A11433" s="3" t="inlineStr">
        <is>
          <t>11392</t>
        </is>
      </c>
      <c r="B11433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L")</f>
      </c>
      <c r="C11433" s="4" t="n">
        <v>4112.00</v>
      </c>
      <c r="D11433" s="4"/>
    </row>
    <row collapsed="" customFormat="false" customHeight="1" hidden="" ht="14" outlineLevel="0" r="11434">
      <c r="A11434" s="3" t="inlineStr">
        <is>
          <t>11393</t>
        </is>
      </c>
      <c r="B11434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XL")</f>
      </c>
      <c r="C11434" s="4" t="n">
        <v>4112.00</v>
      </c>
      <c r="D11434" s="4"/>
    </row>
    <row collapsed="" customFormat="false" customHeight="1" hidden="" ht="14" outlineLevel="0" r="11435">
      <c r="A11435" s="3" t="inlineStr">
        <is>
          <t>11394</t>
        </is>
      </c>
      <c r="B11435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3XL")</f>
      </c>
      <c r="C11435" s="4" t="n">
        <v>4112.00</v>
      </c>
      <c r="D11435" s="4"/>
    </row>
    <row collapsed="" customFormat="false" customHeight="1" hidden="" ht="14" outlineLevel="0" r="11436">
      <c r="A11436" s="3" t="inlineStr">
        <is>
          <t>11395</t>
        </is>
      </c>
      <c r="B11436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XXXL")</f>
      </c>
      <c r="C11436" s="4" t="n">
        <v>4112.00</v>
      </c>
      <c r="D11436" s="4"/>
    </row>
    <row collapsed="" customFormat="false" customHeight="1" hidden="" ht="14" outlineLevel="0" r="11437">
      <c r="A11437" s="3" t="inlineStr">
        <is>
          <t>11396</t>
        </is>
      </c>
      <c r="B11437" s="4" t="s">
        <f>=HYPERLINK("http://anyluxury.ru/shop/odezhda/tolstovki/tolstovka-na-molnii-s-kapyushonom-uniseks-bnc-organic-serozelenaya-wu35b502/" , "WU35B502 Толстовка на молнии с капюшоном унисекс BNC Organic, серо-зеленая, размер XXL")</f>
      </c>
      <c r="C11437" s="4" t="n">
        <v>4112.00</v>
      </c>
      <c r="D11437" s="4"/>
    </row>
    <row collapsed="" customFormat="false" customHeight="1" hidden="" ht="14" outlineLevel="0" r="11438">
      <c r="A11438" s="3" t="inlineStr">
        <is>
          <t>11397</t>
        </is>
      </c>
      <c r="B11438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XS")</f>
      </c>
      <c r="C11438" s="4" t="n">
        <v>4112.00</v>
      </c>
      <c r="D11438" s="4"/>
    </row>
    <row collapsed="" customFormat="false" customHeight="1" hidden="" ht="14" outlineLevel="0" r="11439">
      <c r="A11439" s="3" t="inlineStr">
        <is>
          <t>11398</t>
        </is>
      </c>
      <c r="B11439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S")</f>
      </c>
      <c r="C11439" s="4" t="n">
        <v>4112.00</v>
      </c>
      <c r="D11439" s="4"/>
    </row>
    <row collapsed="" customFormat="false" customHeight="1" hidden="" ht="14" outlineLevel="0" r="11440">
      <c r="A11440" s="3" t="inlineStr">
        <is>
          <t>11399</t>
        </is>
      </c>
      <c r="B11440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M")</f>
      </c>
      <c r="C11440" s="4" t="n">
        <v>4112.00</v>
      </c>
      <c r="D11440" s="4"/>
    </row>
    <row collapsed="" customFormat="false" customHeight="1" hidden="" ht="14" outlineLevel="0" r="11441">
      <c r="A11441" s="3" t="inlineStr">
        <is>
          <t>11400</t>
        </is>
      </c>
      <c r="B11441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L")</f>
      </c>
      <c r="C11441" s="4" t="n">
        <v>4112.00</v>
      </c>
      <c r="D11441" s="4"/>
    </row>
    <row collapsed="" customFormat="false" customHeight="1" hidden="" ht="14" outlineLevel="0" r="11442">
      <c r="A11442" s="3" t="inlineStr">
        <is>
          <t>11401</t>
        </is>
      </c>
      <c r="B11442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XL")</f>
      </c>
      <c r="C11442" s="4" t="n">
        <v>4112.00</v>
      </c>
      <c r="D11442" s="4"/>
    </row>
    <row collapsed="" customFormat="false" customHeight="1" hidden="" ht="14" outlineLevel="0" r="11443">
      <c r="A11443" s="3" t="inlineStr">
        <is>
          <t>11402</t>
        </is>
      </c>
      <c r="B11443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XXL")</f>
      </c>
      <c r="C11443" s="4" t="n">
        <v>4112.00</v>
      </c>
      <c r="D11443" s="4"/>
    </row>
    <row collapsed="" customFormat="false" customHeight="1" hidden="" ht="14" outlineLevel="0" r="11444">
      <c r="A11444" s="3" t="inlineStr">
        <is>
          <t>11403</t>
        </is>
      </c>
      <c r="B11444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XS")</f>
      </c>
      <c r="C11444" s="4" t="n">
        <v>3871.00</v>
      </c>
      <c r="D11444" s="4"/>
    </row>
    <row collapsed="" customFormat="false" customHeight="1" hidden="" ht="14" outlineLevel="0" r="11445">
      <c r="A11445" s="3" t="inlineStr">
        <is>
          <t>11404</t>
        </is>
      </c>
      <c r="B11445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S")</f>
      </c>
      <c r="C11445" s="4" t="n">
        <v>3871.00</v>
      </c>
      <c r="D11445" s="4"/>
    </row>
    <row collapsed="" customFormat="false" customHeight="1" hidden="" ht="14" outlineLevel="0" r="11446">
      <c r="A11446" s="3" t="inlineStr">
        <is>
          <t>11405</t>
        </is>
      </c>
      <c r="B11446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M")</f>
      </c>
      <c r="C11446" s="4" t="n">
        <v>3871.00</v>
      </c>
      <c r="D11446" s="4"/>
    </row>
    <row collapsed="" customFormat="false" customHeight="1" hidden="" ht="14" outlineLevel="0" r="11447">
      <c r="A11447" s="3" t="inlineStr">
        <is>
          <t>11406</t>
        </is>
      </c>
      <c r="B11447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L")</f>
      </c>
      <c r="C11447" s="4" t="n">
        <v>3871.00</v>
      </c>
      <c r="D11447" s="4"/>
    </row>
    <row collapsed="" customFormat="false" customHeight="1" hidden="" ht="14" outlineLevel="0" r="11448">
      <c r="A11448" s="3" t="inlineStr">
        <is>
          <t>11407</t>
        </is>
      </c>
      <c r="B11448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XL")</f>
      </c>
      <c r="C11448" s="4" t="n">
        <v>3871.00</v>
      </c>
      <c r="D11448" s="4"/>
    </row>
    <row collapsed="" customFormat="false" customHeight="1" hidden="" ht="14" outlineLevel="0" r="11449">
      <c r="A11449" s="3" t="inlineStr">
        <is>
          <t>11408</t>
        </is>
      </c>
      <c r="B11449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XXL")</f>
      </c>
      <c r="C11449" s="4" t="n">
        <v>3871.00</v>
      </c>
      <c r="D11449" s="4"/>
    </row>
    <row collapsed="" customFormat="false" customHeight="1" hidden="" ht="14" outlineLevel="0" r="11450">
      <c r="A11450" s="3" t="inlineStr">
        <is>
          <t>11409</t>
        </is>
      </c>
      <c r="B11450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3XL")</f>
      </c>
      <c r="C11450" s="4" t="n">
        <v>3871.00</v>
      </c>
      <c r="D11450" s="4"/>
    </row>
    <row collapsed="" customFormat="false" customHeight="1" hidden="" ht="14" outlineLevel="0" r="11451">
      <c r="A11451" s="3" t="inlineStr">
        <is>
          <t>11410</t>
        </is>
      </c>
      <c r="B11451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XS")</f>
      </c>
      <c r="C11451" s="4" t="n">
        <v>3776.00</v>
      </c>
      <c r="D11451" s="4"/>
    </row>
    <row collapsed="" customFormat="false" customHeight="1" hidden="" ht="14" outlineLevel="0" r="11452">
      <c r="A11452" s="3" t="inlineStr">
        <is>
          <t>11411</t>
        </is>
      </c>
      <c r="B11452" s="4" t="s">
        <f>=HYPERLINK("http://anyluxury.ru/shop/odezhda/tolstovki/tolstovka-na-molnii-s-kapyushonom-zhenskaya-bnc-organic-belaya-ww36b001/" , "WW36B001 Толстовка на молнии с капюшоном женская BNC Organic, белая, размер S")</f>
      </c>
      <c r="C11452" s="4" t="n">
        <v>3776.00</v>
      </c>
      <c r="D11452" s="4"/>
    </row>
    <row collapsed="" customFormat="false" customHeight="1" hidden="" ht="14" outlineLevel="0" r="11453">
      <c r="A11453" s="3" t="inlineStr">
        <is>
          <t>11412</t>
        </is>
      </c>
      <c r="B11453" s="4" t="s">
        <f>=HYPERLINK("http://anyluxury.ru/shop/odezhda/tolstovki/tolstovka-na-molnii-s-kapyushonom-zhenskaya-bnc-organic-belaya-ww36b001/" , "WW36B001 Толстовка на молнии с капюшоном женская BNC Organic, белая, размер M")</f>
      </c>
      <c r="C11453" s="4" t="n">
        <v>3776.00</v>
      </c>
      <c r="D11453" s="4"/>
    </row>
    <row collapsed="" customFormat="false" customHeight="1" hidden="" ht="14" outlineLevel="0" r="11454">
      <c r="A11454" s="3" t="inlineStr">
        <is>
          <t>11413</t>
        </is>
      </c>
      <c r="B11454" s="4" t="s">
        <f>=HYPERLINK("http://anyluxury.ru/shop/odezhda/tolstovki/tolstovka-na-molnii-s-kapyushonom-zhenskaya-bnc-organic-belaya-ww36b001/" , "WW36B001 Толстовка на молнии с капюшоном женская BNC Organic, белая, размер L")</f>
      </c>
      <c r="C11454" s="4" t="n">
        <v>3776.00</v>
      </c>
      <c r="D11454" s="4"/>
    </row>
    <row collapsed="" customFormat="false" customHeight="1" hidden="" ht="14" outlineLevel="0" r="11455">
      <c r="A11455" s="3" t="inlineStr">
        <is>
          <t>11414</t>
        </is>
      </c>
      <c r="B11455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XL")</f>
      </c>
      <c r="C11455" s="4" t="n">
        <v>3776.00</v>
      </c>
      <c r="D11455" s="4"/>
    </row>
    <row collapsed="" customFormat="false" customHeight="1" hidden="" ht="14" outlineLevel="0" r="11456">
      <c r="A11456" s="3" t="inlineStr">
        <is>
          <t>11415</t>
        </is>
      </c>
      <c r="B11456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XXL")</f>
      </c>
      <c r="C11456" s="4" t="n">
        <v>3776.00</v>
      </c>
      <c r="D11456" s="4"/>
    </row>
    <row collapsed="" customFormat="false" customHeight="1" hidden="" ht="14" outlineLevel="0" r="11457">
      <c r="A11457" s="3" t="inlineStr">
        <is>
          <t>11416</t>
        </is>
      </c>
      <c r="B11457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XS")</f>
      </c>
      <c r="C11457" s="4" t="n">
        <v>4064.00</v>
      </c>
      <c r="D11457" s="4"/>
    </row>
    <row collapsed="" customFormat="false" customHeight="1" hidden="" ht="14" outlineLevel="0" r="11458">
      <c r="A11458" s="3" t="inlineStr">
        <is>
          <t>11417</t>
        </is>
      </c>
      <c r="B11458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S")</f>
      </c>
      <c r="C11458" s="4" t="n">
        <v>4064.00</v>
      </c>
      <c r="D11458" s="4"/>
    </row>
    <row collapsed="" customFormat="false" customHeight="1" hidden="" ht="14" outlineLevel="0" r="11459">
      <c r="A11459" s="3" t="inlineStr">
        <is>
          <t>11418</t>
        </is>
      </c>
      <c r="B11459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M")</f>
      </c>
      <c r="C11459" s="4" t="n">
        <v>4064.00</v>
      </c>
      <c r="D11459" s="4"/>
    </row>
    <row collapsed="" customFormat="false" customHeight="1" hidden="" ht="14" outlineLevel="0" r="11460">
      <c r="A11460" s="3" t="inlineStr">
        <is>
          <t>11419</t>
        </is>
      </c>
      <c r="B11460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L")</f>
      </c>
      <c r="C11460" s="4" t="n">
        <v>4064.00</v>
      </c>
      <c r="D11460" s="4"/>
    </row>
    <row collapsed="" customFormat="false" customHeight="1" hidden="" ht="14" outlineLevel="0" r="11461">
      <c r="A11461" s="3" t="inlineStr">
        <is>
          <t>11420</t>
        </is>
      </c>
      <c r="B11461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XL")</f>
      </c>
      <c r="C11461" s="4" t="n">
        <v>4064.00</v>
      </c>
      <c r="D11461" s="4"/>
    </row>
    <row collapsed="" customFormat="false" customHeight="1" hidden="" ht="14" outlineLevel="0" r="11462">
      <c r="A11462" s="3" t="inlineStr">
        <is>
          <t>11421</t>
        </is>
      </c>
      <c r="B11462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XXL")</f>
      </c>
      <c r="C11462" s="4" t="n">
        <v>4064.00</v>
      </c>
      <c r="D11462" s="4"/>
    </row>
    <row collapsed="" customFormat="false" customHeight="1" hidden="" ht="14" outlineLevel="0" r="11463">
      <c r="A11463" s="3" t="inlineStr">
        <is>
          <t>11422</t>
        </is>
      </c>
      <c r="B11463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XS")</f>
      </c>
      <c r="C11463" s="4" t="n">
        <v>4064.00</v>
      </c>
      <c r="D11463" s="4"/>
    </row>
    <row collapsed="" customFormat="false" customHeight="1" hidden="" ht="14" outlineLevel="0" r="11464">
      <c r="A11464" s="3" t="inlineStr">
        <is>
          <t>11423</t>
        </is>
      </c>
      <c r="B11464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S")</f>
      </c>
      <c r="C11464" s="4" t="n">
        <v>4064.00</v>
      </c>
      <c r="D11464" s="4"/>
    </row>
    <row collapsed="" customFormat="false" customHeight="1" hidden="" ht="14" outlineLevel="0" r="11465">
      <c r="A11465" s="3" t="inlineStr">
        <is>
          <t>11424</t>
        </is>
      </c>
      <c r="B11465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L")</f>
      </c>
      <c r="C11465" s="4" t="n">
        <v>4064.00</v>
      </c>
      <c r="D11465" s="4"/>
    </row>
    <row collapsed="" customFormat="false" customHeight="1" hidden="" ht="14" outlineLevel="0" r="11466">
      <c r="A11466" s="3" t="inlineStr">
        <is>
          <t>11425</t>
        </is>
      </c>
      <c r="B11466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XS")</f>
      </c>
      <c r="C11466" s="4" t="n">
        <v>4064.00</v>
      </c>
      <c r="D11466" s="4"/>
    </row>
    <row collapsed="" customFormat="false" customHeight="1" hidden="" ht="14" outlineLevel="0" r="11467">
      <c r="A11467" s="3" t="inlineStr">
        <is>
          <t>11426</t>
        </is>
      </c>
      <c r="B11467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S")</f>
      </c>
      <c r="C11467" s="4" t="n">
        <v>4064.00</v>
      </c>
      <c r="D11467" s="4"/>
    </row>
    <row collapsed="" customFormat="false" customHeight="1" hidden="" ht="14" outlineLevel="0" r="11468">
      <c r="A11468" s="3" t="inlineStr">
        <is>
          <t>11427</t>
        </is>
      </c>
      <c r="B11468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M")</f>
      </c>
      <c r="C11468" s="4" t="n">
        <v>4064.00</v>
      </c>
      <c r="D11468" s="4"/>
    </row>
    <row collapsed="" customFormat="false" customHeight="1" hidden="" ht="14" outlineLevel="0" r="11469">
      <c r="A11469" s="3" t="inlineStr">
        <is>
          <t>11428</t>
        </is>
      </c>
      <c r="B11469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L")</f>
      </c>
      <c r="C11469" s="4" t="n">
        <v>4064.00</v>
      </c>
      <c r="D11469" s="4"/>
    </row>
    <row collapsed="" customFormat="false" customHeight="1" hidden="" ht="14" outlineLevel="0" r="11470">
      <c r="A11470" s="3" t="inlineStr">
        <is>
          <t>11429</t>
        </is>
      </c>
      <c r="B11470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XL")</f>
      </c>
      <c r="C11470" s="4" t="n">
        <v>4064.00</v>
      </c>
      <c r="D11470" s="4"/>
    </row>
    <row collapsed="" customFormat="false" customHeight="1" hidden="" ht="14" outlineLevel="0" r="11471">
      <c r="A11471" s="3" t="inlineStr">
        <is>
          <t>11430</t>
        </is>
      </c>
      <c r="B11471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XXL")</f>
      </c>
      <c r="C11471" s="4" t="n">
        <v>4064.00</v>
      </c>
      <c r="D11471" s="4"/>
    </row>
    <row collapsed="" customFormat="false" customHeight="1" hidden="" ht="14" outlineLevel="0" r="11472">
      <c r="A11472" s="3" t="inlineStr">
        <is>
          <t>11431</t>
        </is>
      </c>
      <c r="B11472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XS")</f>
      </c>
      <c r="C11472" s="4" t="n">
        <v>4064.00</v>
      </c>
      <c r="D11472" s="4"/>
    </row>
    <row collapsed="" customFormat="false" customHeight="1" hidden="" ht="14" outlineLevel="0" r="11473">
      <c r="A11473" s="3" t="inlineStr">
        <is>
          <t>11432</t>
        </is>
      </c>
      <c r="B11473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S")</f>
      </c>
      <c r="C11473" s="4" t="n">
        <v>4064.00</v>
      </c>
      <c r="D11473" s="4"/>
    </row>
    <row collapsed="" customFormat="false" customHeight="1" hidden="" ht="14" outlineLevel="0" r="11474">
      <c r="A11474" s="3" t="inlineStr">
        <is>
          <t>11433</t>
        </is>
      </c>
      <c r="B11474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M")</f>
      </c>
      <c r="C11474" s="4" t="n">
        <v>4064.00</v>
      </c>
      <c r="D11474" s="4"/>
    </row>
    <row collapsed="" customFormat="false" customHeight="1" hidden="" ht="14" outlineLevel="0" r="11475">
      <c r="A11475" s="3" t="inlineStr">
        <is>
          <t>11434</t>
        </is>
      </c>
      <c r="B11475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L")</f>
      </c>
      <c r="C11475" s="4" t="n">
        <v>4064.00</v>
      </c>
      <c r="D11475" s="4"/>
    </row>
    <row collapsed="" customFormat="false" customHeight="1" hidden="" ht="14" outlineLevel="0" r="11476">
      <c r="A11476" s="3" t="inlineStr">
        <is>
          <t>11435</t>
        </is>
      </c>
      <c r="B11476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XL")</f>
      </c>
      <c r="C11476" s="4" t="n">
        <v>4064.00</v>
      </c>
      <c r="D11476" s="4"/>
    </row>
    <row collapsed="" customFormat="false" customHeight="1" hidden="" ht="14" outlineLevel="0" r="11477">
      <c r="A11477" s="3" t="inlineStr">
        <is>
          <t>11436</t>
        </is>
      </c>
      <c r="B11477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XXL")</f>
      </c>
      <c r="C11477" s="4" t="n">
        <v>4064.00</v>
      </c>
      <c r="D11477" s="4"/>
    </row>
    <row collapsed="" customFormat="false" customHeight="1" hidden="" ht="14" outlineLevel="0" r="11478">
      <c r="A11478" s="3" t="inlineStr">
        <is>
          <t>11437</t>
        </is>
      </c>
      <c r="B11478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XS")</f>
      </c>
      <c r="C11478" s="4" t="n">
        <v>4064.00</v>
      </c>
      <c r="D11478" s="4"/>
    </row>
    <row collapsed="" customFormat="false" customHeight="1" hidden="" ht="14" outlineLevel="0" r="11479">
      <c r="A11479" s="3" t="inlineStr">
        <is>
          <t>11438</t>
        </is>
      </c>
      <c r="B11479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S")</f>
      </c>
      <c r="C11479" s="4" t="n">
        <v>4064.00</v>
      </c>
      <c r="D11479" s="4"/>
    </row>
    <row collapsed="" customFormat="false" customHeight="1" hidden="" ht="14" outlineLevel="0" r="11480">
      <c r="A11480" s="3" t="inlineStr">
        <is>
          <t>11439</t>
        </is>
      </c>
      <c r="B11480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M")</f>
      </c>
      <c r="C11480" s="4" t="n">
        <v>4064.00</v>
      </c>
      <c r="D11480" s="4"/>
    </row>
    <row collapsed="" customFormat="false" customHeight="1" hidden="" ht="14" outlineLevel="0" r="11481">
      <c r="A11481" s="3" t="inlineStr">
        <is>
          <t>11440</t>
        </is>
      </c>
      <c r="B11481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L")</f>
      </c>
      <c r="C11481" s="4" t="n">
        <v>4064.00</v>
      </c>
      <c r="D11481" s="4"/>
    </row>
    <row collapsed="" customFormat="false" customHeight="1" hidden="" ht="14" outlineLevel="0" r="11482">
      <c r="A11482" s="3" t="inlineStr">
        <is>
          <t>11441</t>
        </is>
      </c>
      <c r="B11482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XL")</f>
      </c>
      <c r="C11482" s="4" t="n">
        <v>4064.00</v>
      </c>
      <c r="D11482" s="4"/>
    </row>
    <row collapsed="" customFormat="false" customHeight="1" hidden="" ht="14" outlineLevel="0" r="11483">
      <c r="A11483" s="3" t="inlineStr">
        <is>
          <t>11442</t>
        </is>
      </c>
      <c r="B11483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XS")</f>
      </c>
      <c r="C11483" s="4" t="n">
        <v>4064.00</v>
      </c>
      <c r="D11483" s="4"/>
    </row>
    <row collapsed="" customFormat="false" customHeight="1" hidden="" ht="14" outlineLevel="0" r="11484">
      <c r="A11484" s="3" t="inlineStr">
        <is>
          <t>11443</t>
        </is>
      </c>
      <c r="B11484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S")</f>
      </c>
      <c r="C11484" s="4" t="n">
        <v>4064.00</v>
      </c>
      <c r="D11484" s="4"/>
    </row>
    <row collapsed="" customFormat="false" customHeight="1" hidden="" ht="14" outlineLevel="0" r="11485">
      <c r="A11485" s="3" t="inlineStr">
        <is>
          <t>11444</t>
        </is>
      </c>
      <c r="B11485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L")</f>
      </c>
      <c r="C11485" s="4" t="n">
        <v>4064.00</v>
      </c>
      <c r="D11485" s="4"/>
    </row>
    <row collapsed="" customFormat="false" customHeight="1" hidden="" ht="14" outlineLevel="0" r="11486">
      <c r="A11486" s="3" t="inlineStr">
        <is>
          <t>11445</t>
        </is>
      </c>
      <c r="B11486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XXL")</f>
      </c>
      <c r="C11486" s="4" t="n">
        <v>4064.00</v>
      </c>
      <c r="D11486" s="4"/>
    </row>
    <row collapsed="" customFormat="false" customHeight="1" hidden="" ht="14" outlineLevel="0" r="11487">
      <c r="A11487" s="3" t="inlineStr">
        <is>
          <t>11446</t>
        </is>
      </c>
      <c r="B11487" s="4" t="s">
        <f>=HYPERLINK("http://anyluxury.ru/shop/odezhda/tolstovki/tolstovka-na-molnii-s-kapyushonom-zhenskaya-bnc-organic-serozelenaya-ww36b502/" , "WW36B502 Толстовка на молнии с капюшоном женская BNC Organic, серо-зеленая, размер XS")</f>
      </c>
      <c r="C11487" s="4" t="n">
        <v>4064.00</v>
      </c>
      <c r="D11487" s="4"/>
    </row>
    <row collapsed="" customFormat="false" customHeight="1" hidden="" ht="14" outlineLevel="0" r="11488">
      <c r="A11488" s="3" t="inlineStr">
        <is>
          <t>11447</t>
        </is>
      </c>
      <c r="B11488" s="4" t="s">
        <f>=HYPERLINK("http://anyluxury.ru/shop/odezhda/tolstovki/tolstovka-na-molnii-s-kapyushonom-zhenskaya-bnc-organic-serozelenaya-ww36b502/" , "WW36B502 Толстовка на молнии с капюшоном женская BNC Organic, серо-зеленая, размер S")</f>
      </c>
      <c r="C11488" s="4" t="n">
        <v>4064.00</v>
      </c>
      <c r="D11488" s="4"/>
    </row>
    <row collapsed="" customFormat="false" customHeight="1" hidden="" ht="14" outlineLevel="0" r="11489">
      <c r="A11489" s="3" t="inlineStr">
        <is>
          <t>11448</t>
        </is>
      </c>
      <c r="B11489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XS")</f>
      </c>
      <c r="C11489" s="4" t="n">
        <v>4064.00</v>
      </c>
      <c r="D11489" s="4"/>
    </row>
    <row collapsed="" customFormat="false" customHeight="1" hidden="" ht="14" outlineLevel="0" r="11490">
      <c r="A11490" s="3" t="inlineStr">
        <is>
          <t>11449</t>
        </is>
      </c>
      <c r="B11490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S")</f>
      </c>
      <c r="C11490" s="4" t="n">
        <v>4064.00</v>
      </c>
      <c r="D11490" s="4"/>
    </row>
    <row collapsed="" customFormat="false" customHeight="1" hidden="" ht="14" outlineLevel="0" r="11491">
      <c r="A11491" s="3" t="inlineStr">
        <is>
          <t>11450</t>
        </is>
      </c>
      <c r="B11491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M")</f>
      </c>
      <c r="C11491" s="4" t="n">
        <v>4064.00</v>
      </c>
      <c r="D11491" s="4"/>
    </row>
    <row collapsed="" customFormat="false" customHeight="1" hidden="" ht="14" outlineLevel="0" r="11492">
      <c r="A11492" s="3" t="inlineStr">
        <is>
          <t>11451</t>
        </is>
      </c>
      <c r="B11492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L")</f>
      </c>
      <c r="C11492" s="4" t="n">
        <v>4064.00</v>
      </c>
      <c r="D11492" s="4"/>
    </row>
    <row collapsed="" customFormat="false" customHeight="1" hidden="" ht="14" outlineLevel="0" r="11493">
      <c r="A11493" s="3" t="inlineStr">
        <is>
          <t>11452</t>
        </is>
      </c>
      <c r="B11493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XL")</f>
      </c>
      <c r="C11493" s="4" t="n">
        <v>4064.00</v>
      </c>
      <c r="D11493" s="4"/>
    </row>
    <row collapsed="" customFormat="false" customHeight="1" hidden="" ht="14" outlineLevel="0" r="11494">
      <c r="A11494" s="3" t="inlineStr">
        <is>
          <t>11453</t>
        </is>
      </c>
      <c r="B11494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XS")</f>
      </c>
      <c r="C11494" s="4" t="n">
        <v>3776.00</v>
      </c>
      <c r="D11494" s="4"/>
    </row>
    <row collapsed="" customFormat="false" customHeight="1" hidden="" ht="14" outlineLevel="0" r="11495">
      <c r="A11495" s="3" t="inlineStr">
        <is>
          <t>11454</t>
        </is>
      </c>
      <c r="B11495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S")</f>
      </c>
      <c r="C11495" s="4" t="n">
        <v>3776.00</v>
      </c>
      <c r="D11495" s="4"/>
    </row>
    <row collapsed="" customFormat="false" customHeight="1" hidden="" ht="14" outlineLevel="0" r="11496">
      <c r="A11496" s="3" t="inlineStr">
        <is>
          <t>11455</t>
        </is>
      </c>
      <c r="B11496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M")</f>
      </c>
      <c r="C11496" s="4" t="n">
        <v>3776.00</v>
      </c>
      <c r="D11496" s="4"/>
    </row>
    <row collapsed="" customFormat="false" customHeight="1" hidden="" ht="14" outlineLevel="0" r="11497">
      <c r="A11497" s="3" t="inlineStr">
        <is>
          <t>11456</t>
        </is>
      </c>
      <c r="B11497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L")</f>
      </c>
      <c r="C11497" s="4" t="n">
        <v>3776.00</v>
      </c>
      <c r="D11497" s="4"/>
    </row>
    <row collapsed="" customFormat="false" customHeight="1" hidden="" ht="14" outlineLevel="0" r="11498">
      <c r="A11498" s="3" t="inlineStr">
        <is>
          <t>11457</t>
        </is>
      </c>
      <c r="B11498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XL")</f>
      </c>
      <c r="C11498" s="4" t="n">
        <v>3776.00</v>
      </c>
      <c r="D11498" s="4"/>
    </row>
    <row collapsed="" customFormat="false" customHeight="1" hidden="" ht="14" outlineLevel="0" r="11499">
      <c r="A11499" s="3" t="inlineStr">
        <is>
          <t>11458</t>
        </is>
      </c>
      <c r="B11499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XXL")</f>
      </c>
      <c r="C11499" s="4" t="n">
        <v>3776.00</v>
      </c>
      <c r="D11499" s="4"/>
    </row>
    <row collapsed="" customFormat="false" customHeight="1" hidden="" ht="14" outlineLevel="0" r="11500">
      <c r="A11500" s="3" t="inlineStr">
        <is>
          <t>11459</t>
        </is>
      </c>
      <c r="B11500" s="4" t="s">
        <f>=HYPERLINK("http://anyluxury.ru/shop/odezhda/tolstovki/svitshot-uniseks-king-zheltiy-wu01k205/" , "WU01K205 Свитшот унисекс King, желтый, размер XS")</f>
      </c>
      <c r="C11500" s="4" t="n">
        <v>1915.00</v>
      </c>
      <c r="D11500" s="4"/>
    </row>
    <row collapsed="" customFormat="false" customHeight="1" hidden="" ht="14" outlineLevel="0" r="11501">
      <c r="A11501" s="3" t="inlineStr">
        <is>
          <t>11460</t>
        </is>
      </c>
      <c r="B11501" s="4" t="s">
        <f>=HYPERLINK("http://anyluxury.ru/shop/odezhda/tolstovki/svitshot-uniseks-king-zheltiy-wu01k205/" , "WU01K205 Свитшот унисекс King, желтый, размер S")</f>
      </c>
      <c r="C11501" s="4" t="n">
        <v>1915.00</v>
      </c>
      <c r="D11501" s="4"/>
    </row>
    <row collapsed="" customFormat="false" customHeight="1" hidden="" ht="14" outlineLevel="0" r="11502">
      <c r="A11502" s="3" t="inlineStr">
        <is>
          <t>11461</t>
        </is>
      </c>
      <c r="B11502" s="4" t="s">
        <f>=HYPERLINK("http://anyluxury.ru/shop/odezhda/tolstovki/svitshot-uniseks-king-zheltiy-wu01k205/" , "WU01K205 Свитшот унисекс King, желтый, размер M")</f>
      </c>
      <c r="C11502" s="4" t="n">
        <v>1915.00</v>
      </c>
      <c r="D11502" s="4"/>
    </row>
    <row collapsed="" customFormat="false" customHeight="1" hidden="" ht="14" outlineLevel="0" r="11503">
      <c r="A11503" s="3" t="inlineStr">
        <is>
          <t>11462</t>
        </is>
      </c>
      <c r="B11503" s="4" t="s">
        <f>=HYPERLINK("http://anyluxury.ru/shop/odezhda/tolstovki/svitshot-uniseks-king-zheltiy-wu01k205/" , "WU01K205 Свитшот унисекс King, желтый, размер L")</f>
      </c>
      <c r="C11503" s="4" t="n">
        <v>1915.00</v>
      </c>
      <c r="D11503" s="4"/>
    </row>
    <row collapsed="" customFormat="false" customHeight="1" hidden="" ht="14" outlineLevel="0" r="11504">
      <c r="A11504" s="3" t="inlineStr">
        <is>
          <t>11463</t>
        </is>
      </c>
      <c r="B11504" s="4" t="s">
        <f>=HYPERLINK("http://anyluxury.ru/shop/odezhda/tolstovki/svitshot-uniseks-king-zheltiy-wu01k205/" , "WU01K205 Свитшот унисекс King, желтый, размер XL")</f>
      </c>
      <c r="C11504" s="4" t="n">
        <v>1915.00</v>
      </c>
      <c r="D11504" s="4"/>
    </row>
    <row collapsed="" customFormat="false" customHeight="1" hidden="" ht="14" outlineLevel="0" r="11505">
      <c r="A11505" s="3" t="inlineStr">
        <is>
          <t>11464</t>
        </is>
      </c>
      <c r="B11505" s="4" t="s">
        <f>=HYPERLINK("http://anyluxury.ru/shop/odezhda/tolstovki/svitshot-uniseks-king-zheltiy-wu01k205/" , "WU01K205 Свитшот унисекс King, желтый, размер XXL")</f>
      </c>
      <c r="C11505" s="4" t="n">
        <v>1915.00</v>
      </c>
      <c r="D11505" s="4"/>
    </row>
    <row collapsed="" customFormat="false" customHeight="1" hidden="" ht="14" outlineLevel="0" r="11506">
      <c r="A11506" s="3" t="inlineStr">
        <is>
          <t>11465</t>
        </is>
      </c>
      <c r="B11506" s="4" t="s">
        <f>=HYPERLINK("http://anyluxury.ru/shop/odezhda/tolstovki/svitshot-uniseks-king-zheltiy-wu01k205/" , "WU01K205 Свитшот унисекс King, желтый, размер 3XL")</f>
      </c>
      <c r="C11506" s="4" t="n">
        <v>1915.00</v>
      </c>
      <c r="D11506" s="4"/>
    </row>
    <row collapsed="" customFormat="false" customHeight="1" hidden="" ht="14" outlineLevel="0" r="11507">
      <c r="A11507" s="3" t="inlineStr">
        <is>
          <t>11466</t>
        </is>
      </c>
      <c r="B11507" s="4" t="s">
        <f>=HYPERLINK("http://anyluxury.ru/shop/odezhda/tolstovki/svitshot-uniseks-king-rozoviy-wu01k306/" , "WU01K306 Свитшот унисекс King, розовый, размер XS")</f>
      </c>
      <c r="C11507" s="4" t="n">
        <v>1915.00</v>
      </c>
      <c r="D11507" s="4"/>
    </row>
    <row collapsed="" customFormat="false" customHeight="1" hidden="" ht="14" outlineLevel="0" r="11508">
      <c r="A11508" s="3" t="inlineStr">
        <is>
          <t>11467</t>
        </is>
      </c>
      <c r="B11508" s="4" t="s">
        <f>=HYPERLINK("http://anyluxury.ru/shop/odezhda/tolstovki/svitshot-uniseks-king-rozoviy-wu01k306/" , "WU01K306 Свитшот унисекс King, розовый, размер S")</f>
      </c>
      <c r="C11508" s="4" t="n">
        <v>1915.00</v>
      </c>
      <c r="D11508" s="4"/>
    </row>
    <row collapsed="" customFormat="false" customHeight="1" hidden="" ht="14" outlineLevel="0" r="11509">
      <c r="A11509" s="3" t="inlineStr">
        <is>
          <t>11468</t>
        </is>
      </c>
      <c r="B11509" s="4" t="s">
        <f>=HYPERLINK("http://anyluxury.ru/shop/odezhda/tolstovki/svitshot-uniseks-king-rozoviy-wu01k306/" , "WU01K306 Свитшот унисекс King, розовый, размер M")</f>
      </c>
      <c r="C11509" s="4" t="n">
        <v>1915.00</v>
      </c>
      <c r="D11509" s="4"/>
    </row>
    <row collapsed="" customFormat="false" customHeight="1" hidden="" ht="14" outlineLevel="0" r="11510">
      <c r="A11510" s="3" t="inlineStr">
        <is>
          <t>11469</t>
        </is>
      </c>
      <c r="B11510" s="4" t="s">
        <f>=HYPERLINK("http://anyluxury.ru/shop/odezhda/tolstovki/svitshot-uniseks-king-rozoviy-wu01k306/" , "WU01K306 Свитшот унисекс King, розовый, размер L")</f>
      </c>
      <c r="C11510" s="4" t="n">
        <v>1915.00</v>
      </c>
      <c r="D11510" s="4"/>
    </row>
    <row collapsed="" customFormat="false" customHeight="1" hidden="" ht="14" outlineLevel="0" r="11511">
      <c r="A11511" s="3" t="inlineStr">
        <is>
          <t>11470</t>
        </is>
      </c>
      <c r="B11511" s="4" t="s">
        <f>=HYPERLINK("http://anyluxury.ru/shop/odezhda/tolstovki/svitshot-uniseks-king-rozoviy-wu01k306/" , "WU01K306 Свитшот унисекс King, розовый, размер XL")</f>
      </c>
      <c r="C11511" s="4" t="n">
        <v>1915.00</v>
      </c>
      <c r="D11511" s="4"/>
    </row>
    <row collapsed="" customFormat="false" customHeight="1" hidden="" ht="14" outlineLevel="0" r="11512">
      <c r="A11512" s="3" t="inlineStr">
        <is>
          <t>11471</t>
        </is>
      </c>
      <c r="B11512" s="4" t="s">
        <f>=HYPERLINK("http://anyluxury.ru/shop/odezhda/tolstovki/svitshot-uniseks-king-rozoviy-wu01k306/" , "WU01K306 Свитшот унисекс King, розовый, размер XXL")</f>
      </c>
      <c r="C11512" s="4" t="n">
        <v>1915.00</v>
      </c>
      <c r="D11512" s="4"/>
    </row>
    <row collapsed="" customFormat="false" customHeight="1" hidden="" ht="14" outlineLevel="0" r="11513">
      <c r="A11513" s="3" t="inlineStr">
        <is>
          <t>11472</t>
        </is>
      </c>
      <c r="B11513" s="4" t="s">
        <f>=HYPERLINK("http://anyluxury.ru/shop/odezhda/tolstovki/svitshot-uniseks-king-rozoviy-wu01k306/" , "WU01K306 Свитшот унисекс King, розовый, размер 3XL")</f>
      </c>
      <c r="C11513" s="4" t="n">
        <v>1915.00</v>
      </c>
      <c r="D11513" s="4"/>
    </row>
    <row collapsed="" customFormat="false" customHeight="1" hidden="" ht="14" outlineLevel="0" r="11514">
      <c r="A11514" s="3" t="inlineStr">
        <is>
          <t>11473</t>
        </is>
      </c>
      <c r="B11514" s="4" t="s">
        <f>=HYPERLINK("http://anyluxury.ru/shop/odezhda/tolstovki/svitshot-uniseks-king-yarkorozoviy-fuksiya-wu01k309/" , "WU01K309 Свитшот унисекс King, ярко-розовый (фуксия), размер XS")</f>
      </c>
      <c r="C11514" s="4" t="n">
        <v>1915.00</v>
      </c>
      <c r="D11514" s="4"/>
    </row>
    <row collapsed="" customFormat="false" customHeight="1" hidden="" ht="14" outlineLevel="0" r="11515">
      <c r="A11515" s="3" t="inlineStr">
        <is>
          <t>11474</t>
        </is>
      </c>
      <c r="B11515" s="4" t="s">
        <f>=HYPERLINK("http://anyluxury.ru/shop/odezhda/tolstovki/svitshot-uniseks-king-yarkorozoviy-fuksiya-wu01k309/" , "WU01K309 Свитшот унисекс King, ярко-розовый (фуксия), размер S")</f>
      </c>
      <c r="C11515" s="4" t="n">
        <v>1915.00</v>
      </c>
      <c r="D11515" s="4"/>
    </row>
    <row collapsed="" customFormat="false" customHeight="1" hidden="" ht="14" outlineLevel="0" r="11516">
      <c r="A11516" s="3" t="inlineStr">
        <is>
          <t>11475</t>
        </is>
      </c>
      <c r="B11516" s="4" t="s">
        <f>=HYPERLINK("http://anyluxury.ru/shop/odezhda/tolstovki/svitshot-uniseks-king-yarkorozoviy-fuksiya-wu01k309/" , "WU01K309 Свитшот унисекс King, ярко-розовый (фуксия), размер M")</f>
      </c>
      <c r="C11516" s="4" t="n">
        <v>1915.00</v>
      </c>
      <c r="D11516" s="4"/>
    </row>
    <row collapsed="" customFormat="false" customHeight="1" hidden="" ht="14" outlineLevel="0" r="11517">
      <c r="A11517" s="3" t="inlineStr">
        <is>
          <t>11476</t>
        </is>
      </c>
      <c r="B11517" s="4" t="s">
        <f>=HYPERLINK("http://anyluxury.ru/shop/odezhda/tolstovki/svitshot-uniseks-king-yarkorozoviy-fuksiya-wu01k309/" , "WU01K309 Свитшот унисекс King, ярко-розовый (фуксия), размер L")</f>
      </c>
      <c r="C11517" s="4" t="n">
        <v>1915.00</v>
      </c>
      <c r="D11517" s="4"/>
    </row>
    <row collapsed="" customFormat="false" customHeight="1" hidden="" ht="14" outlineLevel="0" r="11518">
      <c r="A11518" s="3" t="inlineStr">
        <is>
          <t>11477</t>
        </is>
      </c>
      <c r="B11518" s="4" t="s">
        <f>=HYPERLINK("http://anyluxury.ru/shop/odezhda/tolstovki/svitshot-uniseks-king-yarkorozoviy-fuksiya-wu01k309/" , "WU01K309 Свитшот унисекс King, ярко-розовый (фуксия), размер XL")</f>
      </c>
      <c r="C11518" s="4" t="n">
        <v>1915.00</v>
      </c>
      <c r="D11518" s="4"/>
    </row>
    <row collapsed="" customFormat="false" customHeight="1" hidden="" ht="14" outlineLevel="0" r="11519">
      <c r="A11519" s="3" t="inlineStr">
        <is>
          <t>11478</t>
        </is>
      </c>
      <c r="B11519" s="4" t="s">
        <f>=HYPERLINK("http://anyluxury.ru/shop/odezhda/tolstovki/svitshot-uniseks-king-yarkorozoviy-fuksiya-wu01k309/" , "WU01K309 Свитшот унисекс King, ярко-розовый (фуксия), размер XXL")</f>
      </c>
      <c r="C11519" s="4" t="n">
        <v>1915.00</v>
      </c>
      <c r="D11519" s="4"/>
    </row>
    <row collapsed="" customFormat="false" customHeight="1" hidden="" ht="14" outlineLevel="0" r="11520">
      <c r="A11520" s="3" t="inlineStr">
        <is>
          <t>11479</t>
        </is>
      </c>
      <c r="B11520" s="4" t="s">
        <f>=HYPERLINK("http://anyluxury.ru/shop/odezhda/tolstovki/svitshot-uniseks-king-yarkorozoviy-fuksiya-wu01k309/" , "WU01K309 Свитшот унисекс King, ярко-розовый (фуксия), размер 3XL")</f>
      </c>
      <c r="C11520" s="4" t="n">
        <v>1915.00</v>
      </c>
      <c r="D11520" s="4"/>
    </row>
    <row collapsed="" customFormat="false" customHeight="1" hidden="" ht="14" outlineLevel="0" r="11521">
      <c r="A11521" s="3" t="inlineStr">
        <is>
          <t>11480</t>
        </is>
      </c>
      <c r="B11521" s="4" t="s">
        <f>=HYPERLINK("http://anyluxury.ru/shop/odezhda/tolstovki/svitshot-uniseks-king-bordoviy-wu01k369/" , "WU01K369 Свитшот унисекс King, бордовый, размер XS")</f>
      </c>
      <c r="C11521" s="4" t="n">
        <v>1915.00</v>
      </c>
      <c r="D11521" s="4"/>
    </row>
    <row collapsed="" customFormat="false" customHeight="1" hidden="" ht="14" outlineLevel="0" r="11522">
      <c r="A11522" s="3" t="inlineStr">
        <is>
          <t>11481</t>
        </is>
      </c>
      <c r="B11522" s="4" t="s">
        <f>=HYPERLINK("http://anyluxury.ru/shop/odezhda/tolstovki/svitshot-uniseks-king-bordoviy-wu01k369/" , "WU01K369 Свитшот унисекс King, бордовый, размер S")</f>
      </c>
      <c r="C11522" s="4" t="n">
        <v>1915.00</v>
      </c>
      <c r="D11522" s="4"/>
    </row>
    <row collapsed="" customFormat="false" customHeight="1" hidden="" ht="14" outlineLevel="0" r="11523">
      <c r="A11523" s="3" t="inlineStr">
        <is>
          <t>11482</t>
        </is>
      </c>
      <c r="B11523" s="4" t="s">
        <f>=HYPERLINK("http://anyluxury.ru/shop/odezhda/tolstovki/svitshot-uniseks-king-bordoviy-wu01k369/" , "WU01K369 Свитшот унисекс King, бордовый, размер M")</f>
      </c>
      <c r="C11523" s="4" t="n">
        <v>1915.00</v>
      </c>
      <c r="D11523" s="4"/>
    </row>
    <row collapsed="" customFormat="false" customHeight="1" hidden="" ht="14" outlineLevel="0" r="11524">
      <c r="A11524" s="3" t="inlineStr">
        <is>
          <t>11483</t>
        </is>
      </c>
      <c r="B11524" s="4" t="s">
        <f>=HYPERLINK("http://anyluxury.ru/shop/odezhda/tolstovki/svitshot-uniseks-king-bordoviy-wu01k369/" , "WU01K369 Свитшот унисекс King, бордовый, размер L")</f>
      </c>
      <c r="C11524" s="4" t="n">
        <v>1915.00</v>
      </c>
      <c r="D11524" s="4"/>
    </row>
    <row collapsed="" customFormat="false" customHeight="1" hidden="" ht="14" outlineLevel="0" r="11525">
      <c r="A11525" s="3" t="inlineStr">
        <is>
          <t>11484</t>
        </is>
      </c>
      <c r="B11525" s="4" t="s">
        <f>=HYPERLINK("http://anyluxury.ru/shop/odezhda/tolstovki/svitshot-uniseks-king-bordoviy-wu01k369/" , "WU01K369 Свитшот унисекс King, бордовый, размер XL")</f>
      </c>
      <c r="C11525" s="4" t="n">
        <v>1915.00</v>
      </c>
      <c r="D11525" s="4"/>
    </row>
    <row collapsed="" customFormat="false" customHeight="1" hidden="" ht="14" outlineLevel="0" r="11526">
      <c r="A11526" s="3" t="inlineStr">
        <is>
          <t>11485</t>
        </is>
      </c>
      <c r="B11526" s="4" t="s">
        <f>=HYPERLINK("http://anyluxury.ru/shop/odezhda/tolstovki/svitshot-uniseks-king-bordoviy-wu01k369/" , "WU01K369 Свитшот унисекс King, бордовый, размер XXL")</f>
      </c>
      <c r="C11526" s="4" t="n">
        <v>1915.00</v>
      </c>
      <c r="D11526" s="4"/>
    </row>
    <row collapsed="" customFormat="false" customHeight="1" hidden="" ht="14" outlineLevel="0" r="11527">
      <c r="A11527" s="3" t="inlineStr">
        <is>
          <t>11486</t>
        </is>
      </c>
      <c r="B11527" s="4" t="s">
        <f>=HYPERLINK("http://anyluxury.ru/shop/odezhda/tolstovki/svitshot-uniseks-king-bordoviy-wu01k369/" , "WU01K369 Свитшот унисекс King, бордовый, размер 3XL")</f>
      </c>
      <c r="C11527" s="4" t="n">
        <v>1915.00</v>
      </c>
      <c r="D11527" s="4"/>
    </row>
    <row collapsed="" customFormat="false" customHeight="1" hidden="" ht="14" outlineLevel="0" r="11528">
      <c r="A11528" s="3" t="inlineStr">
        <is>
          <t>11487</t>
        </is>
      </c>
      <c r="B11528" s="4" t="s">
        <f>=HYPERLINK("http://anyluxury.ru/shop/odezhda/tolstovki/svitshot-uniseks-king-serosiniy-wu01k461/" , "WU01K461 Свитшот унисекс King, серо-синий, размер XS")</f>
      </c>
      <c r="C11528" s="4" t="n">
        <v>1915.00</v>
      </c>
      <c r="D11528" s="4"/>
    </row>
    <row collapsed="" customFormat="false" customHeight="1" hidden="" ht="14" outlineLevel="0" r="11529">
      <c r="A11529" s="3" t="inlineStr">
        <is>
          <t>11488</t>
        </is>
      </c>
      <c r="B11529" s="4" t="s">
        <f>=HYPERLINK("http://anyluxury.ru/shop/odezhda/tolstovki/svitshot-uniseks-king-serosiniy-wu01k461/" , "WU01K461 Свитшот унисекс King, серо-синий, размер S")</f>
      </c>
      <c r="C11529" s="4" t="n">
        <v>1915.00</v>
      </c>
      <c r="D11529" s="4"/>
    </row>
    <row collapsed="" customFormat="false" customHeight="1" hidden="" ht="14" outlineLevel="0" r="11530">
      <c r="A11530" s="3" t="inlineStr">
        <is>
          <t>11489</t>
        </is>
      </c>
      <c r="B11530" s="4" t="s">
        <f>=HYPERLINK("http://anyluxury.ru/shop/odezhda/tolstovki/svitshot-uniseks-king-serosiniy-wu01k461/" , "WU01K461 Свитшот унисекс King, серо-синий, размер M")</f>
      </c>
      <c r="C11530" s="4" t="n">
        <v>1915.00</v>
      </c>
      <c r="D11530" s="4"/>
    </row>
    <row collapsed="" customFormat="false" customHeight="1" hidden="" ht="14" outlineLevel="0" r="11531">
      <c r="A11531" s="3" t="inlineStr">
        <is>
          <t>11490</t>
        </is>
      </c>
      <c r="B11531" s="4" t="s">
        <f>=HYPERLINK("http://anyluxury.ru/shop/odezhda/tolstovki/svitshot-uniseks-king-serosiniy-wu01k461/" , "WU01K461 Свитшот унисекс King, серо-синий, размер L")</f>
      </c>
      <c r="C11531" s="4" t="n">
        <v>1915.00</v>
      </c>
      <c r="D11531" s="4"/>
    </row>
    <row collapsed="" customFormat="false" customHeight="1" hidden="" ht="14" outlineLevel="0" r="11532">
      <c r="A11532" s="3" t="inlineStr">
        <is>
          <t>11491</t>
        </is>
      </c>
      <c r="B11532" s="4" t="s">
        <f>=HYPERLINK("http://anyluxury.ru/shop/odezhda/tolstovki/svitshot-uniseks-king-serosiniy-wu01k461/" , "WU01K461 Свитшот унисекс King, серо-синий, размер XL")</f>
      </c>
      <c r="C11532" s="4" t="n">
        <v>1915.00</v>
      </c>
      <c r="D11532" s="4"/>
    </row>
    <row collapsed="" customFormat="false" customHeight="1" hidden="" ht="14" outlineLevel="0" r="11533">
      <c r="A11533" s="3" t="inlineStr">
        <is>
          <t>11492</t>
        </is>
      </c>
      <c r="B11533" s="4" t="s">
        <f>=HYPERLINK("http://anyluxury.ru/shop/odezhda/tolstovki/svitshot-uniseks-king-serosiniy-wu01k461/" , "WU01K461 Свитшот унисекс King, серо-синий, размер XXL")</f>
      </c>
      <c r="C11533" s="4" t="n">
        <v>1915.00</v>
      </c>
      <c r="D11533" s="4"/>
    </row>
    <row collapsed="" customFormat="false" customHeight="1" hidden="" ht="14" outlineLevel="0" r="11534">
      <c r="A11534" s="3" t="inlineStr">
        <is>
          <t>11493</t>
        </is>
      </c>
      <c r="B11534" s="4" t="s">
        <f>=HYPERLINK("http://anyluxury.ru/shop/odezhda/tolstovki/svitshot-uniseks-king-serosiniy-wu01k461/" , "WU01K461 Свитшот унисекс King, серо-синий, размер 3XL")</f>
      </c>
      <c r="C11534" s="4" t="n">
        <v>1915.00</v>
      </c>
      <c r="D11534" s="4"/>
    </row>
    <row collapsed="" customFormat="false" customHeight="1" hidden="" ht="14" outlineLevel="0" r="11535">
      <c r="A11535" s="3" t="inlineStr">
        <is>
          <t>11494</t>
        </is>
      </c>
      <c r="B11535" s="4" t="s">
        <f>=HYPERLINK("http://anyluxury.ru/shop/odezhda/tolstovki/svitshot-uniseks-king-haki-wu01k555/" , "WU01K555 Свитшот унисекс King, хаки, размер XS")</f>
      </c>
      <c r="C11535" s="4" t="n">
        <v>1915.00</v>
      </c>
      <c r="D11535" s="4"/>
    </row>
    <row collapsed="" customFormat="false" customHeight="1" hidden="" ht="14" outlineLevel="0" r="11536">
      <c r="A11536" s="3" t="inlineStr">
        <is>
          <t>11495</t>
        </is>
      </c>
      <c r="B11536" s="4" t="s">
        <f>=HYPERLINK("http://anyluxury.ru/shop/odezhda/tolstovki/svitshot-uniseks-king-haki-wu01k555/" , "WU01K555 Свитшот унисекс King, хаки, размер S")</f>
      </c>
      <c r="C11536" s="4" t="n">
        <v>1915.00</v>
      </c>
      <c r="D11536" s="4"/>
    </row>
    <row collapsed="" customFormat="false" customHeight="1" hidden="" ht="14" outlineLevel="0" r="11537">
      <c r="A11537" s="3" t="inlineStr">
        <is>
          <t>11496</t>
        </is>
      </c>
      <c r="B11537" s="4" t="s">
        <f>=HYPERLINK("http://anyluxury.ru/shop/odezhda/tolstovki/svitshot-uniseks-king-haki-wu01k555/" , "WU01K555 Свитшот унисекс King, хаки, размер M")</f>
      </c>
      <c r="C11537" s="4" t="n">
        <v>1915.00</v>
      </c>
      <c r="D11537" s="4"/>
    </row>
    <row collapsed="" customFormat="false" customHeight="1" hidden="" ht="14" outlineLevel="0" r="11538">
      <c r="A11538" s="3" t="inlineStr">
        <is>
          <t>11497</t>
        </is>
      </c>
      <c r="B11538" s="4" t="s">
        <f>=HYPERLINK("http://anyluxury.ru/shop/odezhda/tolstovki/svitshot-uniseks-king-haki-wu01k555/" , "WU01K555 Свитшот унисекс King, хаки, размер L")</f>
      </c>
      <c r="C11538" s="4" t="n">
        <v>1915.00</v>
      </c>
      <c r="D11538" s="4"/>
    </row>
    <row collapsed="" customFormat="false" customHeight="1" hidden="" ht="14" outlineLevel="0" r="11539">
      <c r="A11539" s="3" t="inlineStr">
        <is>
          <t>11498</t>
        </is>
      </c>
      <c r="B11539" s="4" t="s">
        <f>=HYPERLINK("http://anyluxury.ru/shop/odezhda/tolstovki/svitshot-uniseks-king-haki-wu01k555/" , "WU01K555 Свитшот унисекс King, хаки, размер XL")</f>
      </c>
      <c r="C11539" s="4" t="n">
        <v>1915.00</v>
      </c>
      <c r="D11539" s="4"/>
    </row>
    <row collapsed="" customFormat="false" customHeight="1" hidden="" ht="14" outlineLevel="0" r="11540">
      <c r="A11540" s="3" t="inlineStr">
        <is>
          <t>11499</t>
        </is>
      </c>
      <c r="B11540" s="4" t="s">
        <f>=HYPERLINK("http://anyluxury.ru/shop/odezhda/tolstovki/svitshot-uniseks-king-haki-wu01k555/" , "WU01K555 Свитшот унисекс King, хаки, размер XXL")</f>
      </c>
      <c r="C11540" s="4" t="n">
        <v>1915.00</v>
      </c>
      <c r="D11540" s="4"/>
    </row>
    <row collapsed="" customFormat="false" customHeight="1" hidden="" ht="14" outlineLevel="0" r="11541">
      <c r="A11541" s="3" t="inlineStr">
        <is>
          <t>11500</t>
        </is>
      </c>
      <c r="B11541" s="4" t="s">
        <f>=HYPERLINK("http://anyluxury.ru/shop/odezhda/tolstovki/svitshot-uniseks-king-haki-wu01k555/" , "WU01K555 Свитшот унисекс King, хаки, размер 3XL")</f>
      </c>
      <c r="C11541" s="4" t="n">
        <v>1915.00</v>
      </c>
      <c r="D11541" s="4"/>
    </row>
    <row collapsed="" customFormat="false" customHeight="1" hidden="" ht="14" outlineLevel="0" r="11542">
      <c r="A11542" s="3" t="inlineStr">
        <is>
          <t>11501</t>
        </is>
      </c>
      <c r="B11542" s="4" t="s">
        <f>=HYPERLINK("http://anyluxury.ru/shop/odezhda/tolstovki/svitshot-uniseks-king-temnoseriy-melanzh-wu01k623/" , "WU01K623 Свитшот унисекс King, темно-серый меланж, размер XS")</f>
      </c>
      <c r="C11542" s="4" t="n">
        <v>1915.00</v>
      </c>
      <c r="D11542" s="4"/>
    </row>
    <row collapsed="" customFormat="false" customHeight="1" hidden="" ht="14" outlineLevel="0" r="11543">
      <c r="A11543" s="3" t="inlineStr">
        <is>
          <t>11502</t>
        </is>
      </c>
      <c r="B11543" s="4" t="s">
        <f>=HYPERLINK("http://anyluxury.ru/shop/odezhda/tolstovki/svitshot-uniseks-king-temnoseriy-melanzh-wu01k623/" , "WU01K623 Свитшот унисекс King, темно-серый меланж, размер S")</f>
      </c>
      <c r="C11543" s="4" t="n">
        <v>1915.00</v>
      </c>
      <c r="D11543" s="4"/>
    </row>
    <row collapsed="" customFormat="false" customHeight="1" hidden="" ht="14" outlineLevel="0" r="11544">
      <c r="A11544" s="3" t="inlineStr">
        <is>
          <t>11503</t>
        </is>
      </c>
      <c r="B11544" s="4" t="s">
        <f>=HYPERLINK("http://anyluxury.ru/shop/odezhda/tolstovki/svitshot-uniseks-king-temnoseriy-melanzh-wu01k623/" , "WU01K623 Свитшот унисекс King, темно-серый меланж, размер M")</f>
      </c>
      <c r="C11544" s="4" t="n">
        <v>1915.00</v>
      </c>
      <c r="D11544" s="4"/>
    </row>
    <row collapsed="" customFormat="false" customHeight="1" hidden="" ht="14" outlineLevel="0" r="11545">
      <c r="A11545" s="3" t="inlineStr">
        <is>
          <t>11504</t>
        </is>
      </c>
      <c r="B11545" s="4" t="s">
        <f>=HYPERLINK("http://anyluxury.ru/shop/odezhda/tolstovki/svitshot-uniseks-king-temnoseriy-melanzh-wu01k623/" , "WU01K623 Свитшот унисекс King, темно-серый меланж, размер L")</f>
      </c>
      <c r="C11545" s="4" t="n">
        <v>1915.00</v>
      </c>
      <c r="D11545" s="4"/>
    </row>
    <row collapsed="" customFormat="false" customHeight="1" hidden="" ht="14" outlineLevel="0" r="11546">
      <c r="A11546" s="3" t="inlineStr">
        <is>
          <t>11505</t>
        </is>
      </c>
      <c r="B11546" s="4" t="s">
        <f>=HYPERLINK("http://anyluxury.ru/shop/odezhda/tolstovki/svitshot-uniseks-king-temnoseriy-melanzh-wu01k623/" , "WU01K623 Свитшот унисекс King, темно-серый меланж, размер XL")</f>
      </c>
      <c r="C11546" s="4" t="n">
        <v>1915.00</v>
      </c>
      <c r="D11546" s="4"/>
    </row>
    <row collapsed="" customFormat="false" customHeight="1" hidden="" ht="14" outlineLevel="0" r="11547">
      <c r="A11547" s="3" t="inlineStr">
        <is>
          <t>11506</t>
        </is>
      </c>
      <c r="B11547" s="4" t="s">
        <f>=HYPERLINK("http://anyluxury.ru/shop/odezhda/tolstovki/svitshot-uniseks-king-temnoseriy-melanzh-wu01k623/" , "WU01K623 Свитшот унисекс King, темно-серый меланж, размер XXL")</f>
      </c>
      <c r="C11547" s="4" t="n">
        <v>1915.00</v>
      </c>
      <c r="D11547" s="4"/>
    </row>
    <row collapsed="" customFormat="false" customHeight="1" hidden="" ht="14" outlineLevel="0" r="11548">
      <c r="A11548" s="3" t="inlineStr">
        <is>
          <t>11507</t>
        </is>
      </c>
      <c r="B11548" s="4" t="s">
        <f>=HYPERLINK("http://anyluxury.ru/shop/odezhda/tolstovki/svitshot-uniseks-king-temnoseriy-melanzh-wu01k623/" , "WU01K623 Свитшот унисекс King, темно-серый меланж, размер 3XL")</f>
      </c>
      <c r="C11548" s="4" t="n">
        <v>1915.00</v>
      </c>
      <c r="D11548" s="4"/>
    </row>
    <row collapsed="" customFormat="false" customHeight="1" hidden="" ht="14" outlineLevel="0" r="11549">
      <c r="A11549" s="3" t="inlineStr">
        <is>
          <t>11508</t>
        </is>
      </c>
      <c r="B11549" s="4" t="s">
        <f>=HYPERLINK("http://anyluxury.ru/shop/odezhda/tolstovki/svitshot-zhenskiy-queen-zheltiy-ww01q205/" , "WW01Q205 Свитшот женский Queen, желтый, размер XS")</f>
      </c>
      <c r="C11549" s="4" t="n">
        <v>1848.00</v>
      </c>
      <c r="D11549" s="4"/>
    </row>
    <row collapsed="" customFormat="false" customHeight="1" hidden="" ht="14" outlineLevel="0" r="11550">
      <c r="A11550" s="3" t="inlineStr">
        <is>
          <t>11509</t>
        </is>
      </c>
      <c r="B11550" s="4" t="s">
        <f>=HYPERLINK("http://anyluxury.ru/shop/odezhda/tolstovki/svitshot-zhenskiy-queen-zheltiy-ww01q205/" , "WW01Q205 Свитшот женский Queen, желтый, размер S")</f>
      </c>
      <c r="C11550" s="4" t="n">
        <v>1848.00</v>
      </c>
      <c r="D11550" s="4"/>
    </row>
    <row collapsed="" customFormat="false" customHeight="1" hidden="" ht="14" outlineLevel="0" r="11551">
      <c r="A11551" s="3" t="inlineStr">
        <is>
          <t>11510</t>
        </is>
      </c>
      <c r="B11551" s="4" t="s">
        <f>=HYPERLINK("http://anyluxury.ru/shop/odezhda/tolstovki/svitshot-zhenskiy-queen-zheltiy-ww01q205/" , "WW01Q205 Свитшот женский Queen, желтый, размер M")</f>
      </c>
      <c r="C11551" s="4" t="n">
        <v>1848.00</v>
      </c>
      <c r="D11551" s="4"/>
    </row>
    <row collapsed="" customFormat="false" customHeight="1" hidden="" ht="14" outlineLevel="0" r="11552">
      <c r="A11552" s="3" t="inlineStr">
        <is>
          <t>11511</t>
        </is>
      </c>
      <c r="B11552" s="4" t="s">
        <f>=HYPERLINK("http://anyluxury.ru/shop/odezhda/tolstovki/svitshot-zhenskiy-queen-zheltiy-ww01q205/" , "WW01Q205 Свитшот женский Queen, желтый, размер L")</f>
      </c>
      <c r="C11552" s="4" t="n">
        <v>1848.00</v>
      </c>
      <c r="D11552" s="4"/>
    </row>
    <row collapsed="" customFormat="false" customHeight="1" hidden="" ht="14" outlineLevel="0" r="11553">
      <c r="A11553" s="3" t="inlineStr">
        <is>
          <t>11512</t>
        </is>
      </c>
      <c r="B11553" s="4" t="s">
        <f>=HYPERLINK("http://anyluxury.ru/shop/odezhda/tolstovki/svitshot-zhenskiy-queen-zheltiy-ww01q205/" , "WW01Q205 Свитшот женский Queen, желтый, размер XL")</f>
      </c>
      <c r="C11553" s="4" t="n">
        <v>1848.00</v>
      </c>
      <c r="D11553" s="4"/>
    </row>
    <row collapsed="" customFormat="false" customHeight="1" hidden="" ht="14" outlineLevel="0" r="11554">
      <c r="A11554" s="3" t="inlineStr">
        <is>
          <t>11513</t>
        </is>
      </c>
      <c r="B11554" s="4" t="s">
        <f>=HYPERLINK("http://anyluxury.ru/shop/odezhda/tolstovki/svitshot-zhenskiy-queen-zheltiy-ww01q205/" , "WW01Q205 Свитшот женский Queen, желтый, размер XXL")</f>
      </c>
      <c r="C11554" s="4" t="n">
        <v>1848.00</v>
      </c>
      <c r="D11554" s="4"/>
    </row>
    <row collapsed="" customFormat="false" customHeight="1" hidden="" ht="14" outlineLevel="0" r="11555">
      <c r="A11555" s="3" t="inlineStr">
        <is>
          <t>11514</t>
        </is>
      </c>
      <c r="B11555" s="4" t="s">
        <f>=HYPERLINK("http://anyluxury.ru/shop/odezhda/tolstovki/svitshot-zhenskiy-queen-oranzheviy-ww01q233/" , "WW01Q233 Свитшот женский Queen, оранжевый, размер XS")</f>
      </c>
      <c r="C11555" s="4" t="n">
        <v>1848.00</v>
      </c>
      <c r="D11555" s="4"/>
    </row>
    <row collapsed="" customFormat="false" customHeight="1" hidden="" ht="14" outlineLevel="0" r="11556">
      <c r="A11556" s="3" t="inlineStr">
        <is>
          <t>11515</t>
        </is>
      </c>
      <c r="B11556" s="4" t="s">
        <f>=HYPERLINK("http://anyluxury.ru/shop/odezhda/tolstovki/svitshot-zhenskiy-queen-oranzheviy-ww01q233/" , "WW01Q233 Свитшот женский Queen, оранжевый, размер S")</f>
      </c>
      <c r="C11556" s="4" t="n">
        <v>1848.00</v>
      </c>
      <c r="D11556" s="4"/>
    </row>
    <row collapsed="" customFormat="false" customHeight="1" hidden="" ht="14" outlineLevel="0" r="11557">
      <c r="A11557" s="3" t="inlineStr">
        <is>
          <t>11516</t>
        </is>
      </c>
      <c r="B11557" s="4" t="s">
        <f>=HYPERLINK("http://anyluxury.ru/shop/odezhda/tolstovki/svitshot-zhenskiy-queen-oranzheviy-ww01q233/" , "WW01Q233 Свитшот женский Queen, оранжевый, размер M")</f>
      </c>
      <c r="C11557" s="4" t="n">
        <v>1848.00</v>
      </c>
      <c r="D11557" s="4"/>
    </row>
    <row collapsed="" customFormat="false" customHeight="1" hidden="" ht="14" outlineLevel="0" r="11558">
      <c r="A11558" s="3" t="inlineStr">
        <is>
          <t>11517</t>
        </is>
      </c>
      <c r="B11558" s="4" t="s">
        <f>=HYPERLINK("http://anyluxury.ru/shop/odezhda/tolstovki/svitshot-zhenskiy-queen-oranzheviy-ww01q233/" , "WW01Q233 Свитшот женский Queen, оранжевый, размер L")</f>
      </c>
      <c r="C11558" s="4" t="n">
        <v>1848.00</v>
      </c>
      <c r="D11558" s="4"/>
    </row>
    <row collapsed="" customFormat="false" customHeight="1" hidden="" ht="14" outlineLevel="0" r="11559">
      <c r="A11559" s="3" t="inlineStr">
        <is>
          <t>11518</t>
        </is>
      </c>
      <c r="B11559" s="4" t="s">
        <f>=HYPERLINK("http://anyluxury.ru/shop/odezhda/tolstovki/svitshot-zhenskiy-queen-oranzheviy-ww01q233/" , "WW01Q233 Свитшот женский Queen, оранжевый, размер XL")</f>
      </c>
      <c r="C11559" s="4" t="n">
        <v>1848.00</v>
      </c>
      <c r="D11559" s="4"/>
    </row>
    <row collapsed="" customFormat="false" customHeight="1" hidden="" ht="14" outlineLevel="0" r="11560">
      <c r="A11560" s="3" t="inlineStr">
        <is>
          <t>11519</t>
        </is>
      </c>
      <c r="B11560" s="4" t="s">
        <f>=HYPERLINK("http://anyluxury.ru/shop/odezhda/tolstovki/svitshot-zhenskiy-queen-oranzheviy-ww01q233/" , "WW01Q233 Свитшот женский Queen, оранжевый, размер XXL")</f>
      </c>
      <c r="C11560" s="4" t="n">
        <v>1848.00</v>
      </c>
      <c r="D11560" s="4"/>
    </row>
    <row collapsed="" customFormat="false" customHeight="1" hidden="" ht="14" outlineLevel="0" r="11561">
      <c r="A11561" s="3" t="inlineStr">
        <is>
          <t>11520</t>
        </is>
      </c>
      <c r="B11561" s="4" t="s">
        <f>=HYPERLINK("http://anyluxury.ru/shop/odezhda/tolstovki/svitshot-zhenskiy-queen-rozoviy-ww01q306/" , "WW01Q306 Свитшот женский Queen, розовый, размер XS")</f>
      </c>
      <c r="C11561" s="4" t="n">
        <v>1848.00</v>
      </c>
      <c r="D11561" s="4"/>
    </row>
    <row collapsed="" customFormat="false" customHeight="1" hidden="" ht="14" outlineLevel="0" r="11562">
      <c r="A11562" s="3" t="inlineStr">
        <is>
          <t>11521</t>
        </is>
      </c>
      <c r="B11562" s="4" t="s">
        <f>=HYPERLINK("http://anyluxury.ru/shop/odezhda/tolstovki/svitshot-zhenskiy-queen-rozoviy-ww01q306/" , "WW01Q306 Свитшот женский Queen, розовый, размер S")</f>
      </c>
      <c r="C11562" s="4" t="n">
        <v>1848.00</v>
      </c>
      <c r="D11562" s="4"/>
    </row>
    <row collapsed="" customFormat="false" customHeight="1" hidden="" ht="14" outlineLevel="0" r="11563">
      <c r="A11563" s="3" t="inlineStr">
        <is>
          <t>11522</t>
        </is>
      </c>
      <c r="B11563" s="4" t="s">
        <f>=HYPERLINK("http://anyluxury.ru/shop/odezhda/tolstovki/svitshot-zhenskiy-queen-rozoviy-ww01q306/" , "WW01Q306 Свитшот женский Queen, розовый, размер M")</f>
      </c>
      <c r="C11563" s="4" t="n">
        <v>1848.00</v>
      </c>
      <c r="D11563" s="4"/>
    </row>
    <row collapsed="" customFormat="false" customHeight="1" hidden="" ht="14" outlineLevel="0" r="11564">
      <c r="A11564" s="3" t="inlineStr">
        <is>
          <t>11523</t>
        </is>
      </c>
      <c r="B11564" s="4" t="s">
        <f>=HYPERLINK("http://anyluxury.ru/shop/odezhda/tolstovki/svitshot-zhenskiy-queen-rozoviy-ww01q306/" , "WW01Q306 Свитшот женский Queen, розовый, размер L")</f>
      </c>
      <c r="C11564" s="4" t="n">
        <v>1848.00</v>
      </c>
      <c r="D11564" s="4"/>
    </row>
    <row collapsed="" customFormat="false" customHeight="1" hidden="" ht="14" outlineLevel="0" r="11565">
      <c r="A11565" s="3" t="inlineStr">
        <is>
          <t>11524</t>
        </is>
      </c>
      <c r="B11565" s="4" t="s">
        <f>=HYPERLINK("http://anyluxury.ru/shop/odezhda/tolstovki/svitshot-zhenskiy-queen-rozoviy-ww01q306/" , "WW01Q306 Свитшот женский Queen, розовый, размер XL")</f>
      </c>
      <c r="C11565" s="4" t="n">
        <v>1848.00</v>
      </c>
      <c r="D11565" s="4"/>
    </row>
    <row collapsed="" customFormat="false" customHeight="1" hidden="" ht="14" outlineLevel="0" r="11566">
      <c r="A11566" s="3" t="inlineStr">
        <is>
          <t>11525</t>
        </is>
      </c>
      <c r="B11566" s="4" t="s">
        <f>=HYPERLINK("http://anyluxury.ru/shop/odezhda/tolstovki/svitshot-zhenskiy-queen-rozoviy-ww01q306/" , "WW01Q306 Свитшот женский Queen, розовый, размер XXL")</f>
      </c>
      <c r="C11566" s="4" t="n">
        <v>1848.00</v>
      </c>
      <c r="D11566" s="4"/>
    </row>
    <row collapsed="" customFormat="false" customHeight="1" hidden="" ht="14" outlineLevel="0" r="11567">
      <c r="A11567" s="3" t="inlineStr">
        <is>
          <t>11526</t>
        </is>
      </c>
      <c r="B11567" s="4" t="s">
        <f>=HYPERLINK("http://anyluxury.ru/shop/odezhda/tolstovki/svitshot-zhenskiy-queen-yarkorozoviy-fuksiya-ww01q309/" , "WW01Q309 Свитшот женский Queen, ярко-розовый (фуксия), размер XS")</f>
      </c>
      <c r="C11567" s="4" t="n">
        <v>1848.00</v>
      </c>
      <c r="D11567" s="4"/>
    </row>
    <row collapsed="" customFormat="false" customHeight="1" hidden="" ht="14" outlineLevel="0" r="11568">
      <c r="A11568" s="3" t="inlineStr">
        <is>
          <t>11527</t>
        </is>
      </c>
      <c r="B11568" s="4" t="s">
        <f>=HYPERLINK("http://anyluxury.ru/shop/odezhda/tolstovki/svitshot-zhenskiy-queen-yarkorozoviy-fuksiya-ww01q309/" , "WW01Q309 Свитшот женский Queen, ярко-розовый (фуксия), размер S")</f>
      </c>
      <c r="C11568" s="4" t="n">
        <v>1848.00</v>
      </c>
      <c r="D11568" s="4"/>
    </row>
    <row collapsed="" customFormat="false" customHeight="1" hidden="" ht="14" outlineLevel="0" r="11569">
      <c r="A11569" s="3" t="inlineStr">
        <is>
          <t>11528</t>
        </is>
      </c>
      <c r="B11569" s="4" t="s">
        <f>=HYPERLINK("http://anyluxury.ru/shop/odezhda/tolstovki/svitshot-zhenskiy-queen-yarkorozoviy-fuksiya-ww01q309/" , "WW01Q309 Свитшот женский Queen, ярко-розовый (фуксия), размер M")</f>
      </c>
      <c r="C11569" s="4" t="n">
        <v>1848.00</v>
      </c>
      <c r="D11569" s="4"/>
    </row>
    <row collapsed="" customFormat="false" customHeight="1" hidden="" ht="14" outlineLevel="0" r="11570">
      <c r="A11570" s="3" t="inlineStr">
        <is>
          <t>11529</t>
        </is>
      </c>
      <c r="B11570" s="4" t="s">
        <f>=HYPERLINK("http://anyluxury.ru/shop/odezhda/tolstovki/svitshot-zhenskiy-queen-yarkorozoviy-fuksiya-ww01q309/" , "WW01Q309 Свитшот женский Queen, ярко-розовый (фуксия), размер L")</f>
      </c>
      <c r="C11570" s="4" t="n">
        <v>1848.00</v>
      </c>
      <c r="D11570" s="4"/>
    </row>
    <row collapsed="" customFormat="false" customHeight="1" hidden="" ht="14" outlineLevel="0" r="11571">
      <c r="A11571" s="3" t="inlineStr">
        <is>
          <t>11530</t>
        </is>
      </c>
      <c r="B11571" s="4" t="s">
        <f>=HYPERLINK("http://anyluxury.ru/shop/odezhda/tolstovki/svitshot-zhenskiy-queen-yarkorozoviy-fuksiya-ww01q309/" , "WW01Q309 Свитшот женский Queen, ярко-розовый (фуксия), размер XL")</f>
      </c>
      <c r="C11571" s="4" t="n">
        <v>1848.00</v>
      </c>
      <c r="D11571" s="4"/>
    </row>
    <row collapsed="" customFormat="false" customHeight="1" hidden="" ht="14" outlineLevel="0" r="11572">
      <c r="A11572" s="3" t="inlineStr">
        <is>
          <t>11531</t>
        </is>
      </c>
      <c r="B11572" s="4" t="s">
        <f>=HYPERLINK("http://anyluxury.ru/shop/odezhda/tolstovki/svitshot-zhenskiy-queen-yarkorozoviy-fuksiya-ww01q309/" , "WW01Q309 Свитшот женский Queen, ярко-розовый (фуксия), размер XXL")</f>
      </c>
      <c r="C11572" s="4" t="n">
        <v>1848.00</v>
      </c>
      <c r="D11572" s="4"/>
    </row>
    <row collapsed="" customFormat="false" customHeight="1" hidden="" ht="14" outlineLevel="0" r="11573">
      <c r="A11573" s="3" t="inlineStr">
        <is>
          <t>11532</t>
        </is>
      </c>
      <c r="B11573" s="4" t="s">
        <f>=HYPERLINK("http://anyluxury.ru/shop/odezhda/tolstovki/svitshot-zhenskiy-queen-bordoviy-ww01q369/" , "WW01Q369 Свитшот женский Queen, бордовый, размер XS")</f>
      </c>
      <c r="C11573" s="4" t="n">
        <v>1848.00</v>
      </c>
      <c r="D11573" s="4"/>
    </row>
    <row collapsed="" customFormat="false" customHeight="1" hidden="" ht="14" outlineLevel="0" r="11574">
      <c r="A11574" s="3" t="inlineStr">
        <is>
          <t>11533</t>
        </is>
      </c>
      <c r="B11574" s="4" t="s">
        <f>=HYPERLINK("http://anyluxury.ru/shop/odezhda/tolstovki/svitshot-zhenskiy-queen-bordoviy-ww01q369/" , "WW01Q369 Свитшот женский Queen, бордовый, размер S")</f>
      </c>
      <c r="C11574" s="4" t="n">
        <v>1848.00</v>
      </c>
      <c r="D11574" s="4"/>
    </row>
    <row collapsed="" customFormat="false" customHeight="1" hidden="" ht="14" outlineLevel="0" r="11575">
      <c r="A11575" s="3" t="inlineStr">
        <is>
          <t>11534</t>
        </is>
      </c>
      <c r="B11575" s="4" t="s">
        <f>=HYPERLINK("http://anyluxury.ru/shop/odezhda/tolstovki/svitshot-zhenskiy-queen-bordoviy-ww01q369/" , "WW01Q369 Свитшот женский Queen, бордовый, размер M")</f>
      </c>
      <c r="C11575" s="4" t="n">
        <v>1848.00</v>
      </c>
      <c r="D11575" s="4"/>
    </row>
    <row collapsed="" customFormat="false" customHeight="1" hidden="" ht="14" outlineLevel="0" r="11576">
      <c r="A11576" s="3" t="inlineStr">
        <is>
          <t>11535</t>
        </is>
      </c>
      <c r="B11576" s="4" t="s">
        <f>=HYPERLINK("http://anyluxury.ru/shop/odezhda/tolstovki/svitshot-zhenskiy-queen-bordoviy-ww01q369/" , "WW01Q369 Свитшот женский Queen, бордовый, размер L")</f>
      </c>
      <c r="C11576" s="4" t="n">
        <v>1848.00</v>
      </c>
      <c r="D11576" s="4"/>
    </row>
    <row collapsed="" customFormat="false" customHeight="1" hidden="" ht="14" outlineLevel="0" r="11577">
      <c r="A11577" s="3" t="inlineStr">
        <is>
          <t>11536</t>
        </is>
      </c>
      <c r="B11577" s="4" t="s">
        <f>=HYPERLINK("http://anyluxury.ru/shop/odezhda/tolstovki/svitshot-zhenskiy-queen-bordoviy-ww01q369/" , "WW01Q369 Свитшот женский Queen, бордовый, размер XL")</f>
      </c>
      <c r="C11577" s="4" t="n">
        <v>1848.00</v>
      </c>
      <c r="D11577" s="4"/>
    </row>
    <row collapsed="" customFormat="false" customHeight="1" hidden="" ht="14" outlineLevel="0" r="11578">
      <c r="A11578" s="3" t="inlineStr">
        <is>
          <t>11537</t>
        </is>
      </c>
      <c r="B11578" s="4" t="s">
        <f>=HYPERLINK("http://anyluxury.ru/shop/odezhda/tolstovki/svitshot-zhenskiy-queen-bordoviy-ww01q369/" , "WW01Q369 Свитшот женский Queen, бордовый, размер XXL")</f>
      </c>
      <c r="C11578" s="4" t="n">
        <v>1848.00</v>
      </c>
      <c r="D11578" s="4"/>
    </row>
    <row collapsed="" customFormat="false" customHeight="1" hidden="" ht="14" outlineLevel="0" r="11579">
      <c r="A11579" s="3" t="inlineStr">
        <is>
          <t>11538</t>
        </is>
      </c>
      <c r="B11579" s="4" t="s">
        <f>=HYPERLINK("http://anyluxury.ru/shop/odezhda/tolstovki/svitshot-zhenskiy-queen-serosiniy-ww01q461/" , "WW01Q461 Свитшот женский Queen, серо-синий, размер XS")</f>
      </c>
      <c r="C11579" s="4" t="n">
        <v>1848.00</v>
      </c>
      <c r="D11579" s="4"/>
    </row>
    <row collapsed="" customFormat="false" customHeight="1" hidden="" ht="14" outlineLevel="0" r="11580">
      <c r="A11580" s="3" t="inlineStr">
        <is>
          <t>11539</t>
        </is>
      </c>
      <c r="B11580" s="4" t="s">
        <f>=HYPERLINK("http://anyluxury.ru/shop/odezhda/tolstovki/svitshot-zhenskiy-queen-serosiniy-ww01q461/" , "WW01Q461 Свитшот женский Queen, серо-синий, размер S")</f>
      </c>
      <c r="C11580" s="4" t="n">
        <v>1848.00</v>
      </c>
      <c r="D11580" s="4"/>
    </row>
    <row collapsed="" customFormat="false" customHeight="1" hidden="" ht="14" outlineLevel="0" r="11581">
      <c r="A11581" s="3" t="inlineStr">
        <is>
          <t>11540</t>
        </is>
      </c>
      <c r="B11581" s="4" t="s">
        <f>=HYPERLINK("http://anyluxury.ru/shop/odezhda/tolstovki/svitshot-zhenskiy-queen-serosiniy-ww01q461/" , "WW01Q461 Свитшот женский Queen, серо-синий, размер M")</f>
      </c>
      <c r="C11581" s="4" t="n">
        <v>1848.00</v>
      </c>
      <c r="D11581" s="4"/>
    </row>
    <row collapsed="" customFormat="false" customHeight="1" hidden="" ht="14" outlineLevel="0" r="11582">
      <c r="A11582" s="3" t="inlineStr">
        <is>
          <t>11541</t>
        </is>
      </c>
      <c r="B11582" s="4" t="s">
        <f>=HYPERLINK("http://anyluxury.ru/shop/odezhda/tolstovki/svitshot-zhenskiy-queen-serosiniy-ww01q461/" , "WW01Q461 Свитшот женский Queen, серо-синий, размер L")</f>
      </c>
      <c r="C11582" s="4" t="n">
        <v>1848.00</v>
      </c>
      <c r="D11582" s="4"/>
    </row>
    <row collapsed="" customFormat="false" customHeight="1" hidden="" ht="14" outlineLevel="0" r="11583">
      <c r="A11583" s="3" t="inlineStr">
        <is>
          <t>11542</t>
        </is>
      </c>
      <c r="B11583" s="4" t="s">
        <f>=HYPERLINK("http://anyluxury.ru/shop/odezhda/tolstovki/svitshot-zhenskiy-queen-serosiniy-ww01q461/" , "WW01Q461 Свитшот женский Queen, серо-синий, размер XL")</f>
      </c>
      <c r="C11583" s="4" t="n">
        <v>1848.00</v>
      </c>
      <c r="D11583" s="4"/>
    </row>
    <row collapsed="" customFormat="false" customHeight="1" hidden="" ht="14" outlineLevel="0" r="11584">
      <c r="A11584" s="3" t="inlineStr">
        <is>
          <t>11543</t>
        </is>
      </c>
      <c r="B11584" s="4" t="s">
        <f>=HYPERLINK("http://anyluxury.ru/shop/odezhda/tolstovki/svitshot-zhenskiy-queen-serosiniy-ww01q461/" , "WW01Q461 Свитшот женский Queen, серо-синий, размер XXL")</f>
      </c>
      <c r="C11584" s="4" t="n">
        <v>1848.00</v>
      </c>
      <c r="D11584" s="4"/>
    </row>
    <row collapsed="" customFormat="false" customHeight="1" hidden="" ht="14" outlineLevel="0" r="11585">
      <c r="A11585" s="3" t="inlineStr">
        <is>
          <t>11544</t>
        </is>
      </c>
      <c r="B11585" s="4" t="s">
        <f>=HYPERLINK("http://anyluxury.ru/shop/odezhda/tolstovki/svitshot-zhenskiy-queen-haki-ww01q555/" , "WW01Q555 Свитшот женский Queen, хаки, размер XS")</f>
      </c>
      <c r="C11585" s="4" t="n">
        <v>1848.00</v>
      </c>
      <c r="D11585" s="4"/>
    </row>
    <row collapsed="" customFormat="false" customHeight="1" hidden="" ht="14" outlineLevel="0" r="11586">
      <c r="A11586" s="3" t="inlineStr">
        <is>
          <t>11545</t>
        </is>
      </c>
      <c r="B11586" s="4" t="s">
        <f>=HYPERLINK("http://anyluxury.ru/shop/odezhda/tolstovki/svitshot-zhenskiy-queen-haki-ww01q555/" , "WW01Q555 Свитшот женский Queen, хаки, размер S")</f>
      </c>
      <c r="C11586" s="4" t="n">
        <v>1848.00</v>
      </c>
      <c r="D11586" s="4"/>
    </row>
    <row collapsed="" customFormat="false" customHeight="1" hidden="" ht="14" outlineLevel="0" r="11587">
      <c r="A11587" s="3" t="inlineStr">
        <is>
          <t>11546</t>
        </is>
      </c>
      <c r="B11587" s="4" t="s">
        <f>=HYPERLINK("http://anyluxury.ru/shop/odezhda/tolstovki/svitshot-zhenskiy-queen-haki-ww01q555/" , "WW01Q555 Свитшот женский Queen, хаки, размер M")</f>
      </c>
      <c r="C11587" s="4" t="n">
        <v>1848.00</v>
      </c>
      <c r="D11587" s="4"/>
    </row>
    <row collapsed="" customFormat="false" customHeight="1" hidden="" ht="14" outlineLevel="0" r="11588">
      <c r="A11588" s="3" t="inlineStr">
        <is>
          <t>11547</t>
        </is>
      </c>
      <c r="B11588" s="4" t="s">
        <f>=HYPERLINK("http://anyluxury.ru/shop/odezhda/tolstovki/svitshot-zhenskiy-queen-haki-ww01q555/" , "WW01Q555 Свитшот женский Queen, хаки, размер L")</f>
      </c>
      <c r="C11588" s="4" t="n">
        <v>1848.00</v>
      </c>
      <c r="D11588" s="4"/>
    </row>
    <row collapsed="" customFormat="false" customHeight="1" hidden="" ht="14" outlineLevel="0" r="11589">
      <c r="A11589" s="3" t="inlineStr">
        <is>
          <t>11548</t>
        </is>
      </c>
      <c r="B11589" s="4" t="s">
        <f>=HYPERLINK("http://anyluxury.ru/shop/odezhda/tolstovki/svitshot-zhenskiy-queen-haki-ww01q555/" , "WW01Q555 Свитшот женский Queen, хаки, размер XL")</f>
      </c>
      <c r="C11589" s="4" t="n">
        <v>1848.00</v>
      </c>
      <c r="D11589" s="4"/>
    </row>
    <row collapsed="" customFormat="false" customHeight="1" hidden="" ht="14" outlineLevel="0" r="11590">
      <c r="A11590" s="3" t="inlineStr">
        <is>
          <t>11549</t>
        </is>
      </c>
      <c r="B11590" s="4" t="s">
        <f>=HYPERLINK("http://anyluxury.ru/shop/odezhda/tolstovki/svitshot-zhenskiy-queen-haki-ww01q555/" , "WW01Q555 Свитшот женский Queen, хаки, размер XXL")</f>
      </c>
      <c r="C11590" s="4" t="n">
        <v>1848.00</v>
      </c>
      <c r="D11590" s="4"/>
    </row>
    <row collapsed="" customFormat="false" customHeight="1" hidden="" ht="14" outlineLevel="0" r="11591">
      <c r="A11591" s="3" t="inlineStr">
        <is>
          <t>11550</t>
        </is>
      </c>
      <c r="B11591" s="4" t="s">
        <f>=HYPERLINK("http://anyluxury.ru/shop/odezhda/tolstovki/svitshot-zhenskiy-queen-temnoseriy-melanzh-ww01q623/" , "WW01Q623 Свитшот женский Queen, темно-серый меланж, размер XS")</f>
      </c>
      <c r="C11591" s="4" t="n">
        <v>1848.00</v>
      </c>
      <c r="D11591" s="4"/>
    </row>
    <row collapsed="" customFormat="false" customHeight="1" hidden="" ht="14" outlineLevel="0" r="11592">
      <c r="A11592" s="3" t="inlineStr">
        <is>
          <t>11551</t>
        </is>
      </c>
      <c r="B11592" s="4" t="s">
        <f>=HYPERLINK("http://anyluxury.ru/shop/odezhda/tolstovki/svitshot-zhenskiy-queen-temnoseriy-melanzh-ww01q623/" , "WW01Q623 Свитшот женский Queen, темно-серый меланж, размер S")</f>
      </c>
      <c r="C11592" s="4" t="n">
        <v>1848.00</v>
      </c>
      <c r="D11592" s="4"/>
    </row>
    <row collapsed="" customFormat="false" customHeight="1" hidden="" ht="14" outlineLevel="0" r="11593">
      <c r="A11593" s="3" t="inlineStr">
        <is>
          <t>11552</t>
        </is>
      </c>
      <c r="B11593" s="4" t="s">
        <f>=HYPERLINK("http://anyluxury.ru/shop/odezhda/tolstovki/svitshot-zhenskiy-queen-temnoseriy-melanzh-ww01q623/" , "WW01Q623 Свитшот женский Queen, темно-серый меланж, размер M")</f>
      </c>
      <c r="C11593" s="4" t="n">
        <v>1848.00</v>
      </c>
      <c r="D11593" s="4"/>
    </row>
    <row collapsed="" customFormat="false" customHeight="1" hidden="" ht="14" outlineLevel="0" r="11594">
      <c r="A11594" s="3" t="inlineStr">
        <is>
          <t>11553</t>
        </is>
      </c>
      <c r="B11594" s="4" t="s">
        <f>=HYPERLINK("http://anyluxury.ru/shop/odezhda/tolstovki/svitshot-zhenskiy-queen-temnoseriy-melanzh-ww01q623/" , "WW01Q623 Свитшот женский Queen, темно-серый меланж, размер L")</f>
      </c>
      <c r="C11594" s="4" t="n">
        <v>1848.00</v>
      </c>
      <c r="D11594" s="4"/>
    </row>
    <row collapsed="" customFormat="false" customHeight="1" hidden="" ht="14" outlineLevel="0" r="11595">
      <c r="A11595" s="3" t="inlineStr">
        <is>
          <t>11554</t>
        </is>
      </c>
      <c r="B11595" s="4" t="s">
        <f>=HYPERLINK("http://anyluxury.ru/shop/odezhda/tolstovki/svitshot-zhenskiy-queen-temnoseriy-melanzh-ww01q623/" , "WW01Q623 Свитшот женский Queen, темно-серый меланж, размер XL")</f>
      </c>
      <c r="C11595" s="4" t="n">
        <v>1848.00</v>
      </c>
      <c r="D11595" s="4"/>
    </row>
    <row collapsed="" customFormat="false" customHeight="1" hidden="" ht="14" outlineLevel="0" r="11596">
      <c r="A11596" s="3" t="inlineStr">
        <is>
          <t>11555</t>
        </is>
      </c>
      <c r="B11596" s="4" t="s">
        <f>=HYPERLINK("http://anyluxury.ru/shop/odezhda/tolstovki/svitshot-zhenskiy-queen-temnoseriy-melanzh-ww01q623/" , "WW01Q623 Свитшот женский Queen, темно-серый меланж, размер XXL")</f>
      </c>
      <c r="C11596" s="4" t="n">
        <v>1848.00</v>
      </c>
      <c r="D11596" s="4"/>
    </row>
    <row collapsed="" customFormat="false" customHeight="1" hidden="" ht="14" outlineLevel="0" r="11597">
      <c r="A11597" s="3" t="inlineStr">
        <is>
          <t>11556</t>
        </is>
      </c>
      <c r="B11597" s="4" t="s">
        <f>=HYPERLINK("http://anyluxury.ru/shop/odezhda/tolstovki/svitshot-zhenskiy-queen-dimchatoseriy-ww01q672/" , "WW01Q672 Свитшот женский Queen, дымчато-серый, размер XS")</f>
      </c>
      <c r="C11597" s="4" t="n">
        <v>1848.00</v>
      </c>
      <c r="D11597" s="4"/>
    </row>
    <row collapsed="" customFormat="false" customHeight="1" hidden="" ht="14" outlineLevel="0" r="11598">
      <c r="A11598" s="3" t="inlineStr">
        <is>
          <t>11557</t>
        </is>
      </c>
      <c r="B11598" s="4" t="s">
        <f>=HYPERLINK("http://anyluxury.ru/shop/odezhda/tolstovki/svitshot-zhenskiy-queen-dimchatoseriy-ww01q672/" , "WW01Q672 Свитшот женский Queen, дымчато-серый, размер S")</f>
      </c>
      <c r="C11598" s="4" t="n">
        <v>1848.00</v>
      </c>
      <c r="D11598" s="4"/>
    </row>
    <row collapsed="" customFormat="false" customHeight="1" hidden="" ht="14" outlineLevel="0" r="11599">
      <c r="A11599" s="3" t="inlineStr">
        <is>
          <t>11558</t>
        </is>
      </c>
      <c r="B11599" s="4" t="s">
        <f>=HYPERLINK("http://anyluxury.ru/shop/odezhda/tolstovki/svitshot-zhenskiy-queen-dimchatoseriy-ww01q672/" , "WW01Q672 Свитшот женский Queen, дымчато-серый, размер M")</f>
      </c>
      <c r="C11599" s="4" t="n">
        <v>1848.00</v>
      </c>
      <c r="D11599" s="4"/>
    </row>
    <row collapsed="" customFormat="false" customHeight="1" hidden="" ht="14" outlineLevel="0" r="11600">
      <c r="A11600" s="3" t="inlineStr">
        <is>
          <t>11559</t>
        </is>
      </c>
      <c r="B11600" s="4" t="s">
        <f>=HYPERLINK("http://anyluxury.ru/shop/odezhda/tolstovki/svitshot-zhenskiy-queen-dimchatoseriy-ww01q672/" , "WW01Q672 Свитшот женский Queen, дымчато-серый, размер L")</f>
      </c>
      <c r="C11600" s="4" t="n">
        <v>1848.00</v>
      </c>
      <c r="D11600" s="4"/>
    </row>
    <row collapsed="" customFormat="false" customHeight="1" hidden="" ht="14" outlineLevel="0" r="11601">
      <c r="A11601" s="3" t="inlineStr">
        <is>
          <t>11560</t>
        </is>
      </c>
      <c r="B11601" s="4" t="s">
        <f>=HYPERLINK("http://anyluxury.ru/shop/odezhda/tolstovki/svitshot-zhenskiy-queen-dimchatoseriy-ww01q672/" , "WW01Q672 Свитшот женский Queen, дымчато-серый, размер XL")</f>
      </c>
      <c r="C11601" s="4" t="n">
        <v>1848.00</v>
      </c>
      <c r="D11601" s="4"/>
    </row>
    <row collapsed="" customFormat="false" customHeight="1" hidden="" ht="14" outlineLevel="0" r="11602">
      <c r="A11602" s="3" t="inlineStr">
        <is>
          <t>11561</t>
        </is>
      </c>
      <c r="B11602" s="4" t="s">
        <f>=HYPERLINK("http://anyluxury.ru/shop/odezhda/tolstovki/svitshot-zhenskiy-queen-dimchatoseriy-ww01q672/" , "WW01Q672 Свитшот женский Queen, дымчато-серый, размер XXL")</f>
      </c>
      <c r="C11602" s="4" t="n">
        <v>1848.00</v>
      </c>
      <c r="D11602" s="4"/>
    </row>
    <row collapsed="" customFormat="false" customHeight="1" hidden="" ht="14" outlineLevel="0" r="11603">
      <c r="A11603" s="3" t="inlineStr">
        <is>
          <t>11562</t>
        </is>
      </c>
      <c r="B11603" s="4" t="s">
        <f>=HYPERLINK("http://anyluxury.ru/shop/odezhda/tolstovki/tolstovka-s-kapyushonom-uniseks-king-oranzhevaya-wu02k233/" , "WU02K233 Толстовка с капюшоном унисекс King, оранжевая, размер XS")</f>
      </c>
      <c r="C11603" s="4" t="n">
        <v>2539.00</v>
      </c>
      <c r="D11603" s="4"/>
    </row>
    <row collapsed="" customFormat="false" customHeight="1" hidden="" ht="14" outlineLevel="0" r="11604">
      <c r="A11604" s="3" t="inlineStr">
        <is>
          <t>11563</t>
        </is>
      </c>
      <c r="B11604" s="4" t="s">
        <f>=HYPERLINK("http://anyluxury.ru/shop/odezhda/tolstovki/tolstovka-s-kapyushonom-uniseks-king-oranzhevaya-wu02k233/" , "WU02K233 Толстовка с капюшоном унисекс King, оранжевая, размер S")</f>
      </c>
      <c r="C11604" s="4" t="n">
        <v>2539.00</v>
      </c>
      <c r="D11604" s="4"/>
    </row>
    <row collapsed="" customFormat="false" customHeight="1" hidden="" ht="14" outlineLevel="0" r="11605">
      <c r="A11605" s="3" t="inlineStr">
        <is>
          <t>11564</t>
        </is>
      </c>
      <c r="B11605" s="4" t="s">
        <f>=HYPERLINK("http://anyluxury.ru/shop/odezhda/tolstovki/tolstovka-s-kapyushonom-uniseks-king-oranzhevaya-wu02k233/" , "WU02K233 Толстовка с капюшоном унисекс King, оранжевая, размер M")</f>
      </c>
      <c r="C11605" s="4" t="n">
        <v>2539.00</v>
      </c>
      <c r="D11605" s="4"/>
    </row>
    <row collapsed="" customFormat="false" customHeight="1" hidden="" ht="14" outlineLevel="0" r="11606">
      <c r="A11606" s="3" t="inlineStr">
        <is>
          <t>11565</t>
        </is>
      </c>
      <c r="B11606" s="4" t="s">
        <f>=HYPERLINK("http://anyluxury.ru/shop/odezhda/tolstovki/tolstovka-s-kapyushonom-uniseks-king-oranzhevaya-wu02k233/" , "WU02K233 Толстовка с капюшоном унисекс King, оранжевая, размер L")</f>
      </c>
      <c r="C11606" s="4" t="n">
        <v>2539.00</v>
      </c>
      <c r="D11606" s="4"/>
    </row>
    <row collapsed="" customFormat="false" customHeight="1" hidden="" ht="14" outlineLevel="0" r="11607">
      <c r="A11607" s="3" t="inlineStr">
        <is>
          <t>11566</t>
        </is>
      </c>
      <c r="B11607" s="4" t="s">
        <f>=HYPERLINK("http://anyluxury.ru/shop/odezhda/tolstovki/tolstovka-s-kapyushonom-uniseks-king-oranzhevaya-wu02k233/" , "WU02K233 Толстовка с капюшоном унисекс King, оранжевая, размер XL")</f>
      </c>
      <c r="C11607" s="4" t="n">
        <v>2539.00</v>
      </c>
      <c r="D11607" s="4"/>
    </row>
    <row collapsed="" customFormat="false" customHeight="1" hidden="" ht="14" outlineLevel="0" r="11608">
      <c r="A11608" s="3" t="inlineStr">
        <is>
          <t>11567</t>
        </is>
      </c>
      <c r="B11608" s="4" t="s">
        <f>=HYPERLINK("http://anyluxury.ru/shop/odezhda/tolstovki/tolstovka-s-kapyushonom-uniseks-king-oranzhevaya-wu02k233/" , "WU02K233 Толстовка с капюшоном унисекс King, оранжевая, размер XXL")</f>
      </c>
      <c r="C11608" s="4" t="n">
        <v>2539.00</v>
      </c>
      <c r="D11608" s="4"/>
    </row>
    <row collapsed="" customFormat="false" customHeight="1" hidden="" ht="14" outlineLevel="0" r="11609">
      <c r="A11609" s="3" t="inlineStr">
        <is>
          <t>11568</t>
        </is>
      </c>
      <c r="B11609" s="4" t="s">
        <f>=HYPERLINK("http://anyluxury.ru/shop/odezhda/tolstovki/tolstovka-s-kapyushonom-uniseks-king-oranzhevaya-wu02k233/" , "WU02K233 Толстовка с капюшоном унисекс King, оранжевая, размер 3XL")</f>
      </c>
      <c r="C11609" s="4" t="n">
        <v>2539.00</v>
      </c>
      <c r="D11609" s="4"/>
    </row>
    <row collapsed="" customFormat="false" customHeight="1" hidden="" ht="14" outlineLevel="0" r="11610">
      <c r="A11610" s="3" t="inlineStr">
        <is>
          <t>11569</t>
        </is>
      </c>
      <c r="B11610" s="4" t="s">
        <f>=HYPERLINK("http://anyluxury.ru/shop/odezhda/tolstovki/tolstovka-s-kapyushonom-uniseks-king-yarkorozovaya-fuksiya-wu02k309/" , "WU02K309 Толстовка с капюшоном унисекс King, ярко-розовая (фуксия), размер XS")</f>
      </c>
      <c r="C11610" s="4" t="n">
        <v>2539.00</v>
      </c>
      <c r="D11610" s="4"/>
    </row>
    <row collapsed="" customFormat="false" customHeight="1" hidden="" ht="14" outlineLevel="0" r="11611">
      <c r="A11611" s="3" t="inlineStr">
        <is>
          <t>11570</t>
        </is>
      </c>
      <c r="B11611" s="4" t="s">
        <f>=HYPERLINK("http://anyluxury.ru/shop/odezhda/tolstovki/tolstovka-s-kapyushonom-uniseks-king-yarkorozovaya-fuksiya-wu02k309/" , "WU02K309 Толстовка с капюшоном унисекс King, ярко-розовая (фуксия), размер S")</f>
      </c>
      <c r="C11611" s="4" t="n">
        <v>2539.00</v>
      </c>
      <c r="D11611" s="4"/>
    </row>
    <row collapsed="" customFormat="false" customHeight="1" hidden="" ht="14" outlineLevel="0" r="11612">
      <c r="A11612" s="3" t="inlineStr">
        <is>
          <t>11571</t>
        </is>
      </c>
      <c r="B11612" s="4" t="s">
        <f>=HYPERLINK("http://anyluxury.ru/shop/odezhda/tolstovki/tolstovka-s-kapyushonom-uniseks-king-yarkorozovaya-fuksiya-wu02k309/" , "WU02K309 Толстовка с капюшоном унисекс King, ярко-розовая (фуксия), размер M")</f>
      </c>
      <c r="C11612" s="4" t="n">
        <v>2539.00</v>
      </c>
      <c r="D11612" s="4"/>
    </row>
    <row collapsed="" customFormat="false" customHeight="1" hidden="" ht="14" outlineLevel="0" r="11613">
      <c r="A11613" s="3" t="inlineStr">
        <is>
          <t>11572</t>
        </is>
      </c>
      <c r="B11613" s="4" t="s">
        <f>=HYPERLINK("http://anyluxury.ru/shop/odezhda/tolstovki/tolstovka-s-kapyushonom-uniseks-king-yarkorozovaya-fuksiya-wu02k309/" , "WU02K309 Толстовка с капюшоном унисекс King, ярко-розовая (фуксия), размер L")</f>
      </c>
      <c r="C11613" s="4" t="n">
        <v>2539.00</v>
      </c>
      <c r="D11613" s="4"/>
    </row>
    <row collapsed="" customFormat="false" customHeight="1" hidden="" ht="14" outlineLevel="0" r="11614">
      <c r="A11614" s="3" t="inlineStr">
        <is>
          <t>11573</t>
        </is>
      </c>
      <c r="B11614" s="4" t="s">
        <f>=HYPERLINK("http://anyluxury.ru/shop/odezhda/tolstovki/tolstovka-s-kapyushonom-uniseks-king-yarkorozovaya-fuksiya-wu02k309/" , "WU02K309 Толстовка с капюшоном унисекс King, ярко-розовая (фуксия), размер XL")</f>
      </c>
      <c r="C11614" s="4" t="n">
        <v>2539.00</v>
      </c>
      <c r="D11614" s="4"/>
    </row>
    <row collapsed="" customFormat="false" customHeight="1" hidden="" ht="14" outlineLevel="0" r="11615">
      <c r="A11615" s="3" t="inlineStr">
        <is>
          <t>11574</t>
        </is>
      </c>
      <c r="B11615" s="4" t="s">
        <f>=HYPERLINK("http://anyluxury.ru/shop/odezhda/tolstovki/tolstovka-s-kapyushonom-uniseks-king-yarkorozovaya-fuksiya-wu02k309/" , "WU02K309 Толстовка с капюшоном унисекс King, ярко-розовая (фуксия), размер XXL")</f>
      </c>
      <c r="C11615" s="4" t="n">
        <v>2539.00</v>
      </c>
      <c r="D11615" s="4"/>
    </row>
    <row collapsed="" customFormat="false" customHeight="1" hidden="" ht="14" outlineLevel="0" r="11616">
      <c r="A11616" s="3" t="inlineStr">
        <is>
          <t>11575</t>
        </is>
      </c>
      <c r="B11616" s="4" t="s">
        <f>=HYPERLINK("http://anyluxury.ru/shop/odezhda/tolstovki/tolstovka-s-kapyushonom-uniseks-king-yarkorozovaya-fuksiya-wu02k309/" , "WU02K309 Толстовка с капюшоном унисекс King, ярко-розовая (фуксия), размер 3XL")</f>
      </c>
      <c r="C11616" s="4" t="n">
        <v>2539.00</v>
      </c>
      <c r="D11616" s="4"/>
    </row>
    <row collapsed="" customFormat="false" customHeight="1" hidden="" ht="14" outlineLevel="0" r="11617">
      <c r="A11617" s="3" t="inlineStr">
        <is>
          <t>11576</t>
        </is>
      </c>
      <c r="B11617" s="4" t="s">
        <f>=HYPERLINK("http://anyluxury.ru/shop/odezhda/tolstovki/tolstovka-s-kapyushonom-uniseks-king-fioletovaya-wu02k351/" , "WU02K351 Толстовка с капюшоном унисекс King, фиолетовая, размер XS")</f>
      </c>
      <c r="C11617" s="4" t="n">
        <v>2539.00</v>
      </c>
      <c r="D11617" s="4"/>
    </row>
    <row collapsed="" customFormat="false" customHeight="1" hidden="" ht="14" outlineLevel="0" r="11618">
      <c r="A11618" s="3" t="inlineStr">
        <is>
          <t>11577</t>
        </is>
      </c>
      <c r="B11618" s="4" t="s">
        <f>=HYPERLINK("http://anyluxury.ru/shop/odezhda/tolstovki/tolstovka-s-kapyushonom-uniseks-king-fioletovaya-wu02k351/" , "WU02K351 Толстовка с капюшоном унисекс King, фиолетовая, размер S")</f>
      </c>
      <c r="C11618" s="4" t="n">
        <v>2539.00</v>
      </c>
      <c r="D11618" s="4"/>
    </row>
    <row collapsed="" customFormat="false" customHeight="1" hidden="" ht="14" outlineLevel="0" r="11619">
      <c r="A11619" s="3" t="inlineStr">
        <is>
          <t>11578</t>
        </is>
      </c>
      <c r="B11619" s="4" t="s">
        <f>=HYPERLINK("http://anyluxury.ru/shop/odezhda/tolstovki/tolstovka-s-kapyushonom-uniseks-king-fioletovaya-wu02k351/" , "WU02K351 Толстовка с капюшоном унисекс King, фиолетовая, размер M")</f>
      </c>
      <c r="C11619" s="4" t="n">
        <v>2539.00</v>
      </c>
      <c r="D11619" s="4"/>
    </row>
    <row collapsed="" customFormat="false" customHeight="1" hidden="" ht="14" outlineLevel="0" r="11620">
      <c r="A11620" s="3" t="inlineStr">
        <is>
          <t>11579</t>
        </is>
      </c>
      <c r="B11620" s="4" t="s">
        <f>=HYPERLINK("http://anyluxury.ru/shop/odezhda/tolstovki/tolstovka-s-kapyushonom-uniseks-king-fioletovaya-wu02k351/" , "WU02K351 Толстовка с капюшоном унисекс King, фиолетовая, размер L")</f>
      </c>
      <c r="C11620" s="4" t="n">
        <v>2539.00</v>
      </c>
      <c r="D11620" s="4"/>
    </row>
    <row collapsed="" customFormat="false" customHeight="1" hidden="" ht="14" outlineLevel="0" r="11621">
      <c r="A11621" s="3" t="inlineStr">
        <is>
          <t>11580</t>
        </is>
      </c>
      <c r="B11621" s="4" t="s">
        <f>=HYPERLINK("http://anyluxury.ru/shop/odezhda/tolstovki/tolstovka-s-kapyushonom-uniseks-king-fioletovaya-wu02k351/" , "WU02K351 Толстовка с капюшоном унисекс King, фиолетовая, размер XL")</f>
      </c>
      <c r="C11621" s="4" t="n">
        <v>2539.00</v>
      </c>
      <c r="D11621" s="4"/>
    </row>
    <row collapsed="" customFormat="false" customHeight="1" hidden="" ht="14" outlineLevel="0" r="11622">
      <c r="A11622" s="3" t="inlineStr">
        <is>
          <t>11581</t>
        </is>
      </c>
      <c r="B11622" s="4" t="s">
        <f>=HYPERLINK("http://anyluxury.ru/shop/odezhda/tolstovki/tolstovka-s-kapyushonom-uniseks-king-fioletovaya-wu02k351/" , "WU02K351 Толстовка с капюшоном унисекс King, фиолетовая, размер XXL")</f>
      </c>
      <c r="C11622" s="4" t="n">
        <v>2539.00</v>
      </c>
      <c r="D11622" s="4"/>
    </row>
    <row collapsed="" customFormat="false" customHeight="1" hidden="" ht="14" outlineLevel="0" r="11623">
      <c r="A11623" s="3" t="inlineStr">
        <is>
          <t>11582</t>
        </is>
      </c>
      <c r="B11623" s="4" t="s">
        <f>=HYPERLINK("http://anyluxury.ru/shop/odezhda/tolstovki/tolstovka-s-kapyushonom-uniseks-king-fioletovaya-wu02k351/" , "WU02K351 Толстовка с капюшоном унисекс King, фиолетовая, размер 3XL")</f>
      </c>
      <c r="C11623" s="4" t="n">
        <v>2539.00</v>
      </c>
      <c r="D11623" s="4"/>
    </row>
    <row collapsed="" customFormat="false" customHeight="1" hidden="" ht="14" outlineLevel="0" r="11624">
      <c r="A11624" s="3" t="inlineStr">
        <is>
          <t>11583</t>
        </is>
      </c>
      <c r="B11624" s="4" t="s">
        <f>=HYPERLINK("http://anyluxury.ru/shop/odezhda/tolstovki/tolstovka-s-kapyushonom-uniseks-king-svetlogolubaya-wu02k405/" , "WU02K405 Толстовка с капюшоном унисекс King, светло-голубая, размер XS")</f>
      </c>
      <c r="C11624" s="4" t="n">
        <v>2539.00</v>
      </c>
      <c r="D11624" s="4"/>
    </row>
    <row collapsed="" customFormat="false" customHeight="1" hidden="" ht="14" outlineLevel="0" r="11625">
      <c r="A11625" s="3" t="inlineStr">
        <is>
          <t>11584</t>
        </is>
      </c>
      <c r="B11625" s="4" t="s">
        <f>=HYPERLINK("http://anyluxury.ru/shop/odezhda/tolstovki/tolstovka-s-kapyushonom-uniseks-king-svetlogolubaya-wu02k405/" , "WU02K405 Толстовка с капюшоном унисекс King, светло-голубая, размер S")</f>
      </c>
      <c r="C11625" s="4" t="n">
        <v>2539.00</v>
      </c>
      <c r="D11625" s="4"/>
    </row>
    <row collapsed="" customFormat="false" customHeight="1" hidden="" ht="14" outlineLevel="0" r="11626">
      <c r="A11626" s="3" t="inlineStr">
        <is>
          <t>11585</t>
        </is>
      </c>
      <c r="B11626" s="4" t="s">
        <f>=HYPERLINK("http://anyluxury.ru/shop/odezhda/tolstovki/tolstovka-s-kapyushonom-uniseks-king-svetlogolubaya-wu02k405/" , "WU02K405 Толстовка с капюшоном унисекс King, светло-голубая, размер M")</f>
      </c>
      <c r="C11626" s="4" t="n">
        <v>2539.00</v>
      </c>
      <c r="D11626" s="4"/>
    </row>
    <row collapsed="" customFormat="false" customHeight="1" hidden="" ht="14" outlineLevel="0" r="11627">
      <c r="A11627" s="3" t="inlineStr">
        <is>
          <t>11586</t>
        </is>
      </c>
      <c r="B11627" s="4" t="s">
        <f>=HYPERLINK("http://anyluxury.ru/shop/odezhda/tolstovki/tolstovka-s-kapyushonom-uniseks-king-svetlogolubaya-wu02k405/" , "WU02K405 Толстовка с капюшоном унисекс King, светло-голубая, размер L")</f>
      </c>
      <c r="C11627" s="4" t="n">
        <v>2539.00</v>
      </c>
      <c r="D11627" s="4"/>
    </row>
    <row collapsed="" customFormat="false" customHeight="1" hidden="" ht="14" outlineLevel="0" r="11628">
      <c r="A11628" s="3" t="inlineStr">
        <is>
          <t>11587</t>
        </is>
      </c>
      <c r="B11628" s="4" t="s">
        <f>=HYPERLINK("http://anyluxury.ru/shop/odezhda/tolstovki/tolstovka-s-kapyushonom-uniseks-king-svetlogolubaya-wu02k405/" , "WU02K405 Толстовка с капюшоном унисекс King, светло-голубая, размер XL")</f>
      </c>
      <c r="C11628" s="4" t="n">
        <v>2539.00</v>
      </c>
      <c r="D11628" s="4"/>
    </row>
    <row collapsed="" customFormat="false" customHeight="1" hidden="" ht="14" outlineLevel="0" r="11629">
      <c r="A11629" s="3" t="inlineStr">
        <is>
          <t>11588</t>
        </is>
      </c>
      <c r="B11629" s="4" t="s">
        <f>=HYPERLINK("http://anyluxury.ru/shop/odezhda/tolstovki/tolstovka-s-kapyushonom-uniseks-king-svetlogolubaya-wu02k405/" , "WU02K405 Толстовка с капюшоном унисекс King, светло-голубая, размер XXL")</f>
      </c>
      <c r="C11629" s="4" t="n">
        <v>2539.00</v>
      </c>
      <c r="D11629" s="4"/>
    </row>
    <row collapsed="" customFormat="false" customHeight="1" hidden="" ht="14" outlineLevel="0" r="11630">
      <c r="A11630" s="3" t="inlineStr">
        <is>
          <t>11589</t>
        </is>
      </c>
      <c r="B11630" s="4" t="s">
        <f>=HYPERLINK("http://anyluxury.ru/shop/odezhda/tolstovki/tolstovka-s-kapyushonom-uniseks-king-svetlogolubaya-wu02k405/" , "WU02K405 Толстовка с капюшоном унисекс King, светло-голубая, размер 3XL")</f>
      </c>
      <c r="C11630" s="4" t="n">
        <v>2539.00</v>
      </c>
      <c r="D11630" s="4"/>
    </row>
    <row collapsed="" customFormat="false" customHeight="1" hidden="" ht="14" outlineLevel="0" r="11631">
      <c r="A11631" s="3" t="inlineStr">
        <is>
          <t>11590</t>
        </is>
      </c>
      <c r="B11631" s="4" t="s">
        <f>=HYPERLINK("http://anyluxury.ru/shop/odezhda/tolstovki/tolstovka-s-kapyushonom-uniseks-king-serozelenaya-wu02k501/" , "WU02K501 Толстовка с капюшоном унисекс King, серо-зеленая, размер XS")</f>
      </c>
      <c r="C11631" s="4" t="n">
        <v>2539.00</v>
      </c>
      <c r="D11631" s="4"/>
    </row>
    <row collapsed="" customFormat="false" customHeight="1" hidden="" ht="14" outlineLevel="0" r="11632">
      <c r="A11632" s="3" t="inlineStr">
        <is>
          <t>11591</t>
        </is>
      </c>
      <c r="B11632" s="4" t="s">
        <f>=HYPERLINK("http://anyluxury.ru/shop/odezhda/tolstovki/tolstovka-s-kapyushonom-uniseks-king-serozelenaya-wu02k501/" , "WU02K501 Толстовка с капюшоном унисекс King, серо-зеленая, размер S")</f>
      </c>
      <c r="C11632" s="4" t="n">
        <v>2539.00</v>
      </c>
      <c r="D11632" s="4"/>
    </row>
    <row collapsed="" customFormat="false" customHeight="1" hidden="" ht="14" outlineLevel="0" r="11633">
      <c r="A11633" s="3" t="inlineStr">
        <is>
          <t>11592</t>
        </is>
      </c>
      <c r="B11633" s="4" t="s">
        <f>=HYPERLINK("http://anyluxury.ru/shop/odezhda/tolstovki/tolstovka-s-kapyushonom-uniseks-king-serozelenaya-wu02k501/" , "WU02K501 Толстовка с капюшоном унисекс King, серо-зеленая, размер M")</f>
      </c>
      <c r="C11633" s="4" t="n">
        <v>2539.00</v>
      </c>
      <c r="D11633" s="4"/>
    </row>
    <row collapsed="" customFormat="false" customHeight="1" hidden="" ht="14" outlineLevel="0" r="11634">
      <c r="A11634" s="3" t="inlineStr">
        <is>
          <t>11593</t>
        </is>
      </c>
      <c r="B11634" s="4" t="s">
        <f>=HYPERLINK("http://anyluxury.ru/shop/odezhda/tolstovki/tolstovka-s-kapyushonom-uniseks-king-serozelenaya-wu02k501/" , "WU02K501 Толстовка с капюшоном унисекс King, серо-зеленая, размер L")</f>
      </c>
      <c r="C11634" s="4" t="n">
        <v>2539.00</v>
      </c>
      <c r="D11634" s="4"/>
    </row>
    <row collapsed="" customFormat="false" customHeight="1" hidden="" ht="14" outlineLevel="0" r="11635">
      <c r="A11635" s="3" t="inlineStr">
        <is>
          <t>11594</t>
        </is>
      </c>
      <c r="B11635" s="4" t="s">
        <f>=HYPERLINK("http://anyluxury.ru/shop/odezhda/tolstovki/tolstovka-s-kapyushonom-uniseks-king-serozelenaya-wu02k501/" , "WU02K501 Толстовка с капюшоном унисекс King, серо-зеленая, размер XL")</f>
      </c>
      <c r="C11635" s="4" t="n">
        <v>2539.00</v>
      </c>
      <c r="D11635" s="4"/>
    </row>
    <row collapsed="" customFormat="false" customHeight="1" hidden="" ht="14" outlineLevel="0" r="11636">
      <c r="A11636" s="3" t="inlineStr">
        <is>
          <t>11595</t>
        </is>
      </c>
      <c r="B11636" s="4" t="s">
        <f>=HYPERLINK("http://anyluxury.ru/shop/odezhda/tolstovki/tolstovka-s-kapyushonom-uniseks-king-serozelenaya-wu02k501/" , "WU02K501 Толстовка с капюшоном унисекс King, серо-зеленая, размер XXL")</f>
      </c>
      <c r="C11636" s="4" t="n">
        <v>2539.00</v>
      </c>
      <c r="D11636" s="4"/>
    </row>
    <row collapsed="" customFormat="false" customHeight="1" hidden="" ht="14" outlineLevel="0" r="11637">
      <c r="A11637" s="3" t="inlineStr">
        <is>
          <t>11596</t>
        </is>
      </c>
      <c r="B11637" s="4" t="s">
        <f>=HYPERLINK("http://anyluxury.ru/shop/odezhda/tolstovki/tolstovka-s-kapyushonom-uniseks-king-serozelenaya-wu02k501/" , "WU02K501 Толстовка с капюшоном унисекс King, серо-зеленая, размер 3XL")</f>
      </c>
      <c r="C11637" s="4" t="n">
        <v>2539.00</v>
      </c>
      <c r="D11637" s="4"/>
    </row>
    <row collapsed="" customFormat="false" customHeight="1" hidden="" ht="14" outlineLevel="0" r="11638">
      <c r="A11638" s="3" t="inlineStr">
        <is>
          <t>11597</t>
        </is>
      </c>
      <c r="B11638" s="4" t="s">
        <f>=HYPERLINK("http://anyluxury.ru/shop/odezhda/tolstovki/tolstovka-s-kapyushonom-uniseks-king-temnozelenaya-wu02k540/" , "WU02K540 Толстовка с капюшоном унисекс King, темно-зеленая, размер XS")</f>
      </c>
      <c r="C11638" s="4" t="n">
        <v>2539.00</v>
      </c>
      <c r="D11638" s="4"/>
    </row>
    <row collapsed="" customFormat="false" customHeight="1" hidden="" ht="14" outlineLevel="0" r="11639">
      <c r="A11639" s="3" t="inlineStr">
        <is>
          <t>11598</t>
        </is>
      </c>
      <c r="B11639" s="4" t="s">
        <f>=HYPERLINK("http://anyluxury.ru/shop/odezhda/tolstovki/tolstovka-s-kapyushonom-uniseks-king-temnozelenaya-wu02k540/" , "WU02K540 Толстовка с капюшоном унисекс King, темно-зеленая, размер S")</f>
      </c>
      <c r="C11639" s="4" t="n">
        <v>2539.00</v>
      </c>
      <c r="D11639" s="4"/>
    </row>
    <row collapsed="" customFormat="false" customHeight="1" hidden="" ht="14" outlineLevel="0" r="11640">
      <c r="A11640" s="3" t="inlineStr">
        <is>
          <t>11599</t>
        </is>
      </c>
      <c r="B11640" s="4" t="s">
        <f>=HYPERLINK("http://anyluxury.ru/shop/odezhda/tolstovki/tolstovka-s-kapyushonom-uniseks-king-temnozelenaya-wu02k540/" , "WU02K540 Толстовка с капюшоном унисекс King, темно-зеленая, размер M")</f>
      </c>
      <c r="C11640" s="4" t="n">
        <v>2539.00</v>
      </c>
      <c r="D11640" s="4"/>
    </row>
    <row collapsed="" customFormat="false" customHeight="1" hidden="" ht="14" outlineLevel="0" r="11641">
      <c r="A11641" s="3" t="inlineStr">
        <is>
          <t>11600</t>
        </is>
      </c>
      <c r="B11641" s="4" t="s">
        <f>=HYPERLINK("http://anyluxury.ru/shop/odezhda/tolstovki/tolstovka-s-kapyushonom-uniseks-king-temnozelenaya-wu02k540/" , "WU02K540 Толстовка с капюшоном унисекс King, темно-зеленая, размер L")</f>
      </c>
      <c r="C11641" s="4" t="n">
        <v>2539.00</v>
      </c>
      <c r="D11641" s="4"/>
    </row>
    <row collapsed="" customFormat="false" customHeight="1" hidden="" ht="14" outlineLevel="0" r="11642">
      <c r="A11642" s="3" t="inlineStr">
        <is>
          <t>11601</t>
        </is>
      </c>
      <c r="B11642" s="4" t="s">
        <f>=HYPERLINK("http://anyluxury.ru/shop/odezhda/tolstovki/tolstovka-s-kapyushonom-uniseks-king-temnozelenaya-wu02k540/" , "WU02K540 Толстовка с капюшоном унисекс King, темно-зеленая, размер XL")</f>
      </c>
      <c r="C11642" s="4" t="n">
        <v>2539.00</v>
      </c>
      <c r="D11642" s="4"/>
    </row>
    <row collapsed="" customFormat="false" customHeight="1" hidden="" ht="14" outlineLevel="0" r="11643">
      <c r="A11643" s="3" t="inlineStr">
        <is>
          <t>11602</t>
        </is>
      </c>
      <c r="B11643" s="4" t="s">
        <f>=HYPERLINK("http://anyluxury.ru/shop/odezhda/tolstovki/tolstovka-s-kapyushonom-uniseks-king-temnozelenaya-wu02k540/" , "WU02K540 Толстовка с капюшоном унисекс King, темно-зеленая, размер XXL")</f>
      </c>
      <c r="C11643" s="4" t="n">
        <v>2539.00</v>
      </c>
      <c r="D11643" s="4"/>
    </row>
    <row collapsed="" customFormat="false" customHeight="1" hidden="" ht="14" outlineLevel="0" r="11644">
      <c r="A11644" s="3" t="inlineStr">
        <is>
          <t>11603</t>
        </is>
      </c>
      <c r="B11644" s="4" t="s">
        <f>=HYPERLINK("http://anyluxury.ru/shop/odezhda/tolstovki/tolstovka-s-kapyushonom-uniseks-king-temnozelenaya-wu02k540/" , "WU02K540 Толстовка с капюшоном унисекс King, темно-зеленая, размер 3XL")</f>
      </c>
      <c r="C11644" s="4" t="n">
        <v>2539.00</v>
      </c>
      <c r="D11644" s="4"/>
    </row>
    <row collapsed="" customFormat="false" customHeight="1" hidden="" ht="14" outlineLevel="0" r="11645">
      <c r="A11645" s="3" t="inlineStr">
        <is>
          <t>11604</t>
        </is>
      </c>
      <c r="B11645" s="4" t="s">
        <f>=HYPERLINK("http://anyluxury.ru/shop/odezhda/tolstovki/tolstovka-s-kapyushonom-uniseks-king-temnoseraya-wu02k669/" , "WU02K669 Толстовка с капюшоном унисекс King, темно-серая, размер XS")</f>
      </c>
      <c r="C11645" s="4" t="n">
        <v>2539.00</v>
      </c>
      <c r="D11645" s="4"/>
    </row>
    <row collapsed="" customFormat="false" customHeight="1" hidden="" ht="14" outlineLevel="0" r="11646">
      <c r="A11646" s="3" t="inlineStr">
        <is>
          <t>11605</t>
        </is>
      </c>
      <c r="B11646" s="4" t="s">
        <f>=HYPERLINK("http://anyluxury.ru/shop/odezhda/tolstovki/tolstovka-s-kapyushonom-uniseks-king-temnoseraya-wu02k669/" , "WU02K669 Толстовка с капюшоном унисекс King, темно-серая, размер S")</f>
      </c>
      <c r="C11646" s="4" t="n">
        <v>2539.00</v>
      </c>
      <c r="D11646" s="4"/>
    </row>
    <row collapsed="" customFormat="false" customHeight="1" hidden="" ht="14" outlineLevel="0" r="11647">
      <c r="A11647" s="3" t="inlineStr">
        <is>
          <t>11606</t>
        </is>
      </c>
      <c r="B11647" s="4" t="s">
        <f>=HYPERLINK("http://anyluxury.ru/shop/odezhda/tolstovki/tolstovka-s-kapyushonom-uniseks-king-temnoseraya-wu02k669/" , "WU02K669 Толстовка с капюшоном унисекс King, темно-серая, размер M")</f>
      </c>
      <c r="C11647" s="4" t="n">
        <v>2539.00</v>
      </c>
      <c r="D11647" s="4"/>
    </row>
    <row collapsed="" customFormat="false" customHeight="1" hidden="" ht="14" outlineLevel="0" r="11648">
      <c r="A11648" s="3" t="inlineStr">
        <is>
          <t>11607</t>
        </is>
      </c>
      <c r="B11648" s="4" t="s">
        <f>=HYPERLINK("http://anyluxury.ru/shop/odezhda/tolstovki/tolstovka-s-kapyushonom-uniseks-king-temnoseraya-wu02k669/" , "WU02K669 Толстовка с капюшоном унисекс King, темно-серая, размер L")</f>
      </c>
      <c r="C11648" s="4" t="n">
        <v>2539.00</v>
      </c>
      <c r="D11648" s="4"/>
    </row>
    <row collapsed="" customFormat="false" customHeight="1" hidden="" ht="14" outlineLevel="0" r="11649">
      <c r="A11649" s="3" t="inlineStr">
        <is>
          <t>11608</t>
        </is>
      </c>
      <c r="B11649" s="4" t="s">
        <f>=HYPERLINK("http://anyluxury.ru/shop/odezhda/tolstovki/tolstovka-s-kapyushonom-uniseks-king-temnoseraya-wu02k669/" , "WU02K669 Толстовка с капюшоном унисекс King, темно-серая, размер XL")</f>
      </c>
      <c r="C11649" s="4" t="n">
        <v>2539.00</v>
      </c>
      <c r="D11649" s="4"/>
    </row>
    <row collapsed="" customFormat="false" customHeight="1" hidden="" ht="14" outlineLevel="0" r="11650">
      <c r="A11650" s="3" t="inlineStr">
        <is>
          <t>11609</t>
        </is>
      </c>
      <c r="B11650" s="4" t="s">
        <f>=HYPERLINK("http://anyluxury.ru/shop/odezhda/tolstovki/tolstovka-s-kapyushonom-uniseks-king-temnoseraya-wu02k669/" , "WU02K669 Толстовка с капюшоном унисекс King, темно-серая, размер XXL")</f>
      </c>
      <c r="C11650" s="4" t="n">
        <v>2539.00</v>
      </c>
      <c r="D11650" s="4"/>
    </row>
    <row collapsed="" customFormat="false" customHeight="1" hidden="" ht="14" outlineLevel="0" r="11651">
      <c r="A11651" s="3" t="inlineStr">
        <is>
          <t>11610</t>
        </is>
      </c>
      <c r="B11651" s="4" t="s">
        <f>=HYPERLINK("http://anyluxury.ru/shop/odezhda/tolstovki/tolstovka-s-kapyushonom-uniseks-king-temnoseraya-wu02k669/" , "WU02K669 Толстовка с капюшоном унисекс King, темно-серая, размер 3XL")</f>
      </c>
      <c r="C11651" s="4" t="n">
        <v>2539.00</v>
      </c>
      <c r="D11651" s="4"/>
    </row>
    <row collapsed="" customFormat="false" customHeight="1" hidden="" ht="14" outlineLevel="0" r="11652">
      <c r="A11652" s="3" t="inlineStr">
        <is>
          <t>11611</t>
        </is>
      </c>
      <c r="B11652" s="4" t="s">
        <f>=HYPERLINK("http://anyluxury.ru/shop/odezhda/tolstovki/tolstovka-s-kapyushonom-uniseks-king-temnoseraya-wu02k669/" , "WU02K669 Толстовка с капюшоном унисекс King, темно-серая, размер 4XL")</f>
      </c>
      <c r="C11652" s="4" t="n">
        <v>3154.00</v>
      </c>
      <c r="D11652" s="4"/>
    </row>
    <row collapsed="" customFormat="false" customHeight="1" hidden="" ht="14" outlineLevel="0" r="11653">
      <c r="A11653" s="3" t="inlineStr">
        <is>
          <t>11612</t>
        </is>
      </c>
      <c r="B11653" s="4" t="s">
        <f>=HYPERLINK("http://anyluxury.ru/shop/odezhda/tolstovki/tolstovka-s-kapyushonom-zhenskaya-queen-krasnaya-ww02q004/" , "WW02Q004 Толстовка с капюшоном женская Queen, красная, размер XS")</f>
      </c>
      <c r="C11653" s="4" t="n">
        <v>2460.00</v>
      </c>
      <c r="D11653" s="4"/>
    </row>
    <row collapsed="" customFormat="false" customHeight="1" hidden="" ht="14" outlineLevel="0" r="11654">
      <c r="A11654" s="3" t="inlineStr">
        <is>
          <t>11613</t>
        </is>
      </c>
      <c r="B11654" s="4" t="s">
        <f>=HYPERLINK("http://anyluxury.ru/shop/odezhda/tolstovki/tolstovka-s-kapyushonom-zhenskaya-queen-krasnaya-ww02q004/" , "WW02Q004 Толстовка с капюшоном женская Queen, красная, размер S")</f>
      </c>
      <c r="C11654" s="4" t="n">
        <v>2460.00</v>
      </c>
      <c r="D11654" s="4"/>
    </row>
    <row collapsed="" customFormat="false" customHeight="1" hidden="" ht="14" outlineLevel="0" r="11655">
      <c r="A11655" s="3" t="inlineStr">
        <is>
          <t>11614</t>
        </is>
      </c>
      <c r="B11655" s="4" t="s">
        <f>=HYPERLINK("http://anyluxury.ru/shop/odezhda/tolstovki/tolstovka-s-kapyushonom-zhenskaya-queen-krasnaya-ww02q004/" , "WW02Q004 Толстовка с капюшоном женская Queen, красная, размер M")</f>
      </c>
      <c r="C11655" s="4" t="n">
        <v>2460.00</v>
      </c>
      <c r="D11655" s="4"/>
    </row>
    <row collapsed="" customFormat="false" customHeight="1" hidden="" ht="14" outlineLevel="0" r="11656">
      <c r="A11656" s="3" t="inlineStr">
        <is>
          <t>11615</t>
        </is>
      </c>
      <c r="B11656" s="4" t="s">
        <f>=HYPERLINK("http://anyluxury.ru/shop/odezhda/tolstovki/tolstovka-s-kapyushonom-zhenskaya-queen-krasnaya-ww02q004/" , "WW02Q004 Толстовка с капюшоном женская Queen, красная, размер L")</f>
      </c>
      <c r="C11656" s="4" t="n">
        <v>2460.00</v>
      </c>
      <c r="D11656" s="4"/>
    </row>
    <row collapsed="" customFormat="false" customHeight="1" hidden="" ht="14" outlineLevel="0" r="11657">
      <c r="A11657" s="3" t="inlineStr">
        <is>
          <t>11616</t>
        </is>
      </c>
      <c r="B11657" s="4" t="s">
        <f>=HYPERLINK("http://anyluxury.ru/shop/odezhda/tolstovki/tolstovka-s-kapyushonom-zhenskaya-queen-krasnaya-ww02q004/" , "WW02Q004 Толстовка с капюшоном женская Queen, красная, размер XL")</f>
      </c>
      <c r="C11657" s="4" t="n">
        <v>2460.00</v>
      </c>
      <c r="D11657" s="4"/>
    </row>
    <row collapsed="" customFormat="false" customHeight="1" hidden="" ht="14" outlineLevel="0" r="11658">
      <c r="A11658" s="3" t="inlineStr">
        <is>
          <t>11617</t>
        </is>
      </c>
      <c r="B11658" s="4" t="s">
        <f>=HYPERLINK("http://anyluxury.ru/shop/odezhda/tolstovki/tolstovka-s-kapyushonom-zhenskaya-queen-krasnaya-ww02q004/" , "WW02Q004 Толстовка с капюшоном женская Queen, красная, размер XXL")</f>
      </c>
      <c r="C11658" s="4" t="n">
        <v>2460.00</v>
      </c>
      <c r="D11658" s="4"/>
    </row>
    <row collapsed="" customFormat="false" customHeight="1" hidden="" ht="14" outlineLevel="0" r="11659">
      <c r="A11659" s="3" t="inlineStr">
        <is>
          <t>11618</t>
        </is>
      </c>
      <c r="B11659" s="4" t="s">
        <f>=HYPERLINK("http://anyluxury.ru/shop/odezhda/tolstovki/tolstovka-s-kapyushonom-zhenskaya-queen-krasnaya-ww02q004/" , "WW02Q004 Толстовка с капюшоном женская Queen, красная, размер 3XL")</f>
      </c>
      <c r="C11659" s="4" t="n">
        <v>3039.00</v>
      </c>
      <c r="D11659" s="4"/>
    </row>
    <row collapsed="" customFormat="false" customHeight="1" hidden="" ht="14" outlineLevel="0" r="11660">
      <c r="A11660" s="3" t="inlineStr">
        <is>
          <t>11619</t>
        </is>
      </c>
      <c r="B11660" s="4" t="s">
        <f>=HYPERLINK("http://anyluxury.ru/shop/odezhda/tolstovki/tolstovka-s-kapyushonom-zhenskaya-queen-zheltaya-ww02q205/" , "WW02Q205 Толстовка с капюшоном женская Queen, желтая, размер XS")</f>
      </c>
      <c r="C11660" s="4" t="n">
        <v>2460.00</v>
      </c>
      <c r="D11660" s="4"/>
    </row>
    <row collapsed="" customFormat="false" customHeight="1" hidden="" ht="14" outlineLevel="0" r="11661">
      <c r="A11661" s="3" t="inlineStr">
        <is>
          <t>11620</t>
        </is>
      </c>
      <c r="B11661" s="4" t="s">
        <f>=HYPERLINK("http://anyluxury.ru/shop/odezhda/tolstovki/tolstovka-s-kapyushonom-zhenskaya-queen-zheltaya-ww02q205/" , "WW02Q205 Толстовка с капюшоном женская Queen, желтая, размер S")</f>
      </c>
      <c r="C11661" s="4" t="n">
        <v>2460.00</v>
      </c>
      <c r="D11661" s="4"/>
    </row>
    <row collapsed="" customFormat="false" customHeight="1" hidden="" ht="14" outlineLevel="0" r="11662">
      <c r="A11662" s="3" t="inlineStr">
        <is>
          <t>11621</t>
        </is>
      </c>
      <c r="B11662" s="4" t="s">
        <f>=HYPERLINK("http://anyluxury.ru/shop/odezhda/tolstovki/tolstovka-s-kapyushonom-zhenskaya-queen-zheltaya-ww02q205/" , "WW02Q205 Толстовка с капюшоном женская Queen, желтая, размер M")</f>
      </c>
      <c r="C11662" s="4" t="n">
        <v>2460.00</v>
      </c>
      <c r="D11662" s="4"/>
    </row>
    <row collapsed="" customFormat="false" customHeight="1" hidden="" ht="14" outlineLevel="0" r="11663">
      <c r="A11663" s="3" t="inlineStr">
        <is>
          <t>11622</t>
        </is>
      </c>
      <c r="B11663" s="4" t="s">
        <f>=HYPERLINK("http://anyluxury.ru/shop/odezhda/tolstovki/tolstovka-s-kapyushonom-zhenskaya-queen-zheltaya-ww02q205/" , "WW02Q205 Толстовка с капюшоном женская Queen, желтая, размер L")</f>
      </c>
      <c r="C11663" s="4" t="n">
        <v>2460.00</v>
      </c>
      <c r="D11663" s="4"/>
    </row>
    <row collapsed="" customFormat="false" customHeight="1" hidden="" ht="14" outlineLevel="0" r="11664">
      <c r="A11664" s="3" t="inlineStr">
        <is>
          <t>11623</t>
        </is>
      </c>
      <c r="B11664" s="4" t="s">
        <f>=HYPERLINK("http://anyluxury.ru/shop/odezhda/tolstovki/tolstovka-s-kapyushonom-zhenskaya-queen-zheltaya-ww02q205/" , "WW02Q205 Толстовка с капюшоном женская Queen, желтая, размер XL")</f>
      </c>
      <c r="C11664" s="4" t="n">
        <v>2460.00</v>
      </c>
      <c r="D11664" s="4"/>
    </row>
    <row collapsed="" customFormat="false" customHeight="1" hidden="" ht="14" outlineLevel="0" r="11665">
      <c r="A11665" s="3" t="inlineStr">
        <is>
          <t>11624</t>
        </is>
      </c>
      <c r="B11665" s="4" t="s">
        <f>=HYPERLINK("http://anyluxury.ru/shop/odezhda/tolstovki/tolstovka-s-kapyushonom-zhenskaya-queen-zheltaya-ww02q205/" , "WW02Q205 Толстовка с капюшоном женская Queen, желтая, размер XXL")</f>
      </c>
      <c r="C11665" s="4" t="n">
        <v>2460.00</v>
      </c>
      <c r="D11665" s="4"/>
    </row>
    <row collapsed="" customFormat="false" customHeight="1" hidden="" ht="14" outlineLevel="0" r="11666">
      <c r="A11666" s="3" t="inlineStr">
        <is>
          <t>11625</t>
        </is>
      </c>
      <c r="B11666" s="4" t="s">
        <f>=HYPERLINK("http://anyluxury.ru/shop/odezhda/tolstovki/tolstovka-s-kapyushonom-zhenskaya-queen-oranzhevaya-ww02q233/" , "WW02Q233 Толстовка с капюшоном женская Queen, оранжевая, размер XS")</f>
      </c>
      <c r="C11666" s="4" t="n">
        <v>2460.00</v>
      </c>
      <c r="D11666" s="4"/>
    </row>
    <row collapsed="" customFormat="false" customHeight="1" hidden="" ht="14" outlineLevel="0" r="11667">
      <c r="A11667" s="3" t="inlineStr">
        <is>
          <t>11626</t>
        </is>
      </c>
      <c r="B11667" s="4" t="s">
        <f>=HYPERLINK("http://anyluxury.ru/shop/odezhda/tolstovki/tolstovka-s-kapyushonom-zhenskaya-queen-oranzhevaya-ww02q233/" , "WW02Q233 Толстовка с капюшоном женская Queen, оранжевая, размер S")</f>
      </c>
      <c r="C11667" s="4" t="n">
        <v>2460.00</v>
      </c>
      <c r="D11667" s="4"/>
    </row>
    <row collapsed="" customFormat="false" customHeight="1" hidden="" ht="14" outlineLevel="0" r="11668">
      <c r="A11668" s="3" t="inlineStr">
        <is>
          <t>11627</t>
        </is>
      </c>
      <c r="B11668" s="4" t="s">
        <f>=HYPERLINK("http://anyluxury.ru/shop/odezhda/tolstovki/tolstovka-s-kapyushonom-zhenskaya-queen-oranzhevaya-ww02q233/" , "WW02Q233 Толстовка с капюшоном женская Queen, оранжевая, размер M")</f>
      </c>
      <c r="C11668" s="4" t="n">
        <v>2460.00</v>
      </c>
      <c r="D11668" s="4"/>
    </row>
    <row collapsed="" customFormat="false" customHeight="1" hidden="" ht="14" outlineLevel="0" r="11669">
      <c r="A11669" s="3" t="inlineStr">
        <is>
          <t>11628</t>
        </is>
      </c>
      <c r="B11669" s="4" t="s">
        <f>=HYPERLINK("http://anyluxury.ru/shop/odezhda/tolstovki/tolstovka-s-kapyushonom-zhenskaya-queen-oranzhevaya-ww02q233/" , "WW02Q233 Толстовка с капюшоном женская Queen, оранжевая, размер L")</f>
      </c>
      <c r="C11669" s="4" t="n">
        <v>2460.00</v>
      </c>
      <c r="D11669" s="4"/>
    </row>
    <row collapsed="" customFormat="false" customHeight="1" hidden="" ht="14" outlineLevel="0" r="11670">
      <c r="A11670" s="3" t="inlineStr">
        <is>
          <t>11629</t>
        </is>
      </c>
      <c r="B11670" s="4" t="s">
        <f>=HYPERLINK("http://anyluxury.ru/shop/odezhda/tolstovki/tolstovka-s-kapyushonom-zhenskaya-queen-oranzhevaya-ww02q233/" , "WW02Q233 Толстовка с капюшоном женская Queen, оранжевая, размер XL")</f>
      </c>
      <c r="C11670" s="4" t="n">
        <v>2460.00</v>
      </c>
      <c r="D11670" s="4"/>
    </row>
    <row collapsed="" customFormat="false" customHeight="1" hidden="" ht="14" outlineLevel="0" r="11671">
      <c r="A11671" s="3" t="inlineStr">
        <is>
          <t>11630</t>
        </is>
      </c>
      <c r="B11671" s="4" t="s">
        <f>=HYPERLINK("http://anyluxury.ru/shop/odezhda/tolstovki/tolstovka-s-kapyushonom-zhenskaya-queen-oranzhevaya-ww02q233/" , "WW02Q233 Толстовка с капюшоном женская Queen, оранжевая, размер XXL")</f>
      </c>
      <c r="C11671" s="4" t="n">
        <v>2460.00</v>
      </c>
      <c r="D11671" s="4"/>
    </row>
    <row collapsed="" customFormat="false" customHeight="1" hidden="" ht="14" outlineLevel="0" r="11672">
      <c r="A11672" s="3" t="inlineStr">
        <is>
          <t>11631</t>
        </is>
      </c>
      <c r="B11672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XS")</f>
      </c>
      <c r="C11672" s="4" t="n">
        <v>2460.00</v>
      </c>
      <c r="D11672" s="4"/>
    </row>
    <row collapsed="" customFormat="false" customHeight="1" hidden="" ht="14" outlineLevel="0" r="11673">
      <c r="A11673" s="3" t="inlineStr">
        <is>
          <t>11632</t>
        </is>
      </c>
      <c r="B11673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S")</f>
      </c>
      <c r="C11673" s="4" t="n">
        <v>2460.00</v>
      </c>
      <c r="D11673" s="4"/>
    </row>
    <row collapsed="" customFormat="false" customHeight="1" hidden="" ht="14" outlineLevel="0" r="11674">
      <c r="A11674" s="3" t="inlineStr">
        <is>
          <t>11633</t>
        </is>
      </c>
      <c r="B11674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M")</f>
      </c>
      <c r="C11674" s="4" t="n">
        <v>2460.00</v>
      </c>
      <c r="D11674" s="4"/>
    </row>
    <row collapsed="" customFormat="false" customHeight="1" hidden="" ht="14" outlineLevel="0" r="11675">
      <c r="A11675" s="3" t="inlineStr">
        <is>
          <t>11634</t>
        </is>
      </c>
      <c r="B11675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L")</f>
      </c>
      <c r="C11675" s="4" t="n">
        <v>2460.00</v>
      </c>
      <c r="D11675" s="4"/>
    </row>
    <row collapsed="" customFormat="false" customHeight="1" hidden="" ht="14" outlineLevel="0" r="11676">
      <c r="A11676" s="3" t="inlineStr">
        <is>
          <t>11635</t>
        </is>
      </c>
      <c r="B11676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XL")</f>
      </c>
      <c r="C11676" s="4" t="n">
        <v>2460.00</v>
      </c>
      <c r="D11676" s="4"/>
    </row>
    <row collapsed="" customFormat="false" customHeight="1" hidden="" ht="14" outlineLevel="0" r="11677">
      <c r="A11677" s="3" t="inlineStr">
        <is>
          <t>11636</t>
        </is>
      </c>
      <c r="B11677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XXL")</f>
      </c>
      <c r="C11677" s="4" t="n">
        <v>2460.00</v>
      </c>
      <c r="D11677" s="4"/>
    </row>
    <row collapsed="" customFormat="false" customHeight="1" hidden="" ht="14" outlineLevel="0" r="11678">
      <c r="A11678" s="3" t="inlineStr">
        <is>
          <t>11637</t>
        </is>
      </c>
      <c r="B11678" s="4" t="s">
        <f>=HYPERLINK("http://anyluxury.ru/shop/odezhda/tolstovki/tolstovka-s-kapyushonom-zhenskaya-queen-fioletovaya-ww02q351/" , "WW02Q351 Толстовка с капюшоном женская Queen, фиолетовая, размер XS")</f>
      </c>
      <c r="C11678" s="4" t="n">
        <v>2460.00</v>
      </c>
      <c r="D11678" s="4"/>
    </row>
    <row collapsed="" customFormat="false" customHeight="1" hidden="" ht="14" outlineLevel="0" r="11679">
      <c r="A11679" s="3" t="inlineStr">
        <is>
          <t>11638</t>
        </is>
      </c>
      <c r="B11679" s="4" t="s">
        <f>=HYPERLINK("http://anyluxury.ru/shop/odezhda/tolstovki/tolstovka-s-kapyushonom-zhenskaya-queen-fioletovaya-ww02q351/" , "WW02Q351 Толстовка с капюшоном женская Queen, фиолетовая, размер S")</f>
      </c>
      <c r="C11679" s="4" t="n">
        <v>2460.00</v>
      </c>
      <c r="D11679" s="4"/>
    </row>
    <row collapsed="" customFormat="false" customHeight="1" hidden="" ht="14" outlineLevel="0" r="11680">
      <c r="A11680" s="3" t="inlineStr">
        <is>
          <t>11639</t>
        </is>
      </c>
      <c r="B11680" s="4" t="s">
        <f>=HYPERLINK("http://anyluxury.ru/shop/odezhda/tolstovki/tolstovka-s-kapyushonom-zhenskaya-queen-fioletovaya-ww02q351/" , "WW02Q351 Толстовка с капюшоном женская Queen, фиолетовая, размер M")</f>
      </c>
      <c r="C11680" s="4" t="n">
        <v>2460.00</v>
      </c>
      <c r="D11680" s="4"/>
    </row>
    <row collapsed="" customFormat="false" customHeight="1" hidden="" ht="14" outlineLevel="0" r="11681">
      <c r="A11681" s="3" t="inlineStr">
        <is>
          <t>11640</t>
        </is>
      </c>
      <c r="B11681" s="4" t="s">
        <f>=HYPERLINK("http://anyluxury.ru/shop/odezhda/tolstovki/tolstovka-s-kapyushonom-zhenskaya-queen-fioletovaya-ww02q351/" , "WW02Q351 Толстовка с капюшоном женская Queen, фиолетовая, размер L")</f>
      </c>
      <c r="C11681" s="4" t="n">
        <v>2460.00</v>
      </c>
      <c r="D11681" s="4"/>
    </row>
    <row collapsed="" customFormat="false" customHeight="1" hidden="" ht="14" outlineLevel="0" r="11682">
      <c r="A11682" s="3" t="inlineStr">
        <is>
          <t>11641</t>
        </is>
      </c>
      <c r="B11682" s="4" t="s">
        <f>=HYPERLINK("http://anyluxury.ru/shop/odezhda/tolstovki/tolstovka-s-kapyushonom-zhenskaya-queen-fioletovaya-ww02q351/" , "WW02Q351 Толстовка с капюшоном женская Queen, фиолетовая, размер XL")</f>
      </c>
      <c r="C11682" s="4" t="n">
        <v>2460.00</v>
      </c>
      <c r="D11682" s="4"/>
    </row>
    <row collapsed="" customFormat="false" customHeight="1" hidden="" ht="14" outlineLevel="0" r="11683">
      <c r="A11683" s="3" t="inlineStr">
        <is>
          <t>11642</t>
        </is>
      </c>
      <c r="B11683" s="4" t="s">
        <f>=HYPERLINK("http://anyluxury.ru/shop/odezhda/tolstovki/tolstovka-s-kapyushonom-zhenskaya-queen-fioletovaya-ww02q351/" , "WW02Q351 Толстовка с капюшоном женская Queen, фиолетовая, размер XXL")</f>
      </c>
      <c r="C11683" s="4" t="n">
        <v>2460.00</v>
      </c>
      <c r="D11683" s="4"/>
    </row>
    <row collapsed="" customFormat="false" customHeight="1" hidden="" ht="14" outlineLevel="0" r="11684">
      <c r="A11684" s="3" t="inlineStr">
        <is>
          <t>11643</t>
        </is>
      </c>
      <c r="B11684" s="4" t="s">
        <f>=HYPERLINK("http://anyluxury.ru/shop/odezhda/tolstovki/tolstovka-s-kapyushonom-zhenskaya-queen-svetlogolubaya-ww02q405/" , "WW02Q405 Толстовка с капюшоном женская Queen, светло-голубая, размер XS")</f>
      </c>
      <c r="C11684" s="4" t="n">
        <v>2460.00</v>
      </c>
      <c r="D11684" s="4"/>
    </row>
    <row collapsed="" customFormat="false" customHeight="1" hidden="" ht="14" outlineLevel="0" r="11685">
      <c r="A11685" s="3" t="inlineStr">
        <is>
          <t>11644</t>
        </is>
      </c>
      <c r="B11685" s="4" t="s">
        <f>=HYPERLINK("http://anyluxury.ru/shop/odezhda/tolstovki/tolstovka-s-kapyushonom-zhenskaya-queen-svetlogolubaya-ww02q405/" , "WW02Q405 Толстовка с капюшоном женская Queen, светло-голубая, размер S")</f>
      </c>
      <c r="C11685" s="4" t="n">
        <v>2460.00</v>
      </c>
      <c r="D11685" s="4"/>
    </row>
    <row collapsed="" customFormat="false" customHeight="1" hidden="" ht="14" outlineLevel="0" r="11686">
      <c r="A11686" s="3" t="inlineStr">
        <is>
          <t>11645</t>
        </is>
      </c>
      <c r="B11686" s="4" t="s">
        <f>=HYPERLINK("http://anyluxury.ru/shop/odezhda/tolstovki/tolstovka-s-kapyushonom-zhenskaya-queen-svetlogolubaya-ww02q405/" , "WW02Q405 Толстовка с капюшоном женская Queen, светло-голубая, размер M")</f>
      </c>
      <c r="C11686" s="4" t="n">
        <v>2460.00</v>
      </c>
      <c r="D11686" s="4"/>
    </row>
    <row collapsed="" customFormat="false" customHeight="1" hidden="" ht="14" outlineLevel="0" r="11687">
      <c r="A11687" s="3" t="inlineStr">
        <is>
          <t>11646</t>
        </is>
      </c>
      <c r="B11687" s="4" t="s">
        <f>=HYPERLINK("http://anyluxury.ru/shop/odezhda/tolstovki/tolstovka-s-kapyushonom-zhenskaya-queen-svetlogolubaya-ww02q405/" , "WW02Q405 Толстовка с капюшоном женская Queen, светло-голубая, размер L")</f>
      </c>
      <c r="C11687" s="4" t="n">
        <v>2460.00</v>
      </c>
      <c r="D11687" s="4"/>
    </row>
    <row collapsed="" customFormat="false" customHeight="1" hidden="" ht="14" outlineLevel="0" r="11688">
      <c r="A11688" s="3" t="inlineStr">
        <is>
          <t>11647</t>
        </is>
      </c>
      <c r="B11688" s="4" t="s">
        <f>=HYPERLINK("http://anyluxury.ru/shop/odezhda/tolstovki/tolstovka-s-kapyushonom-zhenskaya-queen-svetlogolubaya-ww02q405/" , "WW02Q405 Толстовка с капюшоном женская Queen, светло-голубая, размер XL")</f>
      </c>
      <c r="C11688" s="4" t="n">
        <v>2460.00</v>
      </c>
      <c r="D11688" s="4"/>
    </row>
    <row collapsed="" customFormat="false" customHeight="1" hidden="" ht="14" outlineLevel="0" r="11689">
      <c r="A11689" s="3" t="inlineStr">
        <is>
          <t>11648</t>
        </is>
      </c>
      <c r="B11689" s="4" t="s">
        <f>=HYPERLINK("http://anyluxury.ru/shop/odezhda/tolstovki/tolstovka-s-kapyushonom-zhenskaya-queen-svetlogolubaya-ww02q405/" , "WW02Q405 Толстовка с капюшоном женская Queen, светло-голубая, размер XXL")</f>
      </c>
      <c r="C11689" s="4" t="n">
        <v>2460.00</v>
      </c>
      <c r="D11689" s="4"/>
    </row>
    <row collapsed="" customFormat="false" customHeight="1" hidden="" ht="14" outlineLevel="0" r="11690">
      <c r="A11690" s="3" t="inlineStr">
        <is>
          <t>11649</t>
        </is>
      </c>
      <c r="B11690" s="4" t="s">
        <f>=HYPERLINK("http://anyluxury.ru/shop/odezhda/tolstovki/tolstovka-s-kapyushonom-zhenskaya-queen-serozelenaya-ww02q501/" , "WW02Q501 Толстовка с капюшоном женская Queen, серо-зеленая, размер XS")</f>
      </c>
      <c r="C11690" s="4" t="n">
        <v>2460.00</v>
      </c>
      <c r="D11690" s="4"/>
    </row>
    <row collapsed="" customFormat="false" customHeight="1" hidden="" ht="14" outlineLevel="0" r="11691">
      <c r="A11691" s="3" t="inlineStr">
        <is>
          <t>11650</t>
        </is>
      </c>
      <c r="B11691" s="4" t="s">
        <f>=HYPERLINK("http://anyluxury.ru/shop/odezhda/tolstovki/tolstovka-s-kapyushonom-zhenskaya-queen-serozelenaya-ww02q501/" , "WW02Q501 Толстовка с капюшоном женская Queen, серо-зеленая, размер S")</f>
      </c>
      <c r="C11691" s="4" t="n">
        <v>2460.00</v>
      </c>
      <c r="D11691" s="4"/>
    </row>
    <row collapsed="" customFormat="false" customHeight="1" hidden="" ht="14" outlineLevel="0" r="11692">
      <c r="A11692" s="3" t="inlineStr">
        <is>
          <t>11651</t>
        </is>
      </c>
      <c r="B11692" s="4" t="s">
        <f>=HYPERLINK("http://anyluxury.ru/shop/odezhda/tolstovki/tolstovka-s-kapyushonom-zhenskaya-queen-serozelenaya-ww02q501/" , "WW02Q501 Толстовка с капюшоном женская Queen, серо-зеленая, размер M")</f>
      </c>
      <c r="C11692" s="4" t="n">
        <v>2460.00</v>
      </c>
      <c r="D11692" s="4"/>
    </row>
    <row collapsed="" customFormat="false" customHeight="1" hidden="" ht="14" outlineLevel="0" r="11693">
      <c r="A11693" s="3" t="inlineStr">
        <is>
          <t>11652</t>
        </is>
      </c>
      <c r="B11693" s="4" t="s">
        <f>=HYPERLINK("http://anyluxury.ru/shop/odezhda/tolstovki/tolstovka-s-kapyushonom-zhenskaya-queen-serozelenaya-ww02q501/" , "WW02Q501 Толстовка с капюшоном женская Queen, серо-зеленая, размер L")</f>
      </c>
      <c r="C11693" s="4" t="n">
        <v>2460.00</v>
      </c>
      <c r="D11693" s="4"/>
    </row>
    <row collapsed="" customFormat="false" customHeight="1" hidden="" ht="14" outlineLevel="0" r="11694">
      <c r="A11694" s="3" t="inlineStr">
        <is>
          <t>11653</t>
        </is>
      </c>
      <c r="B11694" s="4" t="s">
        <f>=HYPERLINK("http://anyluxury.ru/shop/odezhda/tolstovki/tolstovka-s-kapyushonom-zhenskaya-queen-serozelenaya-ww02q501/" , "WW02Q501 Толстовка с капюшоном женская Queen, серо-зеленая, размер XL")</f>
      </c>
      <c r="C11694" s="4" t="n">
        <v>2460.00</v>
      </c>
      <c r="D11694" s="4"/>
    </row>
    <row collapsed="" customFormat="false" customHeight="1" hidden="" ht="14" outlineLevel="0" r="11695">
      <c r="A11695" s="3" t="inlineStr">
        <is>
          <t>11654</t>
        </is>
      </c>
      <c r="B11695" s="4" t="s">
        <f>=HYPERLINK("http://anyluxury.ru/shop/odezhda/tolstovki/tolstovka-s-kapyushonom-zhenskaya-queen-serozelenaya-ww02q501/" , "WW02Q501 Толстовка с капюшоном женская Queen, серо-зеленая, размер XXL")</f>
      </c>
      <c r="C11695" s="4" t="n">
        <v>2460.00</v>
      </c>
      <c r="D11695" s="4"/>
    </row>
    <row collapsed="" customFormat="false" customHeight="1" hidden="" ht="14" outlineLevel="0" r="11696">
      <c r="A11696" s="3" t="inlineStr">
        <is>
          <t>11655</t>
        </is>
      </c>
      <c r="B11696" s="4" t="s">
        <f>=HYPERLINK("http://anyluxury.ru/shop/odezhda/tolstovki/tolstovka-s-kapyushonom-zhenskaya-queen-temnozelenaya-ww02q540/" , "WW02Q540 Толстовка с капюшоном женская Queen, темно-зеленая, размер XS")</f>
      </c>
      <c r="C11696" s="4" t="n">
        <v>2460.00</v>
      </c>
      <c r="D11696" s="4"/>
    </row>
    <row collapsed="" customFormat="false" customHeight="1" hidden="" ht="14" outlineLevel="0" r="11697">
      <c r="A11697" s="3" t="inlineStr">
        <is>
          <t>11656</t>
        </is>
      </c>
      <c r="B11697" s="4" t="s">
        <f>=HYPERLINK("http://anyluxury.ru/shop/odezhda/tolstovki/tolstovka-s-kapyushonom-zhenskaya-queen-temnozelenaya-ww02q540/" , "WW02Q540 Толстовка с капюшоном женская Queen, темно-зеленая, размер S")</f>
      </c>
      <c r="C11697" s="4" t="n">
        <v>2460.00</v>
      </c>
      <c r="D11697" s="4"/>
    </row>
    <row collapsed="" customFormat="false" customHeight="1" hidden="" ht="14" outlineLevel="0" r="11698">
      <c r="A11698" s="3" t="inlineStr">
        <is>
          <t>11657</t>
        </is>
      </c>
      <c r="B11698" s="4" t="s">
        <f>=HYPERLINK("http://anyluxury.ru/shop/odezhda/tolstovki/tolstovka-s-kapyushonom-zhenskaya-queen-temnozelenaya-ww02q540/" , "WW02Q540 Толстовка с капюшоном женская Queen, темно-зеленая, размер M")</f>
      </c>
      <c r="C11698" s="4" t="n">
        <v>2460.00</v>
      </c>
      <c r="D11698" s="4"/>
    </row>
    <row collapsed="" customFormat="false" customHeight="1" hidden="" ht="14" outlineLevel="0" r="11699">
      <c r="A11699" s="3" t="inlineStr">
        <is>
          <t>11658</t>
        </is>
      </c>
      <c r="B11699" s="4" t="s">
        <f>=HYPERLINK("http://anyluxury.ru/shop/odezhda/tolstovki/tolstovka-s-kapyushonom-zhenskaya-queen-temnozelenaya-ww02q540/" , "WW02Q540 Толстовка с капюшоном женская Queen, темно-зеленая, размер L")</f>
      </c>
      <c r="C11699" s="4" t="n">
        <v>2460.00</v>
      </c>
      <c r="D11699" s="4"/>
    </row>
    <row collapsed="" customFormat="false" customHeight="1" hidden="" ht="14" outlineLevel="0" r="11700">
      <c r="A11700" s="3" t="inlineStr">
        <is>
          <t>11659</t>
        </is>
      </c>
      <c r="B11700" s="4" t="s">
        <f>=HYPERLINK("http://anyluxury.ru/shop/odezhda/tolstovki/tolstovka-s-kapyushonom-zhenskaya-queen-temnozelenaya-ww02q540/" , "WW02Q540 Толстовка с капюшоном женская Queen, темно-зеленая, размер XL")</f>
      </c>
      <c r="C11700" s="4" t="n">
        <v>2460.00</v>
      </c>
      <c r="D11700" s="4"/>
    </row>
    <row collapsed="" customFormat="false" customHeight="1" hidden="" ht="14" outlineLevel="0" r="11701">
      <c r="A11701" s="3" t="inlineStr">
        <is>
          <t>11660</t>
        </is>
      </c>
      <c r="B11701" s="4" t="s">
        <f>=HYPERLINK("http://anyluxury.ru/shop/odezhda/tolstovki/tolstovka-s-kapyushonom-zhenskaya-queen-temnozelenaya-ww02q540/" , "WW02Q540 Толстовка с капюшоном женская Queen, темно-зеленая, размер XXL")</f>
      </c>
      <c r="C11701" s="4" t="n">
        <v>2460.00</v>
      </c>
      <c r="D11701" s="4"/>
    </row>
    <row collapsed="" customFormat="false" customHeight="1" hidden="" ht="14" outlineLevel="0" r="11702">
      <c r="A11702" s="3" t="inlineStr">
        <is>
          <t>11661</t>
        </is>
      </c>
      <c r="B11702" s="4" t="s">
        <f>=HYPERLINK("http://anyluxury.ru/shop/odezhda/tolstovki/tolstovka-s-kapyushonom-zhenskaya-queen-seriy-melanzh-ww02q610/" , "WW02Q610 Толстовка с капюшоном женская Queen, серый меланж, размер XS")</f>
      </c>
      <c r="C11702" s="4" t="n">
        <v>2460.00</v>
      </c>
      <c r="D11702" s="4"/>
    </row>
    <row collapsed="" customFormat="false" customHeight="1" hidden="" ht="14" outlineLevel="0" r="11703">
      <c r="A11703" s="3" t="inlineStr">
        <is>
          <t>11662</t>
        </is>
      </c>
      <c r="B11703" s="4" t="s">
        <f>=HYPERLINK("http://anyluxury.ru/shop/odezhda/tolstovki/tolstovka-s-kapyushonom-zhenskaya-queen-seriy-melanzh-ww02q610/" , "WW02Q610 Толстовка с капюшоном женская Queen, серый меланж, размер S")</f>
      </c>
      <c r="C11703" s="4" t="n">
        <v>2460.00</v>
      </c>
      <c r="D11703" s="4"/>
    </row>
    <row collapsed="" customFormat="false" customHeight="1" hidden="" ht="14" outlineLevel="0" r="11704">
      <c r="A11704" s="3" t="inlineStr">
        <is>
          <t>11663</t>
        </is>
      </c>
      <c r="B11704" s="4" t="s">
        <f>=HYPERLINK("http://anyluxury.ru/shop/odezhda/tolstovki/tolstovka-s-kapyushonom-zhenskaya-queen-seriy-melanzh-ww02q610/" , "WW02Q610 Толстовка с капюшоном женская Queen, серый меланж, размер M")</f>
      </c>
      <c r="C11704" s="4" t="n">
        <v>2460.00</v>
      </c>
      <c r="D11704" s="4"/>
    </row>
    <row collapsed="" customFormat="false" customHeight="1" hidden="" ht="14" outlineLevel="0" r="11705">
      <c r="A11705" s="3" t="inlineStr">
        <is>
          <t>11664</t>
        </is>
      </c>
      <c r="B11705" s="4" t="s">
        <f>=HYPERLINK("http://anyluxury.ru/shop/odezhda/tolstovki/tolstovka-s-kapyushonom-zhenskaya-queen-seriy-melanzh-ww02q610/" , "WW02Q610 Толстовка с капюшоном женская Queen, серый меланж, размер L")</f>
      </c>
      <c r="C11705" s="4" t="n">
        <v>2460.00</v>
      </c>
      <c r="D11705" s="4"/>
    </row>
    <row collapsed="" customFormat="false" customHeight="1" hidden="" ht="14" outlineLevel="0" r="11706">
      <c r="A11706" s="3" t="inlineStr">
        <is>
          <t>11665</t>
        </is>
      </c>
      <c r="B11706" s="4" t="s">
        <f>=HYPERLINK("http://anyluxury.ru/shop/odezhda/tolstovki/tolstovka-s-kapyushonom-zhenskaya-queen-seriy-melanzh-ww02q610/" , "WW02Q610 Толстовка с капюшоном женская Queen, серый меланж, размер XL")</f>
      </c>
      <c r="C11706" s="4" t="n">
        <v>2460.00</v>
      </c>
      <c r="D11706" s="4"/>
    </row>
    <row collapsed="" customFormat="false" customHeight="1" hidden="" ht="14" outlineLevel="0" r="11707">
      <c r="A11707" s="3" t="inlineStr">
        <is>
          <t>11666</t>
        </is>
      </c>
      <c r="B11707" s="4" t="s">
        <f>=HYPERLINK("http://anyluxury.ru/shop/odezhda/tolstovki/tolstovka-s-kapyushonom-zhenskaya-queen-seriy-melanzh-ww02q610/" , "WW02Q610 Толстовка с капюшоном женская Queen, серый меланж, размер XXL")</f>
      </c>
      <c r="C11707" s="4" t="n">
        <v>2460.00</v>
      </c>
      <c r="D11707" s="4"/>
    </row>
    <row collapsed="" customFormat="false" customHeight="1" hidden="" ht="14" outlineLevel="0" r="11708">
      <c r="A11708" s="3" t="inlineStr">
        <is>
          <t>11667</t>
        </is>
      </c>
      <c r="B11708" s="4" t="s">
        <f>=HYPERLINK("http://anyluxury.ru/shop/odezhda/tolstovki/tolstovka-s-kapyushonom-zhenskaya-queen-seriy-melanzh-ww02q610/" , "WW02Q610 Толстовка с капюшоном женская Queen, серый меланж, размер 3XL")</f>
      </c>
      <c r="C11708" s="4" t="n">
        <v>3039.00</v>
      </c>
      <c r="D11708" s="4"/>
    </row>
    <row collapsed="" customFormat="false" customHeight="1" hidden="" ht="14" outlineLevel="0" r="11709">
      <c r="A11709" s="3" t="inlineStr">
        <is>
          <t>11668</t>
        </is>
      </c>
      <c r="B11709" s="4" t="s">
        <f>=HYPERLINK("http://anyluxury.ru/shop/odezhda/tolstovki/tolstovka-s-kapyushonom-zhenskaya-queen-temnoseraya-ww02q669/" , "WW02Q669 Толстовка с капюшоном женская Queen, темно-серая, размер XS")</f>
      </c>
      <c r="C11709" s="4" t="n">
        <v>2460.00</v>
      </c>
      <c r="D11709" s="4"/>
    </row>
    <row collapsed="" customFormat="false" customHeight="1" hidden="" ht="14" outlineLevel="0" r="11710">
      <c r="A11710" s="3" t="inlineStr">
        <is>
          <t>11669</t>
        </is>
      </c>
      <c r="B11710" s="4" t="s">
        <f>=HYPERLINK("http://anyluxury.ru/shop/odezhda/tolstovki/tolstovka-s-kapyushonom-zhenskaya-queen-temnoseraya-ww02q669/" , "WW02Q669 Толстовка с капюшоном женская Queen, темно-серая, размер S")</f>
      </c>
      <c r="C11710" s="4" t="n">
        <v>2460.00</v>
      </c>
      <c r="D11710" s="4"/>
    </row>
    <row collapsed="" customFormat="false" customHeight="1" hidden="" ht="14" outlineLevel="0" r="11711">
      <c r="A11711" s="3" t="inlineStr">
        <is>
          <t>11670</t>
        </is>
      </c>
      <c r="B11711" s="4" t="s">
        <f>=HYPERLINK("http://anyluxury.ru/shop/odezhda/tolstovki/tolstovka-s-kapyushonom-zhenskaya-queen-temnoseraya-ww02q669/" , "WW02Q669 Толстовка с капюшоном женская Queen, темно-серая, размер M")</f>
      </c>
      <c r="C11711" s="4" t="n">
        <v>2460.00</v>
      </c>
      <c r="D11711" s="4"/>
    </row>
    <row collapsed="" customFormat="false" customHeight="1" hidden="" ht="14" outlineLevel="0" r="11712">
      <c r="A11712" s="3" t="inlineStr">
        <is>
          <t>11671</t>
        </is>
      </c>
      <c r="B11712" s="4" t="s">
        <f>=HYPERLINK("http://anyluxury.ru/shop/odezhda/tolstovki/tolstovka-s-kapyushonom-zhenskaya-queen-temnoseraya-ww02q669/" , "WW02Q669 Толстовка с капюшоном женская Queen, темно-серая, размер L")</f>
      </c>
      <c r="C11712" s="4" t="n">
        <v>2460.00</v>
      </c>
      <c r="D11712" s="4"/>
    </row>
    <row collapsed="" customFormat="false" customHeight="1" hidden="" ht="14" outlineLevel="0" r="11713">
      <c r="A11713" s="3" t="inlineStr">
        <is>
          <t>11672</t>
        </is>
      </c>
      <c r="B11713" s="4" t="s">
        <f>=HYPERLINK("http://anyluxury.ru/shop/odezhda/tolstovki/tolstovka-s-kapyushonom-zhenskaya-queen-temnoseraya-ww02q669/" , "WW02Q669 Толстовка с капюшоном женская Queen, темно-серая, размер XL")</f>
      </c>
      <c r="C11713" s="4" t="n">
        <v>2460.00</v>
      </c>
      <c r="D11713" s="4"/>
    </row>
    <row collapsed="" customFormat="false" customHeight="1" hidden="" ht="14" outlineLevel="0" r="11714">
      <c r="A11714" s="3" t="inlineStr">
        <is>
          <t>11673</t>
        </is>
      </c>
      <c r="B11714" s="4" t="s">
        <f>=HYPERLINK("http://anyluxury.ru/shop/odezhda/tolstovki/tolstovka-s-kapyushonom-zhenskaya-queen-temnoseraya-ww02q669/" , "WW02Q669 Толстовка с капюшоном женская Queen, темно-серая, размер XXL")</f>
      </c>
      <c r="C11714" s="4" t="n">
        <v>2460.00</v>
      </c>
      <c r="D11714" s="4"/>
    </row>
    <row collapsed="" customFormat="false" customHeight="1" hidden="" ht="14" outlineLevel="0" r="11715">
      <c r="A11715" s="3" t="inlineStr">
        <is>
          <t>11674</t>
        </is>
      </c>
      <c r="B11715" s="4" t="s">
        <f>=HYPERLINK("http://anyluxury.ru/shop/odezhda/tolstovki/tolstovka-s-kapyushonom-zhenskaya-queen-temnoseraya-ww02q669/" , "WW02Q669 Толстовка с капюшоном женская Queen, темно-серая, размер 3XL")</f>
      </c>
      <c r="C11715" s="4" t="n">
        <v>3039.00</v>
      </c>
      <c r="D11715" s="4"/>
    </row>
    <row collapsed="" customFormat="false" customHeight="1" hidden="" ht="14" outlineLevel="0" r="11716">
      <c r="A11716" s="3" t="inlineStr">
        <is>
          <t>11675</t>
        </is>
      </c>
      <c r="B11716" s="4" t="s">
        <f>=HYPERLINK("http://anyluxury.ru/shop/odezhda/tolstovki/tolstovka-s-kapyushonom-na-molnii-uniseks-king-belaya-wu03k001/" , "WU03K001 Толстовка с капюшоном на молнии унисекс King, белая, размер XS")</f>
      </c>
      <c r="C11716" s="4" t="n">
        <v>4560.00</v>
      </c>
      <c r="D11716" s="4"/>
    </row>
    <row collapsed="" customFormat="false" customHeight="1" hidden="" ht="14" outlineLevel="0" r="11717">
      <c r="A11717" s="3" t="inlineStr">
        <is>
          <t>11676</t>
        </is>
      </c>
      <c r="B11717" s="4" t="s">
        <f>=HYPERLINK("http://anyluxury.ru/shop/odezhda/tolstovki/tolstovka-s-kapyushonom-na-molnii-uniseks-king-belaya-wu03k001/" , "WU03K001 Толстовка с капюшоном на молнии унисекс King, белая, размер S")</f>
      </c>
      <c r="C11717" s="4" t="n">
        <v>4560.00</v>
      </c>
      <c r="D11717" s="4"/>
    </row>
    <row collapsed="" customFormat="false" customHeight="1" hidden="" ht="14" outlineLevel="0" r="11718">
      <c r="A11718" s="3" t="inlineStr">
        <is>
          <t>11677</t>
        </is>
      </c>
      <c r="B11718" s="4" t="s">
        <f>=HYPERLINK("http://anyluxury.ru/shop/odezhda/tolstovki/tolstovka-s-kapyushonom-na-molnii-uniseks-king-belaya-wu03k001/" , "WU03K001 Толстовка с капюшоном на молнии унисекс King, белая, размер M")</f>
      </c>
      <c r="C11718" s="4" t="n">
        <v>4560.00</v>
      </c>
      <c r="D11718" s="4"/>
    </row>
    <row collapsed="" customFormat="false" customHeight="1" hidden="" ht="14" outlineLevel="0" r="11719">
      <c r="A11719" s="3" t="inlineStr">
        <is>
          <t>11678</t>
        </is>
      </c>
      <c r="B11719" s="4" t="s">
        <f>=HYPERLINK("http://anyluxury.ru/shop/odezhda/tolstovki/tolstovka-s-kapyushonom-na-molnii-uniseks-king-belaya-wu03k001/" , "WU03K001 Толстовка с капюшоном на молнии унисекс King, белая, размер XL")</f>
      </c>
      <c r="C11719" s="4" t="n">
        <v>4560.00</v>
      </c>
      <c r="D11719" s="4"/>
    </row>
    <row collapsed="" customFormat="false" customHeight="1" hidden="" ht="14" outlineLevel="0" r="11720">
      <c r="A11720" s="3" t="inlineStr">
        <is>
          <t>11679</t>
        </is>
      </c>
      <c r="B11720" s="4" t="s">
        <f>=HYPERLINK("http://anyluxury.ru/shop/odezhda/tolstovki/tolstovka-s-kapyushonom-na-molnii-uniseks-king-belaya-wu03k001/" , "WU03K001 Толстовка с капюшоном на молнии унисекс King, белая, размер XXL")</f>
      </c>
      <c r="C11720" s="4" t="n">
        <v>4560.00</v>
      </c>
      <c r="D11720" s="4"/>
    </row>
    <row collapsed="" customFormat="false" customHeight="1" hidden="" ht="14" outlineLevel="0" r="11721">
      <c r="A11721" s="3" t="inlineStr">
        <is>
          <t>11680</t>
        </is>
      </c>
      <c r="B11721" s="4" t="s">
        <f>=HYPERLINK("http://anyluxury.ru/shop/odezhda/tolstovki/tolstovka-s-kapyushonom-na-molnii-uniseks-king-belaya-wu03k001/" , "WU03K001 Толстовка с капюшоном на молнии унисекс King, белая, размер 3XL")</f>
      </c>
      <c r="C11721" s="4" t="n">
        <v>4560.00</v>
      </c>
      <c r="D11721" s="4"/>
    </row>
    <row collapsed="" customFormat="false" customHeight="1" hidden="" ht="14" outlineLevel="0" r="11722">
      <c r="A11722" s="3" t="inlineStr">
        <is>
          <t>11681</t>
        </is>
      </c>
      <c r="B11722" s="4" t="s">
        <f>=HYPERLINK("http://anyluxury.ru/shop/odezhda/tolstovki/tolstovka-s-kapyushonom-na-molnii-uniseks-king-belaya-wu03k001/" , "WU03K001 Толстовка с капюшоном на молнии унисекс King, белая, размер 4XL")</f>
      </c>
      <c r="C11722" s="4" t="n">
        <v>5682.00</v>
      </c>
      <c r="D11722" s="4"/>
    </row>
    <row collapsed="" customFormat="false" customHeight="1" hidden="" ht="14" outlineLevel="0" r="11723">
      <c r="A11723" s="3" t="inlineStr">
        <is>
          <t>11682</t>
        </is>
      </c>
      <c r="B11723" s="4" t="s">
        <f>=HYPERLINK("http://anyluxury.ru/shop/odezhda/tolstovki/tolstovka-s-kapyushonom-na-molnii-uniseks-king-krasnaya-wu03k004/" , "WU03K004 Толстовка с капюшоном на молнии унисекс King, красная, размер XL")</f>
      </c>
      <c r="C11723" s="4" t="n">
        <v>4560.00</v>
      </c>
      <c r="D11723" s="4"/>
    </row>
    <row collapsed="" customFormat="false" customHeight="1" hidden="" ht="14" outlineLevel="0" r="11724">
      <c r="A11724" s="3" t="inlineStr">
        <is>
          <t>11683</t>
        </is>
      </c>
      <c r="B11724" s="4" t="s">
        <f>=HYPERLINK("http://anyluxury.ru/shop/odezhda/tolstovki/tolstovka-s-kapyushonom-na-molnii-uniseks-king-krasnaya-wu03k004/" , "WU03K004 Толстовка с капюшоном на молнии унисекс King, красная, размер 4XL")</f>
      </c>
      <c r="C11724" s="4" t="n">
        <v>5682.00</v>
      </c>
      <c r="D11724" s="4"/>
    </row>
    <row collapsed="" customFormat="false" customHeight="1" hidden="" ht="14" outlineLevel="0" r="11725">
      <c r="A11725" s="3" t="inlineStr">
        <is>
          <t>11684</t>
        </is>
      </c>
      <c r="B11725" s="4" t="s">
        <f>=HYPERLINK("http://anyluxury.ru/shop/odezhda/tolstovki/tolstovka-s-kapyushonom-na-molnii-uniseks-king-chernaya-wu03k005/" , "WU03K005 Толстовка с капюшоном на молнии унисекс King, черная, размер XS")</f>
      </c>
      <c r="C11725" s="4" t="n">
        <v>4560.00</v>
      </c>
      <c r="D11725" s="4"/>
    </row>
    <row collapsed="" customFormat="false" customHeight="1" hidden="" ht="14" outlineLevel="0" r="11726">
      <c r="A11726" s="3" t="inlineStr">
        <is>
          <t>11685</t>
        </is>
      </c>
      <c r="B11726" s="4" t="s">
        <f>=HYPERLINK("http://anyluxury.ru/shop/odezhda/tolstovki/tolstovka-s-kapyushonom-na-molnii-uniseks-king-chernaya-wu03k005/" , "WU03K005 Толстовка с капюшоном на молнии унисекс King, черная, размер S")</f>
      </c>
      <c r="C11726" s="4" t="n">
        <v>4560.00</v>
      </c>
      <c r="D11726" s="4"/>
    </row>
    <row collapsed="" customFormat="false" customHeight="1" hidden="" ht="14" outlineLevel="0" r="11727">
      <c r="A11727" s="3" t="inlineStr">
        <is>
          <t>11686</t>
        </is>
      </c>
      <c r="B11727" s="4" t="s">
        <f>=HYPERLINK("http://anyluxury.ru/shop/odezhda/tolstovki/tolstovka-s-kapyushonom-na-molnii-uniseks-king-chernaya-wu03k005/" , "WU03K005 Толстовка с капюшоном на молнии унисекс King, черная, размер M")</f>
      </c>
      <c r="C11727" s="4" t="n">
        <v>4560.00</v>
      </c>
      <c r="D11727" s="4"/>
    </row>
    <row collapsed="" customFormat="false" customHeight="1" hidden="" ht="14" outlineLevel="0" r="11728">
      <c r="A11728" s="3" t="inlineStr">
        <is>
          <t>11687</t>
        </is>
      </c>
      <c r="B11728" s="4" t="s">
        <f>=HYPERLINK("http://anyluxury.ru/shop/odezhda/tolstovki/tolstovka-s-kapyushonom-na-molnii-uniseks-king-chernaya-wu03k005/" , "WU03K005 Толстовка с капюшоном на молнии унисекс King, черная, размер L")</f>
      </c>
      <c r="C11728" s="4" t="n">
        <v>4560.00</v>
      </c>
      <c r="D11728" s="4"/>
    </row>
    <row collapsed="" customFormat="false" customHeight="1" hidden="" ht="14" outlineLevel="0" r="11729">
      <c r="A11729" s="3" t="inlineStr">
        <is>
          <t>11688</t>
        </is>
      </c>
      <c r="B11729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XS")</f>
      </c>
      <c r="C11729" s="4" t="n">
        <v>4560.00</v>
      </c>
      <c r="D11729" s="4"/>
    </row>
    <row collapsed="" customFormat="false" customHeight="1" hidden="" ht="14" outlineLevel="0" r="11730">
      <c r="A11730" s="3" t="inlineStr">
        <is>
          <t>11689</t>
        </is>
      </c>
      <c r="B11730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S")</f>
      </c>
      <c r="C11730" s="4" t="n">
        <v>4560.00</v>
      </c>
      <c r="D11730" s="4"/>
    </row>
    <row collapsed="" customFormat="false" customHeight="1" hidden="" ht="14" outlineLevel="0" r="11731">
      <c r="A11731" s="3" t="inlineStr">
        <is>
          <t>11690</t>
        </is>
      </c>
      <c r="B11731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M")</f>
      </c>
      <c r="C11731" s="4" t="n">
        <v>4560.00</v>
      </c>
      <c r="D11731" s="4"/>
    </row>
    <row collapsed="" customFormat="false" customHeight="1" hidden="" ht="14" outlineLevel="0" r="11732">
      <c r="A11732" s="3" t="inlineStr">
        <is>
          <t>11691</t>
        </is>
      </c>
      <c r="B11732" s="4" t="s">
        <f>=HYPERLINK("http://anyluxury.ru/shop/odezhda/tolstovki/tolstovka-s-kapyushonom-na-molnii-uniseks-king-yarkosinyaya-wu03k453/" , "WU03K453 Толстовка с капюшоном на молнии унисекс King, ярко-синяя, размер XS")</f>
      </c>
      <c r="C11732" s="4" t="n">
        <v>4560.00</v>
      </c>
      <c r="D11732" s="4"/>
    </row>
    <row collapsed="" customFormat="false" customHeight="1" hidden="" ht="14" outlineLevel="0" r="11733">
      <c r="A11733" s="3" t="inlineStr">
        <is>
          <t>11692</t>
        </is>
      </c>
      <c r="B11733" s="4" t="s">
        <f>=HYPERLINK("http://anyluxury.ru/shop/odezhda/tolstovki/tolstovka-s-kapyushonom-na-molnii-uniseks-king-yarkosinyaya-wu03k453/" , "WU03K453 Толстовка с капюшоном на молнии унисекс King, ярко-синяя, размер S")</f>
      </c>
      <c r="C11733" s="4" t="n">
        <v>4560.00</v>
      </c>
      <c r="D11733" s="4"/>
    </row>
    <row collapsed="" customFormat="false" customHeight="1" hidden="" ht="14" outlineLevel="0" r="11734">
      <c r="A11734" s="3" t="inlineStr">
        <is>
          <t>11693</t>
        </is>
      </c>
      <c r="B11734" s="4" t="s">
        <f>=HYPERLINK("http://anyluxury.ru/shop/odezhda/tolstovki/tolstovka-s-kapyushonom-na-molnii-uniseks-king-yarkosinyaya-wu03k453/" , "WU03K453 Толстовка с капюшоном на молнии унисекс King, ярко-синяя, размер XL")</f>
      </c>
      <c r="C11734" s="4" t="n">
        <v>4560.00</v>
      </c>
      <c r="D11734" s="4"/>
    </row>
    <row collapsed="" customFormat="false" customHeight="1" hidden="" ht="14" outlineLevel="0" r="11735">
      <c r="A11735" s="3" t="inlineStr">
        <is>
          <t>11694</t>
        </is>
      </c>
      <c r="B11735" s="4" t="s">
        <f>=HYPERLINK("http://anyluxury.ru/shop/odezhda/tolstovki/tolstovka-s-kapyushonom-na-molnii-uniseks-king-yarkosinyaya-wu03k453/" , "WU03K453 Толстовка с капюшоном на молнии унисекс King, ярко-синяя, размер XXL")</f>
      </c>
      <c r="C11735" s="4" t="n">
        <v>4560.00</v>
      </c>
      <c r="D11735" s="4"/>
    </row>
    <row collapsed="" customFormat="false" customHeight="1" hidden="" ht="14" outlineLevel="0" r="11736">
      <c r="A11736" s="3" t="inlineStr">
        <is>
          <t>11695</t>
        </is>
      </c>
      <c r="B11736" s="4" t="s">
        <f>=HYPERLINK("http://anyluxury.ru/shop/odezhda/tolstovki/tolstovka-s-kapyushonom-na-molnii-uniseks-king-yarkosinyaya-wu03k453/" , "WU03K453 Толстовка с капюшоном на молнии унисекс King, ярко-синяя, размер 4XL")</f>
      </c>
      <c r="C11736" s="4" t="n">
        <v>5682.00</v>
      </c>
      <c r="D11736" s="4"/>
    </row>
    <row collapsed="" customFormat="false" customHeight="1" hidden="" ht="14" outlineLevel="0" r="11737">
      <c r="A11737" s="3" t="inlineStr">
        <is>
          <t>11696</t>
        </is>
      </c>
      <c r="B11737" s="4" t="s">
        <f>=HYPERLINK("http://anyluxury.ru/shop/odezhda/tolstovki/tolstovka-s-kapyushonom-na-molnii-uniseks-king-haki-wu03k555/" , "WU03K555 Толстовка с капюшоном на молнии унисекс King, хаки, размер XS")</f>
      </c>
      <c r="C11737" s="4" t="n">
        <v>4560.00</v>
      </c>
      <c r="D11737" s="4"/>
    </row>
    <row collapsed="" customFormat="false" customHeight="1" hidden="" ht="14" outlineLevel="0" r="11738">
      <c r="A11738" s="3" t="inlineStr">
        <is>
          <t>11697</t>
        </is>
      </c>
      <c r="B11738" s="4" t="s">
        <f>=HYPERLINK("http://anyluxury.ru/shop/odezhda/tolstovki/tolstovka-s-kapyushonom-na-molnii-uniseks-king-haki-wu03k555/" , "WU03K555 Толстовка с капюшоном на молнии унисекс King, хаки, размер S")</f>
      </c>
      <c r="C11738" s="4" t="n">
        <v>4560.00</v>
      </c>
      <c r="D11738" s="4"/>
    </row>
    <row collapsed="" customFormat="false" customHeight="1" hidden="" ht="14" outlineLevel="0" r="11739">
      <c r="A11739" s="3" t="inlineStr">
        <is>
          <t>11698</t>
        </is>
      </c>
      <c r="B11739" s="4" t="s">
        <f>=HYPERLINK("http://anyluxury.ru/shop/odezhda/tolstovki/tolstovka-s-kapyushonom-na-molnii-uniseks-king-haki-wu03k555/" , "WU03K555 Толстовка с капюшоном на молнии унисекс King, хаки, размер M")</f>
      </c>
      <c r="C11739" s="4" t="n">
        <v>4560.00</v>
      </c>
      <c r="D11739" s="4"/>
    </row>
    <row collapsed="" customFormat="false" customHeight="1" hidden="" ht="14" outlineLevel="0" r="11740">
      <c r="A11740" s="3" t="inlineStr">
        <is>
          <t>11699</t>
        </is>
      </c>
      <c r="B11740" s="4" t="s">
        <f>=HYPERLINK("http://anyluxury.ru/shop/odezhda/tolstovki/tolstovka-s-kapyushonom-na-molnii-uniseks-king-haki-wu03k555/" , "WU03K555 Толстовка с капюшоном на молнии унисекс King, хаки, размер L")</f>
      </c>
      <c r="C11740" s="4" t="n">
        <v>4560.00</v>
      </c>
      <c r="D11740" s="4"/>
    </row>
    <row collapsed="" customFormat="false" customHeight="1" hidden="" ht="14" outlineLevel="0" r="11741">
      <c r="A11741" s="3" t="inlineStr">
        <is>
          <t>11700</t>
        </is>
      </c>
      <c r="B11741" s="4" t="s">
        <f>=HYPERLINK("http://anyluxury.ru/shop/odezhda/tolstovki/tolstovka-s-kapyushonom-na-molnii-uniseks-king-haki-wu03k555/" , "WU03K555 Толстовка с капюшоном на молнии унисекс King, хаки, размер XL")</f>
      </c>
      <c r="C11741" s="4" t="n">
        <v>4560.00</v>
      </c>
      <c r="D11741" s="4"/>
    </row>
    <row collapsed="" customFormat="false" customHeight="1" hidden="" ht="14" outlineLevel="0" r="11742">
      <c r="A11742" s="3" t="inlineStr">
        <is>
          <t>11701</t>
        </is>
      </c>
      <c r="B11742" s="4" t="s">
        <f>=HYPERLINK("http://anyluxury.ru/shop/odezhda/tolstovki/tolstovka-s-kapyushonom-na-molnii-uniseks-king-haki-wu03k555/" , "WU03K555 Толстовка с капюшоном на молнии унисекс King, хаки, размер XXL")</f>
      </c>
      <c r="C11742" s="4" t="n">
        <v>4560.00</v>
      </c>
      <c r="D11742" s="4"/>
    </row>
    <row collapsed="" customFormat="false" customHeight="1" hidden="" ht="14" outlineLevel="0" r="11743">
      <c r="A11743" s="3" t="inlineStr">
        <is>
          <t>11702</t>
        </is>
      </c>
      <c r="B11743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XS")</f>
      </c>
      <c r="C11743" s="4" t="n">
        <v>4294.00</v>
      </c>
      <c r="D11743" s="4"/>
    </row>
    <row collapsed="" customFormat="false" customHeight="1" hidden="" ht="14" outlineLevel="0" r="11744">
      <c r="A11744" s="3" t="inlineStr">
        <is>
          <t>11703</t>
        </is>
      </c>
      <c r="B11744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S")</f>
      </c>
      <c r="C11744" s="4" t="n">
        <v>4294.00</v>
      </c>
      <c r="D11744" s="4"/>
    </row>
    <row collapsed="" customFormat="false" customHeight="1" hidden="" ht="14" outlineLevel="0" r="11745">
      <c r="A11745" s="3" t="inlineStr">
        <is>
          <t>11704</t>
        </is>
      </c>
      <c r="B11745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M")</f>
      </c>
      <c r="C11745" s="4" t="n">
        <v>4294.00</v>
      </c>
      <c r="D11745" s="4"/>
    </row>
    <row collapsed="" customFormat="false" customHeight="1" hidden="" ht="14" outlineLevel="0" r="11746">
      <c r="A11746" s="3" t="inlineStr">
        <is>
          <t>11705</t>
        </is>
      </c>
      <c r="B11746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L")</f>
      </c>
      <c r="C11746" s="4" t="n">
        <v>4294.00</v>
      </c>
      <c r="D11746" s="4"/>
    </row>
    <row collapsed="" customFormat="false" customHeight="1" hidden="" ht="14" outlineLevel="0" r="11747">
      <c r="A11747" s="3" t="inlineStr">
        <is>
          <t>11706</t>
        </is>
      </c>
      <c r="B11747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XL")</f>
      </c>
      <c r="C11747" s="4" t="n">
        <v>4294.00</v>
      </c>
      <c r="D11747" s="4"/>
    </row>
    <row collapsed="" customFormat="false" customHeight="1" hidden="" ht="14" outlineLevel="0" r="11748">
      <c r="A11748" s="3" t="inlineStr">
        <is>
          <t>11707</t>
        </is>
      </c>
      <c r="B11748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XXL")</f>
      </c>
      <c r="C11748" s="4" t="n">
        <v>4294.00</v>
      </c>
      <c r="D11748" s="4"/>
    </row>
    <row collapsed="" customFormat="false" customHeight="1" hidden="" ht="14" outlineLevel="0" r="11749">
      <c r="A11749" s="3" t="inlineStr">
        <is>
          <t>11708</t>
        </is>
      </c>
      <c r="B11749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3XL")</f>
      </c>
      <c r="C11749" s="4" t="n">
        <v>4294.00</v>
      </c>
      <c r="D11749" s="4"/>
    </row>
    <row collapsed="" customFormat="false" customHeight="1" hidden="" ht="14" outlineLevel="0" r="11750">
      <c r="A11750" s="3" t="inlineStr">
        <is>
          <t>11709</t>
        </is>
      </c>
      <c r="B11750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4XL")</f>
      </c>
      <c r="C11750" s="4" t="n">
        <v>5334.00</v>
      </c>
      <c r="D11750" s="4"/>
    </row>
    <row collapsed="" customFormat="false" customHeight="1" hidden="" ht="14" outlineLevel="0" r="11751">
      <c r="A11751" s="3" t="inlineStr">
        <is>
          <t>11710</t>
        </is>
      </c>
      <c r="B11751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XS")</f>
      </c>
      <c r="C11751" s="4" t="n">
        <v>4560.00</v>
      </c>
      <c r="D11751" s="4"/>
    </row>
    <row collapsed="" customFormat="false" customHeight="1" hidden="" ht="14" outlineLevel="0" r="11752">
      <c r="A11752" s="3" t="inlineStr">
        <is>
          <t>11711</t>
        </is>
      </c>
      <c r="B11752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S")</f>
      </c>
      <c r="C11752" s="4" t="n">
        <v>4560.00</v>
      </c>
      <c r="D11752" s="4"/>
    </row>
    <row collapsed="" customFormat="false" customHeight="1" hidden="" ht="14" outlineLevel="0" r="11753">
      <c r="A11753" s="3" t="inlineStr">
        <is>
          <t>11712</t>
        </is>
      </c>
      <c r="B11753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M")</f>
      </c>
      <c r="C11753" s="4" t="n">
        <v>4560.00</v>
      </c>
      <c r="D11753" s="4"/>
    </row>
    <row collapsed="" customFormat="false" customHeight="1" hidden="" ht="14" outlineLevel="0" r="11754">
      <c r="A11754" s="3" t="inlineStr">
        <is>
          <t>11713</t>
        </is>
      </c>
      <c r="B11754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L")</f>
      </c>
      <c r="C11754" s="4" t="n">
        <v>4560.00</v>
      </c>
      <c r="D11754" s="4"/>
    </row>
    <row collapsed="" customFormat="false" customHeight="1" hidden="" ht="14" outlineLevel="0" r="11755">
      <c r="A11755" s="3" t="inlineStr">
        <is>
          <t>11714</t>
        </is>
      </c>
      <c r="B11755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XL")</f>
      </c>
      <c r="C11755" s="4" t="n">
        <v>4560.00</v>
      </c>
      <c r="D11755" s="4"/>
    </row>
    <row collapsed="" customFormat="false" customHeight="1" hidden="" ht="14" outlineLevel="0" r="11756">
      <c r="A11756" s="3" t="inlineStr">
        <is>
          <t>11715</t>
        </is>
      </c>
      <c r="B11756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XXL")</f>
      </c>
      <c r="C11756" s="4" t="n">
        <v>4560.00</v>
      </c>
      <c r="D11756" s="4"/>
    </row>
    <row collapsed="" customFormat="false" customHeight="1" hidden="" ht="14" outlineLevel="0" r="11757">
      <c r="A11757" s="3" t="inlineStr">
        <is>
          <t>11716</t>
        </is>
      </c>
      <c r="B11757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3XL")</f>
      </c>
      <c r="C11757" s="4" t="n">
        <v>4560.00</v>
      </c>
      <c r="D11757" s="4"/>
    </row>
    <row collapsed="" customFormat="false" customHeight="1" hidden="" ht="14" outlineLevel="0" r="11758">
      <c r="A11758" s="3" t="inlineStr">
        <is>
          <t>11717</t>
        </is>
      </c>
      <c r="B11758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XS")</f>
      </c>
      <c r="C11758" s="4" t="n">
        <v>4560.00</v>
      </c>
      <c r="D11758" s="4"/>
    </row>
    <row collapsed="" customFormat="false" customHeight="1" hidden="" ht="14" outlineLevel="0" r="11759">
      <c r="A11759" s="3" t="inlineStr">
        <is>
          <t>11718</t>
        </is>
      </c>
      <c r="B11759" s="4" t="s">
        <f>=HYPERLINK("http://anyluxury.ru/shop/odezhda/tolstovki/tolstovka-s-kapyushonom-na-molnii-uniseks-king-temnoseraya-wu03k669/" , "WU03K669 Толстовка с капюшоном на молнии унисекс King, темно-серая, размер S")</f>
      </c>
      <c r="C11759" s="4" t="n">
        <v>4560.00</v>
      </c>
      <c r="D11759" s="4"/>
    </row>
    <row collapsed="" customFormat="false" customHeight="1" hidden="" ht="14" outlineLevel="0" r="11760">
      <c r="A11760" s="3" t="inlineStr">
        <is>
          <t>11719</t>
        </is>
      </c>
      <c r="B11760" s="4" t="s">
        <f>=HYPERLINK("http://anyluxury.ru/shop/odezhda/tolstovki/tolstovka-s-kapyushonom-na-molnii-uniseks-king-temnoseraya-wu03k669/" , "WU03K669 Толстовка с капюшоном на молнии унисекс King, темно-серая, размер M")</f>
      </c>
      <c r="C11760" s="4" t="n">
        <v>4560.00</v>
      </c>
      <c r="D11760" s="4"/>
    </row>
    <row collapsed="" customFormat="false" customHeight="1" hidden="" ht="14" outlineLevel="0" r="11761">
      <c r="A11761" s="3" t="inlineStr">
        <is>
          <t>11720</t>
        </is>
      </c>
      <c r="B11761" s="4" t="s">
        <f>=HYPERLINK("http://anyluxury.ru/shop/odezhda/tolstovki/tolstovka-s-kapyushonom-na-molnii-uniseks-king-temnoseraya-wu03k669/" , "WU03K669 Толстовка с капюшоном на молнии унисекс King, темно-серая, размер L")</f>
      </c>
      <c r="C11761" s="4" t="n">
        <v>4560.00</v>
      </c>
      <c r="D11761" s="4"/>
    </row>
    <row collapsed="" customFormat="false" customHeight="1" hidden="" ht="14" outlineLevel="0" r="11762">
      <c r="A11762" s="3" t="inlineStr">
        <is>
          <t>11721</t>
        </is>
      </c>
      <c r="B11762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XL")</f>
      </c>
      <c r="C11762" s="4" t="n">
        <v>4560.00</v>
      </c>
      <c r="D11762" s="4"/>
    </row>
    <row collapsed="" customFormat="false" customHeight="1" hidden="" ht="14" outlineLevel="0" r="11763">
      <c r="A11763" s="3" t="inlineStr">
        <is>
          <t>11722</t>
        </is>
      </c>
      <c r="B11763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XXL")</f>
      </c>
      <c r="C11763" s="4" t="n">
        <v>4560.00</v>
      </c>
      <c r="D11763" s="4"/>
    </row>
    <row collapsed="" customFormat="false" customHeight="1" hidden="" ht="14" outlineLevel="0" r="11764">
      <c r="A11764" s="3" t="inlineStr">
        <is>
          <t>11723</t>
        </is>
      </c>
      <c r="B11764" s="4" t="s">
        <f>=HYPERLINK("http://anyluxury.ru/shop/odezhda/tolstovki/tolstovka-s-kapyushonom-na-molnii-uniseks-king-temnoseraya-wu03k669/" , "WU03K669 Толстовка с капюшоном на молнии унисекс King, темно-серая, размер 4XL")</f>
      </c>
      <c r="C11764" s="4" t="n">
        <v>5682.00</v>
      </c>
      <c r="D11764" s="4"/>
    </row>
    <row collapsed="" customFormat="false" customHeight="1" hidden="" ht="14" outlineLevel="0" r="11765">
      <c r="A11765" s="3" t="inlineStr">
        <is>
          <t>11724</t>
        </is>
      </c>
      <c r="B11765" s="4" t="s">
        <f>=HYPERLINK("http://anyluxury.ru/shop/odezhda/tolstovki/tolstovka-s-kapyushonom-na-molnii-zhenskaya-queen-belaya-ww03q001/" , "WW03Q001 Толстовка с капюшоном на молнии женская Queen, белая, размер S")</f>
      </c>
      <c r="C11765" s="4" t="n">
        <v>4516.00</v>
      </c>
      <c r="D11765" s="4"/>
    </row>
    <row collapsed="" customFormat="false" customHeight="1" hidden="" ht="14" outlineLevel="0" r="11766">
      <c r="A11766" s="3" t="inlineStr">
        <is>
          <t>11725</t>
        </is>
      </c>
      <c r="B11766" s="4" t="s">
        <f>=HYPERLINK("http://anyluxury.ru/shop/odezhda/tolstovki/tolstovka-s-kapyushonom-na-molnii-zhenskaya-queen-belaya-ww03q001/" , "WW03Q001 Толстовка с капюшоном на молнии женская Queen, белая, размер XL")</f>
      </c>
      <c r="C11766" s="4" t="n">
        <v>4516.00</v>
      </c>
      <c r="D11766" s="4"/>
    </row>
    <row collapsed="" customFormat="false" customHeight="1" hidden="" ht="14" outlineLevel="0" r="11767">
      <c r="A11767" s="3" t="inlineStr">
        <is>
          <t>11726</t>
        </is>
      </c>
      <c r="B11767" s="4" t="s">
        <f>=HYPERLINK("http://anyluxury.ru/shop/odezhda/tolstovki/tolstovka-s-kapyushonom-na-molnii-zhenskaya-queen-belaya-ww03q001/" , "WW03Q001 Толстовка с капюшоном на молнии женская Queen, белая, размер XXL")</f>
      </c>
      <c r="C11767" s="4" t="n">
        <v>4516.00</v>
      </c>
      <c r="D11767" s="4"/>
    </row>
    <row collapsed="" customFormat="false" customHeight="1" hidden="" ht="14" outlineLevel="0" r="11768">
      <c r="A11768" s="3" t="inlineStr">
        <is>
          <t>11727</t>
        </is>
      </c>
      <c r="B11768" s="4" t="s">
        <f>=HYPERLINK("http://anyluxury.ru/shop/odezhda/tolstovki/tolstovka-s-kapyushonom-na-molnii-zhenskaya-queen-belaya-ww03q001/" , "WW03Q001 Толстовка с капюшоном на молнии женская Queen, белая, размер 3XL")</f>
      </c>
      <c r="C11768" s="4" t="n">
        <v>5644.00</v>
      </c>
      <c r="D11768" s="4"/>
    </row>
    <row collapsed="" customFormat="false" customHeight="1" hidden="" ht="14" outlineLevel="0" r="11769">
      <c r="A11769" s="3" t="inlineStr">
        <is>
          <t>11728</t>
        </is>
      </c>
      <c r="B11769" s="4" t="s">
        <f>=HYPERLINK("http://anyluxury.ru/shop/odezhda/tolstovki/tolstovka-s-kapyushonom-na-molnii-zhenskaya-queen-chernaya-ww03q005/" , "WW03Q005 Толстовка с капюшоном на молнии женская Queen, черная, размер XS")</f>
      </c>
      <c r="C11769" s="4" t="n">
        <v>4516.00</v>
      </c>
      <c r="D11769" s="4"/>
    </row>
    <row collapsed="" customFormat="false" customHeight="1" hidden="" ht="14" outlineLevel="0" r="11770">
      <c r="A11770" s="3" t="inlineStr">
        <is>
          <t>11729</t>
        </is>
      </c>
      <c r="B11770" s="4" t="s">
        <f>=HYPERLINK("http://anyluxury.ru/shop/odezhda/tolstovki/tolstovka-s-kapyushonom-na-molnii-zhenskaya-queen-chernaya-ww03q005/" , "WW03Q005 Толстовка с капюшоном на молнии женская Queen, черная, размер S")</f>
      </c>
      <c r="C11770" s="4" t="n">
        <v>4516.00</v>
      </c>
      <c r="D11770" s="4"/>
    </row>
    <row collapsed="" customFormat="false" customHeight="1" hidden="" ht="14" outlineLevel="0" r="11771">
      <c r="A11771" s="3" t="inlineStr">
        <is>
          <t>11730</t>
        </is>
      </c>
      <c r="B11771" s="4" t="s">
        <f>=HYPERLINK("http://anyluxury.ru/shop/odezhda/tolstovki/tolstovka-s-kapyushonom-na-molnii-zhenskaya-queen-chernaya-ww03q005/" , "WW03Q005 Толстовка с капюшоном на молнии женская Queen, черная, размер M")</f>
      </c>
      <c r="C11771" s="4" t="n">
        <v>4516.00</v>
      </c>
      <c r="D11771" s="4"/>
    </row>
    <row collapsed="" customFormat="false" customHeight="1" hidden="" ht="14" outlineLevel="0" r="11772">
      <c r="A11772" s="3" t="inlineStr">
        <is>
          <t>11731</t>
        </is>
      </c>
      <c r="B11772" s="4" t="s">
        <f>=HYPERLINK("http://anyluxury.ru/shop/odezhda/tolstovki/tolstovka-s-kapyushonom-na-molnii-zhenskaya-queen-chernaya-ww03q005/" , "WW03Q005 Толстовка с капюшоном на молнии женская Queen, черная, размер L")</f>
      </c>
      <c r="C11772" s="4" t="n">
        <v>4516.00</v>
      </c>
      <c r="D11772" s="4"/>
    </row>
    <row collapsed="" customFormat="false" customHeight="1" hidden="" ht="14" outlineLevel="0" r="11773">
      <c r="A11773" s="3" t="inlineStr">
        <is>
          <t>11732</t>
        </is>
      </c>
      <c r="B11773" s="4" t="s">
        <f>=HYPERLINK("http://anyluxury.ru/shop/odezhda/tolstovki/tolstovka-s-kapyushonom-na-molnii-zhenskaya-queen-chernaya-ww03q005/" , "WW03Q005 Толстовка с капюшоном на молнии женская Queen, черная, размер XL")</f>
      </c>
      <c r="C11773" s="4" t="n">
        <v>4516.00</v>
      </c>
      <c r="D11773" s="4"/>
    </row>
    <row collapsed="" customFormat="false" customHeight="1" hidden="" ht="14" outlineLevel="0" r="11774">
      <c r="A11774" s="3" t="inlineStr">
        <is>
          <t>11733</t>
        </is>
      </c>
      <c r="B11774" s="4" t="s">
        <f>=HYPERLINK("http://anyluxury.ru/shop/odezhda/tolstovki/tolstovka-s-kapyushonom-na-molnii-zhenskaya-queen-chernaya-ww03q005/" , "WW03Q005 Толстовка с капюшоном на молнии женская Queen, черная, размер XXL")</f>
      </c>
      <c r="C11774" s="4" t="n">
        <v>4516.00</v>
      </c>
      <c r="D11774" s="4"/>
    </row>
    <row collapsed="" customFormat="false" customHeight="1" hidden="" ht="14" outlineLevel="0" r="11775">
      <c r="A11775" s="3" t="inlineStr">
        <is>
          <t>11734</t>
        </is>
      </c>
      <c r="B11775" s="4" t="s">
        <f>=HYPERLINK("http://anyluxury.ru/shop/odezhda/tolstovki/tolstovka-s-kapyushonom-na-molnii-zhenskaya-queen-chernaya-ww03q005/" , "WW03Q005 Толстовка с капюшоном на молнии женская Queen, черная, размер 3XL")</f>
      </c>
      <c r="C11775" s="4" t="n">
        <v>5644.00</v>
      </c>
      <c r="D11775" s="4"/>
    </row>
    <row collapsed="" customFormat="false" customHeight="1" hidden="" ht="14" outlineLevel="0" r="11776">
      <c r="A11776" s="3" t="inlineStr">
        <is>
          <t>11735</t>
        </is>
      </c>
      <c r="B11776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XS")</f>
      </c>
      <c r="C11776" s="4" t="n">
        <v>4516.00</v>
      </c>
      <c r="D11776" s="4"/>
    </row>
    <row collapsed="" customFormat="false" customHeight="1" hidden="" ht="14" outlineLevel="0" r="11777">
      <c r="A11777" s="3" t="inlineStr">
        <is>
          <t>11736</t>
        </is>
      </c>
      <c r="B11777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S")</f>
      </c>
      <c r="C11777" s="4" t="n">
        <v>4516.00</v>
      </c>
      <c r="D11777" s="4"/>
    </row>
    <row collapsed="" customFormat="false" customHeight="1" hidden="" ht="14" outlineLevel="0" r="11778">
      <c r="A11778" s="3" t="inlineStr">
        <is>
          <t>11737</t>
        </is>
      </c>
      <c r="B11778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M")</f>
      </c>
      <c r="C11778" s="4" t="n">
        <v>4516.00</v>
      </c>
      <c r="D11778" s="4"/>
    </row>
    <row collapsed="" customFormat="false" customHeight="1" hidden="" ht="14" outlineLevel="0" r="11779">
      <c r="A11779" s="3" t="inlineStr">
        <is>
          <t>11738</t>
        </is>
      </c>
      <c r="B11779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L")</f>
      </c>
      <c r="C11779" s="4" t="n">
        <v>4516.00</v>
      </c>
      <c r="D11779" s="4"/>
    </row>
    <row collapsed="" customFormat="false" customHeight="1" hidden="" ht="14" outlineLevel="0" r="11780">
      <c r="A11780" s="3" t="inlineStr">
        <is>
          <t>11739</t>
        </is>
      </c>
      <c r="B11780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XL")</f>
      </c>
      <c r="C11780" s="4" t="n">
        <v>4516.00</v>
      </c>
      <c r="D11780" s="4"/>
    </row>
    <row collapsed="" customFormat="false" customHeight="1" hidden="" ht="14" outlineLevel="0" r="11781">
      <c r="A11781" s="3" t="inlineStr">
        <is>
          <t>11740</t>
        </is>
      </c>
      <c r="B11781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XXL")</f>
      </c>
      <c r="C11781" s="4" t="n">
        <v>4516.00</v>
      </c>
      <c r="D11781" s="4"/>
    </row>
    <row collapsed="" customFormat="false" customHeight="1" hidden="" ht="14" outlineLevel="0" r="11782">
      <c r="A11782" s="3" t="inlineStr">
        <is>
          <t>11741</t>
        </is>
      </c>
      <c r="B11782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3XL")</f>
      </c>
      <c r="C11782" s="4" t="n">
        <v>5644.00</v>
      </c>
      <c r="D11782" s="4"/>
    </row>
    <row collapsed="" customFormat="false" customHeight="1" hidden="" ht="14" outlineLevel="0" r="11783">
      <c r="A11783" s="3" t="inlineStr">
        <is>
          <t>11742</t>
        </is>
      </c>
      <c r="B11783" s="4" t="s">
        <f>=HYPERLINK("http://anyluxury.ru/shop/odezhda/tolstovki/tolstovka-s-kapyushonom-na-molnii-zhenskaya-queen-bordovaya-ww03q369/" , "WW03Q369 Толстовка с капюшоном на молнии женская Queen, бордовая, размер XS")</f>
      </c>
      <c r="C11783" s="4" t="n">
        <v>4200.00</v>
      </c>
      <c r="D11783" s="4"/>
    </row>
    <row collapsed="" customFormat="false" customHeight="1" hidden="" ht="14" outlineLevel="0" r="11784">
      <c r="A11784" s="3" t="inlineStr">
        <is>
          <t>11743</t>
        </is>
      </c>
      <c r="B11784" s="4" t="s">
        <f>=HYPERLINK("http://anyluxury.ru/shop/odezhda/tolstovki/tolstovka-s-kapyushonom-na-molnii-zhenskaya-queen-bordovaya-ww03q369/" , "WW03Q369 Толстовка с капюшоном на молнии женская Queen, бордовая, размер S")</f>
      </c>
      <c r="C11784" s="4" t="n">
        <v>4200.00</v>
      </c>
      <c r="D11784" s="4"/>
    </row>
    <row collapsed="" customFormat="false" customHeight="1" hidden="" ht="14" outlineLevel="0" r="11785">
      <c r="A11785" s="3" t="inlineStr">
        <is>
          <t>11744</t>
        </is>
      </c>
      <c r="B11785" s="4" t="s">
        <f>=HYPERLINK("http://anyluxury.ru/shop/odezhda/tolstovki/tolstovka-s-kapyushonom-na-molnii-zhenskaya-queen-bordovaya-ww03q369/" , "WW03Q369 Толстовка с капюшоном на молнии женская Queen, бордовая, размер M")</f>
      </c>
      <c r="C11785" s="4" t="n">
        <v>4200.00</v>
      </c>
      <c r="D11785" s="4"/>
    </row>
    <row collapsed="" customFormat="false" customHeight="1" hidden="" ht="14" outlineLevel="0" r="11786">
      <c r="A11786" s="3" t="inlineStr">
        <is>
          <t>11745</t>
        </is>
      </c>
      <c r="B11786" s="4" t="s">
        <f>=HYPERLINK("http://anyluxury.ru/shop/odezhda/tolstovki/tolstovka-s-kapyushonom-na-molnii-zhenskaya-queen-bordovaya-ww03q369/" , "WW03Q369 Толстовка с капюшоном на молнии женская Queen, бордовая, размер L")</f>
      </c>
      <c r="C11786" s="4" t="n">
        <v>4200.00</v>
      </c>
      <c r="D11786" s="4"/>
    </row>
    <row collapsed="" customFormat="false" customHeight="1" hidden="" ht="14" outlineLevel="0" r="11787">
      <c r="A11787" s="3" t="inlineStr">
        <is>
          <t>11746</t>
        </is>
      </c>
      <c r="B11787" s="4" t="s">
        <f>=HYPERLINK("http://anyluxury.ru/shop/odezhda/tolstovki/tolstovka-s-kapyushonom-na-molnii-zhenskaya-queen-bordovaya-ww03q369/" , "WW03Q369 Толстовка с капюшоном на молнии женская Queen, бордовая, размер XL")</f>
      </c>
      <c r="C11787" s="4" t="n">
        <v>4200.00</v>
      </c>
      <c r="D11787" s="4"/>
    </row>
    <row collapsed="" customFormat="false" customHeight="1" hidden="" ht="14" outlineLevel="0" r="11788">
      <c r="A11788" s="3" t="inlineStr">
        <is>
          <t>11747</t>
        </is>
      </c>
      <c r="B11788" s="4" t="s">
        <f>=HYPERLINK("http://anyluxury.ru/shop/odezhda/tolstovki/tolstovka-s-kapyushonom-na-molnii-zhenskaya-queen-bordovaya-ww03q369/" , "WW03Q369 Толстовка с капюшоном на молнии женская Queen, бордовая, размер XXL")</f>
      </c>
      <c r="C11788" s="4" t="n">
        <v>4200.00</v>
      </c>
      <c r="D11788" s="4"/>
    </row>
    <row collapsed="" customFormat="false" customHeight="1" hidden="" ht="14" outlineLevel="0" r="11789">
      <c r="A11789" s="3" t="inlineStr">
        <is>
          <t>11748</t>
        </is>
      </c>
      <c r="B11789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XS")</f>
      </c>
      <c r="C11789" s="4" t="n">
        <v>4200.00</v>
      </c>
      <c r="D11789" s="4"/>
    </row>
    <row collapsed="" customFormat="false" customHeight="1" hidden="" ht="14" outlineLevel="0" r="11790">
      <c r="A11790" s="3" t="inlineStr">
        <is>
          <t>11749</t>
        </is>
      </c>
      <c r="B11790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S")</f>
      </c>
      <c r="C11790" s="4" t="n">
        <v>4200.00</v>
      </c>
      <c r="D11790" s="4"/>
    </row>
    <row collapsed="" customFormat="false" customHeight="1" hidden="" ht="14" outlineLevel="0" r="11791">
      <c r="A11791" s="3" t="inlineStr">
        <is>
          <t>11750</t>
        </is>
      </c>
      <c r="B11791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M")</f>
      </c>
      <c r="C11791" s="4" t="n">
        <v>4200.00</v>
      </c>
      <c r="D11791" s="4"/>
    </row>
    <row collapsed="" customFormat="false" customHeight="1" hidden="" ht="14" outlineLevel="0" r="11792">
      <c r="A11792" s="3" t="inlineStr">
        <is>
          <t>11751</t>
        </is>
      </c>
      <c r="B11792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L")</f>
      </c>
      <c r="C11792" s="4" t="n">
        <v>4200.00</v>
      </c>
      <c r="D11792" s="4"/>
    </row>
    <row collapsed="" customFormat="false" customHeight="1" hidden="" ht="14" outlineLevel="0" r="11793">
      <c r="A11793" s="3" t="inlineStr">
        <is>
          <t>11752</t>
        </is>
      </c>
      <c r="B11793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XL")</f>
      </c>
      <c r="C11793" s="4" t="n">
        <v>4200.00</v>
      </c>
      <c r="D11793" s="4"/>
    </row>
    <row collapsed="" customFormat="false" customHeight="1" hidden="" ht="14" outlineLevel="0" r="11794">
      <c r="A11794" s="3" t="inlineStr">
        <is>
          <t>11753</t>
        </is>
      </c>
      <c r="B11794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XXL")</f>
      </c>
      <c r="C11794" s="4" t="n">
        <v>4200.00</v>
      </c>
      <c r="D11794" s="4"/>
    </row>
    <row collapsed="" customFormat="false" customHeight="1" hidden="" ht="14" outlineLevel="0" r="11795">
      <c r="A11795" s="3" t="inlineStr">
        <is>
          <t>11754</t>
        </is>
      </c>
      <c r="B11795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3XL")</f>
      </c>
      <c r="C11795" s="4" t="n">
        <v>5204.00</v>
      </c>
      <c r="D11795" s="4"/>
    </row>
    <row collapsed="" customFormat="false" customHeight="1" hidden="" ht="14" outlineLevel="0" r="11796">
      <c r="A11796" s="3" t="inlineStr">
        <is>
          <t>11755</t>
        </is>
      </c>
      <c r="B11796" s="4" t="s">
        <f>=HYPERLINK("http://anyluxury.ru/shop/odezhda/tolstovki/tolstovka-s-kapyushonom-na-molnii-zhenskaya-queen-haki-ww03q555/" , "WW03Q555 Толстовка с капюшоном на молнии женская Queen, хаки, размер XS")</f>
      </c>
      <c r="C11796" s="4" t="n">
        <v>4200.00</v>
      </c>
      <c r="D11796" s="4"/>
    </row>
    <row collapsed="" customFormat="false" customHeight="1" hidden="" ht="14" outlineLevel="0" r="11797">
      <c r="A11797" s="3" t="inlineStr">
        <is>
          <t>11756</t>
        </is>
      </c>
      <c r="B11797" s="4" t="s">
        <f>=HYPERLINK("http://anyluxury.ru/shop/odezhda/tolstovki/tolstovka-s-kapyushonom-na-molnii-zhenskaya-queen-haki-ww03q555/" , "WW03Q555 Толстовка с капюшоном на молнии женская Queen, хаки, размер S")</f>
      </c>
      <c r="C11797" s="4" t="n">
        <v>4200.00</v>
      </c>
      <c r="D11797" s="4"/>
    </row>
    <row collapsed="" customFormat="false" customHeight="1" hidden="" ht="14" outlineLevel="0" r="11798">
      <c r="A11798" s="3" t="inlineStr">
        <is>
          <t>11757</t>
        </is>
      </c>
      <c r="B11798" s="4" t="s">
        <f>=HYPERLINK("http://anyluxury.ru/shop/odezhda/tolstovki/tolstovka-s-kapyushonom-na-molnii-zhenskaya-queen-haki-ww03q555/" , "WW03Q555 Толстовка с капюшоном на молнии женская Queen, хаки, размер M")</f>
      </c>
      <c r="C11798" s="4" t="n">
        <v>4200.00</v>
      </c>
      <c r="D11798" s="4"/>
    </row>
    <row collapsed="" customFormat="false" customHeight="1" hidden="" ht="14" outlineLevel="0" r="11799">
      <c r="A11799" s="3" t="inlineStr">
        <is>
          <t>11758</t>
        </is>
      </c>
      <c r="B11799" s="4" t="s">
        <f>=HYPERLINK("http://anyluxury.ru/shop/odezhda/tolstovki/tolstovka-s-kapyushonom-na-molnii-zhenskaya-queen-haki-ww03q555/" , "WW03Q555 Толстовка с капюшоном на молнии женская Queen, хаки, размер L")</f>
      </c>
      <c r="C11799" s="4" t="n">
        <v>4200.00</v>
      </c>
      <c r="D11799" s="4"/>
    </row>
    <row collapsed="" customFormat="false" customHeight="1" hidden="" ht="14" outlineLevel="0" r="11800">
      <c r="A11800" s="3" t="inlineStr">
        <is>
          <t>11759</t>
        </is>
      </c>
      <c r="B11800" s="4" t="s">
        <f>=HYPERLINK("http://anyluxury.ru/shop/odezhda/tolstovki/tolstovka-s-kapyushonom-na-molnii-zhenskaya-queen-haki-ww03q555/" , "WW03Q555 Толстовка с капюшоном на молнии женская Queen, хаки, размер XL")</f>
      </c>
      <c r="C11800" s="4" t="n">
        <v>4200.00</v>
      </c>
      <c r="D11800" s="4"/>
    </row>
    <row collapsed="" customFormat="false" customHeight="1" hidden="" ht="14" outlineLevel="0" r="11801">
      <c r="A11801" s="3" t="inlineStr">
        <is>
          <t>11760</t>
        </is>
      </c>
      <c r="B11801" s="4" t="s">
        <f>=HYPERLINK("http://anyluxury.ru/shop/odezhda/tolstovki/tolstovka-s-kapyushonom-na-molnii-zhenskaya-queen-haki-ww03q555/" , "WW03Q555 Толстовка с капюшоном на молнии женская Queen, хаки, размер XXL")</f>
      </c>
      <c r="C11801" s="4" t="n">
        <v>4200.00</v>
      </c>
      <c r="D11801" s="4"/>
    </row>
    <row collapsed="" customFormat="false" customHeight="1" hidden="" ht="14" outlineLevel="0" r="11802">
      <c r="A11802" s="3" t="inlineStr">
        <is>
          <t>11761</t>
        </is>
      </c>
      <c r="B11802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XS")</f>
      </c>
      <c r="C11802" s="4" t="n">
        <v>4200.00</v>
      </c>
      <c r="D11802" s="4"/>
    </row>
    <row collapsed="" customFormat="false" customHeight="1" hidden="" ht="14" outlineLevel="0" r="11803">
      <c r="A11803" s="3" t="inlineStr">
        <is>
          <t>11762</t>
        </is>
      </c>
      <c r="B11803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S")</f>
      </c>
      <c r="C11803" s="4" t="n">
        <v>4200.00</v>
      </c>
      <c r="D11803" s="4"/>
    </row>
    <row collapsed="" customFormat="false" customHeight="1" hidden="" ht="14" outlineLevel="0" r="11804">
      <c r="A11804" s="3" t="inlineStr">
        <is>
          <t>11763</t>
        </is>
      </c>
      <c r="B11804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M")</f>
      </c>
      <c r="C11804" s="4" t="n">
        <v>4200.00</v>
      </c>
      <c r="D11804" s="4"/>
    </row>
    <row collapsed="" customFormat="false" customHeight="1" hidden="" ht="14" outlineLevel="0" r="11805">
      <c r="A11805" s="3" t="inlineStr">
        <is>
          <t>11764</t>
        </is>
      </c>
      <c r="B11805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L")</f>
      </c>
      <c r="C11805" s="4" t="n">
        <v>4200.00</v>
      </c>
      <c r="D11805" s="4"/>
    </row>
    <row collapsed="" customFormat="false" customHeight="1" hidden="" ht="14" outlineLevel="0" r="11806">
      <c r="A11806" s="3" t="inlineStr">
        <is>
          <t>11765</t>
        </is>
      </c>
      <c r="B11806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XL")</f>
      </c>
      <c r="C11806" s="4" t="n">
        <v>4200.00</v>
      </c>
      <c r="D11806" s="4"/>
    </row>
    <row collapsed="" customFormat="false" customHeight="1" hidden="" ht="14" outlineLevel="0" r="11807">
      <c r="A11807" s="3" t="inlineStr">
        <is>
          <t>11766</t>
        </is>
      </c>
      <c r="B11807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XXL")</f>
      </c>
      <c r="C11807" s="4" t="n">
        <v>4200.00</v>
      </c>
      <c r="D11807" s="4"/>
    </row>
    <row collapsed="" customFormat="false" customHeight="1" hidden="" ht="14" outlineLevel="0" r="11808">
      <c r="A11808" s="3" t="inlineStr">
        <is>
          <t>11767</t>
        </is>
      </c>
      <c r="B11808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3XL")</f>
      </c>
      <c r="C11808" s="4" t="n">
        <v>5204.00</v>
      </c>
      <c r="D11808" s="4"/>
    </row>
    <row collapsed="" customFormat="false" customHeight="1" hidden="" ht="14" outlineLevel="0" r="11809">
      <c r="A11809" s="3" t="inlineStr">
        <is>
          <t>11768</t>
        </is>
      </c>
      <c r="B11809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XS")</f>
      </c>
      <c r="C11809" s="4" t="n">
        <v>4200.00</v>
      </c>
      <c r="D11809" s="4"/>
    </row>
    <row collapsed="" customFormat="false" customHeight="1" hidden="" ht="14" outlineLevel="0" r="11810">
      <c r="A11810" s="3" t="inlineStr">
        <is>
          <t>11769</t>
        </is>
      </c>
      <c r="B11810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S")</f>
      </c>
      <c r="C11810" s="4" t="n">
        <v>4200.00</v>
      </c>
      <c r="D11810" s="4"/>
    </row>
    <row collapsed="" customFormat="false" customHeight="1" hidden="" ht="14" outlineLevel="0" r="11811">
      <c r="A11811" s="3" t="inlineStr">
        <is>
          <t>11770</t>
        </is>
      </c>
      <c r="B11811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M")</f>
      </c>
      <c r="C11811" s="4" t="n">
        <v>4200.00</v>
      </c>
      <c r="D11811" s="4"/>
    </row>
    <row collapsed="" customFormat="false" customHeight="1" hidden="" ht="14" outlineLevel="0" r="11812">
      <c r="A11812" s="3" t="inlineStr">
        <is>
          <t>11771</t>
        </is>
      </c>
      <c r="B11812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L")</f>
      </c>
      <c r="C11812" s="4" t="n">
        <v>4200.00</v>
      </c>
      <c r="D11812" s="4"/>
    </row>
    <row collapsed="" customFormat="false" customHeight="1" hidden="" ht="14" outlineLevel="0" r="11813">
      <c r="A11813" s="3" t="inlineStr">
        <is>
          <t>11772</t>
        </is>
      </c>
      <c r="B11813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XL")</f>
      </c>
      <c r="C11813" s="4" t="n">
        <v>4200.00</v>
      </c>
      <c r="D11813" s="4"/>
    </row>
    <row collapsed="" customFormat="false" customHeight="1" hidden="" ht="14" outlineLevel="0" r="11814">
      <c r="A11814" s="3" t="inlineStr">
        <is>
          <t>11773</t>
        </is>
      </c>
      <c r="B11814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XXL")</f>
      </c>
      <c r="C11814" s="4" t="n">
        <v>4200.00</v>
      </c>
      <c r="D11814" s="4"/>
    </row>
    <row collapsed="" customFormat="false" customHeight="1" hidden="" ht="14" outlineLevel="0" r="11815">
      <c r="A11815" s="3" t="inlineStr">
        <is>
          <t>11774</t>
        </is>
      </c>
      <c r="B11815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XS")</f>
      </c>
      <c r="C11815" s="4" t="n">
        <v>4516.00</v>
      </c>
      <c r="D11815" s="4"/>
    </row>
    <row collapsed="" customFormat="false" customHeight="1" hidden="" ht="14" outlineLevel="0" r="11816">
      <c r="A11816" s="3" t="inlineStr">
        <is>
          <t>11775</t>
        </is>
      </c>
      <c r="B11816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S")</f>
      </c>
      <c r="C11816" s="4" t="n">
        <v>4516.00</v>
      </c>
      <c r="D11816" s="4"/>
    </row>
    <row collapsed="" customFormat="false" customHeight="1" hidden="" ht="14" outlineLevel="0" r="11817">
      <c r="A11817" s="3" t="inlineStr">
        <is>
          <t>11776</t>
        </is>
      </c>
      <c r="B11817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M")</f>
      </c>
      <c r="C11817" s="4" t="n">
        <v>4516.00</v>
      </c>
      <c r="D11817" s="4"/>
    </row>
    <row collapsed="" customFormat="false" customHeight="1" hidden="" ht="14" outlineLevel="0" r="11818">
      <c r="A11818" s="3" t="inlineStr">
        <is>
          <t>11777</t>
        </is>
      </c>
      <c r="B11818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L")</f>
      </c>
      <c r="C11818" s="4" t="n">
        <v>4516.00</v>
      </c>
      <c r="D11818" s="4"/>
    </row>
    <row collapsed="" customFormat="false" customHeight="1" hidden="" ht="14" outlineLevel="0" r="11819">
      <c r="A11819" s="3" t="inlineStr">
        <is>
          <t>11778</t>
        </is>
      </c>
      <c r="B11819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XL")</f>
      </c>
      <c r="C11819" s="4" t="n">
        <v>4516.00</v>
      </c>
      <c r="D11819" s="4"/>
    </row>
    <row collapsed="" customFormat="false" customHeight="1" hidden="" ht="14" outlineLevel="0" r="11820">
      <c r="A11820" s="3" t="inlineStr">
        <is>
          <t>11779</t>
        </is>
      </c>
      <c r="B11820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XXL")</f>
      </c>
      <c r="C11820" s="4" t="n">
        <v>4516.00</v>
      </c>
      <c r="D11820" s="4"/>
    </row>
    <row collapsed="" customFormat="false" customHeight="1" hidden="" ht="14" outlineLevel="0" r="11821">
      <c r="A11821" s="3" t="inlineStr">
        <is>
          <t>11780</t>
        </is>
      </c>
      <c r="B11821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3XL")</f>
      </c>
      <c r="C11821" s="4" t="n">
        <v>5644.00</v>
      </c>
      <c r="D11821" s="4"/>
    </row>
    <row collapsed="" customFormat="false" customHeight="1" hidden="" ht="14" outlineLevel="0" r="11822">
      <c r="A11822" s="3" t="inlineStr">
        <is>
          <t>11781</t>
        </is>
      </c>
      <c r="B11822" s="4" t="s">
        <f>=HYPERLINK("http://anyluxury.ru/shop/odezhda/tolstovki/tolstovka-na-molnii-kulonga-sherpa-seriy-melanzh-1146410/" , "11464.10 Толстовка на молнии Kulonga Sherpa, серый меланж, размер S")</f>
      </c>
      <c r="C11822" s="4" t="n">
        <v>3200.00</v>
      </c>
      <c r="D11822" s="4"/>
    </row>
    <row collapsed="" customFormat="false" customHeight="1" hidden="" ht="14" outlineLevel="0" r="11823">
      <c r="A11823" s="3" t="inlineStr">
        <is>
          <t>11782</t>
        </is>
      </c>
      <c r="B11823" s="4" t="s">
        <f>=HYPERLINK("http://anyluxury.ru/shop/odezhda/tolstovki/tolstovka-na-molnii-kulonga-sherpa-seriy-melanzh-1146410/" , "11464.10 Толстовка на молнии Kulonga Sherpa, серый меланж, размер M")</f>
      </c>
      <c r="C11823" s="4" t="n">
        <v>3200.00</v>
      </c>
      <c r="D11823" s="4"/>
    </row>
    <row collapsed="" customFormat="false" customHeight="1" hidden="" ht="14" outlineLevel="0" r="11824">
      <c r="A11824" s="3" t="inlineStr">
        <is>
          <t>11783</t>
        </is>
      </c>
      <c r="B11824" s="4" t="s">
        <f>=HYPERLINK("http://anyluxury.ru/shop/odezhda/tolstovki/tolstovka-na-molnii-kulonga-sherpa-belaya-1146460/" , "11464.60 Толстовка на молнии Kulonga Sherpa, белая, размер XS")</f>
      </c>
      <c r="C11824" s="4" t="n">
        <v>3200.00</v>
      </c>
      <c r="D11824" s="4"/>
    </row>
    <row collapsed="" customFormat="false" customHeight="1" hidden="" ht="14" outlineLevel="0" r="11825">
      <c r="A11825" s="3" t="inlineStr">
        <is>
          <t>11784</t>
        </is>
      </c>
      <c r="B11825" s="4" t="s">
        <f>=HYPERLINK("http://anyluxury.ru/shop/odezhda/tolstovki/tolstovka-na-molnii-kulonga-sherpa-belaya-1146460/" , "11464.60 Толстовка на молнии Kulonga Sherpa, белая, размер S")</f>
      </c>
      <c r="C11825" s="4" t="n">
        <v>3200.00</v>
      </c>
      <c r="D11825" s="4"/>
    </row>
    <row collapsed="" customFormat="false" customHeight="1" hidden="" ht="14" outlineLevel="0" r="11826">
      <c r="A11826" s="3" t="inlineStr">
        <is>
          <t>11785</t>
        </is>
      </c>
      <c r="B11826" s="4" t="s">
        <f>=HYPERLINK("http://anyluxury.ru/shop/odezhda/tolstovki/tolstovka-na-molnii-kulonga-sherpa-belaya-1146460/" , "11464.60 Толстовка на молнии Kulonga Sherpa, белая, размер M")</f>
      </c>
      <c r="C11826" s="4" t="n">
        <v>3200.00</v>
      </c>
      <c r="D11826" s="4"/>
    </row>
    <row collapsed="" customFormat="false" customHeight="1" hidden="" ht="14" outlineLevel="0" r="11827">
      <c r="A11827" s="3" t="inlineStr">
        <is>
          <t>11786</t>
        </is>
      </c>
      <c r="B11827" s="4" t="s">
        <f>=HYPERLINK("http://anyluxury.ru/shop/odezhda/tolstovki/tolstovka-na-molnii-kulonga-sherpa-belaya-1146460/" , "11464.60 Толстовка на молнии Kulonga Sherpa, белая, размер L")</f>
      </c>
      <c r="C11827" s="4" t="n">
        <v>3200.00</v>
      </c>
      <c r="D11827" s="4"/>
    </row>
    <row collapsed="" customFormat="false" customHeight="1" hidden="" ht="14" outlineLevel="0" r="11828">
      <c r="A11828" s="3" t="inlineStr">
        <is>
          <t>11787</t>
        </is>
      </c>
      <c r="B11828" s="4" t="s">
        <f>=HYPERLINK("http://anyluxury.ru/shop/odezhda/tolstovki/tolstovka-na-molnii-kulonga-sherpa-belaya-1146460/" , "11464.60 Толстовка на молнии Kulonga Sherpa, белая, размер XL")</f>
      </c>
      <c r="C11828" s="4" t="n">
        <v>3200.00</v>
      </c>
      <c r="D11828" s="4"/>
    </row>
    <row collapsed="" customFormat="false" customHeight="1" hidden="" ht="14" outlineLevel="0" r="11829">
      <c r="A11829" s="3" t="inlineStr">
        <is>
          <t>11788</t>
        </is>
      </c>
      <c r="B11829" s="4" t="s">
        <f>=HYPERLINK("http://anyluxury.ru/shop/odezhda/tolstovki/tolstovka-na-molnii-kulonga-sherpa-belaya-1146460/" , "11464.60 Толстовка на молнии Kulonga Sherpa, белая, размер XXL")</f>
      </c>
      <c r="C11829" s="4" t="n">
        <v>3200.00</v>
      </c>
      <c r="D11829" s="4"/>
    </row>
    <row collapsed="" customFormat="false" customHeight="1" hidden="" ht="14" outlineLevel="0" r="11830">
      <c r="A11830" s="3" t="inlineStr">
        <is>
          <t>11789</t>
        </is>
      </c>
      <c r="B11830" s="4" t="s">
        <f>=HYPERLINK("http://anyluxury.ru/shop/odezhda/tolstovki/tolstovka-na-molnii-kulonga-sherpa-temnosinyaya-1146440/" , "11464.40 Толстовка на молнии Kulonga Sherpa, темно-синяя, размер XS")</f>
      </c>
      <c r="C11830" s="4" t="n">
        <v>3200.00</v>
      </c>
      <c r="D11830" s="4"/>
    </row>
    <row collapsed="" customFormat="false" customHeight="1" hidden="" ht="14" outlineLevel="0" r="11831">
      <c r="A11831" s="3" t="inlineStr">
        <is>
          <t>11790</t>
        </is>
      </c>
      <c r="B11831" s="4" t="s">
        <f>=HYPERLINK("http://anyluxury.ru/shop/odezhda/tolstovki/tolstovka-na-molnii-kulonga-sherpa-temnosinyaya-1146440/" , "11464.40 Толстовка на молнии Kulonga Sherpa, темно-синяя, размер S")</f>
      </c>
      <c r="C11831" s="4" t="n">
        <v>3200.00</v>
      </c>
      <c r="D11831" s="4"/>
    </row>
    <row collapsed="" customFormat="false" customHeight="1" hidden="" ht="14" outlineLevel="0" r="11832">
      <c r="A11832" s="3" t="inlineStr">
        <is>
          <t>11791</t>
        </is>
      </c>
      <c r="B11832" s="4" t="s">
        <f>=HYPERLINK("http://anyluxury.ru/shop/odezhda/tolstovki/tolstovka-na-molnii-kulonga-sherpa-temnosinyaya-1146440/" , "11464.40 Толстовка на молнии Kulonga Sherpa, темно-синяя, размер M")</f>
      </c>
      <c r="C11832" s="4" t="n">
        <v>3200.00</v>
      </c>
      <c r="D11832" s="4"/>
    </row>
    <row collapsed="" customFormat="false" customHeight="1" hidden="" ht="14" outlineLevel="0" r="11833">
      <c r="A11833" s="3" t="inlineStr">
        <is>
          <t>11792</t>
        </is>
      </c>
      <c r="B11833" s="4" t="s">
        <f>=HYPERLINK("http://anyluxury.ru/shop/odezhda/tolstovki/tolstovka-na-molnii-kulonga-sherpa-temnosinyaya-1146440/" , "11464.40 Толстовка на молнии Kulonga Sherpa, темно-синяя, размер L")</f>
      </c>
      <c r="C11833" s="4" t="n">
        <v>3200.00</v>
      </c>
      <c r="D11833" s="4"/>
    </row>
    <row collapsed="" customFormat="false" customHeight="1" hidden="" ht="14" outlineLevel="0" r="11834">
      <c r="A11834" s="3" t="inlineStr">
        <is>
          <t>11793</t>
        </is>
      </c>
      <c r="B11834" s="4" t="s">
        <f>=HYPERLINK("http://anyluxury.ru/shop/odezhda/tolstovki/tolstovka-na-molnii-kulonga-sherpa-temnosinyaya-1146440/" , "11464.40 Толстовка на молнии Kulonga Sherpa, темно-синяя, размер XL")</f>
      </c>
      <c r="C11834" s="4" t="n">
        <v>3200.00</v>
      </c>
      <c r="D11834" s="4"/>
    </row>
    <row collapsed="" customFormat="false" customHeight="1" hidden="" ht="14" outlineLevel="0" r="11835">
      <c r="A11835" s="3" t="inlineStr">
        <is>
          <t>11794</t>
        </is>
      </c>
      <c r="B11835" s="4" t="s">
        <f>=HYPERLINK("http://anyluxury.ru/shop/odezhda/tolstovki/tolstovka-na-molnii-kulonga-sherpa-temnosinyaya-1146440/" , "11464.40 Толстовка на молнии Kulonga Sherpa, темно-синяя, размер XS")</f>
      </c>
      <c r="C11835" s="4" t="n">
        <v>3158.00</v>
      </c>
      <c r="D11835" s="4"/>
    </row>
    <row collapsed="" customFormat="false" customHeight="1" hidden="" ht="14" outlineLevel="0" r="11836">
      <c r="A11836" s="3" t="inlineStr">
        <is>
          <t>11795</t>
        </is>
      </c>
      <c r="B11836" s="4" t="s">
        <f>=HYPERLINK("http://anyluxury.ru/shop/odezhda/tolstovki/tolstovka-na-molnii-kulonga-sherpa-temnosinyaya-1146440/" , "11464.40 Толстовка на молнии Kulonga Sherpa, темно-синяя, размер S")</f>
      </c>
      <c r="C11836" s="4" t="n">
        <v>3158.00</v>
      </c>
      <c r="D11836" s="4"/>
    </row>
    <row collapsed="" customFormat="false" customHeight="1" hidden="" ht="14" outlineLevel="0" r="11837">
      <c r="A11837" s="3" t="inlineStr">
        <is>
          <t>11796</t>
        </is>
      </c>
      <c r="B11837" s="4" t="s">
        <f>=HYPERLINK("http://anyluxury.ru/shop/odezhda/tolstovki/tolstovka-na-molnii-kulonga-sherpa-temnosinyaya-1146440/" , "11464.40 Толстовка на молнии Kulonga Sherpa, темно-синяя, размер M")</f>
      </c>
      <c r="C11837" s="4" t="n">
        <v>3158.00</v>
      </c>
      <c r="D11837" s="4"/>
    </row>
    <row collapsed="" customFormat="false" customHeight="1" hidden="" ht="14" outlineLevel="0" r="11838">
      <c r="A11838" s="3" t="inlineStr">
        <is>
          <t>11797</t>
        </is>
      </c>
      <c r="B11838" s="4" t="s">
        <f>=HYPERLINK("http://anyluxury.ru/shop/odezhda/tolstovki/tolstovka-na-molnii-kulonga-sherpa-temnosinyaya-1146440/" , "11464.40 Толстовка на молнии Kulonga Sherpa, темно-синяя, размер L")</f>
      </c>
      <c r="C11838" s="4" t="n">
        <v>3158.00</v>
      </c>
      <c r="D11838" s="4"/>
    </row>
    <row collapsed="" customFormat="false" customHeight="1" hidden="" ht="14" outlineLevel="0" r="11839">
      <c r="A11839" s="3" t="inlineStr">
        <is>
          <t>11798</t>
        </is>
      </c>
      <c r="B11839" s="4" t="s">
        <f>=HYPERLINK("http://anyluxury.ru/shop/odezhda/tolstovki/tolstovka-na-molnii-kulonga-sherpa-temnosinyaya-1146440/" , "11464.40 Толстовка на молнии Kulonga Sherpa, темно-синяя, размер XL")</f>
      </c>
      <c r="C11839" s="4" t="n">
        <v>3158.00</v>
      </c>
      <c r="D11839" s="4"/>
    </row>
    <row collapsed="" customFormat="false" customHeight="1" hidden="" ht="14" outlineLevel="0" r="11840">
      <c r="A11840" s="3" t="inlineStr">
        <is>
          <t>11799</t>
        </is>
      </c>
      <c r="B11840" s="4" t="s">
        <f>=HYPERLINK("http://anyluxury.ru/shop/odezhda/tolstovki/tolstovka-na-molnii-kulonga-sherpa-temnosinyaya-1146440/" , "11464.40 Толстовка на молнии Kulonga Sherpa, темно-синяя, размер XXL")</f>
      </c>
      <c r="C11840" s="4" t="n">
        <v>3158.00</v>
      </c>
      <c r="D11840" s="4"/>
    </row>
    <row collapsed="" customFormat="false" customHeight="1" hidden="" ht="14" outlineLevel="0" r="11841">
      <c r="A11841" s="3" t="inlineStr">
        <is>
          <t>11800</t>
        </is>
      </c>
      <c r="B11841" s="4" t="s">
        <f>=HYPERLINK("http://anyluxury.ru/shop/odezhda/tolstovki/tolstovka-na-molnii-kulonga-sherpa-yarkosinyaya-1146444/" , "11464.44 Толстовка на молнии Kulonga Sherpa, ярко-синяя, размер S")</f>
      </c>
      <c r="C11841" s="4" t="n">
        <v>3200.00</v>
      </c>
      <c r="D11841" s="4"/>
    </row>
    <row collapsed="" customFormat="false" customHeight="1" hidden="" ht="14" outlineLevel="0" r="11842">
      <c r="A11842" s="3" t="inlineStr">
        <is>
          <t>11801</t>
        </is>
      </c>
      <c r="B11842" s="4" t="s">
        <f>=HYPERLINK("http://anyluxury.ru/shop/odezhda/tolstovki/bomber-college-temnosiniy-1157741/" , "11577.41 Бомбер College темно-синий, размер XS")</f>
      </c>
      <c r="C11842" s="4" t="n">
        <v>3955.00</v>
      </c>
      <c r="D11842" s="4"/>
    </row>
    <row collapsed="" customFormat="false" customHeight="1" hidden="" ht="14" outlineLevel="0" r="11843">
      <c r="A11843" s="3" t="inlineStr">
        <is>
          <t>11802</t>
        </is>
      </c>
      <c r="B11843" s="4" t="s">
        <f>=HYPERLINK("http://anyluxury.ru/shop/odezhda/tolstovki/bomber-college-temnosiniy-1157741/" , "11577.41 Бомбер College темно-синий, размер S")</f>
      </c>
      <c r="C11843" s="4" t="n">
        <v>3955.00</v>
      </c>
      <c r="D11843" s="4"/>
    </row>
    <row collapsed="" customFormat="false" customHeight="1" hidden="" ht="14" outlineLevel="0" r="11844">
      <c r="A11844" s="3" t="inlineStr">
        <is>
          <t>11803</t>
        </is>
      </c>
      <c r="B11844" s="4" t="s">
        <f>=HYPERLINK("http://anyluxury.ru/shop/odezhda/tolstovki/bomber-college-temnosiniy-1157741/" , "11577.41 Бомбер College темно-синий, размер XS")</f>
      </c>
      <c r="C11844" s="4" t="n">
        <v>3955.00</v>
      </c>
      <c r="D11844" s="4"/>
    </row>
    <row collapsed="" customFormat="false" customHeight="1" hidden="" ht="14" outlineLevel="0" r="11845">
      <c r="A11845" s="3" t="inlineStr">
        <is>
          <t>11804</t>
        </is>
      </c>
      <c r="B11845" s="4" t="s">
        <f>=HYPERLINK("http://anyluxury.ru/shop/odezhda/tolstovki/bomber-college-temnosiniy-1157741/" , "11577.41 Бомбер College темно-синий, размер S")</f>
      </c>
      <c r="C11845" s="4" t="n">
        <v>3955.00</v>
      </c>
      <c r="D11845" s="4"/>
    </row>
    <row collapsed="" customFormat="false" customHeight="1" hidden="" ht="14" outlineLevel="0" r="11846">
      <c r="A11846" s="3" t="inlineStr">
        <is>
          <t>11805</t>
        </is>
      </c>
      <c r="B11846" s="4" t="s">
        <f>=HYPERLINK("http://anyluxury.ru/shop/odezhda/tolstovki/bomber-college-temnosiniy-1157741/" , "11577.41 Бомбер College темно-синий, размер M")</f>
      </c>
      <c r="C11846" s="4" t="n">
        <v>3955.00</v>
      </c>
      <c r="D11846" s="4"/>
    </row>
    <row collapsed="" customFormat="false" customHeight="1" hidden="" ht="14" outlineLevel="0" r="11847">
      <c r="A11847" s="3" t="inlineStr">
        <is>
          <t>11806</t>
        </is>
      </c>
      <c r="B11847" s="4" t="s">
        <f>=HYPERLINK("http://anyluxury.ru/shop/odezhda/tolstovki/bomber-college-temnosiniy-1157741/" , "11577.41 Бомбер College темно-синий, размер L")</f>
      </c>
      <c r="C11847" s="4" t="n">
        <v>3955.00</v>
      </c>
      <c r="D11847" s="4"/>
    </row>
    <row collapsed="" customFormat="false" customHeight="1" hidden="" ht="14" outlineLevel="0" r="11848">
      <c r="A11848" s="3" t="inlineStr">
        <is>
          <t>11807</t>
        </is>
      </c>
      <c r="B11848" s="4" t="s">
        <f>=HYPERLINK("http://anyluxury.ru/shop/odezhda/tolstovki/bomber-college-temnosiniy-1157741/" , "11577.41 Бомбер College темно-синий, размер XL")</f>
      </c>
      <c r="C11848" s="4" t="n">
        <v>3955.00</v>
      </c>
      <c r="D11848" s="4"/>
    </row>
    <row collapsed="" customFormat="false" customHeight="1" hidden="" ht="14" outlineLevel="0" r="11849">
      <c r="A11849" s="3" t="inlineStr">
        <is>
          <t>11808</t>
        </is>
      </c>
      <c r="B11849" s="4" t="s">
        <f>=HYPERLINK("http://anyluxury.ru/shop/odezhda/tolstovki/bomber-college-temnosiniy-1157741/" , "11577.41 Бомбер College темно-синий, размер XXL")</f>
      </c>
      <c r="C11849" s="4" t="n">
        <v>3955.00</v>
      </c>
      <c r="D11849" s="4"/>
    </row>
    <row collapsed="" customFormat="false" customHeight="1" hidden="" ht="14" outlineLevel="0" r="11850">
      <c r="A11850" s="3" t="inlineStr">
        <is>
          <t>11809</t>
        </is>
      </c>
      <c r="B11850" s="4" t="s">
        <f>=HYPERLINK("http://anyluxury.ru/shop/odezhda/tolstovki/bomber-college-yarkosiniy-1157744/" , "11577.44 Бомбер College ярко-синий, размер XS")</f>
      </c>
      <c r="C11850" s="4" t="n">
        <v>3955.00</v>
      </c>
      <c r="D11850" s="4"/>
    </row>
    <row collapsed="" customFormat="false" customHeight="1" hidden="" ht="14" outlineLevel="0" r="11851">
      <c r="A11851" s="3" t="inlineStr">
        <is>
          <t>11810</t>
        </is>
      </c>
      <c r="B11851" s="4" t="s">
        <f>=HYPERLINK("http://anyluxury.ru/shop/odezhda/tolstovki/bomber-college-yarkosiniy-1157744/" , "11577.44 Бомбер College ярко-синий, размер M")</f>
      </c>
      <c r="C11851" s="4" t="n">
        <v>3955.00</v>
      </c>
      <c r="D11851" s="4"/>
    </row>
    <row collapsed="" customFormat="false" customHeight="1" hidden="" ht="14" outlineLevel="0" r="11852">
      <c r="A11852" s="3" t="inlineStr">
        <is>
          <t>11811</t>
        </is>
      </c>
      <c r="B11852" s="4" t="s">
        <f>=HYPERLINK("http://anyluxury.ru/shop/odezhda/tolstovki/bomber-college-yarkosiniy-1157744/" , "11577.44 Бомбер College ярко-синий, размер XL")</f>
      </c>
      <c r="C11852" s="4" t="n">
        <v>3955.00</v>
      </c>
      <c r="D11852" s="4"/>
    </row>
    <row collapsed="" customFormat="false" customHeight="1" hidden="" ht="14" outlineLevel="0" r="11853">
      <c r="A11853" s="3" t="inlineStr">
        <is>
          <t>11812</t>
        </is>
      </c>
      <c r="B11853" s="4" t="s">
        <f>=HYPERLINK("http://anyluxury.ru/shop/odezhda/tolstovki/bomber-college-yarkosiniy-1157744/" , "11577.44 Бомбер College ярко-синий, размер XXL")</f>
      </c>
      <c r="C11853" s="4" t="n">
        <v>3955.00</v>
      </c>
      <c r="D11853" s="4"/>
    </row>
    <row collapsed="" customFormat="false" customHeight="1" hidden="" ht="14" outlineLevel="0" r="11854">
      <c r="A11854" s="3" t="inlineStr">
        <is>
          <t>11813</t>
        </is>
      </c>
      <c r="B11854" s="4" t="s">
        <f>=HYPERLINK("http://anyluxury.ru/shop/odezhda/tolstovki/bomber-college-yarkosiniy-1157744/" , "11577.44 Бомбер College ярко-синий, размер XS")</f>
      </c>
      <c r="C11854" s="4" t="n">
        <v>3955.00</v>
      </c>
      <c r="D11854" s="4"/>
    </row>
    <row collapsed="" customFormat="false" customHeight="1" hidden="" ht="14" outlineLevel="0" r="11855">
      <c r="A11855" s="3" t="inlineStr">
        <is>
          <t>11814</t>
        </is>
      </c>
      <c r="B11855" s="4" t="s">
        <f>=HYPERLINK("http://anyluxury.ru/shop/odezhda/tolstovki/bomber-college-yarkosiniy-1157744/" , "11577.44 Бомбер College ярко-синий, размер S")</f>
      </c>
      <c r="C11855" s="4" t="n">
        <v>3955.00</v>
      </c>
      <c r="D11855" s="4"/>
    </row>
    <row collapsed="" customFormat="false" customHeight="1" hidden="" ht="14" outlineLevel="0" r="11856">
      <c r="A11856" s="3" t="inlineStr">
        <is>
          <t>11815</t>
        </is>
      </c>
      <c r="B11856" s="4" t="s">
        <f>=HYPERLINK("http://anyluxury.ru/shop/odezhda/tolstovki/bomber-college-yarkosiniy-1157744/" , "11577.44 Бомбер College ярко-синий, размер M")</f>
      </c>
      <c r="C11856" s="4" t="n">
        <v>3955.00</v>
      </c>
      <c r="D11856" s="4"/>
    </row>
    <row collapsed="" customFormat="false" customHeight="1" hidden="" ht="14" outlineLevel="0" r="11857">
      <c r="A11857" s="3" t="inlineStr">
        <is>
          <t>11816</t>
        </is>
      </c>
      <c r="B11857" s="4" t="s">
        <f>=HYPERLINK("http://anyluxury.ru/shop/odezhda/tolstovki/bomber-college-yarkosiniy-1157744/" , "11577.44 Бомбер College ярко-синий, размер L")</f>
      </c>
      <c r="C11857" s="4" t="n">
        <v>3955.00</v>
      </c>
      <c r="D11857" s="4"/>
    </row>
    <row collapsed="" customFormat="false" customHeight="1" hidden="" ht="14" outlineLevel="0" r="11858">
      <c r="A11858" s="3" t="inlineStr">
        <is>
          <t>11817</t>
        </is>
      </c>
      <c r="B11858" s="4" t="s">
        <f>=HYPERLINK("http://anyluxury.ru/shop/odezhda/tolstovki/bomber-college-yarkosiniy-1157744/" , "11577.44 Бомбер College ярко-синий, размер XL")</f>
      </c>
      <c r="C11858" s="4" t="n">
        <v>3955.00</v>
      </c>
      <c r="D11858" s="4"/>
    </row>
    <row collapsed="" customFormat="false" customHeight="1" hidden="" ht="14" outlineLevel="0" r="11859">
      <c r="A11859" s="3" t="inlineStr">
        <is>
          <t>11818</t>
        </is>
      </c>
      <c r="B11859" s="4" t="s">
        <f>=HYPERLINK("http://anyluxury.ru/shop/odezhda/tolstovki/bomber-college-yarkosiniy-1157744/" , "11577.44 Бомбер College ярко-синий, размер XXL")</f>
      </c>
      <c r="C11859" s="4" t="n">
        <v>3955.00</v>
      </c>
      <c r="D11859" s="4"/>
    </row>
    <row collapsed="" customFormat="false" customHeight="1" hidden="" ht="14" outlineLevel="0" r="11860">
      <c r="A11860" s="3" t="inlineStr">
        <is>
          <t>11819</t>
        </is>
      </c>
      <c r="B11860" s="4" t="s">
        <f>=HYPERLINK("http://anyluxury.ru/shop/odezhda/tolstovki/tolstovka-uniseks-kosmos-10-seraya-1218310/" , "12183.10 Толстовка унисекс Kosmos, серая, размер S")</f>
      </c>
      <c r="C11860" s="4" t="n">
        <v>1890.00</v>
      </c>
      <c r="D11860" s="4"/>
    </row>
    <row collapsed="" customFormat="false" customHeight="1" hidden="" ht="14" outlineLevel="0" r="11861">
      <c r="A11861" s="3" t="inlineStr">
        <is>
          <t>11820</t>
        </is>
      </c>
      <c r="B11861" s="4" t="s">
        <f>=HYPERLINK("http://anyluxury.ru/shop/odezhda/tolstovki/tolstovka-na-molnii-s-kapyushonom-siverga-biryuzovaya-689514/" , "6895.14 Толстовка на молнии с капюшоном Siverga, бирюзовая, размер XS")</f>
      </c>
      <c r="C11861" s="4" t="n">
        <v>1768.00</v>
      </c>
      <c r="D11861" s="4"/>
    </row>
    <row collapsed="" customFormat="false" customHeight="1" hidden="" ht="14" outlineLevel="0" r="11862">
      <c r="A11862" s="3" t="inlineStr">
        <is>
          <t>11821</t>
        </is>
      </c>
      <c r="B11862" s="4" t="s">
        <f>=HYPERLINK("http://anyluxury.ru/shop/odezhda/tolstovki/tolstovka-na-molnii-s-kapyushonom-siverga-biryuzovaya-689514/" , "6895.14 Толстовка на молнии с капюшоном Siverga, бирюзовая, размер S")</f>
      </c>
      <c r="C11862" s="4" t="n">
        <v>1768.00</v>
      </c>
      <c r="D11862" s="4"/>
    </row>
    <row collapsed="" customFormat="false" customHeight="1" hidden="" ht="14" outlineLevel="0" r="11863">
      <c r="A11863" s="3" t="inlineStr">
        <is>
          <t>11822</t>
        </is>
      </c>
      <c r="B11863" s="4" t="s">
        <f>=HYPERLINK("http://anyluxury.ru/shop/odezhda/tolstovki/tolstovka-na-molnii-s-kapyushonom-siverga-biryuzovaya-689514/" , "6895.14 Толстовка на молнии с капюшоном Siverga, бирюзовая, размер M")</f>
      </c>
      <c r="C11863" s="4" t="n">
        <v>1768.00</v>
      </c>
      <c r="D11863" s="4"/>
    </row>
    <row collapsed="" customFormat="false" customHeight="1" hidden="" ht="14" outlineLevel="0" r="11864">
      <c r="A11864" s="3" t="inlineStr">
        <is>
          <t>11823</t>
        </is>
      </c>
      <c r="B11864" s="4" t="s">
        <f>=HYPERLINK("http://anyluxury.ru/shop/odezhda/tolstovki/tolstovka-na-molnii-s-kapyushonom-siverga-biryuzovaya-689514/" , "6895.14 Толстовка на молнии с капюшоном Siverga, бирюзовая, размер L")</f>
      </c>
      <c r="C11864" s="4" t="n">
        <v>1768.00</v>
      </c>
      <c r="D11864" s="4"/>
    </row>
    <row collapsed="" customFormat="false" customHeight="1" hidden="" ht="14" outlineLevel="0" r="11865">
      <c r="A11865" s="3" t="inlineStr">
        <is>
          <t>11824</t>
        </is>
      </c>
      <c r="B11865" s="4" t="s">
        <f>=HYPERLINK("http://anyluxury.ru/shop/odezhda/tolstovki/tolstovka-na-molnii-s-kapyushonom-siverga-biryuzovaya-689514/" , "6895.14 Толстовка на молнии с капюшоном Siverga, бирюзовая, размер XL")</f>
      </c>
      <c r="C11865" s="4" t="n">
        <v>1768.00</v>
      </c>
      <c r="D11865" s="4"/>
    </row>
    <row collapsed="" customFormat="false" customHeight="1" hidden="" ht="14" outlineLevel="0" r="11866">
      <c r="A11866" s="3" t="inlineStr">
        <is>
          <t>11825</t>
        </is>
      </c>
      <c r="B11866" s="4" t="s">
        <f>=HYPERLINK("http://anyluxury.ru/shop/odezhda/tolstovki/tolstovka-na-molnii-s-kapyushonom-siverga-biryuzovaya-689514/" , "6895.14 Толстовка на молнии с капюшоном Siverga, бирюзовая, размер XXL")</f>
      </c>
      <c r="C11866" s="4" t="n">
        <v>1768.00</v>
      </c>
      <c r="D11866" s="4"/>
    </row>
    <row collapsed="" customFormat="false" customHeight="1" hidden="" ht="14" outlineLevel="0" r="11867">
      <c r="A11867" s="3" t="inlineStr">
        <is>
          <t>11826</t>
        </is>
      </c>
      <c r="B11867" s="4" t="s">
        <f>=HYPERLINK("http://anyluxury.ru/shop/odezhda/tolstovki/tolstovka-na-molnii-s-kapyushonom-siverga-biryuzovaya-689514/" , "6895.14 Толстовка на молнии с капюшоном Siverga, бирюзовая, размер 3XL")</f>
      </c>
      <c r="C11867" s="4" t="n">
        <v>1768.00</v>
      </c>
      <c r="D11867" s="4"/>
    </row>
    <row collapsed="" customFormat="false" customHeight="1" hidden="" ht="14" outlineLevel="0" r="11868">
      <c r="A11868" s="3" t="inlineStr">
        <is>
          <t>11827</t>
        </is>
      </c>
      <c r="B11868" s="4" t="s">
        <f>=HYPERLINK("http://anyluxury.ru/shop/odezhda/tolstovki/tolstovka-na-molnii-s-kapyushonom-siverga-biryuzovaya-689514/" , "6895.14 Толстовка на молнии с капюшоном Siverga, бирюзовая, размер 4XL")</f>
      </c>
      <c r="C11868" s="4" t="n">
        <v>1768.00</v>
      </c>
      <c r="D11868" s="4"/>
    </row>
    <row collapsed="" customFormat="false" customHeight="1" hidden="" ht="14" outlineLevel="0" r="11869">
      <c r="A11869" s="3" t="inlineStr">
        <is>
          <t>11828</t>
        </is>
      </c>
      <c r="B11869" s="4" t="s">
        <f>=HYPERLINK("http://anyluxury.ru/shop/odezhda/tolstovki/tolstovka-na-molnii-s-kapyushonom-siverga-oranzhevaya-689520/" , "6895.20 Толстовка на молнии с капюшоном Siverga, оранжевая, размер XS")</f>
      </c>
      <c r="C11869" s="4" t="n">
        <v>1768.00</v>
      </c>
      <c r="D11869" s="4"/>
    </row>
    <row collapsed="" customFormat="false" customHeight="1" hidden="" ht="14" outlineLevel="0" r="11870">
      <c r="A11870" s="3" t="inlineStr">
        <is>
          <t>11829</t>
        </is>
      </c>
      <c r="B11870" s="4" t="s">
        <f>=HYPERLINK("http://anyluxury.ru/shop/odezhda/tolstovki/tolstovka-na-molnii-s-kapyushonom-siverga-oranzhevaya-689520/" , "6895.20 Толстовка на молнии с капюшоном Siverga, оранжевая, размер S")</f>
      </c>
      <c r="C11870" s="4" t="n">
        <v>1768.00</v>
      </c>
      <c r="D11870" s="4"/>
    </row>
    <row collapsed="" customFormat="false" customHeight="1" hidden="" ht="14" outlineLevel="0" r="11871">
      <c r="A11871" s="3" t="inlineStr">
        <is>
          <t>11830</t>
        </is>
      </c>
      <c r="B11871" s="4" t="s">
        <f>=HYPERLINK("http://anyluxury.ru/shop/odezhda/tolstovki/tolstovka-na-molnii-s-kapyushonom-siverga-oranzhevaya-689520/" , "6895.20 Толстовка на молнии с капюшоном Siverga, оранжевая, размер M")</f>
      </c>
      <c r="C11871" s="4" t="n">
        <v>1768.00</v>
      </c>
      <c r="D11871" s="4"/>
    </row>
    <row collapsed="" customFormat="false" customHeight="1" hidden="" ht="14" outlineLevel="0" r="11872">
      <c r="A11872" s="3" t="inlineStr">
        <is>
          <t>11831</t>
        </is>
      </c>
      <c r="B11872" s="4" t="s">
        <f>=HYPERLINK("http://anyluxury.ru/shop/odezhda/tolstovki/tolstovka-na-molnii-s-kapyushonom-siverga-oranzhevaya-689520/" , "6895.20 Толстовка на молнии с капюшоном Siverga, оранжевая, размер XL")</f>
      </c>
      <c r="C11872" s="4" t="n">
        <v>1768.00</v>
      </c>
      <c r="D11872" s="4"/>
    </row>
    <row collapsed="" customFormat="false" customHeight="1" hidden="" ht="14" outlineLevel="0" r="11873">
      <c r="A11873" s="3" t="inlineStr">
        <is>
          <t>11832</t>
        </is>
      </c>
      <c r="B11873" s="4" t="s">
        <f>=HYPERLINK("http://anyluxury.ru/shop/odezhda/tolstovki/tolstovka-na-molnii-s-kapyushonom-siverga-oranzhevaya-689520/" , "6895.20 Толстовка на молнии с капюшоном Siverga, оранжевая, размер XXL")</f>
      </c>
      <c r="C11873" s="4" t="n">
        <v>1768.00</v>
      </c>
      <c r="D11873" s="4"/>
    </row>
    <row collapsed="" customFormat="false" customHeight="1" hidden="" ht="14" outlineLevel="0" r="11874">
      <c r="A11874" s="3" t="inlineStr">
        <is>
          <t>11833</t>
        </is>
      </c>
      <c r="B11874" s="4" t="s">
        <f>=HYPERLINK("http://anyluxury.ru/shop/odezhda/tolstovki/tolstovka-na-molnii-s-kapyushonom-siverga-oranzhevaya-689520/" , "6895.20 Толстовка на молнии с капюшоном Siverga, оранжевая, размер 3XL")</f>
      </c>
      <c r="C11874" s="4" t="n">
        <v>1768.00</v>
      </c>
      <c r="D11874" s="4"/>
    </row>
    <row collapsed="" customFormat="false" customHeight="1" hidden="" ht="14" outlineLevel="0" r="11875">
      <c r="A11875" s="3" t="inlineStr">
        <is>
          <t>11834</t>
        </is>
      </c>
      <c r="B11875" s="4" t="s">
        <f>=HYPERLINK("http://anyluxury.ru/shop/odezhda/tolstovki/tolstovka-na-molnii-s-kapyushonom-siverga-oranzhevaya-689520/" , "6895.20 Толстовка на молнии с капюшоном Siverga, оранжевая, размер 4XL")</f>
      </c>
      <c r="C11875" s="4" t="n">
        <v>1768.00</v>
      </c>
      <c r="D11875" s="4"/>
    </row>
    <row collapsed="" customFormat="false" customHeight="1" hidden="" ht="14" outlineLevel="0" r="11876">
      <c r="A11876" s="3" t="inlineStr">
        <is>
          <t>11835</t>
        </is>
      </c>
      <c r="B11876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XS")</f>
      </c>
      <c r="C11876" s="4" t="n">
        <v>2250.00</v>
      </c>
      <c r="D11876" s="4"/>
    </row>
    <row collapsed="" customFormat="false" customHeight="1" hidden="" ht="14" outlineLevel="0" r="11877">
      <c r="A11877" s="3" t="inlineStr">
        <is>
          <t>11836</t>
        </is>
      </c>
      <c r="B11877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S")</f>
      </c>
      <c r="C11877" s="4" t="n">
        <v>2250.00</v>
      </c>
      <c r="D11877" s="4"/>
    </row>
    <row collapsed="" customFormat="false" customHeight="1" hidden="" ht="14" outlineLevel="0" r="11878">
      <c r="A11878" s="3" t="inlineStr">
        <is>
          <t>11837</t>
        </is>
      </c>
      <c r="B11878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M")</f>
      </c>
      <c r="C11878" s="4" t="n">
        <v>2250.00</v>
      </c>
      <c r="D11878" s="4"/>
    </row>
    <row collapsed="" customFormat="false" customHeight="1" hidden="" ht="14" outlineLevel="0" r="11879">
      <c r="A11879" s="3" t="inlineStr">
        <is>
          <t>11838</t>
        </is>
      </c>
      <c r="B11879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L")</f>
      </c>
      <c r="C11879" s="4" t="n">
        <v>2250.00</v>
      </c>
      <c r="D11879" s="4"/>
    </row>
    <row collapsed="" customFormat="false" customHeight="1" hidden="" ht="14" outlineLevel="0" r="11880">
      <c r="A11880" s="3" t="inlineStr">
        <is>
          <t>11839</t>
        </is>
      </c>
      <c r="B11880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XL")</f>
      </c>
      <c r="C11880" s="4" t="n">
        <v>2250.00</v>
      </c>
      <c r="D11880" s="4"/>
    </row>
    <row collapsed="" customFormat="false" customHeight="1" hidden="" ht="14" outlineLevel="0" r="11881">
      <c r="A11881" s="3" t="inlineStr">
        <is>
          <t>11840</t>
        </is>
      </c>
      <c r="B11881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XXL")</f>
      </c>
      <c r="C11881" s="4" t="n">
        <v>2250.00</v>
      </c>
      <c r="D11881" s="4"/>
    </row>
    <row collapsed="" customFormat="false" customHeight="1" hidden="" ht="14" outlineLevel="0" r="11882">
      <c r="A11882" s="3" t="inlineStr">
        <is>
          <t>11841</t>
        </is>
      </c>
      <c r="B11882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3XL")</f>
      </c>
      <c r="C11882" s="4" t="n">
        <v>2250.00</v>
      </c>
      <c r="D11882" s="4"/>
    </row>
    <row collapsed="" customFormat="false" customHeight="1" hidden="" ht="14" outlineLevel="0" r="11883">
      <c r="A11883" s="3" t="inlineStr">
        <is>
          <t>11842</t>
        </is>
      </c>
      <c r="B11883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4XL")</f>
      </c>
      <c r="C11883" s="4" t="n">
        <v>2250.00</v>
      </c>
      <c r="D11883" s="4"/>
    </row>
    <row collapsed="" customFormat="false" customHeight="1" hidden="" ht="14" outlineLevel="0" r="11884">
      <c r="A11884" s="3" t="inlineStr">
        <is>
          <t>11843</t>
        </is>
      </c>
      <c r="B11884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5XL")</f>
      </c>
      <c r="C11884" s="4" t="n">
        <v>2250.00</v>
      </c>
      <c r="D11884" s="4"/>
    </row>
    <row collapsed="" customFormat="false" customHeight="1" hidden="" ht="14" outlineLevel="0" r="11885">
      <c r="A11885" s="3" t="inlineStr">
        <is>
          <t>11844</t>
        </is>
      </c>
      <c r="B11885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XS")</f>
      </c>
      <c r="C11885" s="4" t="n">
        <v>1768.00</v>
      </c>
      <c r="D11885" s="4"/>
    </row>
    <row collapsed="" customFormat="false" customHeight="1" hidden="" ht="14" outlineLevel="0" r="11886">
      <c r="A11886" s="3" t="inlineStr">
        <is>
          <t>11845</t>
        </is>
      </c>
      <c r="B11886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S")</f>
      </c>
      <c r="C11886" s="4" t="n">
        <v>1768.00</v>
      </c>
      <c r="D11886" s="4"/>
    </row>
    <row collapsed="" customFormat="false" customHeight="1" hidden="" ht="14" outlineLevel="0" r="11887">
      <c r="A11887" s="3" t="inlineStr">
        <is>
          <t>11846</t>
        </is>
      </c>
      <c r="B11887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M")</f>
      </c>
      <c r="C11887" s="4" t="n">
        <v>1768.00</v>
      </c>
      <c r="D11887" s="4"/>
    </row>
    <row collapsed="" customFormat="false" customHeight="1" hidden="" ht="14" outlineLevel="0" r="11888">
      <c r="A11888" s="3" t="inlineStr">
        <is>
          <t>11847</t>
        </is>
      </c>
      <c r="B11888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L")</f>
      </c>
      <c r="C11888" s="4" t="n">
        <v>1768.00</v>
      </c>
      <c r="D11888" s="4"/>
    </row>
    <row collapsed="" customFormat="false" customHeight="1" hidden="" ht="14" outlineLevel="0" r="11889">
      <c r="A11889" s="3" t="inlineStr">
        <is>
          <t>11848</t>
        </is>
      </c>
      <c r="B11889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XS")</f>
      </c>
      <c r="C11889" s="4" t="n">
        <v>2250.00</v>
      </c>
      <c r="D11889" s="4"/>
    </row>
    <row collapsed="" customFormat="false" customHeight="1" hidden="" ht="14" outlineLevel="0" r="11890">
      <c r="A11890" s="3" t="inlineStr">
        <is>
          <t>11849</t>
        </is>
      </c>
      <c r="B11890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S")</f>
      </c>
      <c r="C11890" s="4" t="n">
        <v>2250.00</v>
      </c>
      <c r="D11890" s="4"/>
    </row>
    <row collapsed="" customFormat="false" customHeight="1" hidden="" ht="14" outlineLevel="0" r="11891">
      <c r="A11891" s="3" t="inlineStr">
        <is>
          <t>11850</t>
        </is>
      </c>
      <c r="B11891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M")</f>
      </c>
      <c r="C11891" s="4" t="n">
        <v>2250.00</v>
      </c>
      <c r="D11891" s="4"/>
    </row>
    <row collapsed="" customFormat="false" customHeight="1" hidden="" ht="14" outlineLevel="0" r="11892">
      <c r="A11892" s="3" t="inlineStr">
        <is>
          <t>11851</t>
        </is>
      </c>
      <c r="B11892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L")</f>
      </c>
      <c r="C11892" s="4" t="n">
        <v>2250.00</v>
      </c>
      <c r="D11892" s="4"/>
    </row>
    <row collapsed="" customFormat="false" customHeight="1" hidden="" ht="14" outlineLevel="0" r="11893">
      <c r="A11893" s="3" t="inlineStr">
        <is>
          <t>11852</t>
        </is>
      </c>
      <c r="B11893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XL")</f>
      </c>
      <c r="C11893" s="4" t="n">
        <v>2250.00</v>
      </c>
      <c r="D11893" s="4"/>
    </row>
    <row collapsed="" customFormat="false" customHeight="1" hidden="" ht="14" outlineLevel="0" r="11894">
      <c r="A11894" s="3" t="inlineStr">
        <is>
          <t>11853</t>
        </is>
      </c>
      <c r="B11894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XXL")</f>
      </c>
      <c r="C11894" s="4" t="n">
        <v>2250.00</v>
      </c>
      <c r="D11894" s="4"/>
    </row>
    <row collapsed="" customFormat="false" customHeight="1" hidden="" ht="14" outlineLevel="0" r="11895">
      <c r="A11895" s="3" t="inlineStr">
        <is>
          <t>11854</t>
        </is>
      </c>
      <c r="B11895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3XL")</f>
      </c>
      <c r="C11895" s="4" t="n">
        <v>2250.00</v>
      </c>
      <c r="D11895" s="4"/>
    </row>
    <row collapsed="" customFormat="false" customHeight="1" hidden="" ht="14" outlineLevel="0" r="11896">
      <c r="A11896" s="3" t="inlineStr">
        <is>
          <t>11855</t>
        </is>
      </c>
      <c r="B11896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4XL")</f>
      </c>
      <c r="C11896" s="4" t="n">
        <v>2250.00</v>
      </c>
      <c r="D11896" s="4"/>
    </row>
    <row collapsed="" customFormat="false" customHeight="1" hidden="" ht="14" outlineLevel="0" r="11897">
      <c r="A11897" s="3" t="inlineStr">
        <is>
          <t>11856</t>
        </is>
      </c>
      <c r="B11897" s="4" t="s">
        <f>=HYPERLINK("http://anyluxury.ru/shop/odezhda/tolstovki/tolstovka-na-molnii-s-kapyushonom-siverga-heavy-fioletovaya-692778/" , "6927.78 Толстовка на молнии с капюшоном Siverga Heavy, фиолетовая, размер XS")</f>
      </c>
      <c r="C11897" s="4" t="n">
        <v>2250.00</v>
      </c>
      <c r="D11897" s="4"/>
    </row>
    <row collapsed="" customFormat="false" customHeight="1" hidden="" ht="14" outlineLevel="0" r="11898">
      <c r="A11898" s="3" t="inlineStr">
        <is>
          <t>11857</t>
        </is>
      </c>
      <c r="B11898" s="4" t="s">
        <f>=HYPERLINK("http://anyluxury.ru/shop/odezhda/tolstovki/tolstovka-na-molnii-s-kapyushonom-siverga-heavy-fioletovaya-692778/" , "6927.78 Толстовка на молнии с капюшоном Siverga Heavy, фиолетовая, размер S")</f>
      </c>
      <c r="C11898" s="4" t="n">
        <v>2250.00</v>
      </c>
      <c r="D11898" s="4"/>
    </row>
    <row collapsed="" customFormat="false" customHeight="1" hidden="" ht="14" outlineLevel="0" r="11899">
      <c r="A11899" s="3" t="inlineStr">
        <is>
          <t>11858</t>
        </is>
      </c>
      <c r="B11899" s="4" t="s">
        <f>=HYPERLINK("http://anyluxury.ru/shop/odezhda/tolstovki/tolstovka-na-molnii-s-kapyushonom-siverga-heavy-fioletovaya-692778/" , "6927.78 Толстовка на молнии с капюшоном Siverga Heavy, фиолетовая, размер M")</f>
      </c>
      <c r="C11899" s="4" t="n">
        <v>2250.00</v>
      </c>
      <c r="D11899" s="4"/>
    </row>
    <row collapsed="" customFormat="false" customHeight="1" hidden="" ht="14" outlineLevel="0" r="11900">
      <c r="A11900" s="3" t="inlineStr">
        <is>
          <t>11859</t>
        </is>
      </c>
      <c r="B11900" s="4" t="s">
        <f>=HYPERLINK("http://anyluxury.ru/shop/odezhda/tolstovki/tolstovka-na-molnii-s-kapyushonom-siverga-heavy-fioletovaya-692778/" , "6927.78 Толстовка на молнии с капюшоном Siverga Heavy, фиолетовая, размер L")</f>
      </c>
      <c r="C11900" s="4" t="n">
        <v>2250.00</v>
      </c>
      <c r="D11900" s="4"/>
    </row>
    <row collapsed="" customFormat="false" customHeight="1" hidden="" ht="14" outlineLevel="0" r="11901">
      <c r="A11901" s="3" t="inlineStr">
        <is>
          <t>11860</t>
        </is>
      </c>
      <c r="B11901" s="4" t="s">
        <f>=HYPERLINK("http://anyluxury.ru/shop/odezhda/tolstovki/tolstovka-na-molnii-s-kapyushonom-siverga-heavy-fioletovaya-692778/" , "6927.78 Толстовка на молнии с капюшоном Siverga Heavy, фиолетовая, размер XL")</f>
      </c>
      <c r="C11901" s="4" t="n">
        <v>2250.00</v>
      </c>
      <c r="D11901" s="4"/>
    </row>
    <row collapsed="" customFormat="false" customHeight="1" hidden="" ht="14" outlineLevel="0" r="11902">
      <c r="A11902" s="3" t="inlineStr">
        <is>
          <t>11861</t>
        </is>
      </c>
      <c r="B11902" s="4" t="s">
        <f>=HYPERLINK("http://anyluxury.ru/shop/odezhda/tolstovki/tolstovka-na-molnii-s-kapyushonom-siverga-heavy-fioletovaya-692778/" , "6927.78 Толстовка на молнии с капюшоном Siverga Heavy, фиолетовая, размер XXL")</f>
      </c>
      <c r="C11902" s="4" t="n">
        <v>2250.00</v>
      </c>
      <c r="D11902" s="4"/>
    </row>
    <row collapsed="" customFormat="false" customHeight="1" hidden="" ht="14" outlineLevel="0" r="11903">
      <c r="A11903" s="3" t="inlineStr">
        <is>
          <t>11862</t>
        </is>
      </c>
      <c r="B11903" s="4" t="s">
        <f>=HYPERLINK("http://anyluxury.ru/shop/odezhda/tolstovki/tolstovka-na-molnii-s-kapyushonom-siverga-heavy-fioletovaya-692778/" , "6927.78 Толстовка на молнии с капюшоном Siverga Heavy, фиолетовая, размер 3XL")</f>
      </c>
      <c r="C11903" s="4" t="n">
        <v>2250.00</v>
      </c>
      <c r="D11903" s="4"/>
    </row>
    <row collapsed="" customFormat="false" customHeight="1" hidden="" ht="14" outlineLevel="0" r="11904">
      <c r="A11904" s="3" t="inlineStr">
        <is>
          <t>11863</t>
        </is>
      </c>
      <c r="B11904" s="4" t="s">
        <f>=HYPERLINK("http://anyluxury.ru/shop/odezhda/tolstovki/tolstovka-na-molnii-s-kapyushonom-siverga-heavy-fioletovaya-692778/" , "6927.78 Толстовка на молнии с капюшоном Siverga Heavy, фиолетовая, размер 4XL")</f>
      </c>
      <c r="C11904" s="4" t="n">
        <v>2250.00</v>
      </c>
      <c r="D11904" s="4"/>
    </row>
    <row collapsed="" customFormat="false" customHeight="1" hidden="" ht="14" outlineLevel="0" r="11905">
      <c r="A11905" s="3" t="inlineStr">
        <is>
          <t>11864</t>
        </is>
      </c>
      <c r="B11905" s="4" t="s">
        <f>=HYPERLINK("http://anyluxury.ru/shop/odezhda/tolstovki/tolstovka-na-molnii-s-kapyushonom-siverga-heavy-temnoseraya-grafit-692710/" , "6927.10 Толстовка на молнии с капюшоном Siverga Heavy, темно-серая (графит), размер XS")</f>
      </c>
      <c r="C11905" s="4" t="n">
        <v>2250.00</v>
      </c>
      <c r="D11905" s="4"/>
    </row>
    <row collapsed="" customFormat="false" customHeight="1" hidden="" ht="14" outlineLevel="0" r="11906">
      <c r="A11906" s="3" t="inlineStr">
        <is>
          <t>11865</t>
        </is>
      </c>
      <c r="B11906" s="4" t="s">
        <f>=HYPERLINK("http://anyluxury.ru/shop/odezhda/tolstovki/tolstovka-na-molnii-s-kapyushonom-siverga-heavy-temnoseraya-grafit-692710/" , "6927.10 Толстовка на молнии с капюшоном Siverga Heavy, темно-серая (графит), размер L")</f>
      </c>
      <c r="C11906" s="4" t="n">
        <v>2250.00</v>
      </c>
      <c r="D11906" s="4"/>
    </row>
    <row collapsed="" customFormat="false" customHeight="1" hidden="" ht="14" outlineLevel="0" r="11907">
      <c r="A11907" s="3" t="inlineStr">
        <is>
          <t>11866</t>
        </is>
      </c>
      <c r="B11907" s="4" t="s">
        <f>=HYPERLINK("http://anyluxury.ru/shop/odezhda/tolstovki/bomber-graduate-cherniy-1515730/" , "15157.30 Бомбер Graduate, черный, размер S")</f>
      </c>
      <c r="C11907" s="4" t="n">
        <v>3570.00</v>
      </c>
      <c r="D11907" s="4"/>
    </row>
    <row collapsed="" customFormat="false" customHeight="1" hidden="" ht="14" outlineLevel="0" r="11908">
      <c r="A11908" s="3" t="inlineStr">
        <is>
          <t>11867</t>
        </is>
      </c>
      <c r="B11908" s="4" t="s">
        <f>=HYPERLINK("http://anyluxury.ru/shop/odezhda/tolstovki/bomber-graduate-cherniy-1515730/" , "15157.30 Бомбер Graduate, черный, размер M")</f>
      </c>
      <c r="C11908" s="4" t="n">
        <v>3570.00</v>
      </c>
      <c r="D11908" s="4"/>
    </row>
    <row collapsed="" customFormat="false" customHeight="1" hidden="" ht="14" outlineLevel="0" r="11909">
      <c r="A11909" s="3" t="inlineStr">
        <is>
          <t>11868</t>
        </is>
      </c>
      <c r="B11909" s="4" t="s">
        <f>=HYPERLINK("http://anyluxury.ru/shop/odezhda/tolstovki/bomber-graduate-cherniy-1515730/" , "15157.30 Бомбер Graduate, черный, размер L")</f>
      </c>
      <c r="C11909" s="4" t="n">
        <v>3570.00</v>
      </c>
      <c r="D11909" s="4"/>
    </row>
    <row collapsed="" customFormat="false" customHeight="1" hidden="" ht="14" outlineLevel="0" r="11910">
      <c r="A11910" s="3" t="inlineStr">
        <is>
          <t>11869</t>
        </is>
      </c>
      <c r="B11910" s="4" t="s">
        <f>=HYPERLINK("http://anyluxury.ru/shop/odezhda/tolstovki/bomber-graduate-cherniy-1515730/" , "15157.30 Бомбер Graduate, черный, размер XL")</f>
      </c>
      <c r="C11910" s="4" t="n">
        <v>3570.00</v>
      </c>
      <c r="D11910" s="4"/>
    </row>
    <row collapsed="" customFormat="false" customHeight="1" hidden="" ht="14" outlineLevel="0" r="11911">
      <c r="A11911" s="3" t="inlineStr">
        <is>
          <t>11870</t>
        </is>
      </c>
      <c r="B11911" s="4" t="s">
        <f>=HYPERLINK("http://anyluxury.ru/shop/odezhda/tolstovki/bomber-graduate-cherniy-1515730/" , "15157.30 Бомбер Graduate, черный, размер XXL")</f>
      </c>
      <c r="C11911" s="4" t="n">
        <v>3570.00</v>
      </c>
      <c r="D11911" s="4"/>
    </row>
    <row collapsed="" customFormat="false" customHeight="1" hidden="" ht="14" outlineLevel="0" r="11912">
      <c r="A11912" s="3" t="inlineStr">
        <is>
          <t>11871</t>
        </is>
      </c>
      <c r="B11912" s="4" t="s">
        <f>=HYPERLINK("http://anyluxury.ru/shop/odezhda/tolstovki/tolstovka-na-molnii-s-kapyushonom-siverga-zelenaya-689592/" , "6895.92 Толстовка на молнии с капюшоном Siverga, зеленая, размер XS")</f>
      </c>
      <c r="C11912" s="4" t="n">
        <v>1768.00</v>
      </c>
      <c r="D11912" s="4"/>
    </row>
    <row collapsed="" customFormat="false" customHeight="1" hidden="" ht="14" outlineLevel="0" r="11913">
      <c r="A11913" s="3" t="inlineStr">
        <is>
          <t>11872</t>
        </is>
      </c>
      <c r="B11913" s="4" t="s">
        <f>=HYPERLINK("http://anyluxury.ru/shop/odezhda/tolstovki/tolstovka-na-molnii-s-kapyushonom-siverga-zelenaya-689592/" , "6895.92 Толстовка на молнии с капюшоном Siverga, зеленая, размер S")</f>
      </c>
      <c r="C11913" s="4" t="n">
        <v>1768.00</v>
      </c>
      <c r="D11913" s="4"/>
    </row>
    <row collapsed="" customFormat="false" customHeight="1" hidden="" ht="14" outlineLevel="0" r="11914">
      <c r="A11914" s="3" t="inlineStr">
        <is>
          <t>11873</t>
        </is>
      </c>
      <c r="B11914" s="4" t="s">
        <f>=HYPERLINK("http://anyluxury.ru/shop/odezhda/tolstovki/tolstovka-na-molnii-s-kapyushonom-siverga-zelenaya-689592/" , "6895.92 Толстовка на молнии с капюшоном Siverga, зеленая, размер M")</f>
      </c>
      <c r="C11914" s="4" t="n">
        <v>1768.00</v>
      </c>
      <c r="D11914" s="4"/>
    </row>
    <row collapsed="" customFormat="false" customHeight="1" hidden="" ht="14" outlineLevel="0" r="11915">
      <c r="A11915" s="3" t="inlineStr">
        <is>
          <t>11874</t>
        </is>
      </c>
      <c r="B11915" s="4" t="s">
        <f>=HYPERLINK("http://anyluxury.ru/shop/odezhda/tolstovki/tolstovka-na-molnii-s-kapyushonom-siverga-zelenaya-689592/" , "6895.92 Толстовка на молнии с капюшоном Siverga, зеленая, размер L")</f>
      </c>
      <c r="C11915" s="4" t="n">
        <v>1768.00</v>
      </c>
      <c r="D11915" s="4"/>
    </row>
    <row collapsed="" customFormat="false" customHeight="1" hidden="" ht="14" outlineLevel="0" r="11916">
      <c r="A11916" s="3" t="inlineStr">
        <is>
          <t>11875</t>
        </is>
      </c>
      <c r="B11916" s="4" t="s">
        <f>=HYPERLINK("http://anyluxury.ru/shop/odezhda/tolstovki/tolstovka-na-molnii-s-kapyushonom-siverga-zelenaya-689592/" , "6895.92 Толстовка на молнии с капюшоном Siverga, зеленая, размер XL")</f>
      </c>
      <c r="C11916" s="4" t="n">
        <v>1768.00</v>
      </c>
      <c r="D11916" s="4"/>
    </row>
    <row collapsed="" customFormat="false" customHeight="1" hidden="" ht="14" outlineLevel="0" r="11917">
      <c r="A11917" s="3" t="inlineStr">
        <is>
          <t>11876</t>
        </is>
      </c>
      <c r="B11917" s="4" t="s">
        <f>=HYPERLINK("http://anyluxury.ru/shop/odezhda/tolstovki/tolstovka-na-molnii-s-kapyushonom-siverga-zelenaya-689592/" , "6895.92 Толстовка на молнии с капюшоном Siverga, зеленая, размер XXL")</f>
      </c>
      <c r="C11917" s="4" t="n">
        <v>1768.00</v>
      </c>
      <c r="D11917" s="4"/>
    </row>
    <row collapsed="" customFormat="false" customHeight="1" hidden="" ht="14" outlineLevel="0" r="11918">
      <c r="A11918" s="3" t="inlineStr">
        <is>
          <t>11877</t>
        </is>
      </c>
      <c r="B11918" s="4" t="s">
        <f>=HYPERLINK("http://anyluxury.ru/shop/odezhda/tolstovki/tolstovka-na-molnii-s-kapyushonom-siverga-zelenaya-689592/" , "6895.92 Толстовка на молнии с капюшоном Siverga, зеленая, размер 3XL")</f>
      </c>
      <c r="C11918" s="4" t="n">
        <v>1768.00</v>
      </c>
      <c r="D11918" s="4"/>
    </row>
    <row collapsed="" customFormat="false" customHeight="1" hidden="" ht="14" outlineLevel="0" r="11919">
      <c r="A11919" s="3" t="inlineStr">
        <is>
          <t>11878</t>
        </is>
      </c>
      <c r="B11919" s="4" t="s">
        <f>=HYPERLINK("http://anyluxury.ru/shop/odezhda/tolstovki/tolstovka-na-molnii-s-kapyushonom-siverga-zelenaya-689592/" , "6895.92 Толстовка на молнии с капюшоном Siverga, зеленая, размер 4XL")</f>
      </c>
      <c r="C11919" s="4" t="n">
        <v>1768.00</v>
      </c>
      <c r="D11919" s="4"/>
    </row>
    <row collapsed="" customFormat="false" customHeight="1" hidden="" ht="14" outlineLevel="0" r="11920">
      <c r="A11920" s="3" t="inlineStr">
        <is>
          <t>11879</t>
        </is>
      </c>
      <c r="B11920" s="4" t="s">
        <f>=HYPERLINK("http://anyluxury.ru/shop/odezhda/tolstovki/bomber-graduate-temnosiniy-1515740/" , "15157.40 Бомбер Graduate, темно-синий, размер L")</f>
      </c>
      <c r="C11920" s="4" t="n">
        <v>3570.00</v>
      </c>
      <c r="D11920" s="4"/>
    </row>
    <row collapsed="" customFormat="false" customHeight="1" hidden="" ht="14" outlineLevel="0" r="11921">
      <c r="A11921" s="3" t="inlineStr">
        <is>
          <t>11880</t>
        </is>
      </c>
      <c r="B11921" s="4" t="s">
        <f>=HYPERLINK("http://anyluxury.ru/shop/odezhda/tolstovki/bomber-graduate-temnosiniy-1515740/" , "15157.40 Бомбер Graduate, темно-синий, размер XXL")</f>
      </c>
      <c r="C11921" s="4" t="n">
        <v>3570.00</v>
      </c>
      <c r="D11921" s="4"/>
    </row>
    <row collapsed="" customFormat="false" customHeight="1" hidden="" ht="14" outlineLevel="0" r="11922">
      <c r="A11922" s="3" t="inlineStr">
        <is>
          <t>11881</t>
        </is>
      </c>
      <c r="B11922" s="4" t="s">
        <f>=HYPERLINK("http://anyluxury.ru/shop/odezhda/tolstovki/bomber-graduate-beliy-1515760/" , "15157.60 Бомбер Graduate, белый, размер S")</f>
      </c>
      <c r="C11922" s="4" t="n">
        <v>3570.00</v>
      </c>
      <c r="D11922" s="4"/>
    </row>
    <row collapsed="" customFormat="false" customHeight="1" hidden="" ht="14" outlineLevel="0" r="11923">
      <c r="A11923" s="3" t="inlineStr">
        <is>
          <t>11882</t>
        </is>
      </c>
      <c r="B11923" s="4" t="s">
        <f>=HYPERLINK("http://anyluxury.ru/shop/odezhda/tolstovki/bomber-graduate-beliy-1515760/" , "15157.60 Бомбер Graduate, белый, размер M")</f>
      </c>
      <c r="C11923" s="4" t="n">
        <v>3570.00</v>
      </c>
      <c r="D11923" s="4"/>
    </row>
    <row collapsed="" customFormat="false" customHeight="1" hidden="" ht="14" outlineLevel="0" r="11924">
      <c r="A11924" s="3" t="inlineStr">
        <is>
          <t>11883</t>
        </is>
      </c>
      <c r="B11924" s="4" t="s">
        <f>=HYPERLINK("http://anyluxury.ru/shop/odezhda/tolstovki/bomber-graduate-beliy-1515760/" , "15157.60 Бомбер Graduate, белый, размер L")</f>
      </c>
      <c r="C11924" s="4" t="n">
        <v>3570.00</v>
      </c>
      <c r="D11924" s="4"/>
    </row>
    <row collapsed="" customFormat="false" customHeight="1" hidden="" ht="14" outlineLevel="0" r="11925">
      <c r="A11925" s="3" t="inlineStr">
        <is>
          <t>11884</t>
        </is>
      </c>
      <c r="B11925" s="4" t="s">
        <f>=HYPERLINK("http://anyluxury.ru/shop/odezhda/tolstovki/bomber-graduate-beliy-1515760/" , "15157.60 Бомбер Graduate, белый, размер XL")</f>
      </c>
      <c r="C11925" s="4" t="n">
        <v>3570.00</v>
      </c>
      <c r="D11925" s="4"/>
    </row>
    <row collapsed="" customFormat="false" customHeight="1" hidden="" ht="14" outlineLevel="0" r="11926">
      <c r="A11926" s="3" t="inlineStr">
        <is>
          <t>11885</t>
        </is>
      </c>
      <c r="B11926" s="4" t="s">
        <f>=HYPERLINK("http://anyluxury.ru/shop/odezhda/tolstovki/bomber-graduate-beliy-1515760/" , "15157.60 Бомбер Graduate, белый, размер XXL")</f>
      </c>
      <c r="C11926" s="4" t="n">
        <v>3570.00</v>
      </c>
      <c r="D11926" s="4"/>
    </row>
    <row collapsed="" customFormat="false" customHeight="1" hidden="" ht="14" outlineLevel="0" r="11927">
      <c r="A11927" s="3" t="inlineStr">
        <is>
          <t>11886</t>
        </is>
      </c>
      <c r="B11927" s="4" t="s">
        <f>=HYPERLINK("http://anyluxury.ru/shop/odezhda/tolstovki/tolstovka-na-molnii-s-kapyushonom-siverga-temnozelenaya-689590/" , "6895.90 Толстовка на молнии с капюшоном Siverga, темно-зеленая, размер XS")</f>
      </c>
      <c r="C11927" s="4" t="n">
        <v>1768.00</v>
      </c>
      <c r="D11927" s="4"/>
    </row>
    <row collapsed="" customFormat="false" customHeight="1" hidden="" ht="14" outlineLevel="0" r="11928">
      <c r="A11928" s="3" t="inlineStr">
        <is>
          <t>11887</t>
        </is>
      </c>
      <c r="B11928" s="4" t="s">
        <f>=HYPERLINK("http://anyluxury.ru/shop/odezhda/tolstovki/tolstovka-na-molnii-s-kapyushonom-siverga-temnozelenaya-689590/" , "6895.90 Толстовка на молнии с капюшоном Siverga, темно-зеленая, размер S")</f>
      </c>
      <c r="C11928" s="4" t="n">
        <v>1768.00</v>
      </c>
      <c r="D11928" s="4"/>
    </row>
    <row collapsed="" customFormat="false" customHeight="1" hidden="" ht="14" outlineLevel="0" r="11929">
      <c r="A11929" s="3" t="inlineStr">
        <is>
          <t>11888</t>
        </is>
      </c>
      <c r="B11929" s="4" t="s">
        <f>=HYPERLINK("http://anyluxury.ru/shop/odezhda/tolstovki/tolstovka-na-molnii-s-kapyushonom-siverga-temnozelenaya-689590/" , "6895.90 Толстовка на молнии с капюшоном Siverga, темно-зеленая, размер M")</f>
      </c>
      <c r="C11929" s="4" t="n">
        <v>1768.00</v>
      </c>
      <c r="D11929" s="4"/>
    </row>
    <row collapsed="" customFormat="false" customHeight="1" hidden="" ht="14" outlineLevel="0" r="11930">
      <c r="A11930" s="3" t="inlineStr">
        <is>
          <t>11889</t>
        </is>
      </c>
      <c r="B11930" s="4" t="s">
        <f>=HYPERLINK("http://anyluxury.ru/shop/odezhda/tolstovki/tolstovka-na-molnii-s-kapyushonom-siverga-temnozelenaya-689590/" , "6895.90 Толстовка на молнии с капюшоном Siverga, темно-зеленая, размер L")</f>
      </c>
      <c r="C11930" s="4" t="n">
        <v>1768.00</v>
      </c>
      <c r="D11930" s="4"/>
    </row>
    <row collapsed="" customFormat="false" customHeight="1" hidden="" ht="14" outlineLevel="0" r="11931">
      <c r="A11931" s="3" t="inlineStr">
        <is>
          <t>11890</t>
        </is>
      </c>
      <c r="B11931" s="4" t="s">
        <f>=HYPERLINK("http://anyluxury.ru/shop/odezhda/tolstovki/tolstovka-na-molnii-s-kapyushonom-siverga-temnozelenaya-689590/" , "6895.90 Толстовка на молнии с капюшоном Siverga, темно-зеленая, размер XL")</f>
      </c>
      <c r="C11931" s="4" t="n">
        <v>1768.00</v>
      </c>
      <c r="D11931" s="4"/>
    </row>
    <row collapsed="" customFormat="false" customHeight="1" hidden="" ht="14" outlineLevel="0" r="11932">
      <c r="A11932" s="3" t="inlineStr">
        <is>
          <t>11891</t>
        </is>
      </c>
      <c r="B11932" s="4" t="s">
        <f>=HYPERLINK("http://anyluxury.ru/shop/odezhda/tolstovki/tolstovka-na-molnii-s-kapyushonom-siverga-temnozelenaya-689590/" , "6895.90 Толстовка на молнии с капюшоном Siverga, темно-зеленая, размер XXL")</f>
      </c>
      <c r="C11932" s="4" t="n">
        <v>1768.00</v>
      </c>
      <c r="D11932" s="4"/>
    </row>
    <row collapsed="" customFormat="false" customHeight="1" hidden="" ht="14" outlineLevel="0" r="11933">
      <c r="A11933" s="3" t="inlineStr">
        <is>
          <t>11892</t>
        </is>
      </c>
      <c r="B11933" s="4" t="s">
        <f>=HYPERLINK("http://anyluxury.ru/shop/odezhda/tolstovki/tolstovka-na-molnii-s-kapyushonom-siverga-temnozelenaya-689590/" , "6895.90 Толстовка на молнии с капюшоном Siverga, темно-зеленая, размер 3XL")</f>
      </c>
      <c r="C11933" s="4" t="n">
        <v>1768.00</v>
      </c>
      <c r="D11933" s="4"/>
    </row>
    <row collapsed="" customFormat="false" customHeight="1" hidden="" ht="14" outlineLevel="0" r="11934">
      <c r="A11934" s="3" t="inlineStr">
        <is>
          <t>11893</t>
        </is>
      </c>
      <c r="B11934" s="4" t="s">
        <f>=HYPERLINK("http://anyluxury.ru/shop/odezhda/tolstovki/tolstovka-na-molnii-s-kapyushonom-siverga-temnozelenaya-689590/" , "6895.90 Толстовка на молнии с капюшоном Siverga, темно-зеленая, размер 4XL")</f>
      </c>
      <c r="C11934" s="4" t="n">
        <v>1768.00</v>
      </c>
      <c r="D11934" s="4"/>
    </row>
    <row collapsed="" customFormat="false" customHeight="1" hidden="" ht="14" outlineLevel="0" r="11935">
      <c r="A11935" s="3" t="inlineStr">
        <is>
          <t>11894</t>
        </is>
      </c>
      <c r="B11935" s="4" t="s">
        <f>=HYPERLINK("http://anyluxury.ru/shop/odezhda/tolstovki/tolstovka-na-molnii-s-kapyushonom-siverga-heavy-krasnaya-alaya-692751/" , "6927.51 Толстовка на молнии с капюшоном Siverga Heavy, красная (алая), размер XS")</f>
      </c>
      <c r="C11935" s="4" t="n">
        <v>2250.00</v>
      </c>
      <c r="D11935" s="4"/>
    </row>
    <row collapsed="" customFormat="false" customHeight="1" hidden="" ht="14" outlineLevel="0" r="11936">
      <c r="A11936" s="3" t="inlineStr">
        <is>
          <t>11895</t>
        </is>
      </c>
      <c r="B11936" s="4" t="s">
        <f>=HYPERLINK("http://anyluxury.ru/shop/odezhda/tolstovki/tolstovka-na-molnii-s-kapyushonom-siverga-heavy-krasnaya-alaya-692751/" , "6927.51 Толстовка на молнии с капюшоном Siverga Heavy, красная (алая), размер S")</f>
      </c>
      <c r="C11936" s="4" t="n">
        <v>2250.00</v>
      </c>
      <c r="D11936" s="4"/>
    </row>
    <row collapsed="" customFormat="false" customHeight="1" hidden="" ht="14" outlineLevel="0" r="11937">
      <c r="A11937" s="3" t="inlineStr">
        <is>
          <t>11896</t>
        </is>
      </c>
      <c r="B11937" s="4" t="s">
        <f>=HYPERLINK("http://anyluxury.ru/shop/odezhda/tolstovki/tolstovka-na-molnii-s-kapyushonom-siverga-heavy-krasnaya-alaya-692751/" , "6927.51 Толстовка на молнии с капюшоном Siverga Heavy, красная (алая), размер M")</f>
      </c>
      <c r="C11937" s="4" t="n">
        <v>2250.00</v>
      </c>
      <c r="D11937" s="4"/>
    </row>
    <row collapsed="" customFormat="false" customHeight="1" hidden="" ht="14" outlineLevel="0" r="11938">
      <c r="A11938" s="3" t="inlineStr">
        <is>
          <t>11897</t>
        </is>
      </c>
      <c r="B11938" s="4" t="s">
        <f>=HYPERLINK("http://anyluxury.ru/shop/odezhda/tolstovki/tolstovka-na-molnii-s-kapyushonom-siverga-heavy-krasnaya-alaya-692751/" , "6927.51 Толстовка на молнии с капюшоном Siverga Heavy, красная (алая), размер L")</f>
      </c>
      <c r="C11938" s="4" t="n">
        <v>2250.00</v>
      </c>
      <c r="D11938" s="4"/>
    </row>
    <row collapsed="" customFormat="false" customHeight="1" hidden="" ht="14" outlineLevel="0" r="11939">
      <c r="A11939" s="3" t="inlineStr">
        <is>
          <t>11898</t>
        </is>
      </c>
      <c r="B11939" s="4" t="s">
        <f>=HYPERLINK("http://anyluxury.ru/shop/odezhda/tolstovki/tolstovka-na-molnii-s-kapyushonom-siverga-heavy-krasnaya-alaya-692751/" , "6927.51 Толстовка на молнии с капюшоном Siverga Heavy, красная (алая), размер 4XL")</f>
      </c>
      <c r="C11939" s="4" t="n">
        <v>2250.00</v>
      </c>
      <c r="D11939" s="4"/>
    </row>
    <row collapsed="" customFormat="false" customHeight="1" hidden="" ht="14" outlineLevel="0" r="11940">
      <c r="A11940" s="3" t="inlineStr">
        <is>
          <t>11899</t>
        </is>
      </c>
      <c r="B11940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S")</f>
      </c>
      <c r="C11940" s="4" t="n">
        <v>4227.00</v>
      </c>
      <c r="D11940" s="4"/>
    </row>
    <row collapsed="" customFormat="false" customHeight="1" hidden="" ht="14" outlineLevel="0" r="11941">
      <c r="A11941" s="3" t="inlineStr">
        <is>
          <t>11900</t>
        </is>
      </c>
      <c r="B11941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L")</f>
      </c>
      <c r="C11941" s="4" t="n">
        <v>4227.00</v>
      </c>
      <c r="D11941" s="4"/>
    </row>
    <row collapsed="" customFormat="false" customHeight="1" hidden="" ht="14" outlineLevel="0" r="11942">
      <c r="A11942" s="3" t="inlineStr">
        <is>
          <t>11901</t>
        </is>
      </c>
      <c r="B11942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XL")</f>
      </c>
      <c r="C11942" s="4" t="n">
        <v>4227.00</v>
      </c>
      <c r="D11942" s="4"/>
    </row>
    <row collapsed="" customFormat="false" customHeight="1" hidden="" ht="14" outlineLevel="0" r="11943">
      <c r="A11943" s="3" t="inlineStr">
        <is>
          <t>11902</t>
        </is>
      </c>
      <c r="B11943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XXL")</f>
      </c>
      <c r="C11943" s="4" t="n">
        <v>4227.00</v>
      </c>
      <c r="D11943" s="4"/>
    </row>
    <row collapsed="" customFormat="false" customHeight="1" hidden="" ht="14" outlineLevel="0" r="11944">
      <c r="A11944" s="3" t="inlineStr">
        <is>
          <t>11903</t>
        </is>
      </c>
      <c r="B11944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3XL")</f>
      </c>
      <c r="C11944" s="4" t="n">
        <v>4589.00</v>
      </c>
      <c r="D11944" s="4"/>
    </row>
    <row collapsed="" customFormat="false" customHeight="1" hidden="" ht="14" outlineLevel="0" r="11945">
      <c r="A11945" s="3" t="inlineStr">
        <is>
          <t>11904</t>
        </is>
      </c>
      <c r="B11945" s="4" t="s">
        <f>=HYPERLINK("http://anyluxury.ru/shop/odezhda/tolstovki/tolstovka-uniseks-h3-chernaya-1543230/" , "15432.30 Толстовка унисекс H3, черная, размер XS/S")</f>
      </c>
      <c r="C11945" s="4" t="n">
        <v>3850.00</v>
      </c>
      <c r="D11945" s="4"/>
    </row>
    <row collapsed="" customFormat="false" customHeight="1" hidden="" ht="14" outlineLevel="0" r="11946">
      <c r="A11946" s="3" t="inlineStr">
        <is>
          <t>11905</t>
        </is>
      </c>
      <c r="B11946" s="4" t="s">
        <f>=HYPERLINK("http://anyluxury.ru/shop/odezhda/tolstovki/tolstovka-uniseks-h3-chernaya-1543230/" , "15432.30 Толстовка унисекс H3, черная, размер M/L")</f>
      </c>
      <c r="C11946" s="4" t="n">
        <v>3850.00</v>
      </c>
      <c r="D11946" s="4"/>
    </row>
    <row collapsed="" customFormat="false" customHeight="1" hidden="" ht="14" outlineLevel="0" r="11947">
      <c r="A11947" s="3" t="inlineStr">
        <is>
          <t>11906</t>
        </is>
      </c>
      <c r="B11947" s="4" t="s">
        <f>=HYPERLINK("http://anyluxury.ru/shop/odezhda/tolstovki/tolstovka-uniseks-h3-chernaya-1543230/" , "15432.30 Толстовка унисекс H3, черная, размер XL/XXL")</f>
      </c>
      <c r="C11947" s="4" t="n">
        <v>3850.00</v>
      </c>
      <c r="D11947" s="4"/>
    </row>
    <row collapsed="" customFormat="false" customHeight="1" hidden="" ht="14" outlineLevel="0" r="11948">
      <c r="A11948" s="3" t="inlineStr">
        <is>
          <t>11907</t>
        </is>
      </c>
      <c r="B11948" s="4" t="s">
        <f>=HYPERLINK("http://anyluxury.ru/shop/odezhda/tolstovki/tolstovka-uniseks-h3-molochnobelaya-1543260/" , "15432.60 Толстовка унисекс H3, молочно-белая, размер XS/S")</f>
      </c>
      <c r="C11948" s="4" t="n">
        <v>3850.00</v>
      </c>
      <c r="D11948" s="4"/>
    </row>
    <row collapsed="" customFormat="false" customHeight="1" hidden="" ht="14" outlineLevel="0" r="11949">
      <c r="A11949" s="3" t="inlineStr">
        <is>
          <t>11908</t>
        </is>
      </c>
      <c r="B11949" s="4" t="s">
        <f>=HYPERLINK("http://anyluxury.ru/shop/odezhda/tolstovki/tolstovka-uniseks-h3-molochnobelaya-1543260/" , "15432.60 Толстовка унисекс H3, молочно-белая, размер M/L")</f>
      </c>
      <c r="C11949" s="4" t="n">
        <v>3850.00</v>
      </c>
      <c r="D11949" s="4"/>
    </row>
    <row collapsed="" customFormat="false" customHeight="1" hidden="" ht="14" outlineLevel="0" r="11950">
      <c r="A11950" s="3" t="inlineStr">
        <is>
          <t>11909</t>
        </is>
      </c>
      <c r="B11950" s="4" t="s">
        <f>=HYPERLINK("http://anyluxury.ru/shop/odezhda/tolstovki/tolstovka-uniseks-h3-molochnobelaya-1543260/" , "15432.60 Толстовка унисекс H3, молочно-белая, размер XL/XXL")</f>
      </c>
      <c r="C11950" s="4" t="n">
        <v>3850.00</v>
      </c>
      <c r="D11950" s="4"/>
    </row>
    <row collapsed="" customFormat="false" customHeight="1" hidden="" ht="14" outlineLevel="0" r="11951">
      <c r="A11951" s="3" t="inlineStr">
        <is>
          <t>11910</t>
        </is>
      </c>
      <c r="B11951" s="4" t="s">
        <f>=HYPERLINK("http://anyluxury.ru/shop/odezhda/tolstovki/tolstovka-uniseks-h3-seraya-1543210/" , "15432.10 Толстовка унисекс H3, серая, размер XS/S")</f>
      </c>
      <c r="C11951" s="4" t="n">
        <v>3850.00</v>
      </c>
      <c r="D11951" s="4"/>
    </row>
    <row collapsed="" customFormat="false" customHeight="1" hidden="" ht="14" outlineLevel="0" r="11952">
      <c r="A11952" s="3" t="inlineStr">
        <is>
          <t>11911</t>
        </is>
      </c>
      <c r="B11952" s="4" t="s">
        <f>=HYPERLINK("http://anyluxury.ru/shop/odezhda/tolstovki/tolstovka-uniseks-h3-seraya-1543210/" , "15432.10 Толстовка унисекс H3, серая, размер M/L")</f>
      </c>
      <c r="C11952" s="4" t="n">
        <v>3850.00</v>
      </c>
      <c r="D11952" s="4"/>
    </row>
    <row collapsed="" customFormat="false" customHeight="1" hidden="" ht="14" outlineLevel="0" r="11953">
      <c r="A11953" s="3" t="inlineStr">
        <is>
          <t>11912</t>
        </is>
      </c>
      <c r="B11953" s="4" t="s">
        <f>=HYPERLINK("http://anyluxury.ru/shop/odezhda/tolstovki/tolstovka-uniseks-h3-sinyaya-1543240/" , "15432.40 Толстовка унисекс H3, синяя, размер XS/S")</f>
      </c>
      <c r="C11953" s="4" t="n">
        <v>3850.00</v>
      </c>
      <c r="D11953" s="4"/>
    </row>
    <row collapsed="" customFormat="false" customHeight="1" hidden="" ht="14" outlineLevel="0" r="11954">
      <c r="A11954" s="3" t="inlineStr">
        <is>
          <t>11913</t>
        </is>
      </c>
      <c r="B11954" s="4" t="s">
        <f>=HYPERLINK("http://anyluxury.ru/shop/odezhda/tolstovki/tolstovka-uniseks-h3-sinyaya-1543240/" , "15432.40 Толстовка унисекс H3, синяя, размер M/L")</f>
      </c>
      <c r="C11954" s="4" t="n">
        <v>3850.00</v>
      </c>
      <c r="D11954" s="4"/>
    </row>
    <row collapsed="" customFormat="false" customHeight="1" hidden="" ht="14" outlineLevel="0" r="11955">
      <c r="A11955" s="3" t="inlineStr">
        <is>
          <t>11914</t>
        </is>
      </c>
      <c r="B11955" s="4" t="s">
        <f>=HYPERLINK("http://anyluxury.ru/shop/odezhda/tolstovki/tolstovka-uniseks-h3-sinyaya-1543240/" , "15432.40 Толстовка унисекс H3, синяя, размер XL/XXL")</f>
      </c>
      <c r="C11955" s="4" t="n">
        <v>3850.00</v>
      </c>
      <c r="D11955" s="4"/>
    </row>
    <row collapsed="" customFormat="false" customHeight="1" hidden="" ht="14" outlineLevel="0" r="11956">
      <c r="A11956" s="3" t="inlineStr">
        <is>
          <t>11915</t>
        </is>
      </c>
      <c r="B11956" s="4" t="s">
        <f>=HYPERLINK("http://anyluxury.ru/shop/odezhda/tolstovki/bomber-graduate-temnosiniy-kobalt-1515741/" , "15157.41 Бомбер Graduate, темно-синий (кобальт), размер S")</f>
      </c>
      <c r="C11956" s="4" t="n">
        <v>3570.00</v>
      </c>
      <c r="D11956" s="4"/>
    </row>
    <row collapsed="" customFormat="false" customHeight="1" hidden="" ht="14" outlineLevel="0" r="11957">
      <c r="A11957" s="3" t="inlineStr">
        <is>
          <t>11916</t>
        </is>
      </c>
      <c r="B11957" s="4" t="s">
        <f>=HYPERLINK("http://anyluxury.ru/shop/odezhda/tolstovki/bomber-graduate-temnosiniy-kobalt-1515741/" , "15157.41 Бомбер Graduate, темно-синий (кобальт), размер M")</f>
      </c>
      <c r="C11957" s="4" t="n">
        <v>3570.00</v>
      </c>
      <c r="D11957" s="4"/>
    </row>
    <row collapsed="" customFormat="false" customHeight="1" hidden="" ht="14" outlineLevel="0" r="11958">
      <c r="A11958" s="3" t="inlineStr">
        <is>
          <t>11917</t>
        </is>
      </c>
      <c r="B11958" s="4" t="s">
        <f>=HYPERLINK("http://anyluxury.ru/shop/odezhda/tolstovki/bomber-graduate-temnosiniy-kobalt-1515741/" , "15157.41 Бомбер Graduate, темно-синий (кобальт), размер L")</f>
      </c>
      <c r="C11958" s="4" t="n">
        <v>3570.00</v>
      </c>
      <c r="D11958" s="4"/>
    </row>
    <row collapsed="" customFormat="false" customHeight="1" hidden="" ht="14" outlineLevel="0" r="11959">
      <c r="A11959" s="3" t="inlineStr">
        <is>
          <t>11918</t>
        </is>
      </c>
      <c r="B11959" s="4" t="s">
        <f>=HYPERLINK("http://anyluxury.ru/shop/odezhda/tolstovki/bomber-graduate-temnosiniy-kobalt-1515741/" , "15157.41 Бомбер Graduate, темно-синий (кобальт), размер XL")</f>
      </c>
      <c r="C11959" s="4" t="n">
        <v>3570.00</v>
      </c>
      <c r="D11959" s="4"/>
    </row>
    <row collapsed="" customFormat="false" customHeight="1" hidden="" ht="14" outlineLevel="0" r="11960">
      <c r="A11960" s="3" t="inlineStr">
        <is>
          <t>11919</t>
        </is>
      </c>
      <c r="B11960" s="4" t="s">
        <f>=HYPERLINK("http://anyluxury.ru/shop/odezhda/tolstovki/bomber-graduate-temnosiniy-kobalt-1515741/" , "15157.41 Бомбер Graduate, темно-синий (кобальт), размер XXL")</f>
      </c>
      <c r="C11960" s="4" t="n">
        <v>3570.00</v>
      </c>
      <c r="D11960" s="4"/>
    </row>
    <row collapsed="" customFormat="false" customHeight="1" hidden="" ht="14" outlineLevel="0" r="11961">
      <c r="A11961" s="3" t="inlineStr">
        <is>
          <t>11920</t>
        </is>
      </c>
      <c r="B11961" s="4" t="s">
        <f>=HYPERLINK("http://anyluxury.ru/shop/odezhda/tolstovki/tolstovka-na-molnii-s-kapyushonom-siverga-20-chernaya-1621330/" , "16213.30 Толстовка на молнии с капюшоном Siverga 2.0, черная, размер XS")</f>
      </c>
      <c r="C11961" s="4" t="n">
        <v>2059.00</v>
      </c>
      <c r="D11961" s="4"/>
    </row>
    <row collapsed="" customFormat="false" customHeight="1" hidden="" ht="14" outlineLevel="0" r="11962">
      <c r="A11962" s="3" t="inlineStr">
        <is>
          <t>11921</t>
        </is>
      </c>
      <c r="B11962" s="4" t="s">
        <f>=HYPERLINK("http://anyluxury.ru/shop/odezhda/tolstovki/tolstovka-na-molnii-s-kapyushonom-siverga-20-chernaya-1621330/" , "16213.30 Толстовка на молнии с капюшоном Siverga 2.0, черная, размер S")</f>
      </c>
      <c r="C11962" s="4" t="n">
        <v>2059.00</v>
      </c>
      <c r="D11962" s="4"/>
    </row>
    <row collapsed="" customFormat="false" customHeight="1" hidden="" ht="14" outlineLevel="0" r="11963">
      <c r="A11963" s="3" t="inlineStr">
        <is>
          <t>11922</t>
        </is>
      </c>
      <c r="B11963" s="4" t="s">
        <f>=HYPERLINK("http://anyluxury.ru/shop/odezhda/tolstovki/tolstovka-na-molnii-s-kapyushonom-siverga-20-chernaya-1621330/" , "16213.30 Толстовка на молнии с капюшоном Siverga 2.0, черная, размер M")</f>
      </c>
      <c r="C11963" s="4" t="n">
        <v>2059.00</v>
      </c>
      <c r="D11963" s="4"/>
    </row>
    <row collapsed="" customFormat="false" customHeight="1" hidden="" ht="14" outlineLevel="0" r="11964">
      <c r="A11964" s="3" t="inlineStr">
        <is>
          <t>11923</t>
        </is>
      </c>
      <c r="B11964" s="4" t="s">
        <f>=HYPERLINK("http://anyluxury.ru/shop/odezhda/tolstovki/tolstovka-na-molnii-s-kapyushonom-siverga-20-chernaya-1621330/" , "16213.30 Толстовка на молнии с капюшоном Siverga 2.0, черная, размер L")</f>
      </c>
      <c r="C11964" s="4" t="n">
        <v>2059.00</v>
      </c>
      <c r="D11964" s="4"/>
    </row>
    <row collapsed="" customFormat="false" customHeight="1" hidden="" ht="14" outlineLevel="0" r="11965">
      <c r="A11965" s="3" t="inlineStr">
        <is>
          <t>11924</t>
        </is>
      </c>
      <c r="B11965" s="4" t="s">
        <f>=HYPERLINK("http://anyluxury.ru/shop/odezhda/tolstovki/tolstovka-na-molnii-s-kapyushonom-siverga-20-chernaya-1621330/" , "16213.30 Толстовка на молнии с капюшоном Siverga 2.0, черная, размер XL")</f>
      </c>
      <c r="C11965" s="4" t="n">
        <v>2059.00</v>
      </c>
      <c r="D11965" s="4"/>
    </row>
    <row collapsed="" customFormat="false" customHeight="1" hidden="" ht="14" outlineLevel="0" r="11966">
      <c r="A11966" s="3" t="inlineStr">
        <is>
          <t>11925</t>
        </is>
      </c>
      <c r="B11966" s="4" t="s">
        <f>=HYPERLINK("http://anyluxury.ru/shop/odezhda/tolstovki/tolstovka-na-molnii-s-kapyushonom-siverga-20-chernaya-1621330/" , "16213.30 Толстовка на молнии с капюшоном Siverga 2.0, черная, размер XXL")</f>
      </c>
      <c r="C11966" s="4" t="n">
        <v>2059.00</v>
      </c>
      <c r="D11966" s="4"/>
    </row>
    <row collapsed="" customFormat="false" customHeight="1" hidden="" ht="14" outlineLevel="0" r="11967">
      <c r="A11967" s="3" t="inlineStr">
        <is>
          <t>11926</t>
        </is>
      </c>
      <c r="B11967" s="4" t="s">
        <f>=HYPERLINK("http://anyluxury.ru/shop/odezhda/tolstovki/tolstovka-na-molnii-s-kapyushonom-siverga-20-chernaya-1621330/" , "16213.30 Толстовка на молнии с капюшоном Siverga 2.0, черная, размер 3XL")</f>
      </c>
      <c r="C11967" s="4" t="n">
        <v>2059.00</v>
      </c>
      <c r="D11967" s="4"/>
    </row>
    <row collapsed="" customFormat="false" customHeight="1" hidden="" ht="14" outlineLevel="0" r="11968">
      <c r="A11968" s="3" t="inlineStr">
        <is>
          <t>11927</t>
        </is>
      </c>
      <c r="B11968" s="4" t="s">
        <f>=HYPERLINK("http://anyluxury.ru/shop/odezhda/tolstovki/tolstovka-na-molnii-s-kapyushonom-siverga-20-chernaya-1621330/" , "16213.30 Толстовка на молнии с капюшоном Siverga 2.0, черная, размер 4XL")</f>
      </c>
      <c r="C11968" s="4" t="n">
        <v>2059.00</v>
      </c>
      <c r="D11968" s="4"/>
    </row>
    <row collapsed="" customFormat="false" customHeight="1" hidden="" ht="14" outlineLevel="0" r="11969">
      <c r="A11969" s="3" t="inlineStr">
        <is>
          <t>11928</t>
        </is>
      </c>
      <c r="B11969" s="4" t="s">
        <f>=HYPERLINK("http://anyluxury.ru/shop/odezhda/tolstovki/tolstovka-na-molnii-s-kapyushonom-siverga-20-chernaya-1621330/" , "16213.30 Толстовка на молнии с капюшоном Siverga 2.0, черная, размер 5XL")</f>
      </c>
      <c r="C11969" s="4" t="n">
        <v>2059.00</v>
      </c>
      <c r="D11969" s="4"/>
    </row>
    <row collapsed="" customFormat="false" customHeight="1" hidden="" ht="14" outlineLevel="0" r="11970">
      <c r="A11970" s="3" t="inlineStr">
        <is>
          <t>11929</t>
        </is>
      </c>
      <c r="B11970" s="4" t="s">
        <f>=HYPERLINK("http://anyluxury.ru/shop/odezhda/tolstovki/tolstovka-na-molnii-s-kapyushonom-siverga-20-temnosinyaya-1621340/" , "16213.40 Толстовка на молнии с капюшоном Siverga 2.0, темно-синяя, размер XS")</f>
      </c>
      <c r="C11970" s="4" t="n">
        <v>2059.00</v>
      </c>
      <c r="D11970" s="4"/>
    </row>
    <row collapsed="" customFormat="false" customHeight="1" hidden="" ht="14" outlineLevel="0" r="11971">
      <c r="A11971" s="3" t="inlineStr">
        <is>
          <t>11930</t>
        </is>
      </c>
      <c r="B11971" s="4" t="s">
        <f>=HYPERLINK("http://anyluxury.ru/shop/odezhda/tolstovki/tolstovka-na-molnii-s-kapyushonom-siverga-20-temnosinyaya-1621340/" , "16213.40 Толстовка на молнии с капюшоном Siverga 2.0, темно-синяя, размер S")</f>
      </c>
      <c r="C11971" s="4" t="n">
        <v>2059.00</v>
      </c>
      <c r="D11971" s="4"/>
    </row>
    <row collapsed="" customFormat="false" customHeight="1" hidden="" ht="14" outlineLevel="0" r="11972">
      <c r="A11972" s="3" t="inlineStr">
        <is>
          <t>11931</t>
        </is>
      </c>
      <c r="B11972" s="4" t="s">
        <f>=HYPERLINK("http://anyluxury.ru/shop/odezhda/tolstovki/tolstovka-na-molnii-s-kapyushonom-siverga-20-temnosinyaya-1621340/" , "16213.40 Толстовка на молнии с капюшоном Siverga 2.0, темно-синяя, размер M")</f>
      </c>
      <c r="C11972" s="4" t="n">
        <v>2059.00</v>
      </c>
      <c r="D11972" s="4"/>
    </row>
    <row collapsed="" customFormat="false" customHeight="1" hidden="" ht="14" outlineLevel="0" r="11973">
      <c r="A11973" s="3" t="inlineStr">
        <is>
          <t>11932</t>
        </is>
      </c>
      <c r="B11973" s="4" t="s">
        <f>=HYPERLINK("http://anyluxury.ru/shop/odezhda/tolstovki/tolstovka-na-molnii-s-kapyushonom-siverga-20-temnosinyaya-1621340/" , "16213.40 Толстовка на молнии с капюшоном Siverga 2.0, темно-синяя, размер L")</f>
      </c>
      <c r="C11973" s="4" t="n">
        <v>2059.00</v>
      </c>
      <c r="D11973" s="4"/>
    </row>
    <row collapsed="" customFormat="false" customHeight="1" hidden="" ht="14" outlineLevel="0" r="11974">
      <c r="A11974" s="3" t="inlineStr">
        <is>
          <t>11933</t>
        </is>
      </c>
      <c r="B11974" s="4" t="s">
        <f>=HYPERLINK("http://anyluxury.ru/shop/odezhda/tolstovki/tolstovka-na-molnii-s-kapyushonom-siverga-20-temnosinyaya-1621340/" , "16213.40 Толстовка на молнии с капюшоном Siverga 2.0, темно-синяя, размер XL")</f>
      </c>
      <c r="C11974" s="4" t="n">
        <v>2059.00</v>
      </c>
      <c r="D11974" s="4"/>
    </row>
    <row collapsed="" customFormat="false" customHeight="1" hidden="" ht="14" outlineLevel="0" r="11975">
      <c r="A11975" s="3" t="inlineStr">
        <is>
          <t>11934</t>
        </is>
      </c>
      <c r="B11975" s="4" t="s">
        <f>=HYPERLINK("http://anyluxury.ru/shop/odezhda/tolstovki/tolstovka-na-molnii-s-kapyushonom-siverga-20-temnosinyaya-1621340/" , "16213.40 Толстовка на молнии с капюшоном Siverga 2.0, темно-синяя, размер XXL")</f>
      </c>
      <c r="C11975" s="4" t="n">
        <v>2059.00</v>
      </c>
      <c r="D11975" s="4"/>
    </row>
    <row collapsed="" customFormat="false" customHeight="1" hidden="" ht="14" outlineLevel="0" r="11976">
      <c r="A11976" s="3" t="inlineStr">
        <is>
          <t>11935</t>
        </is>
      </c>
      <c r="B11976" s="4" t="s">
        <f>=HYPERLINK("http://anyluxury.ru/shop/odezhda/tolstovki/tolstovka-na-molnii-s-kapyushonom-siverga-20-temnosinyaya-1621340/" , "16213.40 Толстовка на молнии с капюшоном Siverga 2.0, темно-синяя, размер 3XL")</f>
      </c>
      <c r="C11976" s="4" t="n">
        <v>2059.00</v>
      </c>
      <c r="D11976" s="4"/>
    </row>
    <row collapsed="" customFormat="false" customHeight="1" hidden="" ht="14" outlineLevel="0" r="11977">
      <c r="A11977" s="3" t="inlineStr">
        <is>
          <t>11936</t>
        </is>
      </c>
      <c r="B11977" s="4" t="s">
        <f>=HYPERLINK("http://anyluxury.ru/shop/odezhda/tolstovki/tolstovka-na-molnii-s-kapyushonom-siverga-20-temnosinyaya-1621340/" , "16213.40 Толстовка на молнии с капюшоном Siverga 2.0, темно-синяя, размер 4XL")</f>
      </c>
      <c r="C11977" s="4" t="n">
        <v>2059.00</v>
      </c>
      <c r="D11977" s="4"/>
    </row>
    <row collapsed="" customFormat="false" customHeight="1" hidden="" ht="14" outlineLevel="0" r="11978">
      <c r="A11978" s="3" t="inlineStr">
        <is>
          <t>11937</t>
        </is>
      </c>
      <c r="B11978" s="4" t="s">
        <f>=HYPERLINK("http://anyluxury.ru/shop/odezhda/tolstovki/tolstovka-na-molnii-s-kapyushonom-siverga-20-yarkosinyaya-1621344/" , "16213.44 Толстовка на молнии с капюшоном Siverga 2.0, ярко-синяя, размер XS")</f>
      </c>
      <c r="C11978" s="4" t="n">
        <v>2059.00</v>
      </c>
      <c r="D11978" s="4"/>
    </row>
    <row collapsed="" customFormat="false" customHeight="1" hidden="" ht="14" outlineLevel="0" r="11979">
      <c r="A11979" s="3" t="inlineStr">
        <is>
          <t>11938</t>
        </is>
      </c>
      <c r="B11979" s="4" t="s">
        <f>=HYPERLINK("http://anyluxury.ru/shop/odezhda/tolstovki/tolstovka-na-molnii-s-kapyushonom-siverga-20-yarkosinyaya-1621344/" , "16213.44 Толстовка на молнии с капюшоном Siverga 2.0, ярко-синяя, размер S")</f>
      </c>
      <c r="C11979" s="4" t="n">
        <v>2059.00</v>
      </c>
      <c r="D11979" s="4"/>
    </row>
    <row collapsed="" customFormat="false" customHeight="1" hidden="" ht="14" outlineLevel="0" r="11980">
      <c r="A11980" s="3" t="inlineStr">
        <is>
          <t>11939</t>
        </is>
      </c>
      <c r="B11980" s="4" t="s">
        <f>=HYPERLINK("http://anyluxury.ru/shop/odezhda/tolstovki/tolstovka-na-molnii-s-kapyushonom-siverga-20-yarkosinyaya-1621344/" , "16213.44 Толстовка на молнии с капюшоном Siverga 2.0, ярко-синяя, размер M")</f>
      </c>
      <c r="C11980" s="4" t="n">
        <v>2059.00</v>
      </c>
      <c r="D11980" s="4"/>
    </row>
    <row collapsed="" customFormat="false" customHeight="1" hidden="" ht="14" outlineLevel="0" r="11981">
      <c r="A11981" s="3" t="inlineStr">
        <is>
          <t>11940</t>
        </is>
      </c>
      <c r="B11981" s="4" t="s">
        <f>=HYPERLINK("http://anyluxury.ru/shop/odezhda/tolstovki/tolstovka-na-molnii-s-kapyushonom-siverga-20-yarkosinyaya-1621344/" , "16213.44 Толстовка на молнии с капюшоном Siverga 2.0, ярко-синяя, размер L")</f>
      </c>
      <c r="C11981" s="4" t="n">
        <v>2059.00</v>
      </c>
      <c r="D11981" s="4"/>
    </row>
    <row collapsed="" customFormat="false" customHeight="1" hidden="" ht="14" outlineLevel="0" r="11982">
      <c r="A11982" s="3" t="inlineStr">
        <is>
          <t>11941</t>
        </is>
      </c>
      <c r="B11982" s="4" t="s">
        <f>=HYPERLINK("http://anyluxury.ru/shop/odezhda/tolstovki/tolstovka-na-molnii-s-kapyushonom-siverga-20-yarkosinyaya-1621344/" , "16213.44 Толстовка на молнии с капюшоном Siverga 2.0, ярко-синяя, размер XL")</f>
      </c>
      <c r="C11982" s="4" t="n">
        <v>2059.00</v>
      </c>
      <c r="D11982" s="4"/>
    </row>
    <row collapsed="" customFormat="false" customHeight="1" hidden="" ht="14" outlineLevel="0" r="11983">
      <c r="A11983" s="3" t="inlineStr">
        <is>
          <t>11942</t>
        </is>
      </c>
      <c r="B11983" s="4" t="s">
        <f>=HYPERLINK("http://anyluxury.ru/shop/odezhda/tolstovki/tolstovka-na-molnii-s-kapyushonom-siverga-20-yarkosinyaya-1621344/" , "16213.44 Толстовка на молнии с капюшоном Siverga 2.0, ярко-синяя, размер XXL")</f>
      </c>
      <c r="C11983" s="4" t="n">
        <v>2059.00</v>
      </c>
      <c r="D11983" s="4"/>
    </row>
    <row collapsed="" customFormat="false" customHeight="1" hidden="" ht="14" outlineLevel="0" r="11984">
      <c r="A11984" s="3" t="inlineStr">
        <is>
          <t>11943</t>
        </is>
      </c>
      <c r="B11984" s="4" t="s">
        <f>=HYPERLINK("http://anyluxury.ru/shop/odezhda/tolstovki/tolstovka-na-molnii-s-kapyushonom-siverga-20-yarkosinyaya-1621344/" , "16213.44 Толстовка на молнии с капюшоном Siverga 2.0, ярко-синяя, размер 3XL")</f>
      </c>
      <c r="C11984" s="4" t="n">
        <v>2059.00</v>
      </c>
      <c r="D11984" s="4"/>
    </row>
    <row collapsed="" customFormat="false" customHeight="1" hidden="" ht="14" outlineLevel="0" r="11985">
      <c r="A11985" s="3" t="inlineStr">
        <is>
          <t>11944</t>
        </is>
      </c>
      <c r="B11985" s="4" t="s">
        <f>=HYPERLINK("http://anyluxury.ru/shop/odezhda/tolstovki/tolstovka-na-molnii-s-kapyushonom-siverga-20-yarkosinyaya-1621344/" , "16213.44 Толстовка на молнии с капюшоном Siverga 2.0, ярко-синяя, размер 4XL")</f>
      </c>
      <c r="C11985" s="4" t="n">
        <v>2059.00</v>
      </c>
      <c r="D11985" s="4"/>
    </row>
    <row collapsed="" customFormat="false" customHeight="1" hidden="" ht="14" outlineLevel="0" r="11986">
      <c r="A11986" s="3" t="inlineStr">
        <is>
          <t>11945</t>
        </is>
      </c>
      <c r="B11986" s="4" t="s">
        <f>=HYPERLINK("http://anyluxury.ru/shop/odezhda/tolstovki/tolstovka-na-molnii-s-kapyushonom-siverga-20-yarkosinyaya-1621344/" , "16213.44 Толстовка на молнии с капюшоном Siverga 2.0, ярко-синяя, размер 5XL")</f>
      </c>
      <c r="C11986" s="4" t="n">
        <v>2059.00</v>
      </c>
      <c r="D11986" s="4"/>
    </row>
    <row collapsed="" customFormat="false" customHeight="1" hidden="" ht="14" outlineLevel="0" r="11987">
      <c r="A11987" s="3" t="inlineStr">
        <is>
          <t>11946</t>
        </is>
      </c>
      <c r="B11987" s="4" t="s">
        <f>=HYPERLINK("http://anyluxury.ru/shop/odezhda/tolstovki/tolstovka-na-molnii-s-kapyushonom-siverga-20-krasnaya-1621350/" , "16213.50 Толстовка на молнии с капюшоном Siverga 2.0, красная, размер XS")</f>
      </c>
      <c r="C11987" s="4" t="n">
        <v>2059.00</v>
      </c>
      <c r="D11987" s="4"/>
    </row>
    <row collapsed="" customFormat="false" customHeight="1" hidden="" ht="14" outlineLevel="0" r="11988">
      <c r="A11988" s="3" t="inlineStr">
        <is>
          <t>11947</t>
        </is>
      </c>
      <c r="B11988" s="4" t="s">
        <f>=HYPERLINK("http://anyluxury.ru/shop/odezhda/tolstovki/tolstovka-na-molnii-s-kapyushonom-siverga-20-krasnaya-1621350/" , "16213.50 Толстовка на молнии с капюшоном Siverga 2.0, красная, размер S")</f>
      </c>
      <c r="C11988" s="4" t="n">
        <v>2059.00</v>
      </c>
      <c r="D11988" s="4"/>
    </row>
    <row collapsed="" customFormat="false" customHeight="1" hidden="" ht="14" outlineLevel="0" r="11989">
      <c r="A11989" s="3" t="inlineStr">
        <is>
          <t>11948</t>
        </is>
      </c>
      <c r="B11989" s="4" t="s">
        <f>=HYPERLINK("http://anyluxury.ru/shop/odezhda/tolstovki/tolstovka-na-molnii-s-kapyushonom-siverga-20-krasnaya-1621350/" , "16213.50 Толстовка на молнии с капюшоном Siverga 2.0, красная, размер M")</f>
      </c>
      <c r="C11989" s="4" t="n">
        <v>2059.00</v>
      </c>
      <c r="D11989" s="4"/>
    </row>
    <row collapsed="" customFormat="false" customHeight="1" hidden="" ht="14" outlineLevel="0" r="11990">
      <c r="A11990" s="3" t="inlineStr">
        <is>
          <t>11949</t>
        </is>
      </c>
      <c r="B11990" s="4" t="s">
        <f>=HYPERLINK("http://anyluxury.ru/shop/odezhda/tolstovki/tolstovka-na-molnii-s-kapyushonom-siverga-20-krasnaya-1621350/" , "16213.50 Толстовка на молнии с капюшоном Siverga 2.0, красная, размер L")</f>
      </c>
      <c r="C11990" s="4" t="n">
        <v>2059.00</v>
      </c>
      <c r="D11990" s="4"/>
    </row>
    <row collapsed="" customFormat="false" customHeight="1" hidden="" ht="14" outlineLevel="0" r="11991">
      <c r="A11991" s="3" t="inlineStr">
        <is>
          <t>11950</t>
        </is>
      </c>
      <c r="B11991" s="4" t="s">
        <f>=HYPERLINK("http://anyluxury.ru/shop/odezhda/tolstovki/tolstovka-na-molnii-s-kapyushonom-siverga-20-krasnaya-1621350/" , "16213.50 Толстовка на молнии с капюшоном Siverga 2.0, красная, размер XL")</f>
      </c>
      <c r="C11991" s="4" t="n">
        <v>2059.00</v>
      </c>
      <c r="D11991" s="4"/>
    </row>
    <row collapsed="" customFormat="false" customHeight="1" hidden="" ht="14" outlineLevel="0" r="11992">
      <c r="A11992" s="3" t="inlineStr">
        <is>
          <t>11951</t>
        </is>
      </c>
      <c r="B11992" s="4" t="s">
        <f>=HYPERLINK("http://anyluxury.ru/shop/odezhda/tolstovki/tolstovka-na-molnii-s-kapyushonom-siverga-20-krasnaya-1621350/" , "16213.50 Толстовка на молнии с капюшоном Siverga 2.0, красная, размер XXL")</f>
      </c>
      <c r="C11992" s="4" t="n">
        <v>2059.00</v>
      </c>
      <c r="D11992" s="4"/>
    </row>
    <row collapsed="" customFormat="false" customHeight="1" hidden="" ht="14" outlineLevel="0" r="11993">
      <c r="A11993" s="3" t="inlineStr">
        <is>
          <t>11952</t>
        </is>
      </c>
      <c r="B11993" s="4" t="s">
        <f>=HYPERLINK("http://anyluxury.ru/shop/odezhda/tolstovki/tolstovka-na-molnii-s-kapyushonom-siverga-20-krasnaya-1621350/" , "16213.50 Толстовка на молнии с капюшоном Siverga 2.0, красная, размер 3XL")</f>
      </c>
      <c r="C11993" s="4" t="n">
        <v>2059.00</v>
      </c>
      <c r="D11993" s="4"/>
    </row>
    <row collapsed="" customFormat="false" customHeight="1" hidden="" ht="14" outlineLevel="0" r="11994">
      <c r="A11994" s="3" t="inlineStr">
        <is>
          <t>11953</t>
        </is>
      </c>
      <c r="B11994" s="4" t="s">
        <f>=HYPERLINK("http://anyluxury.ru/shop/odezhda/tolstovki/tolstovka-na-molnii-s-kapyushonom-siverga-20-krasnaya-1621350/" , "16213.50 Толстовка на молнии с капюшоном Siverga 2.0, красная, размер 4XL")</f>
      </c>
      <c r="C11994" s="4" t="n">
        <v>2059.00</v>
      </c>
      <c r="D11994" s="4"/>
    </row>
    <row collapsed="" customFormat="false" customHeight="1" hidden="" ht="14" outlineLevel="0" r="11995">
      <c r="A11995" s="3" t="inlineStr">
        <is>
          <t>11954</t>
        </is>
      </c>
      <c r="B11995" s="4" t="s">
        <f>=HYPERLINK("http://anyluxury.ru/shop/odezhda/tolstovki/tolstovka-na-molnii-s-kapyushonom-siverga-20-zheltaya-1621380/" , "16213.80 Толстовка на молнии с капюшоном Siverga 2.0, желтая, размер XS")</f>
      </c>
      <c r="C11995" s="4" t="n">
        <v>2059.00</v>
      </c>
      <c r="D11995" s="4"/>
    </row>
    <row collapsed="" customFormat="false" customHeight="1" hidden="" ht="14" outlineLevel="0" r="11996">
      <c r="A11996" s="3" t="inlineStr">
        <is>
          <t>11955</t>
        </is>
      </c>
      <c r="B11996" s="4" t="s">
        <f>=HYPERLINK("http://anyluxury.ru/shop/odezhda/tolstovki/tolstovka-na-molnii-s-kapyushonom-siverga-20-zheltaya-1621380/" , "16213.80 Толстовка на молнии с капюшоном Siverga 2.0, желтая, размер S")</f>
      </c>
      <c r="C11996" s="4" t="n">
        <v>2059.00</v>
      </c>
      <c r="D11996" s="4"/>
    </row>
    <row collapsed="" customFormat="false" customHeight="1" hidden="" ht="14" outlineLevel="0" r="11997">
      <c r="A11997" s="3" t="inlineStr">
        <is>
          <t>11956</t>
        </is>
      </c>
      <c r="B11997" s="4" t="s">
        <f>=HYPERLINK("http://anyluxury.ru/shop/odezhda/tolstovki/tolstovka-na-molnii-s-kapyushonom-siverga-20-zheltaya-1621380/" , "16213.80 Толстовка на молнии с капюшоном Siverga 2.0, желтая, размер M")</f>
      </c>
      <c r="C11997" s="4" t="n">
        <v>2059.00</v>
      </c>
      <c r="D11997" s="4"/>
    </row>
    <row collapsed="" customFormat="false" customHeight="1" hidden="" ht="14" outlineLevel="0" r="11998">
      <c r="A11998" s="3" t="inlineStr">
        <is>
          <t>11957</t>
        </is>
      </c>
      <c r="B11998" s="4" t="s">
        <f>=HYPERLINK("http://anyluxury.ru/shop/odezhda/tolstovki/tolstovka-na-molnii-s-kapyushonom-siverga-20-zheltaya-1621380/" , "16213.80 Толстовка на молнии с капюшоном Siverga 2.0, желтая, размер L")</f>
      </c>
      <c r="C11998" s="4" t="n">
        <v>2059.00</v>
      </c>
      <c r="D11998" s="4"/>
    </row>
    <row collapsed="" customFormat="false" customHeight="1" hidden="" ht="14" outlineLevel="0" r="11999">
      <c r="A11999" s="3" t="inlineStr">
        <is>
          <t>11958</t>
        </is>
      </c>
      <c r="B11999" s="4" t="s">
        <f>=HYPERLINK("http://anyluxury.ru/shop/odezhda/tolstovki/tolstovka-na-molnii-s-kapyushonom-siverga-20-zheltaya-1621380/" , "16213.80 Толстовка на молнии с капюшоном Siverga 2.0, желтая, размер XL")</f>
      </c>
      <c r="C11999" s="4" t="n">
        <v>2059.00</v>
      </c>
      <c r="D11999" s="4"/>
    </row>
    <row collapsed="" customFormat="false" customHeight="1" hidden="" ht="14" outlineLevel="0" r="12000">
      <c r="A12000" s="3" t="inlineStr">
        <is>
          <t>11959</t>
        </is>
      </c>
      <c r="B12000" s="4" t="s">
        <f>=HYPERLINK("http://anyluxury.ru/shop/odezhda/tolstovki/tolstovka-na-molnii-s-kapyushonom-siverga-20-zheltaya-1621380/" , "16213.80 Толстовка на молнии с капюшоном Siverga 2.0, желтая, размер XXL")</f>
      </c>
      <c r="C12000" s="4" t="n">
        <v>2059.00</v>
      </c>
      <c r="D12000" s="4"/>
    </row>
    <row collapsed="" customFormat="false" customHeight="1" hidden="" ht="14" outlineLevel="0" r="12001">
      <c r="A12001" s="3" t="inlineStr">
        <is>
          <t>11960</t>
        </is>
      </c>
      <c r="B12001" s="4" t="s">
        <f>=HYPERLINK("http://anyluxury.ru/shop/odezhda/tolstovki/tolstovka-na-molnii-s-kapyushonom-siverga-20-zheltaya-1621380/" , "16213.80 Толстовка на молнии с капюшоном Siverga 2.0, желтая, размер 3XL")</f>
      </c>
      <c r="C12001" s="4" t="n">
        <v>2059.00</v>
      </c>
      <c r="D12001" s="4"/>
    </row>
    <row collapsed="" customFormat="false" customHeight="1" hidden="" ht="14" outlineLevel="0" r="12002">
      <c r="A12002" s="3" t="inlineStr">
        <is>
          <t>11961</t>
        </is>
      </c>
      <c r="B12002" s="4" t="s">
        <f>=HYPERLINK("http://anyluxury.ru/shop/odezhda/tolstovki/tolstovka-na-molnii-s-kapyushonom-siverga-20-zheltaya-1621380/" , "16213.80 Толстовка на молнии с капюшоном Siverga 2.0, желтая, размер 4XL")</f>
      </c>
      <c r="C12002" s="4" t="n">
        <v>2059.00</v>
      </c>
      <c r="D12002" s="4"/>
    </row>
    <row collapsed="" customFormat="false" customHeight="1" hidden="" ht="14" outlineLevel="0" r="12003">
      <c r="A12003" s="3" t="inlineStr">
        <is>
          <t>11962</t>
        </is>
      </c>
      <c r="B12003" s="4" t="s">
        <f>=HYPERLINK("http://anyluxury.ru/shop/odezhda/tolstovki/tolstovka-na-molnii-s-kapyushonom-siverga-20-zelenoe-yabloko-1621394/" , "16213.94 Толстовка на молнии с капюшоном Siverga 2.0, зеленое яблоко, размер XS")</f>
      </c>
      <c r="C12003" s="4" t="n">
        <v>2059.00</v>
      </c>
      <c r="D12003" s="4"/>
    </row>
    <row collapsed="" customFormat="false" customHeight="1" hidden="" ht="14" outlineLevel="0" r="12004">
      <c r="A12004" s="3" t="inlineStr">
        <is>
          <t>11963</t>
        </is>
      </c>
      <c r="B12004" s="4" t="s">
        <f>=HYPERLINK("http://anyluxury.ru/shop/odezhda/tolstovki/tolstovka-na-molnii-s-kapyushonom-siverga-20-zelenoe-yabloko-1621394/" , "16213.94 Толстовка на молнии с капюшоном Siverga 2.0, зеленое яблоко, размер S")</f>
      </c>
      <c r="C12004" s="4" t="n">
        <v>2059.00</v>
      </c>
      <c r="D12004" s="4"/>
    </row>
    <row collapsed="" customFormat="false" customHeight="1" hidden="" ht="14" outlineLevel="0" r="12005">
      <c r="A12005" s="3" t="inlineStr">
        <is>
          <t>11964</t>
        </is>
      </c>
      <c r="B12005" s="4" t="s">
        <f>=HYPERLINK("http://anyluxury.ru/shop/odezhda/tolstovki/tolstovka-na-molnii-s-kapyushonom-siverga-20-zelenoe-yabloko-1621394/" , "16213.94 Толстовка на молнии с капюшоном Siverga 2.0, зеленое яблоко, размер M")</f>
      </c>
      <c r="C12005" s="4" t="n">
        <v>2059.00</v>
      </c>
      <c r="D12005" s="4"/>
    </row>
    <row collapsed="" customFormat="false" customHeight="1" hidden="" ht="14" outlineLevel="0" r="12006">
      <c r="A12006" s="3" t="inlineStr">
        <is>
          <t>11965</t>
        </is>
      </c>
      <c r="B12006" s="4" t="s">
        <f>=HYPERLINK("http://anyluxury.ru/shop/odezhda/tolstovki/tolstovka-na-molnii-s-kapyushonom-siverga-20-zelenoe-yabloko-1621394/" , "16213.94 Толстовка на молнии с капюшоном Siverga 2.0, зеленое яблоко, размер L")</f>
      </c>
      <c r="C12006" s="4" t="n">
        <v>2059.00</v>
      </c>
      <c r="D12006" s="4"/>
    </row>
    <row collapsed="" customFormat="false" customHeight="1" hidden="" ht="14" outlineLevel="0" r="12007">
      <c r="A12007" s="3" t="inlineStr">
        <is>
          <t>11966</t>
        </is>
      </c>
      <c r="B12007" s="4" t="s">
        <f>=HYPERLINK("http://anyluxury.ru/shop/odezhda/tolstovki/tolstovka-na-molnii-s-kapyushonom-siverga-20-zelenoe-yabloko-1621394/" , "16213.94 Толстовка на молнии с капюшоном Siverga 2.0, зеленое яблоко, размер XL")</f>
      </c>
      <c r="C12007" s="4" t="n">
        <v>2059.00</v>
      </c>
      <c r="D12007" s="4"/>
    </row>
    <row collapsed="" customFormat="false" customHeight="1" hidden="" ht="14" outlineLevel="0" r="12008">
      <c r="A12008" s="3" t="inlineStr">
        <is>
          <t>11967</t>
        </is>
      </c>
      <c r="B12008" s="4" t="s">
        <f>=HYPERLINK("http://anyluxury.ru/shop/odezhda/tolstovki/tolstovka-na-molnii-s-kapyushonom-siverga-20-zelenoe-yabloko-1621394/" , "16213.94 Толстовка на молнии с капюшоном Siverga 2.0, зеленое яблоко, размер XXL")</f>
      </c>
      <c r="C12008" s="4" t="n">
        <v>2059.00</v>
      </c>
      <c r="D12008" s="4"/>
    </row>
    <row collapsed="" customFormat="false" customHeight="1" hidden="" ht="14" outlineLevel="0" r="12009">
      <c r="A12009" s="3" t="inlineStr">
        <is>
          <t>11968</t>
        </is>
      </c>
      <c r="B12009" s="4" t="s">
        <f>=HYPERLINK("http://anyluxury.ru/shop/odezhda/tolstovki/tolstovka-na-molnii-s-kapyushonom-siverga-20-zelenoe-yabloko-1621394/" , "16213.94 Толстовка на молнии с капюшоном Siverga 2.0, зеленое яблоко, размер 3XL")</f>
      </c>
      <c r="C12009" s="4" t="n">
        <v>2059.00</v>
      </c>
      <c r="D12009" s="4"/>
    </row>
    <row collapsed="" customFormat="false" customHeight="1" hidden="" ht="14" outlineLevel="0" r="12010">
      <c r="A12010" s="3" t="inlineStr">
        <is>
          <t>11969</t>
        </is>
      </c>
      <c r="B12010" s="4" t="s">
        <f>=HYPERLINK("http://anyluxury.ru/shop/odezhda/tolstovki/tolstovka-na-molnii-s-kapyushonom-siverga-20-zelenoe-yabloko-1621394/" , "16213.94 Толстовка на молнии с капюшоном Siverga 2.0, зеленое яблоко, размер 4XL")</f>
      </c>
      <c r="C12010" s="4" t="n">
        <v>2059.00</v>
      </c>
      <c r="D12010" s="4"/>
    </row>
    <row collapsed="" customFormat="false" customHeight="1" hidden="" ht="14" outlineLevel="0" r="12011">
      <c r="A12011" s="3" t="inlineStr">
        <is>
          <t>11970</t>
        </is>
      </c>
      <c r="B12011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XS")</f>
      </c>
      <c r="C12011" s="4" t="n">
        <v>2059.00</v>
      </c>
      <c r="D12011" s="4"/>
    </row>
    <row collapsed="" customFormat="false" customHeight="1" hidden="" ht="14" outlineLevel="0" r="12012">
      <c r="A12012" s="3" t="inlineStr">
        <is>
          <t>11971</t>
        </is>
      </c>
      <c r="B12012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S")</f>
      </c>
      <c r="C12012" s="4" t="n">
        <v>2059.00</v>
      </c>
      <c r="D12012" s="4"/>
    </row>
    <row collapsed="" customFormat="false" customHeight="1" hidden="" ht="14" outlineLevel="0" r="12013">
      <c r="A12013" s="3" t="inlineStr">
        <is>
          <t>11972</t>
        </is>
      </c>
      <c r="B12013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M")</f>
      </c>
      <c r="C12013" s="4" t="n">
        <v>2059.00</v>
      </c>
      <c r="D12013" s="4"/>
    </row>
    <row collapsed="" customFormat="false" customHeight="1" hidden="" ht="14" outlineLevel="0" r="12014">
      <c r="A12014" s="3" t="inlineStr">
        <is>
          <t>11973</t>
        </is>
      </c>
      <c r="B12014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L")</f>
      </c>
      <c r="C12014" s="4" t="n">
        <v>2059.00</v>
      </c>
      <c r="D12014" s="4"/>
    </row>
    <row collapsed="" customFormat="false" customHeight="1" hidden="" ht="14" outlineLevel="0" r="12015">
      <c r="A12015" s="3" t="inlineStr">
        <is>
          <t>11974</t>
        </is>
      </c>
      <c r="B12015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XL")</f>
      </c>
      <c r="C12015" s="4" t="n">
        <v>2059.00</v>
      </c>
      <c r="D12015" s="4"/>
    </row>
    <row collapsed="" customFormat="false" customHeight="1" hidden="" ht="14" outlineLevel="0" r="12016">
      <c r="A12016" s="3" t="inlineStr">
        <is>
          <t>11975</t>
        </is>
      </c>
      <c r="B12016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XXL")</f>
      </c>
      <c r="C12016" s="4" t="n">
        <v>2059.00</v>
      </c>
      <c r="D12016" s="4"/>
    </row>
    <row collapsed="" customFormat="false" customHeight="1" hidden="" ht="14" outlineLevel="0" r="12017">
      <c r="A12017" s="3" t="inlineStr">
        <is>
          <t>11976</t>
        </is>
      </c>
      <c r="B12017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3XL")</f>
      </c>
      <c r="C12017" s="4" t="n">
        <v>2059.00</v>
      </c>
      <c r="D12017" s="4"/>
    </row>
    <row collapsed="" customFormat="false" customHeight="1" hidden="" ht="14" outlineLevel="0" r="12018">
      <c r="A12018" s="3" t="inlineStr">
        <is>
          <t>11977</t>
        </is>
      </c>
      <c r="B12018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4XL")</f>
      </c>
      <c r="C12018" s="4" t="n">
        <v>2059.00</v>
      </c>
      <c r="D12018" s="4"/>
    </row>
    <row collapsed="" customFormat="false" customHeight="1" hidden="" ht="14" outlineLevel="0" r="12019">
      <c r="A12019" s="3" t="inlineStr">
        <is>
          <t>11978</t>
        </is>
      </c>
      <c r="B12019" s="4" t="s">
        <f>=HYPERLINK("http://anyluxury.ru/shop/odezhda/tolstovki/tolstovka-na-molnii-s-kapyushonom-siverga-20-seriy-melanzh-1621311/" , "16213.11 Толстовка на молнии с капюшоном Siverga 2.0, серый меланж, размер XS")</f>
      </c>
      <c r="C12019" s="4" t="n">
        <v>2059.00</v>
      </c>
      <c r="D12019" s="4"/>
    </row>
    <row collapsed="" customFormat="false" customHeight="1" hidden="" ht="14" outlineLevel="0" r="12020">
      <c r="A12020" s="3" t="inlineStr">
        <is>
          <t>11979</t>
        </is>
      </c>
      <c r="B12020" s="4" t="s">
        <f>=HYPERLINK("http://anyluxury.ru/shop/odezhda/tolstovki/tolstovka-na-molnii-s-kapyushonom-siverga-20-seriy-melanzh-1621311/" , "16213.11 Толстовка на молнии с капюшоном Siverga 2.0, серый меланж, размер S")</f>
      </c>
      <c r="C12020" s="4" t="n">
        <v>2059.00</v>
      </c>
      <c r="D12020" s="4"/>
    </row>
    <row collapsed="" customFormat="false" customHeight="1" hidden="" ht="14" outlineLevel="0" r="12021">
      <c r="A12021" s="3" t="inlineStr">
        <is>
          <t>11980</t>
        </is>
      </c>
      <c r="B12021" s="4" t="s">
        <f>=HYPERLINK("http://anyluxury.ru/shop/odezhda/tolstovki/tolstovka-na-molnii-s-kapyushonom-siverga-20-seriy-melanzh-1621311/" , "16213.11 Толстовка на молнии с капюшоном Siverga 2.0, серый меланж, размер M")</f>
      </c>
      <c r="C12021" s="4" t="n">
        <v>2059.00</v>
      </c>
      <c r="D12021" s="4"/>
    </row>
    <row collapsed="" customFormat="false" customHeight="1" hidden="" ht="14" outlineLevel="0" r="12022">
      <c r="A12022" s="3" t="inlineStr">
        <is>
          <t>11981</t>
        </is>
      </c>
      <c r="B12022" s="4" t="s">
        <f>=HYPERLINK("http://anyluxury.ru/shop/odezhda/tolstovki/tolstovka-na-molnii-s-kapyushonom-siverga-20-seriy-melanzh-1621311/" , "16213.11 Толстовка на молнии с капюшоном Siverga 2.0, серый меланж, размер L")</f>
      </c>
      <c r="C12022" s="4" t="n">
        <v>2059.00</v>
      </c>
      <c r="D12022" s="4"/>
    </row>
    <row collapsed="" customFormat="false" customHeight="1" hidden="" ht="14" outlineLevel="0" r="12023">
      <c r="A12023" s="3" t="inlineStr">
        <is>
          <t>11982</t>
        </is>
      </c>
      <c r="B12023" s="4" t="s">
        <f>=HYPERLINK("http://anyluxury.ru/shop/odezhda/tolstovki/tolstovka-na-molnii-s-kapyushonom-siverga-20-seriy-melanzh-1621311/" , "16213.11 Толстовка на молнии с капюшоном Siverga 2.0, серый меланж, размер XL")</f>
      </c>
      <c r="C12023" s="4" t="n">
        <v>2059.00</v>
      </c>
      <c r="D12023" s="4"/>
    </row>
    <row collapsed="" customFormat="false" customHeight="1" hidden="" ht="14" outlineLevel="0" r="12024">
      <c r="A12024" s="3" t="inlineStr">
        <is>
          <t>11983</t>
        </is>
      </c>
      <c r="B12024" s="4" t="s">
        <f>=HYPERLINK("http://anyluxury.ru/shop/odezhda/tolstovki/tolstovka-na-molnii-s-kapyushonom-siverga-20-seriy-melanzh-1621311/" , "16213.11 Толстовка на молнии с капюшоном Siverga 2.0, серый меланж, размер XXL")</f>
      </c>
      <c r="C12024" s="4" t="n">
        <v>2059.00</v>
      </c>
      <c r="D12024" s="4"/>
    </row>
    <row collapsed="" customFormat="false" customHeight="1" hidden="" ht="14" outlineLevel="0" r="12025">
      <c r="A12025" s="3" t="inlineStr">
        <is>
          <t>11984</t>
        </is>
      </c>
      <c r="B12025" s="4" t="s">
        <f>=HYPERLINK("http://anyluxury.ru/shop/odezhda/tolstovki/tolstovka-na-molnii-s-kapyushonom-siverga-20-seriy-melanzh-1621311/" , "16213.11 Толстовка на молнии с капюшоном Siverga 2.0, серый меланж, размер 3XL")</f>
      </c>
      <c r="C12025" s="4" t="n">
        <v>2059.00</v>
      </c>
      <c r="D12025" s="4"/>
    </row>
    <row collapsed="" customFormat="false" customHeight="1" hidden="" ht="14" outlineLevel="0" r="12026">
      <c r="A12026" s="3" t="inlineStr">
        <is>
          <t>11985</t>
        </is>
      </c>
      <c r="B12026" s="4" t="s">
        <f>=HYPERLINK("http://anyluxury.ru/shop/odezhda/tolstovki/tolstovka-na-molnii-s-kapyushonom-siverga-20-seriy-melanzh-1621311/" , "16213.11 Толстовка на молнии с капюшоном Siverga 2.0, серый меланж, размер 4XL")</f>
      </c>
      <c r="C12026" s="4" t="n">
        <v>2059.00</v>
      </c>
      <c r="D12026" s="4"/>
    </row>
    <row collapsed="" customFormat="false" customHeight="1" hidden="" ht="14" outlineLevel="0" r="12027">
      <c r="A12027" s="3" t="inlineStr">
        <is>
          <t>11986</t>
        </is>
      </c>
      <c r="B12027" s="4" t="s">
        <f>=HYPERLINK("http://anyluxury.ru/shop/odezhda/tolstovki/tolstovka-na-molnii-s-kapyushonom-siverga-20-seriy-melanzh-1621311/" , "16213.11 Толстовка на молнии с капюшоном Siverga 2.0, серый меланж, размер 5XL")</f>
      </c>
      <c r="C12027" s="4" t="n">
        <v>2059.00</v>
      </c>
      <c r="D12027" s="4"/>
    </row>
    <row collapsed="" customFormat="false" customHeight="1" hidden="" ht="14" outlineLevel="0" r="12028">
      <c r="A12028" s="3" t="inlineStr">
        <is>
          <t>11987</t>
        </is>
      </c>
      <c r="B12028" s="4" t="s">
        <f>=HYPERLINK("http://anyluxury.ru/shop/odezhda/tolstovki/tolstovka-na-molnii-s-kapyushonom-siverga-20-biryuzovaya-1621314/" , "16213.14 Толстовка на молнии с капюшоном Siverga 2.0, бирюзовая, размер XS")</f>
      </c>
      <c r="C12028" s="4" t="n">
        <v>2059.00</v>
      </c>
      <c r="D12028" s="4"/>
    </row>
    <row collapsed="" customFormat="false" customHeight="1" hidden="" ht="14" outlineLevel="0" r="12029">
      <c r="A12029" s="3" t="inlineStr">
        <is>
          <t>11988</t>
        </is>
      </c>
      <c r="B12029" s="4" t="s">
        <f>=HYPERLINK("http://anyluxury.ru/shop/odezhda/tolstovki/tolstovka-na-molnii-s-kapyushonom-siverga-20-biryuzovaya-1621314/" , "16213.14 Толстовка на молнии с капюшоном Siverga 2.0, бирюзовая, размер S")</f>
      </c>
      <c r="C12029" s="4" t="n">
        <v>2059.00</v>
      </c>
      <c r="D12029" s="4"/>
    </row>
    <row collapsed="" customFormat="false" customHeight="1" hidden="" ht="14" outlineLevel="0" r="12030">
      <c r="A12030" s="3" t="inlineStr">
        <is>
          <t>11989</t>
        </is>
      </c>
      <c r="B12030" s="4" t="s">
        <f>=HYPERLINK("http://anyluxury.ru/shop/odezhda/tolstovki/tolstovka-na-molnii-s-kapyushonom-siverga-20-biryuzovaya-1621314/" , "16213.14 Толстовка на молнии с капюшоном Siverga 2.0, бирюзовая, размер M")</f>
      </c>
      <c r="C12030" s="4" t="n">
        <v>2059.00</v>
      </c>
      <c r="D12030" s="4"/>
    </row>
    <row collapsed="" customFormat="false" customHeight="1" hidden="" ht="14" outlineLevel="0" r="12031">
      <c r="A12031" s="3" t="inlineStr">
        <is>
          <t>11990</t>
        </is>
      </c>
      <c r="B12031" s="4" t="s">
        <f>=HYPERLINK("http://anyluxury.ru/shop/odezhda/tolstovki/tolstovka-na-molnii-s-kapyushonom-siverga-20-biryuzovaya-1621314/" , "16213.14 Толстовка на молнии с капюшоном Siverga 2.0, бирюзовая, размер L")</f>
      </c>
      <c r="C12031" s="4" t="n">
        <v>2059.00</v>
      </c>
      <c r="D12031" s="4"/>
    </row>
    <row collapsed="" customFormat="false" customHeight="1" hidden="" ht="14" outlineLevel="0" r="12032">
      <c r="A12032" s="3" t="inlineStr">
        <is>
          <t>11991</t>
        </is>
      </c>
      <c r="B12032" s="4" t="s">
        <f>=HYPERLINK("http://anyluxury.ru/shop/odezhda/tolstovki/tolstovka-na-molnii-s-kapyushonom-siverga-20-biryuzovaya-1621314/" , "16213.14 Толстовка на молнии с капюшоном Siverga 2.0, бирюзовая, размер XL")</f>
      </c>
      <c r="C12032" s="4" t="n">
        <v>2059.00</v>
      </c>
      <c r="D12032" s="4"/>
    </row>
    <row collapsed="" customFormat="false" customHeight="1" hidden="" ht="14" outlineLevel="0" r="12033">
      <c r="A12033" s="3" t="inlineStr">
        <is>
          <t>11992</t>
        </is>
      </c>
      <c r="B12033" s="4" t="s">
        <f>=HYPERLINK("http://anyluxury.ru/shop/odezhda/tolstovki/tolstovka-na-molnii-s-kapyushonom-siverga-20-biryuzovaya-1621314/" , "16213.14 Толстовка на молнии с капюшоном Siverga 2.0, бирюзовая, размер XXL")</f>
      </c>
      <c r="C12033" s="4" t="n">
        <v>2059.00</v>
      </c>
      <c r="D12033" s="4"/>
    </row>
    <row collapsed="" customFormat="false" customHeight="1" hidden="" ht="14" outlineLevel="0" r="12034">
      <c r="A12034" s="3" t="inlineStr">
        <is>
          <t>11993</t>
        </is>
      </c>
      <c r="B12034" s="4" t="s">
        <f>=HYPERLINK("http://anyluxury.ru/shop/odezhda/tolstovki/tolstovka-na-molnii-s-kapyushonom-siverga-20-biryuzovaya-1621314/" , "16213.14 Толстовка на молнии с капюшоном Siverga 2.0, бирюзовая, размер 3XL")</f>
      </c>
      <c r="C12034" s="4" t="n">
        <v>2059.00</v>
      </c>
      <c r="D12034" s="4"/>
    </row>
    <row collapsed="" customFormat="false" customHeight="1" hidden="" ht="14" outlineLevel="0" r="12035">
      <c r="A12035" s="3" t="inlineStr">
        <is>
          <t>11994</t>
        </is>
      </c>
      <c r="B12035" s="4" t="s">
        <f>=HYPERLINK("http://anyluxury.ru/shop/odezhda/tolstovki/tolstovka-na-molnii-s-kapyushonom-siverga-20-biryuzovaya-1621314/" , "16213.14 Толстовка на молнии с капюшоном Siverga 2.0, бирюзовая, размер 4XL")</f>
      </c>
      <c r="C12035" s="4" t="n">
        <v>2059.00</v>
      </c>
      <c r="D12035" s="4"/>
    </row>
    <row collapsed="" customFormat="false" customHeight="1" hidden="" ht="14" outlineLevel="0" r="12036">
      <c r="A12036" s="3" t="inlineStr">
        <is>
          <t>11995</t>
        </is>
      </c>
      <c r="B12036" s="4" t="s">
        <f>=HYPERLINK("http://anyluxury.ru/shop/odezhda/tolstovki/tolstovka-na-molnii-s-kapyushonom-siverga-20-oranzhevaya-1621320/" , "16213.20 Толстовка на молнии с капюшоном Siverga 2.0, оранжевая, размер XS")</f>
      </c>
      <c r="C12036" s="4" t="n">
        <v>2059.00</v>
      </c>
      <c r="D12036" s="4"/>
    </row>
    <row collapsed="" customFormat="false" customHeight="1" hidden="" ht="14" outlineLevel="0" r="12037">
      <c r="A12037" s="3" t="inlineStr">
        <is>
          <t>11996</t>
        </is>
      </c>
      <c r="B12037" s="4" t="s">
        <f>=HYPERLINK("http://anyluxury.ru/shop/odezhda/tolstovki/tolstovka-na-molnii-s-kapyushonom-siverga-20-oranzhevaya-1621320/" , "16213.20 Толстовка на молнии с капюшоном Siverga 2.0, оранжевая, размер S")</f>
      </c>
      <c r="C12037" s="4" t="n">
        <v>2059.00</v>
      </c>
      <c r="D12037" s="4"/>
    </row>
    <row collapsed="" customFormat="false" customHeight="1" hidden="" ht="14" outlineLevel="0" r="12038">
      <c r="A12038" s="3" t="inlineStr">
        <is>
          <t>11997</t>
        </is>
      </c>
      <c r="B12038" s="4" t="s">
        <f>=HYPERLINK("http://anyluxury.ru/shop/odezhda/tolstovki/tolstovka-na-molnii-s-kapyushonom-siverga-20-oranzhevaya-1621320/" , "16213.20 Толстовка на молнии с капюшоном Siverga 2.0, оранжевая, размер M")</f>
      </c>
      <c r="C12038" s="4" t="n">
        <v>2059.00</v>
      </c>
      <c r="D12038" s="4"/>
    </row>
    <row collapsed="" customFormat="false" customHeight="1" hidden="" ht="14" outlineLevel="0" r="12039">
      <c r="A12039" s="3" t="inlineStr">
        <is>
          <t>11998</t>
        </is>
      </c>
      <c r="B12039" s="4" t="s">
        <f>=HYPERLINK("http://anyluxury.ru/shop/odezhda/tolstovki/tolstovka-na-molnii-s-kapyushonom-siverga-20-oranzhevaya-1621320/" , "16213.20 Толстовка на молнии с капюшоном Siverga 2.0, оранжевая, размер L")</f>
      </c>
      <c r="C12039" s="4" t="n">
        <v>2059.00</v>
      </c>
      <c r="D12039" s="4"/>
    </row>
    <row collapsed="" customFormat="false" customHeight="1" hidden="" ht="14" outlineLevel="0" r="12040">
      <c r="A12040" s="3" t="inlineStr">
        <is>
          <t>11999</t>
        </is>
      </c>
      <c r="B12040" s="4" t="s">
        <f>=HYPERLINK("http://anyluxury.ru/shop/odezhda/tolstovki/tolstovka-na-molnii-s-kapyushonom-siverga-20-oranzhevaya-1621320/" , "16213.20 Толстовка на молнии с капюшоном Siverga 2.0, оранжевая, размер XL")</f>
      </c>
      <c r="C12040" s="4" t="n">
        <v>2059.00</v>
      </c>
      <c r="D12040" s="4"/>
    </row>
    <row collapsed="" customFormat="false" customHeight="1" hidden="" ht="14" outlineLevel="0" r="12041">
      <c r="A12041" s="3" t="inlineStr">
        <is>
          <t>12000</t>
        </is>
      </c>
      <c r="B12041" s="4" t="s">
        <f>=HYPERLINK("http://anyluxury.ru/shop/odezhda/tolstovki/tolstovka-na-molnii-s-kapyushonom-siverga-20-oranzhevaya-1621320/" , "16213.20 Толстовка на молнии с капюшоном Siverga 2.0, оранжевая, размер XXL")</f>
      </c>
      <c r="C12041" s="4" t="n">
        <v>2059.00</v>
      </c>
      <c r="D12041" s="4"/>
    </row>
    <row collapsed="" customFormat="false" customHeight="1" hidden="" ht="14" outlineLevel="0" r="12042">
      <c r="A12042" s="3" t="inlineStr">
        <is>
          <t>12001</t>
        </is>
      </c>
      <c r="B12042" s="4" t="s">
        <f>=HYPERLINK("http://anyluxury.ru/shop/odezhda/tolstovki/tolstovka-na-molnii-s-kapyushonom-siverga-20-oranzhevaya-1621320/" , "16213.20 Толстовка на молнии с капюшоном Siverga 2.0, оранжевая, размер 3XL")</f>
      </c>
      <c r="C12042" s="4" t="n">
        <v>2059.00</v>
      </c>
      <c r="D12042" s="4"/>
    </row>
    <row collapsed="" customFormat="false" customHeight="1" hidden="" ht="14" outlineLevel="0" r="12043">
      <c r="A12043" s="3" t="inlineStr">
        <is>
          <t>12002</t>
        </is>
      </c>
      <c r="B12043" s="4" t="s">
        <f>=HYPERLINK("http://anyluxury.ru/shop/odezhda/tolstovki/tolstovka-na-molnii-s-kapyushonom-siverga-20-oranzhevaya-1621320/" , "16213.20 Толстовка на молнии с капюшоном Siverga 2.0, оранжевая, размер 4XL")</f>
      </c>
      <c r="C12043" s="4" t="n">
        <v>2059.00</v>
      </c>
      <c r="D12043" s="4"/>
    </row>
    <row collapsed="" customFormat="false" customHeight="1" hidden="" ht="14" outlineLevel="0" r="12044">
      <c r="A12044" s="3" t="inlineStr">
        <is>
          <t>12003</t>
        </is>
      </c>
      <c r="B12044" s="4" t="s">
        <f>=HYPERLINK("http://anyluxury.ru/shop/odezhda/tolstovki/tolstovka-na-molnii-s-kapyushonom-siverga-20-temnozelenaya-1621390/" , "16213.90 Толстовка на молнии с капюшоном Siverga 2.0, темно-зеленая, размер XS")</f>
      </c>
      <c r="C12044" s="4" t="n">
        <v>2059.00</v>
      </c>
      <c r="D12044" s="4"/>
    </row>
    <row collapsed="" customFormat="false" customHeight="1" hidden="" ht="14" outlineLevel="0" r="12045">
      <c r="A12045" s="3" t="inlineStr">
        <is>
          <t>12004</t>
        </is>
      </c>
      <c r="B12045" s="4" t="s">
        <f>=HYPERLINK("http://anyluxury.ru/shop/odezhda/tolstovki/tolstovka-na-molnii-s-kapyushonom-siverga-20-temnozelenaya-1621390/" , "16213.90 Толстовка на молнии с капюшоном Siverga 2.0, темно-зеленая, размер S")</f>
      </c>
      <c r="C12045" s="4" t="n">
        <v>2059.00</v>
      </c>
      <c r="D12045" s="4"/>
    </row>
    <row collapsed="" customFormat="false" customHeight="1" hidden="" ht="14" outlineLevel="0" r="12046">
      <c r="A12046" s="3" t="inlineStr">
        <is>
          <t>12005</t>
        </is>
      </c>
      <c r="B12046" s="4" t="s">
        <f>=HYPERLINK("http://anyluxury.ru/shop/odezhda/tolstovki/tolstovka-na-molnii-s-kapyushonom-siverga-20-temnozelenaya-1621390/" , "16213.90 Толстовка на молнии с капюшоном Siverga 2.0, темно-зеленая, размер M")</f>
      </c>
      <c r="C12046" s="4" t="n">
        <v>2059.00</v>
      </c>
      <c r="D12046" s="4"/>
    </row>
    <row collapsed="" customFormat="false" customHeight="1" hidden="" ht="14" outlineLevel="0" r="12047">
      <c r="A12047" s="3" t="inlineStr">
        <is>
          <t>12006</t>
        </is>
      </c>
      <c r="B12047" s="4" t="s">
        <f>=HYPERLINK("http://anyluxury.ru/shop/odezhda/tolstovki/tolstovka-na-molnii-s-kapyushonom-siverga-20-temnozelenaya-1621390/" , "16213.90 Толстовка на молнии с капюшоном Siverga 2.0, темно-зеленая, размер L")</f>
      </c>
      <c r="C12047" s="4" t="n">
        <v>2059.00</v>
      </c>
      <c r="D12047" s="4"/>
    </row>
    <row collapsed="" customFormat="false" customHeight="1" hidden="" ht="14" outlineLevel="0" r="12048">
      <c r="A12048" s="3" t="inlineStr">
        <is>
          <t>12007</t>
        </is>
      </c>
      <c r="B12048" s="4" t="s">
        <f>=HYPERLINK("http://anyluxury.ru/shop/odezhda/tolstovki/tolstovka-na-molnii-s-kapyushonom-siverga-20-temnozelenaya-1621390/" , "16213.90 Толстовка на молнии с капюшоном Siverga 2.0, темно-зеленая, размер XL")</f>
      </c>
      <c r="C12048" s="4" t="n">
        <v>2059.00</v>
      </c>
      <c r="D12048" s="4"/>
    </row>
    <row collapsed="" customFormat="false" customHeight="1" hidden="" ht="14" outlineLevel="0" r="12049">
      <c r="A12049" s="3" t="inlineStr">
        <is>
          <t>12008</t>
        </is>
      </c>
      <c r="B12049" s="4" t="s">
        <f>=HYPERLINK("http://anyluxury.ru/shop/odezhda/tolstovki/tolstovka-na-molnii-s-kapyushonom-siverga-20-temnozelenaya-1621390/" , "16213.90 Толстовка на молнии с капюшоном Siverga 2.0, темно-зеленая, размер XXL")</f>
      </c>
      <c r="C12049" s="4" t="n">
        <v>2059.00</v>
      </c>
      <c r="D12049" s="4"/>
    </row>
    <row collapsed="" customFormat="false" customHeight="1" hidden="" ht="14" outlineLevel="0" r="12050">
      <c r="A12050" s="3" t="inlineStr">
        <is>
          <t>12009</t>
        </is>
      </c>
      <c r="B12050" s="4" t="s">
        <f>=HYPERLINK("http://anyluxury.ru/shop/odezhda/tolstovki/tolstovka-na-molnii-s-kapyushonom-siverga-20-temnozelenaya-1621390/" , "16213.90 Толстовка на молнии с капюшоном Siverga 2.0, темно-зеленая, размер 3XL")</f>
      </c>
      <c r="C12050" s="4" t="n">
        <v>2059.00</v>
      </c>
      <c r="D12050" s="4"/>
    </row>
    <row collapsed="" customFormat="false" customHeight="1" hidden="" ht="14" outlineLevel="0" r="12051">
      <c r="A12051" s="3" t="inlineStr">
        <is>
          <t>12010</t>
        </is>
      </c>
      <c r="B12051" s="4" t="s">
        <f>=HYPERLINK("http://anyluxury.ru/shop/odezhda/tolstovki/tolstovka-na-molnii-s-kapyushonom-siverga-20-temnozelenaya-1621390/" , "16213.90 Толстовка на молнии с капюшоном Siverga 2.0, темно-зеленая, размер 4XL")</f>
      </c>
      <c r="C12051" s="4" t="n">
        <v>2059.00</v>
      </c>
      <c r="D12051" s="4"/>
    </row>
    <row collapsed="" customFormat="false" customHeight="1" hidden="" ht="14" outlineLevel="0" r="12052">
      <c r="A12052" s="3" t="inlineStr">
        <is>
          <t>12011</t>
        </is>
      </c>
      <c r="B12052" s="4" t="s">
        <f>=HYPERLINK("http://anyluxury.ru/shop/odezhda/tolstovki/tolstovka-na-molnii-s-kapyushonom-siverga-20-zelenaya-1621392/" , "16213.92 Толстовка на молнии с капюшоном Siverga 2.0, зеленая, размер XS")</f>
      </c>
      <c r="C12052" s="4" t="n">
        <v>2059.00</v>
      </c>
      <c r="D12052" s="4"/>
    </row>
    <row collapsed="" customFormat="false" customHeight="1" hidden="" ht="14" outlineLevel="0" r="12053">
      <c r="A12053" s="3" t="inlineStr">
        <is>
          <t>12012</t>
        </is>
      </c>
      <c r="B12053" s="4" t="s">
        <f>=HYPERLINK("http://anyluxury.ru/shop/odezhda/tolstovki/tolstovka-na-molnii-s-kapyushonom-siverga-20-zelenaya-1621392/" , "16213.92 Толстовка на молнии с капюшоном Siverga 2.0, зеленая, размер S")</f>
      </c>
      <c r="C12053" s="4" t="n">
        <v>2059.00</v>
      </c>
      <c r="D12053" s="4"/>
    </row>
    <row collapsed="" customFormat="false" customHeight="1" hidden="" ht="14" outlineLevel="0" r="12054">
      <c r="A12054" s="3" t="inlineStr">
        <is>
          <t>12013</t>
        </is>
      </c>
      <c r="B12054" s="4" t="s">
        <f>=HYPERLINK("http://anyluxury.ru/shop/odezhda/tolstovki/tolstovka-na-molnii-s-kapyushonom-siverga-20-zelenaya-1621392/" , "16213.92 Толстовка на молнии с капюшоном Siverga 2.0, зеленая, размер M")</f>
      </c>
      <c r="C12054" s="4" t="n">
        <v>2059.00</v>
      </c>
      <c r="D12054" s="4"/>
    </row>
    <row collapsed="" customFormat="false" customHeight="1" hidden="" ht="14" outlineLevel="0" r="12055">
      <c r="A12055" s="3" t="inlineStr">
        <is>
          <t>12014</t>
        </is>
      </c>
      <c r="B12055" s="4" t="s">
        <f>=HYPERLINK("http://anyluxury.ru/shop/odezhda/tolstovki/tolstovka-na-molnii-s-kapyushonom-siverga-20-zelenaya-1621392/" , "16213.92 Толстовка на молнии с капюшоном Siverga 2.0, зеленая, размер L")</f>
      </c>
      <c r="C12055" s="4" t="n">
        <v>2059.00</v>
      </c>
      <c r="D12055" s="4"/>
    </row>
    <row collapsed="" customFormat="false" customHeight="1" hidden="" ht="14" outlineLevel="0" r="12056">
      <c r="A12056" s="3" t="inlineStr">
        <is>
          <t>12015</t>
        </is>
      </c>
      <c r="B12056" s="4" t="s">
        <f>=HYPERLINK("http://anyluxury.ru/shop/odezhda/tolstovki/tolstovka-na-molnii-s-kapyushonom-siverga-20-zelenaya-1621392/" , "16213.92 Толстовка на молнии с капюшоном Siverga 2.0, зеленая, размер XL")</f>
      </c>
      <c r="C12056" s="4" t="n">
        <v>2059.00</v>
      </c>
      <c r="D12056" s="4"/>
    </row>
    <row collapsed="" customFormat="false" customHeight="1" hidden="" ht="14" outlineLevel="0" r="12057">
      <c r="A12057" s="3" t="inlineStr">
        <is>
          <t>12016</t>
        </is>
      </c>
      <c r="B12057" s="4" t="s">
        <f>=HYPERLINK("http://anyluxury.ru/shop/odezhda/tolstovki/tolstovka-na-molnii-s-kapyushonom-siverga-20-zelenaya-1621392/" , "16213.92 Толстовка на молнии с капюшоном Siverga 2.0, зеленая, размер XXL")</f>
      </c>
      <c r="C12057" s="4" t="n">
        <v>2059.00</v>
      </c>
      <c r="D12057" s="4"/>
    </row>
    <row collapsed="" customFormat="false" customHeight="1" hidden="" ht="14" outlineLevel="0" r="12058">
      <c r="A12058" s="3" t="inlineStr">
        <is>
          <t>12017</t>
        </is>
      </c>
      <c r="B12058" s="4" t="s">
        <f>=HYPERLINK("http://anyluxury.ru/shop/odezhda/tolstovki/tolstovka-na-molnii-s-kapyushonom-siverga-20-zelenaya-1621392/" , "16213.92 Толстовка на молнии с капюшоном Siverga 2.0, зеленая, размер 3XL")</f>
      </c>
      <c r="C12058" s="4" t="n">
        <v>2059.00</v>
      </c>
      <c r="D12058" s="4"/>
    </row>
    <row collapsed="" customFormat="false" customHeight="1" hidden="" ht="14" outlineLevel="0" r="12059">
      <c r="A12059" s="3" t="inlineStr">
        <is>
          <t>12018</t>
        </is>
      </c>
      <c r="B12059" s="4" t="s">
        <f>=HYPERLINK("http://anyluxury.ru/shop/odezhda/tolstovki/tolstovka-na-molnii-s-kapyushonom-siverga-20-zelenaya-1621392/" , "16213.92 Толстовка на молнии с капюшоном Siverga 2.0, зеленая, размер 4XL")</f>
      </c>
      <c r="C12059" s="4" t="n">
        <v>2059.00</v>
      </c>
      <c r="D12059" s="4"/>
    </row>
    <row collapsed="" customFormat="false" customHeight="1" hidden="" ht="14" outlineLevel="0" r="12060">
      <c r="A12060" s="3" t="inlineStr">
        <is>
          <t>12019</t>
        </is>
      </c>
      <c r="B12060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XS")</f>
      </c>
      <c r="C12060" s="4" t="n">
        <v>2545.00</v>
      </c>
      <c r="D12060" s="4"/>
    </row>
    <row collapsed="" customFormat="false" customHeight="1" hidden="" ht="14" outlineLevel="0" r="12061">
      <c r="A12061" s="3" t="inlineStr">
        <is>
          <t>12020</t>
        </is>
      </c>
      <c r="B12061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S")</f>
      </c>
      <c r="C12061" s="4" t="n">
        <v>2545.00</v>
      </c>
      <c r="D12061" s="4"/>
    </row>
    <row collapsed="" customFormat="false" customHeight="1" hidden="" ht="14" outlineLevel="0" r="12062">
      <c r="A12062" s="3" t="inlineStr">
        <is>
          <t>12021</t>
        </is>
      </c>
      <c r="B12062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M")</f>
      </c>
      <c r="C12062" s="4" t="n">
        <v>2545.00</v>
      </c>
      <c r="D12062" s="4"/>
    </row>
    <row collapsed="" customFormat="false" customHeight="1" hidden="" ht="14" outlineLevel="0" r="12063">
      <c r="A12063" s="3" t="inlineStr">
        <is>
          <t>12022</t>
        </is>
      </c>
      <c r="B12063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L")</f>
      </c>
      <c r="C12063" s="4" t="n">
        <v>2545.00</v>
      </c>
      <c r="D12063" s="4"/>
    </row>
    <row collapsed="" customFormat="false" customHeight="1" hidden="" ht="14" outlineLevel="0" r="12064">
      <c r="A12064" s="3" t="inlineStr">
        <is>
          <t>12023</t>
        </is>
      </c>
      <c r="B12064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XL")</f>
      </c>
      <c r="C12064" s="4" t="n">
        <v>2545.00</v>
      </c>
      <c r="D12064" s="4"/>
    </row>
    <row collapsed="" customFormat="false" customHeight="1" hidden="" ht="14" outlineLevel="0" r="12065">
      <c r="A12065" s="3" t="inlineStr">
        <is>
          <t>12024</t>
        </is>
      </c>
      <c r="B12065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XXL")</f>
      </c>
      <c r="C12065" s="4" t="n">
        <v>2545.00</v>
      </c>
      <c r="D12065" s="4"/>
    </row>
    <row collapsed="" customFormat="false" customHeight="1" hidden="" ht="14" outlineLevel="0" r="12066">
      <c r="A12066" s="3" t="inlineStr">
        <is>
          <t>12025</t>
        </is>
      </c>
      <c r="B12066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3XL")</f>
      </c>
      <c r="C12066" s="4" t="n">
        <v>2545.00</v>
      </c>
      <c r="D12066" s="4"/>
    </row>
    <row collapsed="" customFormat="false" customHeight="1" hidden="" ht="14" outlineLevel="0" r="12067">
      <c r="A12067" s="3" t="inlineStr">
        <is>
          <t>12026</t>
        </is>
      </c>
      <c r="B12067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4XL")</f>
      </c>
      <c r="C12067" s="4" t="n">
        <v>2545.00</v>
      </c>
      <c r="D12067" s="4"/>
    </row>
    <row collapsed="" customFormat="false" customHeight="1" hidden="" ht="14" outlineLevel="0" r="12068">
      <c r="A12068" s="3" t="inlineStr">
        <is>
          <t>12027</t>
        </is>
      </c>
      <c r="B12068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XS")</f>
      </c>
      <c r="C12068" s="4" t="n">
        <v>2545.00</v>
      </c>
      <c r="D12068" s="4"/>
    </row>
    <row collapsed="" customFormat="false" customHeight="1" hidden="" ht="14" outlineLevel="0" r="12069">
      <c r="A12069" s="3" t="inlineStr">
        <is>
          <t>12028</t>
        </is>
      </c>
      <c r="B12069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S")</f>
      </c>
      <c r="C12069" s="4" t="n">
        <v>2545.00</v>
      </c>
      <c r="D12069" s="4"/>
    </row>
    <row collapsed="" customFormat="false" customHeight="1" hidden="" ht="14" outlineLevel="0" r="12070">
      <c r="A12070" s="3" t="inlineStr">
        <is>
          <t>12029</t>
        </is>
      </c>
      <c r="B12070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M")</f>
      </c>
      <c r="C12070" s="4" t="n">
        <v>2545.00</v>
      </c>
      <c r="D12070" s="4"/>
    </row>
    <row collapsed="" customFormat="false" customHeight="1" hidden="" ht="14" outlineLevel="0" r="12071">
      <c r="A12071" s="3" t="inlineStr">
        <is>
          <t>12030</t>
        </is>
      </c>
      <c r="B12071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L")</f>
      </c>
      <c r="C12071" s="4" t="n">
        <v>2545.00</v>
      </c>
      <c r="D12071" s="4"/>
    </row>
    <row collapsed="" customFormat="false" customHeight="1" hidden="" ht="14" outlineLevel="0" r="12072">
      <c r="A12072" s="3" t="inlineStr">
        <is>
          <t>12031</t>
        </is>
      </c>
      <c r="B12072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XL")</f>
      </c>
      <c r="C12072" s="4" t="n">
        <v>2545.00</v>
      </c>
      <c r="D12072" s="4"/>
    </row>
    <row collapsed="" customFormat="false" customHeight="1" hidden="" ht="14" outlineLevel="0" r="12073">
      <c r="A12073" s="3" t="inlineStr">
        <is>
          <t>12032</t>
        </is>
      </c>
      <c r="B12073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XXL")</f>
      </c>
      <c r="C12073" s="4" t="n">
        <v>2545.00</v>
      </c>
      <c r="D12073" s="4"/>
    </row>
    <row collapsed="" customFormat="false" customHeight="1" hidden="" ht="14" outlineLevel="0" r="12074">
      <c r="A12074" s="3" t="inlineStr">
        <is>
          <t>12033</t>
        </is>
      </c>
      <c r="B12074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3XL")</f>
      </c>
      <c r="C12074" s="4" t="n">
        <v>2545.00</v>
      </c>
      <c r="D12074" s="4"/>
    </row>
    <row collapsed="" customFormat="false" customHeight="1" hidden="" ht="14" outlineLevel="0" r="12075">
      <c r="A12075" s="3" t="inlineStr">
        <is>
          <t>12034</t>
        </is>
      </c>
      <c r="B12075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4XL")</f>
      </c>
      <c r="C12075" s="4" t="n">
        <v>2545.00</v>
      </c>
      <c r="D12075" s="4"/>
    </row>
    <row collapsed="" customFormat="false" customHeight="1" hidden="" ht="14" outlineLevel="0" r="12076">
      <c r="A12076" s="3" t="inlineStr">
        <is>
          <t>12035</t>
        </is>
      </c>
      <c r="B12076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5XL")</f>
      </c>
      <c r="C12076" s="4" t="n">
        <v>2545.00</v>
      </c>
      <c r="D12076" s="4"/>
    </row>
    <row collapsed="" customFormat="false" customHeight="1" hidden="" ht="14" outlineLevel="0" r="12077">
      <c r="A12077" s="3" t="inlineStr">
        <is>
          <t>12036</t>
        </is>
      </c>
      <c r="B12077" s="4" t="s">
        <f>=HYPERLINK("http://anyluxury.ru/shop/odezhda/tolstovki/tolstovka-na-molnii-s-kapyushonom-siverga-20-heavy-biryuzovaya-1621614/" , "16216.14 Толстовка на молнии с капюшоном Siverga 2.0 Heavy, бирюзовая, размер XS")</f>
      </c>
      <c r="C12077" s="4" t="n">
        <v>2545.00</v>
      </c>
      <c r="D12077" s="4"/>
    </row>
    <row collapsed="" customFormat="false" customHeight="1" hidden="" ht="14" outlineLevel="0" r="12078">
      <c r="A12078" s="3" t="inlineStr">
        <is>
          <t>12037</t>
        </is>
      </c>
      <c r="B12078" s="4" t="s">
        <f>=HYPERLINK("http://anyluxury.ru/shop/odezhda/tolstovki/tolstovka-na-molnii-s-kapyushonom-siverga-20-heavy-biryuzovaya-1621614/" , "16216.14 Толстовка на молнии с капюшоном Siverga 2.0 Heavy, бирюзовая, размер S")</f>
      </c>
      <c r="C12078" s="4" t="n">
        <v>2545.00</v>
      </c>
      <c r="D12078" s="4"/>
    </row>
    <row collapsed="" customFormat="false" customHeight="1" hidden="" ht="14" outlineLevel="0" r="12079">
      <c r="A12079" s="3" t="inlineStr">
        <is>
          <t>12038</t>
        </is>
      </c>
      <c r="B12079" s="4" t="s">
        <f>=HYPERLINK("http://anyluxury.ru/shop/odezhda/tolstovki/tolstovka-na-molnii-s-kapyushonom-siverga-20-heavy-biryuzovaya-1621614/" , "16216.14 Толстовка на молнии с капюшоном Siverga 2.0 Heavy, бирюзовая, размер M")</f>
      </c>
      <c r="C12079" s="4" t="n">
        <v>2545.00</v>
      </c>
      <c r="D12079" s="4"/>
    </row>
    <row collapsed="" customFormat="false" customHeight="1" hidden="" ht="14" outlineLevel="0" r="12080">
      <c r="A12080" s="3" t="inlineStr">
        <is>
          <t>12039</t>
        </is>
      </c>
      <c r="B12080" s="4" t="s">
        <f>=HYPERLINK("http://anyluxury.ru/shop/odezhda/tolstovki/tolstovka-na-molnii-s-kapyushonom-siverga-20-heavy-biryuzovaya-1621614/" , "16216.14 Толстовка на молнии с капюшоном Siverga 2.0 Heavy, бирюзовая, размер L")</f>
      </c>
      <c r="C12080" s="4" t="n">
        <v>2545.00</v>
      </c>
      <c r="D12080" s="4"/>
    </row>
    <row collapsed="" customFormat="false" customHeight="1" hidden="" ht="14" outlineLevel="0" r="12081">
      <c r="A12081" s="3" t="inlineStr">
        <is>
          <t>12040</t>
        </is>
      </c>
      <c r="B12081" s="4" t="s">
        <f>=HYPERLINK("http://anyluxury.ru/shop/odezhda/tolstovki/tolstovka-na-molnii-s-kapyushonom-siverga-20-heavy-biryuzovaya-1621614/" , "16216.14 Толстовка на молнии с капюшоном Siverga 2.0 Heavy, бирюзовая, размер XL")</f>
      </c>
      <c r="C12081" s="4" t="n">
        <v>2545.00</v>
      </c>
      <c r="D12081" s="4"/>
    </row>
    <row collapsed="" customFormat="false" customHeight="1" hidden="" ht="14" outlineLevel="0" r="12082">
      <c r="A12082" s="3" t="inlineStr">
        <is>
          <t>12041</t>
        </is>
      </c>
      <c r="B12082" s="4" t="s">
        <f>=HYPERLINK("http://anyluxury.ru/shop/odezhda/tolstovki/tolstovka-na-molnii-s-kapyushonom-siverga-20-heavy-biryuzovaya-1621614/" , "16216.14 Толстовка на молнии с капюшоном Siverga 2.0 Heavy, бирюзовая, размер XXL")</f>
      </c>
      <c r="C12082" s="4" t="n">
        <v>2545.00</v>
      </c>
      <c r="D12082" s="4"/>
    </row>
    <row collapsed="" customFormat="false" customHeight="1" hidden="" ht="14" outlineLevel="0" r="12083">
      <c r="A12083" s="3" t="inlineStr">
        <is>
          <t>12042</t>
        </is>
      </c>
      <c r="B12083" s="4" t="s">
        <f>=HYPERLINK("http://anyluxury.ru/shop/odezhda/tolstovki/tolstovka-na-molnii-s-kapyushonom-siverga-20-heavy-biryuzovaya-1621614/" , "16216.14 Толстовка на молнии с капюшоном Siverga 2.0 Heavy, бирюзовая, размер 3XL")</f>
      </c>
      <c r="C12083" s="4" t="n">
        <v>2545.00</v>
      </c>
      <c r="D12083" s="4"/>
    </row>
    <row collapsed="" customFormat="false" customHeight="1" hidden="" ht="14" outlineLevel="0" r="12084">
      <c r="A12084" s="3" t="inlineStr">
        <is>
          <t>12043</t>
        </is>
      </c>
      <c r="B12084" s="4" t="s">
        <f>=HYPERLINK("http://anyluxury.ru/shop/odezhda/tolstovki/tolstovka-na-molnii-s-kapyushonom-siverga-20-heavy-biryuzovaya-1621614/" , "16216.14 Толстовка на молнии с капюшоном Siverga 2.0 Heavy, бирюзовая, размер 4XL")</f>
      </c>
      <c r="C12084" s="4" t="n">
        <v>2545.00</v>
      </c>
      <c r="D12084" s="4"/>
    </row>
    <row collapsed="" customFormat="false" customHeight="1" hidden="" ht="14" outlineLevel="0" r="12085">
      <c r="A12085" s="3" t="inlineStr">
        <is>
          <t>12044</t>
        </is>
      </c>
      <c r="B12085" s="4" t="s">
        <f>=HYPERLINK("http://anyluxury.ru/shop/odezhda/tolstovki/tolstovka-na-molnii-s-kapyushonom-siverga-20-heavy-chernaya-1621630/" , "16216.30 Толстовка на молнии с капюшоном Siverga 2.0 Heavy, черная, размер XS")</f>
      </c>
      <c r="C12085" s="4" t="n">
        <v>2545.00</v>
      </c>
      <c r="D12085" s="4"/>
    </row>
    <row collapsed="" customFormat="false" customHeight="1" hidden="" ht="14" outlineLevel="0" r="12086">
      <c r="A12086" s="3" t="inlineStr">
        <is>
          <t>12045</t>
        </is>
      </c>
      <c r="B12086" s="4" t="s">
        <f>=HYPERLINK("http://anyluxury.ru/shop/odezhda/tolstovki/tolstovka-na-molnii-s-kapyushonom-siverga-20-heavy-chernaya-1621630/" , "16216.30 Толстовка на молнии с капюшоном Siverga 2.0 Heavy, черная, размер S")</f>
      </c>
      <c r="C12086" s="4" t="n">
        <v>2545.00</v>
      </c>
      <c r="D12086" s="4"/>
    </row>
    <row collapsed="" customFormat="false" customHeight="1" hidden="" ht="14" outlineLevel="0" r="12087">
      <c r="A12087" s="3" t="inlineStr">
        <is>
          <t>12046</t>
        </is>
      </c>
      <c r="B12087" s="4" t="s">
        <f>=HYPERLINK("http://anyluxury.ru/shop/odezhda/tolstovki/tolstovka-na-molnii-s-kapyushonom-siverga-20-heavy-chernaya-1621630/" , "16216.30 Толстовка на молнии с капюшоном Siverga 2.0 Heavy, черная, размер M")</f>
      </c>
      <c r="C12087" s="4" t="n">
        <v>2545.00</v>
      </c>
      <c r="D12087" s="4"/>
    </row>
    <row collapsed="" customFormat="false" customHeight="1" hidden="" ht="14" outlineLevel="0" r="12088">
      <c r="A12088" s="3" t="inlineStr">
        <is>
          <t>12047</t>
        </is>
      </c>
      <c r="B12088" s="4" t="s">
        <f>=HYPERLINK("http://anyluxury.ru/shop/odezhda/tolstovki/tolstovka-na-molnii-s-kapyushonom-siverga-20-heavy-chernaya-1621630/" , "16216.30 Толстовка на молнии с капюшоном Siverga 2.0 Heavy, черная, размер L")</f>
      </c>
      <c r="C12088" s="4" t="n">
        <v>2545.00</v>
      </c>
      <c r="D12088" s="4"/>
    </row>
    <row collapsed="" customFormat="false" customHeight="1" hidden="" ht="14" outlineLevel="0" r="12089">
      <c r="A12089" s="3" t="inlineStr">
        <is>
          <t>12048</t>
        </is>
      </c>
      <c r="B12089" s="4" t="s">
        <f>=HYPERLINK("http://anyluxury.ru/shop/odezhda/tolstovki/tolstovka-na-molnii-s-kapyushonom-siverga-20-heavy-chernaya-1621630/" , "16216.30 Толстовка на молнии с капюшоном Siverga 2.0 Heavy, черная, размер XL")</f>
      </c>
      <c r="C12089" s="4" t="n">
        <v>2545.00</v>
      </c>
      <c r="D12089" s="4"/>
    </row>
    <row collapsed="" customFormat="false" customHeight="1" hidden="" ht="14" outlineLevel="0" r="12090">
      <c r="A12090" s="3" t="inlineStr">
        <is>
          <t>12049</t>
        </is>
      </c>
      <c r="B12090" s="4" t="s">
        <f>=HYPERLINK("http://anyluxury.ru/shop/odezhda/tolstovki/tolstovka-na-molnii-s-kapyushonom-siverga-20-heavy-chernaya-1621630/" , "16216.30 Толстовка на молнии с капюшоном Siverga 2.0 Heavy, черная, размер XXL")</f>
      </c>
      <c r="C12090" s="4" t="n">
        <v>2545.00</v>
      </c>
      <c r="D12090" s="4"/>
    </row>
    <row collapsed="" customFormat="false" customHeight="1" hidden="" ht="14" outlineLevel="0" r="12091">
      <c r="A12091" s="3" t="inlineStr">
        <is>
          <t>12050</t>
        </is>
      </c>
      <c r="B12091" s="4" t="s">
        <f>=HYPERLINK("http://anyluxury.ru/shop/odezhda/tolstovki/tolstovka-na-molnii-s-kapyushonom-siverga-20-heavy-chernaya-1621630/" , "16216.30 Толстовка на молнии с капюшоном Siverga 2.0 Heavy, черная, размер 3XL")</f>
      </c>
      <c r="C12091" s="4" t="n">
        <v>2545.00</v>
      </c>
      <c r="D12091" s="4"/>
    </row>
    <row collapsed="" customFormat="false" customHeight="1" hidden="" ht="14" outlineLevel="0" r="12092">
      <c r="A12092" s="3" t="inlineStr">
        <is>
          <t>12051</t>
        </is>
      </c>
      <c r="B12092" s="4" t="s">
        <f>=HYPERLINK("http://anyluxury.ru/shop/odezhda/tolstovki/tolstovka-na-molnii-s-kapyushonom-siverga-20-heavy-chernaya-1621630/" , "16216.30 Толстовка на молнии с капюшоном Siverga 2.0 Heavy, черная, размер 4XL")</f>
      </c>
      <c r="C12092" s="4" t="n">
        <v>2545.00</v>
      </c>
      <c r="D12092" s="4"/>
    </row>
    <row collapsed="" customFormat="false" customHeight="1" hidden="" ht="14" outlineLevel="0" r="12093">
      <c r="A12093" s="3" t="inlineStr">
        <is>
          <t>12052</t>
        </is>
      </c>
      <c r="B12093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XS")</f>
      </c>
      <c r="C12093" s="4" t="n">
        <v>2545.00</v>
      </c>
      <c r="D12093" s="4"/>
    </row>
    <row collapsed="" customFormat="false" customHeight="1" hidden="" ht="14" outlineLevel="0" r="12094">
      <c r="A12094" s="3" t="inlineStr">
        <is>
          <t>12053</t>
        </is>
      </c>
      <c r="B12094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S")</f>
      </c>
      <c r="C12094" s="4" t="n">
        <v>2545.00</v>
      </c>
      <c r="D12094" s="4"/>
    </row>
    <row collapsed="" customFormat="false" customHeight="1" hidden="" ht="14" outlineLevel="0" r="12095">
      <c r="A12095" s="3" t="inlineStr">
        <is>
          <t>12054</t>
        </is>
      </c>
      <c r="B12095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M")</f>
      </c>
      <c r="C12095" s="4" t="n">
        <v>2545.00</v>
      </c>
      <c r="D12095" s="4"/>
    </row>
    <row collapsed="" customFormat="false" customHeight="1" hidden="" ht="14" outlineLevel="0" r="12096">
      <c r="A12096" s="3" t="inlineStr">
        <is>
          <t>12055</t>
        </is>
      </c>
      <c r="B12096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L")</f>
      </c>
      <c r="C12096" s="4" t="n">
        <v>2545.00</v>
      </c>
      <c r="D12096" s="4"/>
    </row>
    <row collapsed="" customFormat="false" customHeight="1" hidden="" ht="14" outlineLevel="0" r="12097">
      <c r="A12097" s="3" t="inlineStr">
        <is>
          <t>12056</t>
        </is>
      </c>
      <c r="B12097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XL")</f>
      </c>
      <c r="C12097" s="4" t="n">
        <v>2545.00</v>
      </c>
      <c r="D12097" s="4"/>
    </row>
    <row collapsed="" customFormat="false" customHeight="1" hidden="" ht="14" outlineLevel="0" r="12098">
      <c r="A12098" s="3" t="inlineStr">
        <is>
          <t>12057</t>
        </is>
      </c>
      <c r="B12098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XXL")</f>
      </c>
      <c r="C12098" s="4" t="n">
        <v>2545.00</v>
      </c>
      <c r="D12098" s="4"/>
    </row>
    <row collapsed="" customFormat="false" customHeight="1" hidden="" ht="14" outlineLevel="0" r="12099">
      <c r="A12099" s="3" t="inlineStr">
        <is>
          <t>12058</t>
        </is>
      </c>
      <c r="B12099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3XL")</f>
      </c>
      <c r="C12099" s="4" t="n">
        <v>2545.00</v>
      </c>
      <c r="D12099" s="4"/>
    </row>
    <row collapsed="" customFormat="false" customHeight="1" hidden="" ht="14" outlineLevel="0" r="12100">
      <c r="A12100" s="3" t="inlineStr">
        <is>
          <t>12059</t>
        </is>
      </c>
      <c r="B12100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4XL")</f>
      </c>
      <c r="C12100" s="4" t="n">
        <v>2545.00</v>
      </c>
      <c r="D12100" s="4"/>
    </row>
    <row collapsed="" customFormat="false" customHeight="1" hidden="" ht="14" outlineLevel="0" r="12101">
      <c r="A12101" s="3" t="inlineStr">
        <is>
          <t>12060</t>
        </is>
      </c>
      <c r="B12101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5XL")</f>
      </c>
      <c r="C12101" s="4" t="n">
        <v>2545.00</v>
      </c>
      <c r="D12101" s="4"/>
    </row>
    <row collapsed="" customFormat="false" customHeight="1" hidden="" ht="14" outlineLevel="0" r="12102">
      <c r="A12102" s="3" t="inlineStr">
        <is>
          <t>12061</t>
        </is>
      </c>
      <c r="B12102" s="4" t="s">
        <f>=HYPERLINK("http://anyluxury.ru/shop/odezhda/tolstovki/tolstovka-na-molnii-s-kapyushonom-siverga-20-heavy-krasnaya-1621650/" , "16216.50 Толстовка на молнии с капюшоном Siverga 2.0 Heavy, красная, размер XS")</f>
      </c>
      <c r="C12102" s="4" t="n">
        <v>2545.00</v>
      </c>
      <c r="D12102" s="4"/>
    </row>
    <row collapsed="" customFormat="false" customHeight="1" hidden="" ht="14" outlineLevel="0" r="12103">
      <c r="A12103" s="3" t="inlineStr">
        <is>
          <t>12062</t>
        </is>
      </c>
      <c r="B12103" s="4" t="s">
        <f>=HYPERLINK("http://anyluxury.ru/shop/odezhda/tolstovki/tolstovka-na-molnii-s-kapyushonom-siverga-20-heavy-krasnaya-1621650/" , "16216.50 Толстовка на молнии с капюшоном Siverga 2.0 Heavy, красная, размер S")</f>
      </c>
      <c r="C12103" s="4" t="n">
        <v>2545.00</v>
      </c>
      <c r="D12103" s="4"/>
    </row>
    <row collapsed="" customFormat="false" customHeight="1" hidden="" ht="14" outlineLevel="0" r="12104">
      <c r="A12104" s="3" t="inlineStr">
        <is>
          <t>12063</t>
        </is>
      </c>
      <c r="B12104" s="4" t="s">
        <f>=HYPERLINK("http://anyluxury.ru/shop/odezhda/tolstovki/tolstovka-na-molnii-s-kapyushonom-siverga-20-heavy-krasnaya-1621650/" , "16216.50 Толстовка на молнии с капюшоном Siverga 2.0 Heavy, красная, размер M")</f>
      </c>
      <c r="C12104" s="4" t="n">
        <v>2545.00</v>
      </c>
      <c r="D12104" s="4"/>
    </row>
    <row collapsed="" customFormat="false" customHeight="1" hidden="" ht="14" outlineLevel="0" r="12105">
      <c r="A12105" s="3" t="inlineStr">
        <is>
          <t>12064</t>
        </is>
      </c>
      <c r="B12105" s="4" t="s">
        <f>=HYPERLINK("http://anyluxury.ru/shop/odezhda/tolstovki/tolstovka-na-molnii-s-kapyushonom-siverga-20-heavy-krasnaya-1621650/" , "16216.50 Толстовка на молнии с капюшоном Siverga 2.0 Heavy, красная, размер L")</f>
      </c>
      <c r="C12105" s="4" t="n">
        <v>2545.00</v>
      </c>
      <c r="D12105" s="4"/>
    </row>
    <row collapsed="" customFormat="false" customHeight="1" hidden="" ht="14" outlineLevel="0" r="12106">
      <c r="A12106" s="3" t="inlineStr">
        <is>
          <t>12065</t>
        </is>
      </c>
      <c r="B12106" s="4" t="s">
        <f>=HYPERLINK("http://anyluxury.ru/shop/odezhda/tolstovki/tolstovka-na-molnii-s-kapyushonom-siverga-20-heavy-krasnaya-1621650/" , "16216.50 Толстовка на молнии с капюшоном Siverga 2.0 Heavy, красная, размер XL")</f>
      </c>
      <c r="C12106" s="4" t="n">
        <v>2545.00</v>
      </c>
      <c r="D12106" s="4"/>
    </row>
    <row collapsed="" customFormat="false" customHeight="1" hidden="" ht="14" outlineLevel="0" r="12107">
      <c r="A12107" s="3" t="inlineStr">
        <is>
          <t>12066</t>
        </is>
      </c>
      <c r="B12107" s="4" t="s">
        <f>=HYPERLINK("http://anyluxury.ru/shop/odezhda/tolstovki/tolstovka-na-molnii-s-kapyushonom-siverga-20-heavy-krasnaya-1621650/" , "16216.50 Толстовка на молнии с капюшоном Siverga 2.0 Heavy, красная, размер XXL")</f>
      </c>
      <c r="C12107" s="4" t="n">
        <v>2545.00</v>
      </c>
      <c r="D12107" s="4"/>
    </row>
    <row collapsed="" customFormat="false" customHeight="1" hidden="" ht="14" outlineLevel="0" r="12108">
      <c r="A12108" s="3" t="inlineStr">
        <is>
          <t>12067</t>
        </is>
      </c>
      <c r="B12108" s="4" t="s">
        <f>=HYPERLINK("http://anyluxury.ru/shop/odezhda/tolstovki/tolstovka-na-molnii-s-kapyushonom-siverga-20-heavy-krasnaya-1621650/" , "16216.50 Толстовка на молнии с капюшоном Siverga 2.0 Heavy, красная, размер 3XL")</f>
      </c>
      <c r="C12108" s="4" t="n">
        <v>2545.00</v>
      </c>
      <c r="D12108" s="4"/>
    </row>
    <row collapsed="" customFormat="false" customHeight="1" hidden="" ht="14" outlineLevel="0" r="12109">
      <c r="A12109" s="3" t="inlineStr">
        <is>
          <t>12068</t>
        </is>
      </c>
      <c r="B12109" s="4" t="s">
        <f>=HYPERLINK("http://anyluxury.ru/shop/odezhda/tolstovki/tolstovka-na-molnii-s-kapyushonom-siverga-20-heavy-krasnaya-1621650/" , "16216.50 Толстовка на молнии с капюшоном Siverga 2.0 Heavy, красная, размер 4XL")</f>
      </c>
      <c r="C12109" s="4" t="n">
        <v>2545.00</v>
      </c>
      <c r="D12109" s="4"/>
    </row>
    <row collapsed="" customFormat="false" customHeight="1" hidden="" ht="14" outlineLevel="0" r="12110">
      <c r="A12110" s="3" t="inlineStr">
        <is>
          <t>12069</t>
        </is>
      </c>
      <c r="B12110" s="4" t="s">
        <f>=HYPERLINK("http://anyluxury.ru/shop/odezhda/tolstovki/tolstovka-na-molnii-s-kapyushonom-siverga-20-heavy-belaya-1621660/" , "16216.60 Толстовка на молнии с капюшоном Siverga 2.0 Heavy, белая, размер XS")</f>
      </c>
      <c r="C12110" s="4" t="n">
        <v>2545.00</v>
      </c>
      <c r="D12110" s="4"/>
    </row>
    <row collapsed="" customFormat="false" customHeight="1" hidden="" ht="14" outlineLevel="0" r="12111">
      <c r="A12111" s="3" t="inlineStr">
        <is>
          <t>12070</t>
        </is>
      </c>
      <c r="B12111" s="4" t="s">
        <f>=HYPERLINK("http://anyluxury.ru/shop/odezhda/tolstovki/tolstovka-na-molnii-s-kapyushonom-siverga-20-heavy-belaya-1621660/" , "16216.60 Толстовка на молнии с капюшоном Siverga 2.0 Heavy, белая, размер S")</f>
      </c>
      <c r="C12111" s="4" t="n">
        <v>2545.00</v>
      </c>
      <c r="D12111" s="4"/>
    </row>
    <row collapsed="" customFormat="false" customHeight="1" hidden="" ht="14" outlineLevel="0" r="12112">
      <c r="A12112" s="3" t="inlineStr">
        <is>
          <t>12071</t>
        </is>
      </c>
      <c r="B12112" s="4" t="s">
        <f>=HYPERLINK("http://anyluxury.ru/shop/odezhda/tolstovki/tolstovka-na-molnii-s-kapyushonom-siverga-20-heavy-belaya-1621660/" , "16216.60 Толстовка на молнии с капюшоном Siverga 2.0 Heavy, белая, размер M")</f>
      </c>
      <c r="C12112" s="4" t="n">
        <v>2545.00</v>
      </c>
      <c r="D12112" s="4"/>
    </row>
    <row collapsed="" customFormat="false" customHeight="1" hidden="" ht="14" outlineLevel="0" r="12113">
      <c r="A12113" s="3" t="inlineStr">
        <is>
          <t>12072</t>
        </is>
      </c>
      <c r="B12113" s="4" t="s">
        <f>=HYPERLINK("http://anyluxury.ru/shop/odezhda/tolstovki/tolstovka-na-molnii-s-kapyushonom-siverga-20-heavy-belaya-1621660/" , "16216.60 Толстовка на молнии с капюшоном Siverga 2.0 Heavy, белая, размер L")</f>
      </c>
      <c r="C12113" s="4" t="n">
        <v>2545.00</v>
      </c>
      <c r="D12113" s="4"/>
    </row>
    <row collapsed="" customFormat="false" customHeight="1" hidden="" ht="14" outlineLevel="0" r="12114">
      <c r="A12114" s="3" t="inlineStr">
        <is>
          <t>12073</t>
        </is>
      </c>
      <c r="B12114" s="4" t="s">
        <f>=HYPERLINK("http://anyluxury.ru/shop/odezhda/tolstovki/tolstovka-na-molnii-s-kapyushonom-siverga-20-heavy-belaya-1621660/" , "16216.60 Толстовка на молнии с капюшоном Siverga 2.0 Heavy, белая, размер XL")</f>
      </c>
      <c r="C12114" s="4" t="n">
        <v>2545.00</v>
      </c>
      <c r="D12114" s="4"/>
    </row>
    <row collapsed="" customFormat="false" customHeight="1" hidden="" ht="14" outlineLevel="0" r="12115">
      <c r="A12115" s="3" t="inlineStr">
        <is>
          <t>12074</t>
        </is>
      </c>
      <c r="B12115" s="4" t="s">
        <f>=HYPERLINK("http://anyluxury.ru/shop/odezhda/tolstovki/tolstovka-na-molnii-s-kapyushonom-siverga-20-heavy-belaya-1621660/" , "16216.60 Толстовка на молнии с капюшоном Siverga 2.0 Heavy, белая, размер XXL")</f>
      </c>
      <c r="C12115" s="4" t="n">
        <v>2545.00</v>
      </c>
      <c r="D12115" s="4"/>
    </row>
    <row collapsed="" customFormat="false" customHeight="1" hidden="" ht="14" outlineLevel="0" r="12116">
      <c r="A12116" s="3" t="inlineStr">
        <is>
          <t>12075</t>
        </is>
      </c>
      <c r="B12116" s="4" t="s">
        <f>=HYPERLINK("http://anyluxury.ru/shop/odezhda/tolstovki/tolstovka-na-molnii-s-kapyushonom-siverga-20-heavy-belaya-1621660/" , "16216.60 Толстовка на молнии с капюшоном Siverga 2.0 Heavy, белая, размер 3XL")</f>
      </c>
      <c r="C12116" s="4" t="n">
        <v>2545.00</v>
      </c>
      <c r="D12116" s="4"/>
    </row>
    <row collapsed="" customFormat="false" customHeight="1" hidden="" ht="14" outlineLevel="0" r="12117">
      <c r="A12117" s="3" t="inlineStr">
        <is>
          <t>12076</t>
        </is>
      </c>
      <c r="B12117" s="4" t="s">
        <f>=HYPERLINK("http://anyluxury.ru/shop/odezhda/tolstovki/tolstovka-na-molnii-s-kapyushonom-siverga-20-heavy-belaya-1621660/" , "16216.60 Толстовка на молнии с капюшоном Siverga 2.0 Heavy, белая, размер 4XL")</f>
      </c>
      <c r="C12117" s="4" t="n">
        <v>2545.00</v>
      </c>
      <c r="D12117" s="4"/>
    </row>
    <row collapsed="" customFormat="false" customHeight="1" hidden="" ht="14" outlineLevel="0" r="12118">
      <c r="A12118" s="3" t="inlineStr">
        <is>
          <t>12077</t>
        </is>
      </c>
      <c r="B12118" s="4" t="s">
        <f>=HYPERLINK("http://anyluxury.ru/shop/odezhda/tolstovki/tolstovka-na-molnii-s-kapyushonom-siverga-20-heavy-belaya-1621660/" , "16216.60 Толстовка на молнии с капюшоном Siverga 2.0 Heavy, белая, размер 5XL")</f>
      </c>
      <c r="C12118" s="4" t="n">
        <v>2545.00</v>
      </c>
      <c r="D12118" s="4"/>
    </row>
    <row collapsed="" customFormat="false" customHeight="1" hidden="" ht="14" outlineLevel="0" r="12119">
      <c r="A12119" s="3" t="inlineStr">
        <is>
          <t>12078</t>
        </is>
      </c>
      <c r="B12119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XS")</f>
      </c>
      <c r="C12119" s="4" t="n">
        <v>2545.00</v>
      </c>
      <c r="D12119" s="4"/>
    </row>
    <row collapsed="" customFormat="false" customHeight="1" hidden="" ht="14" outlineLevel="0" r="12120">
      <c r="A12120" s="3" t="inlineStr">
        <is>
          <t>12079</t>
        </is>
      </c>
      <c r="B12120" s="4" t="s">
        <f>=HYPERLINK("http://anyluxury.ru/shop/odezhda/tolstovki/tolstovka-na-molnii-s-kapyushonom-siverga-20-heavy-fioletovaya-1621678/" , "16216.78 Толстовка на молнии с капюшоном Siverga 2.0 Heavy, фиолетовая, размер S")</f>
      </c>
      <c r="C12120" s="4" t="n">
        <v>2545.00</v>
      </c>
      <c r="D12120" s="4"/>
    </row>
    <row collapsed="" customFormat="false" customHeight="1" hidden="" ht="14" outlineLevel="0" r="12121">
      <c r="A12121" s="3" t="inlineStr">
        <is>
          <t>12080</t>
        </is>
      </c>
      <c r="B12121" s="4" t="s">
        <f>=HYPERLINK("http://anyluxury.ru/shop/odezhda/tolstovki/tolstovka-na-molnii-s-kapyushonom-siverga-20-heavy-fioletovaya-1621678/" , "16216.78 Толстовка на молнии с капюшоном Siverga 2.0 Heavy, фиолетовая, размер M")</f>
      </c>
      <c r="C12121" s="4" t="n">
        <v>2545.00</v>
      </c>
      <c r="D12121" s="4"/>
    </row>
    <row collapsed="" customFormat="false" customHeight="1" hidden="" ht="14" outlineLevel="0" r="12122">
      <c r="A12122" s="3" t="inlineStr">
        <is>
          <t>12081</t>
        </is>
      </c>
      <c r="B12122" s="4" t="s">
        <f>=HYPERLINK("http://anyluxury.ru/shop/odezhda/tolstovki/tolstovka-na-molnii-s-kapyushonom-siverga-20-heavy-fioletovaya-1621678/" , "16216.78 Толстовка на молнии с капюшоном Siverga 2.0 Heavy, фиолетовая, размер L")</f>
      </c>
      <c r="C12122" s="4" t="n">
        <v>2545.00</v>
      </c>
      <c r="D12122" s="4"/>
    </row>
    <row collapsed="" customFormat="false" customHeight="1" hidden="" ht="14" outlineLevel="0" r="12123">
      <c r="A12123" s="3" t="inlineStr">
        <is>
          <t>12082</t>
        </is>
      </c>
      <c r="B12123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XL")</f>
      </c>
      <c r="C12123" s="4" t="n">
        <v>2545.00</v>
      </c>
      <c r="D12123" s="4"/>
    </row>
    <row collapsed="" customFormat="false" customHeight="1" hidden="" ht="14" outlineLevel="0" r="12124">
      <c r="A12124" s="3" t="inlineStr">
        <is>
          <t>12083</t>
        </is>
      </c>
      <c r="B12124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XXL")</f>
      </c>
      <c r="C12124" s="4" t="n">
        <v>2545.00</v>
      </c>
      <c r="D12124" s="4"/>
    </row>
    <row collapsed="" customFormat="false" customHeight="1" hidden="" ht="14" outlineLevel="0" r="12125">
      <c r="A12125" s="3" t="inlineStr">
        <is>
          <t>12084</t>
        </is>
      </c>
      <c r="B12125" s="4" t="s">
        <f>=HYPERLINK("http://anyluxury.ru/shop/odezhda/tolstovki/tolstovka-na-molnii-s-kapyushonom-siverga-20-heavy-fioletovaya-1621678/" , "16216.78 Толстовка на молнии с капюшоном Siverga 2.0 Heavy, фиолетовая, размер 3XL")</f>
      </c>
      <c r="C12125" s="4" t="n">
        <v>2545.00</v>
      </c>
      <c r="D12125" s="4"/>
    </row>
    <row collapsed="" customFormat="false" customHeight="1" hidden="" ht="14" outlineLevel="0" r="12126">
      <c r="A12126" s="3" t="inlineStr">
        <is>
          <t>12085</t>
        </is>
      </c>
      <c r="B12126" s="4" t="s">
        <f>=HYPERLINK("http://anyluxury.ru/shop/odezhda/tolstovki/tolstovka-na-molnii-s-kapyushonom-siverga-20-heavy-fioletovaya-1621678/" , "16216.78 Толстовка на молнии с капюшоном Siverga 2.0 Heavy, фиолетовая, размер 4XL")</f>
      </c>
      <c r="C12126" s="4" t="n">
        <v>2545.00</v>
      </c>
      <c r="D12126" s="4"/>
    </row>
    <row collapsed="" customFormat="false" customHeight="1" hidden="" ht="14" outlineLevel="0" r="12127">
      <c r="A12127" s="3" t="inlineStr">
        <is>
          <t>12086</t>
        </is>
      </c>
      <c r="B12127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XS")</f>
      </c>
      <c r="C12127" s="4" t="n">
        <v>2545.00</v>
      </c>
      <c r="D12127" s="4"/>
    </row>
    <row collapsed="" customFormat="false" customHeight="1" hidden="" ht="14" outlineLevel="0" r="12128">
      <c r="A12128" s="3" t="inlineStr">
        <is>
          <t>12087</t>
        </is>
      </c>
      <c r="B12128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S")</f>
      </c>
      <c r="C12128" s="4" t="n">
        <v>2545.00</v>
      </c>
      <c r="D12128" s="4"/>
    </row>
    <row collapsed="" customFormat="false" customHeight="1" hidden="" ht="14" outlineLevel="0" r="12129">
      <c r="A12129" s="3" t="inlineStr">
        <is>
          <t>12088</t>
        </is>
      </c>
      <c r="B12129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M")</f>
      </c>
      <c r="C12129" s="4" t="n">
        <v>2545.00</v>
      </c>
      <c r="D12129" s="4"/>
    </row>
    <row collapsed="" customFormat="false" customHeight="1" hidden="" ht="14" outlineLevel="0" r="12130">
      <c r="A12130" s="3" t="inlineStr">
        <is>
          <t>12089</t>
        </is>
      </c>
      <c r="B12130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L")</f>
      </c>
      <c r="C12130" s="4" t="n">
        <v>2545.00</v>
      </c>
      <c r="D12130" s="4"/>
    </row>
    <row collapsed="" customFormat="false" customHeight="1" hidden="" ht="14" outlineLevel="0" r="12131">
      <c r="A12131" s="3" t="inlineStr">
        <is>
          <t>12090</t>
        </is>
      </c>
      <c r="B12131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XL")</f>
      </c>
      <c r="C12131" s="4" t="n">
        <v>2545.00</v>
      </c>
      <c r="D12131" s="4"/>
    </row>
    <row collapsed="" customFormat="false" customHeight="1" hidden="" ht="14" outlineLevel="0" r="12132">
      <c r="A12132" s="3" t="inlineStr">
        <is>
          <t>12091</t>
        </is>
      </c>
      <c r="B12132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XXL")</f>
      </c>
      <c r="C12132" s="4" t="n">
        <v>2545.00</v>
      </c>
      <c r="D12132" s="4"/>
    </row>
    <row collapsed="" customFormat="false" customHeight="1" hidden="" ht="14" outlineLevel="0" r="12133">
      <c r="A12133" s="3" t="inlineStr">
        <is>
          <t>12092</t>
        </is>
      </c>
      <c r="B12133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3XL")</f>
      </c>
      <c r="C12133" s="4" t="n">
        <v>2545.00</v>
      </c>
      <c r="D12133" s="4"/>
    </row>
    <row collapsed="" customFormat="false" customHeight="1" hidden="" ht="14" outlineLevel="0" r="12134">
      <c r="A12134" s="3" t="inlineStr">
        <is>
          <t>12093</t>
        </is>
      </c>
      <c r="B12134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4XL")</f>
      </c>
      <c r="C12134" s="4" t="n">
        <v>2545.00</v>
      </c>
      <c r="D12134" s="4"/>
    </row>
    <row collapsed="" customFormat="false" customHeight="1" hidden="" ht="14" outlineLevel="0" r="12135">
      <c r="A12135" s="3" t="inlineStr">
        <is>
          <t>12094</t>
        </is>
      </c>
      <c r="B12135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XS")</f>
      </c>
      <c r="C12135" s="4" t="n">
        <v>2545.00</v>
      </c>
      <c r="D12135" s="4"/>
    </row>
    <row collapsed="" customFormat="false" customHeight="1" hidden="" ht="14" outlineLevel="0" r="12136">
      <c r="A12136" s="3" t="inlineStr">
        <is>
          <t>12095</t>
        </is>
      </c>
      <c r="B12136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S")</f>
      </c>
      <c r="C12136" s="4" t="n">
        <v>2545.00</v>
      </c>
      <c r="D12136" s="4"/>
    </row>
    <row collapsed="" customFormat="false" customHeight="1" hidden="" ht="14" outlineLevel="0" r="12137">
      <c r="A12137" s="3" t="inlineStr">
        <is>
          <t>12096</t>
        </is>
      </c>
      <c r="B12137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M")</f>
      </c>
      <c r="C12137" s="4" t="n">
        <v>2545.00</v>
      </c>
      <c r="D12137" s="4"/>
    </row>
    <row collapsed="" customFormat="false" customHeight="1" hidden="" ht="14" outlineLevel="0" r="12138">
      <c r="A12138" s="3" t="inlineStr">
        <is>
          <t>12097</t>
        </is>
      </c>
      <c r="B12138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L")</f>
      </c>
      <c r="C12138" s="4" t="n">
        <v>2545.00</v>
      </c>
      <c r="D12138" s="4"/>
    </row>
    <row collapsed="" customFormat="false" customHeight="1" hidden="" ht="14" outlineLevel="0" r="12139">
      <c r="A12139" s="3" t="inlineStr">
        <is>
          <t>12098</t>
        </is>
      </c>
      <c r="B12139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XL")</f>
      </c>
      <c r="C12139" s="4" t="n">
        <v>2545.00</v>
      </c>
      <c r="D12139" s="4"/>
    </row>
    <row collapsed="" customFormat="false" customHeight="1" hidden="" ht="14" outlineLevel="0" r="12140">
      <c r="A12140" s="3" t="inlineStr">
        <is>
          <t>12099</t>
        </is>
      </c>
      <c r="B12140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XXL")</f>
      </c>
      <c r="C12140" s="4" t="n">
        <v>2545.00</v>
      </c>
      <c r="D12140" s="4"/>
    </row>
    <row collapsed="" customFormat="false" customHeight="1" hidden="" ht="14" outlineLevel="0" r="12141">
      <c r="A12141" s="3" t="inlineStr">
        <is>
          <t>12100</t>
        </is>
      </c>
      <c r="B12141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3XL")</f>
      </c>
      <c r="C12141" s="4" t="n">
        <v>2545.00</v>
      </c>
      <c r="D12141" s="4"/>
    </row>
    <row collapsed="" customFormat="false" customHeight="1" hidden="" ht="14" outlineLevel="0" r="12142">
      <c r="A12142" s="3" t="inlineStr">
        <is>
          <t>12101</t>
        </is>
      </c>
      <c r="B12142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4XL")</f>
      </c>
      <c r="C12142" s="4" t="n">
        <v>2545.00</v>
      </c>
      <c r="D12142" s="4"/>
    </row>
    <row collapsed="" customFormat="false" customHeight="1" hidden="" ht="14" outlineLevel="0" r="12143">
      <c r="A12143" s="3" t="inlineStr">
        <is>
          <t>12102</t>
        </is>
      </c>
      <c r="B12143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XS")</f>
      </c>
      <c r="C12143" s="4" t="n">
        <v>2545.00</v>
      </c>
      <c r="D12143" s="4"/>
    </row>
    <row collapsed="" customFormat="false" customHeight="1" hidden="" ht="14" outlineLevel="0" r="12144">
      <c r="A12144" s="3" t="inlineStr">
        <is>
          <t>12103</t>
        </is>
      </c>
      <c r="B12144" s="4" t="s">
        <f>=HYPERLINK("http://anyluxury.ru/shop/odezhda/tolstovki/tolstovka-na-molnii-s-kapyushonom-siverga-20-heavy-yarkosinyaya-1621644/" , "16216.44 Толстовка на молнии с капюшоном Siverga 2.0 Heavy, ярко-синяя, размер S")</f>
      </c>
      <c r="C12144" s="4" t="n">
        <v>2545.00</v>
      </c>
      <c r="D12144" s="4"/>
    </row>
    <row collapsed="" customFormat="false" customHeight="1" hidden="" ht="14" outlineLevel="0" r="12145">
      <c r="A12145" s="3" t="inlineStr">
        <is>
          <t>12104</t>
        </is>
      </c>
      <c r="B12145" s="4" t="s">
        <f>=HYPERLINK("http://anyluxury.ru/shop/odezhda/tolstovki/tolstovka-na-molnii-s-kapyushonom-siverga-20-heavy-yarkosinyaya-1621644/" , "16216.44 Толстовка на молнии с капюшоном Siverga 2.0 Heavy, ярко-синяя, размер M")</f>
      </c>
      <c r="C12145" s="4" t="n">
        <v>2545.00</v>
      </c>
      <c r="D12145" s="4"/>
    </row>
    <row collapsed="" customFormat="false" customHeight="1" hidden="" ht="14" outlineLevel="0" r="12146">
      <c r="A12146" s="3" t="inlineStr">
        <is>
          <t>12105</t>
        </is>
      </c>
      <c r="B12146" s="4" t="s">
        <f>=HYPERLINK("http://anyluxury.ru/shop/odezhda/tolstovki/tolstovka-na-molnii-s-kapyushonom-siverga-20-heavy-yarkosinyaya-1621644/" , "16216.44 Толстовка на молнии с капюшоном Siverga 2.0 Heavy, ярко-синяя, размер L")</f>
      </c>
      <c r="C12146" s="4" t="n">
        <v>2545.00</v>
      </c>
      <c r="D12146" s="4"/>
    </row>
    <row collapsed="" customFormat="false" customHeight="1" hidden="" ht="14" outlineLevel="0" r="12147">
      <c r="A12147" s="3" t="inlineStr">
        <is>
          <t>12106</t>
        </is>
      </c>
      <c r="B12147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XL")</f>
      </c>
      <c r="C12147" s="4" t="n">
        <v>2545.00</v>
      </c>
      <c r="D12147" s="4"/>
    </row>
    <row collapsed="" customFormat="false" customHeight="1" hidden="" ht="14" outlineLevel="0" r="12148">
      <c r="A12148" s="3" t="inlineStr">
        <is>
          <t>12107</t>
        </is>
      </c>
      <c r="B12148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XXL")</f>
      </c>
      <c r="C12148" s="4" t="n">
        <v>2545.00</v>
      </c>
      <c r="D12148" s="4"/>
    </row>
    <row collapsed="" customFormat="false" customHeight="1" hidden="" ht="14" outlineLevel="0" r="12149">
      <c r="A12149" s="3" t="inlineStr">
        <is>
          <t>12108</t>
        </is>
      </c>
      <c r="B12149" s="4" t="s">
        <f>=HYPERLINK("http://anyluxury.ru/shop/odezhda/tolstovki/tolstovka-na-molnii-s-kapyushonom-siverga-20-heavy-yarkosinyaya-1621644/" , "16216.44 Толстовка на молнии с капюшоном Siverga 2.0 Heavy, ярко-синяя, размер 3XL")</f>
      </c>
      <c r="C12149" s="4" t="n">
        <v>2545.00</v>
      </c>
      <c r="D12149" s="4"/>
    </row>
    <row collapsed="" customFormat="false" customHeight="1" hidden="" ht="14" outlineLevel="0" r="12150">
      <c r="A12150" s="3" t="inlineStr">
        <is>
          <t>12109</t>
        </is>
      </c>
      <c r="B12150" s="4" t="s">
        <f>=HYPERLINK("http://anyluxury.ru/shop/odezhda/tolstovki/tolstovka-na-molnii-s-kapyushonom-siverga-20-heavy-yarkosinyaya-1621644/" , "16216.44 Толстовка на молнии с капюшоном Siverga 2.0 Heavy, ярко-синяя, размер 4XL")</f>
      </c>
      <c r="C12150" s="4" t="n">
        <v>2545.00</v>
      </c>
      <c r="D12150" s="4"/>
    </row>
    <row collapsed="" customFormat="false" customHeight="1" hidden="" ht="14" outlineLevel="0" r="12151">
      <c r="A12151" s="3" t="inlineStr">
        <is>
          <t>12110</t>
        </is>
      </c>
      <c r="B12151" s="4" t="s">
        <f>=HYPERLINK("http://anyluxury.ru/shop/odezhda/tolstovki/tolstovka-na-molnii-s-kapyushonom-siverga-20-heavy-yarkosinyaya-1621644/" , "16216.44 Толстовка на молнии с капюшоном Siverga 2.0 Heavy, ярко-синяя, размер 5XL")</f>
      </c>
      <c r="C12151" s="4" t="n">
        <v>2545.00</v>
      </c>
      <c r="D12151" s="4"/>
    </row>
    <row collapsed="" customFormat="false" customHeight="1" hidden="" ht="14" outlineLevel="0" r="12152">
      <c r="A12152" s="3" t="inlineStr">
        <is>
          <t>12111</t>
        </is>
      </c>
      <c r="B12152" s="4" t="s">
        <f>=HYPERLINK("http://anyluxury.ru/shop/odezhda/tolstovki/tolstovka-uniseks-hike-klondike-chernaya-1915430/" , "19154.30 Толстовка унисекс Hike Klondike, черная, размер S")</f>
      </c>
      <c r="C12152" s="4" t="n">
        <v>2250.00</v>
      </c>
      <c r="D12152" s="4"/>
    </row>
    <row collapsed="" customFormat="false" customHeight="1" hidden="" ht="14" outlineLevel="0" r="12153">
      <c r="A12153" s="3" t="inlineStr">
        <is>
          <t>12112</t>
        </is>
      </c>
      <c r="B12153" s="4" t="s">
        <f>=HYPERLINK("http://anyluxury.ru/shop/odezhda/tolstovki/tolstovka-uniseks-hike-klondike-chernaya-1915430/" , "19154.30 Толстовка унисекс Hike Klondike, черная, размер M")</f>
      </c>
      <c r="C12153" s="4" t="n">
        <v>2250.00</v>
      </c>
      <c r="D12153" s="4"/>
    </row>
    <row collapsed="" customFormat="false" customHeight="1" hidden="" ht="14" outlineLevel="0" r="12154">
      <c r="A12154" s="3" t="inlineStr">
        <is>
          <t>12113</t>
        </is>
      </c>
      <c r="B12154" s="4" t="s">
        <f>=HYPERLINK("http://anyluxury.ru/shop/odezhda/tolstovki/tolstovka-uniseks-hike-klondike-chernaya-1915430/" , "19154.30 Толстовка унисекс Hike Klondike, черная, размер L")</f>
      </c>
      <c r="C12154" s="4" t="n">
        <v>2250.00</v>
      </c>
      <c r="D12154" s="4"/>
    </row>
    <row collapsed="" customFormat="false" customHeight="1" hidden="" ht="14" outlineLevel="0" r="12155">
      <c r="A12155" s="3" t="inlineStr">
        <is>
          <t>12114</t>
        </is>
      </c>
      <c r="B12155" s="4" t="s">
        <f>=HYPERLINK("http://anyluxury.ru/shop/odezhda/tolstovki/tolstovka-uniseks-hike-klondike-chernaya-1915430/" , "19154.30 Толстовка унисекс Hike Klondike, черная, размер XL")</f>
      </c>
      <c r="C12155" s="4" t="n">
        <v>2250.00</v>
      </c>
      <c r="D12155" s="4"/>
    </row>
    <row collapsed="" customFormat="false" customHeight="1" hidden="" ht="14" outlineLevel="0" r="12156">
      <c r="A12156" s="3" t="inlineStr">
        <is>
          <t>12115</t>
        </is>
      </c>
      <c r="B12156" s="4" t="s">
        <f>=HYPERLINK("http://anyluxury.ru/shop/odezhda/tolstovki/tolstovka-uniseks-hike-klondike-chernaya-1915430/" , "19154.30 Толстовка унисекс Hike Klondike, черная, размер XXL")</f>
      </c>
      <c r="C12156" s="4" t="n">
        <v>2250.00</v>
      </c>
      <c r="D12156" s="4"/>
    </row>
    <row collapsed="" customFormat="false" customHeight="1" hidden="" ht="14" outlineLevel="0" r="12157">
      <c r="A12157" s="3" t="inlineStr">
        <is>
          <t>12116</t>
        </is>
      </c>
      <c r="B12157" s="4" t="s">
        <f>=HYPERLINK("http://anyluxury.ru/shop/odezhda/tolstovki/tolstovka-uniseks-calipso-chernaya-04237312/" , "04237312 Толстовка унисекс Calipso, черная, размер XS")</f>
      </c>
      <c r="C12157" s="4" t="n">
        <v>3879.00</v>
      </c>
      <c r="D12157" s="4"/>
    </row>
    <row collapsed="" customFormat="false" customHeight="1" hidden="" ht="14" outlineLevel="0" r="12158">
      <c r="A12158" s="3" t="inlineStr">
        <is>
          <t>12117</t>
        </is>
      </c>
      <c r="B12158" s="4" t="s">
        <f>=HYPERLINK("http://anyluxury.ru/shop/odezhda/tolstovki/tolstovka-uniseks-calipso-chernaya-04237312/" , "04237312 Толстовка унисекс Calipso, черная, размер S")</f>
      </c>
      <c r="C12158" s="4" t="n">
        <v>3879.00</v>
      </c>
      <c r="D12158" s="4"/>
    </row>
    <row collapsed="" customFormat="false" customHeight="1" hidden="" ht="14" outlineLevel="0" r="12159">
      <c r="A12159" s="3" t="inlineStr">
        <is>
          <t>12118</t>
        </is>
      </c>
      <c r="B12159" s="4" t="s">
        <f>=HYPERLINK("http://anyluxury.ru/shop/odezhda/tolstovki/tolstovka-uniseks-calipso-chernaya-04237312/" , "04237312 Толстовка унисекс Calipso, черная, размер M")</f>
      </c>
      <c r="C12159" s="4" t="n">
        <v>3879.00</v>
      </c>
      <c r="D12159" s="4"/>
    </row>
    <row collapsed="" customFormat="false" customHeight="1" hidden="" ht="14" outlineLevel="0" r="12160">
      <c r="A12160" s="3" t="inlineStr">
        <is>
          <t>12119</t>
        </is>
      </c>
      <c r="B12160" s="4" t="s">
        <f>=HYPERLINK("http://anyluxury.ru/shop/odezhda/tolstovki/tolstovka-uniseks-calipso-chernaya-04237312/" , "04237312 Толстовка унисекс Calipso, черная, размер L")</f>
      </c>
      <c r="C12160" s="4" t="n">
        <v>3879.00</v>
      </c>
      <c r="D12160" s="4"/>
    </row>
    <row collapsed="" customFormat="false" customHeight="1" hidden="" ht="14" outlineLevel="0" r="12161">
      <c r="A12161" s="3" t="inlineStr">
        <is>
          <t>12120</t>
        </is>
      </c>
      <c r="B12161" s="4" t="s">
        <f>=HYPERLINK("http://anyluxury.ru/shop/odezhda/tolstovki/tolstovka-uniseks-calipso-chernaya-04237312/" , "04237312 Толстовка унисекс Calipso, черная, размер XL")</f>
      </c>
      <c r="C12161" s="4" t="n">
        <v>3879.00</v>
      </c>
      <c r="D12161" s="4"/>
    </row>
    <row collapsed="" customFormat="false" customHeight="1" hidden="" ht="14" outlineLevel="0" r="12162">
      <c r="A12162" s="3" t="inlineStr">
        <is>
          <t>12121</t>
        </is>
      </c>
      <c r="B12162" s="4" t="s">
        <f>=HYPERLINK("http://anyluxury.ru/shop/odezhda/tolstovki/tolstovka-uniseks-calipso-chernaya-04237312/" , "04237312 Толстовка унисекс Calipso, черная, размер XXL")</f>
      </c>
      <c r="C12162" s="4" t="n">
        <v>3879.00</v>
      </c>
      <c r="D12162" s="4"/>
    </row>
    <row collapsed="" customFormat="false" customHeight="1" hidden="" ht="14" outlineLevel="0" r="12163">
      <c r="A12163" s="3" t="inlineStr">
        <is>
          <t>12122</t>
        </is>
      </c>
      <c r="B12163" s="4" t="s">
        <f>=HYPERLINK("http://anyluxury.ru/shop/odezhda/tolstovki/tolstovka-uniseks-calipso-chernaya-04237312/" , "04237312 Толстовка унисекс Calipso, черная, размер 3XL")</f>
      </c>
      <c r="C12163" s="4" t="n">
        <v>4541.00</v>
      </c>
      <c r="D12163" s="4"/>
    </row>
    <row collapsed="" customFormat="false" customHeight="1" hidden="" ht="14" outlineLevel="0" r="12164">
      <c r="A12164" s="3" t="inlineStr">
        <is>
          <t>12123</t>
        </is>
      </c>
      <c r="B12164" s="4" t="s">
        <f>=HYPERLINK("http://anyluxury.ru/shop/odezhda/tolstovki/tolstovka-uniseks-calipso-temnosinyaya-04237319/" , "04237319 Толстовка унисекс Calipso, темно-синяя, размер XS")</f>
      </c>
      <c r="C12164" s="4" t="n">
        <v>3879.00</v>
      </c>
      <c r="D12164" s="4"/>
    </row>
    <row collapsed="" customFormat="false" customHeight="1" hidden="" ht="14" outlineLevel="0" r="12165">
      <c r="A12165" s="3" t="inlineStr">
        <is>
          <t>12124</t>
        </is>
      </c>
      <c r="B12165" s="4" t="s">
        <f>=HYPERLINK("http://anyluxury.ru/shop/odezhda/tolstovki/tolstovka-uniseks-calipso-temnosinyaya-04237319/" , "04237319 Толстовка унисекс Calipso, темно-синяя, размер S")</f>
      </c>
      <c r="C12165" s="4" t="n">
        <v>3879.00</v>
      </c>
      <c r="D12165" s="4"/>
    </row>
    <row collapsed="" customFormat="false" customHeight="1" hidden="" ht="14" outlineLevel="0" r="12166">
      <c r="A12166" s="3" t="inlineStr">
        <is>
          <t>12125</t>
        </is>
      </c>
      <c r="B12166" s="4" t="s">
        <f>=HYPERLINK("http://anyluxury.ru/shop/odezhda/tolstovki/tolstovka-uniseks-calipso-temnosinyaya-04237319/" , "04237319 Толстовка унисекс Calipso, темно-синяя, размер M")</f>
      </c>
      <c r="C12166" s="4" t="n">
        <v>3879.00</v>
      </c>
      <c r="D12166" s="4"/>
    </row>
    <row collapsed="" customFormat="false" customHeight="1" hidden="" ht="14" outlineLevel="0" r="12167">
      <c r="A12167" s="3" t="inlineStr">
        <is>
          <t>12126</t>
        </is>
      </c>
      <c r="B12167" s="4" t="s">
        <f>=HYPERLINK("http://anyluxury.ru/shop/odezhda/tolstovki/tolstovka-uniseks-calipso-temnosinyaya-04237319/" , "04237319 Толстовка унисекс Calipso, темно-синяя, размер L")</f>
      </c>
      <c r="C12167" s="4" t="n">
        <v>3879.00</v>
      </c>
      <c r="D12167" s="4"/>
    </row>
    <row collapsed="" customFormat="false" customHeight="1" hidden="" ht="14" outlineLevel="0" r="12168">
      <c r="A12168" s="3" t="inlineStr">
        <is>
          <t>12127</t>
        </is>
      </c>
      <c r="B12168" s="4" t="s">
        <f>=HYPERLINK("http://anyluxury.ru/shop/odezhda/tolstovki/tolstovka-uniseks-calipso-temnosinyaya-04237319/" , "04237319 Толстовка унисекс Calipso, темно-синяя, размер XL")</f>
      </c>
      <c r="C12168" s="4" t="n">
        <v>3879.00</v>
      </c>
      <c r="D12168" s="4"/>
    </row>
    <row collapsed="" customFormat="false" customHeight="1" hidden="" ht="14" outlineLevel="0" r="12169">
      <c r="A12169" s="3" t="inlineStr">
        <is>
          <t>12128</t>
        </is>
      </c>
      <c r="B12169" s="4" t="s">
        <f>=HYPERLINK("http://anyluxury.ru/shop/odezhda/tolstovki/tolstovka-uniseks-calipso-temnosinyaya-04237319/" , "04237319 Толстовка унисекс Calipso, темно-синяя, размер XXL")</f>
      </c>
      <c r="C12169" s="4" t="n">
        <v>3879.00</v>
      </c>
      <c r="D12169" s="4"/>
    </row>
    <row collapsed="" customFormat="false" customHeight="1" hidden="" ht="14" outlineLevel="0" r="12170">
      <c r="A12170" s="3" t="inlineStr">
        <is>
          <t>12129</t>
        </is>
      </c>
      <c r="B12170" s="4" t="s">
        <f>=HYPERLINK("http://anyluxury.ru/shop/odezhda/tolstovki/tolstovka-uniseks-calipso-temnosinyaya-04237319/" , "04237319 Толстовка унисекс Calipso, темно-синяя, размер 3XL")</f>
      </c>
      <c r="C12170" s="4" t="n">
        <v>4541.00</v>
      </c>
      <c r="D12170" s="4"/>
    </row>
    <row collapsed="" customFormat="false" customHeight="1" hidden="" ht="14" outlineLevel="0" r="12171">
      <c r="A12171" s="3" t="inlineStr">
        <is>
          <t>12130</t>
        </is>
      </c>
      <c r="B12171" s="4" t="s">
        <f>=HYPERLINK("http://anyluxury.ru/shop/odezhda/tolstovki/tolstovka-uniseks-calipso-seriy-melanzh-04237360/" , "04237360 Толстовка унисекс Calipso, серый меланж, размер XS")</f>
      </c>
      <c r="C12171" s="4" t="n">
        <v>3879.00</v>
      </c>
      <c r="D12171" s="4"/>
    </row>
    <row collapsed="" customFormat="false" customHeight="1" hidden="" ht="14" outlineLevel="0" r="12172">
      <c r="A12172" s="3" t="inlineStr">
        <is>
          <t>12131</t>
        </is>
      </c>
      <c r="B12172" s="4" t="s">
        <f>=HYPERLINK("http://anyluxury.ru/shop/odezhda/tolstovki/tolstovka-uniseks-calipso-seriy-melanzh-04237360/" , "04237360 Толстовка унисекс Calipso, серый меланж, размер S")</f>
      </c>
      <c r="C12172" s="4" t="n">
        <v>3879.00</v>
      </c>
      <c r="D12172" s="4"/>
    </row>
    <row collapsed="" customFormat="false" customHeight="1" hidden="" ht="14" outlineLevel="0" r="12173">
      <c r="A12173" s="3" t="inlineStr">
        <is>
          <t>12132</t>
        </is>
      </c>
      <c r="B12173" s="4" t="s">
        <f>=HYPERLINK("http://anyluxury.ru/shop/odezhda/tolstovki/tolstovka-uniseks-calipso-seriy-melanzh-04237360/" , "04237360 Толстовка унисекс Calipso, серый меланж, размер M")</f>
      </c>
      <c r="C12173" s="4" t="n">
        <v>3879.00</v>
      </c>
      <c r="D12173" s="4"/>
    </row>
    <row collapsed="" customFormat="false" customHeight="1" hidden="" ht="14" outlineLevel="0" r="12174">
      <c r="A12174" s="3" t="inlineStr">
        <is>
          <t>12133</t>
        </is>
      </c>
      <c r="B12174" s="4" t="s">
        <f>=HYPERLINK("http://anyluxury.ru/shop/odezhda/tolstovki/tolstovka-uniseks-calipso-seriy-melanzh-04237360/" , "04237360 Толстовка унисекс Calipso, серый меланж, размер L")</f>
      </c>
      <c r="C12174" s="4" t="n">
        <v>3879.00</v>
      </c>
      <c r="D12174" s="4"/>
    </row>
    <row collapsed="" customFormat="false" customHeight="1" hidden="" ht="14" outlineLevel="0" r="12175">
      <c r="A12175" s="3" t="inlineStr">
        <is>
          <t>12134</t>
        </is>
      </c>
      <c r="B12175" s="4" t="s">
        <f>=HYPERLINK("http://anyluxury.ru/shop/odezhda/tolstovki/tolstovka-uniseks-calipso-seriy-melanzh-04237360/" , "04237360 Толстовка унисекс Calipso, серый меланж, размер XL")</f>
      </c>
      <c r="C12175" s="4" t="n">
        <v>3879.00</v>
      </c>
      <c r="D12175" s="4"/>
    </row>
    <row collapsed="" customFormat="false" customHeight="1" hidden="" ht="14" outlineLevel="0" r="12176">
      <c r="A12176" s="3" t="inlineStr">
        <is>
          <t>12135</t>
        </is>
      </c>
      <c r="B12176" s="4" t="s">
        <f>=HYPERLINK("http://anyluxury.ru/shop/odezhda/tolstovki/tolstovka-uniseks-calipso-seriy-melanzh-04237360/" , "04237360 Толстовка унисекс Calipso, серый меланж, размер XXL")</f>
      </c>
      <c r="C12176" s="4" t="n">
        <v>3879.00</v>
      </c>
      <c r="D12176" s="4"/>
    </row>
    <row collapsed="" customFormat="false" customHeight="1" hidden="" ht="14" outlineLevel="0" r="12177">
      <c r="A12177" s="3" t="inlineStr">
        <is>
          <t>12136</t>
        </is>
      </c>
      <c r="B12177" s="4" t="s">
        <f>=HYPERLINK("http://anyluxury.ru/shop/odezhda/tolstovki/tolstovka-uniseks-calipso-seriy-melanzh-04237360/" , "04237360 Толстовка унисекс Calipso, серый меланж, размер 3XL")</f>
      </c>
      <c r="C12177" s="4" t="n">
        <v>4541.00</v>
      </c>
      <c r="D12177" s="4"/>
    </row>
    <row collapsed="" customFormat="false" customHeight="1" hidden="" ht="14" outlineLevel="0" r="12178">
      <c r="A12178" s="3" t="inlineStr">
        <is>
          <t>12137</t>
        </is>
      </c>
      <c r="B12178" s="4" t="s">
        <f>=HYPERLINK("http://anyluxury.ru/shop/odezhda/tolstovki/tolstovka-uniseks-calipso-yarkosinyaya-royal-04237241/" , "04237241 Толстовка унисекс Calipso, ярко-синяя (royal), размер XS")</f>
      </c>
      <c r="C12178" s="4" t="n">
        <v>3879.00</v>
      </c>
      <c r="D12178" s="4"/>
    </row>
    <row collapsed="" customFormat="false" customHeight="1" hidden="" ht="14" outlineLevel="0" r="12179">
      <c r="A12179" s="3" t="inlineStr">
        <is>
          <t>12138</t>
        </is>
      </c>
      <c r="B12179" s="4" t="s">
        <f>=HYPERLINK("http://anyluxury.ru/shop/odezhda/tolstovki/tolstovka-uniseks-calipso-yarkosinyaya-royal-04237241/" , "04237241 Толстовка унисекс Calipso, ярко-синяя (royal), размер S")</f>
      </c>
      <c r="C12179" s="4" t="n">
        <v>3879.00</v>
      </c>
      <c r="D12179" s="4"/>
    </row>
    <row collapsed="" customFormat="false" customHeight="1" hidden="" ht="14" outlineLevel="0" r="12180">
      <c r="A12180" s="3" t="inlineStr">
        <is>
          <t>12139</t>
        </is>
      </c>
      <c r="B12180" s="4" t="s">
        <f>=HYPERLINK("http://anyluxury.ru/shop/odezhda/tolstovki/tolstovka-uniseks-calipso-yarkosinyaya-royal-04237241/" , "04237241 Толстовка унисекс Calipso, ярко-синяя (royal), размер M")</f>
      </c>
      <c r="C12180" s="4" t="n">
        <v>3879.00</v>
      </c>
      <c r="D12180" s="4"/>
    </row>
    <row collapsed="" customFormat="false" customHeight="1" hidden="" ht="14" outlineLevel="0" r="12181">
      <c r="A12181" s="3" t="inlineStr">
        <is>
          <t>12140</t>
        </is>
      </c>
      <c r="B12181" s="4" t="s">
        <f>=HYPERLINK("http://anyluxury.ru/shop/odezhda/tolstovki/tolstovka-uniseks-calipso-yarkosinyaya-royal-04237241/" , "04237241 Толстовка унисекс Calipso, ярко-синяя (royal), размер L")</f>
      </c>
      <c r="C12181" s="4" t="n">
        <v>3879.00</v>
      </c>
      <c r="D12181" s="4"/>
    </row>
    <row collapsed="" customFormat="false" customHeight="1" hidden="" ht="14" outlineLevel="0" r="12182">
      <c r="A12182" s="3" t="inlineStr">
        <is>
          <t>12141</t>
        </is>
      </c>
      <c r="B12182" s="4" t="s">
        <f>=HYPERLINK("http://anyluxury.ru/shop/odezhda/tolstovki/tolstovka-uniseks-calipso-yarkosinyaya-royal-04237241/" , "04237241 Толстовка унисекс Calipso, ярко-синяя (royal), размер XL")</f>
      </c>
      <c r="C12182" s="4" t="n">
        <v>3879.00</v>
      </c>
      <c r="D12182" s="4"/>
    </row>
    <row collapsed="" customFormat="false" customHeight="1" hidden="" ht="14" outlineLevel="0" r="12183">
      <c r="A12183" s="3" t="inlineStr">
        <is>
          <t>12142</t>
        </is>
      </c>
      <c r="B12183" s="4" t="s">
        <f>=HYPERLINK("http://anyluxury.ru/shop/odezhda/tolstovki/tolstovka-uniseks-calipso-yarkosinyaya-royal-04237241/" , "04237241 Толстовка унисекс Calipso, ярко-синяя (royal), размер XXL")</f>
      </c>
      <c r="C12183" s="4" t="n">
        <v>3879.00</v>
      </c>
      <c r="D12183" s="4"/>
    </row>
    <row collapsed="" customFormat="false" customHeight="1" hidden="" ht="14" outlineLevel="0" r="12184">
      <c r="A12184" s="3" t="inlineStr">
        <is>
          <t>12143</t>
        </is>
      </c>
      <c r="B12184" s="4" t="s">
        <f>=HYPERLINK("http://anyluxury.ru/shop/odezhda/tolstovki/tolstovka-uniseks-calipso-yarkosinyaya-royal-04237241/" , "04237241 Толстовка унисекс Calipso, ярко-синяя (royal), размер 3XL")</f>
      </c>
      <c r="C12184" s="4" t="n">
        <v>4541.00</v>
      </c>
      <c r="D12184" s="4"/>
    </row>
    <row collapsed="" customFormat="false" customHeight="1" hidden="" ht="14" outlineLevel="0" r="12185">
      <c r="A12185" s="3" t="inlineStr">
        <is>
          <t>12144</t>
        </is>
      </c>
      <c r="B12185" s="4" t="s">
        <f>=HYPERLINK("http://anyluxury.ru/shop/odezhda/tolstovki/tolstovka-uniseks-calipso-belaya-04237102/" , "04237102 Толстовка унисекс Calipso, белая, размер XS")</f>
      </c>
      <c r="C12185" s="4" t="n">
        <v>3879.00</v>
      </c>
      <c r="D12185" s="4"/>
    </row>
    <row collapsed="" customFormat="false" customHeight="1" hidden="" ht="14" outlineLevel="0" r="12186">
      <c r="A12186" s="3" t="inlineStr">
        <is>
          <t>12145</t>
        </is>
      </c>
      <c r="B12186" s="4" t="s">
        <f>=HYPERLINK("http://anyluxury.ru/shop/odezhda/tolstovki/tolstovka-uniseks-calipso-belaya-04237102/" , "04237102 Толстовка унисекс Calipso, белая, размер S")</f>
      </c>
      <c r="C12186" s="4" t="n">
        <v>3879.00</v>
      </c>
      <c r="D12186" s="4"/>
    </row>
    <row collapsed="" customFormat="false" customHeight="1" hidden="" ht="14" outlineLevel="0" r="12187">
      <c r="A12187" s="3" t="inlineStr">
        <is>
          <t>12146</t>
        </is>
      </c>
      <c r="B12187" s="4" t="s">
        <f>=HYPERLINK("http://anyluxury.ru/shop/odezhda/tolstovki/tolstovka-uniseks-calipso-belaya-04237102/" , "04237102 Толстовка унисекс Calipso, белая, размер M")</f>
      </c>
      <c r="C12187" s="4" t="n">
        <v>3879.00</v>
      </c>
      <c r="D12187" s="4"/>
    </row>
    <row collapsed="" customFormat="false" customHeight="1" hidden="" ht="14" outlineLevel="0" r="12188">
      <c r="A12188" s="3" t="inlineStr">
        <is>
          <t>12147</t>
        </is>
      </c>
      <c r="B12188" s="4" t="s">
        <f>=HYPERLINK("http://anyluxury.ru/shop/odezhda/tolstovki/tolstovka-uniseks-calipso-belaya-04237102/" , "04237102 Толстовка унисекс Calipso, белая, размер L")</f>
      </c>
      <c r="C12188" s="4" t="n">
        <v>3879.00</v>
      </c>
      <c r="D12188" s="4"/>
    </row>
    <row collapsed="" customFormat="false" customHeight="1" hidden="" ht="14" outlineLevel="0" r="12189">
      <c r="A12189" s="3" t="inlineStr">
        <is>
          <t>12148</t>
        </is>
      </c>
      <c r="B12189" s="4" t="s">
        <f>=HYPERLINK("http://anyluxury.ru/shop/odezhda/tolstovki/tolstovka-uniseks-calipso-belaya-04237102/" , "04237102 Толстовка унисекс Calipso, белая, размер XL")</f>
      </c>
      <c r="C12189" s="4" t="n">
        <v>3879.00</v>
      </c>
      <c r="D12189" s="4"/>
    </row>
    <row collapsed="" customFormat="false" customHeight="1" hidden="" ht="14" outlineLevel="0" r="12190">
      <c r="A12190" s="3" t="inlineStr">
        <is>
          <t>12149</t>
        </is>
      </c>
      <c r="B12190" s="4" t="s">
        <f>=HYPERLINK("http://anyluxury.ru/shop/odezhda/tolstovki/tolstovka-uniseks-calipso-belaya-04237102/" , "04237102 Толстовка унисекс Calipso, белая, размер XXL")</f>
      </c>
      <c r="C12190" s="4" t="n">
        <v>3879.00</v>
      </c>
      <c r="D12190" s="4"/>
    </row>
    <row collapsed="" customFormat="false" customHeight="1" hidden="" ht="14" outlineLevel="0" r="12191">
      <c r="A12191" s="3" t="inlineStr">
        <is>
          <t>12150</t>
        </is>
      </c>
      <c r="B12191" s="4" t="s">
        <f>=HYPERLINK("http://anyluxury.ru/shop/odezhda/tolstovki/tolstovka-uniseks-calipso-belaya-04237102/" , "04237102 Толстовка унисекс Calipso, белая, размер 3XL")</f>
      </c>
      <c r="C12191" s="4" t="n">
        <v>4541.00</v>
      </c>
      <c r="D12191" s="4"/>
    </row>
    <row collapsed="" customFormat="false" customHeight="1" hidden="" ht="14" outlineLevel="0" r="12192">
      <c r="A12192" s="3" t="inlineStr">
        <is>
          <t>12151</t>
        </is>
      </c>
      <c r="B12192" s="4" t="s">
        <f>=HYPERLINK("http://anyluxury.ru/shop/odezhda/tolstovki/tolstovka-uniseks-cooper-chernaya-04240312/" , "04240312 Толстовка унисекс Cooper, черная, размер XS")</f>
      </c>
      <c r="C12192" s="4" t="n">
        <v>3079.00</v>
      </c>
      <c r="D12192" s="4"/>
    </row>
    <row collapsed="" customFormat="false" customHeight="1" hidden="" ht="14" outlineLevel="0" r="12193">
      <c r="A12193" s="3" t="inlineStr">
        <is>
          <t>12152</t>
        </is>
      </c>
      <c r="B12193" s="4" t="s">
        <f>=HYPERLINK("http://anyluxury.ru/shop/odezhda/tolstovki/tolstovka-uniseks-cooper-chernaya-04240312/" , "04240312 Толстовка унисекс Cooper, черная, размер S")</f>
      </c>
      <c r="C12193" s="4" t="n">
        <v>3079.00</v>
      </c>
      <c r="D12193" s="4"/>
    </row>
    <row collapsed="" customFormat="false" customHeight="1" hidden="" ht="14" outlineLevel="0" r="12194">
      <c r="A12194" s="3" t="inlineStr">
        <is>
          <t>12153</t>
        </is>
      </c>
      <c r="B12194" s="4" t="s">
        <f>=HYPERLINK("http://anyluxury.ru/shop/odezhda/tolstovki/tolstovka-uniseks-cooper-chernaya-04240312/" , "04240312 Толстовка унисекс Cooper, черная, размер M")</f>
      </c>
      <c r="C12194" s="4" t="n">
        <v>3079.00</v>
      </c>
      <c r="D12194" s="4"/>
    </row>
    <row collapsed="" customFormat="false" customHeight="1" hidden="" ht="14" outlineLevel="0" r="12195">
      <c r="A12195" s="3" t="inlineStr">
        <is>
          <t>12154</t>
        </is>
      </c>
      <c r="B12195" s="4" t="s">
        <f>=HYPERLINK("http://anyluxury.ru/shop/odezhda/tolstovki/tolstovka-uniseks-cooper-chernaya-04240312/" , "04240312 Толстовка унисекс Cooper, черная, размер L")</f>
      </c>
      <c r="C12195" s="4" t="n">
        <v>3079.00</v>
      </c>
      <c r="D12195" s="4"/>
    </row>
    <row collapsed="" customFormat="false" customHeight="1" hidden="" ht="14" outlineLevel="0" r="12196">
      <c r="A12196" s="3" t="inlineStr">
        <is>
          <t>12155</t>
        </is>
      </c>
      <c r="B12196" s="4" t="s">
        <f>=HYPERLINK("http://anyluxury.ru/shop/odezhda/tolstovki/tolstovka-uniseks-cooper-chernaya-04240312/" , "04240312 Толстовка унисекс Cooper, черная, размер XL")</f>
      </c>
      <c r="C12196" s="4" t="n">
        <v>3079.00</v>
      </c>
      <c r="D12196" s="4"/>
    </row>
    <row collapsed="" customFormat="false" customHeight="1" hidden="" ht="14" outlineLevel="0" r="12197">
      <c r="A12197" s="3" t="inlineStr">
        <is>
          <t>12156</t>
        </is>
      </c>
      <c r="B12197" s="4" t="s">
        <f>=HYPERLINK("http://anyluxury.ru/shop/odezhda/tolstovki/tolstovka-uniseks-cooper-chernaya-04240312/" , "04240312 Толстовка унисекс Cooper, черная, размер XXL")</f>
      </c>
      <c r="C12197" s="4" t="n">
        <v>3079.00</v>
      </c>
      <c r="D12197" s="4"/>
    </row>
    <row collapsed="" customFormat="false" customHeight="1" hidden="" ht="14" outlineLevel="0" r="12198">
      <c r="A12198" s="3" t="inlineStr">
        <is>
          <t>12157</t>
        </is>
      </c>
      <c r="B12198" s="4" t="s">
        <f>=HYPERLINK("http://anyluxury.ru/shop/odezhda/tolstovki/tolstovka-uniseks-cooper-chernaya-04240312/" , "04240312 Толстовка унисекс Cooper, черная, размер 3XL")</f>
      </c>
      <c r="C12198" s="4" t="n">
        <v>3602.00</v>
      </c>
      <c r="D12198" s="4"/>
    </row>
    <row collapsed="" customFormat="false" customHeight="1" hidden="" ht="14" outlineLevel="0" r="12199">
      <c r="A12199" s="3" t="inlineStr">
        <is>
          <t>12158</t>
        </is>
      </c>
      <c r="B12199" s="4" t="s">
        <f>=HYPERLINK("http://anyluxury.ru/shop/odezhda/tolstovki/tolstovka-uniseks-cooper-chernaya-04240312/" , "04240312 Толстовка унисекс Cooper, черная, размер 4XL")</f>
      </c>
      <c r="C12199" s="4" t="n">
        <v>4312.00</v>
      </c>
      <c r="D12199" s="4"/>
    </row>
    <row collapsed="" customFormat="false" customHeight="1" hidden="" ht="14" outlineLevel="0" r="12200">
      <c r="A12200" s="3" t="inlineStr">
        <is>
          <t>12159</t>
        </is>
      </c>
      <c r="B12200" s="4" t="s">
        <f>=HYPERLINK("http://anyluxury.ru/shop/odezhda/tolstovki/tolstovka-uniseks-cooper-temnozelenaya-04240264/" , "04240264 Толстовка унисекс Cooper, темно-зеленая, размер XS")</f>
      </c>
      <c r="C12200" s="4" t="n">
        <v>3079.00</v>
      </c>
      <c r="D12200" s="4"/>
    </row>
    <row collapsed="" customFormat="false" customHeight="1" hidden="" ht="14" outlineLevel="0" r="12201">
      <c r="A12201" s="3" t="inlineStr">
        <is>
          <t>12160</t>
        </is>
      </c>
      <c r="B12201" s="4" t="s">
        <f>=HYPERLINK("http://anyluxury.ru/shop/odezhda/tolstovki/tolstovka-uniseks-cooper-temnozelenaya-04240264/" , "04240264 Толстовка унисекс Cooper, темно-зеленая, размер S")</f>
      </c>
      <c r="C12201" s="4" t="n">
        <v>3079.00</v>
      </c>
      <c r="D12201" s="4"/>
    </row>
    <row collapsed="" customFormat="false" customHeight="1" hidden="" ht="14" outlineLevel="0" r="12202">
      <c r="A12202" s="3" t="inlineStr">
        <is>
          <t>12161</t>
        </is>
      </c>
      <c r="B12202" s="4" t="s">
        <f>=HYPERLINK("http://anyluxury.ru/shop/odezhda/tolstovki/tolstovka-uniseks-cooper-temnozelenaya-04240264/" , "04240264 Толстовка унисекс Cooper, темно-зеленая, размер M")</f>
      </c>
      <c r="C12202" s="4" t="n">
        <v>3079.00</v>
      </c>
      <c r="D12202" s="4"/>
    </row>
    <row collapsed="" customFormat="false" customHeight="1" hidden="" ht="14" outlineLevel="0" r="12203">
      <c r="A12203" s="3" t="inlineStr">
        <is>
          <t>12162</t>
        </is>
      </c>
      <c r="B12203" s="4" t="s">
        <f>=HYPERLINK("http://anyluxury.ru/shop/odezhda/tolstovki/tolstovka-uniseks-cooper-temnozelenaya-04240264/" , "04240264 Толстовка унисекс Cooper, темно-зеленая, размер L")</f>
      </c>
      <c r="C12203" s="4" t="n">
        <v>3079.00</v>
      </c>
      <c r="D12203" s="4"/>
    </row>
    <row collapsed="" customFormat="false" customHeight="1" hidden="" ht="14" outlineLevel="0" r="12204">
      <c r="A12204" s="3" t="inlineStr">
        <is>
          <t>12163</t>
        </is>
      </c>
      <c r="B12204" s="4" t="s">
        <f>=HYPERLINK("http://anyluxury.ru/shop/odezhda/tolstovki/tolstovka-uniseks-cooper-temnozelenaya-04240264/" , "04240264 Толстовка унисекс Cooper, темно-зеленая, размер XL")</f>
      </c>
      <c r="C12204" s="4" t="n">
        <v>3079.00</v>
      </c>
      <c r="D12204" s="4"/>
    </row>
    <row collapsed="" customFormat="false" customHeight="1" hidden="" ht="14" outlineLevel="0" r="12205">
      <c r="A12205" s="3" t="inlineStr">
        <is>
          <t>12164</t>
        </is>
      </c>
      <c r="B12205" s="4" t="s">
        <f>=HYPERLINK("http://anyluxury.ru/shop/odezhda/tolstovki/tolstovka-uniseks-cooper-temnozelenaya-04240264/" , "04240264 Толстовка унисекс Cooper, темно-зеленая, размер XXL")</f>
      </c>
      <c r="C12205" s="4" t="n">
        <v>3079.00</v>
      </c>
      <c r="D12205" s="4"/>
    </row>
    <row collapsed="" customFormat="false" customHeight="1" hidden="" ht="14" outlineLevel="0" r="12206">
      <c r="A12206" s="3" t="inlineStr">
        <is>
          <t>12165</t>
        </is>
      </c>
      <c r="B12206" s="4" t="s">
        <f>=HYPERLINK("http://anyluxury.ru/shop/odezhda/tolstovki/tolstovka-uniseks-cooper-temnozelenaya-04240264/" , "04240264 Толстовка унисекс Cooper, темно-зеленая, размер 3XL")</f>
      </c>
      <c r="C12206" s="4" t="n">
        <v>3602.00</v>
      </c>
      <c r="D12206" s="4"/>
    </row>
    <row collapsed="" customFormat="false" customHeight="1" hidden="" ht="14" outlineLevel="0" r="12207">
      <c r="A12207" s="3" t="inlineStr">
        <is>
          <t>12166</t>
        </is>
      </c>
      <c r="B12207" s="4" t="s">
        <f>=HYPERLINK("http://anyluxury.ru/shop/odezhda/tolstovki/tolstovka-uniseks-cooper-temnozelenaya-04240264/" , "04240264 Толстовка унисекс Cooper, темно-зеленая, размер 4XL")</f>
      </c>
      <c r="C12207" s="4" t="n">
        <v>4312.00</v>
      </c>
      <c r="D12207" s="4"/>
    </row>
    <row collapsed="" customFormat="false" customHeight="1" hidden="" ht="14" outlineLevel="0" r="12208">
      <c r="A12208" s="3" t="inlineStr">
        <is>
          <t>12167</t>
        </is>
      </c>
      <c r="B12208" s="4" t="s">
        <f>=HYPERLINK("http://anyluxury.ru/shop/odezhda/tolstovki/tolstovka-uniseks-cooper-krasnaya-04240161/" , "04240161 Толстовка унисекс Cooper, красная, размер XS")</f>
      </c>
      <c r="C12208" s="4" t="n">
        <v>3079.00</v>
      </c>
      <c r="D12208" s="4"/>
    </row>
    <row collapsed="" customFormat="false" customHeight="1" hidden="" ht="14" outlineLevel="0" r="12209">
      <c r="A12209" s="3" t="inlineStr">
        <is>
          <t>12168</t>
        </is>
      </c>
      <c r="B12209" s="4" t="s">
        <f>=HYPERLINK("http://anyluxury.ru/shop/odezhda/tolstovki/tolstovka-uniseks-cooper-krasnaya-04240161/" , "04240161 Толстовка унисекс Cooper, красная, размер S")</f>
      </c>
      <c r="C12209" s="4" t="n">
        <v>3079.00</v>
      </c>
      <c r="D12209" s="4"/>
    </row>
    <row collapsed="" customFormat="false" customHeight="1" hidden="" ht="14" outlineLevel="0" r="12210">
      <c r="A12210" s="3" t="inlineStr">
        <is>
          <t>12169</t>
        </is>
      </c>
      <c r="B12210" s="4" t="s">
        <f>=HYPERLINK("http://anyluxury.ru/shop/odezhda/tolstovki/tolstovka-uniseks-cooper-krasnaya-04240161/" , "04240161 Толстовка унисекс Cooper, красная, размер M")</f>
      </c>
      <c r="C12210" s="4" t="n">
        <v>3079.00</v>
      </c>
      <c r="D12210" s="4"/>
    </row>
    <row collapsed="" customFormat="false" customHeight="1" hidden="" ht="14" outlineLevel="0" r="12211">
      <c r="A12211" s="3" t="inlineStr">
        <is>
          <t>12170</t>
        </is>
      </c>
      <c r="B12211" s="4" t="s">
        <f>=HYPERLINK("http://anyluxury.ru/shop/odezhda/tolstovki/tolstovka-uniseks-cooper-krasnaya-04240161/" , "04240161 Толстовка унисекс Cooper, красная, размер L")</f>
      </c>
      <c r="C12211" s="4" t="n">
        <v>3079.00</v>
      </c>
      <c r="D12211" s="4"/>
    </row>
    <row collapsed="" customFormat="false" customHeight="1" hidden="" ht="14" outlineLevel="0" r="12212">
      <c r="A12212" s="3" t="inlineStr">
        <is>
          <t>12171</t>
        </is>
      </c>
      <c r="B12212" s="4" t="s">
        <f>=HYPERLINK("http://anyluxury.ru/shop/odezhda/tolstovki/tolstovka-uniseks-cooper-krasnaya-04240161/" , "04240161 Толстовка унисекс Cooper, красная, размер XL")</f>
      </c>
      <c r="C12212" s="4" t="n">
        <v>3079.00</v>
      </c>
      <c r="D12212" s="4"/>
    </row>
    <row collapsed="" customFormat="false" customHeight="1" hidden="" ht="14" outlineLevel="0" r="12213">
      <c r="A12213" s="3" t="inlineStr">
        <is>
          <t>12172</t>
        </is>
      </c>
      <c r="B12213" s="4" t="s">
        <f>=HYPERLINK("http://anyluxury.ru/shop/odezhda/tolstovki/tolstovka-uniseks-cooper-krasnaya-04240161/" , "04240161 Толстовка унисекс Cooper, красная, размер XXL")</f>
      </c>
      <c r="C12213" s="4" t="n">
        <v>3079.00</v>
      </c>
      <c r="D12213" s="4"/>
    </row>
    <row collapsed="" customFormat="false" customHeight="1" hidden="" ht="14" outlineLevel="0" r="12214">
      <c r="A12214" s="3" t="inlineStr">
        <is>
          <t>12173</t>
        </is>
      </c>
      <c r="B12214" s="4" t="s">
        <f>=HYPERLINK("http://anyluxury.ru/shop/odezhda/tolstovki/tolstovka-uniseks-cooper-krasnaya-04240161/" , "04240161 Толстовка унисекс Cooper, красная, размер 3XL")</f>
      </c>
      <c r="C12214" s="4" t="n">
        <v>3602.00</v>
      </c>
      <c r="D12214" s="4"/>
    </row>
    <row collapsed="" customFormat="false" customHeight="1" hidden="" ht="14" outlineLevel="0" r="12215">
      <c r="A12215" s="3" t="inlineStr">
        <is>
          <t>12174</t>
        </is>
      </c>
      <c r="B12215" s="4" t="s">
        <f>=HYPERLINK("http://anyluxury.ru/shop/odezhda/tolstovki/tolstovka-uniseks-cooper-krasnaya-04240161/" , "04240161 Толстовка унисекс Cooper, красная, размер 4XL")</f>
      </c>
      <c r="C12215" s="4" t="n">
        <v>4312.00</v>
      </c>
      <c r="D12215" s="4"/>
    </row>
    <row collapsed="" customFormat="false" customHeight="1" hidden="" ht="14" outlineLevel="0" r="12216">
      <c r="A12216" s="3" t="inlineStr">
        <is>
          <t>12175</t>
        </is>
      </c>
      <c r="B12216" s="4" t="s">
        <f>=HYPERLINK("http://anyluxury.ru/shop/odezhda/tolstovki/tolstovka-uniseks-cooper-temnosinyaya-04240319/" , "04240319 Толстовка унисекс Cooper, темно-синяя, размер XS")</f>
      </c>
      <c r="C12216" s="4" t="n">
        <v>3079.00</v>
      </c>
      <c r="D12216" s="4"/>
    </row>
    <row collapsed="" customFormat="false" customHeight="1" hidden="" ht="14" outlineLevel="0" r="12217">
      <c r="A12217" s="3" t="inlineStr">
        <is>
          <t>12176</t>
        </is>
      </c>
      <c r="B12217" s="4" t="s">
        <f>=HYPERLINK("http://anyluxury.ru/shop/odezhda/tolstovki/tolstovka-uniseks-cooper-temnosinyaya-04240319/" , "04240319 Толстовка унисекс Cooper, темно-синяя, размер S")</f>
      </c>
      <c r="C12217" s="4" t="n">
        <v>3079.00</v>
      </c>
      <c r="D12217" s="4"/>
    </row>
    <row collapsed="" customFormat="false" customHeight="1" hidden="" ht="14" outlineLevel="0" r="12218">
      <c r="A12218" s="3" t="inlineStr">
        <is>
          <t>12177</t>
        </is>
      </c>
      <c r="B12218" s="4" t="s">
        <f>=HYPERLINK("http://anyluxury.ru/shop/odezhda/tolstovki/tolstovka-uniseks-cooper-temnosinyaya-04240319/" , "04240319 Толстовка унисекс Cooper, темно-синяя, размер M")</f>
      </c>
      <c r="C12218" s="4" t="n">
        <v>3079.00</v>
      </c>
      <c r="D12218" s="4"/>
    </row>
    <row collapsed="" customFormat="false" customHeight="1" hidden="" ht="14" outlineLevel="0" r="12219">
      <c r="A12219" s="3" t="inlineStr">
        <is>
          <t>12178</t>
        </is>
      </c>
      <c r="B12219" s="4" t="s">
        <f>=HYPERLINK("http://anyluxury.ru/shop/odezhda/tolstovki/tolstovka-uniseks-cooper-temnosinyaya-04240319/" , "04240319 Толстовка унисекс Cooper, темно-синяя, размер L")</f>
      </c>
      <c r="C12219" s="4" t="n">
        <v>3079.00</v>
      </c>
      <c r="D12219" s="4"/>
    </row>
    <row collapsed="" customFormat="false" customHeight="1" hidden="" ht="14" outlineLevel="0" r="12220">
      <c r="A12220" s="3" t="inlineStr">
        <is>
          <t>12179</t>
        </is>
      </c>
      <c r="B12220" s="4" t="s">
        <f>=HYPERLINK("http://anyluxury.ru/shop/odezhda/tolstovki/tolstovka-uniseks-cooper-temnosinyaya-04240319/" , "04240319 Толстовка унисекс Cooper, темно-синяя, размер XL")</f>
      </c>
      <c r="C12220" s="4" t="n">
        <v>3079.00</v>
      </c>
      <c r="D12220" s="4"/>
    </row>
    <row collapsed="" customFormat="false" customHeight="1" hidden="" ht="14" outlineLevel="0" r="12221">
      <c r="A12221" s="3" t="inlineStr">
        <is>
          <t>12180</t>
        </is>
      </c>
      <c r="B12221" s="4" t="s">
        <f>=HYPERLINK("http://anyluxury.ru/shop/odezhda/tolstovki/tolstovka-uniseks-cooper-temnosinyaya-04240319/" , "04240319 Толстовка унисекс Cooper, темно-синяя, размер XXL")</f>
      </c>
      <c r="C12221" s="4" t="n">
        <v>3079.00</v>
      </c>
      <c r="D12221" s="4"/>
    </row>
    <row collapsed="" customFormat="false" customHeight="1" hidden="" ht="14" outlineLevel="0" r="12222">
      <c r="A12222" s="3" t="inlineStr">
        <is>
          <t>12181</t>
        </is>
      </c>
      <c r="B12222" s="4" t="s">
        <f>=HYPERLINK("http://anyluxury.ru/shop/odezhda/tolstovki/tolstovka-uniseks-cooper-temnosinyaya-04240319/" , "04240319 Толстовка унисекс Cooper, темно-синяя, размер 3XL")</f>
      </c>
      <c r="C12222" s="4" t="n">
        <v>3602.00</v>
      </c>
      <c r="D12222" s="4"/>
    </row>
    <row collapsed="" customFormat="false" customHeight="1" hidden="" ht="14" outlineLevel="0" r="12223">
      <c r="A12223" s="3" t="inlineStr">
        <is>
          <t>12182</t>
        </is>
      </c>
      <c r="B12223" s="4" t="s">
        <f>=HYPERLINK("http://anyluxury.ru/shop/odezhda/tolstovki/tolstovka-uniseks-cooper-temnosinyaya-04240319/" , "04240319 Толстовка унисекс Cooper, темно-синяя, размер 4XL")</f>
      </c>
      <c r="C12223" s="4" t="n">
        <v>4312.00</v>
      </c>
      <c r="D12223" s="4"/>
    </row>
    <row collapsed="" customFormat="false" customHeight="1" hidden="" ht="14" outlineLevel="0" r="12224">
      <c r="A12224" s="3" t="inlineStr">
        <is>
          <t>12183</t>
        </is>
      </c>
      <c r="B12224" s="4" t="s">
        <f>=HYPERLINK("http://anyluxury.ru/shop/odezhda/tolstovki/tolstovka-uniseks-cooper-seriy-melanzh-04240360/" , "04240360 Толстовка унисекс Cooper, серый меланж, размер XS")</f>
      </c>
      <c r="C12224" s="4" t="n">
        <v>3079.00</v>
      </c>
      <c r="D12224" s="4"/>
    </row>
    <row collapsed="" customFormat="false" customHeight="1" hidden="" ht="14" outlineLevel="0" r="12225">
      <c r="A12225" s="3" t="inlineStr">
        <is>
          <t>12184</t>
        </is>
      </c>
      <c r="B12225" s="4" t="s">
        <f>=HYPERLINK("http://anyluxury.ru/shop/odezhda/tolstovki/tolstovka-uniseks-cooper-seriy-melanzh-04240360/" , "04240360 Толстовка унисекс Cooper, серый меланж, размер S")</f>
      </c>
      <c r="C12225" s="4" t="n">
        <v>3079.00</v>
      </c>
      <c r="D12225" s="4"/>
    </row>
    <row collapsed="" customFormat="false" customHeight="1" hidden="" ht="14" outlineLevel="0" r="12226">
      <c r="A12226" s="3" t="inlineStr">
        <is>
          <t>12185</t>
        </is>
      </c>
      <c r="B12226" s="4" t="s">
        <f>=HYPERLINK("http://anyluxury.ru/shop/odezhda/tolstovki/tolstovka-uniseks-cooper-seriy-melanzh-04240360/" , "04240360 Толстовка унисекс Cooper, серый меланж, размер M")</f>
      </c>
      <c r="C12226" s="4" t="n">
        <v>3079.00</v>
      </c>
      <c r="D12226" s="4"/>
    </row>
    <row collapsed="" customFormat="false" customHeight="1" hidden="" ht="14" outlineLevel="0" r="12227">
      <c r="A12227" s="3" t="inlineStr">
        <is>
          <t>12186</t>
        </is>
      </c>
      <c r="B12227" s="4" t="s">
        <f>=HYPERLINK("http://anyluxury.ru/shop/odezhda/tolstovki/tolstovka-uniseks-cooper-seriy-melanzh-04240360/" , "04240360 Толстовка унисекс Cooper, серый меланж, размер L")</f>
      </c>
      <c r="C12227" s="4" t="n">
        <v>3079.00</v>
      </c>
      <c r="D12227" s="4"/>
    </row>
    <row collapsed="" customFormat="false" customHeight="1" hidden="" ht="14" outlineLevel="0" r="12228">
      <c r="A12228" s="3" t="inlineStr">
        <is>
          <t>12187</t>
        </is>
      </c>
      <c r="B12228" s="4" t="s">
        <f>=HYPERLINK("http://anyluxury.ru/shop/odezhda/tolstovki/tolstovka-uniseks-cooper-seriy-melanzh-04240360/" , "04240360 Толстовка унисекс Cooper, серый меланж, размер XL")</f>
      </c>
      <c r="C12228" s="4" t="n">
        <v>3079.00</v>
      </c>
      <c r="D12228" s="4"/>
    </row>
    <row collapsed="" customFormat="false" customHeight="1" hidden="" ht="14" outlineLevel="0" r="12229">
      <c r="A12229" s="3" t="inlineStr">
        <is>
          <t>12188</t>
        </is>
      </c>
      <c r="B12229" s="4" t="s">
        <f>=HYPERLINK("http://anyluxury.ru/shop/odezhda/tolstovki/tolstovka-uniseks-cooper-seriy-melanzh-04240360/" , "04240360 Толстовка унисекс Cooper, серый меланж, размер XXL")</f>
      </c>
      <c r="C12229" s="4" t="n">
        <v>3079.00</v>
      </c>
      <c r="D12229" s="4"/>
    </row>
    <row collapsed="" customFormat="false" customHeight="1" hidden="" ht="14" outlineLevel="0" r="12230">
      <c r="A12230" s="3" t="inlineStr">
        <is>
          <t>12189</t>
        </is>
      </c>
      <c r="B12230" s="4" t="s">
        <f>=HYPERLINK("http://anyluxury.ru/shop/odezhda/tolstovki/tolstovka-uniseks-cooper-seriy-melanzh-04240360/" , "04240360 Толстовка унисекс Cooper, серый меланж, размер 3XL")</f>
      </c>
      <c r="C12230" s="4" t="n">
        <v>3602.00</v>
      </c>
      <c r="D12230" s="4"/>
    </row>
    <row collapsed="" customFormat="false" customHeight="1" hidden="" ht="14" outlineLevel="0" r="12231">
      <c r="A12231" s="3" t="inlineStr">
        <is>
          <t>12190</t>
        </is>
      </c>
      <c r="B12231" s="4" t="s">
        <f>=HYPERLINK("http://anyluxury.ru/shop/odezhda/tolstovki/tolstovka-uniseks-cooper-seriy-melanzh-04240360/" , "04240360 Толстовка унисекс Cooper, серый меланж, размер 4XL")</f>
      </c>
      <c r="C12231" s="4" t="n">
        <v>4312.00</v>
      </c>
      <c r="D12231" s="4"/>
    </row>
    <row collapsed="" customFormat="false" customHeight="1" hidden="" ht="14" outlineLevel="0" r="12232">
      <c r="A12232" s="3" t="inlineStr">
        <is>
          <t>12191</t>
        </is>
      </c>
      <c r="B12232" s="4" t="s">
        <f>=HYPERLINK("http://anyluxury.ru/shop/odezhda/tolstovki/tolstovka-uniseks-cooper-yarkosinyaya-royal-04240241/" , "04240241 Толстовка унисекс Cooper, ярко-синяя (royal), размер XS")</f>
      </c>
      <c r="C12232" s="4" t="n">
        <v>3079.00</v>
      </c>
      <c r="D12232" s="4"/>
    </row>
    <row collapsed="" customFormat="false" customHeight="1" hidden="" ht="14" outlineLevel="0" r="12233">
      <c r="A12233" s="3" t="inlineStr">
        <is>
          <t>12192</t>
        </is>
      </c>
      <c r="B12233" s="4" t="s">
        <f>=HYPERLINK("http://anyluxury.ru/shop/odezhda/tolstovki/tolstovka-uniseks-cooper-yarkosinyaya-royal-04240241/" , "04240241 Толстовка унисекс Cooper, ярко-синяя (royal), размер S")</f>
      </c>
      <c r="C12233" s="4" t="n">
        <v>3079.00</v>
      </c>
      <c r="D12233" s="4"/>
    </row>
    <row collapsed="" customFormat="false" customHeight="1" hidden="" ht="14" outlineLevel="0" r="12234">
      <c r="A12234" s="3" t="inlineStr">
        <is>
          <t>12193</t>
        </is>
      </c>
      <c r="B12234" s="4" t="s">
        <f>=HYPERLINK("http://anyluxury.ru/shop/odezhda/tolstovki/tolstovka-uniseks-cooper-yarkosinyaya-royal-04240241/" , "04240241 Толстовка унисекс Cooper, ярко-синяя (royal), размер M")</f>
      </c>
      <c r="C12234" s="4" t="n">
        <v>3079.00</v>
      </c>
      <c r="D12234" s="4"/>
    </row>
    <row collapsed="" customFormat="false" customHeight="1" hidden="" ht="14" outlineLevel="0" r="12235">
      <c r="A12235" s="3" t="inlineStr">
        <is>
          <t>12194</t>
        </is>
      </c>
      <c r="B12235" s="4" t="s">
        <f>=HYPERLINK("http://anyluxury.ru/shop/odezhda/tolstovki/tolstovka-uniseks-cooper-yarkosinyaya-royal-04240241/" , "04240241 Толстовка унисекс Cooper, ярко-синяя (royal), размер L")</f>
      </c>
      <c r="C12235" s="4" t="n">
        <v>3079.00</v>
      </c>
      <c r="D12235" s="4"/>
    </row>
    <row collapsed="" customFormat="false" customHeight="1" hidden="" ht="14" outlineLevel="0" r="12236">
      <c r="A12236" s="3" t="inlineStr">
        <is>
          <t>12195</t>
        </is>
      </c>
      <c r="B12236" s="4" t="s">
        <f>=HYPERLINK("http://anyluxury.ru/shop/odezhda/tolstovki/tolstovka-uniseks-cooper-yarkosinyaya-royal-04240241/" , "04240241 Толстовка унисекс Cooper, ярко-синяя (royal), размер XL")</f>
      </c>
      <c r="C12236" s="4" t="n">
        <v>3079.00</v>
      </c>
      <c r="D12236" s="4"/>
    </row>
    <row collapsed="" customFormat="false" customHeight="1" hidden="" ht="14" outlineLevel="0" r="12237">
      <c r="A12237" s="3" t="inlineStr">
        <is>
          <t>12196</t>
        </is>
      </c>
      <c r="B12237" s="4" t="s">
        <f>=HYPERLINK("http://anyluxury.ru/shop/odezhda/tolstovki/tolstovka-uniseks-cooper-yarkosinyaya-royal-04240241/" , "04240241 Толстовка унисекс Cooper, ярко-синяя (royal), размер XXL")</f>
      </c>
      <c r="C12237" s="4" t="n">
        <v>3079.00</v>
      </c>
      <c r="D12237" s="4"/>
    </row>
    <row collapsed="" customFormat="false" customHeight="1" hidden="" ht="14" outlineLevel="0" r="12238">
      <c r="A12238" s="3" t="inlineStr">
        <is>
          <t>12197</t>
        </is>
      </c>
      <c r="B12238" s="4" t="s">
        <f>=HYPERLINK("http://anyluxury.ru/shop/odezhda/tolstovki/tolstovka-uniseks-cooper-yarkosinyaya-royal-04240241/" , "04240241 Толстовка унисекс Cooper, ярко-синяя (royal), размер 3XL")</f>
      </c>
      <c r="C12238" s="4" t="n">
        <v>3602.00</v>
      </c>
      <c r="D12238" s="4"/>
    </row>
    <row collapsed="" customFormat="false" customHeight="1" hidden="" ht="14" outlineLevel="0" r="12239">
      <c r="A12239" s="3" t="inlineStr">
        <is>
          <t>12198</t>
        </is>
      </c>
      <c r="B12239" s="4" t="s">
        <f>=HYPERLINK("http://anyluxury.ru/shop/odezhda/tolstovki/tolstovka-uniseks-cooper-yarkosinyaya-royal-04240241/" , "04240241 Толстовка унисекс Cooper, ярко-синяя (royal), размер 4XL")</f>
      </c>
      <c r="C12239" s="4" t="n">
        <v>4312.00</v>
      </c>
      <c r="D12239" s="4"/>
    </row>
    <row collapsed="" customFormat="false" customHeight="1" hidden="" ht="14" outlineLevel="0" r="12240">
      <c r="A12240" s="3" t="inlineStr">
        <is>
          <t>12199</t>
        </is>
      </c>
      <c r="B12240" s="4" t="s">
        <f>=HYPERLINK("http://anyluxury.ru/shop/odezhda/tolstovki/tolstovka-uniseks-carter-chernaya-03812312/" , "03812312 Толстовка унисекс Carter, черная, размер XS")</f>
      </c>
      <c r="C12240" s="4" t="n">
        <v>3223.00</v>
      </c>
      <c r="D12240" s="4"/>
    </row>
    <row collapsed="" customFormat="false" customHeight="1" hidden="" ht="14" outlineLevel="0" r="12241">
      <c r="A12241" s="3" t="inlineStr">
        <is>
          <t>12200</t>
        </is>
      </c>
      <c r="B12241" s="4" t="s">
        <f>=HYPERLINK("http://anyluxury.ru/shop/odezhda/tolstovki/tolstovka-uniseks-carter-chernaya-03812312/" , "03812312 Толстовка унисекс Carter, черная, размер S")</f>
      </c>
      <c r="C12241" s="4" t="n">
        <v>3223.00</v>
      </c>
      <c r="D12241" s="4"/>
    </row>
    <row collapsed="" customFormat="false" customHeight="1" hidden="" ht="14" outlineLevel="0" r="12242">
      <c r="A12242" s="3" t="inlineStr">
        <is>
          <t>12201</t>
        </is>
      </c>
      <c r="B12242" s="4" t="s">
        <f>=HYPERLINK("http://anyluxury.ru/shop/odezhda/tolstovki/tolstovka-uniseks-carter-chernaya-03812312/" , "03812312 Толстовка унисекс Carter, черная, размер M")</f>
      </c>
      <c r="C12242" s="4" t="n">
        <v>3223.00</v>
      </c>
      <c r="D12242" s="4"/>
    </row>
    <row collapsed="" customFormat="false" customHeight="1" hidden="" ht="14" outlineLevel="0" r="12243">
      <c r="A12243" s="3" t="inlineStr">
        <is>
          <t>12202</t>
        </is>
      </c>
      <c r="B12243" s="4" t="s">
        <f>=HYPERLINK("http://anyluxury.ru/shop/odezhda/tolstovki/tolstovka-uniseks-carter-chernaya-03812312/" , "03812312 Толстовка унисекс Carter, черная, размер L")</f>
      </c>
      <c r="C12243" s="4" t="n">
        <v>3223.00</v>
      </c>
      <c r="D12243" s="4"/>
    </row>
    <row collapsed="" customFormat="false" customHeight="1" hidden="" ht="14" outlineLevel="0" r="12244">
      <c r="A12244" s="3" t="inlineStr">
        <is>
          <t>12203</t>
        </is>
      </c>
      <c r="B12244" s="4" t="s">
        <f>=HYPERLINK("http://anyluxury.ru/shop/odezhda/tolstovki/tolstovka-uniseks-carter-chernaya-03812312/" , "03812312 Толстовка унисекс Carter, черная, размер XL")</f>
      </c>
      <c r="C12244" s="4" t="n">
        <v>3223.00</v>
      </c>
      <c r="D12244" s="4"/>
    </row>
    <row collapsed="" customFormat="false" customHeight="1" hidden="" ht="14" outlineLevel="0" r="12245">
      <c r="A12245" s="3" t="inlineStr">
        <is>
          <t>12204</t>
        </is>
      </c>
      <c r="B12245" s="4" t="s">
        <f>=HYPERLINK("http://anyluxury.ru/shop/odezhda/tolstovki/tolstovka-uniseks-carter-chernaya-03812312/" , "03812312 Толстовка унисекс Carter, черная, размер XXL")</f>
      </c>
      <c r="C12245" s="4" t="n">
        <v>3223.00</v>
      </c>
      <c r="D12245" s="4"/>
    </row>
    <row collapsed="" customFormat="false" customHeight="1" hidden="" ht="14" outlineLevel="0" r="12246">
      <c r="A12246" s="3" t="inlineStr">
        <is>
          <t>12205</t>
        </is>
      </c>
      <c r="B12246" s="4" t="s">
        <f>=HYPERLINK("http://anyluxury.ru/shop/odezhda/tolstovki/tolstovka-uniseks-carter-chernaya-03812312/" , "03812312 Толстовка унисекс Carter, черная, размер 3XL")</f>
      </c>
      <c r="C12246" s="4" t="n">
        <v>3772.00</v>
      </c>
      <c r="D12246" s="4"/>
    </row>
    <row collapsed="" customFormat="false" customHeight="1" hidden="" ht="14" outlineLevel="0" r="12247">
      <c r="A12247" s="3" t="inlineStr">
        <is>
          <t>12206</t>
        </is>
      </c>
      <c r="B12247" s="4" t="s">
        <f>=HYPERLINK("http://anyluxury.ru/shop/odezhda/tolstovki/tolstovka-uniseks-carter-cherniy-melanzh-03812348/" , "03812348 Толстовка унисекс Carter, черный меланж, размер XS")</f>
      </c>
      <c r="C12247" s="4" t="n">
        <v>3296.00</v>
      </c>
      <c r="D12247" s="4"/>
    </row>
    <row collapsed="" customFormat="false" customHeight="1" hidden="" ht="14" outlineLevel="0" r="12248">
      <c r="A12248" s="3" t="inlineStr">
        <is>
          <t>12207</t>
        </is>
      </c>
      <c r="B12248" s="4" t="s">
        <f>=HYPERLINK("http://anyluxury.ru/shop/odezhda/tolstovki/tolstovka-uniseks-carter-cherniy-melanzh-03812348/" , "03812348 Толстовка унисекс Carter, черный меланж, размер S")</f>
      </c>
      <c r="C12248" s="4" t="n">
        <v>3296.00</v>
      </c>
      <c r="D12248" s="4"/>
    </row>
    <row collapsed="" customFormat="false" customHeight="1" hidden="" ht="14" outlineLevel="0" r="12249">
      <c r="A12249" s="3" t="inlineStr">
        <is>
          <t>12208</t>
        </is>
      </c>
      <c r="B12249" s="4" t="s">
        <f>=HYPERLINK("http://anyluxury.ru/shop/odezhda/tolstovki/tolstovka-uniseks-carter-cherniy-melanzh-03812348/" , "03812348 Толстовка унисекс Carter, черный меланж, размер M")</f>
      </c>
      <c r="C12249" s="4" t="n">
        <v>3296.00</v>
      </c>
      <c r="D12249" s="4"/>
    </row>
    <row collapsed="" customFormat="false" customHeight="1" hidden="" ht="14" outlineLevel="0" r="12250">
      <c r="A12250" s="3" t="inlineStr">
        <is>
          <t>12209</t>
        </is>
      </c>
      <c r="B12250" s="4" t="s">
        <f>=HYPERLINK("http://anyluxury.ru/shop/odezhda/tolstovki/tolstovka-uniseks-carter-cherniy-melanzh-03812348/" , "03812348 Толстовка унисекс Carter, черный меланж, размер L")</f>
      </c>
      <c r="C12250" s="4" t="n">
        <v>3296.00</v>
      </c>
      <c r="D12250" s="4"/>
    </row>
    <row collapsed="" customFormat="false" customHeight="1" hidden="" ht="14" outlineLevel="0" r="12251">
      <c r="A12251" s="3" t="inlineStr">
        <is>
          <t>12210</t>
        </is>
      </c>
      <c r="B12251" s="4" t="s">
        <f>=HYPERLINK("http://anyluxury.ru/shop/odezhda/tolstovki/tolstovka-uniseks-carter-cherniy-melanzh-03812348/" , "03812348 Толстовка унисекс Carter, черный меланж, размер XL")</f>
      </c>
      <c r="C12251" s="4" t="n">
        <v>3296.00</v>
      </c>
      <c r="D12251" s="4"/>
    </row>
    <row collapsed="" customFormat="false" customHeight="1" hidden="" ht="14" outlineLevel="0" r="12252">
      <c r="A12252" s="3" t="inlineStr">
        <is>
          <t>12211</t>
        </is>
      </c>
      <c r="B12252" s="4" t="s">
        <f>=HYPERLINK("http://anyluxury.ru/shop/odezhda/tolstovki/tolstovka-uniseks-carter-cherniy-melanzh-03812348/" , "03812348 Толстовка унисекс Carter, черный меланж, размер XXL")</f>
      </c>
      <c r="C12252" s="4" t="n">
        <v>3296.00</v>
      </c>
      <c r="D12252" s="4"/>
    </row>
    <row collapsed="" customFormat="false" customHeight="1" hidden="" ht="14" outlineLevel="0" r="12253">
      <c r="A12253" s="3" t="inlineStr">
        <is>
          <t>12212</t>
        </is>
      </c>
      <c r="B12253" s="4" t="s">
        <f>=HYPERLINK("http://anyluxury.ru/shop/odezhda/tolstovki/tolstovka-uniseks-carter-cherniy-melanzh-03812348/" , "03812348 Толстовка унисекс Carter, черный меланж, размер 3XL")</f>
      </c>
      <c r="C12253" s="4" t="n">
        <v>3859.00</v>
      </c>
      <c r="D12253" s="4"/>
    </row>
    <row collapsed="" customFormat="false" customHeight="1" hidden="" ht="14" outlineLevel="0" r="12254">
      <c r="A12254" s="3" t="inlineStr">
        <is>
          <t>12213</t>
        </is>
      </c>
      <c r="B12254" s="4" t="s">
        <f>=HYPERLINK("http://anyluxury.ru/shop/odezhda/tolstovki/tolstovka-uniseks-carter-temnosinyaya-03812319/" , "03812319 Толстовка унисекс Carter, темно-синяя, размер XS")</f>
      </c>
      <c r="C12254" s="4" t="n">
        <v>3223.00</v>
      </c>
      <c r="D12254" s="4"/>
    </row>
    <row collapsed="" customFormat="false" customHeight="1" hidden="" ht="14" outlineLevel="0" r="12255">
      <c r="A12255" s="3" t="inlineStr">
        <is>
          <t>12214</t>
        </is>
      </c>
      <c r="B12255" s="4" t="s">
        <f>=HYPERLINK("http://anyluxury.ru/shop/odezhda/tolstovki/tolstovka-uniseks-carter-temnosinyaya-03812319/" , "03812319 Толстовка унисекс Carter, темно-синяя, размер S")</f>
      </c>
      <c r="C12255" s="4" t="n">
        <v>3223.00</v>
      </c>
      <c r="D12255" s="4"/>
    </row>
    <row collapsed="" customFormat="false" customHeight="1" hidden="" ht="14" outlineLevel="0" r="12256">
      <c r="A12256" s="3" t="inlineStr">
        <is>
          <t>12215</t>
        </is>
      </c>
      <c r="B12256" s="4" t="s">
        <f>=HYPERLINK("http://anyluxury.ru/shop/odezhda/tolstovki/tolstovka-uniseks-carter-temnosinyaya-03812319/" , "03812319 Толстовка унисекс Carter, темно-синяя, размер M")</f>
      </c>
      <c r="C12256" s="4" t="n">
        <v>3223.00</v>
      </c>
      <c r="D12256" s="4"/>
    </row>
    <row collapsed="" customFormat="false" customHeight="1" hidden="" ht="14" outlineLevel="0" r="12257">
      <c r="A12257" s="3" t="inlineStr">
        <is>
          <t>12216</t>
        </is>
      </c>
      <c r="B12257" s="4" t="s">
        <f>=HYPERLINK("http://anyluxury.ru/shop/odezhda/tolstovki/tolstovka-uniseks-carter-temnosinyaya-03812319/" , "03812319 Толстовка унисекс Carter, темно-синяя, размер L")</f>
      </c>
      <c r="C12257" s="4" t="n">
        <v>3223.00</v>
      </c>
      <c r="D12257" s="4"/>
    </row>
    <row collapsed="" customFormat="false" customHeight="1" hidden="" ht="14" outlineLevel="0" r="12258">
      <c r="A12258" s="3" t="inlineStr">
        <is>
          <t>12217</t>
        </is>
      </c>
      <c r="B12258" s="4" t="s">
        <f>=HYPERLINK("http://anyluxury.ru/shop/odezhda/tolstovki/tolstovka-uniseks-carter-temnosinyaya-03812319/" , "03812319 Толстовка унисекс Carter, темно-синяя, размер XL")</f>
      </c>
      <c r="C12258" s="4" t="n">
        <v>3223.00</v>
      </c>
      <c r="D12258" s="4"/>
    </row>
    <row collapsed="" customFormat="false" customHeight="1" hidden="" ht="14" outlineLevel="0" r="12259">
      <c r="A12259" s="3" t="inlineStr">
        <is>
          <t>12218</t>
        </is>
      </c>
      <c r="B12259" s="4" t="s">
        <f>=HYPERLINK("http://anyluxury.ru/shop/odezhda/tolstovki/tolstovka-uniseks-carter-temnosinyaya-03812319/" , "03812319 Толстовка унисекс Carter, темно-синяя, размер XXL")</f>
      </c>
      <c r="C12259" s="4" t="n">
        <v>3223.00</v>
      </c>
      <c r="D12259" s="4"/>
    </row>
    <row collapsed="" customFormat="false" customHeight="1" hidden="" ht="14" outlineLevel="0" r="12260">
      <c r="A12260" s="3" t="inlineStr">
        <is>
          <t>12219</t>
        </is>
      </c>
      <c r="B12260" s="4" t="s">
        <f>=HYPERLINK("http://anyluxury.ru/shop/odezhda/tolstovki/tolstovka-uniseks-carter-temnosinyaya-03812319/" , "03812319 Толстовка унисекс Carter, темно-синяя, размер 3XL")</f>
      </c>
      <c r="C12260" s="4" t="n">
        <v>3772.00</v>
      </c>
      <c r="D12260" s="4"/>
    </row>
    <row collapsed="" customFormat="false" customHeight="1" hidden="" ht="14" outlineLevel="0" r="12261">
      <c r="A12261" s="3" t="inlineStr">
        <is>
          <t>12220</t>
        </is>
      </c>
      <c r="B12261" s="4" t="s">
        <f>=HYPERLINK("http://anyluxury.ru/shop/odezhda/tolstovki/tolstovka-uniseks-carter-seriy-melanzh-03812360/" , "03812360 Толстовка унисекс Carter, серый меланж, размер XS")</f>
      </c>
      <c r="C12261" s="4" t="n">
        <v>3223.00</v>
      </c>
      <c r="D12261" s="4"/>
    </row>
    <row collapsed="" customFormat="false" customHeight="1" hidden="" ht="14" outlineLevel="0" r="12262">
      <c r="A12262" s="3" t="inlineStr">
        <is>
          <t>12221</t>
        </is>
      </c>
      <c r="B12262" s="4" t="s">
        <f>=HYPERLINK("http://anyluxury.ru/shop/odezhda/tolstovki/tolstovka-uniseks-carter-seriy-melanzh-03812360/" , "03812360 Толстовка унисекс Carter, серый меланж, размер S")</f>
      </c>
      <c r="C12262" s="4" t="n">
        <v>3223.00</v>
      </c>
      <c r="D12262" s="4"/>
    </row>
    <row collapsed="" customFormat="false" customHeight="1" hidden="" ht="14" outlineLevel="0" r="12263">
      <c r="A12263" s="3" t="inlineStr">
        <is>
          <t>12222</t>
        </is>
      </c>
      <c r="B12263" s="4" t="s">
        <f>=HYPERLINK("http://anyluxury.ru/shop/odezhda/tolstovki/tolstovka-uniseks-carter-seriy-melanzh-03812360/" , "03812360 Толстовка унисекс Carter, серый меланж, размер M")</f>
      </c>
      <c r="C12263" s="4" t="n">
        <v>3223.00</v>
      </c>
      <c r="D12263" s="4"/>
    </row>
    <row collapsed="" customFormat="false" customHeight="1" hidden="" ht="14" outlineLevel="0" r="12264">
      <c r="A12264" s="3" t="inlineStr">
        <is>
          <t>12223</t>
        </is>
      </c>
      <c r="B12264" s="4" t="s">
        <f>=HYPERLINK("http://anyluxury.ru/shop/odezhda/tolstovki/tolstovka-uniseks-carter-seriy-melanzh-03812360/" , "03812360 Толстовка унисекс Carter, серый меланж, размер L")</f>
      </c>
      <c r="C12264" s="4" t="n">
        <v>3223.00</v>
      </c>
      <c r="D12264" s="4"/>
    </row>
    <row collapsed="" customFormat="false" customHeight="1" hidden="" ht="14" outlineLevel="0" r="12265">
      <c r="A12265" s="3" t="inlineStr">
        <is>
          <t>12224</t>
        </is>
      </c>
      <c r="B12265" s="4" t="s">
        <f>=HYPERLINK("http://anyluxury.ru/shop/odezhda/tolstovki/tolstovka-uniseks-carter-seriy-melanzh-03812360/" , "03812360 Толстовка унисекс Carter, серый меланж, размер XL")</f>
      </c>
      <c r="C12265" s="4" t="n">
        <v>3223.00</v>
      </c>
      <c r="D12265" s="4"/>
    </row>
    <row collapsed="" customFormat="false" customHeight="1" hidden="" ht="14" outlineLevel="0" r="12266">
      <c r="A12266" s="3" t="inlineStr">
        <is>
          <t>12225</t>
        </is>
      </c>
      <c r="B12266" s="4" t="s">
        <f>=HYPERLINK("http://anyluxury.ru/shop/odezhda/tolstovki/tolstovka-uniseks-carter-seriy-melanzh-03812360/" , "03812360 Толстовка унисекс Carter, серый меланж, размер XXL")</f>
      </c>
      <c r="C12266" s="4" t="n">
        <v>3223.00</v>
      </c>
      <c r="D12266" s="4"/>
    </row>
    <row collapsed="" customFormat="false" customHeight="1" hidden="" ht="14" outlineLevel="0" r="12267">
      <c r="A12267" s="3" t="inlineStr">
        <is>
          <t>12226</t>
        </is>
      </c>
      <c r="B12267" s="4" t="s">
        <f>=HYPERLINK("http://anyluxury.ru/shop/odezhda/tolstovki/tolstovka-uniseks-carter-seriy-melanzh-03812360/" , "03812360 Толстовка унисекс Carter, серый меланж, размер 3XL")</f>
      </c>
      <c r="C12267" s="4" t="n">
        <v>3772.00</v>
      </c>
      <c r="D12267" s="4"/>
    </row>
    <row collapsed="" customFormat="false" customHeight="1" hidden="" ht="14" outlineLevel="0" r="12268">
      <c r="A12268" s="3" t="inlineStr">
        <is>
          <t>12227</t>
        </is>
      </c>
      <c r="B12268" s="4" t="s">
        <f>=HYPERLINK("http://anyluxury.ru/shop/odezhda/tolstovki/tolstovka-uniseks-carter-yarkosinyaya-royal-03812241/" , "03812241 Толстовка унисекс Carter, ярко-синяя (royal), размер XS")</f>
      </c>
      <c r="C12268" s="4" t="n">
        <v>3223.00</v>
      </c>
      <c r="D12268" s="4"/>
    </row>
    <row collapsed="" customFormat="false" customHeight="1" hidden="" ht="14" outlineLevel="0" r="12269">
      <c r="A12269" s="3" t="inlineStr">
        <is>
          <t>12228</t>
        </is>
      </c>
      <c r="B12269" s="4" t="s">
        <f>=HYPERLINK("http://anyluxury.ru/shop/odezhda/tolstovki/tolstovka-uniseks-carter-yarkosinyaya-royal-03812241/" , "03812241 Толстовка унисекс Carter, ярко-синяя (royal), размер S")</f>
      </c>
      <c r="C12269" s="4" t="n">
        <v>3223.00</v>
      </c>
      <c r="D12269" s="4"/>
    </row>
    <row collapsed="" customFormat="false" customHeight="1" hidden="" ht="14" outlineLevel="0" r="12270">
      <c r="A12270" s="3" t="inlineStr">
        <is>
          <t>12229</t>
        </is>
      </c>
      <c r="B12270" s="4" t="s">
        <f>=HYPERLINK("http://anyluxury.ru/shop/odezhda/tolstovki/tolstovka-uniseks-carter-yarkosinyaya-royal-03812241/" , "03812241 Толстовка унисекс Carter, ярко-синяя (royal), размер M")</f>
      </c>
      <c r="C12270" s="4" t="n">
        <v>3223.00</v>
      </c>
      <c r="D12270" s="4"/>
    </row>
    <row collapsed="" customFormat="false" customHeight="1" hidden="" ht="14" outlineLevel="0" r="12271">
      <c r="A12271" s="3" t="inlineStr">
        <is>
          <t>12230</t>
        </is>
      </c>
      <c r="B12271" s="4" t="s">
        <f>=HYPERLINK("http://anyluxury.ru/shop/odezhda/tolstovki/tolstovka-uniseks-carter-yarkosinyaya-royal-03812241/" , "03812241 Толстовка унисекс Carter, ярко-синяя (royal), размер L")</f>
      </c>
      <c r="C12271" s="4" t="n">
        <v>3223.00</v>
      </c>
      <c r="D12271" s="4"/>
    </row>
    <row collapsed="" customFormat="false" customHeight="1" hidden="" ht="14" outlineLevel="0" r="12272">
      <c r="A12272" s="3" t="inlineStr">
        <is>
          <t>12231</t>
        </is>
      </c>
      <c r="B12272" s="4" t="s">
        <f>=HYPERLINK("http://anyluxury.ru/shop/odezhda/tolstovki/tolstovka-uniseks-carter-yarkosinyaya-royal-03812241/" , "03812241 Толстовка унисекс Carter, ярко-синяя (royal), размер XL")</f>
      </c>
      <c r="C12272" s="4" t="n">
        <v>3223.00</v>
      </c>
      <c r="D12272" s="4"/>
    </row>
    <row collapsed="" customFormat="false" customHeight="1" hidden="" ht="14" outlineLevel="0" r="12273">
      <c r="A12273" s="3" t="inlineStr">
        <is>
          <t>12232</t>
        </is>
      </c>
      <c r="B12273" s="4" t="s">
        <f>=HYPERLINK("http://anyluxury.ru/shop/odezhda/tolstovki/tolstovka-uniseks-carter-yarkosinyaya-royal-03812241/" , "03812241 Толстовка унисекс Carter, ярко-синяя (royal), размер XXL")</f>
      </c>
      <c r="C12273" s="4" t="n">
        <v>3223.00</v>
      </c>
      <c r="D12273" s="4"/>
    </row>
    <row collapsed="" customFormat="false" customHeight="1" hidden="" ht="14" outlineLevel="0" r="12274">
      <c r="A12274" s="3" t="inlineStr">
        <is>
          <t>12233</t>
        </is>
      </c>
      <c r="B12274" s="4" t="s">
        <f>=HYPERLINK("http://anyluxury.ru/shop/odezhda/tolstovki/tolstovka-uniseks-carter-yarkosinyaya-royal-03812241/" , "03812241 Толстовка унисекс Carter, ярко-синяя (royal), размер 3XL")</f>
      </c>
      <c r="C12274" s="4" t="n">
        <v>3772.00</v>
      </c>
      <c r="D12274" s="4"/>
    </row>
    <row collapsed="" customFormat="false" customHeight="1" hidden="" ht="14" outlineLevel="0" r="12275">
      <c r="A12275" s="3" t="inlineStr">
        <is>
          <t>12234</t>
        </is>
      </c>
      <c r="B12275" s="4" t="s">
        <f>=HYPERLINK("http://anyluxury.ru/shop/odezhda/tolstovki/tolstovka-uniseks-carter-belaya-03812102/" , "03812102 Толстовка унисекс Carter, белая, размер XS")</f>
      </c>
      <c r="C12275" s="4" t="n">
        <v>3223.00</v>
      </c>
      <c r="D12275" s="4"/>
    </row>
    <row collapsed="" customFormat="false" customHeight="1" hidden="" ht="14" outlineLevel="0" r="12276">
      <c r="A12276" s="3" t="inlineStr">
        <is>
          <t>12235</t>
        </is>
      </c>
      <c r="B12276" s="4" t="s">
        <f>=HYPERLINK("http://anyluxury.ru/shop/odezhda/tolstovki/tolstovka-uniseks-carter-belaya-03812102/" , "03812102 Толстовка унисекс Carter, белая, размер S")</f>
      </c>
      <c r="C12276" s="4" t="n">
        <v>3223.00</v>
      </c>
      <c r="D12276" s="4"/>
    </row>
    <row collapsed="" customFormat="false" customHeight="1" hidden="" ht="14" outlineLevel="0" r="12277">
      <c r="A12277" s="3" t="inlineStr">
        <is>
          <t>12236</t>
        </is>
      </c>
      <c r="B12277" s="4" t="s">
        <f>=HYPERLINK("http://anyluxury.ru/shop/odezhda/tolstovki/tolstovka-uniseks-carter-belaya-03812102/" , "03812102 Толстовка унисекс Carter, белая, размер M")</f>
      </c>
      <c r="C12277" s="4" t="n">
        <v>3223.00</v>
      </c>
      <c r="D12277" s="4"/>
    </row>
    <row collapsed="" customFormat="false" customHeight="1" hidden="" ht="14" outlineLevel="0" r="12278">
      <c r="A12278" s="3" t="inlineStr">
        <is>
          <t>12237</t>
        </is>
      </c>
      <c r="B12278" s="4" t="s">
        <f>=HYPERLINK("http://anyluxury.ru/shop/odezhda/tolstovki/tolstovka-uniseks-carter-belaya-03812102/" , "03812102 Толстовка унисекс Carter, белая, размер L")</f>
      </c>
      <c r="C12278" s="4" t="n">
        <v>3223.00</v>
      </c>
      <c r="D12278" s="4"/>
    </row>
    <row collapsed="" customFormat="false" customHeight="1" hidden="" ht="14" outlineLevel="0" r="12279">
      <c r="A12279" s="3" t="inlineStr">
        <is>
          <t>12238</t>
        </is>
      </c>
      <c r="B12279" s="4" t="s">
        <f>=HYPERLINK("http://anyluxury.ru/shop/odezhda/tolstovki/tolstovka-uniseks-carter-belaya-03812102/" , "03812102 Толстовка унисекс Carter, белая, размер XL")</f>
      </c>
      <c r="C12279" s="4" t="n">
        <v>3223.00</v>
      </c>
      <c r="D12279" s="4"/>
    </row>
    <row collapsed="" customFormat="false" customHeight="1" hidden="" ht="14" outlineLevel="0" r="12280">
      <c r="A12280" s="3" t="inlineStr">
        <is>
          <t>12239</t>
        </is>
      </c>
      <c r="B12280" s="4" t="s">
        <f>=HYPERLINK("http://anyluxury.ru/shop/odezhda/tolstovki/tolstovka-uniseks-carter-belaya-03812102/" , "03812102 Толстовка унисекс Carter, белая, размер XXL")</f>
      </c>
      <c r="C12280" s="4" t="n">
        <v>3223.00</v>
      </c>
      <c r="D12280" s="4"/>
    </row>
    <row collapsed="" customFormat="false" customHeight="1" hidden="" ht="14" outlineLevel="0" r="12281">
      <c r="A12281" s="3" t="inlineStr">
        <is>
          <t>12240</t>
        </is>
      </c>
      <c r="B12281" s="4" t="s">
        <f>=HYPERLINK("http://anyluxury.ru/shop/odezhda/tolstovki/tolstovka-uniseks-carter-belaya-03812102/" , "03812102 Толстовка унисекс Carter, белая, размер 3XL")</f>
      </c>
      <c r="C12281" s="4" t="n">
        <v>3772.00</v>
      </c>
      <c r="D12281" s="4"/>
    </row>
    <row collapsed="" customFormat="false" customHeight="1" hidden="" ht="14" outlineLevel="0" r="12282">
      <c r="A12282" s="3" t="inlineStr">
        <is>
          <t>12241</t>
        </is>
      </c>
      <c r="B12282" s="4" t="s">
        <f>=HYPERLINK("http://anyluxury.ru/shop/odezhda/tolstovki/tolstovka-uniseks-conrad-chernaya-04234312/" , "04234312 Толстовка унисекс Conrad, черная, размер XS")</f>
      </c>
      <c r="C12282" s="4" t="n">
        <v>2851.00</v>
      </c>
      <c r="D12282" s="4"/>
    </row>
    <row collapsed="" customFormat="false" customHeight="1" hidden="" ht="14" outlineLevel="0" r="12283">
      <c r="A12283" s="3" t="inlineStr">
        <is>
          <t>12242</t>
        </is>
      </c>
      <c r="B12283" s="4" t="s">
        <f>=HYPERLINK("http://anyluxury.ru/shop/odezhda/tolstovki/tolstovka-uniseks-conrad-chernaya-04234312/" , "04234312 Толстовка унисекс Conrad, черная, размер S")</f>
      </c>
      <c r="C12283" s="4" t="n">
        <v>2851.00</v>
      </c>
      <c r="D12283" s="4"/>
    </row>
    <row collapsed="" customFormat="false" customHeight="1" hidden="" ht="14" outlineLevel="0" r="12284">
      <c r="A12284" s="3" t="inlineStr">
        <is>
          <t>12243</t>
        </is>
      </c>
      <c r="B12284" s="4" t="s">
        <f>=HYPERLINK("http://anyluxury.ru/shop/odezhda/tolstovki/tolstovka-uniseks-conrad-chernaya-04234312/" , "04234312 Толстовка унисекс Conrad, черная, размер M")</f>
      </c>
      <c r="C12284" s="4" t="n">
        <v>2851.00</v>
      </c>
      <c r="D12284" s="4"/>
    </row>
    <row collapsed="" customFormat="false" customHeight="1" hidden="" ht="14" outlineLevel="0" r="12285">
      <c r="A12285" s="3" t="inlineStr">
        <is>
          <t>12244</t>
        </is>
      </c>
      <c r="B12285" s="4" t="s">
        <f>=HYPERLINK("http://anyluxury.ru/shop/odezhda/tolstovki/tolstovka-uniseks-conrad-chernaya-04234312/" , "04234312 Толстовка унисекс Conrad, черная, размер L")</f>
      </c>
      <c r="C12285" s="4" t="n">
        <v>2851.00</v>
      </c>
      <c r="D12285" s="4"/>
    </row>
    <row collapsed="" customFormat="false" customHeight="1" hidden="" ht="14" outlineLevel="0" r="12286">
      <c r="A12286" s="3" t="inlineStr">
        <is>
          <t>12245</t>
        </is>
      </c>
      <c r="B12286" s="4" t="s">
        <f>=HYPERLINK("http://anyluxury.ru/shop/odezhda/tolstovki/tolstovka-uniseks-conrad-chernaya-04234312/" , "04234312 Толстовка унисекс Conrad, черная, размер XL")</f>
      </c>
      <c r="C12286" s="4" t="n">
        <v>2851.00</v>
      </c>
      <c r="D12286" s="4"/>
    </row>
    <row collapsed="" customFormat="false" customHeight="1" hidden="" ht="14" outlineLevel="0" r="12287">
      <c r="A12287" s="3" t="inlineStr">
        <is>
          <t>12246</t>
        </is>
      </c>
      <c r="B12287" s="4" t="s">
        <f>=HYPERLINK("http://anyluxury.ru/shop/odezhda/tolstovki/tolstovka-uniseks-conrad-chernaya-04234312/" , "04234312 Толстовка унисекс Conrad, черная, размер XXL")</f>
      </c>
      <c r="C12287" s="4" t="n">
        <v>2851.00</v>
      </c>
      <c r="D12287" s="4"/>
    </row>
    <row collapsed="" customFormat="false" customHeight="1" hidden="" ht="14" outlineLevel="0" r="12288">
      <c r="A12288" s="3" t="inlineStr">
        <is>
          <t>12247</t>
        </is>
      </c>
      <c r="B12288" s="4" t="s">
        <f>=HYPERLINK("http://anyluxury.ru/shop/odezhda/tolstovki/tolstovka-uniseks-conrad-chernaya-04234312/" , "04234312 Толстовка унисекс Conrad, черная, размер 3XL")</f>
      </c>
      <c r="C12288" s="4" t="n">
        <v>3336.00</v>
      </c>
      <c r="D12288" s="4"/>
    </row>
    <row collapsed="" customFormat="false" customHeight="1" hidden="" ht="14" outlineLevel="0" r="12289">
      <c r="A12289" s="3" t="inlineStr">
        <is>
          <t>12248</t>
        </is>
      </c>
      <c r="B12289" s="4" t="s">
        <f>=HYPERLINK("http://anyluxury.ru/shop/odezhda/tolstovki/tolstovka-uniseks-conrad-chernaya-04234312/" , "04234312 Толстовка унисекс Conrad, черная, размер 4XL")</f>
      </c>
      <c r="C12289" s="4" t="n">
        <v>3992.00</v>
      </c>
      <c r="D12289" s="4"/>
    </row>
    <row collapsed="" customFormat="false" customHeight="1" hidden="" ht="14" outlineLevel="0" r="12290">
      <c r="A12290" s="3" t="inlineStr">
        <is>
          <t>12249</t>
        </is>
      </c>
      <c r="B12290" s="4" t="s">
        <f>=HYPERLINK("http://anyluxury.ru/shop/odezhda/tolstovki/tolstovka-uniseks-conrad-temnozelenaya-04234264/" , "04234264 Толстовка унисекс Conrad, темно-зеленая, размер XS")</f>
      </c>
      <c r="C12290" s="4" t="n">
        <v>2851.00</v>
      </c>
      <c r="D12290" s="4"/>
    </row>
    <row collapsed="" customFormat="false" customHeight="1" hidden="" ht="14" outlineLevel="0" r="12291">
      <c r="A12291" s="3" t="inlineStr">
        <is>
          <t>12250</t>
        </is>
      </c>
      <c r="B12291" s="4" t="s">
        <f>=HYPERLINK("http://anyluxury.ru/shop/odezhda/tolstovki/tolstovka-uniseks-conrad-temnozelenaya-04234264/" , "04234264 Толстовка унисекс Conrad, темно-зеленая, размер S")</f>
      </c>
      <c r="C12291" s="4" t="n">
        <v>2851.00</v>
      </c>
      <c r="D12291" s="4"/>
    </row>
    <row collapsed="" customFormat="false" customHeight="1" hidden="" ht="14" outlineLevel="0" r="12292">
      <c r="A12292" s="3" t="inlineStr">
        <is>
          <t>12251</t>
        </is>
      </c>
      <c r="B12292" s="4" t="s">
        <f>=HYPERLINK("http://anyluxury.ru/shop/odezhda/tolstovki/tolstovka-uniseks-conrad-temnozelenaya-04234264/" , "04234264 Толстовка унисекс Conrad, темно-зеленая, размер M")</f>
      </c>
      <c r="C12292" s="4" t="n">
        <v>2851.00</v>
      </c>
      <c r="D12292" s="4"/>
    </row>
    <row collapsed="" customFormat="false" customHeight="1" hidden="" ht="14" outlineLevel="0" r="12293">
      <c r="A12293" s="3" t="inlineStr">
        <is>
          <t>12252</t>
        </is>
      </c>
      <c r="B12293" s="4" t="s">
        <f>=HYPERLINK("http://anyluxury.ru/shop/odezhda/tolstovki/tolstovka-uniseks-conrad-temnozelenaya-04234264/" , "04234264 Толстовка унисекс Conrad, темно-зеленая, размер L")</f>
      </c>
      <c r="C12293" s="4" t="n">
        <v>2851.00</v>
      </c>
      <c r="D12293" s="4"/>
    </row>
    <row collapsed="" customFormat="false" customHeight="1" hidden="" ht="14" outlineLevel="0" r="12294">
      <c r="A12294" s="3" t="inlineStr">
        <is>
          <t>12253</t>
        </is>
      </c>
      <c r="B12294" s="4" t="s">
        <f>=HYPERLINK("http://anyluxury.ru/shop/odezhda/tolstovki/tolstovka-uniseks-conrad-temnozelenaya-04234264/" , "04234264 Толстовка унисекс Conrad, темно-зеленая, размер XL")</f>
      </c>
      <c r="C12294" s="4" t="n">
        <v>2851.00</v>
      </c>
      <c r="D12294" s="4"/>
    </row>
    <row collapsed="" customFormat="false" customHeight="1" hidden="" ht="14" outlineLevel="0" r="12295">
      <c r="A12295" s="3" t="inlineStr">
        <is>
          <t>12254</t>
        </is>
      </c>
      <c r="B12295" s="4" t="s">
        <f>=HYPERLINK("http://anyluxury.ru/shop/odezhda/tolstovki/tolstovka-uniseks-conrad-temnozelenaya-04234264/" , "04234264 Толстовка унисекс Conrad, темно-зеленая, размер XXL")</f>
      </c>
      <c r="C12295" s="4" t="n">
        <v>2851.00</v>
      </c>
      <c r="D12295" s="4"/>
    </row>
    <row collapsed="" customFormat="false" customHeight="1" hidden="" ht="14" outlineLevel="0" r="12296">
      <c r="A12296" s="3" t="inlineStr">
        <is>
          <t>12255</t>
        </is>
      </c>
      <c r="B12296" s="4" t="s">
        <f>=HYPERLINK("http://anyluxury.ru/shop/odezhda/tolstovki/tolstovka-uniseks-conrad-temnozelenaya-04234264/" , "04234264 Толстовка унисекс Conrad, темно-зеленая, размер 3XL")</f>
      </c>
      <c r="C12296" s="4" t="n">
        <v>3336.00</v>
      </c>
      <c r="D12296" s="4"/>
    </row>
    <row collapsed="" customFormat="false" customHeight="1" hidden="" ht="14" outlineLevel="0" r="12297">
      <c r="A12297" s="3" t="inlineStr">
        <is>
          <t>12256</t>
        </is>
      </c>
      <c r="B12297" s="4" t="s">
        <f>=HYPERLINK("http://anyluxury.ru/shop/odezhda/tolstovki/tolstovka-uniseks-conrad-temnozelenaya-04234264/" , "04234264 Толстовка унисекс Conrad, темно-зеленая, размер 4XL")</f>
      </c>
      <c r="C12297" s="4" t="n">
        <v>3992.00</v>
      </c>
      <c r="D12297" s="4"/>
    </row>
    <row collapsed="" customFormat="false" customHeight="1" hidden="" ht="14" outlineLevel="0" r="12298">
      <c r="A12298" s="3" t="inlineStr">
        <is>
          <t>12257</t>
        </is>
      </c>
      <c r="B12298" s="4" t="s">
        <f>=HYPERLINK("http://anyluxury.ru/shop/odezhda/tolstovki/tolstovka-uniseks-conrad-krasnaya-04234161/" , "04234161 Толстовка унисекс Conrad, красная, размер XS")</f>
      </c>
      <c r="C12298" s="4" t="n">
        <v>2851.00</v>
      </c>
      <c r="D12298" s="4"/>
    </row>
    <row collapsed="" customFormat="false" customHeight="1" hidden="" ht="14" outlineLevel="0" r="12299">
      <c r="A12299" s="3" t="inlineStr">
        <is>
          <t>12258</t>
        </is>
      </c>
      <c r="B12299" s="4" t="s">
        <f>=HYPERLINK("http://anyluxury.ru/shop/odezhda/tolstovki/tolstovka-uniseks-conrad-krasnaya-04234161/" , "04234161 Толстовка унисекс Conrad, красная, размер S")</f>
      </c>
      <c r="C12299" s="4" t="n">
        <v>2851.00</v>
      </c>
      <c r="D12299" s="4"/>
    </row>
    <row collapsed="" customFormat="false" customHeight="1" hidden="" ht="14" outlineLevel="0" r="12300">
      <c r="A12300" s="3" t="inlineStr">
        <is>
          <t>12259</t>
        </is>
      </c>
      <c r="B12300" s="4" t="s">
        <f>=HYPERLINK("http://anyluxury.ru/shop/odezhda/tolstovki/tolstovka-uniseks-conrad-krasnaya-04234161/" , "04234161 Толстовка унисекс Conrad, красная, размер M")</f>
      </c>
      <c r="C12300" s="4" t="n">
        <v>2851.00</v>
      </c>
      <c r="D12300" s="4"/>
    </row>
    <row collapsed="" customFormat="false" customHeight="1" hidden="" ht="14" outlineLevel="0" r="12301">
      <c r="A12301" s="3" t="inlineStr">
        <is>
          <t>12260</t>
        </is>
      </c>
      <c r="B12301" s="4" t="s">
        <f>=HYPERLINK("http://anyluxury.ru/shop/odezhda/tolstovki/tolstovka-uniseks-conrad-krasnaya-04234161/" , "04234161 Толстовка унисекс Conrad, красная, размер L")</f>
      </c>
      <c r="C12301" s="4" t="n">
        <v>2851.00</v>
      </c>
      <c r="D12301" s="4"/>
    </row>
    <row collapsed="" customFormat="false" customHeight="1" hidden="" ht="14" outlineLevel="0" r="12302">
      <c r="A12302" s="3" t="inlineStr">
        <is>
          <t>12261</t>
        </is>
      </c>
      <c r="B12302" s="4" t="s">
        <f>=HYPERLINK("http://anyluxury.ru/shop/odezhda/tolstovki/tolstovka-uniseks-conrad-krasnaya-04234161/" , "04234161 Толстовка унисекс Conrad, красная, размер XL")</f>
      </c>
      <c r="C12302" s="4" t="n">
        <v>2851.00</v>
      </c>
      <c r="D12302" s="4"/>
    </row>
    <row collapsed="" customFormat="false" customHeight="1" hidden="" ht="14" outlineLevel="0" r="12303">
      <c r="A12303" s="3" t="inlineStr">
        <is>
          <t>12262</t>
        </is>
      </c>
      <c r="B12303" s="4" t="s">
        <f>=HYPERLINK("http://anyluxury.ru/shop/odezhda/tolstovki/tolstovka-uniseks-conrad-krasnaya-04234161/" , "04234161 Толстовка унисекс Conrad, красная, размер XXL")</f>
      </c>
      <c r="C12303" s="4" t="n">
        <v>2851.00</v>
      </c>
      <c r="D12303" s="4"/>
    </row>
    <row collapsed="" customFormat="false" customHeight="1" hidden="" ht="14" outlineLevel="0" r="12304">
      <c r="A12304" s="3" t="inlineStr">
        <is>
          <t>12263</t>
        </is>
      </c>
      <c r="B12304" s="4" t="s">
        <f>=HYPERLINK("http://anyluxury.ru/shop/odezhda/tolstovki/tolstovka-uniseks-conrad-krasnaya-04234161/" , "04234161 Толстовка унисекс Conrad, красная, размер 3XL")</f>
      </c>
      <c r="C12304" s="4" t="n">
        <v>3336.00</v>
      </c>
      <c r="D12304" s="4"/>
    </row>
    <row collapsed="" customFormat="false" customHeight="1" hidden="" ht="14" outlineLevel="0" r="12305">
      <c r="A12305" s="3" t="inlineStr">
        <is>
          <t>12264</t>
        </is>
      </c>
      <c r="B12305" s="4" t="s">
        <f>=HYPERLINK("http://anyluxury.ru/shop/odezhda/tolstovki/tolstovka-uniseks-conrad-krasnaya-04234161/" , "04234161 Толстовка унисекс Conrad, красная, размер 4XL")</f>
      </c>
      <c r="C12305" s="4" t="n">
        <v>3992.00</v>
      </c>
      <c r="D12305" s="4"/>
    </row>
    <row collapsed="" customFormat="false" customHeight="1" hidden="" ht="14" outlineLevel="0" r="12306">
      <c r="A12306" s="3" t="inlineStr">
        <is>
          <t>12265</t>
        </is>
      </c>
      <c r="B12306" s="4" t="s">
        <f>=HYPERLINK("http://anyluxury.ru/shop/odezhda/tolstovki/tolstovka-uniseks-conrad-temnosinyaya-04234319/" , "04234319 Толстовка унисекс Conrad, темно-синяя, размер XS")</f>
      </c>
      <c r="C12306" s="4" t="n">
        <v>2851.00</v>
      </c>
      <c r="D12306" s="4"/>
    </row>
    <row collapsed="" customFormat="false" customHeight="1" hidden="" ht="14" outlineLevel="0" r="12307">
      <c r="A12307" s="3" t="inlineStr">
        <is>
          <t>12266</t>
        </is>
      </c>
      <c r="B12307" s="4" t="s">
        <f>=HYPERLINK("http://anyluxury.ru/shop/odezhda/tolstovki/tolstovka-uniseks-conrad-temnosinyaya-04234319/" , "04234319 Толстовка унисекс Conrad, темно-синяя, размер S")</f>
      </c>
      <c r="C12307" s="4" t="n">
        <v>2851.00</v>
      </c>
      <c r="D12307" s="4"/>
    </row>
    <row collapsed="" customFormat="false" customHeight="1" hidden="" ht="14" outlineLevel="0" r="12308">
      <c r="A12308" s="3" t="inlineStr">
        <is>
          <t>12267</t>
        </is>
      </c>
      <c r="B12308" s="4" t="s">
        <f>=HYPERLINK("http://anyluxury.ru/shop/odezhda/tolstovki/tolstovka-uniseks-conrad-temnosinyaya-04234319/" , "04234319 Толстовка унисекс Conrad, темно-синяя, размер M")</f>
      </c>
      <c r="C12308" s="4" t="n">
        <v>2851.00</v>
      </c>
      <c r="D12308" s="4"/>
    </row>
    <row collapsed="" customFormat="false" customHeight="1" hidden="" ht="14" outlineLevel="0" r="12309">
      <c r="A12309" s="3" t="inlineStr">
        <is>
          <t>12268</t>
        </is>
      </c>
      <c r="B12309" s="4" t="s">
        <f>=HYPERLINK("http://anyluxury.ru/shop/odezhda/tolstovki/tolstovka-uniseks-conrad-temnosinyaya-04234319/" , "04234319 Толстовка унисекс Conrad, темно-синяя, размер L")</f>
      </c>
      <c r="C12309" s="4" t="n">
        <v>2851.00</v>
      </c>
      <c r="D12309" s="4"/>
    </row>
    <row collapsed="" customFormat="false" customHeight="1" hidden="" ht="14" outlineLevel="0" r="12310">
      <c r="A12310" s="3" t="inlineStr">
        <is>
          <t>12269</t>
        </is>
      </c>
      <c r="B12310" s="4" t="s">
        <f>=HYPERLINK("http://anyluxury.ru/shop/odezhda/tolstovki/tolstovka-uniseks-conrad-temnosinyaya-04234319/" , "04234319 Толстовка унисекс Conrad, темно-синяя, размер XL")</f>
      </c>
      <c r="C12310" s="4" t="n">
        <v>2851.00</v>
      </c>
      <c r="D12310" s="4"/>
    </row>
    <row collapsed="" customFormat="false" customHeight="1" hidden="" ht="14" outlineLevel="0" r="12311">
      <c r="A12311" s="3" t="inlineStr">
        <is>
          <t>12270</t>
        </is>
      </c>
      <c r="B12311" s="4" t="s">
        <f>=HYPERLINK("http://anyluxury.ru/shop/odezhda/tolstovki/tolstovka-uniseks-conrad-temnosinyaya-04234319/" , "04234319 Толстовка унисекс Conrad, темно-синяя, размер XXL")</f>
      </c>
      <c r="C12311" s="4" t="n">
        <v>2851.00</v>
      </c>
      <c r="D12311" s="4"/>
    </row>
    <row collapsed="" customFormat="false" customHeight="1" hidden="" ht="14" outlineLevel="0" r="12312">
      <c r="A12312" s="3" t="inlineStr">
        <is>
          <t>12271</t>
        </is>
      </c>
      <c r="B12312" s="4" t="s">
        <f>=HYPERLINK("http://anyluxury.ru/shop/odezhda/tolstovki/tolstovka-uniseks-conrad-temnosinyaya-04234319/" , "04234319 Толстовка унисекс Conrad, темно-синяя, размер 3XL")</f>
      </c>
      <c r="C12312" s="4" t="n">
        <v>3336.00</v>
      </c>
      <c r="D12312" s="4"/>
    </row>
    <row collapsed="" customFormat="false" customHeight="1" hidden="" ht="14" outlineLevel="0" r="12313">
      <c r="A12313" s="3" t="inlineStr">
        <is>
          <t>12272</t>
        </is>
      </c>
      <c r="B12313" s="4" t="s">
        <f>=HYPERLINK("http://anyluxury.ru/shop/odezhda/tolstovki/tolstovka-uniseks-conrad-temnosinyaya-04234319/" , "04234319 Толстовка унисекс Conrad, темно-синяя, размер 4XL")</f>
      </c>
      <c r="C12313" s="4" t="n">
        <v>3992.00</v>
      </c>
      <c r="D12313" s="4"/>
    </row>
    <row collapsed="" customFormat="false" customHeight="1" hidden="" ht="14" outlineLevel="0" r="12314">
      <c r="A12314" s="3" t="inlineStr">
        <is>
          <t>12273</t>
        </is>
      </c>
      <c r="B12314" s="4" t="s">
        <f>=HYPERLINK("http://anyluxury.ru/shop/odezhda/tolstovki/tolstovka-uniseks-conrad-seriy-melanzh-04234360/" , "04234360 Толстовка унисекс Conrad, серый меланж, размер XS")</f>
      </c>
      <c r="C12314" s="4" t="n">
        <v>2851.00</v>
      </c>
      <c r="D12314" s="4"/>
    </row>
    <row collapsed="" customFormat="false" customHeight="1" hidden="" ht="14" outlineLevel="0" r="12315">
      <c r="A12315" s="3" t="inlineStr">
        <is>
          <t>12274</t>
        </is>
      </c>
      <c r="B12315" s="4" t="s">
        <f>=HYPERLINK("http://anyluxury.ru/shop/odezhda/tolstovki/tolstovka-uniseks-conrad-seriy-melanzh-04234360/" , "04234360 Толстовка унисекс Conrad, серый меланж, размер S")</f>
      </c>
      <c r="C12315" s="4" t="n">
        <v>2851.00</v>
      </c>
      <c r="D12315" s="4"/>
    </row>
    <row collapsed="" customFormat="false" customHeight="1" hidden="" ht="14" outlineLevel="0" r="12316">
      <c r="A12316" s="3" t="inlineStr">
        <is>
          <t>12275</t>
        </is>
      </c>
      <c r="B12316" s="4" t="s">
        <f>=HYPERLINK("http://anyluxury.ru/shop/odezhda/tolstovki/tolstovka-uniseks-conrad-seriy-melanzh-04234360/" , "04234360 Толстовка унисекс Conrad, серый меланж, размер M")</f>
      </c>
      <c r="C12316" s="4" t="n">
        <v>2851.00</v>
      </c>
      <c r="D12316" s="4"/>
    </row>
    <row collapsed="" customFormat="false" customHeight="1" hidden="" ht="14" outlineLevel="0" r="12317">
      <c r="A12317" s="3" t="inlineStr">
        <is>
          <t>12276</t>
        </is>
      </c>
      <c r="B12317" s="4" t="s">
        <f>=HYPERLINK("http://anyluxury.ru/shop/odezhda/tolstovki/tolstovka-uniseks-conrad-seriy-melanzh-04234360/" , "04234360 Толстовка унисекс Conrad, серый меланж, размер L")</f>
      </c>
      <c r="C12317" s="4" t="n">
        <v>2851.00</v>
      </c>
      <c r="D12317" s="4"/>
    </row>
    <row collapsed="" customFormat="false" customHeight="1" hidden="" ht="14" outlineLevel="0" r="12318">
      <c r="A12318" s="3" t="inlineStr">
        <is>
          <t>12277</t>
        </is>
      </c>
      <c r="B12318" s="4" t="s">
        <f>=HYPERLINK("http://anyluxury.ru/shop/odezhda/tolstovki/tolstovka-uniseks-conrad-seriy-melanzh-04234360/" , "04234360 Толстовка унисекс Conrad, серый меланж, размер XL")</f>
      </c>
      <c r="C12318" s="4" t="n">
        <v>2851.00</v>
      </c>
      <c r="D12318" s="4"/>
    </row>
    <row collapsed="" customFormat="false" customHeight="1" hidden="" ht="14" outlineLevel="0" r="12319">
      <c r="A12319" s="3" t="inlineStr">
        <is>
          <t>12278</t>
        </is>
      </c>
      <c r="B12319" s="4" t="s">
        <f>=HYPERLINK("http://anyluxury.ru/shop/odezhda/tolstovki/tolstovka-uniseks-conrad-seriy-melanzh-04234360/" , "04234360 Толстовка унисекс Conrad, серый меланж, размер XXL")</f>
      </c>
      <c r="C12319" s="4" t="n">
        <v>2851.00</v>
      </c>
      <c r="D12319" s="4"/>
    </row>
    <row collapsed="" customFormat="false" customHeight="1" hidden="" ht="14" outlineLevel="0" r="12320">
      <c r="A12320" s="3" t="inlineStr">
        <is>
          <t>12279</t>
        </is>
      </c>
      <c r="B12320" s="4" t="s">
        <f>=HYPERLINK("http://anyluxury.ru/shop/odezhda/tolstovki/tolstovka-uniseks-conrad-seriy-melanzh-04234360/" , "04234360 Толстовка унисекс Conrad, серый меланж, размер 3XL")</f>
      </c>
      <c r="C12320" s="4" t="n">
        <v>3336.00</v>
      </c>
      <c r="D12320" s="4"/>
    </row>
    <row collapsed="" customFormat="false" customHeight="1" hidden="" ht="14" outlineLevel="0" r="12321">
      <c r="A12321" s="3" t="inlineStr">
        <is>
          <t>12280</t>
        </is>
      </c>
      <c r="B12321" s="4" t="s">
        <f>=HYPERLINK("http://anyluxury.ru/shop/odezhda/tolstovki/tolstovka-uniseks-conrad-seriy-melanzh-04234360/" , "04234360 Толстовка унисекс Conrad, серый меланж, размер 4XL")</f>
      </c>
      <c r="C12321" s="4" t="n">
        <v>3992.00</v>
      </c>
      <c r="D12321" s="4"/>
    </row>
    <row collapsed="" customFormat="false" customHeight="1" hidden="" ht="14" outlineLevel="0" r="12322">
      <c r="A12322" s="3" t="inlineStr">
        <is>
          <t>12281</t>
        </is>
      </c>
      <c r="B12322" s="4" t="s">
        <f>=HYPERLINK("http://anyluxury.ru/shop/odezhda/tolstovki/tolstovka-uniseks-conrad-yarkosinyaya-royal-04234241/" , "04234241 Толстовка унисекс Conrad, ярко-синяя (royal), размер XS")</f>
      </c>
      <c r="C12322" s="4" t="n">
        <v>2851.00</v>
      </c>
      <c r="D12322" s="4"/>
    </row>
    <row collapsed="" customFormat="false" customHeight="1" hidden="" ht="14" outlineLevel="0" r="12323">
      <c r="A12323" s="3" t="inlineStr">
        <is>
          <t>12282</t>
        </is>
      </c>
      <c r="B12323" s="4" t="s">
        <f>=HYPERLINK("http://anyluxury.ru/shop/odezhda/tolstovki/tolstovka-uniseks-conrad-yarkosinyaya-royal-04234241/" , "04234241 Толстовка унисекс Conrad, ярко-синяя (royal), размер S")</f>
      </c>
      <c r="C12323" s="4" t="n">
        <v>2851.00</v>
      </c>
      <c r="D12323" s="4"/>
    </row>
    <row collapsed="" customFormat="false" customHeight="1" hidden="" ht="14" outlineLevel="0" r="12324">
      <c r="A12324" s="3" t="inlineStr">
        <is>
          <t>12283</t>
        </is>
      </c>
      <c r="B12324" s="4" t="s">
        <f>=HYPERLINK("http://anyluxury.ru/shop/odezhda/tolstovki/tolstovka-uniseks-conrad-yarkosinyaya-royal-04234241/" , "04234241 Толстовка унисекс Conrad, ярко-синяя (royal), размер M")</f>
      </c>
      <c r="C12324" s="4" t="n">
        <v>2851.00</v>
      </c>
      <c r="D12324" s="4"/>
    </row>
    <row collapsed="" customFormat="false" customHeight="1" hidden="" ht="14" outlineLevel="0" r="12325">
      <c r="A12325" s="3" t="inlineStr">
        <is>
          <t>12284</t>
        </is>
      </c>
      <c r="B12325" s="4" t="s">
        <f>=HYPERLINK("http://anyluxury.ru/shop/odezhda/tolstovki/tolstovka-uniseks-conrad-yarkosinyaya-royal-04234241/" , "04234241 Толстовка унисекс Conrad, ярко-синяя (royal), размер L")</f>
      </c>
      <c r="C12325" s="4" t="n">
        <v>2851.00</v>
      </c>
      <c r="D12325" s="4"/>
    </row>
    <row collapsed="" customFormat="false" customHeight="1" hidden="" ht="14" outlineLevel="0" r="12326">
      <c r="A12326" s="3" t="inlineStr">
        <is>
          <t>12285</t>
        </is>
      </c>
      <c r="B12326" s="4" t="s">
        <f>=HYPERLINK("http://anyluxury.ru/shop/odezhda/tolstovki/tolstovka-uniseks-conrad-yarkosinyaya-royal-04234241/" , "04234241 Толстовка унисекс Conrad, ярко-синяя (royal), размер XL")</f>
      </c>
      <c r="C12326" s="4" t="n">
        <v>2851.00</v>
      </c>
      <c r="D12326" s="4"/>
    </row>
    <row collapsed="" customFormat="false" customHeight="1" hidden="" ht="14" outlineLevel="0" r="12327">
      <c r="A12327" s="3" t="inlineStr">
        <is>
          <t>12286</t>
        </is>
      </c>
      <c r="B12327" s="4" t="s">
        <f>=HYPERLINK("http://anyluxury.ru/shop/odezhda/tolstovki/tolstovka-uniseks-conrad-yarkosinyaya-royal-04234241/" , "04234241 Толстовка унисекс Conrad, ярко-синяя (royal), размер XXL")</f>
      </c>
      <c r="C12327" s="4" t="n">
        <v>2851.00</v>
      </c>
      <c r="D12327" s="4"/>
    </row>
    <row collapsed="" customFormat="false" customHeight="1" hidden="" ht="14" outlineLevel="0" r="12328">
      <c r="A12328" s="3" t="inlineStr">
        <is>
          <t>12287</t>
        </is>
      </c>
      <c r="B12328" s="4" t="s">
        <f>=HYPERLINK("http://anyluxury.ru/shop/odezhda/tolstovki/tolstovka-uniseks-conrad-yarkosinyaya-royal-04234241/" , "04234241 Толстовка унисекс Conrad, ярко-синяя (royal), размер 3XL")</f>
      </c>
      <c r="C12328" s="4" t="n">
        <v>3336.00</v>
      </c>
      <c r="D12328" s="4"/>
    </row>
    <row collapsed="" customFormat="false" customHeight="1" hidden="" ht="14" outlineLevel="0" r="12329">
      <c r="A12329" s="3" t="inlineStr">
        <is>
          <t>12288</t>
        </is>
      </c>
      <c r="B12329" s="4" t="s">
        <f>=HYPERLINK("http://anyluxury.ru/shop/odezhda/tolstovki/tolstovka-uniseks-conrad-yarkosinyaya-royal-04234241/" , "04234241 Толстовка унисекс Conrad, ярко-синяя (royal), размер 4XL")</f>
      </c>
      <c r="C12329" s="4" t="n">
        <v>3992.00</v>
      </c>
      <c r="D12329" s="4"/>
    </row>
    <row collapsed="" customFormat="false" customHeight="1" hidden="" ht="14" outlineLevel="0" r="12330">
      <c r="A12330" s="3" t="inlineStr">
        <is>
          <t>12289</t>
        </is>
      </c>
      <c r="B12330" s="4" t="s">
        <f>=HYPERLINK("http://anyluxury.ru/shop/odezhda/tolstovki/tolstovka-s-kapyushonom-pro-pitanie-chernaya-s-h01blkpits/" , "H01BLKPIT-S ТОЛСТОВКА С КАПЮШОНОМ 'ПРО ПИТАНИЕ' ЧЕРНАЯ S")</f>
      </c>
      <c r="C12330" s="4" t="n">
        <v>12000.00</v>
      </c>
      <c r="D12330" s="4"/>
    </row>
    <row collapsed="" customFormat="false" customHeight="1" hidden="" ht="14" outlineLevel="0" r="12331">
      <c r="A12331" s="3" t="inlineStr">
        <is>
          <t>12290</t>
        </is>
      </c>
      <c r="B12331" s="4" t="s">
        <f>=HYPERLINK("http://anyluxury.ru/shop/odezhda/tolstovki/tolstovka-s-kapyushonom-pro-pitanie-chernaya-m-h01blkpitm/" , "H01BLKPIT-M ТОЛСТОВКА С КАПЮШОНОМ 'ПРО ПИТАНИЕ' ЧЕРНАЯ M")</f>
      </c>
      <c r="C12331" s="4" t="n">
        <v>12000.00</v>
      </c>
      <c r="D12331" s="4"/>
    </row>
    <row collapsed="" customFormat="false" customHeight="1" hidden="" ht="14" outlineLevel="0" r="12332">
      <c r="A12332" s="3" t="inlineStr">
        <is>
          <t>12291</t>
        </is>
      </c>
      <c r="B12332" s="4" t="s">
        <f>=HYPERLINK("http://anyluxury.ru/shop/odezhda/tolstovki/tolstovka-s-kapyushonom-propitanie-sinyaya-l-h01blpitl/" , "H01BLPIT-L ТОЛСТОВКА С КАПЮШОНОМ 'ПРО-ПИТАНИЕ' СИНЯЯ L")</f>
      </c>
      <c r="C12332" s="4" t="n">
        <v>12000.00</v>
      </c>
      <c r="D12332" s="4"/>
    </row>
    <row collapsed="" customFormat="false" customHeight="1" hidden="" ht="14" outlineLevel="0" r="12333">
      <c r="A12333" s="3" t="inlineStr">
        <is>
          <t>12292</t>
        </is>
      </c>
      <c r="B12333" s="4" t="s">
        <f>=HYPERLINK("http://anyluxury.ru/shop/odezhda/tolstovki/tolstovka-s-kapyushonom-propitanie-sinyaya-m-h01blpitm/" , "H01BLPIT-M ТОЛСТОВКА С КАПЮШОНОМ 'ПРО-ПИТАНИЕ' СИНЯЯ M")</f>
      </c>
      <c r="C12333" s="4" t="n">
        <v>12000.00</v>
      </c>
      <c r="D12333" s="4"/>
    </row>
    <row collapsed="" customFormat="false" customHeight="1" hidden="" ht="14" outlineLevel="0" r="12334">
      <c r="A12334" s="3" t="inlineStr">
        <is>
          <t>12293</t>
        </is>
      </c>
      <c r="B12334" s="4" t="s">
        <f>=HYPERLINK("http://anyluxury.ru/shop/odezhda/tolstovki/tolstovka-s-kapyushonom-pro-pitanie-chernaya-l-h01blkpitl/" , "H01BLKPIT-L ТОЛСТОВКА С КАПЮШОНОМ 'ПРО ПИТАНИЕ' ЧЕРНАЯ L")</f>
      </c>
      <c r="C12334" s="4" t="n">
        <v>12000.00</v>
      </c>
      <c r="D12334" s="4"/>
    </row>
    <row collapsed="" customFormat="false" customHeight="1" hidden="" ht="14" outlineLevel="0" r="12335">
      <c r="A12335" s="3" t="inlineStr">
        <is>
          <t>12294</t>
        </is>
      </c>
      <c r="B12335" s="4" t="s">
        <f>=HYPERLINK("http://anyluxury.ru/shop/odezhda/tolstovki/tolstovka-s-kapyushonom-pro-pitanie-chernaya-xl-h01blkpitxl/" , "H01BLKPIT-XL ТОЛСТОВКА С КАПЮШОНОМ 'ПРО ПИТАНИЕ' ЧЕРНАЯ XL")</f>
      </c>
      <c r="C12335" s="4" t="n">
        <v>12000.00</v>
      </c>
      <c r="D12335" s="4"/>
    </row>
    <row collapsed="" customFormat="false" customHeight="1" hidden="" ht="14" outlineLevel="0" r="12336">
      <c r="A12336" s="3" t="inlineStr">
        <is>
          <t>12295</t>
        </is>
      </c>
      <c r="B12336" s="4" t="s">
        <f>=HYPERLINK("http://anyluxury.ru/shop/odezhda/tolstovki/tolstovka-s-kapyushonom-pro-pitanie-chernaya-xxl-h01blkpitxxl/" , "H01BLKPIT-XXL ТОЛСТОВКА С КАПЮШОНОМ 'ПРО ПИТАНИЕ' ЧЕРНАЯ XXL")</f>
      </c>
      <c r="C12336" s="4" t="n">
        <v>12000.00</v>
      </c>
      <c r="D12336" s="4"/>
    </row>
    <row collapsed="" customFormat="false" customHeight="1" hidden="" ht="14" outlineLevel="0" r="12337">
      <c r="A12337" s="3" t="inlineStr">
        <is>
          <t>12296</t>
        </is>
      </c>
      <c r="B12337" s="4" t="s">
        <f>=HYPERLINK("http://anyluxury.ru/shop/odezhda/tolstovki/tolstovka-s-kapyushonom-otlichnik-chernaya-s-h02blkotls/" , "H02BLKOTL-S ТОЛСТОВКА С КАПЮШОНОМ 'ОТЛИЧНИК' ЧЕРНАЯ S")</f>
      </c>
      <c r="C12337" s="4" t="n">
        <v>12000.00</v>
      </c>
      <c r="D12337" s="4"/>
    </row>
    <row collapsed="" customFormat="false" customHeight="1" hidden="" ht="14" outlineLevel="0" r="12338">
      <c r="A12338" s="3" t="inlineStr">
        <is>
          <t>12297</t>
        </is>
      </c>
      <c r="B12338" s="4" t="s">
        <f>=HYPERLINK("http://anyluxury.ru/shop/odezhda/tolstovki/tolstovka-s-kapyushonom-otlichnik-sinyaya-m-h02blotlm/" , "H02BLOTL-M ТОЛСТОВКА С КАПЮШОНОМ 'ОТЛИЧНИК' СИНЯЯ M")</f>
      </c>
      <c r="C12338" s="4" t="n">
        <v>12000.00</v>
      </c>
      <c r="D12338" s="4"/>
    </row>
    <row collapsed="" customFormat="false" customHeight="1" hidden="" ht="14" outlineLevel="0" r="12339">
      <c r="A12339" s="3" t="inlineStr">
        <is>
          <t>12298</t>
        </is>
      </c>
      <c r="B12339" s="4" t="s">
        <f>=HYPERLINK("http://anyluxury.ru/shop/odezhda/tolstovki/tolstovka-s-kapyushonom-otlichnik-chernaya-m-h02blkotlm/" , "H02BLKOTL-M ТОЛСТОВКА С КАПЮШОНОМ 'ОТЛИЧНИК' ЧЕРНАЯ M")</f>
      </c>
      <c r="C12339" s="4" t="n">
        <v>12000.00</v>
      </c>
      <c r="D12339" s="4"/>
    </row>
    <row collapsed="" customFormat="false" customHeight="1" hidden="" ht="14" outlineLevel="0" r="12340">
      <c r="A12340" s="3" t="inlineStr">
        <is>
          <t>12299</t>
        </is>
      </c>
      <c r="B12340" s="4" t="s">
        <f>=HYPERLINK("http://anyluxury.ru/shop/odezhda/tolstovki/tolstovka-s-kapyushonom-propitanie-sinyaya-xxl-h01blpitxxl/" , "H01BLPIT-XXL ТОЛСТОВКА С КАПЮШОНОМ 'ПРО-ПИТАНИЕ' СИНЯЯ XXL")</f>
      </c>
      <c r="C12340" s="4" t="n">
        <v>12000.00</v>
      </c>
      <c r="D12340" s="4"/>
    </row>
    <row collapsed="" customFormat="false" customHeight="1" hidden="" ht="14" outlineLevel="0" r="12341">
      <c r="A12341" s="3" t="inlineStr">
        <is>
          <t>12300</t>
        </is>
      </c>
      <c r="B12341" s="4" t="s">
        <f>=HYPERLINK("http://anyluxury.ru/shop/odezhda/tolstovki/tolstovka-s-kapyushonom-otlichnik-chernaya-xxl-h02blkotlxxl/" , "H02BLKOTL-XXL ТОЛСТОВКА С КАПЮШОНОМ 'ОТЛИЧНИК' ЧЕРНАЯ XXL")</f>
      </c>
      <c r="C12341" s="4" t="n">
        <v>12000.00</v>
      </c>
      <c r="D12341" s="4"/>
    </row>
    <row collapsed="" customFormat="false" customHeight="1" hidden="" ht="14" outlineLevel="0" r="12342">
      <c r="A12342" s="3" t="inlineStr">
        <is>
          <t>12301</t>
        </is>
      </c>
      <c r="B12342" s="4" t="s">
        <f>=HYPERLINK("http://anyluxury.ru/shop/odezhda/tolstovki/tolstovka-s-kapyushonom-otlichnik-chernaya-xl-h02blkotlxl/" , "H02BLKOTL-XL ТОЛСТОВКА С КАПЮШОНОМ 'ОТЛИЧНИК' ЧЕРНАЯ XL")</f>
      </c>
      <c r="C12342" s="4" t="n">
        <v>12000.00</v>
      </c>
      <c r="D12342" s="4"/>
    </row>
    <row collapsed="" customFormat="false" customHeight="1" hidden="" ht="14" outlineLevel="0" r="12343">
      <c r="A12343" s="3" t="inlineStr">
        <is>
          <t>12302</t>
        </is>
      </c>
      <c r="B12343" s="4" t="s">
        <f>=HYPERLINK("http://anyluxury.ru/shop/odezhda/tolstovki/tolstovka-s-kapyushonom-otlichnik-seraya-m-h02grotlm/" , "H02GROTL-M ТОЛСТОВКА С КАПЮШОНОМ 'ОТЛИЧНИК' СЕРАЯ M")</f>
      </c>
      <c r="C12343" s="4" t="n">
        <v>12000.00</v>
      </c>
      <c r="D12343" s="4"/>
    </row>
    <row collapsed="" customFormat="false" customHeight="1" hidden="" ht="14" outlineLevel="0" r="12344">
      <c r="A12344" s="3" t="inlineStr">
        <is>
          <t>12303</t>
        </is>
      </c>
      <c r="B12344" s="4" t="s">
        <f>=HYPERLINK("http://anyluxury.ru/shop/odezhda/tolstovki/tolstovka-s-kapyushonom-otlichnik-seraya-l-h02grotll/" , "H02GROTL-L ТОЛСТОВКА С КАПЮШОНОМ 'ОТЛИЧНИК' СЕРАЯ L")</f>
      </c>
      <c r="C12344" s="4" t="n">
        <v>12000.00</v>
      </c>
      <c r="D12344" s="4"/>
    </row>
    <row collapsed="" customFormat="false" customHeight="1" hidden="" ht="14" outlineLevel="0" r="12345">
      <c r="A12345" s="3" t="inlineStr">
        <is>
          <t>12304</t>
        </is>
      </c>
      <c r="B12345" s="4" t="s">
        <f>=HYPERLINK("http://anyluxury.ru/shop/odezhda/tolstovki/tolstovka-s-kapyushonom-nu-pogodi-chernaya-l-h02blkvolkl/" , "H02BLKVOLK-L ТОЛСТОВКА С КАПЮШОНОМ 'НУ, ПОГОДИ' ЧЕРНАЯ L")</f>
      </c>
      <c r="C12345" s="4" t="n">
        <v>12000.00</v>
      </c>
      <c r="D12345" s="4"/>
    </row>
    <row collapsed="" customFormat="false" customHeight="1" hidden="" ht="14" outlineLevel="0" r="12346">
      <c r="A12346" s="3" t="inlineStr">
        <is>
          <t>12305</t>
        </is>
      </c>
      <c r="B12346" s="4" t="s">
        <f>=HYPERLINK("http://anyluxury.ru/shop/odezhda/tolstovki/tolstovka-na-molnii-otlichnik-chernaya-xl-m02blkotlxl/" , "M02BLKOTL-XL ТОЛСТОВКА НА МОЛНИИ  'ОТЛИЧНИК' ЧЕРНАЯ XL")</f>
      </c>
      <c r="C12346" s="4" t="n">
        <v>13000.00</v>
      </c>
      <c r="D12346" s="4"/>
    </row>
    <row collapsed="" customFormat="false" customHeight="1" hidden="" ht="14" outlineLevel="0" r="12347">
      <c r="A12347" s="3" t="inlineStr">
        <is>
          <t>12306</t>
        </is>
      </c>
      <c r="B12347" s="4" t="s">
        <f>=HYPERLINK("http://anyluxury.ru/shop/odezhda/tolstovki/tolstovka-s-kapyushonom-nu-pogodi-chernaya-m-h02blkvolkm/" , "H02BLKVOLK-M ТОЛСТОВКА С КАПЮШОНОМ 'НУ, ПОГОДИ' ЧЕРНАЯ M")</f>
      </c>
      <c r="C12347" s="4" t="n">
        <v>12000.00</v>
      </c>
      <c r="D12347" s="4"/>
    </row>
    <row collapsed="" customFormat="false" customHeight="1" hidden="" ht="14" outlineLevel="0" r="12348">
      <c r="A12348" s="3" t="inlineStr">
        <is>
          <t>12307</t>
        </is>
      </c>
      <c r="B12348" s="4" t="s">
        <f>=HYPERLINK("http://anyluxury.ru/shop/odezhda/tolstovki/tolstovka-s-kapyushonom-nu-pogodi-chernaya-s-h02blkvolks/" , "H02BLKVOLK-S ТОЛСТОВКА С КАПЮШОНОМ 'НУ, ПОГОДИ' ЧЕРНАЯ S")</f>
      </c>
      <c r="C12348" s="4" t="n">
        <v>12000.00</v>
      </c>
      <c r="D12348" s="4"/>
    </row>
    <row collapsed="" customFormat="false" customHeight="1" hidden="" ht="14" outlineLevel="0" r="12349">
      <c r="A12349" s="3" t="inlineStr">
        <is>
          <t>12308</t>
        </is>
      </c>
      <c r="B12349" s="4" t="s">
        <f>=HYPERLINK("http://anyluxury.ru/shop/odezhda/tolstovki/tolstovka-s-kapyushonom-nu-pogodi-chernaya-xl-h02blkvolkxl/" , "H02BLKVOLK-XL ТОЛСТОВКА С КАПЮШОНОМ 'НУ, ПОГОДИ' ЧЕРНАЯ XL")</f>
      </c>
      <c r="C12349" s="4" t="n">
        <v>12000.00</v>
      </c>
      <c r="D12349" s="4"/>
    </row>
    <row collapsed="" customFormat="false" customHeight="1" hidden="" ht="14" outlineLevel="0" r="12350">
      <c r="A12350" s="3" t="inlineStr">
        <is>
          <t>12309</t>
        </is>
      </c>
      <c r="B12350" s="4" t="s">
        <f>=HYPERLINK("http://anyluxury.ru/shop/odezhda/tolstovki/tolstovka-s-kapyushonom-otlichnik-sinyaya-l-h02blotll/" , "H02BLOTL-L ТОЛСТОВКА С КАПЮШОНОМ 'ОТЛИЧНИК' СИНЯЯ L")</f>
      </c>
      <c r="C12350" s="4" t="n">
        <v>12000.00</v>
      </c>
      <c r="D12350" s="4"/>
    </row>
    <row collapsed="" customFormat="false" customHeight="1" hidden="" ht="14" outlineLevel="0" r="12351">
      <c r="A12351" s="3" t="inlineStr">
        <is>
          <t>12310</t>
        </is>
      </c>
      <c r="B12351" s="4" t="s">
        <f>=HYPERLINK("http://anyluxury.ru/shop/odezhda/tolstovki/tolstovka-s-kapyushonom-otlichnik-sinyaya-s-h02blotls/" , "H02BLOTL-S ТОЛСТОВКА С КАПЮШОНОМ 'ОТЛИЧНИК' СИНЯЯ S")</f>
      </c>
      <c r="C12351" s="4" t="n">
        <v>12000.00</v>
      </c>
      <c r="D12351" s="4"/>
    </row>
    <row collapsed="" customFormat="false" customHeight="1" hidden="" ht="14" outlineLevel="0" r="12352">
      <c r="A12352" s="3" t="inlineStr">
        <is>
          <t>12311</t>
        </is>
      </c>
      <c r="B12352" s="4" t="s">
        <f>=HYPERLINK("http://anyluxury.ru/shop/odezhda/tolstovki/tolstovka-s-kapyushonom-otlichnik-seraya-xl-h02grotlxl/" , "H02GROTL-XL ТОЛСТОВКА С КАПЮШОНОМ 'ОТЛИЧНИК' СЕРАЯ XL")</f>
      </c>
      <c r="C12352" s="4" t="n">
        <v>12000.00</v>
      </c>
      <c r="D12352" s="4"/>
    </row>
    <row collapsed="" customFormat="false" customHeight="1" hidden="" ht="14" outlineLevel="0" r="12353">
      <c r="A12353" s="3" t="inlineStr">
        <is>
          <t>12312</t>
        </is>
      </c>
      <c r="B12353" s="4" t="s">
        <f>=HYPERLINK("http://anyluxury.ru/shop/odezhda/tolstovki/tolstovka-s-kapyushonom-otlichnik-seraya-xxl-h02grotlxxl/" , "H02GROTL-XXL ТОЛСТОВКА С КАПЮШОНОМ 'ОТЛИЧНИК' СЕРАЯ XXL")</f>
      </c>
      <c r="C12353" s="4" t="n">
        <v>12000.00</v>
      </c>
      <c r="D12353" s="4"/>
    </row>
    <row collapsed="" customFormat="false" customHeight="1" hidden="" ht="14" outlineLevel="0" r="12354">
      <c r="A12354" s="3" t="inlineStr">
        <is>
          <t>12313</t>
        </is>
      </c>
      <c r="B12354" s="4" t="s">
        <f>=HYPERLINK("http://anyluxury.ru/shop/odezhda/tolstovki/tolstovka-s-kapyushonom-propitanie-sinyaya-s-h01blpits/" , "H01BLPIT-S ТОЛСТОВКА С КАПЮШОНОМ 'ПРО-ПИТАНИЕ' СИНЯЯ S")</f>
      </c>
      <c r="C12354" s="4" t="n">
        <v>12000.00</v>
      </c>
      <c r="D12354" s="4"/>
    </row>
    <row collapsed="" customFormat="false" customHeight="1" hidden="" ht="14" outlineLevel="0" r="12355">
      <c r="A12355" s="3" t="inlineStr">
        <is>
          <t>12314</t>
        </is>
      </c>
      <c r="B12355" s="4" t="s">
        <f>=HYPERLINK("http://anyluxury.ru/shop/odezhda/tolstovki/tolstovka-s-kapyushonom-propitanie-sinyaya-xl-h01blpitxl/" , "H01BLPIT-XL ТОЛСТОВКА С КАПЮШОНОМ 'ПРО-ПИТАНИЕ' СИНЯЯ XL")</f>
      </c>
      <c r="C12355" s="4" t="n">
        <v>12000.00</v>
      </c>
      <c r="D12355" s="4"/>
    </row>
    <row collapsed="" customFormat="false" customHeight="1" hidden="" ht="14" outlineLevel="0" r="12356">
      <c r="A12356" s="3" t="inlineStr">
        <is>
          <t>12315</t>
        </is>
      </c>
      <c r="B12356" s="4" t="s">
        <f>=HYPERLINK("http://anyluxury.ru/shop/odezhda/tolstovki/tolstovka-na-molnii-otlichnik-chernaya-xxl-m02blkotlxxl/" , "M02BLKOTL-XXL ТОЛСТОВКА НА МОЛНИИ  'ОТЛИЧНИК' ЧЕРНАЯ XXL")</f>
      </c>
      <c r="C12356" s="4" t="n">
        <v>13000.00</v>
      </c>
      <c r="D12356" s="4"/>
    </row>
    <row collapsed="" customFormat="false" customHeight="1" hidden="" ht="14" outlineLevel="0" r="12357">
      <c r="A12357" s="3" t="inlineStr">
        <is>
          <t>12316</t>
        </is>
      </c>
      <c r="B12357" s="4" t="s">
        <f>=HYPERLINK("http://anyluxury.ru/shop/odezhda/tolstovki/tolstovka-na-molnii-otlichnik-chernaya-l-m02blkotll/" , "M02BLKOTL-L ТОЛСТОВКА НА МОЛНИИ  'ОТЛИЧНИК' ЧЕРНАЯ L")</f>
      </c>
      <c r="C12357" s="4" t="n">
        <v>13000.00</v>
      </c>
      <c r="D12357" s="4"/>
    </row>
    <row collapsed="" customFormat="false" customHeight="1" hidden="" ht="14" outlineLevel="0" r="12358">
      <c r="A12358" s="3" t="inlineStr">
        <is>
          <t>12317</t>
        </is>
      </c>
      <c r="B12358" s="4" t="s">
        <f>=HYPERLINK("http://anyluxury.ru/shop/odezhda/tolstovki/tolstovka-na-molnii-otlichnik-chernaya-m-m02blkotlm/" , "M02BLKOTL-M ТОЛСТОВКА НА МОЛНИИ  'ОТЛИЧНИК' ЧЕРНАЯ M")</f>
      </c>
      <c r="C12358" s="4" t="n">
        <v>13000.00</v>
      </c>
      <c r="D12358" s="4"/>
    </row>
    <row collapsed="" customFormat="false" customHeight="1" hidden="" ht="14" outlineLevel="0" r="12359">
      <c r="A12359" s="3" t="inlineStr">
        <is>
          <t>12318</t>
        </is>
      </c>
      <c r="B12359" s="4" t="s">
        <f>=HYPERLINK("http://anyluxury.ru/shop/odezhda/tolstovki/tolstovka-s-kapyushonom-nu-pogodi-sinyaya-l-h02blvolkl/" , "H02BLVOLK-L ТОЛСТОВКА С КАПЮШОНОМ 'НУ, ПОГОДИ' СИНЯЯ L")</f>
      </c>
      <c r="C12359" s="4" t="n">
        <v>12000.00</v>
      </c>
      <c r="D12359" s="4"/>
    </row>
    <row collapsed="" customFormat="false" customHeight="1" hidden="" ht="14" outlineLevel="0" r="12360">
      <c r="A12360" s="3" t="inlineStr">
        <is>
          <t>12319</t>
        </is>
      </c>
      <c r="B12360" s="4" t="s">
        <f>=HYPERLINK("http://anyluxury.ru/shop/odezhda/tolstovki/tolstovka-s-kapyushonom-nu-pogodi-sinyaya-m-h02blvolkm/" , "H02BLVOLK-M ТОЛСТОВКА С КАПЮШОНОМ 'НУ, ПОГОДИ' СИНЯЯ M")</f>
      </c>
      <c r="C12360" s="4" t="n">
        <v>12000.00</v>
      </c>
      <c r="D12360" s="4"/>
    </row>
    <row collapsed="" customFormat="false" customHeight="1" hidden="" ht="14" outlineLevel="0" r="12361">
      <c r="A12361" s="3" t="inlineStr">
        <is>
          <t>12320</t>
        </is>
      </c>
      <c r="B12361" s="4" t="s">
        <f>=HYPERLINK("http://anyluxury.ru/shop/odezhda/tolstovki/tolstovka-s-kapyushonom-nu-pogodi-sinyaya-xxl-h02blvolkxxl/" , "H02BLVOLK-XXL ТОЛСТОВКА С КАПЮШОНОМ 'НУ, ПОГОДИ' СИНЯЯ XXL")</f>
      </c>
      <c r="C12361" s="4" t="n">
        <v>12000.00</v>
      </c>
      <c r="D12361" s="4"/>
    </row>
    <row collapsed="" customFormat="false" customHeight="1" hidden="" ht="14" outlineLevel="0" r="12362">
      <c r="A12362" s="3" t="inlineStr">
        <is>
          <t>12321</t>
        </is>
      </c>
      <c r="B12362" s="4" t="s">
        <f>=HYPERLINK("http://anyluxury.ru/shop/odezhda/tolstovki/tolstovka-na-molnii-otlichnik-chernaya-s-m02blkotls/" , "M02BLKOTL-S ТОЛСТОВКА НА МОЛНИИ  'ОТЛИЧНИК' ЧЕРНАЯ S")</f>
      </c>
      <c r="C12362" s="4" t="n">
        <v>13000.00</v>
      </c>
      <c r="D12362" s="4"/>
    </row>
    <row collapsed="" customFormat="false" customHeight="1" hidden="" ht="14" outlineLevel="0" r="12363">
      <c r="A12363" s="3" t="inlineStr">
        <is>
          <t>12322</t>
        </is>
      </c>
      <c r="B12363" s="4" t="s">
        <f>=HYPERLINK("http://anyluxury.ru/shop/odezhda/tolstovki/tolstovka-s-kapyushonom-nu-pogodi-seraya-l-h02grvolkl/" , "H02GRVOLK-L ТОЛСТОВКА С КАПЮШОНОМ 'НУ, ПОГОДИ' СЕРАЯ L")</f>
      </c>
      <c r="C12363" s="4" t="n">
        <v>12000.00</v>
      </c>
      <c r="D12363" s="4"/>
    </row>
    <row collapsed="" customFormat="false" customHeight="1" hidden="" ht="14" outlineLevel="0" r="12364">
      <c r="A12364" s="3" t="inlineStr">
        <is>
          <t>12323</t>
        </is>
      </c>
      <c r="B12364" s="4" t="s">
        <f>=HYPERLINK("http://anyluxury.ru/shop/odezhda/tolstovki/tolstovka-s-kapyushonom-nu-pogodi-seraya-s-h02grvolks/" , "H02GRVOLK-S ТОЛСТОВКА С КАПЮШОНОМ 'НУ, ПОГОДИ' СЕРАЯ S")</f>
      </c>
      <c r="C12364" s="4" t="n">
        <v>12000.00</v>
      </c>
      <c r="D12364" s="4"/>
    </row>
    <row collapsed="" customFormat="false" customHeight="1" hidden="" ht="14" outlineLevel="0" r="12365">
      <c r="A12365" s="3" t="inlineStr">
        <is>
          <t>12324</t>
        </is>
      </c>
      <c r="B12365" s="4" t="s">
        <f>=HYPERLINK("http://anyluxury.ru/shop/odezhda/tolstovki/tolstovka-s-kapyushonom-nu-pogodi-seraya-xxl-h02grvolkxxl/" , "H02GRVOLK-XXL ТОЛСТОВКА С КАПЮШОНОМ 'НУ, ПОГОДИ' СЕРАЯ XXL")</f>
      </c>
      <c r="C12365" s="4" t="n">
        <v>12000.00</v>
      </c>
      <c r="D12365" s="4"/>
    </row>
    <row collapsed="" customFormat="false" customHeight="1" hidden="" ht="14" outlineLevel="0" r="12366">
      <c r="A12366" s="3" t="inlineStr">
        <is>
          <t>12325</t>
        </is>
      </c>
      <c r="B12366" s="4" t="s">
        <f>=HYPERLINK("http://anyluxury.ru/shop/odezhda/tolstovki/tolstovka-s-kapyushonom-nad-spasskoy-bashney-chernaya-m-h03blkspbam/" , "H03BLKSPBA-M ТОЛСТОВКА С КАПЮШОНОМ 'НАД СПАССКОЙ БАШНЕЙ' ЧЕРНАЯ M")</f>
      </c>
      <c r="C12366" s="4" t="n">
        <v>12000.00</v>
      </c>
      <c r="D12366" s="4"/>
    </row>
    <row collapsed="" customFormat="false" customHeight="1" hidden="" ht="14" outlineLevel="0" r="12367">
      <c r="A12367" s="3" t="inlineStr">
        <is>
          <t>12326</t>
        </is>
      </c>
      <c r="B12367" s="4" t="s">
        <f>=HYPERLINK("http://anyluxury.ru/shop/odezhda/tolstovki/tolstovka-s-kapyushonom-nad-spasskoy-bashney-chernaya-l-h03blkspbal/" , "H03BLKSPBA-L ТОЛСТОВКА С КАПЮШОНОМ 'НАД СПАССКОЙ БАШНЕЙ' ЧЕРНАЯ L")</f>
      </c>
      <c r="C12367" s="4" t="n">
        <v>12000.00</v>
      </c>
      <c r="D12367" s="4"/>
    </row>
    <row collapsed="" customFormat="false" customHeight="1" hidden="" ht="14" outlineLevel="0" r="12368">
      <c r="A12368" s="3" t="inlineStr">
        <is>
          <t>12327</t>
        </is>
      </c>
      <c r="B12368" s="4" t="s">
        <f>=HYPERLINK("http://anyluxury.ru/shop/odezhda/tolstovki/tolstovka-s-kapyushonom-nad-spasskoy-bashney-chernaya-xxl-h03blkspbaxxl/" , "H03BLKSPBA-XXL ТОЛСТОВКА С КАПЮШОНОМ 'НАД СПАССКОЙ БАШНЕЙ' ЧЕРНАЯ XXL")</f>
      </c>
      <c r="C12368" s="4" t="n">
        <v>12000.00</v>
      </c>
      <c r="D12368" s="4"/>
    </row>
    <row collapsed="" customFormat="false" customHeight="1" hidden="" ht="14" outlineLevel="0" r="12369">
      <c r="A12369" s="3" t="inlineStr">
        <is>
          <t>12328</t>
        </is>
      </c>
      <c r="B12369" s="4" t="s">
        <f>=HYPERLINK("http://anyluxury.ru/shop/odezhda/tolstovki/tolstovka-s-kapyushonom-nad-spasskoy-bashney-chernaya-xl-h03blkspbaxl/" , "H03BLKSPBA-XL ТОЛСТОВКА С КАПЮШОНОМ 'НАД СПАССКОЙ БАШНЕЙ' ЧЕРНАЯ XL")</f>
      </c>
      <c r="C12369" s="4" t="n">
        <v>12000.00</v>
      </c>
      <c r="D12369" s="4"/>
    </row>
    <row collapsed="" customFormat="false" customHeight="1" hidden="" ht="14" outlineLevel="0" r="12370">
      <c r="A12370" s="3" t="inlineStr">
        <is>
          <t>12329</t>
        </is>
      </c>
      <c r="B12370" s="4" t="s">
        <f>=HYPERLINK("http://anyluxury.ru/shop/odezhda/tolstovki/tolstovka-s-kapyushonom-nad-spasskoy-bashney-chernaya-s-h03blkspbas/" , "H03BLKSPBA-S ТОЛСТОВКА С КАПЮШОНОМ 'НАД СПАССКОЙ БАШНЕЙ' ЧЕРНАЯ S")</f>
      </c>
      <c r="C12370" s="4" t="n">
        <v>12000.00</v>
      </c>
      <c r="D12370" s="4"/>
    </row>
    <row collapsed="" customFormat="false" customHeight="1" hidden="" ht="14" outlineLevel="0" r="12371">
      <c r="A12371" s="3" t="inlineStr">
        <is>
          <t>12330</t>
        </is>
      </c>
      <c r="B12371" s="4" t="s">
        <f>=HYPERLINK("http://anyluxury.ru/shop/odezhda/tolstovki/tolstovka-s-kapyushonom-nu-pogodi-rozovaya-l-h02pinkvolkl/" , "H02PINKVOLK-L ТОЛСТОВКА С КАПЮШОНОМ 'НУ, ПОГОДИ' РОЗОВАЯ L")</f>
      </c>
      <c r="C12371" s="4" t="n">
        <v>12000.00</v>
      </c>
      <c r="D12371" s="4"/>
    </row>
    <row collapsed="" customFormat="false" customHeight="1" hidden="" ht="14" outlineLevel="0" r="12372">
      <c r="A12372" s="3" t="inlineStr">
        <is>
          <t>12331</t>
        </is>
      </c>
      <c r="B12372" s="4" t="s">
        <f>=HYPERLINK("http://anyluxury.ru/shop/odezhda/tolstovki/tolstovka-s-kapyushonom-nu-pogodi-rozovaya-m-h02pinkvolkm/" , "H02PINKVOLK-M ТОЛСТОВКА С КАПЮШОНОМ 'НУ, ПОГОДИ' РОЗОВАЯ M")</f>
      </c>
      <c r="C12372" s="4" t="n">
        <v>12000.00</v>
      </c>
      <c r="D12372" s="4"/>
    </row>
    <row collapsed="" customFormat="false" customHeight="1" hidden="" ht="14" outlineLevel="0" r="12373">
      <c r="A12373" s="3" t="inlineStr">
        <is>
          <t>12332</t>
        </is>
      </c>
      <c r="B12373" s="4" t="s">
        <f>=HYPERLINK("http://anyluxury.ru/shop/odezhda/tolstovki/tolstovka-s-kapyushonom-nu-pogodi-rozovaya-s-h02pinkvolks/" , "H02PINKVOLK-S ТОЛСТОВКА С КАПЮШОНОМ 'НУ, ПОГОДИ' РОЗОВАЯ S")</f>
      </c>
      <c r="C12373" s="4" t="n">
        <v>12000.00</v>
      </c>
      <c r="D12373" s="4"/>
    </row>
    <row collapsed="" customFormat="false" customHeight="1" hidden="" ht="14" outlineLevel="0" r="12374">
      <c r="A12374" s="3" t="inlineStr">
        <is>
          <t>12333</t>
        </is>
      </c>
      <c r="B12374" s="4" t="s">
        <f>=HYPERLINK("http://anyluxury.ru/shop/odezhda/tolstovki/tolstovka-s-kapyushonom-nu-pogodi-rozovaya-xl-h02pinkvolkxl/" , "H02PINKVOLK-XL ТОЛСТОВКА С КАПЮШОНОМ 'НУ, ПОГОДИ' РОЗОВАЯ XL")</f>
      </c>
      <c r="C12374" s="4" t="n">
        <v>12000.00</v>
      </c>
      <c r="D12374" s="4"/>
    </row>
    <row collapsed="" customFormat="false" customHeight="1" hidden="" ht="14" outlineLevel="0" r="12375">
      <c r="A12375" s="3" t="inlineStr">
        <is>
          <t>12334</t>
        </is>
      </c>
      <c r="B12375" s="4" t="s">
        <f>=HYPERLINK("http://anyluxury.ru/shop/odezhda/tolstovki/tolstovka-s-kapyushonom-nad-spasskoy-bashney-sinyaya-m-h03blspbam/" , "H03BLSPBA-M ТОЛСТОВКА С КАПЮШОНОМ 'НАД СПАССКОЙ БАШНЕЙ' СИНЯЯ M")</f>
      </c>
      <c r="C12375" s="4" t="n">
        <v>12000.00</v>
      </c>
      <c r="D12375" s="4"/>
    </row>
    <row collapsed="" customFormat="false" customHeight="1" hidden="" ht="14" outlineLevel="0" r="12376">
      <c r="A12376" s="3" t="inlineStr">
        <is>
          <t>12335</t>
        </is>
      </c>
      <c r="B12376" s="4" t="s">
        <f>=HYPERLINK("http://anyluxury.ru/shop/odezhda/tolstovki/tolstovka-s-kapyushonom-nad-spasskoy-bashney-sinyaya-l-h03blspbal/" , "H03BLSPBA-L ТОЛСТОВКА С КАПЮШОНОМ 'НАД СПАССКОЙ БАШНЕЙ' СИНЯЯ L")</f>
      </c>
      <c r="C12376" s="4" t="n">
        <v>12000.00</v>
      </c>
      <c r="D12376" s="4"/>
    </row>
    <row collapsed="" customFormat="false" customHeight="1" hidden="" ht="14" outlineLevel="0" r="12377">
      <c r="A12377" s="3" t="inlineStr">
        <is>
          <t>12336</t>
        </is>
      </c>
      <c r="B12377" s="4" t="s">
        <f>=HYPERLINK("http://anyluxury.ru/shop/odezhda/tolstovki/tolstovka-s-kapyushonom-nad-spasskoy-bashney-seraya-l-h03grspbal/" , "H03GRSPBA-L ТОЛСТОВКА С КАПЮШОНОМ 'НАД СПАССКОЙ БАШНЕЙ' СЕРАЯ L")</f>
      </c>
      <c r="C12377" s="4" t="n">
        <v>12000.00</v>
      </c>
      <c r="D12377" s="4"/>
    </row>
    <row collapsed="" customFormat="false" customHeight="1" hidden="" ht="14" outlineLevel="0" r="12378">
      <c r="A12378" s="3" t="inlineStr">
        <is>
          <t>12337</t>
        </is>
      </c>
      <c r="B12378" s="4" t="s">
        <f>=HYPERLINK("http://anyluxury.ru/shop/odezhda/tolstovki/tolstovka-na-molnii-nu-pogodi-rozovaya-m-m02pinkvolkm/" , "M02PINKVOLK-M ТОЛСТОВКА НА МОЛНИИ 'НУ, ПОГОДИ' РОЗОВАЯ M")</f>
      </c>
      <c r="C12378" s="4" t="n">
        <v>13000.00</v>
      </c>
      <c r="D12378" s="4"/>
    </row>
    <row collapsed="" customFormat="false" customHeight="1" hidden="" ht="14" outlineLevel="0" r="12379">
      <c r="A12379" s="3" t="inlineStr">
        <is>
          <t>12338</t>
        </is>
      </c>
      <c r="B12379" s="4" t="s">
        <f>=HYPERLINK("http://anyluxury.ru/shop/odezhda/tolstovki/tolstovka-na-molnii-nu-pogodi-vasilkovaya-m-m02vaslvolkm/" , "M02VASLVOLK-M ТОЛСТОВКА НА МОЛНИИ 'НУ, ПОГОДИ' ВАСИЛЬКОВАЯ M")</f>
      </c>
      <c r="C12379" s="4" t="n">
        <v>13000.00</v>
      </c>
      <c r="D12379" s="4"/>
    </row>
    <row collapsed="" customFormat="false" customHeight="1" hidden="" ht="14" outlineLevel="0" r="12380">
      <c r="A12380" s="3" t="inlineStr">
        <is>
          <t>12339</t>
        </is>
      </c>
      <c r="B12380" s="4" t="s">
        <f>=HYPERLINK("http://anyluxury.ru/shop/odezhda/tolstovki/tolstovka-na-molnii-nu-pogodi-vasilkovaya-s-m02vaslvolks/" , "M02VASLVOLK-S ТОЛСТОВКА НА МОЛНИИ 'НУ, ПОГОДИ' ВАСИЛЬКОВАЯ S")</f>
      </c>
      <c r="C12380" s="4" t="n">
        <v>13000.00</v>
      </c>
      <c r="D12380" s="4"/>
    </row>
    <row collapsed="" customFormat="false" customHeight="1" hidden="" ht="14" outlineLevel="0" r="12381">
      <c r="A12381" s="3" t="inlineStr">
        <is>
          <t>12340</t>
        </is>
      </c>
      <c r="B12381" s="4" t="s">
        <f>=HYPERLINK("http://anyluxury.ru/shop/odezhda/tolstovki/tolstovka-na-molnii-nu-pogodi-vasilkovaya-xl-m02vaslvolkxl/" , "M02VASLVOLK-XL ТОЛСТОВКА НА МОЛНИИ 'НУ, ПОГОДИ' ВАСИЛЬКОВАЯ XL")</f>
      </c>
      <c r="C12381" s="4" t="n">
        <v>13000.00</v>
      </c>
      <c r="D12381" s="4"/>
    </row>
    <row collapsed="" customFormat="false" customHeight="1" hidden="" ht="14" outlineLevel="0" r="12382">
      <c r="A12382" s="3" t="inlineStr">
        <is>
          <t>12341</t>
        </is>
      </c>
      <c r="B12382" s="4" t="s">
        <f>=HYPERLINK("http://anyluxury.ru/shop/odezhda/tolstovki/tolstovka-na-molnii-vinnipuh-chernaya-m-m01blkvinm/" , "M01BLKVIN-M ТОЛСТОВКА НА МОЛНИИ 'ВИННИ-ПУХ' ЧЕРНАЯ M")</f>
      </c>
      <c r="C12382" s="4" t="n">
        <v>13000.00</v>
      </c>
      <c r="D12382" s="4"/>
    </row>
    <row collapsed="" customFormat="false" customHeight="1" hidden="" ht="14" outlineLevel="0" r="12383">
      <c r="A12383" s="3" t="inlineStr">
        <is>
          <t>12342</t>
        </is>
      </c>
      <c r="B12383" s="4" t="s">
        <f>=HYPERLINK("http://anyluxury.ru/shop/odezhda/tolstovki/tolstovka-na-molnii-vinnipuh-chernaya-xxl-m01blkvinxxl/" , "M01BLKVIN-XXL ТОЛСТОВКА НА МОЛНИИ 'ВИННИ-ПУХ' ЧЕРНАЯ XXL")</f>
      </c>
      <c r="C12383" s="4" t="n">
        <v>13000.00</v>
      </c>
      <c r="D12383" s="4"/>
    </row>
    <row collapsed="" customFormat="false" customHeight="1" hidden="" ht="14" outlineLevel="0" r="12384">
      <c r="A12384" s="3" t="inlineStr">
        <is>
          <t>12343</t>
        </is>
      </c>
      <c r="B12384" s="4" t="s">
        <f>=HYPERLINK("http://anyluxury.ru/shop/odezhda/tolstovki/tolstovka-na-molnii-propitanie-sinyaya-xl-m01blpitxl/" , "M01BLPIT-XL ТОЛСТОВКА НА МОЛНИИ  'ПРО-ПИТАНИЕ' СИНЯЯ XL")</f>
      </c>
      <c r="C12384" s="4" t="n">
        <v>13000.00</v>
      </c>
      <c r="D12384" s="4"/>
    </row>
    <row collapsed="" customFormat="false" customHeight="1" hidden="" ht="14" outlineLevel="0" r="12385">
      <c r="A12385" s="3" t="inlineStr">
        <is>
          <t>12344</t>
        </is>
      </c>
      <c r="B12385" s="4" t="s">
        <f>=HYPERLINK("http://anyluxury.ru/shop/odezhda/tolstovki/tolstovka-na-molnii-pro-pitanie-chernaya-l-m01blkpitl/" , "M01BLKPIT-L ТОЛСТОВКА НА МОЛНИИ  'ПРО ПИТАНИЕ' ЧЕРНАЯ L")</f>
      </c>
      <c r="C12385" s="4" t="n">
        <v>13000.00</v>
      </c>
      <c r="D12385" s="4"/>
    </row>
    <row collapsed="" customFormat="false" customHeight="1" hidden="" ht="14" outlineLevel="0" r="12386">
      <c r="A12386" s="3" t="inlineStr">
        <is>
          <t>12345</t>
        </is>
      </c>
      <c r="B12386" s="4" t="s">
        <f>=HYPERLINK("http://anyluxury.ru/shop/odezhda/tolstovki/tolstovka-na-molnii-propitanie-sinyaya-xxl-m01blpitxxl/" , "M01BLPIT-XXL ТОЛСТОВКА НА МОЛНИИ  'ПРО-ПИТАНИЕ' СИНЯЯ XXL")</f>
      </c>
      <c r="C12386" s="4" t="n">
        <v>13000.00</v>
      </c>
      <c r="D12386" s="4"/>
    </row>
    <row collapsed="" customFormat="false" customHeight="1" hidden="" ht="14" outlineLevel="0" r="12387">
      <c r="A12387" s="3" t="inlineStr">
        <is>
          <t>12346</t>
        </is>
      </c>
      <c r="B12387" s="4" t="s">
        <f>=HYPERLINK("http://anyluxury.ru/shop/odezhda/tolstovki/tolstovka-na-molnii-pro-pitanie-chernaya-m-m01blkpitm/" , "M01BLKPIT-M ТОЛСТОВКА НА МОЛНИИ  'ПРО ПИТАНИЕ' ЧЕРНАЯ M")</f>
      </c>
      <c r="C12387" s="4" t="n">
        <v>13000.00</v>
      </c>
      <c r="D12387" s="4"/>
    </row>
    <row collapsed="" customFormat="false" customHeight="1" hidden="" ht="14" outlineLevel="0" r="12388">
      <c r="A12388" s="3" t="inlineStr">
        <is>
          <t>12347</t>
        </is>
      </c>
      <c r="B12388" s="4" t="s">
        <f>=HYPERLINK("http://anyluxury.ru/shop/odezhda/tolstovki/tolstovka-na-molnii-pro-pitanie-chernaya-xl-m01blkpitxl/" , "M01BLKPIT-XL ТОЛСТОВКА НА МОЛНИИ  'ПРО ПИТАНИЕ' ЧЕРНАЯ XL")</f>
      </c>
      <c r="C12388" s="4" t="n">
        <v>13000.00</v>
      </c>
      <c r="D12388" s="4"/>
    </row>
    <row collapsed="" customFormat="false" customHeight="1" hidden="" ht="14" outlineLevel="0" r="12389">
      <c r="A12389" s="3" t="inlineStr">
        <is>
          <t>12348</t>
        </is>
      </c>
      <c r="B12389" s="4" t="s">
        <f>=HYPERLINK("http://anyluxury.ru/shop/odezhda/tolstovki/tolstovka-na-molnii-vinnipuh-vasilkovaya-l-m01vaslvinl/" , "M01VASLVIN-L ТОЛСТОВКА НА МОЛНИИ 'ВИННИ-ПУХ' ВАСИЛЬКОВАЯ L")</f>
      </c>
      <c r="C12389" s="4" t="n">
        <v>13000.00</v>
      </c>
      <c r="D12389" s="4"/>
    </row>
    <row collapsed="" customFormat="false" customHeight="1" hidden="" ht="14" outlineLevel="0" r="12390">
      <c r="A12390" s="3" t="inlineStr">
        <is>
          <t>12349</t>
        </is>
      </c>
      <c r="B12390" s="4" t="s">
        <f>=HYPERLINK("http://anyluxury.ru/shop/odezhda/tolstovki/tolstovka-na-molnii-vinnipuh-vasilkovaya-m-m01vaslvinm/" , "M01VASLVIN-M ТОЛСТОВКА НА МОЛНИИ 'ВИННИ-ПУХ' ВАСИЛЬКОВАЯ M")</f>
      </c>
      <c r="C12390" s="4" t="n">
        <v>13000.00</v>
      </c>
      <c r="D12390" s="4"/>
    </row>
    <row collapsed="" customFormat="false" customHeight="1" hidden="" ht="14" outlineLevel="0" r="12391">
      <c r="A12391" s="3" t="inlineStr">
        <is>
          <t>12350</t>
        </is>
      </c>
      <c r="B12391" s="4" t="s">
        <f>=HYPERLINK("http://anyluxury.ru/shop/odezhda/tolstovki/tolstovka-na-molnii-vinnipuh-rozovaya-l-m01pinkvinl/" , "M01PINKVIN-L ТОЛСТОВКА НА МОЛНИИ 'ВИННИ-ПУХ' РОЗОВАЯ L")</f>
      </c>
      <c r="C12391" s="4" t="n">
        <v>13000.00</v>
      </c>
      <c r="D12391" s="4"/>
    </row>
    <row collapsed="" customFormat="false" customHeight="1" hidden="" ht="14" outlineLevel="0" r="12392">
      <c r="A12392" s="3" t="inlineStr">
        <is>
          <t>12351</t>
        </is>
      </c>
      <c r="B12392" s="4" t="s">
        <f>=HYPERLINK("http://anyluxury.ru/shop/odezhda/tolstovki/tolstovka-na-molnii-vinnipuh-rozovaya-xl-m01pinkvinxl/" , "M01PINKVIN-XL ТОЛСТОВКА НА МОЛНИИ 'ВИННИ-ПУХ' РОЗОВАЯ XL")</f>
      </c>
      <c r="C12392" s="4" t="n">
        <v>13000.00</v>
      </c>
      <c r="D12392" s="4"/>
    </row>
    <row collapsed="" customFormat="false" customHeight="1" hidden="" ht="14" outlineLevel="0" r="12393">
      <c r="A12393" s="3" t="inlineStr">
        <is>
          <t>12352</t>
        </is>
      </c>
      <c r="B12393" s="4" t="s">
        <f>=HYPERLINK("http://anyluxury.ru/shop/odezhda/tolstovki/tolstovka-na-molnii-vinnipuh-rozovaya-m-m01pinkvinm/" , "M01PINKVIN-M ТОЛСТОВКА НА МОЛНИИ 'ВИННИ-ПУХ' РОЗОВАЯ M")</f>
      </c>
      <c r="C12393" s="4" t="n">
        <v>13000.00</v>
      </c>
      <c r="D12393" s="4"/>
    </row>
    <row collapsed="" customFormat="false" customHeight="1" hidden="" ht="14" outlineLevel="0" r="12394">
      <c r="A12394" s="3" t="inlineStr">
        <is>
          <t>12353</t>
        </is>
      </c>
      <c r="B12394" s="4" t="s">
        <f>=HYPERLINK("http://anyluxury.ru/shop/odezhda/tolstovki/tolstovka-na-molnii-vinnipuh-rozovaya-s-m01pinkvins/" , "M01PINKVIN-S ТОЛСТОВКА НА МОЛНИИ 'ВИННИ-ПУХ' РОЗОВАЯ S")</f>
      </c>
      <c r="C12394" s="4" t="n">
        <v>13000.00</v>
      </c>
      <c r="D12394" s="4"/>
    </row>
    <row collapsed="" customFormat="false" customHeight="1" hidden="" ht="14" outlineLevel="0" r="12395">
      <c r="A12395" s="3" t="inlineStr">
        <is>
          <t>12354</t>
        </is>
      </c>
      <c r="B12395" s="4" t="s">
        <f>=HYPERLINK("http://anyluxury.ru/shop/odezhda/tolstovki/tolstovka-na-molnii-pro-pitanie-chernaya-s-m01blkpits/" , "M01BLKPIT-S ТОЛСТОВКА НА МОЛНИИ  'ПРО ПИТАНИЕ' ЧЕРНАЯ S")</f>
      </c>
      <c r="C12395" s="4" t="n">
        <v>13000.00</v>
      </c>
      <c r="D12395" s="4"/>
    </row>
    <row collapsed="" customFormat="false" customHeight="1" hidden="" ht="14" outlineLevel="0" r="12396">
      <c r="A12396" s="3" t="inlineStr">
        <is>
          <t>12355</t>
        </is>
      </c>
      <c r="B12396" s="4" t="s">
        <f>=HYPERLINK("http://anyluxury.ru/shop/odezhda/tolstovki/tolstovka-na-molnii-pro-pitanie-chernaya-xxl-m01blkpitxxl/" , "M01BLKPIT-XXL ТОЛСТОВКА НА МОЛНИИ  'ПРО ПИТАНИЕ' ЧЕРНАЯ XXL")</f>
      </c>
      <c r="C12396" s="4" t="n">
        <v>13000.00</v>
      </c>
      <c r="D12396" s="4"/>
    </row>
    <row collapsed="" customFormat="false" customHeight="1" hidden="" ht="14" outlineLevel="0" r="12397">
      <c r="A12397" s="3" t="inlineStr">
        <is>
          <t>12356</t>
        </is>
      </c>
      <c r="B12397" s="4" t="s">
        <f>=HYPERLINK("http://anyluxury.ru/shop/odezhda/tolstovki/tolstovka-na-molnii-propitanie-sinyaya-m-m01blpitm/" , "M01BLPIT-M ТОЛСТОВКА НА МОЛНИИ  'ПРО-ПИТАНИЕ' СИНЯЯ M")</f>
      </c>
      <c r="C12397" s="4" t="n">
        <v>13000.00</v>
      </c>
      <c r="D12397" s="4"/>
    </row>
    <row collapsed="" customFormat="false" customHeight="1" hidden="" ht="14" outlineLevel="0" r="12398">
      <c r="A12398" s="3" t="inlineStr">
        <is>
          <t>12357</t>
        </is>
      </c>
      <c r="B12398" s="4" t="s">
        <f>=HYPERLINK("http://anyluxury.ru/shop/odezhda/tolstovki/tolstovka-na-molnii-propitanie-sinyaya-s-m01blpits/" , "M01BLPIT-S ТОЛСТОВКА НА МОЛНИИ  'ПРО-ПИТАНИЕ' СИНЯЯ S")</f>
      </c>
      <c r="C12398" s="4" t="n">
        <v>13000.00</v>
      </c>
      <c r="D12398" s="4"/>
    </row>
    <row collapsed="" customFormat="false" customHeight="1" hidden="" ht="14" outlineLevel="0" r="12399">
      <c r="A12399" s="3" t="inlineStr">
        <is>
          <t>12358</t>
        </is>
      </c>
      <c r="B12399" s="4" t="s">
        <f>=HYPERLINK("http://anyluxury.ru/shop/odezhda/tolstovki/tolstovka-na-molnii-otlichnik-seraya-l-m02grotll/" , "M02GROTL-L ТОЛСТОВКА НА МОЛНИИ  'ОТЛИЧНИК' СЕРАЯ L")</f>
      </c>
      <c r="C12399" s="4" t="n">
        <v>13000.00</v>
      </c>
      <c r="D12399" s="4"/>
    </row>
    <row collapsed="" customFormat="false" customHeight="1" hidden="" ht="14" outlineLevel="0" r="12400">
      <c r="A12400" s="3" t="inlineStr">
        <is>
          <t>12359</t>
        </is>
      </c>
      <c r="B12400" s="4" t="s">
        <f>=HYPERLINK("http://anyluxury.ru/shop/odezhda/tolstovki/tolstovka-na-molnii-otlichnik-seraya-m-m02grotlm/" , "M02GROTL-M ТОЛСТОВКА НА МОЛНИИ  'ОТЛИЧНИК' СЕРАЯ M")</f>
      </c>
      <c r="C12400" s="4" t="n">
        <v>13000.00</v>
      </c>
      <c r="D12400" s="4"/>
    </row>
    <row collapsed="" customFormat="false" customHeight="1" hidden="" ht="14" outlineLevel="0" r="12401">
      <c r="A12401" s="3" t="inlineStr">
        <is>
          <t>12360</t>
        </is>
      </c>
      <c r="B12401" s="4" t="s">
        <f>=HYPERLINK("http://anyluxury.ru/shop/odezhda/tolstovki/tolstovka-na-molnii-otlichnik-sinyaya-xl-m02blotlxl/" , "M02BLOTL-XL ТОЛСТОВКА НА МОЛНИИ  'ОТЛИЧНИК' СИНЯЯ XL")</f>
      </c>
      <c r="C12401" s="4" t="n">
        <v>13000.00</v>
      </c>
      <c r="D12401" s="4"/>
    </row>
    <row collapsed="" customFormat="false" customHeight="1" hidden="" ht="14" outlineLevel="0" r="12402">
      <c r="A12402" s="3" t="inlineStr">
        <is>
          <t>12361</t>
        </is>
      </c>
      <c r="B12402" s="4" t="s">
        <f>=HYPERLINK("http://anyluxury.ru/shop/odezhda/tolstovki/tolstovka-na-molnii-otlichnik-sinyaya-m-m02blotlm/" , "M02BLOTL-M ТОЛСТОВКА НА МОЛНИИ  'ОТЛИЧНИК' СИНЯЯ M")</f>
      </c>
      <c r="C12402" s="4" t="n">
        <v>13000.00</v>
      </c>
      <c r="D12402" s="4"/>
    </row>
    <row collapsed="" customFormat="false" customHeight="1" hidden="" ht="14" outlineLevel="0" r="12403">
      <c r="A12403" s="3" t="inlineStr">
        <is>
          <t>12362</t>
        </is>
      </c>
      <c r="B12403" s="4" t="s">
        <f>=HYPERLINK("http://anyluxury.ru/shop/odezhda/tolstovki/tolstovka-na-molnii-nad-spasskoy-bashney-chernaya-s-m03blkspbas/" , "M03BLKSPBA-S ТОЛСТОВКА НА МОЛНИИ  'НАД СПАССКОЙ БАШНЕЙ' ЧЕРНАЯ S")</f>
      </c>
      <c r="C12403" s="4" t="n">
        <v>13000.00</v>
      </c>
      <c r="D12403" s="4"/>
    </row>
    <row collapsed="" customFormat="false" customHeight="1" hidden="" ht="14" outlineLevel="0" r="12404">
      <c r="A12404" s="3" t="inlineStr">
        <is>
          <t>12363</t>
        </is>
      </c>
      <c r="B12404" s="4" t="s">
        <f>=HYPERLINK("http://anyluxury.ru/shop/odezhda/tolstovki/tolstovka-na-molnii-nad-spasskoy-bashney-chernaya-xxl-m03blkspbaxxl/" , "M03BLKSPBA-XXL ТОЛСТОВКА НА МОЛНИИ  'НАД СПАССКОЙ БАШНЕЙ' ЧЕРНАЯ XXL")</f>
      </c>
      <c r="C12404" s="4" t="n">
        <v>13000.00</v>
      </c>
      <c r="D12404" s="4"/>
    </row>
    <row collapsed="" customFormat="false" customHeight="1" hidden="" ht="14" outlineLevel="0" r="12405">
      <c r="A12405" s="3" t="inlineStr">
        <is>
          <t>12364</t>
        </is>
      </c>
      <c r="B12405" s="4" t="s">
        <f>=HYPERLINK("http://anyluxury.ru/shop/odezhda/tolstovki/tolstovka-na-molnii-otlichnik-seraya-xl-m02grotlxl/" , "M02GROTL-XL ТОЛСТОВКА НА МОЛНИИ  'ОТЛИЧНИК' СЕРАЯ XL")</f>
      </c>
      <c r="C12405" s="4" t="n">
        <v>13000.00</v>
      </c>
      <c r="D12405" s="4"/>
    </row>
    <row collapsed="" customFormat="false" customHeight="1" hidden="" ht="14" outlineLevel="0" r="12406">
      <c r="A12406" s="3" t="inlineStr">
        <is>
          <t>12365</t>
        </is>
      </c>
      <c r="B12406" s="4" t="s">
        <f>=HYPERLINK("http://anyluxury.ru/shop/odezhda/tolstovki/tolstovka-na-molnii-nad-spasskoy-bashney-chernaya-m-m03blkspbam/" , "M03BLKSPBA-M ТОЛСТОВКА НА МОЛНИИ  'НАД СПАССКОЙ БАШНЕЙ' ЧЕРНАЯ M")</f>
      </c>
      <c r="C12406" s="4" t="n">
        <v>13000.00</v>
      </c>
      <c r="D12406" s="4"/>
    </row>
    <row collapsed="" customFormat="false" customHeight="1" hidden="" ht="14" outlineLevel="0" r="12407">
      <c r="A12407" s="3" t="inlineStr">
        <is>
          <t>12366</t>
        </is>
      </c>
      <c r="B12407" s="4" t="s">
        <f>=HYPERLINK("http://anyluxury.ru/shop/odezhda/tolstovki/tolstovka-na-molnii-nad-spasskoy-bashney-chernaya-l-m03blkspbal/" , "M03BLKSPBA-L ТОЛСТОВКА НА МОЛНИИ  'НАД СПАССКОЙ БАШНЕЙ' ЧЕРНАЯ L")</f>
      </c>
      <c r="C12407" s="4" t="n">
        <v>13000.00</v>
      </c>
      <c r="D12407" s="4"/>
    </row>
    <row collapsed="" customFormat="false" customHeight="1" hidden="" ht="14" outlineLevel="0" r="12408">
      <c r="A12408" s="3" t="inlineStr">
        <is>
          <t>12367</t>
        </is>
      </c>
      <c r="B12408" s="4" t="s">
        <f>=HYPERLINK("http://anyluxury.ru/shop/odezhda/tolstovki/tolstovka-na-molnii-nad-spasskoy-bashney-chernaya-xl-m03blkspbaxl/" , "M03BLKSPBA-XL ТОЛСТОВКА НА МОЛНИИ  'НАД СПАССКОЙ БАШНЕЙ' ЧЕРНАЯ XL")</f>
      </c>
      <c r="C12408" s="4" t="n">
        <v>13000.00</v>
      </c>
      <c r="D12408" s="4"/>
    </row>
    <row collapsed="" customFormat="false" customHeight="1" hidden="" ht="14" outlineLevel="0" r="12409">
      <c r="A12409" s="3" t="inlineStr">
        <is>
          <t>12368</t>
        </is>
      </c>
      <c r="B12409" s="4" t="s">
        <f>=HYPERLINK("http://anyluxury.ru/shop/odezhda/tolstovki/tolstovka-na-molnii-otlichnik-sinyaya-l-m02blotll/" , "M02BLOTL-L ТОЛСТОВКА НА МОЛНИИ  'ОТЛИЧНИК' СИНЯЯ L")</f>
      </c>
      <c r="C12409" s="4" t="n">
        <v>13000.00</v>
      </c>
      <c r="D12409" s="4"/>
    </row>
    <row collapsed="" customFormat="false" customHeight="1" hidden="" ht="14" outlineLevel="0" r="12410">
      <c r="A12410" s="3" t="inlineStr">
        <is>
          <t>12369</t>
        </is>
      </c>
      <c r="B12410" s="4" t="s">
        <f>=HYPERLINK("http://anyluxury.ru/shop/odezhda/tolstovki/tolstovka-na-molnii-otlichnik-sinyaya-s-m02blotls/" , "M02BLOTL-S ТОЛСТОВКА НА МОЛНИИ  'ОТЛИЧНИК' СИНЯЯ S")</f>
      </c>
      <c r="C12410" s="4" t="n">
        <v>13000.00</v>
      </c>
      <c r="D12410" s="4"/>
    </row>
    <row collapsed="" customFormat="false" customHeight="1" hidden="" ht="14" outlineLevel="0" r="12411">
      <c r="A12411" s="3" t="inlineStr">
        <is>
          <t>12370</t>
        </is>
      </c>
      <c r="B12411" s="4" t="s">
        <f>=HYPERLINK("http://anyluxury.ru/shop/odezhda/tolstovki/tolstovka-na-molnii-otlichnik-sinyaya-xxl-m02blotlxxl/" , "M02BLOTL-XXL ТОЛСТОВКА НА МОЛНИИ  'ОТЛИЧНИК' СИНЯЯ XXL")</f>
      </c>
      <c r="C12411" s="4" t="n">
        <v>13000.00</v>
      </c>
      <c r="D12411" s="4"/>
    </row>
    <row collapsed="" customFormat="false" customHeight="1" hidden="" ht="14" outlineLevel="0" r="12412">
      <c r="A12412" s="3" t="inlineStr">
        <is>
          <t>12371</t>
        </is>
      </c>
      <c r="B12412" s="4" t="s">
        <f>=HYPERLINK("http://anyluxury.ru/shop/odezhda/tolstovki/tolstovka-na-molnii-otlichnik-seraya-s-m02grotls/" , "M02GROTL-S ТОЛСТОВКА НА МОЛНИИ  'ОТЛИЧНИК' СЕРАЯ S")</f>
      </c>
      <c r="C12412" s="4" t="n">
        <v>13000.00</v>
      </c>
      <c r="D12412" s="4"/>
    </row>
    <row collapsed="" customFormat="false" customHeight="1" hidden="" ht="14" outlineLevel="0" r="12413">
      <c r="A12413" s="3" t="inlineStr">
        <is>
          <t>12372</t>
        </is>
      </c>
      <c r="B12413" s="4" t="s">
        <f>=HYPERLINK("http://anyluxury.ru/shop/odezhda/tolstovki/tolstovka-na-molnii-nad-spasskoy-bashney-sinyaya-l-m03blspbal/" , "M03BLSPBA-L ТОЛСТОВКА НА МОЛНИИ  'НАД СПАССКОЙ БАШНЕЙ' СИНЯЯ L")</f>
      </c>
      <c r="C12413" s="4" t="n">
        <v>13000.00</v>
      </c>
      <c r="D12413" s="4"/>
    </row>
    <row collapsed="" customFormat="false" customHeight="1" hidden="" ht="14" outlineLevel="0" r="12414">
      <c r="A12414" s="3" t="inlineStr">
        <is>
          <t>12373</t>
        </is>
      </c>
      <c r="B12414" s="4" t="s">
        <f>=HYPERLINK("http://anyluxury.ru/shop/odezhda/tolstovki/tolstovka-na-molnii-nad-spasskoy-bashney-sinyaya-xxl-m03blspbaxxl/" , "M03BLSPBA-XXL ТОЛСТОВКА НА МОЛНИИ  'НАД СПАССКОЙ БАШНЕЙ' СИНЯЯ XXL")</f>
      </c>
      <c r="C12414" s="4" t="n">
        <v>13000.00</v>
      </c>
      <c r="D12414" s="4"/>
    </row>
    <row collapsed="" customFormat="false" customHeight="1" hidden="" ht="14" outlineLevel="0" r="12415">
      <c r="A12415" s="3" t="inlineStr">
        <is>
          <t>12374</t>
        </is>
      </c>
      <c r="B12415" s="4" t="s">
        <f>=HYPERLINK("http://anyluxury.ru/shop/odezhda/tolstovki/tolstovka-na-molnii-nad-spasskoy-bashney-sinyaya-xl-m03blspbaxl/" , "M03BLSPBA-XL ТОЛСТОВКА НА МОЛНИИ  'НАД СПАССКОЙ БАШНЕЙ' СИНЯЯ XL")</f>
      </c>
      <c r="C12415" s="4" t="n">
        <v>13000.00</v>
      </c>
      <c r="D12415" s="4"/>
    </row>
    <row collapsed="" customFormat="false" customHeight="1" hidden="" ht="14" outlineLevel="0" r="12416">
      <c r="A12416" s="3" t="inlineStr">
        <is>
          <t>12375</t>
        </is>
      </c>
      <c r="B12416" s="4" t="s">
        <f>=HYPERLINK("http://anyluxury.ru/shop/odezhda/tolstovki/tolstovka-na-molnii-nad-spasskoy-bashney-seraya-m-m03grspbam/" , "M03GRSPBA-M ТОЛСТОВКА НА МОЛНИИ  'НАД СПАССКОЙ БАШНЕЙ' СЕРАЯ M")</f>
      </c>
      <c r="C12416" s="4" t="n">
        <v>13000.00</v>
      </c>
      <c r="D12416" s="4"/>
    </row>
    <row collapsed="" customFormat="false" customHeight="1" hidden="" ht="14" outlineLevel="0" r="12417">
      <c r="A12417" s="3" t="inlineStr">
        <is>
          <t>12376</t>
        </is>
      </c>
      <c r="B12417" s="4" t="s">
        <f>=HYPERLINK("http://anyluxury.ru/shop/odezhda/tolstovki/tolstovka-na-molnii-nad-spasskoy-bashney-seraya-s-m03grspbas/" , "M03GRSPBA-S ТОЛСТОВКА НА МОЛНИИ  'НАД СПАССКОЙ БАШНЕЙ' СЕРАЯ S")</f>
      </c>
      <c r="C12417" s="4" t="n">
        <v>13000.00</v>
      </c>
      <c r="D12417" s="4"/>
    </row>
    <row collapsed="" customFormat="false" customHeight="1" hidden="" ht="14" outlineLevel="0" r="12418">
      <c r="A12418" s="3" t="inlineStr">
        <is>
          <t>12377</t>
        </is>
      </c>
      <c r="B12418" s="4" t="s">
        <f>=HYPERLINK("http://anyluxury.ru/shop/odezhda/tolstovki/tolstovka-na-molnii-nad-spasskoy-bashney-seraya-xxl-m03grspbaxxl/" , "M03GRSPBA-XXL ТОЛСТОВКА НА МОЛНИИ  'НАД СПАССКОЙ БАШНЕЙ' СЕРАЯ XXL")</f>
      </c>
      <c r="C12418" s="4" t="n">
        <v>13000.00</v>
      </c>
      <c r="D12418" s="4"/>
    </row>
    <row collapsed="" customFormat="false" customHeight="1" hidden="" ht="14" outlineLevel="0" r="12419">
      <c r="A12419" s="3" t="inlineStr">
        <is>
          <t>12378</t>
        </is>
      </c>
      <c r="B12419" s="4" t="s">
        <f>=HYPERLINK("http://anyluxury.ru/shop/odezhda/tolstovki/tolstovka-na-molnii-nad-spasskoy-bashney-sinyaya-m-m03blspbam/" , "M03BLSPBA-M ТОЛСТОВКА НА МОЛНИИ  'НАД СПАССКОЙ БАШНЕЙ' СИНЯЯ M")</f>
      </c>
      <c r="C12419" s="4" t="n">
        <v>13000.00</v>
      </c>
      <c r="D12419" s="4"/>
    </row>
    <row collapsed="" customFormat="false" customHeight="1" hidden="" ht="14" outlineLevel="0" r="12420">
      <c r="A12420" s="3" t="inlineStr">
        <is>
          <t>12379</t>
        </is>
      </c>
      <c r="B12420" s="4" t="s">
        <f>=HYPERLINK("http://anyluxury.ru/shop/odezhda/tolstovki/tolstovka-na-molnii-nad-spasskoy-bashney-seraya-l-m03grspbal/" , "M03GRSPBA-L ТОЛСТОВКА НА МОЛНИИ  'НАД СПАССКОЙ БАШНЕЙ' СЕРАЯ L")</f>
      </c>
      <c r="C12420" s="4" t="n">
        <v>13000.00</v>
      </c>
      <c r="D12420" s="4"/>
    </row>
    <row collapsed="" customFormat="false" customHeight="1" hidden="" ht="14" outlineLevel="0" r="12421">
      <c r="A12421" s="3" t="inlineStr">
        <is>
          <t>12380</t>
        </is>
      </c>
      <c r="B12421" s="4" t="s">
        <f>=HYPERLINK("http://anyluxury.ru/shop/odezhda/tolstovki/tolstovka-na-molnii-nad-spasskoy-bashney-sinyaya-s-m03blspbas/" , "M03BLSPBA-S ТОЛСТОВКА НА МОЛНИИ  'НАД СПАССКОЙ БАШНЕЙ' СИНЯЯ S")</f>
      </c>
      <c r="C12421" s="4" t="n">
        <v>13000.00</v>
      </c>
      <c r="D12421" s="4"/>
    </row>
    <row collapsed="" customFormat="false" customHeight="1" hidden="" ht="14" outlineLevel="0" r="12422">
      <c r="A12422" s="3" t="inlineStr">
        <is>
          <t>12381</t>
        </is>
      </c>
      <c r="B12422" s="4" t="s">
        <f>=HYPERLINK("http://anyluxury.ru/shop/odezhda/tolstovki/tolstovka-na-molnii-nad-spasskoy-bashney-seraya-xl-m03grspbaxl/" , "M03GRSPBA-XL ТОЛСТОВКА НА МОЛНИИ  'НАД СПАССКОЙ БАШНЕЙ' СЕРАЯ XL")</f>
      </c>
      <c r="C12422" s="4" t="n">
        <v>13000.00</v>
      </c>
      <c r="D12422" s="4"/>
    </row>
    <row collapsed="" customFormat="false" customHeight="1" hidden="" ht="14" outlineLevel="0" r="12423">
      <c r="A12423" s="3" t="inlineStr">
        <is>
          <t>12382</t>
        </is>
      </c>
      <c r="B12423" s="4" t="s">
        <f>=HYPERLINK("http://anyluxury.ru/shop/odezhda/tolstovki/tolstovka-na-molnii-vinnipuh-sinyaya-l-m01blvinl/" , "M01BLVIN-L ТОЛСТОВКА НА МОЛНИИ 'ВИННИ-ПУХ' СИНЯЯ L")</f>
      </c>
      <c r="C12423" s="4" t="n">
        <v>13000.00</v>
      </c>
      <c r="D12423" s="4"/>
    </row>
    <row collapsed="" customFormat="false" customHeight="1" hidden="" ht="14" outlineLevel="0" r="12424">
      <c r="A12424" s="3" t="inlineStr">
        <is>
          <t>12383</t>
        </is>
      </c>
      <c r="B12424" s="4" t="s">
        <f>=HYPERLINK("http://anyluxury.ru/shop/odezhda/tolstovki/tolstovka-na-molnii-vinnipuh-sinyaya-m-m01blvinm/" , "M01BLVIN-M ТОЛСТОВКА НА МОЛНИИ 'ВИННИ-ПУХ' СИНЯЯ M")</f>
      </c>
      <c r="C12424" s="4" t="n">
        <v>13000.00</v>
      </c>
      <c r="D12424" s="4"/>
    </row>
    <row collapsed="" customFormat="false" customHeight="1" hidden="" ht="14" outlineLevel="0" r="12425">
      <c r="A12425" s="3" t="inlineStr">
        <is>
          <t>12384</t>
        </is>
      </c>
      <c r="B12425" s="4" t="s">
        <f>=HYPERLINK("http://anyluxury.ru/shop/odezhda/tolstovki/tolstovka-na-molnii-vinnipuh-sinyaya-s-m01blvins/" , "M01BLVIN-S ТОЛСТОВКА НА МОЛНИИ 'ВИННИ-ПУХ' СИНЯЯ S")</f>
      </c>
      <c r="C12425" s="4" t="n">
        <v>13000.00</v>
      </c>
      <c r="D12425" s="4"/>
    </row>
    <row collapsed="" customFormat="false" customHeight="1" hidden="" ht="14" outlineLevel="0" r="12426">
      <c r="A12426" s="3" t="inlineStr">
        <is>
          <t>12385</t>
        </is>
      </c>
      <c r="B12426" s="4" t="s">
        <f>=HYPERLINK("http://anyluxury.ru/shop/odezhda/tolstovki/tolstovka-na-molnii-vinnipuh-sinyaya-xl-m01blvinxl/" , "M01BLVIN-XL ТОЛСТОВКА НА МОЛНИИ 'ВИННИ-ПУХ' СИНЯЯ XL")</f>
      </c>
      <c r="C12426" s="4" t="n">
        <v>13000.00</v>
      </c>
      <c r="D12426" s="4"/>
    </row>
    <row collapsed="" customFormat="false" customHeight="1" hidden="" ht="14" outlineLevel="0" r="12427">
      <c r="A12427" s="3" t="inlineStr">
        <is>
          <t>12386</t>
        </is>
      </c>
      <c r="B12427" s="4" t="s">
        <f>=HYPERLINK("http://anyluxury.ru/shop/odezhda/tolstovki/tolstovka-na-molnii-vinnipuh-sinyaya-xxl-m01blvinxxl/" , "M01BLVIN-XXL ТОЛСТОВКА НА МОЛНИИ 'ВИННИ-ПУХ' СИНЯЯ XXL")</f>
      </c>
      <c r="C12427" s="4" t="n">
        <v>13000.00</v>
      </c>
      <c r="D12427" s="4"/>
    </row>
    <row collapsed="" customFormat="false" customHeight="1" hidden="" ht="14" outlineLevel="0" r="12428">
      <c r="A12428" s="3" t="inlineStr">
        <is>
          <t>12387</t>
        </is>
      </c>
      <c r="B12428" s="4" t="s">
        <f>=HYPERLINK("http://anyluxury.ru/shop/odezhda/tolstovki/tolstovka-na-molnii-nu-pogodi-sinyaya-l-m02blvolkl/" , "M02BLVOLK-L ТОЛСТОВКА НА МОЛНИИ 'НУ, ПОГОДИ' СИНЯЯ L")</f>
      </c>
      <c r="C12428" s="4" t="n">
        <v>13000.00</v>
      </c>
      <c r="D12428" s="4"/>
    </row>
    <row collapsed="" customFormat="false" customHeight="1" hidden="" ht="14" outlineLevel="0" r="12429">
      <c r="A12429" s="3" t="inlineStr">
        <is>
          <t>12388</t>
        </is>
      </c>
      <c r="B12429" s="4" t="s">
        <f>=HYPERLINK("http://anyluxury.ru/shop/odezhda/tolstovki/tolstovka-na-molnii-nu-pogodi-sinyaya-m-m02blvolkm/" , "M02BLVOLK-M ТОЛСТОВКА НА МОЛНИИ 'НУ, ПОГОДИ' СИНЯЯ M")</f>
      </c>
      <c r="C12429" s="4" t="n">
        <v>13000.00</v>
      </c>
      <c r="D12429" s="4"/>
    </row>
    <row collapsed="" customFormat="false" customHeight="1" hidden="" ht="14" outlineLevel="0" r="12430">
      <c r="A12430" s="3" t="inlineStr">
        <is>
          <t>12389</t>
        </is>
      </c>
      <c r="B12430" s="4" t="s">
        <f>=HYPERLINK("http://anyluxury.ru/shop/odezhda/tolstovki/tolstovka-s-kapyushonom-vinnipuh-vasilkovaya-l-h01vaslvinl/" , "H01VASLVIN-L ТОЛСТОВКА С КАПЮШОНОМ 'ВИННИ-ПУХ' ВАСИЛЬКОВАЯ L")</f>
      </c>
      <c r="C12430" s="4" t="n">
        <v>12000.00</v>
      </c>
      <c r="D12430" s="4"/>
    </row>
    <row collapsed="" customFormat="false" customHeight="1" hidden="" ht="14" outlineLevel="0" r="12431">
      <c r="A12431" s="3" t="inlineStr">
        <is>
          <t>12390</t>
        </is>
      </c>
      <c r="B12431" s="4" t="s">
        <f>=HYPERLINK("http://anyluxury.ru/shop/odezhda/tolstovki/tolstovka-s-kapyushonom-vinnipuh-vasilkovaya-m-h01vaslvinm/" , "H01VASLVIN-M ТОЛСТОВКА С КАПЮШОНОМ 'ВИННИ-ПУХ' ВАСИЛЬКОВАЯ M")</f>
      </c>
      <c r="C12431" s="4" t="n">
        <v>12000.00</v>
      </c>
      <c r="D12431" s="4"/>
    </row>
    <row collapsed="" customFormat="false" customHeight="1" hidden="" ht="14" outlineLevel="0" r="12432">
      <c r="A12432" s="3" t="inlineStr">
        <is>
          <t>12391</t>
        </is>
      </c>
      <c r="B12432" s="4" t="s">
        <f>=HYPERLINK("http://anyluxury.ru/shop/odezhda/tolstovki/tolstovka-s-kapyushonom-vinnipuh-vasilkovaya-s-h01vaslvins/" , "H01VASLVIN-S ТОЛСТОВКА С КАПЮШОНОМ 'ВИННИ-ПУХ' ВАСИЛЬКОВАЯ S")</f>
      </c>
      <c r="C12432" s="4" t="n">
        <v>12000.00</v>
      </c>
      <c r="D12432" s="4"/>
    </row>
    <row collapsed="" customFormat="false" customHeight="1" hidden="" ht="14" outlineLevel="0" r="12433">
      <c r="A12433" s="3" t="inlineStr">
        <is>
          <t>12392</t>
        </is>
      </c>
      <c r="B12433" s="4" t="s">
        <f>=HYPERLINK("http://anyluxury.ru/shop/odezhda/tolstovki/tolstovka-s-kapyushonom-vinnipuh-vasilkovaya-xl-h01vaslvinxl/" , "H01VASLVIN-XL ТОЛСТОВКА С КАПЮШОНОМ 'ВИННИ-ПУХ' ВАСИЛЬКОВАЯ XL")</f>
      </c>
      <c r="C12433" s="4" t="n">
        <v>12000.00</v>
      </c>
      <c r="D12433" s="4"/>
    </row>
    <row collapsed="" customFormat="false" customHeight="" hidden="" ht="12.1" outlineLevel="0" r="12434">
      <c r="A12434" s="5" t="inlineStr">
        <is>
          <t> -  - Трикотажные шапки</t>
        </is>
      </c>
      <c r="B12434" s="6"/>
      <c r="C12434" s="6"/>
      <c r="D12434" s="6"/>
    </row>
    <row collapsed="" customFormat="false" customHeight="1" hidden="" ht="14" outlineLevel="0" r="12435">
      <c r="A12435" s="3" t="inlineStr">
        <is>
          <t>12393</t>
        </is>
      </c>
      <c r="B12435" s="4" t="s">
        <f>=HYPERLINK("http://anyluxury.ru/shop/odezhda/trikotazhnye-shapki/shapka-leader-sinyaya-vasilek-563164/" , "5631.64 Шапка Leader, синяя (василек)")</f>
      </c>
      <c r="C12435" s="4" t="n">
        <v>63.00</v>
      </c>
      <c r="D12435" s="4"/>
    </row>
    <row collapsed="" customFormat="false" customHeight="1" hidden="" ht="14" outlineLevel="0" r="12436">
      <c r="A12436" s="3" t="inlineStr">
        <is>
          <t>12394</t>
        </is>
      </c>
      <c r="B12436" s="4" t="s">
        <f>=HYPERLINK("http://anyluxury.ru/shop/odezhda/trikotazhnye-shapki/shapka-buddy-chernaya-00596312tun/" , "00596312TUN Шапка BUDDY, черная")</f>
      </c>
      <c r="C12436" s="4" t="n">
        <v>252.00</v>
      </c>
      <c r="D12436" s="4"/>
    </row>
    <row collapsed="" customFormat="false" customHeight="1" hidden="" ht="14" outlineLevel="0" r="12437">
      <c r="A12437" s="3" t="inlineStr">
        <is>
          <t>12395</t>
        </is>
      </c>
      <c r="B12437" s="4" t="s">
        <f>=HYPERLINK("http://anyluxury.ru/shop/odezhda/trikotazhnye-shapki/shapka-serpico-55-chernaya-88112312tun/" , "88112312TUN Шапка SERPICO 55 черная")</f>
      </c>
      <c r="C12437" s="4" t="n">
        <v>479.00</v>
      </c>
      <c r="D12437" s="4"/>
    </row>
    <row collapsed="" customFormat="false" customHeight="1" hidden="" ht="14" outlineLevel="0" r="12438">
      <c r="A12438" s="3" t="inlineStr">
        <is>
          <t>12396</t>
        </is>
      </c>
      <c r="B12438" s="4" t="s">
        <f>=HYPERLINK("http://anyluxury.ru/shop/odezhda/trikotazhnye-shapki/shapka-buddy-molochnobelaya-00596101tun/" , "00596101TUN Шапка BUDDY, молочно-белая")</f>
      </c>
      <c r="C12438" s="4" t="n">
        <v>252.00</v>
      </c>
      <c r="D12438" s="4"/>
    </row>
    <row collapsed="" customFormat="false" customHeight="1" hidden="" ht="14" outlineLevel="0" r="12439">
      <c r="A12439" s="3" t="inlineStr">
        <is>
          <t>12397</t>
        </is>
      </c>
      <c r="B12439" s="4" t="s">
        <f>=HYPERLINK("http://anyluxury.ru/shop/odezhda/trikotazhnye-shapki/shapka-buddy-temnoseraya-00596384tun/" , "00596384TUN Шапка BUDDY, темно-серая")</f>
      </c>
      <c r="C12439" s="4" t="n">
        <v>252.00</v>
      </c>
      <c r="D12439" s="4"/>
    </row>
    <row collapsed="" customFormat="false" customHeight="1" hidden="" ht="14" outlineLevel="0" r="12440">
      <c r="A12440" s="3" t="inlineStr">
        <is>
          <t>12398</t>
        </is>
      </c>
      <c r="B12440" s="4" t="s">
        <f>=HYPERLINK("http://anyluxury.ru/shop/odezhda/trikotazhnye-shapki/shapka-breeze-chernaya-s-serim-01197312tun/" , "01197312TUN Шапка BREEZE, черная с серым")</f>
      </c>
      <c r="C12440" s="4" t="n">
        <v>438.00</v>
      </c>
      <c r="D12440" s="4"/>
    </row>
    <row collapsed="" customFormat="false" customHeight="1" hidden="" ht="14" outlineLevel="0" r="12441">
      <c r="A12441" s="3" t="inlineStr">
        <is>
          <t>12399</t>
        </is>
      </c>
      <c r="B12441" s="4" t="s">
        <f>=HYPERLINK("http://anyluxury.ru/shop/odezhda/trikotazhnye-shapki/shapka-breeze-bordovaya-s-alim-01197146tun/" , "01197146TUN Шапка BREEZE, бордовая с алым")</f>
      </c>
      <c r="C12441" s="4" t="n">
        <v>438.00</v>
      </c>
      <c r="D12441" s="4"/>
    </row>
    <row collapsed="" customFormat="false" customHeight="1" hidden="" ht="14" outlineLevel="0" r="12442">
      <c r="A12442" s="3" t="inlineStr">
        <is>
          <t>12400</t>
        </is>
      </c>
      <c r="B12442" s="4" t="s">
        <f>=HYPERLINK("http://anyluxury.ru/shop/odezhda/trikotazhnye-shapki/shapka-breeze-temnosinyaya-s-sinim-01197319tun/" , "01197319TUN Шапка BREEZE, темно-синяя с синим")</f>
      </c>
      <c r="C12442" s="4" t="n">
        <v>438.00</v>
      </c>
      <c r="D12442" s="4"/>
    </row>
    <row collapsed="" customFormat="false" customHeight="1" hidden="" ht="14" outlineLevel="0" r="12443">
      <c r="A12443" s="3" t="inlineStr">
        <is>
          <t>12401</t>
        </is>
      </c>
      <c r="B12443" s="4" t="s">
        <f>=HYPERLINK("http://anyluxury.ru/shop/odezhda/trikotazhnye-shapki/shapka-buddy-temnosinyaya-00596319tun/" , "00596319TUN Шапка BUDDY, темно-синяя")</f>
      </c>
      <c r="C12443" s="4" t="n">
        <v>252.00</v>
      </c>
      <c r="D12443" s="4"/>
    </row>
    <row collapsed="" customFormat="false" customHeight="1" hidden="" ht="14" outlineLevel="0" r="12444">
      <c r="A12444" s="3" t="inlineStr">
        <is>
          <t>12402</t>
        </is>
      </c>
      <c r="B12444" s="4" t="s">
        <f>=HYPERLINK("http://anyluxury.ru/shop/odezhda/trikotazhnye-shapki/shapka-siver-krasnaya-685550/" , "6855.50 Шапка Siver, красная")</f>
      </c>
      <c r="C12444" s="4" t="n">
        <v>336.00</v>
      </c>
      <c r="D12444" s="4"/>
    </row>
    <row collapsed="" customFormat="false" customHeight="1" hidden="" ht="14" outlineLevel="0" r="12445">
      <c r="A12445" s="3" t="inlineStr">
        <is>
          <t>12403</t>
        </is>
      </c>
      <c r="B12445" s="4" t="s">
        <f>=HYPERLINK("http://anyluxury.ru/shop/odezhda/trikotazhnye-shapki/shapka-siver-yarkosinyaya-685540/" , "6855.40 Шапка Siver, ярко-синяя")</f>
      </c>
      <c r="C12445" s="4" t="n">
        <v>336.00</v>
      </c>
      <c r="D12445" s="4"/>
    </row>
    <row collapsed="" customFormat="false" customHeight="1" hidden="" ht="14" outlineLevel="0" r="12446">
      <c r="A12446" s="3" t="inlineStr">
        <is>
          <t>12404</t>
        </is>
      </c>
      <c r="B12446" s="4" t="s">
        <f>=HYPERLINK("http://anyluxury.ru/shop/odezhda/trikotazhnye-shapki/shapka-siver-seraya-685510/" , "6855.10 Шапка Siver, серая")</f>
      </c>
      <c r="C12446" s="4" t="n">
        <v>336.00</v>
      </c>
      <c r="D12446" s="4"/>
    </row>
    <row collapsed="" customFormat="false" customHeight="1" hidden="" ht="14" outlineLevel="0" r="12447">
      <c r="A12447" s="3" t="inlineStr">
        <is>
          <t>12405</t>
        </is>
      </c>
      <c r="B12447" s="4" t="s">
        <f>=HYPERLINK("http://anyluxury.ru/shop/odezhda/trikotazhnye-shapki/shapka-siver-belaya-685560/" , "6855.60 Шапка Siver, белая")</f>
      </c>
      <c r="C12447" s="4" t="n">
        <v>336.00</v>
      </c>
      <c r="D12447" s="4"/>
    </row>
    <row collapsed="" customFormat="false" customHeight="1" hidden="" ht="14" outlineLevel="0" r="12448">
      <c r="A12448" s="3" t="inlineStr">
        <is>
          <t>12406</t>
        </is>
      </c>
      <c r="B12448" s="4" t="s">
        <f>=HYPERLINK("http://anyluxury.ru/shop/odezhda/trikotazhnye-shapki/shapka-windy-rose-sinyaya-702940/" , "7029.40 Шапка Windy Rose, синяя")</f>
      </c>
      <c r="C12448" s="4" t="n">
        <v>760.00</v>
      </c>
      <c r="D12448" s="4"/>
    </row>
    <row collapsed="" customFormat="false" customHeight="1" hidden="" ht="14" outlineLevel="0" r="12449">
      <c r="A12449" s="3" t="inlineStr">
        <is>
          <t>12407</t>
        </is>
      </c>
      <c r="B12449" s="4" t="s">
        <f>=HYPERLINK("http://anyluxury.ru/shop/odezhda/trikotazhnye-shapki/shapka-real-talk-seraya-54710/" , "547.10 Шапка Real Talk, серая")</f>
      </c>
      <c r="C12449" s="4" t="n">
        <v>670.00</v>
      </c>
      <c r="D12449" s="4"/>
    </row>
    <row collapsed="" customFormat="false" customHeight="1" hidden="" ht="14" outlineLevel="0" r="12450">
      <c r="A12450" s="3" t="inlineStr">
        <is>
          <t>12408</t>
        </is>
      </c>
      <c r="B12450" s="4" t="s">
        <f>=HYPERLINK("http://anyluxury.ru/shop/odezhda/trikotazhnye-shapki/shapka-real-talk-chernaya-54730/" , "547.30 Шапка Real Talk, черная")</f>
      </c>
      <c r="C12450" s="4" t="n">
        <v>670.00</v>
      </c>
      <c r="D12450" s="4"/>
    </row>
    <row collapsed="" customFormat="false" customHeight="1" hidden="" ht="14" outlineLevel="0" r="12451">
      <c r="A12451" s="3" t="inlineStr">
        <is>
          <t>12409</t>
        </is>
      </c>
      <c r="B12451" s="4" t="s">
        <f>=HYPERLINK("http://anyluxury.ru/shop/odezhda/trikotazhnye-shapki/shapka-real-talk-sinyaya-54740/" , "547.40 Шапка Real Talk, синяя")</f>
      </c>
      <c r="C12451" s="4" t="n">
        <v>670.00</v>
      </c>
      <c r="D12451" s="4"/>
    </row>
    <row collapsed="" customFormat="false" customHeight="1" hidden="" ht="14" outlineLevel="0" r="12452">
      <c r="A12452" s="3" t="inlineStr">
        <is>
          <t>12410</t>
        </is>
      </c>
      <c r="B12452" s="4" t="s">
        <f>=HYPERLINK("http://anyluxury.ru/shop/odezhda/trikotazhnye-shapki/shapka-real-talk-temnosinyaya-54744/" , "547.44 Шапка Real Talk, темно-синяя")</f>
      </c>
      <c r="C12452" s="4" t="n">
        <v>670.00</v>
      </c>
      <c r="D12452" s="4"/>
    </row>
    <row collapsed="" customFormat="false" customHeight="1" hidden="" ht="14" outlineLevel="0" r="12453">
      <c r="A12453" s="3" t="inlineStr">
        <is>
          <t>12411</t>
        </is>
      </c>
      <c r="B12453" s="4" t="s">
        <f>=HYPERLINK("http://anyluxury.ru/shop/odezhda/trikotazhnye-shapki/shapka-real-talk-krasnaya-54750/" , "547.50 Шапка Real Talk, красная")</f>
      </c>
      <c r="C12453" s="4" t="n">
        <v>670.00</v>
      </c>
      <c r="D12453" s="4"/>
    </row>
    <row collapsed="" customFormat="false" customHeight="1" hidden="" ht="14" outlineLevel="0" r="12454">
      <c r="A12454" s="3" t="inlineStr">
        <is>
          <t>12412</t>
        </is>
      </c>
      <c r="B12454" s="4" t="s">
        <f>=HYPERLINK("http://anyluxury.ru/shop/odezhda/trikotazhnye-shapki/shapka-stout-siniy-melanzh-798140/" , "7981.40 Шапка Stout, синий меланж")</f>
      </c>
      <c r="C12454" s="4" t="n">
        <v>1092.00</v>
      </c>
      <c r="D12454" s="4"/>
    </row>
    <row collapsed="" customFormat="false" customHeight="1" hidden="" ht="14" outlineLevel="0" r="12455">
      <c r="A12455" s="3" t="inlineStr">
        <is>
          <t>12413</t>
        </is>
      </c>
      <c r="B12455" s="4" t="s">
        <f>=HYPERLINK("http://anyluxury.ru/shop/odezhda/trikotazhnye-shapki/shapka-stout-seriy-melanzh-798110/" , "7981.10 Шапка Stout, серый меланж")</f>
      </c>
      <c r="C12455" s="4" t="n">
        <v>1092.00</v>
      </c>
      <c r="D12455" s="4"/>
    </row>
    <row collapsed="" customFormat="false" customHeight="1" hidden="" ht="14" outlineLevel="0" r="12456">
      <c r="A12456" s="3" t="inlineStr">
        <is>
          <t>12414</t>
        </is>
      </c>
      <c r="B12456" s="4" t="s">
        <f>=HYPERLINK("http://anyluxury.ru/shop/odezhda/trikotazhnye-shapki/shapka-stout-molochnobelaya-798160/" , "7981.60 Шапка Stout, молочно-белая")</f>
      </c>
      <c r="C12456" s="4" t="n">
        <v>1092.00</v>
      </c>
      <c r="D12456" s="4"/>
    </row>
    <row collapsed="" customFormat="false" customHeight="1" hidden="" ht="14" outlineLevel="0" r="12457">
      <c r="A12457" s="3" t="inlineStr">
        <is>
          <t>12415</t>
        </is>
      </c>
      <c r="B12457" s="4" t="s">
        <f>=HYPERLINK("http://anyluxury.ru/shop/odezhda/trikotazhnye-shapki/shapka-stout-krasnaya-798150/" , "7981.50 Шапка Stout, красная")</f>
      </c>
      <c r="C12457" s="4" t="n">
        <v>1092.00</v>
      </c>
      <c r="D12457" s="4"/>
    </row>
    <row collapsed="" customFormat="false" customHeight="1" hidden="" ht="14" outlineLevel="0" r="12458">
      <c r="A12458" s="3" t="inlineStr">
        <is>
          <t>12416</t>
        </is>
      </c>
      <c r="B12458" s="4" t="s">
        <f>=HYPERLINK("http://anyluxury.ru/shop/odezhda/trikotazhnye-shapki/shapka-stout-zelenaya-798190/" , "7981.90 Шапка Stout, зеленая")</f>
      </c>
      <c r="C12458" s="4" t="n">
        <v>1092.00</v>
      </c>
      <c r="D12458" s="4"/>
    </row>
    <row collapsed="" customFormat="false" customHeight="1" hidden="" ht="14" outlineLevel="0" r="12459">
      <c r="A12459" s="3" t="inlineStr">
        <is>
          <t>12417</t>
        </is>
      </c>
      <c r="B12459" s="4" t="s">
        <f>=HYPERLINK("http://anyluxury.ru/shop/odezhda/trikotazhnye-shapki/shapka-headon-seriy-melanzh-1115611/" , "11156.11 Шапка HeadOn, серый меланж")</f>
      </c>
      <c r="C12459" s="4" t="n">
        <v>340.00</v>
      </c>
      <c r="D12459" s="4"/>
    </row>
    <row collapsed="" customFormat="false" customHeight="1" hidden="" ht="14" outlineLevel="0" r="12460">
      <c r="A12460" s="3" t="inlineStr">
        <is>
          <t>12418</t>
        </is>
      </c>
      <c r="B12460" s="4" t="s">
        <f>=HYPERLINK("http://anyluxury.ru/shop/odezhda/trikotazhnye-shapki/shapka-real-talk-gorchichnaya-54782/" , "547.82 Шапка Real Talk, горчичная")</f>
      </c>
      <c r="C12460" s="4" t="n">
        <v>670.00</v>
      </c>
      <c r="D12460" s="4"/>
    </row>
    <row collapsed="" customFormat="false" customHeight="1" hidden="" ht="14" outlineLevel="0" r="12461">
      <c r="A12461" s="3" t="inlineStr">
        <is>
          <t>12419</t>
        </is>
      </c>
      <c r="B12461" s="4" t="s">
        <f>=HYPERLINK("http://anyluxury.ru/shop/odezhda/trikotazhnye-shapki/shapka-real-talk-oranzhevaya-54720/" , "547.20 Шапка Real Talk, оранжевая")</f>
      </c>
      <c r="C12461" s="4" t="n">
        <v>670.00</v>
      </c>
      <c r="D12461" s="4"/>
    </row>
    <row collapsed="" customFormat="false" customHeight="1" hidden="" ht="14" outlineLevel="0" r="12462">
      <c r="A12462" s="3" t="inlineStr">
        <is>
          <t>12420</t>
        </is>
      </c>
      <c r="B12462" s="4" t="s">
        <f>=HYPERLINK("http://anyluxury.ru/shop/odezhda/trikotazhnye-shapki/shapka-life-explorer-yarkosinyaya-1106044/" , "11060.44 Шапка Life Explorer, ярко-синяя (василек)")</f>
      </c>
      <c r="C12462" s="4" t="n">
        <v>592.00</v>
      </c>
      <c r="D12462" s="4"/>
    </row>
    <row collapsed="" customFormat="false" customHeight="1" hidden="" ht="14" outlineLevel="0" r="12463">
      <c r="A12463" s="3" t="inlineStr">
        <is>
          <t>12421</t>
        </is>
      </c>
      <c r="B12463" s="4" t="s">
        <f>=HYPERLINK("http://anyluxury.ru/shop/odezhda/trikotazhnye-shapki/shapka-life-explorer-krasnaya-1106050/" , "11060.50 Шапка Life Explorer, красная (алая)")</f>
      </c>
      <c r="C12463" s="4" t="n">
        <v>592.00</v>
      </c>
      <c r="D12463" s="4"/>
    </row>
    <row collapsed="" customFormat="false" customHeight="1" hidden="" ht="14" outlineLevel="0" r="12464">
      <c r="A12464" s="3" t="inlineStr">
        <is>
          <t>12422</t>
        </is>
      </c>
      <c r="B12464" s="4" t="s">
        <f>=HYPERLINK("http://anyluxury.ru/shop/odezhda/trikotazhnye-shapki/shapka-life-explorer-zheltaya-1106080/" , "11060.80 Шапка Life Explorer, желтая")</f>
      </c>
      <c r="C12464" s="4" t="n">
        <v>592.00</v>
      </c>
      <c r="D12464" s="4"/>
    </row>
    <row collapsed="" customFormat="false" customHeight="1" hidden="" ht="14" outlineLevel="0" r="12465">
      <c r="A12465" s="3" t="inlineStr">
        <is>
          <t>12423</t>
        </is>
      </c>
      <c r="B12465" s="4" t="s">
        <f>=HYPERLINK("http://anyluxury.ru/shop/odezhda/trikotazhnye-shapki/shapka-life-explorer-zelenaya-1106090/" , "11060.90 Шапка Life Explorer, зеленая (салатовая)")</f>
      </c>
      <c r="C12465" s="4" t="n">
        <v>592.00</v>
      </c>
      <c r="D12465" s="4"/>
    </row>
    <row collapsed="" customFormat="false" customHeight="1" hidden="" ht="14" outlineLevel="0" r="12466">
      <c r="A12466" s="3" t="inlineStr">
        <is>
          <t>12424</t>
        </is>
      </c>
      <c r="B12466" s="4" t="s">
        <f>=HYPERLINK("http://anyluxury.ru/shop/odezhda/trikotazhnye-shapki/shapka-life-explorer-fioletovaya-1106077/" , "11060.77 Шапка Life Explorer, фиолетовая")</f>
      </c>
      <c r="C12466" s="4" t="n">
        <v>592.00</v>
      </c>
      <c r="D12466" s="4"/>
    </row>
    <row collapsed="" customFormat="false" customHeight="1" hidden="" ht="14" outlineLevel="0" r="12467">
      <c r="A12467" s="3" t="inlineStr">
        <is>
          <t>12425</t>
        </is>
      </c>
      <c r="B12467" s="4" t="s">
        <f>=HYPERLINK("http://anyluxury.ru/shop/odezhda/trikotazhnye-shapki/shapka-nordkyn-seraya-1045011/" , "10450.11 Шапка Nordkyn, серая")</f>
      </c>
      <c r="C12467" s="4" t="n">
        <v>690.00</v>
      </c>
      <c r="D12467" s="4"/>
    </row>
    <row collapsed="" customFormat="false" customHeight="1" hidden="" ht="14" outlineLevel="0" r="12468">
      <c r="A12468" s="3" t="inlineStr">
        <is>
          <t>12426</t>
        </is>
      </c>
      <c r="B12468" s="4" t="s">
        <f>=HYPERLINK("http://anyluxury.ru/shop/odezhda/trikotazhnye-shapki/shapka-nordkyn-bezhevaya-1045010/" , "10450.10 Шапка Nordkyn, бежевая")</f>
      </c>
      <c r="C12468" s="4" t="n">
        <v>690.00</v>
      </c>
      <c r="D12468" s="4"/>
    </row>
    <row collapsed="" customFormat="false" customHeight="1" hidden="" ht="14" outlineLevel="0" r="12469">
      <c r="A12469" s="3" t="inlineStr">
        <is>
          <t>12427</t>
        </is>
      </c>
      <c r="B12469" s="4" t="s">
        <f>=HYPERLINK("http://anyluxury.ru/shop/odezhda/trikotazhnye-shapki/shapka-nordkyn-krasnaya-1045050/" , "10450.50 Шапка Nordkyn, красная")</f>
      </c>
      <c r="C12469" s="4" t="n">
        <v>690.00</v>
      </c>
      <c r="D12469" s="4"/>
    </row>
    <row collapsed="" customFormat="false" customHeight="1" hidden="" ht="14" outlineLevel="0" r="12470">
      <c r="A12470" s="3" t="inlineStr">
        <is>
          <t>12428</t>
        </is>
      </c>
      <c r="B12470" s="4" t="s">
        <f>=HYPERLINK("http://anyluxury.ru/shop/odezhda/trikotazhnye-shapki/shapka-nordkyn-sinyaya-1045040/" , "10450.40 Шапка Nordkyn, темно-синяя")</f>
      </c>
      <c r="C12470" s="4" t="n">
        <v>690.00</v>
      </c>
      <c r="D12470" s="4"/>
    </row>
    <row collapsed="" customFormat="false" customHeight="1" hidden="" ht="14" outlineLevel="0" r="12471">
      <c r="A12471" s="3" t="inlineStr">
        <is>
          <t>12429</t>
        </is>
      </c>
      <c r="B12471" s="4" t="s">
        <f>=HYPERLINK("http://anyluxury.ru/shop/odezhda/trikotazhnye-shapki/shapka-nordkyn-molochnobelaya-1045060/" , "10450.60 Шапка Nordkyn, молочно-белая")</f>
      </c>
      <c r="C12471" s="4" t="n">
        <v>690.00</v>
      </c>
      <c r="D12471" s="4"/>
    </row>
    <row collapsed="" customFormat="false" customHeight="1" hidden="" ht="14" outlineLevel="0" r="12472">
      <c r="A12472" s="3" t="inlineStr">
        <is>
          <t>12430</t>
        </is>
      </c>
      <c r="B12472" s="4" t="s">
        <f>=HYPERLINK("http://anyluxury.ru/shop/odezhda/trikotazhnye-shapki/shapka-stout-chernaya-798130/" , "7981.30 Шапка Stout, черная")</f>
      </c>
      <c r="C12472" s="4" t="n">
        <v>1092.00</v>
      </c>
      <c r="D12472" s="4"/>
    </row>
    <row collapsed="" customFormat="false" customHeight="1" hidden="" ht="14" outlineLevel="0" r="12473">
      <c r="A12473" s="3" t="inlineStr">
        <is>
          <t>12431</t>
        </is>
      </c>
      <c r="B12473" s="4" t="s">
        <f>=HYPERLINK("http://anyluxury.ru/shop/odezhda/trikotazhnye-shapki/shapka-life-explorer-chernaya-1106030/" , "11060.30 Шапка Life Explorer, черная")</f>
      </c>
      <c r="C12473" s="4" t="n">
        <v>592.00</v>
      </c>
      <c r="D12473" s="4"/>
    </row>
    <row collapsed="" customFormat="false" customHeight="1" hidden="" ht="14" outlineLevel="0" r="12474">
      <c r="A12474" s="3" t="inlineStr">
        <is>
          <t>12432</t>
        </is>
      </c>
      <c r="B12474" s="4" t="s">
        <f>=HYPERLINK("http://anyluxury.ru/shop/odezhda/trikotazhnye-shapki/shapka-life-explorer-oranzhevaya-1106020/" , "11060.20 Шапка Life Explorer, оранжевая")</f>
      </c>
      <c r="C12474" s="4" t="n">
        <v>592.00</v>
      </c>
      <c r="D12474" s="4"/>
    </row>
    <row collapsed="" customFormat="false" customHeight="1" hidden="" ht="14" outlineLevel="0" r="12475">
      <c r="A12475" s="3" t="inlineStr">
        <is>
          <t>12433</t>
        </is>
      </c>
      <c r="B12475" s="4" t="s">
        <f>=HYPERLINK("http://anyluxury.ru/shop/odezhda/trikotazhnye-shapki/shapka-real-talk-bezhevaya-54711/" , "547.11 Шапка Real Talk, бежевая")</f>
      </c>
      <c r="C12475" s="4" t="n">
        <v>670.00</v>
      </c>
      <c r="D12475" s="4"/>
    </row>
    <row collapsed="" customFormat="false" customHeight="1" hidden="" ht="14" outlineLevel="0" r="12476">
      <c r="A12476" s="3" t="inlineStr">
        <is>
          <t>12434</t>
        </is>
      </c>
      <c r="B12476" s="4" t="s">
        <f>=HYPERLINK("http://anyluxury.ru/shop/odezhda/trikotazhnye-shapki/shapka-real-talk-golubaya-54714/" , "547.14 Шапка Real Talk, голубая")</f>
      </c>
      <c r="C12476" s="4" t="n">
        <v>670.00</v>
      </c>
      <c r="D12476" s="4"/>
    </row>
    <row collapsed="" customFormat="false" customHeight="1" hidden="" ht="14" outlineLevel="0" r="12477">
      <c r="A12477" s="3" t="inlineStr">
        <is>
          <t>12435</t>
        </is>
      </c>
      <c r="B12477" s="4" t="s">
        <f>=HYPERLINK("http://anyluxury.ru/shop/odezhda/trikotazhnye-shapki/shapka-real-talk-fioletovaya-54777/" , "547.77 Шапка Real Talk, сиреневая")</f>
      </c>
      <c r="C12477" s="4" t="n">
        <v>670.00</v>
      </c>
      <c r="D12477" s="4"/>
    </row>
    <row collapsed="" customFormat="false" customHeight="1" hidden="" ht="14" outlineLevel="0" r="12478">
      <c r="A12478" s="3" t="inlineStr">
        <is>
          <t>12436</t>
        </is>
      </c>
      <c r="B12478" s="4" t="s">
        <f>=HYPERLINK("http://anyluxury.ru/shop/odezhda/trikotazhnye-shapki/shapka-glenn-temnoseraya-2054711/" , "20547.11 Шапка Glenn, темно-серая")</f>
      </c>
      <c r="C12478" s="4" t="n">
        <v>1104.00</v>
      </c>
      <c r="D12478" s="4"/>
    </row>
    <row collapsed="" customFormat="false" customHeight="1" hidden="" ht="14" outlineLevel="0" r="12479">
      <c r="A12479" s="3" t="inlineStr">
        <is>
          <t>12437</t>
        </is>
      </c>
      <c r="B12479" s="4" t="s">
        <f>=HYPERLINK("http://anyluxury.ru/shop/odezhda/trikotazhnye-shapki/shapka-glenn-chernaya-2054730/" , "20547.30 Шапка Glenn, черная")</f>
      </c>
      <c r="C12479" s="4" t="n">
        <v>1104.00</v>
      </c>
      <c r="D12479" s="4"/>
    </row>
    <row collapsed="" customFormat="false" customHeight="1" hidden="" ht="14" outlineLevel="0" r="12480">
      <c r="A12480" s="3" t="inlineStr">
        <is>
          <t>12438</t>
        </is>
      </c>
      <c r="B12480" s="4" t="s">
        <f>=HYPERLINK("http://anyluxury.ru/shop/odezhda/trikotazhnye-shapki/shapka-heat-trick-svetloseriy-melanzh-1287510/" , "12875.10 Шапка Heat Trick, светло-серый меланж")</f>
      </c>
      <c r="C12480" s="4" t="n">
        <v>889.00</v>
      </c>
      <c r="D12480" s="4"/>
    </row>
    <row collapsed="" customFormat="false" customHeight="1" hidden="" ht="14" outlineLevel="0" r="12481">
      <c r="A12481" s="3" t="inlineStr">
        <is>
          <t>12439</t>
        </is>
      </c>
      <c r="B12481" s="4" t="s">
        <f>=HYPERLINK("http://anyluxury.ru/shop/odezhda/trikotazhnye-shapki/shapka-heat-trick-temnoseriy-melanzh-1287513/" , "12875.13 Шапка Heat Trick, серый меланж")</f>
      </c>
      <c r="C12481" s="4" t="n">
        <v>889.00</v>
      </c>
      <c r="D12481" s="4"/>
    </row>
    <row collapsed="" customFormat="false" customHeight="1" hidden="" ht="14" outlineLevel="0" r="12482">
      <c r="A12482" s="3" t="inlineStr">
        <is>
          <t>12440</t>
        </is>
      </c>
      <c r="B12482" s="4" t="s">
        <f>=HYPERLINK("http://anyluxury.ru/shop/odezhda/trikotazhnye-shapki/shapka-heat-trick-bezheviy-melanzh-1287516/" , "12875.16 Шапка Heat Trick, бежевый меланж")</f>
      </c>
      <c r="C12482" s="4" t="n">
        <v>890.00</v>
      </c>
      <c r="D12482" s="4"/>
    </row>
    <row collapsed="" customFormat="false" customHeight="1" hidden="" ht="14" outlineLevel="0" r="12483">
      <c r="A12483" s="3" t="inlineStr">
        <is>
          <t>12441</t>
        </is>
      </c>
      <c r="B12483" s="4" t="s">
        <f>=HYPERLINK("http://anyluxury.ru/shop/odezhda/trikotazhnye-shapki/shapka-heat-trick-siniy-melanzh-1287541/" , "12875.41 Шапка Heat Trick, синий меланж")</f>
      </c>
      <c r="C12483" s="4" t="n">
        <v>889.00</v>
      </c>
      <c r="D12483" s="4"/>
    </row>
    <row collapsed="" customFormat="false" customHeight="1" hidden="" ht="14" outlineLevel="0" r="12484">
      <c r="A12484" s="3" t="inlineStr">
        <is>
          <t>12442</t>
        </is>
      </c>
      <c r="B12484" s="4" t="s">
        <f>=HYPERLINK("http://anyluxury.ru/shop/odezhda/trikotazhnye-shapki/shapka-heat-trick-krasnaya-1287550/" , "12875.50 Шапка Heat Trick, красная")</f>
      </c>
      <c r="C12484" s="4" t="n">
        <v>889.00</v>
      </c>
      <c r="D12484" s="4"/>
    </row>
    <row collapsed="" customFormat="false" customHeight="1" hidden="" ht="14" outlineLevel="0" r="12485">
      <c r="A12485" s="3" t="inlineStr">
        <is>
          <t>12443</t>
        </is>
      </c>
      <c r="B12485" s="4" t="s">
        <f>=HYPERLINK("http://anyluxury.ru/shop/odezhda/trikotazhnye-shapki/shapka-heat-trick-molochnobelaya-1287560/" , "12875.60 Шапка Heat Trick, молочно-белая")</f>
      </c>
      <c r="C12485" s="4" t="n">
        <v>889.00</v>
      </c>
      <c r="D12485" s="4"/>
    </row>
    <row collapsed="" customFormat="false" customHeight="1" hidden="" ht="14" outlineLevel="0" r="12486">
      <c r="A12486" s="3" t="inlineStr">
        <is>
          <t>12444</t>
        </is>
      </c>
      <c r="B12486" s="4" t="s">
        <f>=HYPERLINK("http://anyluxury.ru/shop/odezhda/trikotazhnye-shapki/shapka-nordkapp-seraya-1440111/" , "14401.11 Шапка Nordkapp, серая")</f>
      </c>
      <c r="C12486" s="4" t="n">
        <v>604.00</v>
      </c>
      <c r="D12486" s="4"/>
    </row>
    <row collapsed="" customFormat="false" customHeight="1" hidden="" ht="14" outlineLevel="0" r="12487">
      <c r="A12487" s="3" t="inlineStr">
        <is>
          <t>12445</t>
        </is>
      </c>
      <c r="B12487" s="4" t="s">
        <f>=HYPERLINK("http://anyluxury.ru/shop/odezhda/trikotazhnye-shapki/shapka-nordkapp-chernaya-1440130/" , "14401.30 Шапка Nordkapp, черная")</f>
      </c>
      <c r="C12487" s="4" t="n">
        <v>604.00</v>
      </c>
      <c r="D12487" s="4"/>
    </row>
    <row collapsed="" customFormat="false" customHeight="1" hidden="" ht="14" outlineLevel="0" r="12488">
      <c r="A12488" s="3" t="inlineStr">
        <is>
          <t>12446</t>
        </is>
      </c>
      <c r="B12488" s="4" t="s">
        <f>=HYPERLINK("http://anyluxury.ru/shop/odezhda/trikotazhnye-shapki/shapka-nordkapp-temnosinyaya-1440140/" , "14401.40 Шапка Nordkapp, темно-синяя")</f>
      </c>
      <c r="C12488" s="4" t="n">
        <v>604.00</v>
      </c>
      <c r="D12488" s="4"/>
    </row>
    <row collapsed="" customFormat="false" customHeight="1" hidden="" ht="14" outlineLevel="0" r="12489">
      <c r="A12489" s="3" t="inlineStr">
        <is>
          <t>12447</t>
        </is>
      </c>
      <c r="B12489" s="4" t="s">
        <f>=HYPERLINK("http://anyluxury.ru/shop/odezhda/trikotazhnye-shapki/shapka-nordkapp-yarkosinyaya-1440144/" , "14401.44 Шапка Nordkapp, синяя")</f>
      </c>
      <c r="C12489" s="4" t="n">
        <v>604.00</v>
      </c>
      <c r="D12489" s="4"/>
    </row>
    <row collapsed="" customFormat="false" customHeight="1" hidden="" ht="14" outlineLevel="0" r="12490">
      <c r="A12490" s="3" t="inlineStr">
        <is>
          <t>12448</t>
        </is>
      </c>
      <c r="B12490" s="4" t="s">
        <f>=HYPERLINK("http://anyluxury.ru/shop/odezhda/trikotazhnye-shapki/shapka-nordkapp-krasnaya-1440150/" , "14401.50 Шапка Nordkapp, красная")</f>
      </c>
      <c r="C12490" s="4" t="n">
        <v>604.00</v>
      </c>
      <c r="D12490" s="4"/>
    </row>
    <row collapsed="" customFormat="false" customHeight="1" hidden="" ht="14" outlineLevel="0" r="12491">
      <c r="A12491" s="3" t="inlineStr">
        <is>
          <t>12449</t>
        </is>
      </c>
      <c r="B12491" s="4" t="s">
        <f>=HYPERLINK("http://anyluxury.ru/shop/odezhda/trikotazhnye-shapki/shapka-nordkapp-molochnobelaya-1440160/" , "14401.60 Шапка Nordkapp, молочно-белая")</f>
      </c>
      <c r="C12491" s="4" t="n">
        <v>604.00</v>
      </c>
      <c r="D12491" s="4"/>
    </row>
    <row collapsed="" customFormat="false" customHeight="1" hidden="" ht="14" outlineLevel="0" r="12492">
      <c r="A12492" s="3" t="inlineStr">
        <is>
          <t>12450</t>
        </is>
      </c>
      <c r="B12492" s="4" t="s">
        <f>=HYPERLINK("http://anyluxury.ru/shop/odezhda/trikotazhnye-shapki/balaklava-helma-chernaya-1239730/" , "12397.30 Шапка-балаклава Helma, черная")</f>
      </c>
      <c r="C12492" s="4" t="n">
        <v>806.00</v>
      </c>
      <c r="D12492" s="4"/>
    </row>
    <row collapsed="" customFormat="false" customHeight="1" hidden="" ht="14" outlineLevel="0" r="12493">
      <c r="A12493" s="3" t="inlineStr">
        <is>
          <t>12451</t>
        </is>
      </c>
      <c r="B12493" s="4" t="s">
        <f>=HYPERLINK("http://anyluxury.ru/shop/odezhda/trikotazhnye-shapki/shapka-cordelia-bezhevaya-1800200/" , "18002.00 Шапка Cordelia, бежевая")</f>
      </c>
      <c r="C12493" s="4" t="n">
        <v>1193.00</v>
      </c>
      <c r="D12493" s="4"/>
    </row>
    <row collapsed="" customFormat="false" customHeight="1" hidden="" ht="14" outlineLevel="0" r="12494">
      <c r="A12494" s="3" t="inlineStr">
        <is>
          <t>12452</t>
        </is>
      </c>
      <c r="B12494" s="4" t="s">
        <f>=HYPERLINK("http://anyluxury.ru/shop/odezhda/trikotazhnye-shapki/shapka-cordelia-chernaya-1800230/" , "18002.30 Шапка Cordelia, черная")</f>
      </c>
      <c r="C12494" s="4" t="n">
        <v>1193.00</v>
      </c>
      <c r="D12494" s="4"/>
    </row>
    <row collapsed="" customFormat="false" customHeight="1" hidden="" ht="14" outlineLevel="0" r="12495">
      <c r="A12495" s="3" t="inlineStr">
        <is>
          <t>12453</t>
        </is>
      </c>
      <c r="B12495" s="4" t="s">
        <f>=HYPERLINK("http://anyluxury.ru/shop/odezhda/trikotazhnye-shapki/shapka-cordelia-sinyaya-1800240/" , "18002.40 Шапка Cordelia, синяя")</f>
      </c>
      <c r="C12495" s="4" t="n">
        <v>1193.00</v>
      </c>
      <c r="D12495" s="4"/>
    </row>
    <row collapsed="" customFormat="false" customHeight="1" hidden="" ht="14" outlineLevel="0" r="12496">
      <c r="A12496" s="3" t="inlineStr">
        <is>
          <t>12454</t>
        </is>
      </c>
      <c r="B12496" s="4" t="s">
        <f>=HYPERLINK("http://anyluxury.ru/shop/odezhda/trikotazhnye-shapki/shapka-alpine-seraya-1800311/" , "18003.11 Шапка Alpine, серая")</f>
      </c>
      <c r="C12496" s="4" t="n">
        <v>1190.00</v>
      </c>
      <c r="D12496" s="4"/>
    </row>
    <row collapsed="" customFormat="false" customHeight="1" hidden="" ht="14" outlineLevel="0" r="12497">
      <c r="A12497" s="3" t="inlineStr">
        <is>
          <t>12455</t>
        </is>
      </c>
      <c r="B12497" s="4" t="s">
        <f>=HYPERLINK("http://anyluxury.ru/shop/odezhda/trikotazhnye-shapki/shapka-alpine-sinyaya-1800340/" , "18003.40 Шапка Alpine, синяя")</f>
      </c>
      <c r="C12497" s="4" t="n">
        <v>1190.00</v>
      </c>
      <c r="D12497" s="4"/>
    </row>
    <row collapsed="" customFormat="false" customHeight="1" hidden="" ht="14" outlineLevel="0" r="12498">
      <c r="A12498" s="3" t="inlineStr">
        <is>
          <t>12456</t>
        </is>
      </c>
      <c r="B12498" s="4" t="s">
        <f>=HYPERLINK("http://anyluxury.ru/shop/odezhda/trikotazhnye-shapki/shapka-alpine-belaya-1800360/" , "18003.60 Шапка Alpine, белая")</f>
      </c>
      <c r="C12498" s="4" t="n">
        <v>1190.00</v>
      </c>
      <c r="D12498" s="4"/>
    </row>
    <row collapsed="" customFormat="false" customHeight="1" hidden="" ht="14" outlineLevel="0" r="12499">
      <c r="A12499" s="3" t="inlineStr">
        <is>
          <t>12457</t>
        </is>
      </c>
      <c r="B12499" s="4" t="s">
        <f>=HYPERLINK("http://anyluxury.ru/shop/odezhda/trikotazhnye-shapki/shapka-life-explorer-rozovaya-1106015/" , "11060.15 Шапка Life Explorer, розовая")</f>
      </c>
      <c r="C12499" s="4" t="n">
        <v>592.00</v>
      </c>
      <c r="D12499" s="4"/>
    </row>
    <row collapsed="" customFormat="false" customHeight="1" hidden="" ht="14" outlineLevel="0" r="12500">
      <c r="A12500" s="3" t="inlineStr">
        <is>
          <t>12458</t>
        </is>
      </c>
      <c r="B12500" s="4" t="s">
        <f>=HYPERLINK("http://anyluxury.ru/shop/odezhda/trikotazhnye-shapki/shapka-nordkyn-siniy-melanzh-1045044/" , "10450.44 Шапка Nordkyn, синий меланж")</f>
      </c>
      <c r="C12500" s="4" t="n">
        <v>690.00</v>
      </c>
      <c r="D12500" s="4"/>
    </row>
    <row collapsed="" customFormat="false" customHeight="1" hidden="" ht="14" outlineLevel="0" r="12501">
      <c r="A12501" s="3" t="inlineStr">
        <is>
          <t>12459</t>
        </is>
      </c>
      <c r="B12501" s="4" t="s">
        <f>=HYPERLINK("http://anyluxury.ru/shop/odezhda/trikotazhnye-shapki/shapka-na-zakaz-tricksy-classic-akril-1881301/" , "18813.01 Шапка на заказ Tricksy Classic, акрил")</f>
      </c>
      <c r="C12501" s="4" t="n">
        <v>511.00</v>
      </c>
      <c r="D12501" s="4"/>
    </row>
    <row collapsed="" customFormat="false" customHeight="1" hidden="" ht="14" outlineLevel="0" r="12502">
      <c r="A12502" s="3" t="inlineStr">
        <is>
          <t>12460</t>
        </is>
      </c>
      <c r="B12502" s="4" t="s">
        <f>=HYPERLINK("http://anyluxury.ru/shop/odezhda/trikotazhnye-shapki/shapka-na-zakaz-tricksy-classic-polusherst-1881302/" , "18813.02 Шапка на заказ Tricksy Classic, полушерсть")</f>
      </c>
      <c r="C12502" s="4" t="n">
        <v>600.00</v>
      </c>
      <c r="D12502" s="4"/>
    </row>
    <row collapsed="" customFormat="false" customHeight="1" hidden="" ht="14" outlineLevel="0" r="12503">
      <c r="A12503" s="3" t="inlineStr">
        <is>
          <t>12461</t>
        </is>
      </c>
      <c r="B12503" s="4" t="s">
        <f>=HYPERLINK("http://anyluxury.ru/shop/odezhda/trikotazhnye-shapki/shapka-vozduh-sinyaya-1218744/" , "12187.44 Шапка Minima, синяя, размер 54")</f>
      </c>
      <c r="C12503" s="4" t="n">
        <v>690.00</v>
      </c>
      <c r="D12503" s="4"/>
    </row>
    <row collapsed="" customFormat="false" customHeight="1" hidden="" ht="14" outlineLevel="0" r="12504">
      <c r="A12504" s="3" t="inlineStr">
        <is>
          <t>12462</t>
        </is>
      </c>
      <c r="B12504" s="4" t="s">
        <f>=HYPERLINK("http://anyluxury.ru/shop/odezhda/trikotazhnye-shapki/shapka-vozduh-sinyaya-1218744/" , "12187.44 Шапка Minima, синяя, размер 58")</f>
      </c>
      <c r="C12504" s="4" t="n">
        <v>690.00</v>
      </c>
      <c r="D12504" s="4"/>
    </row>
    <row collapsed="" customFormat="false" customHeight="1" hidden="" ht="14" outlineLevel="0" r="12505">
      <c r="A12505" s="3" t="inlineStr">
        <is>
          <t>12463</t>
        </is>
      </c>
      <c r="B12505" s="4" t="s">
        <f>=HYPERLINK("http://anyluxury.ru/shop/odezhda/trikotazhnye-shapki/shapka-vozduh-krasnaya-1218755/" , "12187.55 Шапка Minima, красная, размер 54")</f>
      </c>
      <c r="C12505" s="4" t="n">
        <v>690.00</v>
      </c>
      <c r="D12505" s="4"/>
    </row>
    <row collapsed="" customFormat="false" customHeight="1" hidden="" ht="14" outlineLevel="0" r="12506">
      <c r="A12506" s="3" t="inlineStr">
        <is>
          <t>12464</t>
        </is>
      </c>
      <c r="B12506" s="4" t="s">
        <f>=HYPERLINK("http://anyluxury.ru/shop/odezhda/trikotazhnye-shapki/shapka-vozduh-krasnaya-1218755/" , "12187.55 Шапка Minima, красная, размер 58")</f>
      </c>
      <c r="C12506" s="4" t="n">
        <v>690.00</v>
      </c>
      <c r="D12506" s="4"/>
    </row>
    <row collapsed="" customFormat="false" customHeight="1" hidden="" ht="14" outlineLevel="0" r="12507">
      <c r="A12507" s="3" t="inlineStr">
        <is>
          <t>12465</t>
        </is>
      </c>
      <c r="B12507" s="4" t="s">
        <f>=HYPERLINK("http://anyluxury.ru/shop/odezhda/trikotazhnye-shapki/shapka-nordkyn-bordovaya-1045055/" , "10450.55 Шапка Nordkyn, бордовая")</f>
      </c>
      <c r="C12507" s="4" t="n">
        <v>690.00</v>
      </c>
      <c r="D12507" s="4"/>
    </row>
    <row collapsed="" customFormat="false" customHeight="1" hidden="" ht="14" outlineLevel="0" r="12508">
      <c r="A12508" s="3" t="inlineStr">
        <is>
          <t>12466</t>
        </is>
      </c>
      <c r="B12508" s="4" t="s">
        <f>=HYPERLINK("http://anyluxury.ru/shop/odezhda/trikotazhnye-shapki/shapka-nordkyn-zelenaya-olivkovaya-1045090/" , "10450.90 Шапка Nordkyn, зеленая (оливковая)")</f>
      </c>
      <c r="C12508" s="4" t="n">
        <v>690.00</v>
      </c>
      <c r="D12508" s="4"/>
    </row>
    <row collapsed="" customFormat="false" customHeight="1" hidden="" ht="14" outlineLevel="0" r="12509">
      <c r="A12509" s="3" t="inlineStr">
        <is>
          <t>12467</t>
        </is>
      </c>
      <c r="B12509" s="4" t="s">
        <f>=HYPERLINK("http://anyluxury.ru/shop/odezhda/trikotazhnye-shapki/shapka-snappy-temnoseraya-s-oranzhevim-7626121/" , "76261.21 Шапка Snappy, темно-серая с оранжевым")</f>
      </c>
      <c r="C12509" s="4" t="n">
        <v>807.00</v>
      </c>
      <c r="D12509" s="4"/>
    </row>
    <row collapsed="" customFormat="false" customHeight="1" hidden="" ht="14" outlineLevel="0" r="12510">
      <c r="A12510" s="3" t="inlineStr">
        <is>
          <t>12468</t>
        </is>
      </c>
      <c r="B12510" s="4" t="s">
        <f>=HYPERLINK("http://anyluxury.ru/shop/odezhda/trikotazhnye-shapki/shapka-snappy-belaya-s-chernim-7626136/" , "76261.36 Шапка Snappy, белая с черным")</f>
      </c>
      <c r="C12510" s="4" t="n">
        <v>807.00</v>
      </c>
      <c r="D12510" s="4"/>
    </row>
    <row collapsed="" customFormat="false" customHeight="1" hidden="" ht="14" outlineLevel="0" r="12511">
      <c r="A12511" s="3" t="inlineStr">
        <is>
          <t>12469</t>
        </is>
      </c>
      <c r="B12511" s="4" t="s">
        <f>=HYPERLINK("http://anyluxury.ru/shop/odezhda/trikotazhnye-shapki/shapka-snappy-biryuzovaya-s-sinim-7626144/" , "76261.44 Шапка Snappy, бирюзовая с синим")</f>
      </c>
      <c r="C12511" s="4" t="n">
        <v>807.00</v>
      </c>
      <c r="D12511" s="4"/>
    </row>
    <row collapsed="" customFormat="false" customHeight="1" hidden="" ht="14" outlineLevel="0" r="12512">
      <c r="A12512" s="3" t="inlineStr">
        <is>
          <t>12470</t>
        </is>
      </c>
      <c r="B12512" s="4" t="s">
        <f>=HYPERLINK("http://anyluxury.ru/shop/odezhda/trikotazhnye-shapki/shapka-snappy-rozovaya-fuksiya-s-sinim-7626145/" , "76261.45 Шапка Snappy, розовая (фуксия) с синим")</f>
      </c>
      <c r="C12512" s="4" t="n">
        <v>807.00</v>
      </c>
      <c r="D12512" s="4"/>
    </row>
    <row collapsed="" customFormat="false" customHeight="1" hidden="" ht="14" outlineLevel="0" r="12513">
      <c r="A12513" s="3" t="inlineStr">
        <is>
          <t>12471</t>
        </is>
      </c>
      <c r="B12513" s="4" t="s">
        <f>=HYPERLINK("http://anyluxury.ru/shop/odezhda/trikotazhnye-shapki/shapka-snappy-zheltaya-s-sinim-7626148/" , "76261.48 Шапка Snappy, желтая с синим")</f>
      </c>
      <c r="C12513" s="4" t="n">
        <v>807.00</v>
      </c>
      <c r="D12513" s="4"/>
    </row>
    <row collapsed="" customFormat="false" customHeight="1" hidden="" ht="14" outlineLevel="0" r="12514">
      <c r="A12514" s="3" t="inlineStr">
        <is>
          <t>12472</t>
        </is>
      </c>
      <c r="B12514" s="4" t="s">
        <f>=HYPERLINK("http://anyluxury.ru/shop/odezhda/trikotazhnye-shapki/shapka-snappy-zelenaya-s-sinim-7626149/" , "76261.49 Шапка Snappy, зеленая с синим")</f>
      </c>
      <c r="C12514" s="4" t="n">
        <v>807.00</v>
      </c>
      <c r="D12514" s="4"/>
    </row>
    <row collapsed="" customFormat="false" customHeight="1" hidden="" ht="14" outlineLevel="0" r="12515">
      <c r="A12515" s="3" t="inlineStr">
        <is>
          <t>12473</t>
        </is>
      </c>
      <c r="B12515" s="4" t="s">
        <f>=HYPERLINK("http://anyluxury.ru/shop/odezhda/trikotazhnye-shapki/shapka-snappy-svetloseraya-s-krasnim-7626151/" , "76261.51 Шапка Snappy, светло-серая с красным")</f>
      </c>
      <c r="C12515" s="4" t="n">
        <v>807.00</v>
      </c>
      <c r="D12515" s="4"/>
    </row>
    <row collapsed="" customFormat="false" customHeight="1" hidden="" ht="14" outlineLevel="0" r="12516">
      <c r="A12516" s="3" t="inlineStr">
        <is>
          <t>12474</t>
        </is>
      </c>
      <c r="B12516" s="4" t="s">
        <f>=HYPERLINK("http://anyluxury.ru/shop/odezhda/trikotazhnye-shapki/shapka-snappy-zheltaya-s-krasnim-7626158/" , "76261.58 Шапка Snappy, желтая с красным")</f>
      </c>
      <c r="C12516" s="4" t="n">
        <v>807.00</v>
      </c>
      <c r="D12516" s="4"/>
    </row>
    <row collapsed="" customFormat="false" customHeight="1" hidden="" ht="14" outlineLevel="0" r="12517">
      <c r="A12517" s="3" t="inlineStr">
        <is>
          <t>12475</t>
        </is>
      </c>
      <c r="B12517" s="4" t="s">
        <f>=HYPERLINK("http://anyluxury.ru/shop/odezhda/trikotazhnye-shapki/shapka-snappy-zelenaya-s-salatovim-7626199/" , "76261.99 Шапка Snappy, зеленая с салатовым")</f>
      </c>
      <c r="C12517" s="4" t="n">
        <v>807.00</v>
      </c>
      <c r="D12517" s="4"/>
    </row>
    <row collapsed="" customFormat="false" customHeight="1" hidden="" ht="14" outlineLevel="0" r="12518">
      <c r="A12518" s="3" t="inlineStr">
        <is>
          <t>12476</t>
        </is>
      </c>
      <c r="B12518" s="4" t="s">
        <f>=HYPERLINK("http://anyluxury.ru/shop/odezhda/trikotazhnye-shapki/shapka-franky-seraya-2055010/" , "20550.10 Шапка Franky, серая")</f>
      </c>
      <c r="C12518" s="4" t="n">
        <v>956.00</v>
      </c>
      <c r="D12518" s="4"/>
    </row>
    <row collapsed="" customFormat="false" customHeight="1" hidden="" ht="14" outlineLevel="0" r="12519">
      <c r="A12519" s="3" t="inlineStr">
        <is>
          <t>12477</t>
        </is>
      </c>
      <c r="B12519" s="4" t="s">
        <f>=HYPERLINK("http://anyluxury.ru/shop/odezhda/trikotazhnye-shapki/shapka-franky-oranzhevaya-2055020/" , "20550.20 Шапка Franky, оранжевая")</f>
      </c>
      <c r="C12519" s="4" t="n">
        <v>956.00</v>
      </c>
      <c r="D12519" s="4"/>
    </row>
    <row collapsed="" customFormat="false" customHeight="1" hidden="" ht="14" outlineLevel="0" r="12520">
      <c r="A12520" s="3" t="inlineStr">
        <is>
          <t>12478</t>
        </is>
      </c>
      <c r="B12520" s="4" t="s">
        <f>=HYPERLINK("http://anyluxury.ru/shop/odezhda/trikotazhnye-shapki/shapka-franky-chernaya-2055030/" , "20550.30 Шапка Franky, черная")</f>
      </c>
      <c r="C12520" s="4" t="n">
        <v>956.00</v>
      </c>
      <c r="D12520" s="4"/>
    </row>
    <row collapsed="" customFormat="false" customHeight="1" hidden="" ht="14" outlineLevel="0" r="12521">
      <c r="A12521" s="3" t="inlineStr">
        <is>
          <t>12479</t>
        </is>
      </c>
      <c r="B12521" s="4" t="s">
        <f>=HYPERLINK("http://anyluxury.ru/shop/odezhda/trikotazhnye-shapki/shapka-franky-sinyaya-vasilek-2055040/" , "20550.40 Шапка Franky, синяя (василек)")</f>
      </c>
      <c r="C12521" s="4" t="n">
        <v>956.00</v>
      </c>
      <c r="D12521" s="4"/>
    </row>
    <row collapsed="" customFormat="false" customHeight="1" hidden="" ht="14" outlineLevel="0" r="12522">
      <c r="A12522" s="3" t="inlineStr">
        <is>
          <t>12480</t>
        </is>
      </c>
      <c r="B12522" s="4" t="s">
        <f>=HYPERLINK("http://anyluxury.ru/shop/odezhda/trikotazhnye-shapki/shapka-franky-sinyaya-sapfir-2055044/" , "20550.44 Шапка Franky, синяя (сапфир)")</f>
      </c>
      <c r="C12522" s="4" t="n">
        <v>956.00</v>
      </c>
      <c r="D12522" s="4"/>
    </row>
    <row collapsed="" customFormat="false" customHeight="1" hidden="" ht="14" outlineLevel="0" r="12523">
      <c r="A12523" s="3" t="inlineStr">
        <is>
          <t>12481</t>
        </is>
      </c>
      <c r="B12523" s="4" t="s">
        <f>=HYPERLINK("http://anyluxury.ru/shop/odezhda/trikotazhnye-shapki/shapka-franky-krasnaya-2055050/" , "20550.50 Шапка Franky, красная")</f>
      </c>
      <c r="C12523" s="4" t="n">
        <v>956.00</v>
      </c>
      <c r="D12523" s="4"/>
    </row>
    <row collapsed="" customFormat="false" customHeight="1" hidden="" ht="14" outlineLevel="0" r="12524">
      <c r="A12524" s="3" t="inlineStr">
        <is>
          <t>12482</t>
        </is>
      </c>
      <c r="B12524" s="4" t="s">
        <f>=HYPERLINK("http://anyluxury.ru/shop/odezhda/trikotazhnye-shapki/shapka-franky-molochnobelaya-2055060/" , "20550.60 Шапка Franky, молочно-белая")</f>
      </c>
      <c r="C12524" s="4" t="n">
        <v>956.00</v>
      </c>
      <c r="D12524" s="4"/>
    </row>
    <row collapsed="" customFormat="false" customHeight="1" hidden="" ht="14" outlineLevel="0" r="12525">
      <c r="A12525" s="3" t="inlineStr">
        <is>
          <t>12483</t>
        </is>
      </c>
      <c r="B12525" s="4" t="s">
        <f>=HYPERLINK("http://anyluxury.ru/shop/odezhda/trikotazhnye-shapki/shapka-yong-oranzhevaya-2055120/" , "20551.20 Шапка Yong, оранжевая")</f>
      </c>
      <c r="C12525" s="4" t="n">
        <v>490.00</v>
      </c>
      <c r="D12525" s="4"/>
    </row>
    <row collapsed="" customFormat="false" customHeight="1" hidden="" ht="14" outlineLevel="0" r="12526">
      <c r="A12526" s="3" t="inlineStr">
        <is>
          <t>12484</t>
        </is>
      </c>
      <c r="B12526" s="4" t="s">
        <f>=HYPERLINK("http://anyluxury.ru/shop/odezhda/trikotazhnye-shapki/shapka-yong-chernaya-2055130/" , "20551.30 Шапка Yong, черная")</f>
      </c>
      <c r="C12526" s="4" t="n">
        <v>490.00</v>
      </c>
      <c r="D12526" s="4"/>
    </row>
    <row collapsed="" customFormat="false" customHeight="1" hidden="" ht="14" outlineLevel="0" r="12527">
      <c r="A12527" s="3" t="inlineStr">
        <is>
          <t>12485</t>
        </is>
      </c>
      <c r="B12527" s="4" t="s">
        <f>=HYPERLINK("http://anyluxury.ru/shop/odezhda/trikotazhnye-shapki/shapka-yong-sinyaya-2055140/" , "20551.40 Шапка Yong, синяя")</f>
      </c>
      <c r="C12527" s="4" t="n">
        <v>490.00</v>
      </c>
      <c r="D12527" s="4"/>
    </row>
    <row collapsed="" customFormat="false" customHeight="1" hidden="" ht="14" outlineLevel="0" r="12528">
      <c r="A12528" s="3" t="inlineStr">
        <is>
          <t>12486</t>
        </is>
      </c>
      <c r="B12528" s="4" t="s">
        <f>=HYPERLINK("http://anyluxury.ru/shop/odezhda/trikotazhnye-shapki/shapka-yong-krasnaya-2055150/" , "20551.50 Шапка Yong, красная (алая)")</f>
      </c>
      <c r="C12528" s="4" t="n">
        <v>490.00</v>
      </c>
      <c r="D12528" s="4"/>
    </row>
    <row collapsed="" customFormat="false" customHeight="1" hidden="" ht="14" outlineLevel="0" r="12529">
      <c r="A12529" s="3" t="inlineStr">
        <is>
          <t>12487</t>
        </is>
      </c>
      <c r="B12529" s="4" t="s">
        <f>=HYPERLINK("http://anyluxury.ru/shop/odezhda/trikotazhnye-shapki/shapka-yong-fioletovaya-2055174/" , "20551.74 Шапка Yong, фиолетовая")</f>
      </c>
      <c r="C12529" s="4" t="n">
        <v>490.00</v>
      </c>
      <c r="D12529" s="4"/>
    </row>
    <row collapsed="" customFormat="false" customHeight="1" hidden="" ht="14" outlineLevel="0" r="12530">
      <c r="A12530" s="3" t="inlineStr">
        <is>
          <t>12488</t>
        </is>
      </c>
      <c r="B12530" s="4" t="s">
        <f>=HYPERLINK("http://anyluxury.ru/shop/odezhda/trikotazhnye-shapki/shapka-yong-zheltaya-2055180/" , "20551.80 Шапка Yong, желтая")</f>
      </c>
      <c r="C12530" s="4" t="n">
        <v>490.00</v>
      </c>
      <c r="D12530" s="4"/>
    </row>
    <row collapsed="" customFormat="false" customHeight="1" hidden="" ht="14" outlineLevel="0" r="12531">
      <c r="A12531" s="3" t="inlineStr">
        <is>
          <t>12489</t>
        </is>
      </c>
      <c r="B12531" s="4" t="s">
        <f>=HYPERLINK("http://anyluxury.ru/shop/odezhda/trikotazhnye-shapki/shapka-yong-zelenaya-salatovaya-2055190/" , "20551.90 Шапка Yong, светло-зеленая (салатовая)")</f>
      </c>
      <c r="C12531" s="4" t="n">
        <v>490.00</v>
      </c>
      <c r="D12531" s="4"/>
    </row>
    <row collapsed="" customFormat="false" customHeight="1" hidden="" ht="14" outlineLevel="0" r="12532">
      <c r="A12532" s="3" t="inlineStr">
        <is>
          <t>12490</t>
        </is>
      </c>
      <c r="B12532" s="4" t="s">
        <f>=HYPERLINK("http://anyluxury.ru/shop/odezhda/trikotazhnye-shapki/shapka-norfold-svetloseriy-melanzh-2055210/" , "20552.10 Шапка Norfold, светло-серый меланж")</f>
      </c>
      <c r="C12532" s="4" t="n">
        <v>734.00</v>
      </c>
      <c r="D12532" s="4"/>
    </row>
    <row collapsed="" customFormat="false" customHeight="1" hidden="" ht="14" outlineLevel="0" r="12533">
      <c r="A12533" s="3" t="inlineStr">
        <is>
          <t>12491</t>
        </is>
      </c>
      <c r="B12533" s="4" t="s">
        <f>=HYPERLINK("http://anyluxury.ru/shop/odezhda/trikotazhnye-shapki/shapka-norfold-temnoseriy-melanzh-2055211/" , "20552.11 Шапка Norfold, темно-серый меланж")</f>
      </c>
      <c r="C12533" s="4" t="n">
        <v>734.00</v>
      </c>
      <c r="D12533" s="4"/>
    </row>
    <row collapsed="" customFormat="false" customHeight="1" hidden="" ht="14" outlineLevel="0" r="12534">
      <c r="A12534" s="3" t="inlineStr">
        <is>
          <t>12492</t>
        </is>
      </c>
      <c r="B12534" s="4" t="s">
        <f>=HYPERLINK("http://anyluxury.ru/shop/odezhda/trikotazhnye-shapki/shapka-norfold-siniy-melanzh-dzhins-2055243/" , "20552.43 Шапка Norfold, синий меланж (джинс)")</f>
      </c>
      <c r="C12534" s="4" t="n">
        <v>734.00</v>
      </c>
      <c r="D12534" s="4"/>
    </row>
    <row collapsed="" customFormat="false" customHeight="1" hidden="" ht="14" outlineLevel="0" r="12535">
      <c r="A12535" s="3" t="inlineStr">
        <is>
          <t>12493</t>
        </is>
      </c>
      <c r="B12535" s="4" t="s">
        <f>=HYPERLINK("http://anyluxury.ru/shop/odezhda/trikotazhnye-shapki/shapka-norfold-krasnaya-2055250/" , "20552.50 Шапка Norfold, красная")</f>
      </c>
      <c r="C12535" s="4" t="n">
        <v>734.00</v>
      </c>
      <c r="D12535" s="4"/>
    </row>
    <row collapsed="" customFormat="false" customHeight="1" hidden="" ht="14" outlineLevel="0" r="12536">
      <c r="A12536" s="3" t="inlineStr">
        <is>
          <t>12494</t>
        </is>
      </c>
      <c r="B12536" s="4" t="s">
        <f>=HYPERLINK("http://anyluxury.ru/shop/odezhda/trikotazhnye-shapki/shapka-norfold-molochnobelaya-2055260/" , "20552.60 Шапка Norfold, молочно-белая")</f>
      </c>
      <c r="C12536" s="4" t="n">
        <v>734.00</v>
      </c>
      <c r="D12536" s="4"/>
    </row>
    <row collapsed="" customFormat="false" customHeight="1" hidden="" ht="14" outlineLevel="0" r="12537">
      <c r="A12537" s="3" t="inlineStr">
        <is>
          <t>12495</t>
        </is>
      </c>
      <c r="B12537" s="4" t="s">
        <f>=HYPERLINK("http://anyluxury.ru/shop/odezhda/trikotazhnye-shapki/shapka-na-zakaz-tricksy-terra-net-akril-1881601/" , "18816.01 Шапка на заказ Tricksy Terra Net, акрил")</f>
      </c>
      <c r="C12537" s="4" t="n">
        <v>854.00</v>
      </c>
      <c r="D12537" s="4"/>
    </row>
    <row collapsed="" customFormat="false" customHeight="1" hidden="" ht="14" outlineLevel="0" r="12538">
      <c r="A12538" s="3" t="inlineStr">
        <is>
          <t>12496</t>
        </is>
      </c>
      <c r="B12538" s="4" t="s">
        <f>=HYPERLINK("http://anyluxury.ru/shop/odezhda/trikotazhnye-shapki/shapka-na-zakaz-tricksy-fullur-akril-1884301/" , "18843.01 Шапка на заказ Tricksy Fullur, акрил")</f>
      </c>
      <c r="C12538" s="4" t="n">
        <v>1111.00</v>
      </c>
      <c r="D12538" s="4"/>
    </row>
    <row collapsed="" customFormat="false" customHeight="1" hidden="" ht="14" outlineLevel="0" r="12539">
      <c r="A12539" s="3" t="inlineStr">
        <is>
          <t>12497</t>
        </is>
      </c>
      <c r="B12539" s="4" t="s">
        <f>=HYPERLINK("http://anyluxury.ru/shop/odezhda/trikotazhnye-shapki/shapka-na-zakaz-tricksy-fullur-polusherst-1884302/" , "18843.02 Шапка на заказ Tricksy Fullur, полушерсть")</f>
      </c>
      <c r="C12539" s="4" t="n">
        <v>1422.00</v>
      </c>
      <c r="D12539" s="4"/>
    </row>
    <row collapsed="" customFormat="false" customHeight="1" hidden="" ht="14" outlineLevel="0" r="12540">
      <c r="A12540" s="3" t="inlineStr">
        <is>
          <t>12498</t>
        </is>
      </c>
      <c r="B12540" s="4" t="s">
        <f>=HYPERLINK("http://anyluxury.ru/shop/odezhda/trikotazhnye-shapki/shapka-na-zakaz-salle-light-akril-1884001/" , "18840.01 Шапка на заказ Сalle Light, акрил")</f>
      </c>
      <c r="C12540" s="4" t="n">
        <v>709.00</v>
      </c>
      <c r="D12540" s="4"/>
    </row>
    <row collapsed="" customFormat="false" customHeight="1" hidden="" ht="14" outlineLevel="0" r="12541">
      <c r="A12541" s="3" t="inlineStr">
        <is>
          <t>12499</t>
        </is>
      </c>
      <c r="B12541" s="4" t="s">
        <f>=HYPERLINK("http://anyluxury.ru/shop/odezhda/trikotazhnye-shapki/shapka-na-zakaz-salle-light-polusherst-1884002/" , "18840.02 Шапка на заказ Сalle Light, полушерсть")</f>
      </c>
      <c r="C12541" s="4" t="n">
        <v>815.00</v>
      </c>
      <c r="D12541" s="4"/>
    </row>
    <row collapsed="" customFormat="false" customHeight="1" hidden="" ht="14" outlineLevel="0" r="12542">
      <c r="A12542" s="3" t="inlineStr">
        <is>
          <t>12500</t>
        </is>
      </c>
      <c r="B12542" s="4" t="s">
        <f>=HYPERLINK("http://anyluxury.ru/shop/odezhda/trikotazhnye-shapki/shapka-na-zakaz-salle-classic-akril-1881401/" , "18814.01 Шапка на заказ Сalle Classic, акрил")</f>
      </c>
      <c r="C12542" s="4" t="n">
        <v>1091.00</v>
      </c>
      <c r="D12542" s="4"/>
    </row>
    <row collapsed="" customFormat="false" customHeight="1" hidden="" ht="14" outlineLevel="0" r="12543">
      <c r="A12543" s="3" t="inlineStr">
        <is>
          <t>12501</t>
        </is>
      </c>
      <c r="B12543" s="4" t="s">
        <f>=HYPERLINK("http://anyluxury.ru/shop/odezhda/trikotazhnye-shapki/shapka-na-zakaz-salle-classic-polusherst-1881402/" , "18814.02 Шапка на заказ Сalle Classic, полушерсть")</f>
      </c>
      <c r="C12543" s="4" t="n">
        <v>1188.00</v>
      </c>
      <c r="D12543" s="4"/>
    </row>
    <row collapsed="" customFormat="false" customHeight="1" hidden="" ht="14" outlineLevel="0" r="12544">
      <c r="A12544" s="3" t="inlineStr">
        <is>
          <t>12502</t>
        </is>
      </c>
      <c r="B12544" s="4" t="s">
        <f>=HYPERLINK("http://anyluxury.ru/shop/odezhda/trikotazhnye-shapki/shapka-na-zakaz-tricksy-kipara-akril-1881501/" , "18815.01 Шапка на заказ Tricksy Kipara, акрил")</f>
      </c>
      <c r="C12544" s="4" t="n">
        <v>1813.00</v>
      </c>
      <c r="D12544" s="4"/>
    </row>
    <row collapsed="" customFormat="false" customHeight="1" hidden="" ht="14" outlineLevel="0" r="12545">
      <c r="A12545" s="3" t="inlineStr">
        <is>
          <t>12503</t>
        </is>
      </c>
      <c r="B12545" s="4" t="s">
        <f>=HYPERLINK("http://anyluxury.ru/shop/odezhda/trikotazhnye-shapki/shapka-capris-seraya-2008311/" , "20083.11 Шапка Capris, серая")</f>
      </c>
      <c r="C12545" s="4" t="n">
        <v>1496.00</v>
      </c>
      <c r="D12545" s="4"/>
    </row>
    <row collapsed="" customFormat="false" customHeight="1" hidden="" ht="14" outlineLevel="0" r="12546">
      <c r="A12546" s="3" t="inlineStr">
        <is>
          <t>12504</t>
        </is>
      </c>
      <c r="B12546" s="4" t="s">
        <f>=HYPERLINK("http://anyluxury.ru/shop/odezhda/trikotazhnye-shapki/shapka-capris-molochnobelaya-2008360/" , "20083.60 Шапка Capris, молочно-белая (ванильная)")</f>
      </c>
      <c r="C12546" s="4" t="n">
        <v>1496.00</v>
      </c>
      <c r="D12546" s="4"/>
    </row>
    <row collapsed="" customFormat="false" customHeight="1" hidden="" ht="14" outlineLevel="0" r="12547">
      <c r="A12547" s="3" t="inlineStr">
        <is>
          <t>12505</t>
        </is>
      </c>
      <c r="B12547" s="4" t="s">
        <f>=HYPERLINK("http://anyluxury.ru/shop/odezhda/trikotazhnye-shapki/shapka-capris-zheltaya-2008380/" , "20083.80 Шапка Capris, желтая")</f>
      </c>
      <c r="C12547" s="4" t="n">
        <v>1478.00</v>
      </c>
      <c r="D12547" s="4"/>
    </row>
    <row collapsed="" customFormat="false" customHeight="1" hidden="" ht="14" outlineLevel="0" r="12548">
      <c r="A12548" s="3" t="inlineStr">
        <is>
          <t>12506</t>
        </is>
      </c>
      <c r="B12548" s="4" t="s">
        <f>=HYPERLINK("http://anyluxury.ru/shop/odezhda/trikotazhnye-shapki/shapka-bernard-svetloseraya-2008516/" , "20085.16 Шапка Bernard, серый меланж")</f>
      </c>
      <c r="C12548" s="4" t="n">
        <v>1369.00</v>
      </c>
      <c r="D12548" s="4"/>
    </row>
    <row collapsed="" customFormat="false" customHeight="1" hidden="" ht="14" outlineLevel="0" r="12549">
      <c r="A12549" s="3" t="inlineStr">
        <is>
          <t>12507</t>
        </is>
      </c>
      <c r="B12549" s="4" t="s">
        <f>=HYPERLINK("http://anyluxury.ru/shop/odezhda/trikotazhnye-shapki/shapka-bernard-temnosinyaya-2008544/" , "20085.44 Шапка Bernard, темно-синяя")</f>
      </c>
      <c r="C12549" s="4" t="n">
        <v>1369.00</v>
      </c>
      <c r="D12549" s="4"/>
    </row>
    <row collapsed="" customFormat="false" customHeight="1" hidden="" ht="14" outlineLevel="0" r="12550">
      <c r="A12550" s="3" t="inlineStr">
        <is>
          <t>12508</t>
        </is>
      </c>
      <c r="B12550" s="4" t="s">
        <f>=HYPERLINK("http://anyluxury.ru/shop/odezhda/trikotazhnye-shapki/shapka-bernard-korichnevaya-terrakota-2008555/" , "20085.55 Шапка Bernard, коричневая (терракота)")</f>
      </c>
      <c r="C12550" s="4" t="n">
        <v>1369.00</v>
      </c>
      <c r="D12550" s="4"/>
    </row>
    <row collapsed="" customFormat="false" customHeight="1" hidden="" ht="14" outlineLevel="0" r="12551">
      <c r="A12551" s="3" t="inlineStr">
        <is>
          <t>12509</t>
        </is>
      </c>
      <c r="B12551" s="4" t="s">
        <f>=HYPERLINK("http://anyluxury.ru/shop/odezhda/trikotazhnye-shapki/shapka-bernard-molochnobelaya-2008560/" , "20085.60 Шапка Bernard, молочно-белая (ванильная)")</f>
      </c>
      <c r="C12551" s="4" t="n">
        <v>1369.00</v>
      </c>
      <c r="D12551" s="4"/>
    </row>
    <row collapsed="" customFormat="false" customHeight="1" hidden="" ht="14" outlineLevel="0" r="12552">
      <c r="A12552" s="3" t="inlineStr">
        <is>
          <t>12510</t>
        </is>
      </c>
      <c r="B12552" s="4" t="s">
        <f>=HYPERLINK("http://anyluxury.ru/shop/odezhda/trikotazhnye-shapki/shapka-na-zakaz-tricksy-vesh-akril-1883901/" , "18839.01 Шапка на заказ Tricksy Vesh, акрил")</f>
      </c>
      <c r="C12552" s="4" t="n">
        <v>1484.00</v>
      </c>
      <c r="D12552" s="4"/>
    </row>
    <row collapsed="" customFormat="false" customHeight="1" hidden="" ht="14" outlineLevel="0" r="12553">
      <c r="A12553" s="3" t="inlineStr">
        <is>
          <t>12511</t>
        </is>
      </c>
      <c r="B12553" s="4" t="s">
        <f>=HYPERLINK("http://anyluxury.ru/shop/odezhda/trikotazhnye-shapki/shapka-na-zakaz-tricksy-vesh-polusherst-1883902/" , "18839.02 Шапка на заказ Tricksy Vesh, полушерсть")</f>
      </c>
      <c r="C12553" s="4" t="n">
        <v>1553.00</v>
      </c>
      <c r="D12553" s="4"/>
    </row>
    <row collapsed="" customFormat="false" customHeight="1" hidden="" ht="14" outlineLevel="0" r="12554">
      <c r="A12554" s="3" t="inlineStr">
        <is>
          <t>12512</t>
        </is>
      </c>
      <c r="B12554" s="4" t="s">
        <f>=HYPERLINK("http://anyluxury.ru/shop/odezhda/trikotazhnye-shapki/shapka-na-zakaz-tricksy-kipara-polusherst-1881502/" , "18815.02 Шапка на заказ Tricksy Kipara, полушерсть")</f>
      </c>
      <c r="C12554" s="4" t="n">
        <v>2129.00</v>
      </c>
      <c r="D12554" s="4"/>
    </row>
    <row collapsed="" customFormat="false" customHeight="1" hidden="" ht="14" outlineLevel="0" r="12555">
      <c r="A12555" s="3" t="inlineStr">
        <is>
          <t>12513</t>
        </is>
      </c>
      <c r="B12555" s="4" t="s">
        <f>=HYPERLINK("http://anyluxury.ru/shop/odezhda/trikotazhnye-shapki/shapka-life-explorer-temnoseraya-grafit-1106013/" , "11060.13 Шапка Life Explorer, темно-серая (графит)")</f>
      </c>
      <c r="C12555" s="4" t="n">
        <v>592.00</v>
      </c>
      <c r="D12555" s="4"/>
    </row>
    <row collapsed="" customFormat="false" customHeight="1" hidden="" ht="14" outlineLevel="0" r="12556">
      <c r="A12556" s="3" t="inlineStr">
        <is>
          <t>12514</t>
        </is>
      </c>
      <c r="B12556" s="4" t="s">
        <f>=HYPERLINK("http://anyluxury.ru/shop/odezhda/trikotazhnye-shapki/shapka-franky-zheltaya-2055080/" , "20550.80 Шапка Franky, желтая")</f>
      </c>
      <c r="C12556" s="4" t="n">
        <v>956.00</v>
      </c>
      <c r="D12556" s="4"/>
    </row>
    <row collapsed="" customFormat="false" customHeight="1" hidden="" ht="14" outlineLevel="0" r="12557">
      <c r="A12557" s="3" t="inlineStr">
        <is>
          <t>12515</t>
        </is>
      </c>
      <c r="B12557" s="4" t="s">
        <f>=HYPERLINK("http://anyluxury.ru/shop/odezhda/trikotazhnye-shapki/shapka-franky-zelenaya-2055090/" , "20550.90 Шапка Franky, зеленая")</f>
      </c>
      <c r="C12557" s="4" t="n">
        <v>956.00</v>
      </c>
      <c r="D12557" s="4"/>
    </row>
    <row collapsed="" customFormat="false" customHeight="1" hidden="" ht="14" outlineLevel="0" r="12558">
      <c r="A12558" s="3" t="inlineStr">
        <is>
          <t>12516</t>
        </is>
      </c>
      <c r="B12558" s="4" t="s">
        <f>=HYPERLINK("http://anyluxury.ru/shop/odezhda/trikotazhnye-shapki/shapka-life-explorer-biryuzovaya-1106049/" , "11060.49 Шапка Life Explorer, бирюзовая")</f>
      </c>
      <c r="C12558" s="4" t="n">
        <v>592.00</v>
      </c>
      <c r="D12558" s="4"/>
    </row>
    <row collapsed="" customFormat="false" customHeight="1" hidden="" ht="14" outlineLevel="0" r="12559">
      <c r="A12559" s="3" t="inlineStr">
        <is>
          <t>12517</t>
        </is>
      </c>
      <c r="B12559" s="4" t="s">
        <f>=HYPERLINK("http://anyluxury.ru/shop/odezhda/trikotazhnye-shapki/shapka-snappy-sinyaya-s-zelenim-7626194/" , "76261.94 Шапка Snappy, синяя с зеленым")</f>
      </c>
      <c r="C12559" s="4" t="n">
        <v>807.00</v>
      </c>
      <c r="D12559" s="4"/>
    </row>
    <row collapsed="" customFormat="false" customHeight="1" hidden="" ht="14" outlineLevel="0" r="12560">
      <c r="A12560" s="3" t="inlineStr">
        <is>
          <t>12518</t>
        </is>
      </c>
      <c r="B12560" s="4" t="s">
        <f>=HYPERLINK("http://anyluxury.ru/shop/odezhda/trikotazhnye-shapki/shapka-yong-seraya-2055113/" , "20551.13 Шапка Yong, серая")</f>
      </c>
      <c r="C12560" s="4" t="n">
        <v>490.00</v>
      </c>
      <c r="D12560" s="4"/>
    </row>
    <row collapsed="" customFormat="false" customHeight="1" hidden="" ht="14" outlineLevel="0" r="12561">
      <c r="A12561" s="3" t="inlineStr">
        <is>
          <t>12519</t>
        </is>
      </c>
      <c r="B12561" s="4" t="s">
        <f>=HYPERLINK("http://anyluxury.ru/shop/odezhda/trikotazhnye-shapki/shapka-life-explorer-krasnooranzhevaya-1106025/" , "11060.25 Шапка Life Explorer, красно-оранжевая")</f>
      </c>
      <c r="C12561" s="4" t="n">
        <v>592.00</v>
      </c>
      <c r="D12561" s="4"/>
    </row>
    <row collapsed="" customFormat="false" customHeight="1" hidden="" ht="14" outlineLevel="0" r="12562">
      <c r="A12562" s="3" t="inlineStr">
        <is>
          <t>12520</t>
        </is>
      </c>
      <c r="B12562" s="4" t="s">
        <f>=HYPERLINK("http://anyluxury.ru/shop/odezhda/trikotazhnye-shapki/shapka-real-talk-svetlozheltaya-narciss-54781/" , "547.81 Шапка Real Talk, светло-желтая (нарцисс)")</f>
      </c>
      <c r="C12562" s="4" t="n">
        <v>670.00</v>
      </c>
      <c r="D12562" s="4"/>
    </row>
    <row collapsed="" customFormat="false" customHeight="1" hidden="" ht="14" outlineLevel="0" r="12563">
      <c r="A12563" s="3" t="inlineStr">
        <is>
          <t>12521</t>
        </is>
      </c>
      <c r="B12563" s="4" t="s">
        <f>=HYPERLINK("http://anyluxury.ru/shop/odezhda/trikotazhnye-shapki/shapka-hing-temnoseraya-grafit-1677613/" , "16776.13 Шапка Hinge, темно-серая (графит)")</f>
      </c>
      <c r="C12563" s="4" t="n">
        <v>557.00</v>
      </c>
      <c r="D12563" s="4"/>
    </row>
    <row collapsed="" customFormat="false" customHeight="1" hidden="" ht="14" outlineLevel="0" r="12564">
      <c r="A12564" s="3" t="inlineStr">
        <is>
          <t>12522</t>
        </is>
      </c>
      <c r="B12564" s="4" t="s">
        <f>=HYPERLINK("http://anyluxury.ru/shop/odezhda/trikotazhnye-shapki/shapka-hing-belaya-1677660/" , "16776.60 Шапка Hinge, белая")</f>
      </c>
      <c r="C12564" s="4" t="n">
        <v>557.00</v>
      </c>
      <c r="D12564" s="4"/>
    </row>
    <row collapsed="" customFormat="false" customHeight="1" hidden="" ht="14" outlineLevel="0" r="12565">
      <c r="A12565" s="3" t="inlineStr">
        <is>
          <t>12523</t>
        </is>
      </c>
      <c r="B12565" s="4" t="s">
        <f>=HYPERLINK("http://anyluxury.ru/shop/odezhda/trikotazhnye-shapki/shapka-hing-krasnaya-1677650/" , "16776.50 Шапка Hinge, красная")</f>
      </c>
      <c r="C12565" s="4" t="n">
        <v>557.00</v>
      </c>
      <c r="D12565" s="4"/>
    </row>
    <row collapsed="" customFormat="false" customHeight="1" hidden="" ht="14" outlineLevel="0" r="12566">
      <c r="A12566" s="3" t="inlineStr">
        <is>
          <t>12524</t>
        </is>
      </c>
      <c r="B12566" s="4" t="s">
        <f>=HYPERLINK("http://anyluxury.ru/shop/odezhda/trikotazhnye-shapki/shapka-hing-sinyaya-1677640/" , "16776.40 Шапка Hinge, синяя")</f>
      </c>
      <c r="C12566" s="4" t="n">
        <v>557.00</v>
      </c>
      <c r="D12566" s="4"/>
    </row>
    <row collapsed="" customFormat="false" customHeight="1" hidden="" ht="14" outlineLevel="0" r="12567">
      <c r="A12567" s="3" t="inlineStr">
        <is>
          <t>12525</t>
        </is>
      </c>
      <c r="B12567" s="4" t="s">
        <f>=HYPERLINK("http://anyluxury.ru/shop/odezhda/trikotazhnye-shapki/shapka-hing-chernaya-1677630/" , "16776.30 Шапка Hinge, черная")</f>
      </c>
      <c r="C12567" s="4" t="n">
        <v>557.00</v>
      </c>
      <c r="D12567" s="4"/>
    </row>
    <row collapsed="" customFormat="false" customHeight="1" hidden="" ht="14" outlineLevel="0" r="12568">
      <c r="A12568" s="3" t="inlineStr">
        <is>
          <t>12526</t>
        </is>
      </c>
      <c r="B12568" s="4" t="s">
        <f>=HYPERLINK("http://anyluxury.ru/shop/odezhda/trikotazhnye-shapki/shapka-real-rib-chernaya-1554730/" , "15547.30 Шапка Real Rib, черная")</f>
      </c>
      <c r="C12568" s="4" t="n">
        <v>790.00</v>
      </c>
      <c r="D12568" s="4"/>
    </row>
    <row collapsed="" customFormat="false" customHeight="1" hidden="" ht="14" outlineLevel="0" r="12569">
      <c r="A12569" s="3" t="inlineStr">
        <is>
          <t>12527</t>
        </is>
      </c>
      <c r="B12569" s="4" t="s">
        <f>=HYPERLINK("http://anyluxury.ru/shop/odezhda/trikotazhnye-shapki/shapka-real-rib-sinyaya-dzhins-1554744/" , "15547.44 Шапка Real Rib, синяя (джинс)")</f>
      </c>
      <c r="C12569" s="4" t="n">
        <v>790.00</v>
      </c>
      <c r="D12569" s="4"/>
    </row>
    <row collapsed="" customFormat="false" customHeight="1" hidden="" ht="14" outlineLevel="0" r="12570">
      <c r="A12570" s="3" t="inlineStr">
        <is>
          <t>12528</t>
        </is>
      </c>
      <c r="B12570" s="4" t="s">
        <f>=HYPERLINK("http://anyluxury.ru/shop/odezhda/trikotazhnye-shapki/shapka-real-rib-krasnooranzhevaya-1554756/" , "15547.56 Шапка Real Rib, красно-оранжевая")</f>
      </c>
      <c r="C12570" s="4" t="n">
        <v>790.00</v>
      </c>
      <c r="D12570" s="4"/>
    </row>
    <row collapsed="" customFormat="false" customHeight="1" hidden="" ht="14" outlineLevel="0" r="12571">
      <c r="A12571" s="3" t="inlineStr">
        <is>
          <t>12529</t>
        </is>
      </c>
      <c r="B12571" s="4" t="s">
        <f>=HYPERLINK("http://anyluxury.ru/shop/odezhda/trikotazhnye-shapki/shapka-real-rib-temnosinyaya-lazurnaya-1554749/" , "15547.49 Шапка Real Rib, темно-синяя (лазурная)")</f>
      </c>
      <c r="C12571" s="4" t="n">
        <v>670.00</v>
      </c>
      <c r="D12571" s="4"/>
    </row>
    <row collapsed="" customFormat="false" customHeight="1" hidden="" ht="14" outlineLevel="0" r="12572">
      <c r="A12572" s="3" t="inlineStr">
        <is>
          <t>12530</t>
        </is>
      </c>
      <c r="B12572" s="4" t="s">
        <f>=HYPERLINK("http://anyluxury.ru/shop/odezhda/trikotazhnye-shapki/shapka-real-rib-zelenaya-myatnaya-1554795/" , "15547.95 Шапка Real Rib, зеленая (мятная)")</f>
      </c>
      <c r="C12572" s="4" t="n">
        <v>790.00</v>
      </c>
      <c r="D12572" s="4"/>
    </row>
    <row collapsed="" customFormat="false" customHeight="1" hidden="" ht="14" outlineLevel="0" r="12573">
      <c r="A12573" s="3" t="inlineStr">
        <is>
          <t>12531</t>
        </is>
      </c>
      <c r="B12573" s="4" t="s">
        <f>=HYPERLINK("http://anyluxury.ru/shop/odezhda/trikotazhnye-shapki/shapka-real-rib-zheltaya-1554780/" , "15547.80 Шапка Real Rib, желтая")</f>
      </c>
      <c r="C12573" s="4" t="n">
        <v>790.00</v>
      </c>
      <c r="D12573" s="4"/>
    </row>
    <row collapsed="" customFormat="false" customHeight="1" hidden="" ht="14" outlineLevel="0" r="12574">
      <c r="A12574" s="3" t="inlineStr">
        <is>
          <t>12532</t>
        </is>
      </c>
      <c r="B12574" s="4" t="s">
        <f>=HYPERLINK("http://anyluxury.ru/shop/odezhda/trikotazhnye-shapki/shapka-real-talk-molochnaya-54762/" , "547.62 Шапка Real Talk, молочно-белая")</f>
      </c>
      <c r="C12574" s="4" t="n">
        <v>670.00</v>
      </c>
      <c r="D12574" s="4"/>
    </row>
    <row collapsed="" customFormat="false" customHeight="1" hidden="" ht="14" outlineLevel="0" r="12575">
      <c r="A12575" s="3" t="inlineStr">
        <is>
          <t>12533</t>
        </is>
      </c>
      <c r="B12575" s="4" t="s">
        <f>=HYPERLINK("http://anyluxury.ru/shop/odezhda/trikotazhnye-shapki/shapka-real-talk-zheltaya-54780/" , "547.80 Шапка Real Talk, желтая")</f>
      </c>
      <c r="C12575" s="4" t="n">
        <v>670.00</v>
      </c>
      <c r="D12575" s="4"/>
    </row>
    <row collapsed="" customFormat="false" customHeight="1" hidden="" ht="14" outlineLevel="0" r="12576">
      <c r="A12576" s="3" t="inlineStr">
        <is>
          <t>12534</t>
        </is>
      </c>
      <c r="B12576" s="4" t="s">
        <f>=HYPERLINK("http://anyluxury.ru/shop/odezhda/trikotazhnye-shapki/shapka-yong-rozovaya-2055115/" , "20551.15 Шапка Yong, розовая")</f>
      </c>
      <c r="C12576" s="4" t="n">
        <v>490.00</v>
      </c>
      <c r="D12576" s="4"/>
    </row>
    <row collapsed="" customFormat="false" customHeight="1" hidden="" ht="14" outlineLevel="0" r="12577">
      <c r="A12577" s="3" t="inlineStr">
        <is>
          <t>12535</t>
        </is>
      </c>
      <c r="B12577" s="4" t="s">
        <f>=HYPERLINK("http://anyluxury.ru/shop/odezhda/trikotazhnye-shapki/shapka-yong-golubaya-2055114/" , "20551.14 Шапка Yong, голубая")</f>
      </c>
      <c r="C12577" s="4" t="n">
        <v>490.00</v>
      </c>
      <c r="D12577" s="4"/>
    </row>
    <row collapsed="" customFormat="false" customHeight="1" hidden="" ht="14" outlineLevel="0" r="12578">
      <c r="A12578" s="3" t="inlineStr">
        <is>
          <t>12536</t>
        </is>
      </c>
      <c r="B12578" s="4" t="s">
        <f>=HYPERLINK("http://anyluxury.ru/shop/odezhda/trikotazhnye-shapki/shapka-yong-svetlozheltaya-2055186/" , "20551.86 Шапка Yong, светло-желтая")</f>
      </c>
      <c r="C12578" s="4" t="n">
        <v>490.00</v>
      </c>
      <c r="D12578" s="4"/>
    </row>
    <row collapsed="" customFormat="false" customHeight="1" hidden="" ht="14" outlineLevel="0" r="12579">
      <c r="A12579" s="3" t="inlineStr">
        <is>
          <t>12537</t>
        </is>
      </c>
      <c r="B12579" s="4" t="s">
        <f>=HYPERLINK("http://anyluxury.ru/shop/odezhda/trikotazhnye-shapki/shapka-yong-temnosinyaya-lazurnaya-2055144/" , "20551.44 Шапка Yong, темно-синяя (лазурная)")</f>
      </c>
      <c r="C12579" s="4" t="n">
        <v>490.00</v>
      </c>
      <c r="D12579" s="4"/>
    </row>
    <row collapsed="" customFormat="false" customHeight="1" hidden="" ht="14" outlineLevel="0" r="12580">
      <c r="A12580" s="3" t="inlineStr">
        <is>
          <t>12538</t>
        </is>
      </c>
      <c r="B12580" s="4" t="s">
        <f>=HYPERLINK("http://anyluxury.ru/shop/odezhda/trikotazhnye-shapki/shapka-real-rib-seraya-1554713/" , "15547.13 Шапка Real Rib, серая")</f>
      </c>
      <c r="C12580" s="4" t="n">
        <v>790.00</v>
      </c>
      <c r="D12580" s="4"/>
    </row>
    <row collapsed="" customFormat="false" customHeight="1" hidden="" ht="14" outlineLevel="0" r="12581">
      <c r="A12581" s="3" t="inlineStr">
        <is>
          <t>12539</t>
        </is>
      </c>
      <c r="B12581" s="4" t="s">
        <f>=HYPERLINK("http://anyluxury.ru/shop/odezhda/trikotazhnye-shapki/shapka-dalia-temnosinyaya-2002043/" , "20020.43 Шапка Dalia, темно-синяя")</f>
      </c>
      <c r="C12581" s="4" t="n">
        <v>897.00</v>
      </c>
      <c r="D12581" s="4"/>
    </row>
    <row collapsed="" customFormat="false" customHeight="1" hidden="" ht="14" outlineLevel="0" r="12582">
      <c r="A12582" s="3" t="inlineStr">
        <is>
          <t>12540</t>
        </is>
      </c>
      <c r="B12582" s="4" t="s">
        <f>=HYPERLINK("http://anyluxury.ru/shop/odezhda/trikotazhnye-shapki/shapka-dalia-temnokorichnevaya-2002059/" , "20020.59 Шапка Dalia, темно-коричневая")</f>
      </c>
      <c r="C12582" s="4" t="n">
        <v>880.00</v>
      </c>
      <c r="D12582" s="4"/>
    </row>
    <row collapsed="" customFormat="false" customHeight="1" hidden="" ht="14" outlineLevel="0" r="12583">
      <c r="A12583" s="3" t="inlineStr">
        <is>
          <t>12541</t>
        </is>
      </c>
      <c r="B12583" s="4" t="s">
        <f>=HYPERLINK("http://anyluxury.ru/shop/odezhda/trikotazhnye-shapki/shapka-dalia-krasnaya-2002050/" , "20020.50 Шапка Dalia, красная")</f>
      </c>
      <c r="C12583" s="4" t="n">
        <v>897.00</v>
      </c>
      <c r="D12583" s="4"/>
    </row>
    <row collapsed="" customFormat="false" customHeight="1" hidden="" ht="14" outlineLevel="0" r="12584">
      <c r="A12584" s="3" t="inlineStr">
        <is>
          <t>12542</t>
        </is>
      </c>
      <c r="B12584" s="4" t="s">
        <f>=HYPERLINK("http://anyluxury.ru/shop/odezhda/trikotazhnye-shapki/shapka-dalia-svetlokorichnevaya-2002055/" , "20020.55 Шапка Dalia, светло-коричневая")</f>
      </c>
      <c r="C12584" s="4" t="n">
        <v>880.00</v>
      </c>
      <c r="D12584" s="4"/>
    </row>
    <row collapsed="" customFormat="false" customHeight="1" hidden="" ht="14" outlineLevel="0" r="12585">
      <c r="A12585" s="3" t="inlineStr">
        <is>
          <t>12543</t>
        </is>
      </c>
      <c r="B12585" s="4" t="s">
        <f>=HYPERLINK("http://anyluxury.ru/shop/odezhda/trikotazhnye-shapki/shapka-nobilis-temnosinyaya-s-sinim-1909943/" , "19099.43 Шапка Nobilis, темно-синяя с синим")</f>
      </c>
      <c r="C12585" s="4" t="n">
        <v>1173.00</v>
      </c>
      <c r="D12585" s="4"/>
    </row>
    <row collapsed="" customFormat="false" customHeight="1" hidden="" ht="14" outlineLevel="0" r="12586">
      <c r="A12586" s="3" t="inlineStr">
        <is>
          <t>12544</t>
        </is>
      </c>
      <c r="B12586" s="4" t="s">
        <f>=HYPERLINK("http://anyluxury.ru/shop/odezhda/trikotazhnye-shapki/shapka-nobilis-biryuzovaya-s-terrakotovim-1909998/" , "19099.98 Шапка Nobilis, бирюзовая с терракотовым")</f>
      </c>
      <c r="C12586" s="4" t="n">
        <v>1173.00</v>
      </c>
      <c r="D12586" s="4"/>
    </row>
    <row collapsed="" customFormat="false" customHeight="1" hidden="" ht="14" outlineLevel="0" r="12587">
      <c r="A12587" s="3" t="inlineStr">
        <is>
          <t>12545</t>
        </is>
      </c>
      <c r="B12587" s="4" t="s">
        <f>=HYPERLINK("http://anyluxury.ru/shop/odezhda/trikotazhnye-shapki/shapka-nobilis-belaya-s-serim-1909961/" , "19099.61 Шапка Nobilis, белая с серым")</f>
      </c>
      <c r="C12587" s="4" t="n">
        <v>1173.00</v>
      </c>
      <c r="D12587" s="4"/>
    </row>
    <row collapsed="" customFormat="false" customHeight="1" hidden="" ht="14" outlineLevel="0" r="12588">
      <c r="A12588" s="3" t="inlineStr">
        <is>
          <t>12546</t>
        </is>
      </c>
      <c r="B12588" s="4" t="s">
        <f>=HYPERLINK("http://anyluxury.ru/shop/odezhda/trikotazhnye-shapki/shapka-nobilis-chernaya-s-serim-melanzhem-1909931/" , "19099.31 Шапка Nobilis, черная с серым меланжем")</f>
      </c>
      <c r="C12588" s="4" t="n">
        <v>1173.00</v>
      </c>
      <c r="D12588" s="4"/>
    </row>
    <row collapsed="" customFormat="false" customHeight="1" hidden="" ht="14" outlineLevel="0" r="12589">
      <c r="A12589" s="3" t="inlineStr">
        <is>
          <t>12547</t>
        </is>
      </c>
      <c r="B12589" s="4" t="s">
        <f>=HYPERLINK("http://anyluxury.ru/shop/odezhda/trikotazhnye-shapki/shapka-loren-molochnaya-1807760/" , "18077.60 Шапка Loren, молочно-белая (ванильная)")</f>
      </c>
      <c r="C12589" s="4" t="n">
        <v>1308.00</v>
      </c>
      <c r="D12589" s="4"/>
    </row>
    <row collapsed="" customFormat="false" customHeight="1" hidden="" ht="14" outlineLevel="0" r="12590">
      <c r="A12590" s="3" t="inlineStr">
        <is>
          <t>12548</t>
        </is>
      </c>
      <c r="B12590" s="4" t="s">
        <f>=HYPERLINK("http://anyluxury.ru/shop/odezhda/trikotazhnye-shapki/shapka-loren-seraya-1807710/" , "18077.10 Шапка Loren, серая")</f>
      </c>
      <c r="C12590" s="4" t="n">
        <v>1308.00</v>
      </c>
      <c r="D12590" s="4"/>
    </row>
    <row collapsed="" customFormat="false" customHeight="1" hidden="" ht="14" outlineLevel="0" r="12591">
      <c r="A12591" s="3" t="inlineStr">
        <is>
          <t>12549</t>
        </is>
      </c>
      <c r="B12591" s="4" t="s">
        <f>=HYPERLINK("http://anyluxury.ru/shop/odezhda/trikotazhnye-shapki/shapka-loren-korichnevaya-1807759/" , "18077.59 Шапка Loren, коричневая")</f>
      </c>
      <c r="C12591" s="4" t="n">
        <v>1308.00</v>
      </c>
      <c r="D12591" s="4"/>
    </row>
    <row collapsed="" customFormat="false" customHeight="1" hidden="" ht="14" outlineLevel="0" r="12592">
      <c r="A12592" s="3" t="inlineStr">
        <is>
          <t>12550</t>
        </is>
      </c>
      <c r="B12592" s="4" t="s">
        <f>=HYPERLINK("http://anyluxury.ru/shop/odezhda/trikotazhnye-shapki/shapka-nordvik-oranzhevaya-2045220/" , "20452.20 Шапка Nordvik, оранжевая")</f>
      </c>
      <c r="C12592" s="4" t="n">
        <v>626.00</v>
      </c>
      <c r="D12592" s="4"/>
    </row>
    <row collapsed="" customFormat="false" customHeight="1" hidden="" ht="14" outlineLevel="0" r="12593">
      <c r="A12593" s="3" t="inlineStr">
        <is>
          <t>12551</t>
        </is>
      </c>
      <c r="B12593" s="4" t="s">
        <f>=HYPERLINK("http://anyluxury.ru/shop/odezhda/trikotazhnye-shapki/shapka-nordvik-krasnaya-2045250/" , "20452.50 Шапка Nordvik, красная")</f>
      </c>
      <c r="C12593" s="4" t="n">
        <v>626.00</v>
      </c>
      <c r="D12593" s="4"/>
    </row>
    <row collapsed="" customFormat="false" customHeight="1" hidden="" ht="14" outlineLevel="0" r="12594">
      <c r="A12594" s="3" t="inlineStr">
        <is>
          <t>12552</t>
        </is>
      </c>
      <c r="B12594" s="4" t="s">
        <f>=HYPERLINK("http://anyluxury.ru/shop/odezhda/trikotazhnye-shapki/shapka-nordvik-seriy-melanzh-2045213/" , "20452.13 Шапка Nordvik, серый меланж")</f>
      </c>
      <c r="C12594" s="4" t="n">
        <v>626.00</v>
      </c>
      <c r="D12594" s="4"/>
    </row>
    <row collapsed="" customFormat="false" customHeight="1" hidden="" ht="14" outlineLevel="0" r="12595">
      <c r="A12595" s="3" t="inlineStr">
        <is>
          <t>12553</t>
        </is>
      </c>
      <c r="B12595" s="4" t="s">
        <f>=HYPERLINK("http://anyluxury.ru/shop/odezhda/trikotazhnye-shapki/shapka-nordvik-temnosinyaya-2045244/" , "20452.44 Шапка Nordvik, темно-синяя")</f>
      </c>
      <c r="C12595" s="4" t="n">
        <v>626.00</v>
      </c>
      <c r="D12595" s="4"/>
    </row>
    <row collapsed="" customFormat="false" customHeight="1" hidden="" ht="14" outlineLevel="0" r="12596">
      <c r="A12596" s="3" t="inlineStr">
        <is>
          <t>12554</t>
        </is>
      </c>
      <c r="B12596" s="4" t="s">
        <f>=HYPERLINK("http://anyluxury.ru/shop/odezhda/trikotazhnye-shapki/shapka-tommi-siniy-melanzh-1900740/" , "19007.40 Шапка Tommi, синий меланж")</f>
      </c>
      <c r="C12596" s="4" t="n">
        <v>1142.00</v>
      </c>
      <c r="D12596" s="4"/>
    </row>
    <row collapsed="" customFormat="false" customHeight="1" hidden="" ht="14" outlineLevel="0" r="12597">
      <c r="A12597" s="3" t="inlineStr">
        <is>
          <t>12555</t>
        </is>
      </c>
      <c r="B12597" s="4" t="s">
        <f>=HYPERLINK("http://anyluxury.ru/shop/odezhda/trikotazhnye-shapki/shapka-tommi-molochnobelaya-1900761/" , "19007.61 Шапка Tommi, молочно-белая")</f>
      </c>
      <c r="C12597" s="4" t="n">
        <v>1142.00</v>
      </c>
      <c r="D12597" s="4"/>
    </row>
    <row collapsed="" customFormat="false" customHeight="1" hidden="" ht="14" outlineLevel="0" r="12598">
      <c r="A12598" s="3" t="inlineStr">
        <is>
          <t>12556</t>
        </is>
      </c>
      <c r="B12598" s="4" t="s">
        <f>=HYPERLINK("http://anyluxury.ru/shop/odezhda/trikotazhnye-shapki/shapka-tommi-seriy-melanzh-1900713/" , "19007.13 Шапка Tommi, серый меланж")</f>
      </c>
      <c r="C12598" s="4" t="n">
        <v>1142.00</v>
      </c>
      <c r="D12598" s="4"/>
    </row>
    <row collapsed="" customFormat="false" customHeight="1" hidden="" ht="14" outlineLevel="0" r="12599">
      <c r="A12599" s="3" t="inlineStr">
        <is>
          <t>12557</t>
        </is>
      </c>
      <c r="B12599" s="4" t="s">
        <f>=HYPERLINK("http://anyluxury.ru/shop/odezhda/trikotazhnye-shapki/shapka-tommi-bezheviy-melanzh-1900716/" , "19007.16 Шапка Tommi, бежевый меланж")</f>
      </c>
      <c r="C12599" s="4" t="n">
        <v>1142.00</v>
      </c>
      <c r="D12599" s="4"/>
    </row>
    <row collapsed="" customFormat="false" customHeight="1" hidden="" ht="14" outlineLevel="0" r="12600">
      <c r="A12600" s="3" t="inlineStr">
        <is>
          <t>12558</t>
        </is>
      </c>
      <c r="B12600" s="4" t="s">
        <f>=HYPERLINK("http://anyluxury.ru/shop/odezhda/trikotazhnye-shapki/shapka-tommi-goluboy-melanzh-1900714/" , "19007.14 Шапка Tommi, голубой меланж")</f>
      </c>
      <c r="C12600" s="4" t="n">
        <v>1113.00</v>
      </c>
      <c r="D12600" s="4"/>
    </row>
    <row collapsed="" customFormat="false" customHeight="1" hidden="" ht="14" outlineLevel="0" r="12601">
      <c r="A12601" s="3" t="inlineStr">
        <is>
          <t>12559</t>
        </is>
      </c>
      <c r="B12601" s="4" t="s">
        <f>=HYPERLINK("http://anyluxury.ru/shop/odezhda/trikotazhnye-shapki/shapka-tommi-zelenaya-1900790/" , "19007.90 Шапка Tommi, зеленая")</f>
      </c>
      <c r="C12601" s="4" t="n">
        <v>1142.00</v>
      </c>
      <c r="D12601" s="4"/>
    </row>
    <row collapsed="" customFormat="false" customHeight="1" hidden="" ht="14" outlineLevel="0" r="12602">
      <c r="A12602" s="3" t="inlineStr">
        <is>
          <t>12560</t>
        </is>
      </c>
      <c r="B12602" s="4" t="s">
        <f>=HYPERLINK("http://anyluxury.ru/shop/odezhda/trikotazhnye-shapki/shapka-uni-chernaya-1855730/" , "18557.30 Шапка Uni, черная")</f>
      </c>
      <c r="C12602" s="4" t="n">
        <v>1104.00</v>
      </c>
      <c r="D12602" s="4"/>
    </row>
    <row collapsed="" customFormat="false" customHeight="1" hidden="" ht="14" outlineLevel="0" r="12603">
      <c r="A12603" s="3" t="inlineStr">
        <is>
          <t>12561</t>
        </is>
      </c>
      <c r="B12603" s="4" t="s">
        <f>=HYPERLINK("http://anyluxury.ru/shop/odezhda/trikotazhnye-shapki/shapka-uni-molochnobelaya-1855761/" , "18557.61 Шапка Uni, молочно-белая")</f>
      </c>
      <c r="C12603" s="4" t="n">
        <v>1104.00</v>
      </c>
      <c r="D12603" s="4"/>
    </row>
    <row collapsed="" customFormat="false" customHeight="1" hidden="" ht="14" outlineLevel="0" r="12604">
      <c r="A12604" s="3" t="inlineStr">
        <is>
          <t>12562</t>
        </is>
      </c>
      <c r="B12604" s="4" t="s">
        <f>=HYPERLINK("http://anyluxury.ru/shop/odezhda/trikotazhnye-shapki/shapka-uni-sinyaya-1855740/" , "18557.40 Шапка Uni, синяя")</f>
      </c>
      <c r="C12604" s="4" t="n">
        <v>1104.00</v>
      </c>
      <c r="D12604" s="4"/>
    </row>
    <row collapsed="" customFormat="false" customHeight="1" hidden="" ht="14" outlineLevel="0" r="12605">
      <c r="A12605" s="3" t="inlineStr">
        <is>
          <t>12563</t>
        </is>
      </c>
      <c r="B12605" s="4" t="s">
        <f>=HYPERLINK("http://anyluxury.ru/shop/odezhda/trikotazhnye-shapki/shapka-uni-seriy-melanzh-1855711/" , "18557.11 Шапка Uni, серый меланж")</f>
      </c>
      <c r="C12605" s="4" t="n">
        <v>1104.00</v>
      </c>
      <c r="D12605" s="4"/>
    </row>
    <row collapsed="" customFormat="false" customHeight="1" hidden="" ht="14" outlineLevel="0" r="12606">
      <c r="A12606" s="3" t="inlineStr">
        <is>
          <t>12564</t>
        </is>
      </c>
      <c r="B12606" s="4" t="s">
        <f>=HYPERLINK("http://anyluxury.ru/shop/odezhda/trikotazhnye-shapki/shapka-uni-korichnevaya-terrakota-1855755/" , "18557.55 Шапка Uni, коричневая (терракота)")</f>
      </c>
      <c r="C12606" s="4" t="n">
        <v>1104.00</v>
      </c>
      <c r="D12606" s="4"/>
    </row>
    <row collapsed="" customFormat="false" customHeight="1" hidden="" ht="14" outlineLevel="0" r="12607">
      <c r="A12607" s="3" t="inlineStr">
        <is>
          <t>12565</t>
        </is>
      </c>
      <c r="B12607" s="4" t="s">
        <f>=HYPERLINK("http://anyluxury.ru/shop/odezhda/trikotazhnye-shapki/shapka-uni-zheltaya-1855780/" , "18557.80 Шапка Uni, желтая")</f>
      </c>
      <c r="C12607" s="4" t="n">
        <v>1104.00</v>
      </c>
      <c r="D12607" s="4"/>
    </row>
    <row collapsed="" customFormat="false" customHeight="1" hidden="" ht="14" outlineLevel="0" r="12608">
      <c r="A12608" s="3" t="inlineStr">
        <is>
          <t>12566</t>
        </is>
      </c>
      <c r="B12608" s="4" t="s">
        <f>=HYPERLINK("http://anyluxury.ru/shop/odezhda/trikotazhnye-shapki/shapka-franky-temnosinyaya-lazurnaya-2055049/" , "20550.49 Шапка Franky, темно-синяя (лазурная)")</f>
      </c>
      <c r="C12608" s="4" t="n">
        <v>956.00</v>
      </c>
      <c r="D12608" s="4"/>
    </row>
    <row collapsed="" customFormat="false" customHeight="1" hidden="" ht="14" outlineLevel="0" r="12609">
      <c r="A12609" s="3" t="inlineStr">
        <is>
          <t>12567</t>
        </is>
      </c>
      <c r="B12609" s="4" t="s">
        <f>=HYPERLINK("http://anyluxury.ru/shop/odezhda/trikotazhnye-shapki/kaporkapyushon-zaliv-molochniy-1810060/" , "18100.60 Капор-капюшон Zaliv, молочный")</f>
      </c>
      <c r="C12609" s="4" t="n">
        <v>1660.00</v>
      </c>
      <c r="D12609" s="4"/>
    </row>
    <row collapsed="" customFormat="false" customHeight="1" hidden="" ht="14" outlineLevel="0" r="12610">
      <c r="A12610" s="3" t="inlineStr">
        <is>
          <t>12568</t>
        </is>
      </c>
      <c r="B12610" s="4" t="s">
        <f>=HYPERLINK("http://anyluxury.ru/shop/odezhda/trikotazhnye-shapki/shapka-headon-ver2-seriy-melanzh-1115612/" , "11156.12 Шапка HeadOn, ver.2, серый меланж")</f>
      </c>
      <c r="C12610" s="4" t="n">
        <v>420.00</v>
      </c>
      <c r="D12610" s="4"/>
    </row>
    <row collapsed="" customFormat="false" customHeight="1" hidden="" ht="14" outlineLevel="0" r="12611">
      <c r="A12611" s="3" t="inlineStr">
        <is>
          <t>12569</t>
        </is>
      </c>
      <c r="B12611" s="4" t="s">
        <f>=HYPERLINK("http://anyluxury.ru/shop/odezhda/trikotazhnye-shapki/shapka-headon-ver2-belaya-1115661/" , "11156.61 Шапка HeadOn, ver.2, белая")</f>
      </c>
      <c r="C12611" s="4" t="n">
        <v>420.00</v>
      </c>
      <c r="D12611" s="4"/>
    </row>
    <row collapsed="" customFormat="false" customHeight="1" hidden="" ht="14" outlineLevel="0" r="12612">
      <c r="A12612" s="3" t="inlineStr">
        <is>
          <t>12570</t>
        </is>
      </c>
      <c r="B12612" s="4" t="s">
        <f>=HYPERLINK("http://anyluxury.ru/shop/odezhda/trikotazhnye-shapki/shapka-headon-ver2-krasnaya-1115651/" , "11156.51 Шапка HeadOn, ver.2, красная")</f>
      </c>
      <c r="C12612" s="4" t="n">
        <v>420.00</v>
      </c>
      <c r="D12612" s="4"/>
    </row>
    <row collapsed="" customFormat="false" customHeight="1" hidden="" ht="14" outlineLevel="0" r="12613">
      <c r="A12613" s="3" t="inlineStr">
        <is>
          <t>12571</t>
        </is>
      </c>
      <c r="B12613" s="4" t="s">
        <f>=HYPERLINK("http://anyluxury.ru/shop/odezhda/trikotazhnye-shapki/shapka-headon-ver2-chernaya-1115631/" , "11156.31 Шапка HeadOn, ver.2, черная")</f>
      </c>
      <c r="C12613" s="4" t="n">
        <v>420.00</v>
      </c>
      <c r="D12613" s="4"/>
    </row>
    <row collapsed="" customFormat="false" customHeight="1" hidden="" ht="14" outlineLevel="0" r="12614">
      <c r="A12614" s="3" t="inlineStr">
        <is>
          <t>12572</t>
        </is>
      </c>
      <c r="B12614" s="4" t="s">
        <f>=HYPERLINK("http://anyluxury.ru/shop/odezhda/trikotazhnye-shapki/shapka-headon-ver2-yarkosinyaya-1115645/" , "11156.45 Шапка HeadOn, ver.2, ярко-синяя")</f>
      </c>
      <c r="C12614" s="4" t="n">
        <v>420.00</v>
      </c>
      <c r="D12614" s="4"/>
    </row>
    <row collapsed="" customFormat="false" customHeight="1" hidden="" ht="14" outlineLevel="0" r="12615">
      <c r="A12615" s="3" t="inlineStr">
        <is>
          <t>12573</t>
        </is>
      </c>
      <c r="B12615" s="4" t="s">
        <f>=HYPERLINK("http://anyluxury.ru/shop/odezhda/trikotazhnye-shapki/shapka-headon-ver2-temnosinyaya-1115642/" , "11156.42 Шапка HeadOn, ver.2, темно-синяя")</f>
      </c>
      <c r="C12615" s="4" t="n">
        <v>420.00</v>
      </c>
      <c r="D12615" s="4"/>
    </row>
    <row collapsed="" customFormat="false" customHeight="1" hidden="" ht="14" outlineLevel="0" r="12616">
      <c r="A12616" s="3" t="inlineStr">
        <is>
          <t>12574</t>
        </is>
      </c>
      <c r="B12616" s="4" t="s">
        <f>=HYPERLINK("http://anyluxury.ru/shop/odezhda/trikotazhnye-shapki/shapka-headon-ver2-zheltaya-1115680/" , "11156.80 Шапка HeadOn, ver.2, желтая")</f>
      </c>
      <c r="C12616" s="4" t="n">
        <v>420.00</v>
      </c>
      <c r="D12616" s="4"/>
    </row>
    <row collapsed="" customFormat="false" customHeight="1" hidden="" ht="14" outlineLevel="0" r="12617">
      <c r="A12617" s="3" t="inlineStr">
        <is>
          <t>12575</t>
        </is>
      </c>
      <c r="B12617" s="4" t="s">
        <f>=HYPERLINK("http://anyluxury.ru/shop/odezhda/trikotazhnye-shapki/shapka-headon-ver2-zelenaya-1115690/" , "11156.90 Шапка HeadOn, ver.2, зеленая")</f>
      </c>
      <c r="C12617" s="4" t="n">
        <v>420.00</v>
      </c>
      <c r="D12617" s="4"/>
    </row>
    <row collapsed="" customFormat="false" customHeight="1" hidden="" ht="14" outlineLevel="0" r="12618">
      <c r="A12618" s="3" t="inlineStr">
        <is>
          <t>12576</t>
        </is>
      </c>
      <c r="B12618" s="4" t="s">
        <f>=HYPERLINK("http://anyluxury.ru/shop/odezhda/trikotazhnye-shapki/shapka-headon-ver2-sirenevaya-1115677/" , "11156.77 Шапка HeadOn, ver.2, сиреневая")</f>
      </c>
      <c r="C12618" s="4" t="n">
        <v>420.00</v>
      </c>
      <c r="D12618" s="4"/>
    </row>
    <row collapsed="" customFormat="false" customHeight="1" hidden="" ht="14" outlineLevel="0" r="12619">
      <c r="A12619" s="3" t="inlineStr">
        <is>
          <t>12577</t>
        </is>
      </c>
      <c r="B12619" s="4" t="s">
        <f>=HYPERLINK("http://anyluxury.ru/shop/odezhda/trikotazhnye-shapki/shapka-headon-ver2-yarkorozovaya-1115657/" , "11156.57 Шапка HeadOn, ver.2, ярко-розовая")</f>
      </c>
      <c r="C12619" s="4" t="n">
        <v>420.00</v>
      </c>
      <c r="D12619" s="4"/>
    </row>
    <row collapsed="" customFormat="false" customHeight="1" hidden="" ht="14" outlineLevel="0" r="12620">
      <c r="A12620" s="3" t="inlineStr">
        <is>
          <t>12578</t>
        </is>
      </c>
      <c r="B12620" s="4" t="s">
        <f>=HYPERLINK("http://anyluxury.ru/shop/odezhda/trikotazhnye-shapki/shapka-nordkyn-chernaya-1045030/" , "10450.30 Шапка Nordkyn, черная")</f>
      </c>
      <c r="C12620" s="4" t="n">
        <v>690.00</v>
      </c>
      <c r="D12620" s="4"/>
    </row>
    <row collapsed="" customFormat="false" customHeight="1" hidden="" ht="14" outlineLevel="0" r="12621">
      <c r="A12621" s="3" t="inlineStr">
        <is>
          <t>12579</t>
        </is>
      </c>
      <c r="B12621" s="4" t="s">
        <f>=HYPERLINK("http://anyluxury.ru/shop/odezhda/trikotazhnye-shapki/balaklava-cappio-na-zakaz-akril-1899201/" , "18992.01 Балаклава Cappio на заказ, акрил")</f>
      </c>
      <c r="C12621" s="4" t="n">
        <v>811.00</v>
      </c>
      <c r="D12621" s="4"/>
    </row>
    <row collapsed="" customFormat="false" customHeight="1" hidden="" ht="14" outlineLevel="0" r="12622">
      <c r="A12622" s="3" t="inlineStr">
        <is>
          <t>12580</t>
        </is>
      </c>
      <c r="B12622" s="4" t="s">
        <f>=HYPERLINK("http://anyluxury.ru/shop/odezhda/trikotazhnye-shapki/shapka-headon-ver2-oranzhevaya-1115620/" , "11156.20 Шапка HeadOn, ver.2, оранжевая")</f>
      </c>
      <c r="C12622" s="4" t="n">
        <v>420.00</v>
      </c>
      <c r="D12622" s="4"/>
    </row>
    <row collapsed="" customFormat="false" customHeight="1" hidden="" ht="14" outlineLevel="0" r="12623">
      <c r="A12623" s="3" t="inlineStr">
        <is>
          <t>12581</t>
        </is>
      </c>
      <c r="B12623" s="4" t="s">
        <f>=HYPERLINK("http://anyluxury.ru/shop/odezhda/trikotazhnye-shapki/shapka-joyful-na-zakaz-akril-1901401/" , "19014.01 Шапка Joyful на заказ, акрил")</f>
      </c>
      <c r="C12623" s="4" t="n">
        <v>1097.00</v>
      </c>
      <c r="D12623" s="4"/>
    </row>
    <row collapsed="" customFormat="false" customHeight="1" hidden="" ht="14" outlineLevel="0" r="12624">
      <c r="A12624" s="3" t="inlineStr">
        <is>
          <t>12582</t>
        </is>
      </c>
      <c r="B12624" s="4" t="s">
        <f>=HYPERLINK("http://anyluxury.ru/shop/odezhda/trikotazhnye-shapki/shapka-joyful-na-zakaz-polusherst-1901402/" , "19014.02 Шапка Joyful на заказ, полушерсть")</f>
      </c>
      <c r="C12624" s="4" t="n">
        <v>1387.00</v>
      </c>
      <c r="D12624" s="4"/>
    </row>
    <row collapsed="" customFormat="false" customHeight="1" hidden="" ht="14" outlineLevel="0" r="12625">
      <c r="A12625" s="3" t="inlineStr">
        <is>
          <t>12583</t>
        </is>
      </c>
      <c r="B12625" s="4" t="s">
        <f>=HYPERLINK("http://anyluxury.ru/shop/odezhda/trikotazhnye-shapki/shapka-life-explorer-molochnobelaya-1106060/" , "11060.60 Шапка Life Explorer, молочно-белая")</f>
      </c>
      <c r="C12625" s="4" t="n">
        <v>592.00</v>
      </c>
      <c r="D12625" s="4"/>
    </row>
    <row collapsed="" customFormat="false" customHeight="1" hidden="" ht="14" outlineLevel="0" r="12626">
      <c r="A12626" s="3" t="inlineStr">
        <is>
          <t>12584</t>
        </is>
      </c>
      <c r="B12626" s="4" t="s">
        <f>=HYPERLINK("http://anyluxury.ru/shop/odezhda/trikotazhnye-shapki/shapka-hey-sinyaya-chernika-1900944/" , "19009.44 Шапка Hey, синяя (черника)")</f>
      </c>
      <c r="C12626" s="4" t="n">
        <v>698.00</v>
      </c>
      <c r="D12626" s="4"/>
    </row>
    <row collapsed="" customFormat="false" customHeight="1" hidden="" ht="14" outlineLevel="0" r="12627">
      <c r="A12627" s="3" t="inlineStr">
        <is>
          <t>12585</t>
        </is>
      </c>
      <c r="B12627" s="4" t="s">
        <f>=HYPERLINK("http://anyluxury.ru/shop/odezhda/trikotazhnye-shapki/shapka-hey-chernaya-1900930/" , "19009.30 Шапка Hey, черная")</f>
      </c>
      <c r="C12627" s="4" t="n">
        <v>698.00</v>
      </c>
      <c r="D12627" s="4"/>
    </row>
    <row collapsed="" customFormat="false" customHeight="1" hidden="" ht="14" outlineLevel="0" r="12628">
      <c r="A12628" s="3" t="inlineStr">
        <is>
          <t>12586</t>
        </is>
      </c>
      <c r="B12628" s="4" t="s">
        <f>=HYPERLINK("http://anyluxury.ru/shop/odezhda/trikotazhnye-shapki/shapka-hey-krasnooranzhevaya-karmin-1900956/" , "19009.56 Шапка Hey, красно-оранжевая (кармин)")</f>
      </c>
      <c r="C12628" s="4" t="n">
        <v>698.00</v>
      </c>
      <c r="D12628" s="4"/>
    </row>
    <row collapsed="" customFormat="false" customHeight="1" hidden="" ht="14" outlineLevel="0" r="12629">
      <c r="A12629" s="3" t="inlineStr">
        <is>
          <t>12587</t>
        </is>
      </c>
      <c r="B12629" s="4" t="s">
        <f>=HYPERLINK("http://anyluxury.ru/shop/odezhda/trikotazhnye-shapki/shapka-hey-zheltaya-narciss-1900980/" , "19009.80 Шапка Hey, желтая (нарцисс)")</f>
      </c>
      <c r="C12629" s="4" t="n">
        <v>698.00</v>
      </c>
      <c r="D12629" s="4"/>
    </row>
    <row collapsed="" customFormat="false" customHeight="1" hidden="" ht="14" outlineLevel="0" r="12630">
      <c r="A12630" s="3" t="inlineStr">
        <is>
          <t>12588</t>
        </is>
      </c>
      <c r="B12630" s="4" t="s">
        <f>=HYPERLINK("http://anyluxury.ru/shop/odezhda/trikotazhnye-shapki/shapka-urbanite-zheltaya-limonnaya-1662988/" , "16629.88 Шапка Urbanite, желтая (лимонная)")</f>
      </c>
      <c r="C12630" s="4" t="n">
        <v>669.00</v>
      </c>
      <c r="D12630" s="4"/>
    </row>
    <row collapsed="" customFormat="false" customHeight="1" hidden="" ht="14" outlineLevel="0" r="12631">
      <c r="A12631" s="3" t="inlineStr">
        <is>
          <t>12589</t>
        </is>
      </c>
      <c r="B12631" s="4" t="s">
        <f>=HYPERLINK("http://anyluxury.ru/shop/odezhda/trikotazhnye-shapki/shapka-urbanite-sinyaya-1662947/" , "16629.47 Шапка Urbanite, синяя")</f>
      </c>
      <c r="C12631" s="4" t="n">
        <v>669.00</v>
      </c>
      <c r="D12631" s="4"/>
    </row>
    <row collapsed="" customFormat="false" customHeight="1" hidden="" ht="14" outlineLevel="0" r="12632">
      <c r="A12632" s="3" t="inlineStr">
        <is>
          <t>12590</t>
        </is>
      </c>
      <c r="B12632" s="4" t="s">
        <f>=HYPERLINK("http://anyluxury.ru/shop/odezhda/trikotazhnye-shapki/shapka-urbanite-zelenaya-olivkovaya-1662990/" , "16629.90 Шапка Urbanite, зеленая (оливковая)")</f>
      </c>
      <c r="C12632" s="4" t="n">
        <v>669.00</v>
      </c>
      <c r="D12632" s="4"/>
    </row>
    <row collapsed="" customFormat="false" customHeight="1" hidden="" ht="14" outlineLevel="0" r="12633">
      <c r="A12633" s="3" t="inlineStr">
        <is>
          <t>12591</t>
        </is>
      </c>
      <c r="B12633" s="4" t="s">
        <f>=HYPERLINK("http://anyluxury.ru/shop/odezhda/trikotazhnye-shapki/shapka-urbanite-bezhevaya-1662912/" , "16629.12 Шапка Urbanite, бежевая")</f>
      </c>
      <c r="C12633" s="4" t="n">
        <v>669.00</v>
      </c>
      <c r="D12633" s="4"/>
    </row>
    <row collapsed="" customFormat="false" customHeight="1" hidden="" ht="14" outlineLevel="0" r="12634">
      <c r="A12634" s="3" t="inlineStr">
        <is>
          <t>12592</t>
        </is>
      </c>
      <c r="B12634" s="4" t="s">
        <f>=HYPERLINK("http://anyluxury.ru/shop/odezhda/trikotazhnye-shapki/shapka-urbanite-krasnaya-1662950/" , "16629.50 Шапка Urbanite, красная")</f>
      </c>
      <c r="C12634" s="4" t="n">
        <v>669.00</v>
      </c>
      <c r="D12634" s="4"/>
    </row>
    <row collapsed="" customFormat="false" customHeight="1" hidden="" ht="14" outlineLevel="0" r="12635">
      <c r="A12635" s="3" t="inlineStr">
        <is>
          <t>12593</t>
        </is>
      </c>
      <c r="B12635" s="4" t="s">
        <f>=HYPERLINK("http://anyluxury.ru/shop/odezhda/trikotazhnye-shapki/shapka-urbanite-zelenaya-myatnaya-1662995/" , "16629.95 Шапка Urbanite, зеленая (мятная)")</f>
      </c>
      <c r="C12635" s="4" t="n">
        <v>669.00</v>
      </c>
      <c r="D12635" s="4"/>
    </row>
    <row collapsed="" customFormat="false" customHeight="1" hidden="" ht="14" outlineLevel="0" r="12636">
      <c r="A12636" s="3" t="inlineStr">
        <is>
          <t>12594</t>
        </is>
      </c>
      <c r="B12636" s="4" t="s">
        <f>=HYPERLINK("http://anyluxury.ru/shop/odezhda/trikotazhnye-shapki/shapka-urbanite-molochnobelaya-1662961/" , "16629.61 Шапка Urbanite, молочно-белая")</f>
      </c>
      <c r="C12636" s="4" t="n">
        <v>669.00</v>
      </c>
      <c r="D12636" s="4"/>
    </row>
    <row collapsed="" customFormat="false" customHeight="1" hidden="" ht="14" outlineLevel="0" r="12637">
      <c r="A12637" s="3" t="inlineStr">
        <is>
          <t>12595</t>
        </is>
      </c>
      <c r="B12637" s="4" t="s">
        <f>=HYPERLINK("http://anyluxury.ru/shop/odezhda/trikotazhnye-shapki/shapka-hipsta-zelenaya-myatnaya-1569190/" , "15691.90 Шапка Hipsta, зеленая (мятная)")</f>
      </c>
      <c r="C12637" s="4" t="n">
        <v>609.00</v>
      </c>
      <c r="D12637" s="4"/>
    </row>
    <row collapsed="" customFormat="false" customHeight="1" hidden="" ht="14" outlineLevel="0" r="12638">
      <c r="A12638" s="3" t="inlineStr">
        <is>
          <t>12596</t>
        </is>
      </c>
      <c r="B12638" s="4" t="s">
        <f>=HYPERLINK("http://anyluxury.ru/shop/odezhda/trikotazhnye-shapki/shapka-hipsta-zheltaya-1569180/" , "15691.80 Шапка Hipsta, желтая")</f>
      </c>
      <c r="C12638" s="4" t="n">
        <v>609.00</v>
      </c>
      <c r="D12638" s="4"/>
    </row>
    <row collapsed="" customFormat="false" customHeight="1" hidden="" ht="14" outlineLevel="0" r="12639">
      <c r="A12639" s="3" t="inlineStr">
        <is>
          <t>12597</t>
        </is>
      </c>
      <c r="B12639" s="4" t="s">
        <f>=HYPERLINK("http://anyluxury.ru/shop/odezhda/trikotazhnye-shapki/shapka-hipsta-sinyaya-vasilek-1569140/" , "15691.40 Шапка Hipsta, синяя (василек)")</f>
      </c>
      <c r="C12639" s="4" t="n">
        <v>609.00</v>
      </c>
      <c r="D12639" s="4"/>
    </row>
    <row collapsed="" customFormat="false" customHeight="1" hidden="" ht="14" outlineLevel="0" r="12640">
      <c r="A12640" s="3" t="inlineStr">
        <is>
          <t>12598</t>
        </is>
      </c>
      <c r="B12640" s="4" t="s">
        <f>=HYPERLINK("http://anyluxury.ru/shop/odezhda/trikotazhnye-shapki/shapka-hipsta-biryuzovaya-tiffani-1569149/" , "15691.49 Шапка Hipsta, бирюзовая (тиффани)")</f>
      </c>
      <c r="C12640" s="4" t="n">
        <v>609.00</v>
      </c>
      <c r="D12640" s="4"/>
    </row>
    <row collapsed="" customFormat="false" customHeight="1" hidden="" ht="14" outlineLevel="0" r="12641">
      <c r="A12641" s="3" t="inlineStr">
        <is>
          <t>12599</t>
        </is>
      </c>
      <c r="B12641" s="4" t="s">
        <f>=HYPERLINK("http://anyluxury.ru/shop/odezhda/trikotazhnye-shapki/shapka-hipsta-svetloseraya-1569111/" , "15691.11 Шапка Hipsta, светло-серая")</f>
      </c>
      <c r="C12641" s="4" t="n">
        <v>609.00</v>
      </c>
      <c r="D12641" s="4"/>
    </row>
    <row collapsed="" customFormat="false" customHeight="1" hidden="" ht="14" outlineLevel="0" r="12642">
      <c r="A12642" s="3" t="inlineStr">
        <is>
          <t>12600</t>
        </is>
      </c>
      <c r="B12642" s="4" t="s">
        <f>=HYPERLINK("http://anyluxury.ru/shop/odezhda/trikotazhnye-shapki/shapka-flette-zheltaya-1569280/" , "15692.80 Шапка Flette, желтая")</f>
      </c>
      <c r="C12642" s="4" t="n">
        <v>1018.00</v>
      </c>
      <c r="D12642" s="4"/>
    </row>
    <row collapsed="" customFormat="false" customHeight="1" hidden="" ht="14" outlineLevel="0" r="12643">
      <c r="A12643" s="3" t="inlineStr">
        <is>
          <t>12601</t>
        </is>
      </c>
      <c r="B12643" s="4" t="s">
        <f>=HYPERLINK("http://anyluxury.ru/shop/odezhda/trikotazhnye-shapki/shapka-flette-sinyaya-vasilek-1569240/" , "15692.40 Шапка Flette, синяя (василек)")</f>
      </c>
      <c r="C12643" s="4" t="n">
        <v>1018.00</v>
      </c>
      <c r="D12643" s="4"/>
    </row>
    <row collapsed="" customFormat="false" customHeight="1" hidden="" ht="14" outlineLevel="0" r="12644">
      <c r="A12644" s="3" t="inlineStr">
        <is>
          <t>12602</t>
        </is>
      </c>
      <c r="B12644" s="4" t="s">
        <f>=HYPERLINK("http://anyluxury.ru/shop/odezhda/trikotazhnye-shapki/shapka-flette-zelenaya-1569290/" , "15692.90 Шапка Flette, зеленая")</f>
      </c>
      <c r="C12644" s="4" t="n">
        <v>1018.00</v>
      </c>
      <c r="D12644" s="4"/>
    </row>
    <row collapsed="" customFormat="false" customHeight="1" hidden="" ht="14" outlineLevel="0" r="12645">
      <c r="A12645" s="3" t="inlineStr">
        <is>
          <t>12603</t>
        </is>
      </c>
      <c r="B12645" s="4" t="s">
        <f>=HYPERLINK("http://anyluxury.ru/shop/odezhda/trikotazhnye-shapki/shapka-flette-oranzhevaya-apelsin-1569220/" , "15692.20 Шапка Flette, оранжевая (апельсин)")</f>
      </c>
      <c r="C12645" s="4" t="n">
        <v>1018.00</v>
      </c>
      <c r="D12645" s="4"/>
    </row>
    <row collapsed="" customFormat="false" customHeight="1" hidden="" ht="14" outlineLevel="0" r="12646">
      <c r="A12646" s="3" t="inlineStr">
        <is>
          <t>12604</t>
        </is>
      </c>
      <c r="B12646" s="4" t="s">
        <f>=HYPERLINK("http://anyluxury.ru/shop/odezhda/trikotazhnye-shapki/shapka-flette-chernaya-1569230/" , "15692.30 Шапка Flette, черная")</f>
      </c>
      <c r="C12646" s="4" t="n">
        <v>1018.00</v>
      </c>
      <c r="D12646" s="4"/>
    </row>
    <row collapsed="" customFormat="false" customHeight="1" hidden="" ht="14" outlineLevel="0" r="12647">
      <c r="A12647" s="3" t="inlineStr">
        <is>
          <t>12605</t>
        </is>
      </c>
      <c r="B12647" s="4" t="s">
        <f>=HYPERLINK("http://anyluxury.ru/shop/odezhda/trikotazhnye-shapki/shapka-flette-krasnaya-alaya-1569250/" , "15692.50 Шапка Flette, красная (алая)")</f>
      </c>
      <c r="C12647" s="4" t="n">
        <v>1018.00</v>
      </c>
      <c r="D12647" s="4"/>
    </row>
    <row collapsed="" customFormat="false" customHeight="1" hidden="" ht="14" outlineLevel="0" r="12648">
      <c r="A12648" s="3" t="inlineStr">
        <is>
          <t>12606</t>
        </is>
      </c>
      <c r="B12648" s="4" t="s">
        <f>=HYPERLINK("http://anyluxury.ru/shop/odezhda/trikotazhnye-shapki/shapka-flette-molochnobelaya-1569261/" , "15692.61 Шапка Flette, молочно-белая")</f>
      </c>
      <c r="C12648" s="4" t="n">
        <v>1018.00</v>
      </c>
      <c r="D12648" s="4"/>
    </row>
    <row collapsed="" customFormat="false" customHeight="1" hidden="" ht="14" outlineLevel="0" r="12649">
      <c r="A12649" s="3" t="inlineStr">
        <is>
          <t>12607</t>
        </is>
      </c>
      <c r="B12649" s="4" t="s">
        <f>=HYPERLINK("http://anyluxury.ru/shop/odezhda/trikotazhnye-shapki/shapka-tube-top-chernaya-1569630/" , "15696.30 Шапка Tube Top, черная")</f>
      </c>
      <c r="C12649" s="4" t="n">
        <v>584.00</v>
      </c>
      <c r="D12649" s="4"/>
    </row>
    <row collapsed="" customFormat="false" customHeight="1" hidden="" ht="14" outlineLevel="0" r="12650">
      <c r="A12650" s="3" t="inlineStr">
        <is>
          <t>12608</t>
        </is>
      </c>
      <c r="B12650" s="4" t="s">
        <f>=HYPERLINK("http://anyluxury.ru/shop/odezhda/trikotazhnye-shapki/shapka-tube-top-oranzhevaya-apelsin-1569620/" , "15696.20 Шапка Tube Top, оранжевая (апельсин)")</f>
      </c>
      <c r="C12650" s="4" t="n">
        <v>584.00</v>
      </c>
      <c r="D12650" s="4"/>
    </row>
    <row collapsed="" customFormat="false" customHeight="1" hidden="" ht="14" outlineLevel="0" r="12651">
      <c r="A12651" s="3" t="inlineStr">
        <is>
          <t>12609</t>
        </is>
      </c>
      <c r="B12651" s="4" t="s">
        <f>=HYPERLINK("http://anyluxury.ru/shop/odezhda/trikotazhnye-shapki/shapka-tube-top-krasnaya-karmin-1569650/" , "15696.50 Шапка Tube Top, красная (кармин)")</f>
      </c>
      <c r="C12651" s="4" t="n">
        <v>584.00</v>
      </c>
      <c r="D12651" s="4"/>
    </row>
    <row collapsed="" customFormat="false" customHeight="1" hidden="" ht="14" outlineLevel="0" r="12652">
      <c r="A12652" s="3" t="inlineStr">
        <is>
          <t>12610</t>
        </is>
      </c>
      <c r="B12652" s="4" t="s">
        <f>=HYPERLINK("http://anyluxury.ru/shop/odezhda/trikotazhnye-shapki/shapka-tube-top-zheltaya-1569680/" , "15696.80 Шапка Tube Top, желтая")</f>
      </c>
      <c r="C12652" s="4" t="n">
        <v>584.00</v>
      </c>
      <c r="D12652" s="4"/>
    </row>
    <row collapsed="" customFormat="false" customHeight="1" hidden="" ht="14" outlineLevel="0" r="12653">
      <c r="A12653" s="3" t="inlineStr">
        <is>
          <t>12611</t>
        </is>
      </c>
      <c r="B12653" s="4" t="s">
        <f>=HYPERLINK("http://anyluxury.ru/shop/odezhda/trikotazhnye-shapki/shapka-tube-top-zelenaya-salatovaya-1569690/" , "15696.90 Шапка Tube Top, зеленая (салатовая)")</f>
      </c>
      <c r="C12653" s="4" t="n">
        <v>584.00</v>
      </c>
      <c r="D12653" s="4"/>
    </row>
    <row collapsed="" customFormat="false" customHeight="1" hidden="" ht="14" outlineLevel="0" r="12654">
      <c r="A12654" s="3" t="inlineStr">
        <is>
          <t>12612</t>
        </is>
      </c>
      <c r="B12654" s="4" t="s">
        <f>=HYPERLINK("http://anyluxury.ru/shop/odezhda/trikotazhnye-shapki/shapka-tube-top-sinyaya-vasilek-1569640/" , "15696.40 Шапка Tube Top, синяя (василек)")</f>
      </c>
      <c r="C12654" s="4" t="n">
        <v>584.00</v>
      </c>
      <c r="D12654" s="4"/>
    </row>
    <row collapsed="" customFormat="false" customHeight="1" hidden="" ht="14" outlineLevel="0" r="12655">
      <c r="A12655" s="3" t="inlineStr">
        <is>
          <t>12613</t>
        </is>
      </c>
      <c r="B12655" s="4" t="s">
        <f>=HYPERLINK("http://anyluxury.ru/shop/odezhda/trikotazhnye-shapki/shapka-tube-top-temnosinyaya-sapfir-1569644/" , "15696.44 Шапка Tube Top, темно-синяя (сапфир)")</f>
      </c>
      <c r="C12655" s="4" t="n">
        <v>584.00</v>
      </c>
      <c r="D12655" s="4"/>
    </row>
    <row collapsed="" customFormat="false" customHeight="1" hidden="" ht="14" outlineLevel="0" r="12656">
      <c r="A12656" s="3" t="inlineStr">
        <is>
          <t>12614</t>
        </is>
      </c>
      <c r="B12656" s="4" t="s">
        <f>=HYPERLINK("http://anyluxury.ru/shop/odezhda/trikotazhnye-shapki/shapka-cordelia-svetloseraya-1800210/" , "18002.10 Шапка Cordelia, светло-серая")</f>
      </c>
      <c r="C12656" s="4" t="n">
        <v>1193.00</v>
      </c>
      <c r="D12656" s="4"/>
    </row>
    <row collapsed="" customFormat="false" customHeight="1" hidden="" ht="14" outlineLevel="0" r="12657">
      <c r="A12657" s="3" t="inlineStr">
        <is>
          <t>12615</t>
        </is>
      </c>
      <c r="B12657" s="4" t="s">
        <f>=HYPERLINK("http://anyluxury.ru/shop/odezhda/trikotazhnye-shapki/shapkapetushok-cockerel-na-zakaz-akril-1825101/" , "18251.01 Шапка-петушок Cockerel на заказ, акрил")</f>
      </c>
      <c r="C12657" s="4" t="n">
        <v>769.00</v>
      </c>
      <c r="D12657" s="4"/>
    </row>
    <row collapsed="" customFormat="false" customHeight="1" hidden="" ht="14" outlineLevel="0" r="12658">
      <c r="A12658" s="3" t="inlineStr">
        <is>
          <t>12616</t>
        </is>
      </c>
      <c r="B12658" s="4" t="s">
        <f>=HYPERLINK("http://anyluxury.ru/shop/odezhda/trikotazhnye-shapki/shapkapetushok-cockerel-na-zakaz-polusherst-1825102/" , "18251.02 Шапка-петушок Cockerel на заказ, полушерсть")</f>
      </c>
      <c r="C12658" s="4" t="n">
        <v>887.00</v>
      </c>
      <c r="D12658" s="4"/>
    </row>
    <row collapsed="" customFormat="false" customHeight="1" hidden="" ht="14" outlineLevel="0" r="12659">
      <c r="A12659" s="3" t="inlineStr">
        <is>
          <t>12617</t>
        </is>
      </c>
      <c r="B12659" s="4" t="s">
        <f>=HYPERLINK("http://anyluxury.ru/shop/odezhda/trikotazhnye-shapki/shapka-urban-flow-yarkofioletovaya-1666170/" , "16661.70 Шапка Urban Flow, фиолетовая")</f>
      </c>
      <c r="C12659" s="4" t="n">
        <v>387.00</v>
      </c>
      <c r="D12659" s="4"/>
    </row>
    <row collapsed="" customFormat="false" customHeight="1" hidden="" ht="14" outlineLevel="0" r="12660">
      <c r="A12660" s="3" t="inlineStr">
        <is>
          <t>12618</t>
        </is>
      </c>
      <c r="B12660" s="4" t="s">
        <f>=HYPERLINK("http://anyluxury.ru/shop/odezhda/trikotazhnye-shapki/shapka-urban-flow-fioletovaya-1666177/" , "16661.77 Шапка Urban Flow, ярко-фиолетовая")</f>
      </c>
      <c r="C12660" s="4" t="n">
        <v>387.00</v>
      </c>
      <c r="D12660" s="4"/>
    </row>
    <row collapsed="" customFormat="false" customHeight="1" hidden="" ht="14" outlineLevel="0" r="12661">
      <c r="A12661" s="3" t="inlineStr">
        <is>
          <t>12619</t>
        </is>
      </c>
      <c r="B12661" s="4" t="s">
        <f>=HYPERLINK("http://anyluxury.ru/shop/odezhda/trikotazhnye-shapki/balaklavakapyushon-flocky-molochnobelaya-1594960/" , "15949.60 Балаклава-капюшон Flocky, молочно-белая")</f>
      </c>
      <c r="C12661" s="4" t="n">
        <v>790.00</v>
      </c>
      <c r="D12661" s="4"/>
    </row>
    <row collapsed="" customFormat="false" customHeight="1" hidden="" ht="14" outlineLevel="0" r="12662">
      <c r="A12662" s="3" t="inlineStr">
        <is>
          <t>12620</t>
        </is>
      </c>
      <c r="B12662" s="4" t="s">
        <f>=HYPERLINK("http://anyluxury.ru/shop/odezhda/trikotazhnye-shapki/balaklavakapyushon-flocky-seraya-1594911/" , "15949.11 Балаклава-капюшон Flocky, серая")</f>
      </c>
      <c r="C12662" s="4" t="n">
        <v>790.00</v>
      </c>
      <c r="D12662" s="4"/>
    </row>
    <row collapsed="" customFormat="false" customHeight="1" hidden="" ht="14" outlineLevel="0" r="12663">
      <c r="A12663" s="3" t="inlineStr">
        <is>
          <t>12621</t>
        </is>
      </c>
      <c r="B12663" s="4" t="s">
        <f>=HYPERLINK("http://anyluxury.ru/shop/odezhda/trikotazhnye-shapki/balaklavakapyushon-flocky-chernaya-1594930/" , "15949.30 Балаклава-капюшон Flocky, черная")</f>
      </c>
      <c r="C12663" s="4" t="n">
        <v>790.00</v>
      </c>
      <c r="D12663" s="4"/>
    </row>
    <row collapsed="" customFormat="false" customHeight="1" hidden="" ht="14" outlineLevel="0" r="12664">
      <c r="A12664" s="3" t="inlineStr">
        <is>
          <t>12622</t>
        </is>
      </c>
      <c r="B12664" s="4" t="s">
        <f>=HYPERLINK("http://anyluxury.ru/shop/odezhda/trikotazhnye-shapki/balaklavakapyushon-nesse-chernaya-1573530/" , "15735.30 Балаклава-капюшон Nesse, черная")</f>
      </c>
      <c r="C12664" s="4" t="n">
        <v>870.00</v>
      </c>
      <c r="D12664" s="4"/>
    </row>
    <row collapsed="" customFormat="false" customHeight="1" hidden="" ht="14" outlineLevel="0" r="12665">
      <c r="A12665" s="3" t="inlineStr">
        <is>
          <t>12623</t>
        </is>
      </c>
      <c r="B12665" s="4" t="s">
        <f>=HYPERLINK("http://anyluxury.ru/shop/odezhda/trikotazhnye-shapki/balaklavakapyushon-nesse-temnosinyaya-1573540/" , "15735.40 Балаклава-капюшон Nesse, темно-синяя")</f>
      </c>
      <c r="C12665" s="4" t="n">
        <v>870.00</v>
      </c>
      <c r="D12665" s="4"/>
    </row>
    <row collapsed="" customFormat="false" customHeight="1" hidden="" ht="14" outlineLevel="0" r="12666">
      <c r="A12666" s="3" t="inlineStr">
        <is>
          <t>12624</t>
        </is>
      </c>
      <c r="B12666" s="4" t="s">
        <f>=HYPERLINK("http://anyluxury.ru/shop/odezhda/trikotazhnye-shapki/balaklavakapyushon-nesse-seraya-1573511/" , "15735.11 Балаклава-капюшон Nesse, серая")</f>
      </c>
      <c r="C12666" s="4" t="n">
        <v>870.00</v>
      </c>
      <c r="D12666" s="4"/>
    </row>
    <row collapsed="" customFormat="false" customHeight="" hidden="" ht="12.1" outlineLevel="0" r="12667">
      <c r="A12667" s="5" t="inlineStr">
        <is>
          <t> -  - Фартуки</t>
        </is>
      </c>
      <c r="B12667" s="6"/>
      <c r="C12667" s="6"/>
      <c r="D12667" s="6"/>
    </row>
    <row collapsed="" customFormat="false" customHeight="1" hidden="" ht="14" outlineLevel="0" r="12668">
      <c r="A12668" s="3" t="inlineStr">
        <is>
          <t>12625</t>
        </is>
      </c>
      <c r="B12668" s="4" t="s">
        <f>=HYPERLINK("http://anyluxury.ru/shop/odezhda/fartuki/fartuk-delica-beliy-523860/" , "5238.60 Фартук Delica, белый")</f>
      </c>
      <c r="C12668" s="4" t="n">
        <v>1090.00</v>
      </c>
      <c r="D12668" s="4"/>
    </row>
    <row collapsed="" customFormat="false" customHeight="1" hidden="" ht="14" outlineLevel="0" r="12669">
      <c r="A12669" s="3" t="inlineStr">
        <is>
          <t>12626</t>
        </is>
      </c>
      <c r="B12669" s="4" t="s">
        <f>=HYPERLINK("http://anyluxury.ru/shop/odezhda/fartuki/fartuk-bar-star-bordoviy-661755/" , "6617.55 Фартук Bar Star, бордовый")</f>
      </c>
      <c r="C12669" s="4" t="n">
        <v>350.00</v>
      </c>
      <c r="D12669" s="4"/>
    </row>
    <row collapsed="" customFormat="false" customHeight="1" hidden="" ht="14" outlineLevel="0" r="12670">
      <c r="A12670" s="3" t="inlineStr">
        <is>
          <t>12627</t>
        </is>
      </c>
      <c r="B12670" s="4" t="s">
        <f>=HYPERLINK("http://anyluxury.ru/shop/odezhda/fartuki/fartuk-natty-seriy-670410/" , "6704.10 Фартук Natty, серый")</f>
      </c>
      <c r="C12670" s="4" t="n">
        <v>990.00</v>
      </c>
      <c r="D12670" s="4"/>
    </row>
    <row collapsed="" customFormat="false" customHeight="1" hidden="" ht="14" outlineLevel="0" r="12671">
      <c r="A12671" s="3" t="inlineStr">
        <is>
          <t>12628</t>
        </is>
      </c>
      <c r="B12671" s="4" t="s">
        <f>=HYPERLINK("http://anyluxury.ru/shop/odezhda/fartuki/fartuk-craft-cherniy-dzhins-724533/" , "7245.33 Фартук Craft, черный джинс")</f>
      </c>
      <c r="C12671" s="4" t="n">
        <v>3590.00</v>
      </c>
      <c r="D12671" s="4"/>
    </row>
    <row collapsed="" customFormat="false" customHeight="1" hidden="" ht="14" outlineLevel="0" r="12672">
      <c r="A12672" s="3" t="inlineStr">
        <is>
          <t>12629</t>
        </is>
      </c>
      <c r="B12672" s="4" t="s">
        <f>=HYPERLINK("http://anyluxury.ru/shop/odezhda/fartuki/fartuk-grant-siniy-denim-02104600tun/" , "02104600TUN Фартук GRANT, синий (деним)")</f>
      </c>
      <c r="C12672" s="4" t="n">
        <v>1765.00</v>
      </c>
      <c r="D12672" s="4"/>
    </row>
    <row collapsed="" customFormat="false" customHeight="1" hidden="" ht="14" outlineLevel="0" r="12673">
      <c r="A12673" s="3" t="inlineStr">
        <is>
          <t>12630</t>
        </is>
      </c>
      <c r="B12673" s="4" t="s">
        <f>=HYPERLINK("http://anyluxury.ru/shop/odezhda/fartuki/fartuk-brave-cook-beliy-704660/" , "7046.60 Фартук Brave Cook, белый")</f>
      </c>
      <c r="C12673" s="4" t="n">
        <v>720.00</v>
      </c>
      <c r="D12673" s="4"/>
    </row>
    <row collapsed="" customFormat="false" customHeight="1" hidden="" ht="14" outlineLevel="0" r="12674">
      <c r="A12674" s="3" t="inlineStr">
        <is>
          <t>12631</t>
        </is>
      </c>
      <c r="B12674" s="4" t="s">
        <f>=HYPERLINK("http://anyluxury.ru/shop/odezhda/fartuki/fartuk-tapster-beliy-704760/" , "7047.60 Фартук Tapster, белый")</f>
      </c>
      <c r="C12674" s="4" t="n">
        <v>400.00</v>
      </c>
      <c r="D12674" s="4"/>
    </row>
    <row collapsed="" customFormat="false" customHeight="1" hidden="" ht="14" outlineLevel="0" r="12675">
      <c r="A12675" s="3" t="inlineStr">
        <is>
          <t>12632</t>
        </is>
      </c>
      <c r="B12675" s="4" t="s">
        <f>=HYPERLINK("http://anyluxury.ru/shop/odezhda/fartuki/fartuk-keep-palms-bezheviy-1117111/" , "11171.11 Фартук Keep Palms, бежевый")</f>
      </c>
      <c r="C12675" s="4" t="n">
        <v>1190.00</v>
      </c>
      <c r="D12675" s="4"/>
    </row>
    <row collapsed="" customFormat="false" customHeight="1" hidden="" ht="14" outlineLevel="0" r="12676">
      <c r="A12676" s="3" t="inlineStr">
        <is>
          <t>12633</t>
        </is>
      </c>
      <c r="B12676" s="4" t="s">
        <f>=HYPERLINK("http://anyluxury.ru/shop/odezhda/fartuki/fartuk-keep-palms-serogoluboy-1117110/" , "11171.10 Фартук Keep Palms, серо-голубой")</f>
      </c>
      <c r="C12676" s="4" t="n">
        <v>1190.00</v>
      </c>
      <c r="D12676" s="4"/>
    </row>
    <row collapsed="" customFormat="false" customHeight="1" hidden="" ht="14" outlineLevel="0" r="12677">
      <c r="A12677" s="3" t="inlineStr">
        <is>
          <t>12634</t>
        </is>
      </c>
      <c r="B12677" s="4" t="s">
        <f>=HYPERLINK("http://anyluxury.ru/shop/odezhda/fartuki/fartuk-keep-palms-gorchichniy-1117180/" , "11171.80 Фартук Keep Palms, горчичный")</f>
      </c>
      <c r="C12677" s="4" t="n">
        <v>1190.00</v>
      </c>
      <c r="D12677" s="4"/>
    </row>
    <row collapsed="" customFormat="false" customHeight="1" hidden="" ht="14" outlineLevel="0" r="12678">
      <c r="A12678" s="3" t="inlineStr">
        <is>
          <t>12635</t>
        </is>
      </c>
      <c r="B12678" s="4" t="s">
        <f>=HYPERLINK("http://anyluxury.ru/shop/odezhda/fartuki/fartuk-craft-krasnorozoviy-724550/" , "7245.50 Фартук Craft, красно-розовый")</f>
      </c>
      <c r="C12678" s="4" t="n">
        <v>3590.00</v>
      </c>
      <c r="D12678" s="4"/>
    </row>
    <row collapsed="" customFormat="false" customHeight="1" hidden="" ht="14" outlineLevel="0" r="12679">
      <c r="A12679" s="3" t="inlineStr">
        <is>
          <t>12636</t>
        </is>
      </c>
      <c r="B12679" s="4" t="s">
        <f>=HYPERLINK("http://anyluxury.ru/shop/odezhda/fartuki/fartuk-craft-seriy-724560/" , "7245.60 Фартук Craft, серо-коричневый")</f>
      </c>
      <c r="C12679" s="4" t="n">
        <v>3590.00</v>
      </c>
      <c r="D12679" s="4"/>
    </row>
    <row collapsed="" customFormat="false" customHeight="1" hidden="" ht="14" outlineLevel="0" r="12680">
      <c r="A12680" s="3" t="inlineStr">
        <is>
          <t>12637</t>
        </is>
      </c>
      <c r="B12680" s="4" t="s">
        <f>=HYPERLINK("http://anyluxury.ru/shop/odezhda/fartuki/fartuk-craft-korichneviy-724555/" , "7245.55 Фартук Craft, коричневый")</f>
      </c>
      <c r="C12680" s="4" t="n">
        <v>3590.00</v>
      </c>
      <c r="D12680" s="4"/>
    </row>
    <row collapsed="" customFormat="false" customHeight="1" hidden="" ht="14" outlineLevel="0" r="12681">
      <c r="A12681" s="3" t="inlineStr">
        <is>
          <t>12638</t>
        </is>
      </c>
      <c r="B12681" s="4" t="s">
        <f>=HYPERLINK("http://anyluxury.ru/shop/odezhda/fartuki/fartuk-severniy-olen-71111/" , "71111 Фартук «Северный олень»")</f>
      </c>
      <c r="C12681" s="4" t="n">
        <v>1990.00</v>
      </c>
      <c r="D12681" s="4"/>
    </row>
    <row collapsed="" customFormat="false" customHeight="1" hidden="" ht="14" outlineLevel="0" r="12682">
      <c r="A12682" s="3" t="inlineStr">
        <is>
          <t>12639</t>
        </is>
      </c>
      <c r="B12682" s="4" t="s">
        <f>=HYPERLINK("http://anyluxury.ru/shop/odezhda/fartuki/fartuk-medvezhya-nezhnost-71117/" , "71117 Фартук «Медвежья нежность»")</f>
      </c>
      <c r="C12682" s="4" t="n">
        <v>1990.00</v>
      </c>
      <c r="D12682" s="4"/>
    </row>
    <row collapsed="" customFormat="false" customHeight="1" hidden="" ht="14" outlineLevel="0" r="12683">
      <c r="A12683" s="3" t="inlineStr">
        <is>
          <t>12640</t>
        </is>
      </c>
      <c r="B12683" s="4" t="s">
        <f>=HYPERLINK("http://anyluxury.ru/shop/odezhda/fartuki/fartuk-essential-temnosiniy-1065340/" , "10653.40 Фартук Essential, темно-синий")</f>
      </c>
      <c r="C12683" s="4" t="n">
        <v>3500.00</v>
      </c>
      <c r="D12683" s="4"/>
    </row>
    <row collapsed="" customFormat="false" customHeight="1" hidden="" ht="14" outlineLevel="0" r="12684">
      <c r="A12684" s="3" t="inlineStr">
        <is>
          <t>12641</t>
        </is>
      </c>
      <c r="B12684" s="4" t="s">
        <f>=HYPERLINK("http://anyluxury.ru/shop/odezhda/fartuki/fartuk-visokiy-uroven-bbq-cherniy-7060830/" , "70608.30 Фартук «Высокий уровень BBQ», черный")</f>
      </c>
      <c r="C12684" s="4" t="n">
        <v>1290.00</v>
      </c>
      <c r="D12684" s="4"/>
    </row>
    <row collapsed="" customFormat="false" customHeight="1" hidden="" ht="14" outlineLevel="0" r="12685">
      <c r="A12685" s="3" t="inlineStr">
        <is>
          <t>12642</t>
        </is>
      </c>
      <c r="B12685" s="4" t="s">
        <f>=HYPERLINK("http://anyluxury.ru/shop/odezhda/fartuki/fartuk-lvl-bog-cherniy-7060930/" , "70609.30 Фартук «LVL Бог», черный")</f>
      </c>
      <c r="C12685" s="4" t="n">
        <v>1290.00</v>
      </c>
      <c r="D12685" s="4"/>
    </row>
    <row collapsed="" customFormat="false" customHeight="1" hidden="" ht="14" outlineLevel="0" r="12686">
      <c r="A12686" s="3" t="inlineStr">
        <is>
          <t>12643</t>
        </is>
      </c>
      <c r="B12686" s="4" t="s">
        <f>=HYPERLINK("http://anyluxury.ru/shop/odezhda/fartuki/fartuk-universalniy-ravioli-zeleniy-1188999/" , "11889.99 Фартук универсальный «Равиоли», зеленый")</f>
      </c>
      <c r="C12686" s="4" t="n">
        <v>1100.00</v>
      </c>
      <c r="D12686" s="4"/>
    </row>
    <row collapsed="" customFormat="false" customHeight="1" hidden="" ht="14" outlineLevel="0" r="12687">
      <c r="A12687" s="3" t="inlineStr">
        <is>
          <t>12644</t>
        </is>
      </c>
      <c r="B12687" s="4" t="s">
        <f>=HYPERLINK("http://anyluxury.ru/shop/odezhda/fartuki/fartuk-detskiy-ravioli-zeleniy-1189099/" , "11890.99 Фартук детский «Равиоли», зеленый")</f>
      </c>
      <c r="C12687" s="4" t="n">
        <v>900.00</v>
      </c>
      <c r="D12687" s="4"/>
    </row>
    <row collapsed="" customFormat="false" customHeight="1" hidden="" ht="14" outlineLevel="0" r="12688">
      <c r="A12688" s="3" t="inlineStr">
        <is>
          <t>12645</t>
        </is>
      </c>
      <c r="B12688" s="4" t="s">
        <f>=HYPERLINK("http://anyluxury.ru/shop/odezhda/fartuki/nabor-bolshoy-shef-fartuk-i-bandana-temnozeleniy-1189593/" , "11895.93 Набор «Большой шеф», фартук и бандана, темно-зеленый")</f>
      </c>
      <c r="C12688" s="4" t="n">
        <v>1520.00</v>
      </c>
      <c r="D12688" s="4"/>
    </row>
    <row collapsed="" customFormat="false" customHeight="1" hidden="" ht="14" outlineLevel="0" r="12689">
      <c r="A12689" s="3" t="inlineStr">
        <is>
          <t>12646</t>
        </is>
      </c>
      <c r="B12689" s="4" t="s">
        <f>=HYPERLINK("http://anyluxury.ru/shop/odezhda/fartuki/nabor-detskiy-mladshiy-shef-fartuk-i-bandana-temnozeleniy-1189693/" , "11896.93 Набор детский «Младший шеф», фартук и бандана, темно-зеленый")</f>
      </c>
      <c r="C12689" s="4" t="n">
        <v>1000.00</v>
      </c>
      <c r="D12689" s="4"/>
    </row>
    <row collapsed="" customFormat="false" customHeight="1" hidden="" ht="14" outlineLevel="0" r="12690">
      <c r="A12690" s="3" t="inlineStr">
        <is>
          <t>12647</t>
        </is>
      </c>
      <c r="B12690" s="4" t="s">
        <f>=HYPERLINK("http://anyluxury.ru/shop/odezhda/fartuki/fartuk-zhenskiy-gurmaniya-siniy-1190140/" , "11901.40 Фартук женский «Гурмания», синий")</f>
      </c>
      <c r="C12690" s="4" t="n">
        <v>1060.00</v>
      </c>
      <c r="D12690" s="4"/>
    </row>
    <row collapsed="" customFormat="false" customHeight="1" hidden="" ht="14" outlineLevel="0" r="12691">
      <c r="A12691" s="3" t="inlineStr">
        <is>
          <t>12648</t>
        </is>
      </c>
      <c r="B12691" s="4" t="s">
        <f>=HYPERLINK("http://anyluxury.ru/shop/odezhda/fartuki/fartuk-detskiy-lyublyu-gotovit-siniy-1190240/" , "11902.40 Фартук детский «Люблю готовить», синий")</f>
      </c>
      <c r="C12691" s="4" t="n">
        <v>700.00</v>
      </c>
      <c r="D12691" s="4"/>
    </row>
    <row collapsed="" customFormat="false" customHeight="1" hidden="" ht="14" outlineLevel="0" r="12692">
      <c r="A12692" s="3" t="inlineStr">
        <is>
          <t>12649</t>
        </is>
      </c>
      <c r="B12692" s="4" t="s">
        <f>=HYPERLINK("http://anyluxury.ru/shop/odezhda/fartuki/fartuk-muzhskoy-visokaya-kuhnya-siniy-1190340/" , "11903.40 Фартук мужской «Высокая кухня», синий")</f>
      </c>
      <c r="C12692" s="4" t="n">
        <v>1060.00</v>
      </c>
      <c r="D12692" s="4"/>
    </row>
    <row collapsed="" customFormat="false" customHeight="1" hidden="" ht="14" outlineLevel="0" r="12693">
      <c r="A12693" s="3" t="inlineStr">
        <is>
          <t>12650</t>
        </is>
      </c>
      <c r="B12693" s="4" t="s">
        <f>=HYPERLINK("http://anyluxury.ru/shop/odezhda/fartuki/fartuk-detskiy-moryachok-siniy-1190440/" , "11904.40 Фартук детский «Морячок», синий")</f>
      </c>
      <c r="C12693" s="4" t="n">
        <v>700.00</v>
      </c>
      <c r="D12693" s="4"/>
    </row>
    <row collapsed="" customFormat="false" customHeight="1" hidden="" ht="14" outlineLevel="0" r="12694">
      <c r="A12694" s="3" t="inlineStr">
        <is>
          <t>12651</t>
        </is>
      </c>
      <c r="B12694" s="4" t="s">
        <f>=HYPERLINK("http://anyluxury.ru/shop/odezhda/fartuki/fartuk-zhenskiy-polyushko-dzhinsoviy-1190544/" , "11905.44 Фартук женский «Полюшко», джинсовый")</f>
      </c>
      <c r="C12694" s="4" t="n">
        <v>1100.00</v>
      </c>
      <c r="D12694" s="4"/>
    </row>
    <row collapsed="" customFormat="false" customHeight="1" hidden="" ht="14" outlineLevel="0" r="12695">
      <c r="A12695" s="3" t="inlineStr">
        <is>
          <t>12652</t>
        </is>
      </c>
      <c r="B12695" s="4" t="s">
        <f>=HYPERLINK("http://anyluxury.ru/shop/odezhda/fartuki/fartuk-akcent-siniy-s-krasnim-1190745/" , "11907.45 Фартук «Акцент», синий с красным")</f>
      </c>
      <c r="C12695" s="4" t="n">
        <v>1170.00</v>
      </c>
      <c r="D12695" s="4"/>
    </row>
    <row collapsed="" customFormat="false" customHeight="1" hidden="" ht="14" outlineLevel="0" r="12696">
      <c r="A12696" s="3" t="inlineStr">
        <is>
          <t>12653</t>
        </is>
      </c>
      <c r="B12696" s="4" t="s">
        <f>=HYPERLINK("http://anyluxury.ru/shop/odezhda/fartuki/fartuk-fine-line-krasniy-1078550/" , "10785.50 Фартук Fine Line, красный")</f>
      </c>
      <c r="C12696" s="4" t="n">
        <v>978.00</v>
      </c>
      <c r="D12696" s="4"/>
    </row>
    <row collapsed="" customFormat="false" customHeight="1" hidden="" ht="14" outlineLevel="0" r="12697">
      <c r="A12697" s="3" t="inlineStr">
        <is>
          <t>12654</t>
        </is>
      </c>
      <c r="B12697" s="4" t="s">
        <f>=HYPERLINK("http://anyluxury.ru/shop/odezhda/fartuki/fartuk-fine-line-zheltiy-1078580/" , "10785.80 Фартук Fine Line, желтый")</f>
      </c>
      <c r="C12697" s="4" t="n">
        <v>978.00</v>
      </c>
      <c r="D12697" s="4"/>
    </row>
    <row collapsed="" customFormat="false" customHeight="1" hidden="" ht="14" outlineLevel="0" r="12698">
      <c r="A12698" s="3" t="inlineStr">
        <is>
          <t>12655</t>
        </is>
      </c>
      <c r="B12698" s="4" t="s">
        <f>=HYPERLINK("http://anyluxury.ru/shop/odezhda/fartuki/fartuk-delica-ver2-cherniy-523833/" , "5238.33 Фартук Delica, ver.2, черный")</f>
      </c>
      <c r="C12698" s="4" t="n">
        <v>1090.00</v>
      </c>
      <c r="D12698" s="4"/>
    </row>
    <row collapsed="" customFormat="false" customHeight="1" hidden="" ht="14" outlineLevel="0" r="12699">
      <c r="A12699" s="3" t="inlineStr">
        <is>
          <t>12656</t>
        </is>
      </c>
      <c r="B12699" s="4" t="s">
        <f>=HYPERLINK("http://anyluxury.ru/shop/odezhda/fartuki/fartuk-delica-ver2-siniy-523844/" , "5238.44 Фартук Delica, ver.2, синий")</f>
      </c>
      <c r="C12699" s="4" t="n">
        <v>1090.00</v>
      </c>
      <c r="D12699" s="4"/>
    </row>
    <row collapsed="" customFormat="false" customHeight="1" hidden="" ht="14" outlineLevel="0" r="12700">
      <c r="A12700" s="3" t="inlineStr">
        <is>
          <t>12657</t>
        </is>
      </c>
      <c r="B12700" s="4" t="s">
        <f>=HYPERLINK("http://anyluxury.ru/shop/odezhda/fartuki/fartuk-delica-ver2-bordoviy-523854/" , "5238.54 Фартук Delica, ver.2, бордовый")</f>
      </c>
      <c r="C12700" s="4" t="n">
        <v>1090.00</v>
      </c>
      <c r="D12700" s="4"/>
    </row>
    <row collapsed="" customFormat="false" customHeight="1" hidden="" ht="14" outlineLevel="0" r="12701">
      <c r="A12701" s="3" t="inlineStr">
        <is>
          <t>12658</t>
        </is>
      </c>
      <c r="B12701" s="4" t="s">
        <f>=HYPERLINK("http://anyluxury.ru/shop/odezhda/fartuki/fartuk-delica-ver2-beliy-523866/" , "5238.66 Фартук Delica, ver.2, белый")</f>
      </c>
      <c r="C12701" s="4" t="n">
        <v>1090.00</v>
      </c>
      <c r="D12701" s="4"/>
    </row>
    <row collapsed="" customFormat="false" customHeight="1" hidden="" ht="14" outlineLevel="0" r="12702">
      <c r="A12702" s="3" t="inlineStr">
        <is>
          <t>12659</t>
        </is>
      </c>
      <c r="B12702" s="4" t="s">
        <f>=HYPERLINK("http://anyluxury.ru/shop/odezhda/fartuki/fartuk-holland-neokrashenniy-1603100/" , "16031.00 Фартук Holland, неокрашенный")</f>
      </c>
      <c r="C12702" s="4" t="n">
        <v>650.00</v>
      </c>
      <c r="D12702" s="4"/>
    </row>
    <row collapsed="" customFormat="false" customHeight="1" hidden="" ht="14" outlineLevel="0" r="12703">
      <c r="A12703" s="3" t="inlineStr">
        <is>
          <t>12660</t>
        </is>
      </c>
      <c r="B12703" s="4" t="s">
        <f>=HYPERLINK("http://anyluxury.ru/shop/odezhda/fartuki/fartuk-gamma-pilnorozoviy-03569170tun/" , "03569170TUN Фартук Gamma, пыльно-розовый")</f>
      </c>
      <c r="C12703" s="4" t="n">
        <v>1690.00</v>
      </c>
      <c r="D12703" s="4"/>
    </row>
    <row collapsed="" customFormat="false" customHeight="1" hidden="" ht="14" outlineLevel="0" r="12704">
      <c r="A12704" s="3" t="inlineStr">
        <is>
          <t>12661</t>
        </is>
      </c>
      <c r="B12704" s="4" t="s">
        <f>=HYPERLINK("http://anyluxury.ru/shop/odezhda/fartuki/fartuk-gamma-cherniy-03569312tun/" , "03569312TUN Фартук Gamma, черный")</f>
      </c>
      <c r="C12704" s="4" t="n">
        <v>1690.00</v>
      </c>
      <c r="D12704" s="4"/>
    </row>
    <row collapsed="" customFormat="false" customHeight="1" hidden="" ht="14" outlineLevel="0" r="12705">
      <c r="A12705" s="3" t="inlineStr">
        <is>
          <t>12662</t>
        </is>
      </c>
      <c r="B12705" s="4" t="s">
        <f>=HYPERLINK("http://anyluxury.ru/shop/odezhda/fartuki/fartuk-gamma-temnozeleniy-03569264tun/" , "03569264TUN Фартук Gamma, темно-зеленый")</f>
      </c>
      <c r="C12705" s="4" t="n">
        <v>1690.00</v>
      </c>
      <c r="D12705" s="4"/>
    </row>
    <row collapsed="" customFormat="false" customHeight="1" hidden="" ht="14" outlineLevel="0" r="12706">
      <c r="A12706" s="3" t="inlineStr">
        <is>
          <t>12663</t>
        </is>
      </c>
      <c r="B12706" s="4" t="s">
        <f>=HYPERLINK("http://anyluxury.ru/shop/odezhda/fartuki/fartuk-gamma-temnosiniy-navy-03569318tun/" , "03569318TUN Фартук Gamma, темно-синий (navy)")</f>
      </c>
      <c r="C12706" s="4" t="n">
        <v>1690.00</v>
      </c>
      <c r="D12706" s="4"/>
    </row>
    <row collapsed="" customFormat="false" customHeight="1" hidden="" ht="14" outlineLevel="0" r="12707">
      <c r="A12707" s="3" t="inlineStr">
        <is>
          <t>12664</t>
        </is>
      </c>
      <c r="B12707" s="4" t="s">
        <f>=HYPERLINK("http://anyluxury.ru/shop/odezhda/fartuki/fartuk-gamma-krasniy-03569145tun/" , "03569145TUN Фартук Gamma, красный")</f>
      </c>
      <c r="C12707" s="4" t="n">
        <v>1690.00</v>
      </c>
      <c r="D12707" s="4"/>
    </row>
    <row collapsed="" customFormat="false" customHeight="1" hidden="" ht="14" outlineLevel="0" r="12708">
      <c r="A12708" s="3" t="inlineStr">
        <is>
          <t>12665</t>
        </is>
      </c>
      <c r="B12708" s="4" t="s">
        <f>=HYPERLINK("http://anyluxury.ru/shop/odezhda/fartuki/fartuk-gamma-bezheviy-03569123tun/" , "03569123TUN Фартук Gamma, бежевый")</f>
      </c>
      <c r="C12708" s="4" t="n">
        <v>1690.00</v>
      </c>
      <c r="D12708" s="4"/>
    </row>
    <row collapsed="" customFormat="false" customHeight="1" hidden="" ht="14" outlineLevel="0" r="12709">
      <c r="A12709" s="3" t="inlineStr">
        <is>
          <t>12666</t>
        </is>
      </c>
      <c r="B12709" s="4" t="s">
        <f>=HYPERLINK("http://anyluxury.ru/shop/odezhda/fartuki/fartuk-gamma-bordoviy-03569146tun/" , "03569146TUN Фартук Gamma, бордовый")</f>
      </c>
      <c r="C12709" s="4" t="n">
        <v>1688.00</v>
      </c>
      <c r="D12709" s="4"/>
    </row>
    <row collapsed="" customFormat="false" customHeight="1" hidden="" ht="14" outlineLevel="0" r="12710">
      <c r="A12710" s="3" t="inlineStr">
        <is>
          <t>12667</t>
        </is>
      </c>
      <c r="B12710" s="4" t="s">
        <f>=HYPERLINK("http://anyluxury.ru/shop/odezhda/fartuki/fartuk-gamma-shokoladnokorichneviy-03569398tun/" , "03569398TUN Фартук Gamma, шоколадно-коричневый")</f>
      </c>
      <c r="C12710" s="4" t="n">
        <v>1688.00</v>
      </c>
      <c r="D12710" s="4"/>
    </row>
    <row collapsed="" customFormat="false" customHeight="1" hidden="" ht="14" outlineLevel="0" r="12711">
      <c r="A12711" s="3" t="inlineStr">
        <is>
          <t>12668</t>
        </is>
      </c>
      <c r="B12711" s="4" t="s">
        <f>=HYPERLINK("http://anyluxury.ru/shop/odezhda/fartuki/fartuk-gamma-temnoseriy-03569384tun/" , "03569384TUN Фартук Gamma, темно-серый")</f>
      </c>
      <c r="C12711" s="4" t="n">
        <v>1688.00</v>
      </c>
      <c r="D12711" s="4"/>
    </row>
    <row collapsed="" customFormat="false" customHeight="1" hidden="" ht="14" outlineLevel="0" r="12712">
      <c r="A12712" s="3" t="inlineStr">
        <is>
          <t>12669</t>
        </is>
      </c>
      <c r="B12712" s="4" t="s">
        <f>=HYPERLINK("http://anyluxury.ru/shop/odezhda/fartuki/fartuk-gamma-beliy-03569102tun/" , "03569102TUN Фартук Gamma, белый")</f>
      </c>
      <c r="C12712" s="4" t="n">
        <v>1688.00</v>
      </c>
      <c r="D12712" s="4"/>
    </row>
    <row collapsed="" customFormat="false" customHeight="1" hidden="" ht="14" outlineLevel="0" r="12713">
      <c r="A12713" s="3" t="inlineStr">
        <is>
          <t>12670</t>
        </is>
      </c>
      <c r="B12713" s="4" t="s">
        <f>=HYPERLINK("http://anyluxury.ru/shop/odezhda/fartuki/fartuk-craft-temnoseriy-724511/" , "7245.11 Фартук Craft, темно-серый")</f>
      </c>
      <c r="C12713" s="4" t="n">
        <v>3590.00</v>
      </c>
      <c r="D12713" s="4"/>
    </row>
    <row collapsed="" customFormat="false" customHeight="1" hidden="" ht="14" outlineLevel="0" r="12714">
      <c r="A12714" s="3" t="inlineStr">
        <is>
          <t>12671</t>
        </is>
      </c>
      <c r="B12714" s="4" t="s">
        <f>=HYPERLINK("http://anyluxury.ru/shop/odezhda/fartuki/fartuk-picante-korichneviy-s-bezhevim-3009151/" , "30091.51 Фартук Picante, коричневый с бежевым")</f>
      </c>
      <c r="C12714" s="4" t="n">
        <v>1400.00</v>
      </c>
      <c r="D12714" s="4"/>
    </row>
    <row collapsed="" customFormat="false" customHeight="1" hidden="" ht="14" outlineLevel="0" r="12715">
      <c r="A12715" s="3" t="inlineStr">
        <is>
          <t>12672</t>
        </is>
      </c>
      <c r="B12715" s="4" t="s">
        <f>=HYPERLINK("http://anyluxury.ru/shop/odezhda/fartuki/fartuk-picante-siniy-3009144/" , "30091.44 Фартук Picante, синий")</f>
      </c>
      <c r="C12715" s="4" t="n">
        <v>1400.00</v>
      </c>
      <c r="D12715" s="4"/>
    </row>
    <row collapsed="" customFormat="false" customHeight="1" hidden="" ht="14" outlineLevel="0" r="12716">
      <c r="A12716" s="3" t="inlineStr">
        <is>
          <t>12673</t>
        </is>
      </c>
      <c r="B12716" s="4" t="s">
        <f>=HYPERLINK("http://anyluxury.ru/shop/odezhda/fartuki/fartuk-attika-siniy-vasilek-3009244/" , "30092.44 Фартук Attika, синий (василек)")</f>
      </c>
      <c r="C12716" s="4" t="n">
        <v>790.00</v>
      </c>
      <c r="D12716" s="4"/>
    </row>
    <row collapsed="" customFormat="false" customHeight="1" hidden="" ht="14" outlineLevel="0" r="12717">
      <c r="A12717" s="3" t="inlineStr">
        <is>
          <t>12674</t>
        </is>
      </c>
      <c r="B12717" s="4" t="s">
        <f>=HYPERLINK("http://anyluxury.ru/shop/odezhda/fartuki/fartuk-attika-krasniy-3009250/" , "30092.50 Фартук Attika, красный")</f>
      </c>
      <c r="C12717" s="4" t="n">
        <v>790.00</v>
      </c>
      <c r="D12717" s="4"/>
    </row>
    <row collapsed="" customFormat="false" customHeight="1" hidden="" ht="14" outlineLevel="0" r="12718">
      <c r="A12718" s="3" t="inlineStr">
        <is>
          <t>12675</t>
        </is>
      </c>
      <c r="B12718" s="4" t="s">
        <f>=HYPERLINK("http://anyluxury.ru/shop/odezhda/fartuki/fartuk-neat-siniy-1798140/" , "17981.40 Фартук Neat, синий")</f>
      </c>
      <c r="C12718" s="4" t="n">
        <v>640.00</v>
      </c>
      <c r="D12718" s="4"/>
    </row>
    <row collapsed="" customFormat="false" customHeight="1" hidden="" ht="14" outlineLevel="0" r="12719">
      <c r="A12719" s="3" t="inlineStr">
        <is>
          <t>12676</t>
        </is>
      </c>
      <c r="B12719" s="4" t="s">
        <f>=HYPERLINK("http://anyluxury.ru/shop/odezhda/fartuki/fartuk-neat-temnosiniy-1798144/" , "17981.44 Фартук Neat, темно-синий")</f>
      </c>
      <c r="C12719" s="4" t="n">
        <v>640.00</v>
      </c>
      <c r="D12719" s="4"/>
    </row>
    <row collapsed="" customFormat="false" customHeight="1" hidden="" ht="14" outlineLevel="0" r="12720">
      <c r="A12720" s="3" t="inlineStr">
        <is>
          <t>12677</t>
        </is>
      </c>
      <c r="B12720" s="4" t="s">
        <f>=HYPERLINK("http://anyluxury.ru/shop/odezhda/fartuki/fartuk-neat-zeleniy-1798190/" , "17981.90 Фартук Neat, зеленый")</f>
      </c>
      <c r="C12720" s="4" t="n">
        <v>640.00</v>
      </c>
      <c r="D12720" s="4"/>
    </row>
    <row collapsed="" customFormat="false" customHeight="1" hidden="" ht="14" outlineLevel="0" r="12721">
      <c r="A12721" s="3" t="inlineStr">
        <is>
          <t>12678</t>
        </is>
      </c>
      <c r="B12721" s="4" t="s">
        <f>=HYPERLINK("http://anyluxury.ru/shop/odezhda/fartuki/fartuk-neat-oranzheviy-1798120/" , "17981.20 Фартук Neat, оранжевый")</f>
      </c>
      <c r="C12721" s="4" t="n">
        <v>640.00</v>
      </c>
      <c r="D12721" s="4"/>
    </row>
    <row collapsed="" customFormat="false" customHeight="1" hidden="" ht="14" outlineLevel="0" r="12722">
      <c r="A12722" s="3" t="inlineStr">
        <is>
          <t>12679</t>
        </is>
      </c>
      <c r="B12722" s="4" t="s">
        <f>=HYPERLINK("http://anyluxury.ru/shop/odezhda/fartuki/fartuk-neat-fioletoviy-1798170/" , "17981.70 Фартук Neat, фиолетовый")</f>
      </c>
      <c r="C12722" s="4" t="n">
        <v>640.00</v>
      </c>
      <c r="D12722" s="4"/>
    </row>
    <row collapsed="" customFormat="false" customHeight="1" hidden="" ht="14" outlineLevel="0" r="12723">
      <c r="A12723" s="3" t="inlineStr">
        <is>
          <t>12680</t>
        </is>
      </c>
      <c r="B12723" s="4" t="s">
        <f>=HYPERLINK("http://anyluxury.ru/shop/odezhda/fartuki/fartuk-neat-krasniy-1798150/" , "17981.50 Фартук Neat, красный")</f>
      </c>
      <c r="C12723" s="4" t="n">
        <v>640.00</v>
      </c>
      <c r="D12723" s="4"/>
    </row>
    <row collapsed="" customFormat="false" customHeight="1" hidden="" ht="14" outlineLevel="0" r="12724">
      <c r="A12724" s="3" t="inlineStr">
        <is>
          <t>12681</t>
        </is>
      </c>
      <c r="B12724" s="4" t="s">
        <f>=HYPERLINK("http://anyluxury.ru/shop/odezhda/fartuki/fartuk-neat-biryuzoviy-1798149/" , "17981.49 Фартук Neat, бирюзовый")</f>
      </c>
      <c r="C12724" s="4" t="n">
        <v>640.00</v>
      </c>
      <c r="D12724" s="4"/>
    </row>
    <row collapsed="" customFormat="false" customHeight="1" hidden="" ht="14" outlineLevel="0" r="12725">
      <c r="A12725" s="3" t="inlineStr">
        <is>
          <t>12682</t>
        </is>
      </c>
      <c r="B12725" s="4" t="s">
        <f>=HYPERLINK("http://anyluxury.ru/shop/odezhda/fartuki/fartuk-neat-vishneviy-1798155/" , "17981.55 Фартук Neat, вишневый")</f>
      </c>
      <c r="C12725" s="4" t="n">
        <v>640.00</v>
      </c>
      <c r="D12725" s="4"/>
    </row>
    <row collapsed="" customFormat="false" customHeight="1" hidden="" ht="14" outlineLevel="0" r="12726">
      <c r="A12726" s="3" t="inlineStr">
        <is>
          <t>12683</t>
        </is>
      </c>
      <c r="B12726" s="4" t="s">
        <f>=HYPERLINK("http://anyluxury.ru/shop/odezhda/fartuki/fartuk-neat-zheltiy-1798180/" , "17981.80 Фартук Neat, желтый")</f>
      </c>
      <c r="C12726" s="4" t="n">
        <v>640.00</v>
      </c>
      <c r="D12726" s="4"/>
    </row>
    <row collapsed="" customFormat="false" customHeight="1" hidden="" ht="14" outlineLevel="0" r="12727">
      <c r="A12727" s="3" t="inlineStr">
        <is>
          <t>12684</t>
        </is>
      </c>
      <c r="B12727" s="4" t="s">
        <f>=HYPERLINK("http://anyluxury.ru/shop/odezhda/fartuki/fartuk-neat-rozoviy-1798115/" , "17981.15 Фартук Neat, розовый")</f>
      </c>
      <c r="C12727" s="4" t="n">
        <v>640.00</v>
      </c>
      <c r="D12727" s="4"/>
    </row>
    <row collapsed="" customFormat="false" customHeight="1" hidden="" ht="14" outlineLevel="0" r="12728">
      <c r="A12728" s="3" t="inlineStr">
        <is>
          <t>12685</t>
        </is>
      </c>
      <c r="B12728" s="4" t="s">
        <f>=HYPERLINK("http://anyluxury.ru/shop/odezhda/fartuki/fartuk-picante-cherniy-so-svetloserim-3009113/" , "30091.13 Фартук Picante, черный со светло-серым")</f>
      </c>
      <c r="C12728" s="4" t="n">
        <v>1400.00</v>
      </c>
      <c r="D12728" s="4"/>
    </row>
    <row collapsed="" customFormat="false" customHeight="1" hidden="" ht="14" outlineLevel="0" r="12729">
      <c r="A12729" s="3" t="inlineStr">
        <is>
          <t>12686</t>
        </is>
      </c>
      <c r="B12729" s="4" t="s">
        <f>=HYPERLINK("http://anyluxury.ru/shop/odezhda/fartuki/fartuk-neat-beliy-1798160/" , "17981.60 Фартук Neat, белый")</f>
      </c>
      <c r="C12729" s="4" t="n">
        <v>640.00</v>
      </c>
      <c r="D12729" s="4"/>
    </row>
    <row collapsed="" customFormat="false" customHeight="1" hidden="" ht="14" outlineLevel="0" r="12730">
      <c r="A12730" s="3" t="inlineStr">
        <is>
          <t>12687</t>
        </is>
      </c>
      <c r="B12730" s="4" t="s">
        <f>=HYPERLINK("http://anyluxury.ru/shop/odezhda/fartuki/fartuk-neat-cherniy-1798130/" , "17981.30 Фартук Neat, черный")</f>
      </c>
      <c r="C12730" s="4" t="n">
        <v>640.00</v>
      </c>
      <c r="D12730" s="4"/>
    </row>
    <row collapsed="" customFormat="false" customHeight="1" hidden="" ht="14" outlineLevel="0" r="12731">
      <c r="A12731" s="3" t="inlineStr">
        <is>
          <t>12688</t>
        </is>
      </c>
      <c r="B12731" s="4" t="s">
        <f>=HYPERLINK("http://anyluxury.ru/shop/odezhda/fartuki/fartuk-settle-in-temnoseriy-1578431/" , "15784.31 Фартук Settle In, темно-серый")</f>
      </c>
      <c r="C12731" s="4" t="n">
        <v>1090.00</v>
      </c>
      <c r="D12731" s="4"/>
    </row>
    <row collapsed="" customFormat="false" customHeight="1" hidden="" ht="14" outlineLevel="0" r="12732">
      <c r="A12732" s="3" t="inlineStr">
        <is>
          <t>12689</t>
        </is>
      </c>
      <c r="B12732" s="4" t="s">
        <f>=HYPERLINK("http://anyluxury.ru/shop/odezhda/fartuki/fartuk-settle-in-seriy-1578410/" , "15784.10 Фартук Settle In, серый")</f>
      </c>
      <c r="C12732" s="4" t="n">
        <v>1090.00</v>
      </c>
      <c r="D12732" s="4"/>
    </row>
    <row collapsed="" customFormat="false" customHeight="1" hidden="" ht="14" outlineLevel="0" r="12733">
      <c r="A12733" s="3" t="inlineStr">
        <is>
          <t>12690</t>
        </is>
      </c>
      <c r="B12733" s="4" t="s">
        <f>=HYPERLINK("http://anyluxury.ru/shop/odezhda/fartuki/fartuk-artificer-temnoseriy-1629831/" , "16298.31 Фартук Artificer, темно-серый")</f>
      </c>
      <c r="C12733" s="4" t="n">
        <v>3490.00</v>
      </c>
      <c r="D12733" s="4"/>
    </row>
    <row collapsed="" customFormat="false" customHeight="1" hidden="" ht="14" outlineLevel="0" r="12734">
      <c r="A12734" s="3" t="inlineStr">
        <is>
          <t>12691</t>
        </is>
      </c>
      <c r="B12734" s="4" t="s">
        <f>=HYPERLINK("http://anyluxury.ru/shop/odezhda/fartuki/fartuk-artificer-haki-1629890/" , "16298.90 Фартук Artificer, хаки")</f>
      </c>
      <c r="C12734" s="4" t="n">
        <v>3490.00</v>
      </c>
      <c r="D12734" s="4"/>
    </row>
    <row collapsed="" customFormat="false" customHeight="1" hidden="" ht="14" outlineLevel="0" r="12735">
      <c r="A12735" s="3" t="inlineStr">
        <is>
          <t>12692</t>
        </is>
      </c>
      <c r="B12735" s="4" t="s">
        <f>=HYPERLINK("http://anyluxury.ru/shop/odezhda/fartuki/fartuk-artificer-krasniy-1629855/" , "16298.55 Фартук Artificer, красный")</f>
      </c>
      <c r="C12735" s="4" t="n">
        <v>3490.00</v>
      </c>
      <c r="D12735" s="4"/>
    </row>
    <row collapsed="" customFormat="false" customHeight="1" hidden="" ht="14" outlineLevel="0" r="12736">
      <c r="A12736" s="3" t="inlineStr">
        <is>
          <t>12693</t>
        </is>
      </c>
      <c r="B12736" s="4" t="s">
        <f>=HYPERLINK("http://anyluxury.ru/shop/odezhda/fartuki/fartuk-artificer-siniy-1629840/" , "16298.40 Фартук Artificer, синий")</f>
      </c>
      <c r="C12736" s="4" t="n">
        <v>3490.00</v>
      </c>
      <c r="D12736" s="4"/>
    </row>
    <row collapsed="" customFormat="false" customHeight="1" hidden="" ht="14" outlineLevel="0" r="12737">
      <c r="A12737" s="3" t="inlineStr">
        <is>
          <t>12694</t>
        </is>
      </c>
      <c r="B12737" s="4" t="s">
        <f>=HYPERLINK("http://anyluxury.ru/shop/odezhda/fartuki/fartuk-craft-ver2-siniy-dzhins-724544/" , "7245.44 Фартук Craft, ver.2, синий джинс")</f>
      </c>
      <c r="C12737" s="4" t="n">
        <v>3590.00</v>
      </c>
      <c r="D12737" s="4"/>
    </row>
    <row collapsed="" customFormat="false" customHeight="1" hidden="" ht="14" outlineLevel="0" r="12738">
      <c r="A12738" s="3" t="inlineStr">
        <is>
          <t>12695</t>
        </is>
      </c>
      <c r="B12738" s="4" t="s">
        <f>=HYPERLINK("http://anyluxury.ru/shop/odezhda/fartuki/fartuk-denim-team-goluboy-1629614/" , "16296.14 Фартук Denim Team, голубой джинс")</f>
      </c>
      <c r="C12738" s="4" t="n">
        <v>2990.00</v>
      </c>
      <c r="D12738" s="4"/>
    </row>
    <row collapsed="" customFormat="false" customHeight="1" hidden="" ht="14" outlineLevel="0" r="12739">
      <c r="A12739" s="3" t="inlineStr">
        <is>
          <t>12696</t>
        </is>
      </c>
      <c r="B12739" s="4" t="s">
        <f>=HYPERLINK("http://anyluxury.ru/shop/odezhda/fartuki/fartuk-artful-cherniy-1629730/" , "16297.30 Фартук Artful, черный")</f>
      </c>
      <c r="C12739" s="4" t="n">
        <v>3292.00</v>
      </c>
      <c r="D12739" s="4"/>
    </row>
    <row collapsed="" customFormat="false" customHeight="1" hidden="" ht="14" outlineLevel="0" r="12740">
      <c r="A12740" s="3" t="inlineStr">
        <is>
          <t>12697</t>
        </is>
      </c>
      <c r="B12740" s="4" t="s">
        <f>=HYPERLINK("http://anyluxury.ru/shop/odezhda/fartuki/fartuk-artful-siniy-1629740/" , "16297.40 Фартук Artful, синий")</f>
      </c>
      <c r="C12740" s="4" t="n">
        <v>3292.00</v>
      </c>
      <c r="D12740" s="4"/>
    </row>
    <row collapsed="" customFormat="false" customHeight="1" hidden="" ht="14" outlineLevel="0" r="12741">
      <c r="A12741" s="3" t="inlineStr">
        <is>
          <t>12698</t>
        </is>
      </c>
      <c r="B12741" s="4" t="s">
        <f>=HYPERLINK("http://anyluxury.ru/shop/odezhda/fartuki/fartuk-artful-haki-1629790/" , "16297.90 Фартук Artful, хаки")</f>
      </c>
      <c r="C12741" s="4" t="n">
        <v>3292.00</v>
      </c>
      <c r="D12741" s="4"/>
    </row>
    <row collapsed="" customFormat="false" customHeight="1" hidden="" ht="14" outlineLevel="0" r="12742">
      <c r="A12742" s="3" t="inlineStr">
        <is>
          <t>12699</t>
        </is>
      </c>
      <c r="B12742" s="4" t="s">
        <f>=HYPERLINK("http://anyluxury.ru/shop/odezhda/fartuki/fartuk-artful-temnorozoviy-1629715/" , "16297.15 Фартук Artful, темно-розовый")</f>
      </c>
      <c r="C12742" s="4" t="n">
        <v>3292.00</v>
      </c>
      <c r="D12742" s="4"/>
    </row>
    <row collapsed="" customFormat="false" customHeight="1" hidden="" ht="14" outlineLevel="0" r="12743">
      <c r="A12743" s="3" t="inlineStr">
        <is>
          <t>12700</t>
        </is>
      </c>
      <c r="B12743" s="4" t="s">
        <f>=HYPERLINK("http://anyluxury.ru/shop/odezhda/fartuki/fartuk-craft-ver2-cherniy-dzhins-724530/" , "7245.30 Фартук Craft, ver.2, черный джинс")</f>
      </c>
      <c r="C12743" s="4" t="n">
        <v>3590.00</v>
      </c>
      <c r="D12743" s="4"/>
    </row>
    <row collapsed="" customFormat="false" customHeight="" hidden="" ht="12.1" outlineLevel="0" r="12744">
      <c r="A12744" s="5" t="inlineStr">
        <is>
          <t> -  - Футболки</t>
        </is>
      </c>
      <c r="B12744" s="6"/>
      <c r="C12744" s="6"/>
      <c r="D12744" s="6"/>
    </row>
    <row collapsed="" customFormat="false" customHeight="1" hidden="" ht="14" outlineLevel="0" r="12745">
      <c r="A12745" s="3" t="inlineStr">
        <is>
          <t>12701</t>
        </is>
      </c>
      <c r="B12745" s="4" t="s">
        <f>=HYPERLINK("http://anyluxury.ru/shop/odezhda/futbolki/futbolka-imperial-190-belaya-137460/" , "1374.60 Футболка IMPERIAL 190 белая, размер XS")</f>
      </c>
      <c r="C12745" s="4" t="n">
        <v>586.00</v>
      </c>
      <c r="D12745" s="4"/>
    </row>
    <row collapsed="" customFormat="false" customHeight="1" hidden="" ht="14" outlineLevel="0" r="12746">
      <c r="A12746" s="3" t="inlineStr">
        <is>
          <t>12702</t>
        </is>
      </c>
      <c r="B12746" s="4" t="s">
        <f>=HYPERLINK("http://anyluxury.ru/shop/odezhda/futbolki/futbolka-imperial-190-belaya-137460/" , "1374.60 Футболка IMPERIAL 190 белая, размер S")</f>
      </c>
      <c r="C12746" s="4" t="n">
        <v>586.00</v>
      </c>
      <c r="D12746" s="4"/>
    </row>
    <row collapsed="" customFormat="false" customHeight="1" hidden="" ht="14" outlineLevel="0" r="12747">
      <c r="A12747" s="3" t="inlineStr">
        <is>
          <t>12703</t>
        </is>
      </c>
      <c r="B12747" s="4" t="s">
        <f>=HYPERLINK("http://anyluxury.ru/shop/odezhda/futbolki/futbolka-imperial-190-belaya-137460/" , "1374.60 Футболка IMPERIAL 190 белая, размер M")</f>
      </c>
      <c r="C12747" s="4" t="n">
        <v>586.00</v>
      </c>
      <c r="D12747" s="4"/>
    </row>
    <row collapsed="" customFormat="false" customHeight="1" hidden="" ht="14" outlineLevel="0" r="12748">
      <c r="A12748" s="3" t="inlineStr">
        <is>
          <t>12704</t>
        </is>
      </c>
      <c r="B12748" s="4" t="s">
        <f>=HYPERLINK("http://anyluxury.ru/shop/odezhda/futbolki/futbolka-imperial-190-belaya-137460/" , "1374.60 Футболка IMPERIAL 190 белая, размер L")</f>
      </c>
      <c r="C12748" s="4" t="n">
        <v>586.00</v>
      </c>
      <c r="D12748" s="4"/>
    </row>
    <row collapsed="" customFormat="false" customHeight="1" hidden="" ht="14" outlineLevel="0" r="12749">
      <c r="A12749" s="3" t="inlineStr">
        <is>
          <t>12705</t>
        </is>
      </c>
      <c r="B12749" s="4" t="s">
        <f>=HYPERLINK("http://anyluxury.ru/shop/odezhda/futbolki/futbolka-imperial-190-belaya-137460/" , "1374.60 Футболка IMPERIAL 190 белая, размер XL")</f>
      </c>
      <c r="C12749" s="4" t="n">
        <v>586.00</v>
      </c>
      <c r="D12749" s="4"/>
    </row>
    <row collapsed="" customFormat="false" customHeight="1" hidden="" ht="14" outlineLevel="0" r="12750">
      <c r="A12750" s="3" t="inlineStr">
        <is>
          <t>12706</t>
        </is>
      </c>
      <c r="B12750" s="4" t="s">
        <f>=HYPERLINK("http://anyluxury.ru/shop/odezhda/futbolki/futbolka-imperial-190-belaya-137460/" , "1374.60 Футболка IMPERIAL 190 белая, размер XXL")</f>
      </c>
      <c r="C12750" s="4" t="n">
        <v>586.00</v>
      </c>
      <c r="D12750" s="4"/>
    </row>
    <row collapsed="" customFormat="false" customHeight="1" hidden="" ht="14" outlineLevel="0" r="12751">
      <c r="A12751" s="3" t="inlineStr">
        <is>
          <t>12707</t>
        </is>
      </c>
      <c r="B12751" s="4" t="s">
        <f>=HYPERLINK("http://anyluxury.ru/shop/odezhda/futbolki/futbolka-imperial-190-belaya-137460/" , "1374.60 Футболка IMPERIAL 190 белая, размер 3XL")</f>
      </c>
      <c r="C12751" s="4" t="n">
        <v>710.00</v>
      </c>
      <c r="D12751" s="4"/>
    </row>
    <row collapsed="" customFormat="false" customHeight="1" hidden="" ht="14" outlineLevel="0" r="12752">
      <c r="A12752" s="3" t="inlineStr">
        <is>
          <t>12708</t>
        </is>
      </c>
      <c r="B12752" s="4" t="s">
        <f>=HYPERLINK("http://anyluxury.ru/shop/odezhda/futbolki/futbolka-imperial-190-belaya-137460/" , "1374.60 Футболка IMPERIAL 190 белая, размер 4XL")</f>
      </c>
      <c r="C12752" s="4" t="n">
        <v>1026.00</v>
      </c>
      <c r="D12752" s="4"/>
    </row>
    <row collapsed="" customFormat="false" customHeight="1" hidden="" ht="14" outlineLevel="0" r="12753">
      <c r="A12753" s="3" t="inlineStr">
        <is>
          <t>12709</t>
        </is>
      </c>
      <c r="B12753" s="4" t="s">
        <f>=HYPERLINK("http://anyluxury.ru/shop/odezhda/futbolki/futbolka-imperial-190-belaya-137460/" , "1374.60 Футболка IMPERIAL 190 белая, размер 5XL")</f>
      </c>
      <c r="C12753" s="4" t="n">
        <v>1026.00</v>
      </c>
      <c r="D12753" s="4"/>
    </row>
    <row collapsed="" customFormat="false" customHeight="1" hidden="" ht="14" outlineLevel="0" r="12754">
      <c r="A12754" s="3" t="inlineStr">
        <is>
          <t>12710</t>
        </is>
      </c>
      <c r="B12754" s="4" t="s">
        <f>=HYPERLINK("http://anyluxury.ru/shop/odezhda/futbolki/futbolka-imperial-190-yarkosinyaya-royal-137444/" , "1374.44 Футболка IMPERIAL 190 ярко-синяя (royal), размер S")</f>
      </c>
      <c r="C12754" s="4" t="n">
        <v>697.00</v>
      </c>
      <c r="D12754" s="4"/>
    </row>
    <row collapsed="" customFormat="false" customHeight="1" hidden="" ht="14" outlineLevel="0" r="12755">
      <c r="A12755" s="3" t="inlineStr">
        <is>
          <t>12711</t>
        </is>
      </c>
      <c r="B12755" s="4" t="s">
        <f>=HYPERLINK("http://anyluxury.ru/shop/odezhda/futbolki/futbolka-imperial-190-yarkosinyaya-royal-137444/" , "1374.44 Футболка IMPERIAL 190 ярко-синяя (royal), размер M")</f>
      </c>
      <c r="C12755" s="4" t="n">
        <v>697.00</v>
      </c>
      <c r="D12755" s="4"/>
    </row>
    <row collapsed="" customFormat="false" customHeight="1" hidden="" ht="14" outlineLevel="0" r="12756">
      <c r="A12756" s="3" t="inlineStr">
        <is>
          <t>12712</t>
        </is>
      </c>
      <c r="B12756" s="4" t="s">
        <f>=HYPERLINK("http://anyluxury.ru/shop/odezhda/futbolki/futbolka-imperial-190-yarkosinyaya-royal-137444/" , "1374.44 Футболка IMPERIAL 190 ярко-синяя (royal), размер L")</f>
      </c>
      <c r="C12756" s="4" t="n">
        <v>697.00</v>
      </c>
      <c r="D12756" s="4"/>
    </row>
    <row collapsed="" customFormat="false" customHeight="1" hidden="" ht="14" outlineLevel="0" r="12757">
      <c r="A12757" s="3" t="inlineStr">
        <is>
          <t>12713</t>
        </is>
      </c>
      <c r="B12757" s="4" t="s">
        <f>=HYPERLINK("http://anyluxury.ru/shop/odezhda/futbolki/futbolka-imperial-190-yarkosinyaya-royal-137444/" , "1374.44 Футболка IMPERIAL 190 ярко-синяя (royal), размер XL")</f>
      </c>
      <c r="C12757" s="4" t="n">
        <v>697.00</v>
      </c>
      <c r="D12757" s="4"/>
    </row>
    <row collapsed="" customFormat="false" customHeight="1" hidden="" ht="14" outlineLevel="0" r="12758">
      <c r="A12758" s="3" t="inlineStr">
        <is>
          <t>12714</t>
        </is>
      </c>
      <c r="B12758" s="4" t="s">
        <f>=HYPERLINK("http://anyluxury.ru/shop/odezhda/futbolki/futbolka-imperial-190-yarkosinyaya-royal-137444/" , "1374.44 Футболка IMPERIAL 190 ярко-синяя (royal), размер XXL")</f>
      </c>
      <c r="C12758" s="4" t="n">
        <v>697.00</v>
      </c>
      <c r="D12758" s="4"/>
    </row>
    <row collapsed="" customFormat="false" customHeight="1" hidden="" ht="14" outlineLevel="0" r="12759">
      <c r="A12759" s="3" t="inlineStr">
        <is>
          <t>12715</t>
        </is>
      </c>
      <c r="B12759" s="4" t="s">
        <f>=HYPERLINK("http://anyluxury.ru/shop/odezhda/futbolki/futbolka-imperial-190-yarkosinyaya-royal-137444/" , "1374.44 Футболка IMPERIAL 190 ярко-синяя, размер 3XL")</f>
      </c>
      <c r="C12759" s="4" t="n">
        <v>820.00</v>
      </c>
      <c r="D12759" s="4"/>
    </row>
    <row collapsed="" customFormat="false" customHeight="1" hidden="" ht="14" outlineLevel="0" r="12760">
      <c r="A12760" s="3" t="inlineStr">
        <is>
          <t>12716</t>
        </is>
      </c>
      <c r="B12760" s="4" t="s">
        <f>=HYPERLINK("http://anyluxury.ru/shop/odezhda/futbolki/futbolka-imperial-190-yarkosinyaya-royal-137444/" , "1374.44 Футболка IMPERIAL 190 ярко-синяя, размер 4XL")</f>
      </c>
      <c r="C12760" s="4" t="n">
        <v>1211.00</v>
      </c>
      <c r="D12760" s="4"/>
    </row>
    <row collapsed="" customFormat="false" customHeight="1" hidden="" ht="14" outlineLevel="0" r="12761">
      <c r="A12761" s="3" t="inlineStr">
        <is>
          <t>12717</t>
        </is>
      </c>
      <c r="B12761" s="4" t="s">
        <f>=HYPERLINK("http://anyluxury.ru/shop/odezhda/futbolki/futbolka-imperial-190-yarkosinyaya-royal-137444/" , "1374.44 Футболка IMPERIAL 190 ярко-синяя, размер 5XL")</f>
      </c>
      <c r="C12761" s="4" t="n">
        <v>1211.00</v>
      </c>
      <c r="D12761" s="4"/>
    </row>
    <row collapsed="" customFormat="false" customHeight="1" hidden="" ht="14" outlineLevel="0" r="12762">
      <c r="A12762" s="3" t="inlineStr">
        <is>
          <t>12718</t>
        </is>
      </c>
      <c r="B12762" s="4" t="s">
        <f>=HYPERLINK("http://anyluxury.ru/shop/odezhda/futbolki/futbolka-imperial-190-yarkosinyaya-royal-137444/" , "1374.44 Футболка Imperial 190 ярко-синяя (royal), размер XS")</f>
      </c>
      <c r="C12762" s="4" t="n">
        <v>697.00</v>
      </c>
      <c r="D12762" s="4"/>
    </row>
    <row collapsed="" customFormat="false" customHeight="1" hidden="" ht="14" outlineLevel="0" r="12763">
      <c r="A12763" s="3" t="inlineStr">
        <is>
          <t>12719</t>
        </is>
      </c>
      <c r="B12763" s="4" t="s">
        <f>=HYPERLINK("http://anyluxury.ru/shop/odezhda/futbolki/futbolka-imperial-190-moroznogolubaya-137448/" , "1374.48 Футболка IMPERIAL 190 морозно-голубая, размер S")</f>
      </c>
      <c r="C12763" s="4" t="n">
        <v>697.00</v>
      </c>
      <c r="D12763" s="4"/>
    </row>
    <row collapsed="" customFormat="false" customHeight="1" hidden="" ht="14" outlineLevel="0" r="12764">
      <c r="A12764" s="3" t="inlineStr">
        <is>
          <t>12720</t>
        </is>
      </c>
      <c r="B12764" s="4" t="s">
        <f>=HYPERLINK("http://anyluxury.ru/shop/odezhda/futbolki/futbolka-imperial-190-moroznogolubaya-137448/" , "1374.48 Футболка IMPERIAL 190 морозно-голубая, размер M")</f>
      </c>
      <c r="C12764" s="4" t="n">
        <v>697.00</v>
      </c>
      <c r="D12764" s="4"/>
    </row>
    <row collapsed="" customFormat="false" customHeight="1" hidden="" ht="14" outlineLevel="0" r="12765">
      <c r="A12765" s="3" t="inlineStr">
        <is>
          <t>12721</t>
        </is>
      </c>
      <c r="B12765" s="4" t="s">
        <f>=HYPERLINK("http://anyluxury.ru/shop/odezhda/futbolki/futbolka-imperial-190-moroznogolubaya-137448/" , "1374.48 Футболка IMPERIAL 190 морозно-голубая, размер L")</f>
      </c>
      <c r="C12765" s="4" t="n">
        <v>697.00</v>
      </c>
      <c r="D12765" s="4"/>
    </row>
    <row collapsed="" customFormat="false" customHeight="1" hidden="" ht="14" outlineLevel="0" r="12766">
      <c r="A12766" s="3" t="inlineStr">
        <is>
          <t>12722</t>
        </is>
      </c>
      <c r="B12766" s="4" t="s">
        <f>=HYPERLINK("http://anyluxury.ru/shop/odezhda/futbolki/futbolka-imperial-190-moroznogolubaya-137448/" , "1374.48 Футболка IMPERIAL 190 морозно-голубая, размер XL")</f>
      </c>
      <c r="C12766" s="4" t="n">
        <v>697.00</v>
      </c>
      <c r="D12766" s="4"/>
    </row>
    <row collapsed="" customFormat="false" customHeight="1" hidden="" ht="14" outlineLevel="0" r="12767">
      <c r="A12767" s="3" t="inlineStr">
        <is>
          <t>12723</t>
        </is>
      </c>
      <c r="B12767" s="4" t="s">
        <f>=HYPERLINK("http://anyluxury.ru/shop/odezhda/futbolki/futbolka-imperial-190-moroznogolubaya-137448/" , "1374.48 Футболка IMPERIAL 190 морозно-голубая, размер XXL")</f>
      </c>
      <c r="C12767" s="4" t="n">
        <v>697.00</v>
      </c>
      <c r="D12767" s="4"/>
    </row>
    <row collapsed="" customFormat="false" customHeight="1" hidden="" ht="14" outlineLevel="0" r="12768">
      <c r="A12768" s="3" t="inlineStr">
        <is>
          <t>12724</t>
        </is>
      </c>
      <c r="B12768" s="4" t="s">
        <f>=HYPERLINK("http://anyluxury.ru/shop/odezhda/futbolki/futbolka-imperial-190-temnozelenaya-137490/" , "1374.90 Футболка IMPERIAL 190 темно-зеленая, размер S")</f>
      </c>
      <c r="C12768" s="4" t="n">
        <v>697.00</v>
      </c>
      <c r="D12768" s="4"/>
    </row>
    <row collapsed="" customFormat="false" customHeight="1" hidden="" ht="14" outlineLevel="0" r="12769">
      <c r="A12769" s="3" t="inlineStr">
        <is>
          <t>12725</t>
        </is>
      </c>
      <c r="B12769" s="4" t="s">
        <f>=HYPERLINK("http://anyluxury.ru/shop/odezhda/futbolki/futbolka-imperial-190-temnozelenaya-137490/" , "1374.90 Футболка IMPERIAL 190 темно-зеленая, размер M")</f>
      </c>
      <c r="C12769" s="4" t="n">
        <v>697.00</v>
      </c>
      <c r="D12769" s="4"/>
    </row>
    <row collapsed="" customFormat="false" customHeight="1" hidden="" ht="14" outlineLevel="0" r="12770">
      <c r="A12770" s="3" t="inlineStr">
        <is>
          <t>12726</t>
        </is>
      </c>
      <c r="B12770" s="4" t="s">
        <f>=HYPERLINK("http://anyluxury.ru/shop/odezhda/futbolki/futbolka-imperial-190-temnozelenaya-137490/" , "1374.90 Футболка IMPERIAL 190 темно-зеленая, размер L")</f>
      </c>
      <c r="C12770" s="4" t="n">
        <v>697.00</v>
      </c>
      <c r="D12770" s="4"/>
    </row>
    <row collapsed="" customFormat="false" customHeight="1" hidden="" ht="14" outlineLevel="0" r="12771">
      <c r="A12771" s="3" t="inlineStr">
        <is>
          <t>12727</t>
        </is>
      </c>
      <c r="B12771" s="4" t="s">
        <f>=HYPERLINK("http://anyluxury.ru/shop/odezhda/futbolki/futbolka-imperial-190-temnozelenaya-137490/" , "1374.90 Футболка IMPERIAL 190 темно-зеленая, размер XL")</f>
      </c>
      <c r="C12771" s="4" t="n">
        <v>697.00</v>
      </c>
      <c r="D12771" s="4"/>
    </row>
    <row collapsed="" customFormat="false" customHeight="1" hidden="" ht="14" outlineLevel="0" r="12772">
      <c r="A12772" s="3" t="inlineStr">
        <is>
          <t>12728</t>
        </is>
      </c>
      <c r="B12772" s="4" t="s">
        <f>=HYPERLINK("http://anyluxury.ru/shop/odezhda/futbolki/futbolka-imperial-190-temnozelenaya-137490/" , "1374.90 Футболка IMPERIAL 190 темно-зеленая, размер XXL")</f>
      </c>
      <c r="C12772" s="4" t="n">
        <v>697.00</v>
      </c>
      <c r="D12772" s="4"/>
    </row>
    <row collapsed="" customFormat="false" customHeight="1" hidden="" ht="14" outlineLevel="0" r="12773">
      <c r="A12773" s="3" t="inlineStr">
        <is>
          <t>12729</t>
        </is>
      </c>
      <c r="B12773" s="4" t="s">
        <f>=HYPERLINK("http://anyluxury.ru/shop/odezhda/futbolki/futbolka-imperial-190-temnozelenaya-137490/" , "1374.90 Футболка IMPERIAL 190 темно-зеленая, размер 3XL")</f>
      </c>
      <c r="C12773" s="4" t="n">
        <v>820.00</v>
      </c>
      <c r="D12773" s="4"/>
    </row>
    <row collapsed="" customFormat="false" customHeight="1" hidden="" ht="14" outlineLevel="0" r="12774">
      <c r="A12774" s="3" t="inlineStr">
        <is>
          <t>12730</t>
        </is>
      </c>
      <c r="B12774" s="4" t="s">
        <f>=HYPERLINK("http://anyluxury.ru/shop/odezhda/futbolki/futbolka-imperial-190-temnozelenaya-137490/" , "1374.90 Футболка IMPERIAL 190 темно-зеленая, размер 4XL")</f>
      </c>
      <c r="C12774" s="4" t="n">
        <v>1211.00</v>
      </c>
      <c r="D12774" s="4"/>
    </row>
    <row collapsed="" customFormat="false" customHeight="1" hidden="" ht="14" outlineLevel="0" r="12775">
      <c r="A12775" s="3" t="inlineStr">
        <is>
          <t>12731</t>
        </is>
      </c>
      <c r="B12775" s="4" t="s">
        <f>=HYPERLINK("http://anyluxury.ru/shop/odezhda/futbolki/futbolka-imperial-190-temnozelenaya-137490/" , "1374.90 Футболка IMPERIAL 190 темно-зеленая, размер 5XL")</f>
      </c>
      <c r="C12775" s="4" t="n">
        <v>1211.00</v>
      </c>
      <c r="D12775" s="4"/>
    </row>
    <row collapsed="" customFormat="false" customHeight="1" hidden="" ht="14" outlineLevel="0" r="12776">
      <c r="A12776" s="3" t="inlineStr">
        <is>
          <t>12732</t>
        </is>
      </c>
      <c r="B12776" s="4" t="s">
        <f>=HYPERLINK("http://anyluxury.ru/shop/odezhda/futbolki/futbolka-imperial-190-svetliy-melanzh-137416/" , "1374.16 Футболка IMPERIAL 190 светло-серый меланж, размер S")</f>
      </c>
      <c r="C12776" s="4" t="n">
        <v>697.00</v>
      </c>
      <c r="D12776" s="4"/>
    </row>
    <row collapsed="" customFormat="false" customHeight="1" hidden="" ht="14" outlineLevel="0" r="12777">
      <c r="A12777" s="3" t="inlineStr">
        <is>
          <t>12733</t>
        </is>
      </c>
      <c r="B12777" s="4" t="s">
        <f>=HYPERLINK("http://anyluxury.ru/shop/odezhda/futbolki/futbolka-imperial-190-svetliy-melanzh-137416/" , "1374.16 Футболка IMPERIAL 190 светло-серый меланж, размер M")</f>
      </c>
      <c r="C12777" s="4" t="n">
        <v>697.00</v>
      </c>
      <c r="D12777" s="4"/>
    </row>
    <row collapsed="" customFormat="false" customHeight="1" hidden="" ht="14" outlineLevel="0" r="12778">
      <c r="A12778" s="3" t="inlineStr">
        <is>
          <t>12734</t>
        </is>
      </c>
      <c r="B12778" s="4" t="s">
        <f>=HYPERLINK("http://anyluxury.ru/shop/odezhda/futbolki/futbolka-imperial-190-svetliy-melanzh-137416/" , "1374.16 Футболка IMPERIAL 190 светло-серый меланж, размер L")</f>
      </c>
      <c r="C12778" s="4" t="n">
        <v>697.00</v>
      </c>
      <c r="D12778" s="4"/>
    </row>
    <row collapsed="" customFormat="false" customHeight="1" hidden="" ht="14" outlineLevel="0" r="12779">
      <c r="A12779" s="3" t="inlineStr">
        <is>
          <t>12735</t>
        </is>
      </c>
      <c r="B12779" s="4" t="s">
        <f>=HYPERLINK("http://anyluxury.ru/shop/odezhda/futbolki/futbolka-imperial-190-svetliy-melanzh-137416/" , "1374.16 Футболка IMPERIAL 190 светло-серый меланж, размер XL")</f>
      </c>
      <c r="C12779" s="4" t="n">
        <v>697.00</v>
      </c>
      <c r="D12779" s="4"/>
    </row>
    <row collapsed="" customFormat="false" customHeight="1" hidden="" ht="14" outlineLevel="0" r="12780">
      <c r="A12780" s="3" t="inlineStr">
        <is>
          <t>12736</t>
        </is>
      </c>
      <c r="B12780" s="4" t="s">
        <f>=HYPERLINK("http://anyluxury.ru/shop/odezhda/futbolki/futbolka-imperial-190-svetliy-melanzh-137416/" , "1374.16 Футболка IMPERIAL 190 светло-серый меланж, размер XXL")</f>
      </c>
      <c r="C12780" s="4" t="n">
        <v>697.00</v>
      </c>
      <c r="D12780" s="4"/>
    </row>
    <row collapsed="" customFormat="false" customHeight="1" hidden="" ht="14" outlineLevel="0" r="12781">
      <c r="A12781" s="3" t="inlineStr">
        <is>
          <t>12737</t>
        </is>
      </c>
      <c r="B12781" s="4" t="s">
        <f>=HYPERLINK("http://anyluxury.ru/shop/odezhda/futbolki/futbolka-imperial-190-svetliy-melanzh-137416/" , "1374.16 Футболка IMPERIAL 190 светло-серый меланж, размер 3XL")</f>
      </c>
      <c r="C12781" s="4" t="n">
        <v>820.00</v>
      </c>
      <c r="D12781" s="4"/>
    </row>
    <row collapsed="" customFormat="false" customHeight="1" hidden="" ht="14" outlineLevel="0" r="12782">
      <c r="A12782" s="3" t="inlineStr">
        <is>
          <t>12738</t>
        </is>
      </c>
      <c r="B12782" s="4" t="s">
        <f>=HYPERLINK("http://anyluxury.ru/shop/odezhda/futbolki/futbolka-imperial-190-svetliy-melanzh-137416/" , "1374.16 Футболка IMPERIAL 190 светло-серый меланж, размер 4XL")</f>
      </c>
      <c r="C12782" s="4" t="n">
        <v>1211.00</v>
      </c>
      <c r="D12782" s="4"/>
    </row>
    <row collapsed="" customFormat="false" customHeight="1" hidden="" ht="14" outlineLevel="0" r="12783">
      <c r="A12783" s="3" t="inlineStr">
        <is>
          <t>12739</t>
        </is>
      </c>
      <c r="B12783" s="4" t="s">
        <f>=HYPERLINK("http://anyluxury.ru/shop/odezhda/futbolki/futbolka-imperial-190-svetliy-melanzh-137416/" , "1374.16 Футболка IMPERIAL 190 светло-серый меланж, размер 5XL")</f>
      </c>
      <c r="C12783" s="4" t="n">
        <v>1211.00</v>
      </c>
      <c r="D12783" s="4"/>
    </row>
    <row collapsed="" customFormat="false" customHeight="1" hidden="" ht="14" outlineLevel="0" r="12784">
      <c r="A12784" s="3" t="inlineStr">
        <is>
          <t>12740</t>
        </is>
      </c>
      <c r="B12784" s="4" t="s">
        <f>=HYPERLINK("http://anyluxury.ru/shop/odezhda/futbolki/futbolka-imperial-190-zheltaya-137480/" , "1374.80 Футболка IMPERIAL 190 желтая, размер XS")</f>
      </c>
      <c r="C12784" s="4" t="n">
        <v>697.00</v>
      </c>
      <c r="D12784" s="4"/>
    </row>
    <row collapsed="" customFormat="false" customHeight="1" hidden="" ht="14" outlineLevel="0" r="12785">
      <c r="A12785" s="3" t="inlineStr">
        <is>
          <t>12741</t>
        </is>
      </c>
      <c r="B12785" s="4" t="s">
        <f>=HYPERLINK("http://anyluxury.ru/shop/odezhda/futbolki/futbolka-imperial-190-zheltaya-137480/" , "1374.80 Футболка IMPERIAL 190 желтая, размер S")</f>
      </c>
      <c r="C12785" s="4" t="n">
        <v>697.00</v>
      </c>
      <c r="D12785" s="4"/>
    </row>
    <row collapsed="" customFormat="false" customHeight="1" hidden="" ht="14" outlineLevel="0" r="12786">
      <c r="A12786" s="3" t="inlineStr">
        <is>
          <t>12742</t>
        </is>
      </c>
      <c r="B12786" s="4" t="s">
        <f>=HYPERLINK("http://anyluxury.ru/shop/odezhda/futbolki/futbolka-imperial-190-zheltaya-137480/" , "1374.80 Футболка IMPERIAL 190 желтая, размер M")</f>
      </c>
      <c r="C12786" s="4" t="n">
        <v>697.00</v>
      </c>
      <c r="D12786" s="4"/>
    </row>
    <row collapsed="" customFormat="false" customHeight="1" hidden="" ht="14" outlineLevel="0" r="12787">
      <c r="A12787" s="3" t="inlineStr">
        <is>
          <t>12743</t>
        </is>
      </c>
      <c r="B12787" s="4" t="s">
        <f>=HYPERLINK("http://anyluxury.ru/shop/odezhda/futbolki/futbolka-imperial-190-zheltaya-137480/" , "1374.80 Футболка IMPERIAL 190 желтая, размер L")</f>
      </c>
      <c r="C12787" s="4" t="n">
        <v>697.00</v>
      </c>
      <c r="D12787" s="4"/>
    </row>
    <row collapsed="" customFormat="false" customHeight="1" hidden="" ht="14" outlineLevel="0" r="12788">
      <c r="A12788" s="3" t="inlineStr">
        <is>
          <t>12744</t>
        </is>
      </c>
      <c r="B12788" s="4" t="s">
        <f>=HYPERLINK("http://anyluxury.ru/shop/odezhda/futbolki/futbolka-imperial-190-zheltaya-137480/" , "1374.80 Футболка IMPERIAL 190 желтая, размер XL")</f>
      </c>
      <c r="C12788" s="4" t="n">
        <v>697.00</v>
      </c>
      <c r="D12788" s="4"/>
    </row>
    <row collapsed="" customFormat="false" customHeight="1" hidden="" ht="14" outlineLevel="0" r="12789">
      <c r="A12789" s="3" t="inlineStr">
        <is>
          <t>12745</t>
        </is>
      </c>
      <c r="B12789" s="4" t="s">
        <f>=HYPERLINK("http://anyluxury.ru/shop/odezhda/futbolki/futbolka-imperial-190-zheltaya-137480/" , "1374.80 Футболка IMPERIAL 190 желтая, размер XXL")</f>
      </c>
      <c r="C12789" s="4" t="n">
        <v>697.00</v>
      </c>
      <c r="D12789" s="4"/>
    </row>
    <row collapsed="" customFormat="false" customHeight="1" hidden="" ht="14" outlineLevel="0" r="12790">
      <c r="A12790" s="3" t="inlineStr">
        <is>
          <t>12746</t>
        </is>
      </c>
      <c r="B12790" s="4" t="s">
        <f>=HYPERLINK("http://anyluxury.ru/shop/odezhda/futbolki/futbolka-imperial-190-zheltaya-137480/" , "1374.80 Футболка IMPERIAL 190 желтая, размер 3XL")</f>
      </c>
      <c r="C12790" s="4" t="n">
        <v>820.00</v>
      </c>
      <c r="D12790" s="4"/>
    </row>
    <row collapsed="" customFormat="false" customHeight="1" hidden="" ht="14" outlineLevel="0" r="12791">
      <c r="A12791" s="3" t="inlineStr">
        <is>
          <t>12747</t>
        </is>
      </c>
      <c r="B12791" s="4" t="s">
        <f>=HYPERLINK("http://anyluxury.ru/shop/odezhda/futbolki/futbolka-imperial-190-zheltaya-137480/" , "1374.80 Футболка IMPERIAL 190 желтая, размер 4XL")</f>
      </c>
      <c r="C12791" s="4" t="n">
        <v>1211.00</v>
      </c>
      <c r="D12791" s="4"/>
    </row>
    <row collapsed="" customFormat="false" customHeight="1" hidden="" ht="14" outlineLevel="0" r="12792">
      <c r="A12792" s="3" t="inlineStr">
        <is>
          <t>12748</t>
        </is>
      </c>
      <c r="B12792" s="4" t="s">
        <f>=HYPERLINK("http://anyluxury.ru/shop/odezhda/futbolki/futbolka-imperial-190-zheltaya-137480/" , "1374.80 Футболка IMPERIAL 190 желтая, размер 5XL")</f>
      </c>
      <c r="C12792" s="4" t="n">
        <v>1211.00</v>
      </c>
      <c r="D12792" s="4"/>
    </row>
    <row collapsed="" customFormat="false" customHeight="1" hidden="" ht="14" outlineLevel="0" r="12793">
      <c r="A12793" s="3" t="inlineStr">
        <is>
          <t>12749</t>
        </is>
      </c>
      <c r="B12793" s="4" t="s">
        <f>=HYPERLINK("http://anyluxury.ru/shop/odezhda/futbolki/futbolka-imperial-190-chernaya-137430/" , "1374.30 Футболка IMPERIAL 190 черная, размер XS")</f>
      </c>
      <c r="C12793" s="4" t="n">
        <v>697.00</v>
      </c>
      <c r="D12793" s="4"/>
    </row>
    <row collapsed="" customFormat="false" customHeight="1" hidden="" ht="14" outlineLevel="0" r="12794">
      <c r="A12794" s="3" t="inlineStr">
        <is>
          <t>12750</t>
        </is>
      </c>
      <c r="B12794" s="4" t="s">
        <f>=HYPERLINK("http://anyluxury.ru/shop/odezhda/futbolki/futbolka-imperial-190-chernaya-137430/" , "1374.30 Футболка IMPERIAL 190 черная, размер S")</f>
      </c>
      <c r="C12794" s="4" t="n">
        <v>697.00</v>
      </c>
      <c r="D12794" s="4"/>
    </row>
    <row collapsed="" customFormat="false" customHeight="1" hidden="" ht="14" outlineLevel="0" r="12795">
      <c r="A12795" s="3" t="inlineStr">
        <is>
          <t>12751</t>
        </is>
      </c>
      <c r="B12795" s="4" t="s">
        <f>=HYPERLINK("http://anyluxury.ru/shop/odezhda/futbolki/futbolka-imperial-190-chernaya-137430/" , "1374.30 Футболка IMPERIAL 190 черная, размер M")</f>
      </c>
      <c r="C12795" s="4" t="n">
        <v>697.00</v>
      </c>
      <c r="D12795" s="4"/>
    </row>
    <row collapsed="" customFormat="false" customHeight="1" hidden="" ht="14" outlineLevel="0" r="12796">
      <c r="A12796" s="3" t="inlineStr">
        <is>
          <t>12752</t>
        </is>
      </c>
      <c r="B12796" s="4" t="s">
        <f>=HYPERLINK("http://anyluxury.ru/shop/odezhda/futbolki/futbolka-imperial-190-chernaya-137430/" , "1374.30 Футболка IMPERIAL 190 черная, размер L")</f>
      </c>
      <c r="C12796" s="4" t="n">
        <v>697.00</v>
      </c>
      <c r="D12796" s="4"/>
    </row>
    <row collapsed="" customFormat="false" customHeight="1" hidden="" ht="14" outlineLevel="0" r="12797">
      <c r="A12797" s="3" t="inlineStr">
        <is>
          <t>12753</t>
        </is>
      </c>
      <c r="B12797" s="4" t="s">
        <f>=HYPERLINK("http://anyluxury.ru/shop/odezhda/futbolki/futbolka-imperial-190-chernaya-137430/" , "1374.30 Футболка IMPERIAL 190 черная, размер XL")</f>
      </c>
      <c r="C12797" s="4" t="n">
        <v>697.00</v>
      </c>
      <c r="D12797" s="4"/>
    </row>
    <row collapsed="" customFormat="false" customHeight="1" hidden="" ht="14" outlineLevel="0" r="12798">
      <c r="A12798" s="3" t="inlineStr">
        <is>
          <t>12754</t>
        </is>
      </c>
      <c r="B12798" s="4" t="s">
        <f>=HYPERLINK("http://anyluxury.ru/shop/odezhda/futbolki/futbolka-imperial-190-chernaya-137430/" , "1374.30 Футболка IMPERIAL 190 черная, размер XXL")</f>
      </c>
      <c r="C12798" s="4" t="n">
        <v>697.00</v>
      </c>
      <c r="D12798" s="4"/>
    </row>
    <row collapsed="" customFormat="false" customHeight="1" hidden="" ht="14" outlineLevel="0" r="12799">
      <c r="A12799" s="3" t="inlineStr">
        <is>
          <t>12755</t>
        </is>
      </c>
      <c r="B12799" s="4" t="s">
        <f>=HYPERLINK("http://anyluxury.ru/shop/odezhda/futbolki/futbolka-imperial-190-chernaya-137430/" , "1374.30 Футболка IMPERIAL 190 черная, размер 3XL")</f>
      </c>
      <c r="C12799" s="4" t="n">
        <v>820.00</v>
      </c>
      <c r="D12799" s="4"/>
    </row>
    <row collapsed="" customFormat="false" customHeight="1" hidden="" ht="14" outlineLevel="0" r="12800">
      <c r="A12800" s="3" t="inlineStr">
        <is>
          <t>12756</t>
        </is>
      </c>
      <c r="B12800" s="4" t="s">
        <f>=HYPERLINK("http://anyluxury.ru/shop/odezhda/futbolki/futbolka-imperial-190-chernaya-137430/" , "1374.30 Футболка IMPERIAL 190 черная, размер 4XL")</f>
      </c>
      <c r="C12800" s="4" t="n">
        <v>1211.00</v>
      </c>
      <c r="D12800" s="4"/>
    </row>
    <row collapsed="" customFormat="false" customHeight="1" hidden="" ht="14" outlineLevel="0" r="12801">
      <c r="A12801" s="3" t="inlineStr">
        <is>
          <t>12757</t>
        </is>
      </c>
      <c r="B12801" s="4" t="s">
        <f>=HYPERLINK("http://anyluxury.ru/shop/odezhda/futbolki/futbolka-imperial-190-chernaya-137430/" , "1374.30 Футболка IMPERIAL 190 черная, размер 5XL")</f>
      </c>
      <c r="C12801" s="4" t="n">
        <v>1211.00</v>
      </c>
      <c r="D12801" s="4"/>
    </row>
    <row collapsed="" customFormat="false" customHeight="1" hidden="" ht="14" outlineLevel="0" r="12802">
      <c r="A12802" s="3" t="inlineStr">
        <is>
          <t>12758</t>
        </is>
      </c>
      <c r="B12802" s="4" t="s">
        <f>=HYPERLINK("http://anyluxury.ru/shop/odezhda/futbolki/futbolka-imperial-190-oranzhevaya-137420/" , "1374.20 Футболка IMPERIAL 190 оранжевая, размер XS")</f>
      </c>
      <c r="C12802" s="4" t="n">
        <v>697.00</v>
      </c>
      <c r="D12802" s="4"/>
    </row>
    <row collapsed="" customFormat="false" customHeight="1" hidden="" ht="14" outlineLevel="0" r="12803">
      <c r="A12803" s="3" t="inlineStr">
        <is>
          <t>12759</t>
        </is>
      </c>
      <c r="B12803" s="4" t="s">
        <f>=HYPERLINK("http://anyluxury.ru/shop/odezhda/futbolki/futbolka-imperial-190-oranzhevaya-137420/" , "1374.20 Футболка IMPERIAL 190 оранжевая, размер S")</f>
      </c>
      <c r="C12803" s="4" t="n">
        <v>697.00</v>
      </c>
      <c r="D12803" s="4"/>
    </row>
    <row collapsed="" customFormat="false" customHeight="1" hidden="" ht="14" outlineLevel="0" r="12804">
      <c r="A12804" s="3" t="inlineStr">
        <is>
          <t>12760</t>
        </is>
      </c>
      <c r="B12804" s="4" t="s">
        <f>=HYPERLINK("http://anyluxury.ru/shop/odezhda/futbolki/futbolka-imperial-190-oranzhevaya-137420/" , "1374.20 Футболка IMPERIAL 190 оранжевая, размер M")</f>
      </c>
      <c r="C12804" s="4" t="n">
        <v>697.00</v>
      </c>
      <c r="D12804" s="4"/>
    </row>
    <row collapsed="" customFormat="false" customHeight="1" hidden="" ht="14" outlineLevel="0" r="12805">
      <c r="A12805" s="3" t="inlineStr">
        <is>
          <t>12761</t>
        </is>
      </c>
      <c r="B12805" s="4" t="s">
        <f>=HYPERLINK("http://anyluxury.ru/shop/odezhda/futbolki/futbolka-imperial-190-oranzhevaya-137420/" , "1374.20 Футболка IMPERIAL 190 оранжевая, размер L")</f>
      </c>
      <c r="C12805" s="4" t="n">
        <v>697.00</v>
      </c>
      <c r="D12805" s="4"/>
    </row>
    <row collapsed="" customFormat="false" customHeight="1" hidden="" ht="14" outlineLevel="0" r="12806">
      <c r="A12806" s="3" t="inlineStr">
        <is>
          <t>12762</t>
        </is>
      </c>
      <c r="B12806" s="4" t="s">
        <f>=HYPERLINK("http://anyluxury.ru/shop/odezhda/futbolki/futbolka-imperial-190-oranzhevaya-137420/" , "1374.20 Футболка IMPERIAL 190 оранжевая, размер XL")</f>
      </c>
      <c r="C12806" s="4" t="n">
        <v>697.00</v>
      </c>
      <c r="D12806" s="4"/>
    </row>
    <row collapsed="" customFormat="false" customHeight="1" hidden="" ht="14" outlineLevel="0" r="12807">
      <c r="A12807" s="3" t="inlineStr">
        <is>
          <t>12763</t>
        </is>
      </c>
      <c r="B12807" s="4" t="s">
        <f>=HYPERLINK("http://anyluxury.ru/shop/odezhda/futbolki/futbolka-imperial-190-oranzhevaya-137420/" , "1374.20 Футболка IMPERIAL 190 оранжевая, размер XXL")</f>
      </c>
      <c r="C12807" s="4" t="n">
        <v>697.00</v>
      </c>
      <c r="D12807" s="4"/>
    </row>
    <row collapsed="" customFormat="false" customHeight="1" hidden="" ht="14" outlineLevel="0" r="12808">
      <c r="A12808" s="3" t="inlineStr">
        <is>
          <t>12764</t>
        </is>
      </c>
      <c r="B12808" s="4" t="s">
        <f>=HYPERLINK("http://anyluxury.ru/shop/odezhda/futbolki/futbolka-imperial-190-oranzhevaya-137420/" , "1374.20 Футболка IMPERIAL 190 оранжевая, размер 3XL")</f>
      </c>
      <c r="C12808" s="4" t="n">
        <v>820.00</v>
      </c>
      <c r="D12808" s="4"/>
    </row>
    <row collapsed="" customFormat="false" customHeight="1" hidden="" ht="14" outlineLevel="0" r="12809">
      <c r="A12809" s="3" t="inlineStr">
        <is>
          <t>12765</t>
        </is>
      </c>
      <c r="B12809" s="4" t="s">
        <f>=HYPERLINK("http://anyluxury.ru/shop/odezhda/futbolki/futbolka-imperial-190-oranzhevaya-137420/" , "1374.20 Футболка IMPERIAL 190 оранжевая, размер 4XL")</f>
      </c>
      <c r="C12809" s="4" t="n">
        <v>1211.00</v>
      </c>
      <c r="D12809" s="4"/>
    </row>
    <row collapsed="" customFormat="false" customHeight="1" hidden="" ht="14" outlineLevel="0" r="12810">
      <c r="A12810" s="3" t="inlineStr">
        <is>
          <t>12766</t>
        </is>
      </c>
      <c r="B12810" s="4" t="s">
        <f>=HYPERLINK("http://anyluxury.ru/shop/odezhda/futbolki/futbolka-imperial-190-oranzhevaya-137420/" , "1374.20 Футболка IMPERIAL 190 оранжевая, размер 5XL")</f>
      </c>
      <c r="C12810" s="4" t="n">
        <v>1211.00</v>
      </c>
      <c r="D12810" s="4"/>
    </row>
    <row collapsed="" customFormat="false" customHeight="1" hidden="" ht="14" outlineLevel="0" r="12811">
      <c r="A12811" s="3" t="inlineStr">
        <is>
          <t>12767</t>
        </is>
      </c>
      <c r="B12811" s="4" t="s">
        <f>=HYPERLINK("http://anyluxury.ru/shop/odezhda/futbolki/futbolka-imperial-190-fioletovaya-137477/" , "1374.77 Футболка IMPERIAL 190 фиолетовая, размер S")</f>
      </c>
      <c r="C12811" s="4" t="n">
        <v>697.00</v>
      </c>
      <c r="D12811" s="4"/>
    </row>
    <row collapsed="" customFormat="false" customHeight="1" hidden="" ht="14" outlineLevel="0" r="12812">
      <c r="A12812" s="3" t="inlineStr">
        <is>
          <t>12768</t>
        </is>
      </c>
      <c r="B12812" s="4" t="s">
        <f>=HYPERLINK("http://anyluxury.ru/shop/odezhda/futbolki/futbolka-imperial-190-fioletovaya-137477/" , "1374.77 Футболка IMPERIAL 190 фиолетовая, размер M")</f>
      </c>
      <c r="C12812" s="4" t="n">
        <v>697.00</v>
      </c>
      <c r="D12812" s="4"/>
    </row>
    <row collapsed="" customFormat="false" customHeight="1" hidden="" ht="14" outlineLevel="0" r="12813">
      <c r="A12813" s="3" t="inlineStr">
        <is>
          <t>12769</t>
        </is>
      </c>
      <c r="B12813" s="4" t="s">
        <f>=HYPERLINK("http://anyluxury.ru/shop/odezhda/futbolki/futbolka-imperial-190-fioletovaya-137477/" , "1374.77 Футболка IMPERIAL 190 фиолетовая, размер L")</f>
      </c>
      <c r="C12813" s="4" t="n">
        <v>697.00</v>
      </c>
      <c r="D12813" s="4"/>
    </row>
    <row collapsed="" customFormat="false" customHeight="1" hidden="" ht="14" outlineLevel="0" r="12814">
      <c r="A12814" s="3" t="inlineStr">
        <is>
          <t>12770</t>
        </is>
      </c>
      <c r="B12814" s="4" t="s">
        <f>=HYPERLINK("http://anyluxury.ru/shop/odezhda/futbolki/futbolka-imperial-190-fioletovaya-137477/" , "1374.77 Футболка IMPERIAL 190 фиолетовая, размер XL")</f>
      </c>
      <c r="C12814" s="4" t="n">
        <v>697.00</v>
      </c>
      <c r="D12814" s="4"/>
    </row>
    <row collapsed="" customFormat="false" customHeight="1" hidden="" ht="14" outlineLevel="0" r="12815">
      <c r="A12815" s="3" t="inlineStr">
        <is>
          <t>12771</t>
        </is>
      </c>
      <c r="B12815" s="4" t="s">
        <f>=HYPERLINK("http://anyluxury.ru/shop/odezhda/futbolki/futbolka-imperial-190-fioletovaya-137477/" , "1374.77 Футболка IMPERIAL 190 фиолетовая, размер XXL")</f>
      </c>
      <c r="C12815" s="4" t="n">
        <v>697.00</v>
      </c>
      <c r="D12815" s="4"/>
    </row>
    <row collapsed="" customFormat="false" customHeight="1" hidden="" ht="14" outlineLevel="0" r="12816">
      <c r="A12816" s="3" t="inlineStr">
        <is>
          <t>12772</t>
        </is>
      </c>
      <c r="B12816" s="4" t="s">
        <f>=HYPERLINK("http://anyluxury.ru/shop/odezhda/futbolki/futbolka-regent-150-belaya-137660/" , "1376.60 Футболка REGENT 150 белая, размер XS")</f>
      </c>
      <c r="C12816" s="4" t="n">
        <v>458.00</v>
      </c>
      <c r="D12816" s="4"/>
    </row>
    <row collapsed="" customFormat="false" customHeight="1" hidden="" ht="14" outlineLevel="0" r="12817">
      <c r="A12817" s="3" t="inlineStr">
        <is>
          <t>12773</t>
        </is>
      </c>
      <c r="B12817" s="4" t="s">
        <f>=HYPERLINK("http://anyluxury.ru/shop/odezhda/futbolki/futbolka-regent-150-belaya-137660/" , "1376.60 Футболка REGENT 150 белая, размер S")</f>
      </c>
      <c r="C12817" s="4" t="n">
        <v>458.00</v>
      </c>
      <c r="D12817" s="4"/>
    </row>
    <row collapsed="" customFormat="false" customHeight="1" hidden="" ht="14" outlineLevel="0" r="12818">
      <c r="A12818" s="3" t="inlineStr">
        <is>
          <t>12774</t>
        </is>
      </c>
      <c r="B12818" s="4" t="s">
        <f>=HYPERLINK("http://anyluxury.ru/shop/odezhda/futbolki/futbolka-regent-150-belaya-137660/" , "1376.60 Футболка REGENT 150 белая, размер M")</f>
      </c>
      <c r="C12818" s="4" t="n">
        <v>458.00</v>
      </c>
      <c r="D12818" s="4"/>
    </row>
    <row collapsed="" customFormat="false" customHeight="1" hidden="" ht="14" outlineLevel="0" r="12819">
      <c r="A12819" s="3" t="inlineStr">
        <is>
          <t>12775</t>
        </is>
      </c>
      <c r="B12819" s="4" t="s">
        <f>=HYPERLINK("http://anyluxury.ru/shop/odezhda/futbolki/futbolka-regent-150-belaya-137660/" , "1376.60 Футболка REGENT 150 белая, размер L")</f>
      </c>
      <c r="C12819" s="4" t="n">
        <v>458.00</v>
      </c>
      <c r="D12819" s="4"/>
    </row>
    <row collapsed="" customFormat="false" customHeight="1" hidden="" ht="14" outlineLevel="0" r="12820">
      <c r="A12820" s="3" t="inlineStr">
        <is>
          <t>12776</t>
        </is>
      </c>
      <c r="B12820" s="4" t="s">
        <f>=HYPERLINK("http://anyluxury.ru/shop/odezhda/futbolki/futbolka-regent-150-belaya-137660/" , "1376.60 Футболка REGENT 150 белая, размер XL")</f>
      </c>
      <c r="C12820" s="4" t="n">
        <v>458.00</v>
      </c>
      <c r="D12820" s="4"/>
    </row>
    <row collapsed="" customFormat="false" customHeight="1" hidden="" ht="14" outlineLevel="0" r="12821">
      <c r="A12821" s="3" t="inlineStr">
        <is>
          <t>12777</t>
        </is>
      </c>
      <c r="B12821" s="4" t="s">
        <f>=HYPERLINK("http://anyluxury.ru/shop/odezhda/futbolki/futbolka-regent-150-belaya-137660/" , "1376.60 Футболка REGENT 150 белая, размер XXL")</f>
      </c>
      <c r="C12821" s="4" t="n">
        <v>458.00</v>
      </c>
      <c r="D12821" s="4"/>
    </row>
    <row collapsed="" customFormat="false" customHeight="1" hidden="" ht="14" outlineLevel="0" r="12822">
      <c r="A12822" s="3" t="inlineStr">
        <is>
          <t>12778</t>
        </is>
      </c>
      <c r="B12822" s="4" t="s">
        <f>=HYPERLINK("http://anyluxury.ru/shop/odezhda/futbolki/futbolka-regent-150-belaya-137660/" , "1376.60 Футболка REGENT 150 белая, размер 3XL")</f>
      </c>
      <c r="C12822" s="4" t="n">
        <v>564.00</v>
      </c>
      <c r="D12822" s="4"/>
    </row>
    <row collapsed="" customFormat="false" customHeight="1" hidden="" ht="14" outlineLevel="0" r="12823">
      <c r="A12823" s="3" t="inlineStr">
        <is>
          <t>12779</t>
        </is>
      </c>
      <c r="B12823" s="4" t="s">
        <f>=HYPERLINK("http://anyluxury.ru/shop/odezhda/futbolki/futbolka-regent-150-belaya-137660/" , "1376.60 Футболка Regent 150 белая, размер XXS")</f>
      </c>
      <c r="C12823" s="4" t="n">
        <v>458.00</v>
      </c>
      <c r="D12823" s="4"/>
    </row>
    <row collapsed="" customFormat="false" customHeight="1" hidden="" ht="14" outlineLevel="0" r="12824">
      <c r="A12824" s="3" t="inlineStr">
        <is>
          <t>12780</t>
        </is>
      </c>
      <c r="B12824" s="4" t="s">
        <f>=HYPERLINK("http://anyluxury.ru/shop/odezhda/futbolki/futbolka-regent-150-belaya-137660/" , "1376.60 Футболка Regent 150 белая, размер 4XL")</f>
      </c>
      <c r="C12824" s="4" t="n">
        <v>700.00</v>
      </c>
      <c r="D12824" s="4"/>
    </row>
    <row collapsed="" customFormat="false" customHeight="1" hidden="" ht="14" outlineLevel="0" r="12825">
      <c r="A12825" s="3" t="inlineStr">
        <is>
          <t>12781</t>
        </is>
      </c>
      <c r="B12825" s="4" t="s">
        <f>=HYPERLINK("http://anyluxury.ru/shop/odezhda/futbolki/futbolka-regent-150-belaya-137660/" , "1376.60 Футболка Regent 150 белая, размер 5XL")</f>
      </c>
      <c r="C12825" s="4" t="n">
        <v>810.00</v>
      </c>
      <c r="D12825" s="4"/>
    </row>
    <row collapsed="" customFormat="false" customHeight="1" hidden="" ht="14" outlineLevel="0" r="12826">
      <c r="A12826" s="3" t="inlineStr">
        <is>
          <t>12782</t>
        </is>
      </c>
      <c r="B12826" s="4" t="s">
        <f>=HYPERLINK("http://anyluxury.ru/shop/odezhda/futbolki/futbolka-regent-150-pesochnaya-137610/" , "1376.10 Футболка REGENT 150 бежевая (песок), размер XS")</f>
      </c>
      <c r="C12826" s="4" t="n">
        <v>531.00</v>
      </c>
      <c r="D12826" s="4"/>
    </row>
    <row collapsed="" customFormat="false" customHeight="1" hidden="" ht="14" outlineLevel="0" r="12827">
      <c r="A12827" s="3" t="inlineStr">
        <is>
          <t>12783</t>
        </is>
      </c>
      <c r="B12827" s="4" t="s">
        <f>=HYPERLINK("http://anyluxury.ru/shop/odezhda/futbolki/futbolka-regent-150-pesochnaya-137610/" , "1376.10 Футболка REGENT 150 бежевая (песок), размер S")</f>
      </c>
      <c r="C12827" s="4" t="n">
        <v>531.00</v>
      </c>
      <c r="D12827" s="4"/>
    </row>
    <row collapsed="" customFormat="false" customHeight="1" hidden="" ht="14" outlineLevel="0" r="12828">
      <c r="A12828" s="3" t="inlineStr">
        <is>
          <t>12784</t>
        </is>
      </c>
      <c r="B12828" s="4" t="s">
        <f>=HYPERLINK("http://anyluxury.ru/shop/odezhda/futbolki/futbolka-regent-150-pesochnaya-137610/" , "1376.10 Футболка REGENT 150 бежевая (песок), размер M")</f>
      </c>
      <c r="C12828" s="4" t="n">
        <v>531.00</v>
      </c>
      <c r="D12828" s="4"/>
    </row>
    <row collapsed="" customFormat="false" customHeight="1" hidden="" ht="14" outlineLevel="0" r="12829">
      <c r="A12829" s="3" t="inlineStr">
        <is>
          <t>12785</t>
        </is>
      </c>
      <c r="B12829" s="4" t="s">
        <f>=HYPERLINK("http://anyluxury.ru/shop/odezhda/futbolki/futbolka-regent-150-pesochnaya-137610/" , "1376.10 Футболка REGENT 150 бежевая (песок), размер L")</f>
      </c>
      <c r="C12829" s="4" t="n">
        <v>531.00</v>
      </c>
      <c r="D12829" s="4"/>
    </row>
    <row collapsed="" customFormat="false" customHeight="1" hidden="" ht="14" outlineLevel="0" r="12830">
      <c r="A12830" s="3" t="inlineStr">
        <is>
          <t>12786</t>
        </is>
      </c>
      <c r="B12830" s="4" t="s">
        <f>=HYPERLINK("http://anyluxury.ru/shop/odezhda/futbolki/futbolka-regent-150-pesochnaya-137610/" , "1376.10 Футболка REGENT 150 бежевая (песок), размер XL")</f>
      </c>
      <c r="C12830" s="4" t="n">
        <v>531.00</v>
      </c>
      <c r="D12830" s="4"/>
    </row>
    <row collapsed="" customFormat="false" customHeight="1" hidden="" ht="14" outlineLevel="0" r="12831">
      <c r="A12831" s="3" t="inlineStr">
        <is>
          <t>12787</t>
        </is>
      </c>
      <c r="B12831" s="4" t="s">
        <f>=HYPERLINK("http://anyluxury.ru/shop/odezhda/futbolki/futbolka-regent-150-pesochnaya-137610/" , "1376.10 Футболка REGENT 150 бежевая (песок), размер XXL")</f>
      </c>
      <c r="C12831" s="4" t="n">
        <v>531.00</v>
      </c>
      <c r="D12831" s="4"/>
    </row>
    <row collapsed="" customFormat="false" customHeight="1" hidden="" ht="14" outlineLevel="0" r="12832">
      <c r="A12832" s="3" t="inlineStr">
        <is>
          <t>12788</t>
        </is>
      </c>
      <c r="B12832" s="4" t="s">
        <f>=HYPERLINK("http://anyluxury.ru/shop/odezhda/futbolki/futbolka-regent-150-pesochnaya-137610/" , "1376.10 Футболка Regent 150 песочная, размер XXS")</f>
      </c>
      <c r="C12832" s="4" t="n">
        <v>531.00</v>
      </c>
      <c r="D12832" s="4"/>
    </row>
    <row collapsed="" customFormat="false" customHeight="1" hidden="" ht="14" outlineLevel="0" r="12833">
      <c r="A12833" s="3" t="inlineStr">
        <is>
          <t>12789</t>
        </is>
      </c>
      <c r="B12833" s="4" t="s">
        <f>=HYPERLINK("http://anyluxury.ru/shop/odezhda/futbolki/futbolka-regent-150-rozovaya-orhideya-137656/" , "1376.56 Футболка REGENT 150 розовая орхидея, размер XS")</f>
      </c>
      <c r="C12833" s="4" t="n">
        <v>531.00</v>
      </c>
      <c r="D12833" s="4"/>
    </row>
    <row collapsed="" customFormat="false" customHeight="1" hidden="" ht="14" outlineLevel="0" r="12834">
      <c r="A12834" s="3" t="inlineStr">
        <is>
          <t>12790</t>
        </is>
      </c>
      <c r="B12834" s="4" t="s">
        <f>=HYPERLINK("http://anyluxury.ru/shop/odezhda/futbolki/futbolka-regent-150-rozovaya-orhideya-137656/" , "1376.56 Футболка REGENT 150 розовая орхидея, размер S")</f>
      </c>
      <c r="C12834" s="4" t="n">
        <v>531.00</v>
      </c>
      <c r="D12834" s="4"/>
    </row>
    <row collapsed="" customFormat="false" customHeight="1" hidden="" ht="14" outlineLevel="0" r="12835">
      <c r="A12835" s="3" t="inlineStr">
        <is>
          <t>12791</t>
        </is>
      </c>
      <c r="B12835" s="4" t="s">
        <f>=HYPERLINK("http://anyluxury.ru/shop/odezhda/futbolki/futbolka-regent-150-rozovaya-orhideya-137656/" , "1376.56 Футболка REGENT 150 розовая орхидея, размер M")</f>
      </c>
      <c r="C12835" s="4" t="n">
        <v>531.00</v>
      </c>
      <c r="D12835" s="4"/>
    </row>
    <row collapsed="" customFormat="false" customHeight="1" hidden="" ht="14" outlineLevel="0" r="12836">
      <c r="A12836" s="3" t="inlineStr">
        <is>
          <t>12792</t>
        </is>
      </c>
      <c r="B12836" s="4" t="s">
        <f>=HYPERLINK("http://anyluxury.ru/shop/odezhda/futbolki/futbolka-regent-150-rozovaya-orhideya-137656/" , "1376.56 Футболка REGENT 150 розовая орхидея, размер L")</f>
      </c>
      <c r="C12836" s="4" t="n">
        <v>531.00</v>
      </c>
      <c r="D12836" s="4"/>
    </row>
    <row collapsed="" customFormat="false" customHeight="1" hidden="" ht="14" outlineLevel="0" r="12837">
      <c r="A12837" s="3" t="inlineStr">
        <is>
          <t>12793</t>
        </is>
      </c>
      <c r="B12837" s="4" t="s">
        <f>=HYPERLINK("http://anyluxury.ru/shop/odezhda/futbolki/futbolka-regent-150-rozovaya-orhideya-137656/" , "1376.56 Футболка REGENT 150 розовая орхидея, размер XL")</f>
      </c>
      <c r="C12837" s="4" t="n">
        <v>531.00</v>
      </c>
      <c r="D12837" s="4"/>
    </row>
    <row collapsed="" customFormat="false" customHeight="1" hidden="" ht="14" outlineLevel="0" r="12838">
      <c r="A12838" s="3" t="inlineStr">
        <is>
          <t>12794</t>
        </is>
      </c>
      <c r="B12838" s="4" t="s">
        <f>=HYPERLINK("http://anyluxury.ru/shop/odezhda/futbolki/futbolka-regent-150-rozovaya-orhideya-137656/" , "1376.56 Футболка REGENT 150 розовая орхидея, размер XXL")</f>
      </c>
      <c r="C12838" s="4" t="n">
        <v>531.00</v>
      </c>
      <c r="D12838" s="4"/>
    </row>
    <row collapsed="" customFormat="false" customHeight="1" hidden="" ht="14" outlineLevel="0" r="12839">
      <c r="A12839" s="3" t="inlineStr">
        <is>
          <t>12795</t>
        </is>
      </c>
      <c r="B12839" s="4" t="s">
        <f>=HYPERLINK("http://anyluxury.ru/shop/odezhda/futbolki/futbolka-regent-150-rozovaya-orhideya-137656/" , "1376.56 Футболка Regent 150 розовая орхидея, размер XXS")</f>
      </c>
      <c r="C12839" s="4" t="n">
        <v>531.00</v>
      </c>
      <c r="D12839" s="4"/>
    </row>
    <row collapsed="" customFormat="false" customHeight="1" hidden="" ht="14" outlineLevel="0" r="12840">
      <c r="A12840" s="3" t="inlineStr">
        <is>
          <t>12796</t>
        </is>
      </c>
      <c r="B12840" s="4" t="s">
        <f>=HYPERLINK("http://anyluxury.ru/shop/odezhda/futbolki/futbolka-regent-150-sinyaya-dzhins-137643/" , "1376.43 Футболка REGENT 150 синяя (джинс), размер XS")</f>
      </c>
      <c r="C12840" s="4" t="n">
        <v>531.00</v>
      </c>
      <c r="D12840" s="4"/>
    </row>
    <row collapsed="" customFormat="false" customHeight="1" hidden="" ht="14" outlineLevel="0" r="12841">
      <c r="A12841" s="3" t="inlineStr">
        <is>
          <t>12797</t>
        </is>
      </c>
      <c r="B12841" s="4" t="s">
        <f>=HYPERLINK("http://anyluxury.ru/shop/odezhda/futbolki/futbolka-regent-150-sinyaya-dzhins-137643/" , "1376.43 Футболка REGENT 150 синяя (джинс), размер S")</f>
      </c>
      <c r="C12841" s="4" t="n">
        <v>531.00</v>
      </c>
      <c r="D12841" s="4"/>
    </row>
    <row collapsed="" customFormat="false" customHeight="1" hidden="" ht="14" outlineLevel="0" r="12842">
      <c r="A12842" s="3" t="inlineStr">
        <is>
          <t>12798</t>
        </is>
      </c>
      <c r="B12842" s="4" t="s">
        <f>=HYPERLINK("http://anyluxury.ru/shop/odezhda/futbolki/futbolka-regent-150-sinyaya-dzhins-137643/" , "1376.43 Футболка REGENT 150 синяя (джинс), размер M")</f>
      </c>
      <c r="C12842" s="4" t="n">
        <v>531.00</v>
      </c>
      <c r="D12842" s="4"/>
    </row>
    <row collapsed="" customFormat="false" customHeight="1" hidden="" ht="14" outlineLevel="0" r="12843">
      <c r="A12843" s="3" t="inlineStr">
        <is>
          <t>12799</t>
        </is>
      </c>
      <c r="B12843" s="4" t="s">
        <f>=HYPERLINK("http://anyluxury.ru/shop/odezhda/futbolki/futbolka-regent-150-sinyaya-dzhins-137643/" , "1376.43 Футболка REGENT 150 синяя (джинс), размер L")</f>
      </c>
      <c r="C12843" s="4" t="n">
        <v>531.00</v>
      </c>
      <c r="D12843" s="4"/>
    </row>
    <row collapsed="" customFormat="false" customHeight="1" hidden="" ht="14" outlineLevel="0" r="12844">
      <c r="A12844" s="3" t="inlineStr">
        <is>
          <t>12800</t>
        </is>
      </c>
      <c r="B12844" s="4" t="s">
        <f>=HYPERLINK("http://anyluxury.ru/shop/odezhda/futbolki/futbolka-regent-150-sinyaya-dzhins-137643/" , "1376.43 Футболка REGENT 150 синяя (джинс), размер XL")</f>
      </c>
      <c r="C12844" s="4" t="n">
        <v>531.00</v>
      </c>
      <c r="D12844" s="4"/>
    </row>
    <row collapsed="" customFormat="false" customHeight="1" hidden="" ht="14" outlineLevel="0" r="12845">
      <c r="A12845" s="3" t="inlineStr">
        <is>
          <t>12801</t>
        </is>
      </c>
      <c r="B12845" s="4" t="s">
        <f>=HYPERLINK("http://anyluxury.ru/shop/odezhda/futbolki/futbolka-regent-150-sinyaya-dzhins-137643/" , "1376.43 Футболка REGENT 150 синяя (джинс), размер XXL")</f>
      </c>
      <c r="C12845" s="4" t="n">
        <v>531.00</v>
      </c>
      <c r="D12845" s="4"/>
    </row>
    <row collapsed="" customFormat="false" customHeight="1" hidden="" ht="14" outlineLevel="0" r="12846">
      <c r="A12846" s="3" t="inlineStr">
        <is>
          <t>12802</t>
        </is>
      </c>
      <c r="B12846" s="4" t="s">
        <f>=HYPERLINK("http://anyluxury.ru/shop/odezhda/futbolki/futbolka-regent-150-sinyaya-dzhins-137643/" , "1376.43 Футболка REGENT 150 синяя (джинс), размер 3XL")</f>
      </c>
      <c r="C12846" s="4" t="n">
        <v>653.00</v>
      </c>
      <c r="D12846" s="4"/>
    </row>
    <row collapsed="" customFormat="false" customHeight="1" hidden="" ht="14" outlineLevel="0" r="12847">
      <c r="A12847" s="3" t="inlineStr">
        <is>
          <t>12803</t>
        </is>
      </c>
      <c r="B12847" s="4" t="s">
        <f>=HYPERLINK("http://anyluxury.ru/shop/odezhda/futbolki/futbolka-regent-150-sinyaya-dzhins-137643/" , "1376.43 Футболка Regent 150 синяя (джинс), размер XXS")</f>
      </c>
      <c r="C12847" s="4" t="n">
        <v>531.00</v>
      </c>
      <c r="D12847" s="4"/>
    </row>
    <row collapsed="" customFormat="false" customHeight="1" hidden="" ht="14" outlineLevel="0" r="12848">
      <c r="A12848" s="3" t="inlineStr">
        <is>
          <t>12804</t>
        </is>
      </c>
      <c r="B12848" s="4" t="s">
        <f>=HYPERLINK("http://anyluxury.ru/shop/odezhda/futbolki/futbolka-regent-150-svetloseriy-melanzh-137616/" , "1376.16 Футболка REGENT 150 светло-серый меланж, размер XS")</f>
      </c>
      <c r="C12848" s="4" t="n">
        <v>531.00</v>
      </c>
      <c r="D12848" s="4"/>
    </row>
    <row collapsed="" customFormat="false" customHeight="1" hidden="" ht="14" outlineLevel="0" r="12849">
      <c r="A12849" s="3" t="inlineStr">
        <is>
          <t>12805</t>
        </is>
      </c>
      <c r="B12849" s="4" t="s">
        <f>=HYPERLINK("http://anyluxury.ru/shop/odezhda/futbolki/futbolka-regent-150-svetloseriy-melanzh-137616/" , "1376.16 Футболка REGENT 150 светло-серый меланж, размер S")</f>
      </c>
      <c r="C12849" s="4" t="n">
        <v>531.00</v>
      </c>
      <c r="D12849" s="4"/>
    </row>
    <row collapsed="" customFormat="false" customHeight="1" hidden="" ht="14" outlineLevel="0" r="12850">
      <c r="A12850" s="3" t="inlineStr">
        <is>
          <t>12806</t>
        </is>
      </c>
      <c r="B12850" s="4" t="s">
        <f>=HYPERLINK("http://anyluxury.ru/shop/odezhda/futbolki/futbolka-regent-150-svetloseriy-melanzh-137616/" , "1376.16 Футболка REGENT 150 светло-серый меланж, размер M")</f>
      </c>
      <c r="C12850" s="4" t="n">
        <v>531.00</v>
      </c>
      <c r="D12850" s="4"/>
    </row>
    <row collapsed="" customFormat="false" customHeight="1" hidden="" ht="14" outlineLevel="0" r="12851">
      <c r="A12851" s="3" t="inlineStr">
        <is>
          <t>12807</t>
        </is>
      </c>
      <c r="B12851" s="4" t="s">
        <f>=HYPERLINK("http://anyluxury.ru/shop/odezhda/futbolki/futbolka-regent-150-svetloseriy-melanzh-137616/" , "1376.16 Футболка REGENT 150 светло-серый меланж, размер L")</f>
      </c>
      <c r="C12851" s="4" t="n">
        <v>531.00</v>
      </c>
      <c r="D12851" s="4"/>
    </row>
    <row collapsed="" customFormat="false" customHeight="1" hidden="" ht="14" outlineLevel="0" r="12852">
      <c r="A12852" s="3" t="inlineStr">
        <is>
          <t>12808</t>
        </is>
      </c>
      <c r="B12852" s="4" t="s">
        <f>=HYPERLINK("http://anyluxury.ru/shop/odezhda/futbolki/futbolka-regent-150-svetloseriy-melanzh-137616/" , "1376.16 Футболка REGENT 150 светло-серый меланж, размер XL")</f>
      </c>
      <c r="C12852" s="4" t="n">
        <v>531.00</v>
      </c>
      <c r="D12852" s="4"/>
    </row>
    <row collapsed="" customFormat="false" customHeight="1" hidden="" ht="14" outlineLevel="0" r="12853">
      <c r="A12853" s="3" t="inlineStr">
        <is>
          <t>12809</t>
        </is>
      </c>
      <c r="B12853" s="4" t="s">
        <f>=HYPERLINK("http://anyluxury.ru/shop/odezhda/futbolki/futbolka-regent-150-svetloseriy-melanzh-137616/" , "1376.16 Футболка REGENT 150 светло-серый меланж, размер XXL")</f>
      </c>
      <c r="C12853" s="4" t="n">
        <v>531.00</v>
      </c>
      <c r="D12853" s="4"/>
    </row>
    <row collapsed="" customFormat="false" customHeight="1" hidden="" ht="14" outlineLevel="0" r="12854">
      <c r="A12854" s="3" t="inlineStr">
        <is>
          <t>12810</t>
        </is>
      </c>
      <c r="B12854" s="4" t="s">
        <f>=HYPERLINK("http://anyluxury.ru/shop/odezhda/futbolki/futbolka-regent-150-svetloseriy-melanzh-137616/" , "1376.16 Футболка REGENT 150 светло-серый меланж, размер 3XL")</f>
      </c>
      <c r="C12854" s="4" t="n">
        <v>653.00</v>
      </c>
      <c r="D12854" s="4"/>
    </row>
    <row collapsed="" customFormat="false" customHeight="1" hidden="" ht="14" outlineLevel="0" r="12855">
      <c r="A12855" s="3" t="inlineStr">
        <is>
          <t>12811</t>
        </is>
      </c>
      <c r="B12855" s="4" t="s">
        <f>=HYPERLINK("http://anyluxury.ru/shop/odezhda/futbolki/futbolka-regent-150-svetloseriy-melanzh-137616/" , "1376.16 Футболка Regent 150 светло-серый меланж, размер XXS")</f>
      </c>
      <c r="C12855" s="4" t="n">
        <v>531.00</v>
      </c>
      <c r="D12855" s="4"/>
    </row>
    <row collapsed="" customFormat="false" customHeight="1" hidden="" ht="14" outlineLevel="0" r="12856">
      <c r="A12856" s="3" t="inlineStr">
        <is>
          <t>12812</t>
        </is>
      </c>
      <c r="B12856" s="4" t="s">
        <f>=HYPERLINK("http://anyluxury.ru/shop/odezhda/futbolki/futbolka-regent-150-zheltaya-137680/" , "1376.80 Футболка REGENT 150 желтая, размер XS")</f>
      </c>
      <c r="C12856" s="4" t="n">
        <v>531.00</v>
      </c>
      <c r="D12856" s="4"/>
    </row>
    <row collapsed="" customFormat="false" customHeight="1" hidden="" ht="14" outlineLevel="0" r="12857">
      <c r="A12857" s="3" t="inlineStr">
        <is>
          <t>12813</t>
        </is>
      </c>
      <c r="B12857" s="4" t="s">
        <f>=HYPERLINK("http://anyluxury.ru/shop/odezhda/futbolki/futbolka-regent-150-zheltaya-137680/" , "1376.80 Футболка REGENT 150 желтая, размер S")</f>
      </c>
      <c r="C12857" s="4" t="n">
        <v>531.00</v>
      </c>
      <c r="D12857" s="4"/>
    </row>
    <row collapsed="" customFormat="false" customHeight="1" hidden="" ht="14" outlineLevel="0" r="12858">
      <c r="A12858" s="3" t="inlineStr">
        <is>
          <t>12814</t>
        </is>
      </c>
      <c r="B12858" s="4" t="s">
        <f>=HYPERLINK("http://anyluxury.ru/shop/odezhda/futbolki/futbolka-regent-150-zheltaya-137680/" , "1376.80 Футболка REGENT 150 желтая, размер M")</f>
      </c>
      <c r="C12858" s="4" t="n">
        <v>531.00</v>
      </c>
      <c r="D12858" s="4"/>
    </row>
    <row collapsed="" customFormat="false" customHeight="1" hidden="" ht="14" outlineLevel="0" r="12859">
      <c r="A12859" s="3" t="inlineStr">
        <is>
          <t>12815</t>
        </is>
      </c>
      <c r="B12859" s="4" t="s">
        <f>=HYPERLINK("http://anyluxury.ru/shop/odezhda/futbolki/futbolka-regent-150-zheltaya-137680/" , "1376.80 Футболка REGENT 150 желтая, размер L")</f>
      </c>
      <c r="C12859" s="4" t="n">
        <v>531.00</v>
      </c>
      <c r="D12859" s="4"/>
    </row>
    <row collapsed="" customFormat="false" customHeight="1" hidden="" ht="14" outlineLevel="0" r="12860">
      <c r="A12860" s="3" t="inlineStr">
        <is>
          <t>12816</t>
        </is>
      </c>
      <c r="B12860" s="4" t="s">
        <f>=HYPERLINK("http://anyluxury.ru/shop/odezhda/futbolki/futbolka-regent-150-zheltaya-137680/" , "1376.80 Футболка REGENT 150 желтая, размер XL")</f>
      </c>
      <c r="C12860" s="4" t="n">
        <v>531.00</v>
      </c>
      <c r="D12860" s="4"/>
    </row>
    <row collapsed="" customFormat="false" customHeight="1" hidden="" ht="14" outlineLevel="0" r="12861">
      <c r="A12861" s="3" t="inlineStr">
        <is>
          <t>12817</t>
        </is>
      </c>
      <c r="B12861" s="4" t="s">
        <f>=HYPERLINK("http://anyluxury.ru/shop/odezhda/futbolki/futbolka-regent-150-zheltaya-137680/" , "1376.80 Футболка REGENT 150 желтая, размер XXL")</f>
      </c>
      <c r="C12861" s="4" t="n">
        <v>531.00</v>
      </c>
      <c r="D12861" s="4"/>
    </row>
    <row collapsed="" customFormat="false" customHeight="1" hidden="" ht="14" outlineLevel="0" r="12862">
      <c r="A12862" s="3" t="inlineStr">
        <is>
          <t>12818</t>
        </is>
      </c>
      <c r="B12862" s="4" t="s">
        <f>=HYPERLINK("http://anyluxury.ru/shop/odezhda/futbolki/futbolka-regent-150-zheltaya-137680/" , "1376.80 Футболка REGENT 150 желтая, размер 3XL")</f>
      </c>
      <c r="C12862" s="4" t="n">
        <v>653.00</v>
      </c>
      <c r="D12862" s="4"/>
    </row>
    <row collapsed="" customFormat="false" customHeight="1" hidden="" ht="14" outlineLevel="0" r="12863">
      <c r="A12863" s="3" t="inlineStr">
        <is>
          <t>12819</t>
        </is>
      </c>
      <c r="B12863" s="4" t="s">
        <f>=HYPERLINK("http://anyluxury.ru/shop/odezhda/futbolki/futbolka-regent-150-zheltaya-137680/" , "1376.80 Футболка Regent 150 желтая, размер XXS")</f>
      </c>
      <c r="C12863" s="4" t="n">
        <v>531.00</v>
      </c>
      <c r="D12863" s="4"/>
    </row>
    <row collapsed="" customFormat="false" customHeight="1" hidden="" ht="14" outlineLevel="0" r="12864">
      <c r="A12864" s="3" t="inlineStr">
        <is>
          <t>12820</t>
        </is>
      </c>
      <c r="B12864" s="4" t="s">
        <f>=HYPERLINK("http://anyluxury.ru/shop/odezhda/futbolki/futbolka-regent-150-chernaya-137630/" , "1376.30 Футболка REGENT 150, черная, размер XS")</f>
      </c>
      <c r="C12864" s="4" t="n">
        <v>531.00</v>
      </c>
      <c r="D12864" s="4"/>
    </row>
    <row collapsed="" customFormat="false" customHeight="1" hidden="" ht="14" outlineLevel="0" r="12865">
      <c r="A12865" s="3" t="inlineStr">
        <is>
          <t>12821</t>
        </is>
      </c>
      <c r="B12865" s="4" t="s">
        <f>=HYPERLINK("http://anyluxury.ru/shop/odezhda/futbolki/futbolka-regent-150-chernaya-137630/" , "1376.30 Футболка REGENT 150, черная, размер S")</f>
      </c>
      <c r="C12865" s="4" t="n">
        <v>531.00</v>
      </c>
      <c r="D12865" s="4"/>
    </row>
    <row collapsed="" customFormat="false" customHeight="1" hidden="" ht="14" outlineLevel="0" r="12866">
      <c r="A12866" s="3" t="inlineStr">
        <is>
          <t>12822</t>
        </is>
      </c>
      <c r="B12866" s="4" t="s">
        <f>=HYPERLINK("http://anyluxury.ru/shop/odezhda/futbolki/futbolka-regent-150-chernaya-137630/" , "1376.30 Футболка REGENT 150, черная, размер M")</f>
      </c>
      <c r="C12866" s="4" t="n">
        <v>531.00</v>
      </c>
      <c r="D12866" s="4"/>
    </row>
    <row collapsed="" customFormat="false" customHeight="1" hidden="" ht="14" outlineLevel="0" r="12867">
      <c r="A12867" s="3" t="inlineStr">
        <is>
          <t>12823</t>
        </is>
      </c>
      <c r="B12867" s="4" t="s">
        <f>=HYPERLINK("http://anyluxury.ru/shop/odezhda/futbolki/futbolka-regent-150-chernaya-137630/" , "1376.30 Футболка REGENT 150, черная, размер L")</f>
      </c>
      <c r="C12867" s="4" t="n">
        <v>531.00</v>
      </c>
      <c r="D12867" s="4"/>
    </row>
    <row collapsed="" customFormat="false" customHeight="1" hidden="" ht="14" outlineLevel="0" r="12868">
      <c r="A12868" s="3" t="inlineStr">
        <is>
          <t>12824</t>
        </is>
      </c>
      <c r="B12868" s="4" t="s">
        <f>=HYPERLINK("http://anyluxury.ru/shop/odezhda/futbolki/futbolka-regent-150-chernaya-137630/" , "1376.30 Футболка REGENT 150, черная, размер XL")</f>
      </c>
      <c r="C12868" s="4" t="n">
        <v>531.00</v>
      </c>
      <c r="D12868" s="4"/>
    </row>
    <row collapsed="" customFormat="false" customHeight="1" hidden="" ht="14" outlineLevel="0" r="12869">
      <c r="A12869" s="3" t="inlineStr">
        <is>
          <t>12825</t>
        </is>
      </c>
      <c r="B12869" s="4" t="s">
        <f>=HYPERLINK("http://anyluxury.ru/shop/odezhda/futbolki/futbolka-regent-150-chernaya-137630/" , "1376.30 Футболка REGENT 150, черная, размер XXL")</f>
      </c>
      <c r="C12869" s="4" t="n">
        <v>531.00</v>
      </c>
      <c r="D12869" s="4"/>
    </row>
    <row collapsed="" customFormat="false" customHeight="1" hidden="" ht="14" outlineLevel="0" r="12870">
      <c r="A12870" s="3" t="inlineStr">
        <is>
          <t>12826</t>
        </is>
      </c>
      <c r="B12870" s="4" t="s">
        <f>=HYPERLINK("http://anyluxury.ru/shop/odezhda/futbolki/futbolka-regent-150-chernaya-137630/" , "1376.30 Футболка REGENT 150 черная, размер 3XL")</f>
      </c>
      <c r="C12870" s="4" t="n">
        <v>653.00</v>
      </c>
      <c r="D12870" s="4"/>
    </row>
    <row collapsed="" customFormat="false" customHeight="1" hidden="" ht="14" outlineLevel="0" r="12871">
      <c r="A12871" s="3" t="inlineStr">
        <is>
          <t>12827</t>
        </is>
      </c>
      <c r="B12871" s="4" t="s">
        <f>=HYPERLINK("http://anyluxury.ru/shop/odezhda/futbolki/futbolka-regent-150-chernaya-137630/" , "1376.30 Футболка Regent 150 черная, размер XXS")</f>
      </c>
      <c r="C12871" s="4" t="n">
        <v>531.00</v>
      </c>
      <c r="D12871" s="4"/>
    </row>
    <row collapsed="" customFormat="false" customHeight="1" hidden="" ht="14" outlineLevel="0" r="12872">
      <c r="A12872" s="3" t="inlineStr">
        <is>
          <t>12828</t>
        </is>
      </c>
      <c r="B12872" s="4" t="s">
        <f>=HYPERLINK("http://anyluxury.ru/shop/odezhda/futbolki/futbolka-regent-150-chernaya-137630/" , "1376.30 Футболка Regent 150, черная, размер 4XL")</f>
      </c>
      <c r="C12872" s="4" t="n">
        <v>810.00</v>
      </c>
      <c r="D12872" s="4"/>
    </row>
    <row collapsed="" customFormat="false" customHeight="1" hidden="" ht="14" outlineLevel="0" r="12873">
      <c r="A12873" s="3" t="inlineStr">
        <is>
          <t>12829</t>
        </is>
      </c>
      <c r="B12873" s="4" t="s">
        <f>=HYPERLINK("http://anyluxury.ru/shop/odezhda/futbolki/futbolka-regent-150-chernaya-137630/" , "1376.30 Футболка Regent 150, черная, размер 5XL")</f>
      </c>
      <c r="C12873" s="4" t="n">
        <v>935.00</v>
      </c>
      <c r="D12873" s="4"/>
    </row>
    <row collapsed="" customFormat="false" customHeight="1" hidden="" ht="14" outlineLevel="0" r="12874">
      <c r="A12874" s="3" t="inlineStr">
        <is>
          <t>12830</t>
        </is>
      </c>
      <c r="B12874" s="4" t="s">
        <f>=HYPERLINK("http://anyluxury.ru/shop/odezhda/futbolki/futbolka-regent-150-oranzhevaya-137620/" , "1376.20 Футболка REGENT 150 оранжевая, размер XS")</f>
      </c>
      <c r="C12874" s="4" t="n">
        <v>531.00</v>
      </c>
      <c r="D12874" s="4"/>
    </row>
    <row collapsed="" customFormat="false" customHeight="1" hidden="" ht="14" outlineLevel="0" r="12875">
      <c r="A12875" s="3" t="inlineStr">
        <is>
          <t>12831</t>
        </is>
      </c>
      <c r="B12875" s="4" t="s">
        <f>=HYPERLINK("http://anyluxury.ru/shop/odezhda/futbolki/futbolka-regent-150-oranzhevaya-137620/" , "1376.20 Футболка REGENT 150 оранжевая, размер S")</f>
      </c>
      <c r="C12875" s="4" t="n">
        <v>531.00</v>
      </c>
      <c r="D12875" s="4"/>
    </row>
    <row collapsed="" customFormat="false" customHeight="1" hidden="" ht="14" outlineLevel="0" r="12876">
      <c r="A12876" s="3" t="inlineStr">
        <is>
          <t>12832</t>
        </is>
      </c>
      <c r="B12876" s="4" t="s">
        <f>=HYPERLINK("http://anyluxury.ru/shop/odezhda/futbolki/futbolka-regent-150-oranzhevaya-137620/" , "1376.20 Футболка REGENT 150 оранжевая, размер M")</f>
      </c>
      <c r="C12876" s="4" t="n">
        <v>531.00</v>
      </c>
      <c r="D12876" s="4"/>
    </row>
    <row collapsed="" customFormat="false" customHeight="1" hidden="" ht="14" outlineLevel="0" r="12877">
      <c r="A12877" s="3" t="inlineStr">
        <is>
          <t>12833</t>
        </is>
      </c>
      <c r="B12877" s="4" t="s">
        <f>=HYPERLINK("http://anyluxury.ru/shop/odezhda/futbolki/futbolka-regent-150-oranzhevaya-137620/" , "1376.20 Футболка REGENT 150 оранжевая, размер L")</f>
      </c>
      <c r="C12877" s="4" t="n">
        <v>531.00</v>
      </c>
      <c r="D12877" s="4"/>
    </row>
    <row collapsed="" customFormat="false" customHeight="1" hidden="" ht="14" outlineLevel="0" r="12878">
      <c r="A12878" s="3" t="inlineStr">
        <is>
          <t>12834</t>
        </is>
      </c>
      <c r="B12878" s="4" t="s">
        <f>=HYPERLINK("http://anyluxury.ru/shop/odezhda/futbolki/futbolka-regent-150-oranzhevaya-137620/" , "1376.20 Футболка REGENT 150 оранжевая, размер XL")</f>
      </c>
      <c r="C12878" s="4" t="n">
        <v>531.00</v>
      </c>
      <c r="D12878" s="4"/>
    </row>
    <row collapsed="" customFormat="false" customHeight="1" hidden="" ht="14" outlineLevel="0" r="12879">
      <c r="A12879" s="3" t="inlineStr">
        <is>
          <t>12835</t>
        </is>
      </c>
      <c r="B12879" s="4" t="s">
        <f>=HYPERLINK("http://anyluxury.ru/shop/odezhda/futbolki/futbolka-regent-150-oranzhevaya-137620/" , "1376.20 Футболка REGENT 150 оранжевая, размер XXL")</f>
      </c>
      <c r="C12879" s="4" t="n">
        <v>531.00</v>
      </c>
      <c r="D12879" s="4"/>
    </row>
    <row collapsed="" customFormat="false" customHeight="1" hidden="" ht="14" outlineLevel="0" r="12880">
      <c r="A12880" s="3" t="inlineStr">
        <is>
          <t>12836</t>
        </is>
      </c>
      <c r="B12880" s="4" t="s">
        <f>=HYPERLINK("http://anyluxury.ru/shop/odezhda/futbolki/futbolka-regent-150-oranzhevaya-137620/" , "1376.20 Футболка REGENT 150 оранжевая, размер XXXL")</f>
      </c>
      <c r="C12880" s="4" t="n">
        <v>653.00</v>
      </c>
      <c r="D12880" s="4"/>
    </row>
    <row collapsed="" customFormat="false" customHeight="1" hidden="" ht="14" outlineLevel="0" r="12881">
      <c r="A12881" s="3" t="inlineStr">
        <is>
          <t>12837</t>
        </is>
      </c>
      <c r="B12881" s="4" t="s">
        <f>=HYPERLINK("http://anyluxury.ru/shop/odezhda/futbolki/futbolka-regent-150-oranzhevaya-137620/" , "1376.20 Футболка Regent 150 оранжевая, размер XXS")</f>
      </c>
      <c r="C12881" s="4" t="n">
        <v>531.00</v>
      </c>
      <c r="D12881" s="4"/>
    </row>
    <row collapsed="" customFormat="false" customHeight="1" hidden="" ht="14" outlineLevel="0" r="12882">
      <c r="A12882" s="3" t="inlineStr">
        <is>
          <t>12838</t>
        </is>
      </c>
      <c r="B12882" s="4" t="s">
        <f>=HYPERLINK("http://anyluxury.ru/shop/odezhda/futbolki/futbolka-regent-150-oranzhevaya-137620/" , "1376.20 Футболка Regent 150 оранжевая, размер 4XL")</f>
      </c>
      <c r="C12882" s="4" t="n">
        <v>810.00</v>
      </c>
      <c r="D12882" s="4"/>
    </row>
    <row collapsed="" customFormat="false" customHeight="1" hidden="" ht="14" outlineLevel="0" r="12883">
      <c r="A12883" s="3" t="inlineStr">
        <is>
          <t>12839</t>
        </is>
      </c>
      <c r="B12883" s="4" t="s">
        <f>=HYPERLINK("http://anyluxury.ru/shop/odezhda/futbolki/futbolka-regent-150-oranzhevaya-137620/" , "1376.20 Футболка Regent 150 оранжевая, размер 5XL")</f>
      </c>
      <c r="C12883" s="4" t="n">
        <v>935.00</v>
      </c>
      <c r="D12883" s="4"/>
    </row>
    <row collapsed="" customFormat="false" customHeight="1" hidden="" ht="14" outlineLevel="0" r="12884">
      <c r="A12884" s="3" t="inlineStr">
        <is>
          <t>12840</t>
        </is>
      </c>
      <c r="B12884" s="4" t="s">
        <f>=HYPERLINK("http://anyluxury.ru/shop/odezhda/futbolki/futbolka-zhenskaya-melrose-150-s-glubokim-virezom-krasnaya-183250/" , "1832.50 Футболка женская с глубоким вырезом MELROSE 150 красная, размер S ")</f>
      </c>
      <c r="C12884" s="4" t="n">
        <v>396.00</v>
      </c>
      <c r="D12884" s="4"/>
    </row>
    <row collapsed="" customFormat="false" customHeight="1" hidden="" ht="14" outlineLevel="0" r="12885">
      <c r="A12885" s="3" t="inlineStr">
        <is>
          <t>12841</t>
        </is>
      </c>
      <c r="B12885" s="4" t="s">
        <f>=HYPERLINK("http://anyluxury.ru/shop/odezhda/futbolki/futbolka-zhenskaya-melrose-150-s-glubokim-virezom-krasnaya-183250/" , "1832.50 Футболка женская с глубоким вырезом MELROSE 150 красная, размер M")</f>
      </c>
      <c r="C12885" s="4" t="n">
        <v>396.00</v>
      </c>
      <c r="D12885" s="4"/>
    </row>
    <row collapsed="" customFormat="false" customHeight="1" hidden="" ht="14" outlineLevel="0" r="12886">
      <c r="A12886" s="3" t="inlineStr">
        <is>
          <t>12842</t>
        </is>
      </c>
      <c r="B12886" s="4" t="s">
        <f>=HYPERLINK("http://anyluxury.ru/shop/odezhda/futbolki/futbolka-zhenskaya-melrose-150-s-glubokim-virezom-krasnaya-183250/" , "1832.50 Футболка женская с глубоким вырезом MELROSE 150 красная, размер L")</f>
      </c>
      <c r="C12886" s="4" t="n">
        <v>396.00</v>
      </c>
      <c r="D12886" s="4"/>
    </row>
    <row collapsed="" customFormat="false" customHeight="1" hidden="" ht="14" outlineLevel="0" r="12887">
      <c r="A12887" s="3" t="inlineStr">
        <is>
          <t>12843</t>
        </is>
      </c>
      <c r="B12887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S")</f>
      </c>
      <c r="C12887" s="4" t="n">
        <v>400.00</v>
      </c>
      <c r="D12887" s="4"/>
    </row>
    <row collapsed="" customFormat="false" customHeight="1" hidden="" ht="14" outlineLevel="0" r="12888">
      <c r="A12888" s="3" t="inlineStr">
        <is>
          <t>12844</t>
        </is>
      </c>
      <c r="B12888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M")</f>
      </c>
      <c r="C12888" s="4" t="n">
        <v>400.00</v>
      </c>
      <c r="D12888" s="4"/>
    </row>
    <row collapsed="" customFormat="false" customHeight="1" hidden="" ht="14" outlineLevel="0" r="12889">
      <c r="A12889" s="3" t="inlineStr">
        <is>
          <t>12845</t>
        </is>
      </c>
      <c r="B12889" s="4" t="s">
        <f>=HYPERLINK("http://anyluxury.ru/shop/odezhda/futbolki/futbolka-zhenskaya-melrose-150-s-glubokim-virezom-chernaya-183230/" , "1832.30 Футболка женская с глубоким вырезом MELROSE 150 черная, размер L")</f>
      </c>
      <c r="C12889" s="4" t="n">
        <v>396.00</v>
      </c>
      <c r="D12889" s="4"/>
    </row>
    <row collapsed="" customFormat="false" customHeight="1" hidden="" ht="14" outlineLevel="0" r="12890">
      <c r="A12890" s="3" t="inlineStr">
        <is>
          <t>12846</t>
        </is>
      </c>
      <c r="B12890" s="4" t="s">
        <f>=HYPERLINK("http://anyluxury.ru/shop/odezhda/futbolki/futbolka-muzhskaya-s-kontrastnoy-otdelkoy-madison-170-goluboybeliy-183414/" , "1834.14 Футболка мужская с контрастной отделкой MADISON 170, голубой/белый, размер XXL")</f>
      </c>
      <c r="C12890" s="4" t="n">
        <v>640.00</v>
      </c>
      <c r="D12890" s="4"/>
    </row>
    <row collapsed="" customFormat="false" customHeight="1" hidden="" ht="14" outlineLevel="0" r="12891">
      <c r="A12891" s="3" t="inlineStr">
        <is>
          <t>12847</t>
        </is>
      </c>
      <c r="B12891" s="4" t="s">
        <f>=HYPERLINK("http://anyluxury.ru/shop/odezhda/futbolki/futbolka-muzhskaya-s-kontrastnoy-otdelkoy-madison-170-yarkozeleniybeliy-183492/" , "1834.92 Футболка мужская с контрастной отделкой MADISON 170, насыщенный зеленый/белый, размер XL")</f>
      </c>
      <c r="C12891" s="4" t="n">
        <v>640.00</v>
      </c>
      <c r="D12891" s="4"/>
    </row>
    <row collapsed="" customFormat="false" customHeight="1" hidden="" ht="14" outlineLevel="0" r="12892">
      <c r="A12892" s="3" t="inlineStr">
        <is>
          <t>12848</t>
        </is>
      </c>
      <c r="B12892" s="4" t="s">
        <f>=HYPERLINK("http://anyluxury.ru/shop/odezhda/futbolki/futbolka-muzhskaya-s-kontrastnoy-otdelkoy-madison-170-krasniybeliy-183450/" , "1834.50 Футболка мужская с контрастной отделкой MADISON 170, красный/белый, размер L")</f>
      </c>
      <c r="C12892" s="4" t="n">
        <v>640.00</v>
      </c>
      <c r="D12892" s="4"/>
    </row>
    <row collapsed="" customFormat="false" customHeight="1" hidden="" ht="14" outlineLevel="0" r="12893">
      <c r="A12893" s="3" t="inlineStr">
        <is>
          <t>12849</t>
        </is>
      </c>
      <c r="B12893" s="4" t="s">
        <f>=HYPERLINK("http://anyluxury.ru/shop/odezhda/futbolki/futbolka-muzhskaya-s-kontrastnoy-otdelkoy-madison-170-krasniybeliy-183450/" , "1834.50 Футболка мужская с контрастной отделкой MADISON 170, красный/белый, размер XXL")</f>
      </c>
      <c r="C12893" s="4" t="n">
        <v>640.00</v>
      </c>
      <c r="D12893" s="4"/>
    </row>
    <row collapsed="" customFormat="false" customHeight="1" hidden="" ht="14" outlineLevel="0" r="12894">
      <c r="A12894" s="3" t="inlineStr">
        <is>
          <t>12850</t>
        </is>
      </c>
      <c r="B12894" s="4" t="s">
        <f>=HYPERLINK("http://anyluxury.ru/shop/odezhda/futbolki/futbolka-zhenskaya-lady-220-s-vobr-virezom-belaya-187460/" , "1874.60 Футболка женская LADY 220 с V-обр. вырезом, белая, размер L")</f>
      </c>
      <c r="C12894" s="4" t="n">
        <v>530.00</v>
      </c>
      <c r="D12894" s="4"/>
    </row>
    <row collapsed="" customFormat="false" customHeight="1" hidden="" ht="14" outlineLevel="0" r="12895">
      <c r="A12895" s="3" t="inlineStr">
        <is>
          <t>12851</t>
        </is>
      </c>
      <c r="B12895" s="4" t="s">
        <f>=HYPERLINK("http://anyluxury.ru/shop/odezhda/futbolki/futbolka-zhenskaya-lady-220-s-vobr-virezom-belaya-187460/" , "1874.60 Футболка женская LADY 220 с V-обр. вырезом, белая, размер XXL")</f>
      </c>
      <c r="C12895" s="4" t="n">
        <v>530.00</v>
      </c>
      <c r="D12895" s="4"/>
    </row>
    <row collapsed="" customFormat="false" customHeight="1" hidden="" ht="14" outlineLevel="0" r="12896">
      <c r="A12896" s="3" t="inlineStr">
        <is>
          <t>12852</t>
        </is>
      </c>
      <c r="B12896" s="4" t="s">
        <f>=HYPERLINK("http://anyluxury.ru/shop/odezhda/futbolki/futbolka-zhenskaya-lady-220-s-vobr-virezom-krasnaya-187450/" , "1874.50 Футболка женская LADY 220 с V-обр. вырезом, красная, размер S")</f>
      </c>
      <c r="C12896" s="4" t="n">
        <v>452.00</v>
      </c>
      <c r="D12896" s="4"/>
    </row>
    <row collapsed="" customFormat="false" customHeight="1" hidden="" ht="14" outlineLevel="0" r="12897">
      <c r="A12897" s="3" t="inlineStr">
        <is>
          <t>12853</t>
        </is>
      </c>
      <c r="B12897" s="4" t="s">
        <f>=HYPERLINK("http://anyluxury.ru/shop/odezhda/futbolki/futbolka-zhenskaya-lady-220-s-vobr-virezom-krasnaya-187450/" , "1874.50 Футболка женская LADY 220 с V-обр. вырезом, красная, размер L")</f>
      </c>
      <c r="C12897" s="4" t="n">
        <v>452.00</v>
      </c>
      <c r="D12897" s="4"/>
    </row>
    <row collapsed="" customFormat="false" customHeight="1" hidden="" ht="14" outlineLevel="0" r="12898">
      <c r="A12898" s="3" t="inlineStr">
        <is>
          <t>12854</t>
        </is>
      </c>
      <c r="B12898" s="4" t="s">
        <f>=HYPERLINK("http://anyluxury.ru/shop/odezhda/futbolki/futbolka-zhenskaya-lady-220-s-vobr-virezom-chernaya-187430/" , "1874.30 Футболка женская LADY 220 с V-обр. вырезом, черная, размер XL")</f>
      </c>
      <c r="C12898" s="4" t="n">
        <v>580.00</v>
      </c>
      <c r="D12898" s="4"/>
    </row>
    <row collapsed="" customFormat="false" customHeight="1" hidden="" ht="14" outlineLevel="0" r="12899">
      <c r="A12899" s="3" t="inlineStr">
        <is>
          <t>12855</t>
        </is>
      </c>
      <c r="B12899" s="4" t="s">
        <f>=HYPERLINK("http://anyluxury.ru/shop/odezhda/futbolki/futbolka-zhenskaya-lady-220-s-vobr-virezom-chernaya-187430/" , "1874.30 Футболка женская LADY 220 с V-обр. вырезом, черная, размер XXL")</f>
      </c>
      <c r="C12899" s="4" t="n">
        <v>580.00</v>
      </c>
      <c r="D12899" s="4"/>
    </row>
    <row collapsed="" customFormat="false" customHeight="1" hidden="" ht="14" outlineLevel="0" r="12900">
      <c r="A12900" s="3" t="inlineStr">
        <is>
          <t>12856</t>
        </is>
      </c>
      <c r="B12900" s="4" t="s">
        <f>=HYPERLINK("http://anyluxury.ru/shop/odezhda/futbolki/futbolka-muzhskaya-dvuhcvetnaya-funky-150-belaya-s-temnosinim-189064/" , "1890.64 Футболка мужская двухцветная FUNKY 150, белый/темно-синий, размер XL")</f>
      </c>
      <c r="C12900" s="4" t="n">
        <v>951.00</v>
      </c>
      <c r="D12900" s="4"/>
    </row>
    <row collapsed="" customFormat="false" customHeight="1" hidden="" ht="14" outlineLevel="0" r="12901">
      <c r="A12901" s="3" t="inlineStr">
        <is>
          <t>12857</t>
        </is>
      </c>
      <c r="B12901" s="4" t="s">
        <f>=HYPERLINK("http://anyluxury.ru/shop/odezhda/futbolki/futbolka-stretch-muzhskaya-milano-190-chernaya-438030/" , "4380.30 Футболка мужская MILANO 190 черная, размер XXL")</f>
      </c>
      <c r="C12901" s="4" t="n">
        <v>880.00</v>
      </c>
      <c r="D12901" s="4"/>
    </row>
    <row collapsed="" customFormat="false" customHeight="1" hidden="" ht="14" outlineLevel="0" r="12902">
      <c r="A12902" s="3" t="inlineStr">
        <is>
          <t>12858</t>
        </is>
      </c>
      <c r="B12902" s="4" t="s">
        <f>=HYPERLINK("http://anyluxury.ru/shop/odezhda/futbolki/futbolka-zhenskaya-milky-150-belaya-s-temnocinim-438164/" , "4381.64 Футболка женская MILKY 150 белая с темно-cиним, размер S")</f>
      </c>
      <c r="C12902" s="4" t="n">
        <v>903.00</v>
      </c>
      <c r="D12902" s="4"/>
    </row>
    <row collapsed="" customFormat="false" customHeight="1" hidden="" ht="14" outlineLevel="0" r="12903">
      <c r="A12903" s="3" t="inlineStr">
        <is>
          <t>12859</t>
        </is>
      </c>
      <c r="B12903" s="4" t="s">
        <f>=HYPERLINK("http://anyluxury.ru/shop/odezhda/futbolki/futbolka-zhenskaya-milky-150-belaya-s-temnocinim-438164/" , "4381.64 Футболка женская MILKY 150 белая с темно-cиним, размер М")</f>
      </c>
      <c r="C12903" s="4" t="n">
        <v>903.00</v>
      </c>
      <c r="D12903" s="4"/>
    </row>
    <row collapsed="" customFormat="false" customHeight="1" hidden="" ht="14" outlineLevel="0" r="12904">
      <c r="A12904" s="3" t="inlineStr">
        <is>
          <t>12860</t>
        </is>
      </c>
      <c r="B12904" s="4" t="s">
        <f>=HYPERLINK("http://anyluxury.ru/shop/odezhda/futbolki/futbolka-zhenskaya-milky-150-belaya-s-temnocinim-438164/" , "4381.64 Футболка женская MILKY 150 белая с темно-cиним, размер L")</f>
      </c>
      <c r="C12904" s="4" t="n">
        <v>903.00</v>
      </c>
      <c r="D12904" s="4"/>
    </row>
    <row collapsed="" customFormat="false" customHeight="1" hidden="" ht="14" outlineLevel="0" r="12905">
      <c r="A12905" s="3" t="inlineStr">
        <is>
          <t>12861</t>
        </is>
      </c>
      <c r="B12905" s="4" t="s">
        <f>=HYPERLINK("http://anyluxury.ru/shop/odezhda/futbolki/futbolka-zhenskaya-milky-150-belaya-s-temnocinim-438164/" , "4381.64 Футболка женская MILKY 150 белая с темно-синим, размер XL")</f>
      </c>
      <c r="C12905" s="4" t="n">
        <v>875.00</v>
      </c>
      <c r="D12905" s="4"/>
    </row>
    <row collapsed="" customFormat="false" customHeight="1" hidden="" ht="14" outlineLevel="0" r="12906">
      <c r="A12906" s="3" t="inlineStr">
        <is>
          <t>12862</t>
        </is>
      </c>
      <c r="B12906" s="4" t="s">
        <f>=HYPERLINK("http://anyluxury.ru/shop/odezhda/futbolki/futbolka-imperial-190-pesochnaya-137410/" , "1374.10 Футболка IMPERIAL 190 песочная, размер S")</f>
      </c>
      <c r="C12906" s="4" t="n">
        <v>697.00</v>
      </c>
      <c r="D12906" s="4"/>
    </row>
    <row collapsed="" customFormat="false" customHeight="1" hidden="" ht="14" outlineLevel="0" r="12907">
      <c r="A12907" s="3" t="inlineStr">
        <is>
          <t>12863</t>
        </is>
      </c>
      <c r="B12907" s="4" t="s">
        <f>=HYPERLINK("http://anyluxury.ru/shop/odezhda/futbolki/futbolka-imperial-190-pesochnaya-137410/" , "1374.10 Футболка IMPERIAL 190 песочная, размер M")</f>
      </c>
      <c r="C12907" s="4" t="n">
        <v>697.00</v>
      </c>
      <c r="D12907" s="4"/>
    </row>
    <row collapsed="" customFormat="false" customHeight="1" hidden="" ht="14" outlineLevel="0" r="12908">
      <c r="A12908" s="3" t="inlineStr">
        <is>
          <t>12864</t>
        </is>
      </c>
      <c r="B12908" s="4" t="s">
        <f>=HYPERLINK("http://anyluxury.ru/shop/odezhda/futbolki/futbolka-imperial-190-pesochnaya-137410/" , "1374.10 Футболка IMPERIAL 190 песочная, размер L")</f>
      </c>
      <c r="C12908" s="4" t="n">
        <v>697.00</v>
      </c>
      <c r="D12908" s="4"/>
    </row>
    <row collapsed="" customFormat="false" customHeight="1" hidden="" ht="14" outlineLevel="0" r="12909">
      <c r="A12909" s="3" t="inlineStr">
        <is>
          <t>12865</t>
        </is>
      </c>
      <c r="B12909" s="4" t="s">
        <f>=HYPERLINK("http://anyluxury.ru/shop/odezhda/futbolki/futbolka-imperial-190-pesochnaya-137410/" , "1374.10 Футболка IMPERIAL 190 песочная, размер XL")</f>
      </c>
      <c r="C12909" s="4" t="n">
        <v>697.00</v>
      </c>
      <c r="D12909" s="4"/>
    </row>
    <row collapsed="" customFormat="false" customHeight="1" hidden="" ht="14" outlineLevel="0" r="12910">
      <c r="A12910" s="3" t="inlineStr">
        <is>
          <t>12866</t>
        </is>
      </c>
      <c r="B12910" s="4" t="s">
        <f>=HYPERLINK("http://anyluxury.ru/shop/odezhda/futbolki/futbolka-imperial-190-pesochnaya-137410/" , "1374.10 Футболка IMPERIAL 190 песочная, размер XXL")</f>
      </c>
      <c r="C12910" s="4" t="n">
        <v>697.00</v>
      </c>
      <c r="D12910" s="4"/>
    </row>
    <row collapsed="" customFormat="false" customHeight="1" hidden="" ht="14" outlineLevel="0" r="12911">
      <c r="A12911" s="3" t="inlineStr">
        <is>
          <t>12867</t>
        </is>
      </c>
      <c r="B12911" s="4" t="s">
        <f>=HYPERLINK("http://anyluxury.ru/shop/odezhda/futbolki/futbolka-imperial-190-temnosinyaya-navy-137440/" , "1374.40 Футболка IMPERIAL 190 темно-синяя (navy), размер S")</f>
      </c>
      <c r="C12911" s="4" t="n">
        <v>697.00</v>
      </c>
      <c r="D12911" s="4"/>
    </row>
    <row collapsed="" customFormat="false" customHeight="1" hidden="" ht="14" outlineLevel="0" r="12912">
      <c r="A12912" s="3" t="inlineStr">
        <is>
          <t>12868</t>
        </is>
      </c>
      <c r="B12912" s="4" t="s">
        <f>=HYPERLINK("http://anyluxury.ru/shop/odezhda/futbolki/futbolka-imperial-190-temnosinyaya-navy-137440/" , "1374.40 Футболка IMPERIAL 190 темно-синяя (navy), размер M")</f>
      </c>
      <c r="C12912" s="4" t="n">
        <v>697.00</v>
      </c>
      <c r="D12912" s="4"/>
    </row>
    <row collapsed="" customFormat="false" customHeight="1" hidden="" ht="14" outlineLevel="0" r="12913">
      <c r="A12913" s="3" t="inlineStr">
        <is>
          <t>12869</t>
        </is>
      </c>
      <c r="B12913" s="4" t="s">
        <f>=HYPERLINK("http://anyluxury.ru/shop/odezhda/futbolki/futbolka-imperial-190-temnosinyaya-navy-137440/" , "1374.40 Футболка IMPERIAL 190 темно-синяя (navy), размер L")</f>
      </c>
      <c r="C12913" s="4" t="n">
        <v>697.00</v>
      </c>
      <c r="D12913" s="4"/>
    </row>
    <row collapsed="" customFormat="false" customHeight="1" hidden="" ht="14" outlineLevel="0" r="12914">
      <c r="A12914" s="3" t="inlineStr">
        <is>
          <t>12870</t>
        </is>
      </c>
      <c r="B12914" s="4" t="s">
        <f>=HYPERLINK("http://anyluxury.ru/shop/odezhda/futbolki/futbolka-imperial-190-temnosinyaya-navy-137440/" , "1374.40 Футболка IMPERIAL 190 темно-синяя (navy), размер XL")</f>
      </c>
      <c r="C12914" s="4" t="n">
        <v>697.00</v>
      </c>
      <c r="D12914" s="4"/>
    </row>
    <row collapsed="" customFormat="false" customHeight="1" hidden="" ht="14" outlineLevel="0" r="12915">
      <c r="A12915" s="3" t="inlineStr">
        <is>
          <t>12871</t>
        </is>
      </c>
      <c r="B12915" s="4" t="s">
        <f>=HYPERLINK("http://anyluxury.ru/shop/odezhda/futbolki/futbolka-imperial-190-temnosinyaya-navy-137440/" , "1374.40 Футболка IMPERIAL 190 темно-синяя (navy), размер XXL")</f>
      </c>
      <c r="C12915" s="4" t="n">
        <v>697.00</v>
      </c>
      <c r="D12915" s="4"/>
    </row>
    <row collapsed="" customFormat="false" customHeight="1" hidden="" ht="14" outlineLevel="0" r="12916">
      <c r="A12916" s="3" t="inlineStr">
        <is>
          <t>12872</t>
        </is>
      </c>
      <c r="B12916" s="4" t="s">
        <f>=HYPERLINK("http://anyluxury.ru/shop/odezhda/futbolki/futbolka-imperial-190-temnosinyaya-navy-137440/" , "1374.40 Футболка IMPERIAL 190 темно-синяя (navy), размер 3XL")</f>
      </c>
      <c r="C12916" s="4" t="n">
        <v>820.00</v>
      </c>
      <c r="D12916" s="4"/>
    </row>
    <row collapsed="" customFormat="false" customHeight="1" hidden="" ht="14" outlineLevel="0" r="12917">
      <c r="A12917" s="3" t="inlineStr">
        <is>
          <t>12873</t>
        </is>
      </c>
      <c r="B12917" s="4" t="s">
        <f>=HYPERLINK("http://anyluxury.ru/shop/odezhda/futbolki/futbolka-imperial-190-temnosinyaya-navy-137440/" , "1374.40 Футболка IMPERIAL 190 темно-синяя (navy), размер 4XL")</f>
      </c>
      <c r="C12917" s="4" t="n">
        <v>1211.00</v>
      </c>
      <c r="D12917" s="4"/>
    </row>
    <row collapsed="" customFormat="false" customHeight="1" hidden="" ht="14" outlineLevel="0" r="12918">
      <c r="A12918" s="3" t="inlineStr">
        <is>
          <t>12874</t>
        </is>
      </c>
      <c r="B12918" s="4" t="s">
        <f>=HYPERLINK("http://anyluxury.ru/shop/odezhda/futbolki/futbolka-imperial-190-temnosinyaya-navy-137440/" , "1374.40 Футболка IMPERIAL 190 темно-синяя (navy), размер 5XL")</f>
      </c>
      <c r="C12918" s="4" t="n">
        <v>1211.00</v>
      </c>
      <c r="D12918" s="4"/>
    </row>
    <row collapsed="" customFormat="false" customHeight="1" hidden="" ht="14" outlineLevel="0" r="12919">
      <c r="A12919" s="3" t="inlineStr">
        <is>
          <t>12875</t>
        </is>
      </c>
      <c r="B12919" s="4" t="s">
        <f>=HYPERLINK("http://anyluxury.ru/shop/odezhda/futbolki/futbolka-imperial-190-temnosinyaya-navy-137440/" , "1374.40 Футболка IMPERIAL, темно-синяя (navy), размер XS")</f>
      </c>
      <c r="C12919" s="4" t="n">
        <v>697.00</v>
      </c>
      <c r="D12919" s="4"/>
    </row>
    <row collapsed="" customFormat="false" customHeight="1" hidden="" ht="14" outlineLevel="0" r="12920">
      <c r="A12920" s="3" t="inlineStr">
        <is>
          <t>12876</t>
        </is>
      </c>
      <c r="B12920" s="4" t="s">
        <f>=HYPERLINK("http://anyluxury.ru/shop/odezhda/futbolki/futbolka-imperial-190-kobalt-temnosinyaya-137447/" , "1374.47 Футболка IMPERIAL 190 кобальт (темно-синяя), размер XS")</f>
      </c>
      <c r="C12920" s="4" t="n">
        <v>697.00</v>
      </c>
      <c r="D12920" s="4"/>
    </row>
    <row collapsed="" customFormat="false" customHeight="1" hidden="" ht="14" outlineLevel="0" r="12921">
      <c r="A12921" s="3" t="inlineStr">
        <is>
          <t>12877</t>
        </is>
      </c>
      <c r="B12921" s="4" t="s">
        <f>=HYPERLINK("http://anyluxury.ru/shop/odezhda/futbolki/futbolka-imperial-190-kobalt-temnosinyaya-137447/" , "1374.47 Футболка IMPERIAL 190 кобальт (темно-синяя), размер S")</f>
      </c>
      <c r="C12921" s="4" t="n">
        <v>697.00</v>
      </c>
      <c r="D12921" s="4"/>
    </row>
    <row collapsed="" customFormat="false" customHeight="1" hidden="" ht="14" outlineLevel="0" r="12922">
      <c r="A12922" s="3" t="inlineStr">
        <is>
          <t>12878</t>
        </is>
      </c>
      <c r="B12922" s="4" t="s">
        <f>=HYPERLINK("http://anyluxury.ru/shop/odezhda/futbolki/futbolka-imperial-190-kobalt-temnosinyaya-137447/" , "1374.47 Футболка IMPERIAL 190 кобальт (темно-синяя), размер M")</f>
      </c>
      <c r="C12922" s="4" t="n">
        <v>697.00</v>
      </c>
      <c r="D12922" s="4"/>
    </row>
    <row collapsed="" customFormat="false" customHeight="1" hidden="" ht="14" outlineLevel="0" r="12923">
      <c r="A12923" s="3" t="inlineStr">
        <is>
          <t>12879</t>
        </is>
      </c>
      <c r="B12923" s="4" t="s">
        <f>=HYPERLINK("http://anyluxury.ru/shop/odezhda/futbolki/futbolka-imperial-190-kobalt-temnosinyaya-137447/" , "1374.47 Футболка IMPERIAL 190 кобальт (темно-синяя), размер L")</f>
      </c>
      <c r="C12923" s="4" t="n">
        <v>697.00</v>
      </c>
      <c r="D12923" s="4"/>
    </row>
    <row collapsed="" customFormat="false" customHeight="1" hidden="" ht="14" outlineLevel="0" r="12924">
      <c r="A12924" s="3" t="inlineStr">
        <is>
          <t>12880</t>
        </is>
      </c>
      <c r="B12924" s="4" t="s">
        <f>=HYPERLINK("http://anyluxury.ru/shop/odezhda/futbolki/futbolka-imperial-190-kobalt-temnosinyaya-137447/" , "1374.47 Футболка IMPERIAL 190 кобальт (темно-синяя), размер XL")</f>
      </c>
      <c r="C12924" s="4" t="n">
        <v>697.00</v>
      </c>
      <c r="D12924" s="4"/>
    </row>
    <row collapsed="" customFormat="false" customHeight="1" hidden="" ht="14" outlineLevel="0" r="12925">
      <c r="A12925" s="3" t="inlineStr">
        <is>
          <t>12881</t>
        </is>
      </c>
      <c r="B12925" s="4" t="s">
        <f>=HYPERLINK("http://anyluxury.ru/shop/odezhda/futbolki/futbolka-imperial-190-kobalt-temnosinyaya-137447/" , "1374.47 Футболка IMPERIAL 190 кобальт (темно-синяя), размер XXL")</f>
      </c>
      <c r="C12925" s="4" t="n">
        <v>697.00</v>
      </c>
      <c r="D12925" s="4"/>
    </row>
    <row collapsed="" customFormat="false" customHeight="1" hidden="" ht="14" outlineLevel="0" r="12926">
      <c r="A12926" s="3" t="inlineStr">
        <is>
          <t>12882</t>
        </is>
      </c>
      <c r="B12926" s="4" t="s">
        <f>=HYPERLINK("http://anyluxury.ru/shop/odezhda/futbolki/futbolka-imperial-190-kobalt-temnosinyaya-137447/" , "1374.47 Футболка IMPERIAL 190 кобальт (темно-синяя), размер 3XL")</f>
      </c>
      <c r="C12926" s="4" t="n">
        <v>820.00</v>
      </c>
      <c r="D12926" s="4"/>
    </row>
    <row collapsed="" customFormat="false" customHeight="1" hidden="" ht="14" outlineLevel="0" r="12927">
      <c r="A12927" s="3" t="inlineStr">
        <is>
          <t>12883</t>
        </is>
      </c>
      <c r="B12927" s="4" t="s">
        <f>=HYPERLINK("http://anyluxury.ru/shop/odezhda/futbolki/futbolka-imperial-190-kobalt-temnosinyaya-137447/" , "1374.47 Футболка IMPERIAL 190 кобальт (темно-синяя), размер 4XL")</f>
      </c>
      <c r="C12927" s="4" t="n">
        <v>1211.00</v>
      </c>
      <c r="D12927" s="4"/>
    </row>
    <row collapsed="" customFormat="false" customHeight="1" hidden="" ht="14" outlineLevel="0" r="12928">
      <c r="A12928" s="3" t="inlineStr">
        <is>
          <t>12884</t>
        </is>
      </c>
      <c r="B12928" s="4" t="s">
        <f>=HYPERLINK("http://anyluxury.ru/shop/odezhda/futbolki/futbolka-imperial-190-kobalt-temnosinyaya-137447/" , "1374.47 Футболка IMPERIAL 190 кобальт (темно-синяя), размер 5XL")</f>
      </c>
      <c r="C12928" s="4" t="n">
        <v>1211.00</v>
      </c>
      <c r="D12928" s="4"/>
    </row>
    <row collapsed="" customFormat="false" customHeight="1" hidden="" ht="14" outlineLevel="0" r="12929">
      <c r="A12929" s="3" t="inlineStr">
        <is>
          <t>12885</t>
        </is>
      </c>
      <c r="B12929" s="4" t="s">
        <f>=HYPERLINK("http://anyluxury.ru/shop/odezhda/futbolki/futbolka-imperial-190-krasnaya-137450/" , "1374.50 Футболка IMPERIAL 190 красная, размер XS")</f>
      </c>
      <c r="C12929" s="4" t="n">
        <v>697.00</v>
      </c>
      <c r="D12929" s="4"/>
    </row>
    <row collapsed="" customFormat="false" customHeight="1" hidden="" ht="14" outlineLevel="0" r="12930">
      <c r="A12930" s="3" t="inlineStr">
        <is>
          <t>12886</t>
        </is>
      </c>
      <c r="B12930" s="4" t="s">
        <f>=HYPERLINK("http://anyluxury.ru/shop/odezhda/futbolki/futbolka-imperial-190-krasnaya-137450/" , "1374.50 Футболка IMPERIAL 190 красная, размер S")</f>
      </c>
      <c r="C12930" s="4" t="n">
        <v>697.00</v>
      </c>
      <c r="D12930" s="4"/>
    </row>
    <row collapsed="" customFormat="false" customHeight="1" hidden="" ht="14" outlineLevel="0" r="12931">
      <c r="A12931" s="3" t="inlineStr">
        <is>
          <t>12887</t>
        </is>
      </c>
      <c r="B12931" s="4" t="s">
        <f>=HYPERLINK("http://anyluxury.ru/shop/odezhda/futbolki/futbolka-imperial-190-krasnaya-137450/" , "1374.50 Футболка IMPERIAL 190 красная, размер M")</f>
      </c>
      <c r="C12931" s="4" t="n">
        <v>697.00</v>
      </c>
      <c r="D12931" s="4"/>
    </row>
    <row collapsed="" customFormat="false" customHeight="1" hidden="" ht="14" outlineLevel="0" r="12932">
      <c r="A12932" s="3" t="inlineStr">
        <is>
          <t>12888</t>
        </is>
      </c>
      <c r="B12932" s="4" t="s">
        <f>=HYPERLINK("http://anyluxury.ru/shop/odezhda/futbolki/futbolka-imperial-190-krasnaya-137450/" , "1374.50 Футболка IMPERIAL 190 красная, размер L")</f>
      </c>
      <c r="C12932" s="4" t="n">
        <v>697.00</v>
      </c>
      <c r="D12932" s="4"/>
    </row>
    <row collapsed="" customFormat="false" customHeight="1" hidden="" ht="14" outlineLevel="0" r="12933">
      <c r="A12933" s="3" t="inlineStr">
        <is>
          <t>12889</t>
        </is>
      </c>
      <c r="B12933" s="4" t="s">
        <f>=HYPERLINK("http://anyluxury.ru/shop/odezhda/futbolki/futbolka-imperial-190-krasnaya-137450/" , "1374.50 Футболка IMPERIAL 190 красная, размер XL")</f>
      </c>
      <c r="C12933" s="4" t="n">
        <v>697.00</v>
      </c>
      <c r="D12933" s="4"/>
    </row>
    <row collapsed="" customFormat="false" customHeight="1" hidden="" ht="14" outlineLevel="0" r="12934">
      <c r="A12934" s="3" t="inlineStr">
        <is>
          <t>12890</t>
        </is>
      </c>
      <c r="B12934" s="4" t="s">
        <f>=HYPERLINK("http://anyluxury.ru/shop/odezhda/futbolki/futbolka-imperial-190-krasnaya-137450/" , "1374.50 Футболка IMPERIAL 190 красная, размер XXL")</f>
      </c>
      <c r="C12934" s="4" t="n">
        <v>697.00</v>
      </c>
      <c r="D12934" s="4"/>
    </row>
    <row collapsed="" customFormat="false" customHeight="1" hidden="" ht="14" outlineLevel="0" r="12935">
      <c r="A12935" s="3" t="inlineStr">
        <is>
          <t>12891</t>
        </is>
      </c>
      <c r="B12935" s="4" t="s">
        <f>=HYPERLINK("http://anyluxury.ru/shop/odezhda/futbolki/futbolka-imperial-190-krasnaya-137450/" , "1374.50 Футболка IMPERIAL 190 красная, размер 3XL")</f>
      </c>
      <c r="C12935" s="4" t="n">
        <v>820.00</v>
      </c>
      <c r="D12935" s="4"/>
    </row>
    <row collapsed="" customFormat="false" customHeight="1" hidden="" ht="14" outlineLevel="0" r="12936">
      <c r="A12936" s="3" t="inlineStr">
        <is>
          <t>12892</t>
        </is>
      </c>
      <c r="B12936" s="4" t="s">
        <f>=HYPERLINK("http://anyluxury.ru/shop/odezhda/futbolki/futbolka-imperial-190-krasnaya-137450/" , "1374.50 Футболка IMPERIAL 190 красная, размер 4XL")</f>
      </c>
      <c r="C12936" s="4" t="n">
        <v>1211.00</v>
      </c>
      <c r="D12936" s="4"/>
    </row>
    <row collapsed="" customFormat="false" customHeight="1" hidden="" ht="14" outlineLevel="0" r="12937">
      <c r="A12937" s="3" t="inlineStr">
        <is>
          <t>12893</t>
        </is>
      </c>
      <c r="B12937" s="4" t="s">
        <f>=HYPERLINK("http://anyluxury.ru/shop/odezhda/futbolki/futbolka-imperial-190-krasnaya-137450/" , "1374.50 Футболка IMPERIAL 190 красная, размер 5XL")</f>
      </c>
      <c r="C12937" s="4" t="n">
        <v>1211.00</v>
      </c>
      <c r="D12937" s="4"/>
    </row>
    <row collapsed="" customFormat="false" customHeight="1" hidden="" ht="14" outlineLevel="0" r="12938">
      <c r="A12938" s="3" t="inlineStr">
        <is>
          <t>12894</t>
        </is>
      </c>
      <c r="B12938" s="4" t="s">
        <f>=HYPERLINK("http://anyluxury.ru/shop/odezhda/futbolki/futbolka-imperial-190-bordovaya-137455/" , "1374.55 Футболка IMPERIAL 190 бордовая, размер S")</f>
      </c>
      <c r="C12938" s="4" t="n">
        <v>697.00</v>
      </c>
      <c r="D12938" s="4"/>
    </row>
    <row collapsed="" customFormat="false" customHeight="1" hidden="" ht="14" outlineLevel="0" r="12939">
      <c r="A12939" s="3" t="inlineStr">
        <is>
          <t>12895</t>
        </is>
      </c>
      <c r="B12939" s="4" t="s">
        <f>=HYPERLINK("http://anyluxury.ru/shop/odezhda/futbolki/futbolka-imperial-190-bordovaya-137455/" , "1374.55 Футболка IMPERIAL 190 бордовая, размер M")</f>
      </c>
      <c r="C12939" s="4" t="n">
        <v>697.00</v>
      </c>
      <c r="D12939" s="4"/>
    </row>
    <row collapsed="" customFormat="false" customHeight="1" hidden="" ht="14" outlineLevel="0" r="12940">
      <c r="A12940" s="3" t="inlineStr">
        <is>
          <t>12896</t>
        </is>
      </c>
      <c r="B12940" s="4" t="s">
        <f>=HYPERLINK("http://anyluxury.ru/shop/odezhda/futbolki/futbolka-imperial-190-bordovaya-137455/" , "1374.55 Футболка IMPERIAL 190 бордовая, размер L")</f>
      </c>
      <c r="C12940" s="4" t="n">
        <v>697.00</v>
      </c>
      <c r="D12940" s="4"/>
    </row>
    <row collapsed="" customFormat="false" customHeight="1" hidden="" ht="14" outlineLevel="0" r="12941">
      <c r="A12941" s="3" t="inlineStr">
        <is>
          <t>12897</t>
        </is>
      </c>
      <c r="B12941" s="4" t="s">
        <f>=HYPERLINK("http://anyluxury.ru/shop/odezhda/futbolki/futbolka-imperial-190-bordovaya-137455/" , "1374.55 Футболка IMPERIAL 190 бордовая, размер XL")</f>
      </c>
      <c r="C12941" s="4" t="n">
        <v>697.00</v>
      </c>
      <c r="D12941" s="4"/>
    </row>
    <row collapsed="" customFormat="false" customHeight="1" hidden="" ht="14" outlineLevel="0" r="12942">
      <c r="A12942" s="3" t="inlineStr">
        <is>
          <t>12898</t>
        </is>
      </c>
      <c r="B12942" s="4" t="s">
        <f>=HYPERLINK("http://anyluxury.ru/shop/odezhda/futbolki/futbolka-imperial-190-bordovaya-137455/" , "1374.55 Футболка IMPERIAL 190 бордовая, размер XXL")</f>
      </c>
      <c r="C12942" s="4" t="n">
        <v>697.00</v>
      </c>
      <c r="D12942" s="4"/>
    </row>
    <row collapsed="" customFormat="false" customHeight="1" hidden="" ht="14" outlineLevel="0" r="12943">
      <c r="A12943" s="3" t="inlineStr">
        <is>
          <t>12899</t>
        </is>
      </c>
      <c r="B12943" s="4" t="s">
        <f>=HYPERLINK("http://anyluxury.ru/shop/odezhda/futbolki/futbolka-imperial-190-bordovaya-137455/" , "1374.55 Футболка Imperial 190, бордовая, размер 3XL")</f>
      </c>
      <c r="C12943" s="4" t="n">
        <v>820.00</v>
      </c>
      <c r="D12943" s="4"/>
    </row>
    <row collapsed="" customFormat="false" customHeight="1" hidden="" ht="14" outlineLevel="0" r="12944">
      <c r="A12944" s="3" t="inlineStr">
        <is>
          <t>12900</t>
        </is>
      </c>
      <c r="B12944" s="4" t="s">
        <f>=HYPERLINK("http://anyluxury.ru/shop/odezhda/futbolki/futbolka-regent-150-seriy-melanzh-137611/" , "1376.11 Футболка REGENT 150 серый меланж, размер XS")</f>
      </c>
      <c r="C12944" s="4" t="n">
        <v>531.00</v>
      </c>
      <c r="D12944" s="4"/>
    </row>
    <row collapsed="" customFormat="false" customHeight="1" hidden="" ht="14" outlineLevel="0" r="12945">
      <c r="A12945" s="3" t="inlineStr">
        <is>
          <t>12901</t>
        </is>
      </c>
      <c r="B12945" s="4" t="s">
        <f>=HYPERLINK("http://anyluxury.ru/shop/odezhda/futbolki/futbolka-regent-150-seriy-melanzh-137611/" , "1376.11 Футболка REGENT 150 серый меланж, размер S")</f>
      </c>
      <c r="C12945" s="4" t="n">
        <v>531.00</v>
      </c>
      <c r="D12945" s="4"/>
    </row>
    <row collapsed="" customFormat="false" customHeight="1" hidden="" ht="14" outlineLevel="0" r="12946">
      <c r="A12946" s="3" t="inlineStr">
        <is>
          <t>12902</t>
        </is>
      </c>
      <c r="B12946" s="4" t="s">
        <f>=HYPERLINK("http://anyluxury.ru/shop/odezhda/futbolki/futbolka-regent-150-seriy-melanzh-137611/" , "1376.11 Футболка REGENT 150 серый меланж, размер M")</f>
      </c>
      <c r="C12946" s="4" t="n">
        <v>531.00</v>
      </c>
      <c r="D12946" s="4"/>
    </row>
    <row collapsed="" customFormat="false" customHeight="1" hidden="" ht="14" outlineLevel="0" r="12947">
      <c r="A12947" s="3" t="inlineStr">
        <is>
          <t>12903</t>
        </is>
      </c>
      <c r="B12947" s="4" t="s">
        <f>=HYPERLINK("http://anyluxury.ru/shop/odezhda/futbolki/futbolka-regent-150-seriy-melanzh-137611/" , "1376.11 Футболка REGENT 150 серый меланж, размер L")</f>
      </c>
      <c r="C12947" s="4" t="n">
        <v>531.00</v>
      </c>
      <c r="D12947" s="4"/>
    </row>
    <row collapsed="" customFormat="false" customHeight="1" hidden="" ht="14" outlineLevel="0" r="12948">
      <c r="A12948" s="3" t="inlineStr">
        <is>
          <t>12904</t>
        </is>
      </c>
      <c r="B12948" s="4" t="s">
        <f>=HYPERLINK("http://anyluxury.ru/shop/odezhda/futbolki/futbolka-regent-150-seriy-melanzh-137611/" , "1376.11 Футболка REGENT 150 серый меланж, размер XL")</f>
      </c>
      <c r="C12948" s="4" t="n">
        <v>531.00</v>
      </c>
      <c r="D12948" s="4"/>
    </row>
    <row collapsed="" customFormat="false" customHeight="1" hidden="" ht="14" outlineLevel="0" r="12949">
      <c r="A12949" s="3" t="inlineStr">
        <is>
          <t>12905</t>
        </is>
      </c>
      <c r="B12949" s="4" t="s">
        <f>=HYPERLINK("http://anyluxury.ru/shop/odezhda/futbolki/futbolka-regent-150-seriy-melanzh-137611/" , "1376.11 Футболка REGENT 150 серый меланж, размер XXL")</f>
      </c>
      <c r="C12949" s="4" t="n">
        <v>531.00</v>
      </c>
      <c r="D12949" s="4"/>
    </row>
    <row collapsed="" customFormat="false" customHeight="1" hidden="" ht="14" outlineLevel="0" r="12950">
      <c r="A12950" s="3" t="inlineStr">
        <is>
          <t>12906</t>
        </is>
      </c>
      <c r="B12950" s="4" t="s">
        <f>=HYPERLINK("http://anyluxury.ru/shop/odezhda/futbolki/futbolka-regent-150-seriy-melanzh-137611/" , "1376.11 Футболка REGENT 150 серый меланж, размер 3XL")</f>
      </c>
      <c r="C12950" s="4" t="n">
        <v>653.00</v>
      </c>
      <c r="D12950" s="4"/>
    </row>
    <row collapsed="" customFormat="false" customHeight="1" hidden="" ht="14" outlineLevel="0" r="12951">
      <c r="A12951" s="3" t="inlineStr">
        <is>
          <t>12907</t>
        </is>
      </c>
      <c r="B12951" s="4" t="s">
        <f>=HYPERLINK("http://anyluxury.ru/shop/odezhda/futbolki/futbolka-regent-150-seriy-melanzh-137611/" , "1376.11 Футболка Regent 150 серый меланж, размер XXS")</f>
      </c>
      <c r="C12951" s="4" t="n">
        <v>531.00</v>
      </c>
      <c r="D12951" s="4"/>
    </row>
    <row collapsed="" customFormat="false" customHeight="1" hidden="" ht="14" outlineLevel="0" r="12952">
      <c r="A12952" s="3" t="inlineStr">
        <is>
          <t>12908</t>
        </is>
      </c>
      <c r="B12952" s="4" t="s">
        <f>=HYPERLINK("http://anyluxury.ru/shop/odezhda/futbolki/futbolka-regent-150-seriy-melanzh-137611/" , "1376.11 Футболка Regent 150 серый меланж, размер 4XL")</f>
      </c>
      <c r="C12952" s="4" t="n">
        <v>810.00</v>
      </c>
      <c r="D12952" s="4"/>
    </row>
    <row collapsed="" customFormat="false" customHeight="1" hidden="" ht="14" outlineLevel="0" r="12953">
      <c r="A12953" s="3" t="inlineStr">
        <is>
          <t>12909</t>
        </is>
      </c>
      <c r="B12953" s="4" t="s">
        <f>=HYPERLINK("http://anyluxury.ru/shop/odezhda/futbolki/futbolka-regent-150-seriy-melanzh-137611/" , "1376.11 Футболка Regent 150 серый меланж, размер 5XL")</f>
      </c>
      <c r="C12953" s="4" t="n">
        <v>935.00</v>
      </c>
      <c r="D12953" s="4"/>
    </row>
    <row collapsed="" customFormat="false" customHeight="1" hidden="" ht="14" outlineLevel="0" r="12954">
      <c r="A12954" s="3" t="inlineStr">
        <is>
          <t>12910</t>
        </is>
      </c>
      <c r="B12954" s="4" t="s">
        <f>=HYPERLINK("http://anyluxury.ru/shop/odezhda/futbolki/futbolka-regent-150-seraya-stalnaya-137613/" , "1376.13 Футболка REGENT 150 серая (стальная), размер XS")</f>
      </c>
      <c r="C12954" s="4" t="n">
        <v>531.00</v>
      </c>
      <c r="D12954" s="4"/>
    </row>
    <row collapsed="" customFormat="false" customHeight="1" hidden="" ht="14" outlineLevel="0" r="12955">
      <c r="A12955" s="3" t="inlineStr">
        <is>
          <t>12911</t>
        </is>
      </c>
      <c r="B12955" s="4" t="s">
        <f>=HYPERLINK("http://anyluxury.ru/shop/odezhda/futbolki/futbolka-regent-150-seraya-stalnaya-137613/" , "1376.13 Футболка REGENT 150 серая (стальная), размер S")</f>
      </c>
      <c r="C12955" s="4" t="n">
        <v>531.00</v>
      </c>
      <c r="D12955" s="4"/>
    </row>
    <row collapsed="" customFormat="false" customHeight="1" hidden="" ht="14" outlineLevel="0" r="12956">
      <c r="A12956" s="3" t="inlineStr">
        <is>
          <t>12912</t>
        </is>
      </c>
      <c r="B12956" s="4" t="s">
        <f>=HYPERLINK("http://anyluxury.ru/shop/odezhda/futbolki/futbolka-regent-150-seraya-stalnaya-137613/" , "1376.13 Футболка REGENT 150 серая (стальная), размер M")</f>
      </c>
      <c r="C12956" s="4" t="n">
        <v>531.00</v>
      </c>
      <c r="D12956" s="4"/>
    </row>
    <row collapsed="" customFormat="false" customHeight="1" hidden="" ht="14" outlineLevel="0" r="12957">
      <c r="A12957" s="3" t="inlineStr">
        <is>
          <t>12913</t>
        </is>
      </c>
      <c r="B12957" s="4" t="s">
        <f>=HYPERLINK("http://anyluxury.ru/shop/odezhda/futbolki/futbolka-regent-150-seraya-stalnaya-137613/" , "1376.13 Футболка REGENT 150 серая (стальная), размер L")</f>
      </c>
      <c r="C12957" s="4" t="n">
        <v>531.00</v>
      </c>
      <c r="D12957" s="4"/>
    </row>
    <row collapsed="" customFormat="false" customHeight="1" hidden="" ht="14" outlineLevel="0" r="12958">
      <c r="A12958" s="3" t="inlineStr">
        <is>
          <t>12914</t>
        </is>
      </c>
      <c r="B12958" s="4" t="s">
        <f>=HYPERLINK("http://anyluxury.ru/shop/odezhda/futbolki/futbolka-regent-150-seraya-stalnaya-137613/" , "1376.13 Футболка REGENT 150 серая (стальная), размер XL")</f>
      </c>
      <c r="C12958" s="4" t="n">
        <v>531.00</v>
      </c>
      <c r="D12958" s="4"/>
    </row>
    <row collapsed="" customFormat="false" customHeight="1" hidden="" ht="14" outlineLevel="0" r="12959">
      <c r="A12959" s="3" t="inlineStr">
        <is>
          <t>12915</t>
        </is>
      </c>
      <c r="B12959" s="4" t="s">
        <f>=HYPERLINK("http://anyluxury.ru/shop/odezhda/futbolki/futbolka-regent-150-seraya-stalnaya-137613/" , "1376.13 Футболка REGENT 150 серая (стальная), размер XXL")</f>
      </c>
      <c r="C12959" s="4" t="n">
        <v>531.00</v>
      </c>
      <c r="D12959" s="4"/>
    </row>
    <row collapsed="" customFormat="false" customHeight="1" hidden="" ht="14" outlineLevel="0" r="12960">
      <c r="A12960" s="3" t="inlineStr">
        <is>
          <t>12916</t>
        </is>
      </c>
      <c r="B12960" s="4" t="s">
        <f>=HYPERLINK("http://anyluxury.ru/shop/odezhda/futbolki/futbolka-regent-150-golubaya-137614/" , "1376.14 Футболка REGENT 150 голубая, размер XS")</f>
      </c>
      <c r="C12960" s="4" t="n">
        <v>531.00</v>
      </c>
      <c r="D12960" s="4"/>
    </row>
    <row collapsed="" customFormat="false" customHeight="1" hidden="" ht="14" outlineLevel="0" r="12961">
      <c r="A12961" s="3" t="inlineStr">
        <is>
          <t>12917</t>
        </is>
      </c>
      <c r="B12961" s="4" t="s">
        <f>=HYPERLINK("http://anyluxury.ru/shop/odezhda/futbolki/futbolka-regent-150-golubaya-137614/" , "1376.14 Футболка REGENT 150 голубая, размер S")</f>
      </c>
      <c r="C12961" s="4" t="n">
        <v>531.00</v>
      </c>
      <c r="D12961" s="4"/>
    </row>
    <row collapsed="" customFormat="false" customHeight="1" hidden="" ht="14" outlineLevel="0" r="12962">
      <c r="A12962" s="3" t="inlineStr">
        <is>
          <t>12918</t>
        </is>
      </c>
      <c r="B12962" s="4" t="s">
        <f>=HYPERLINK("http://anyluxury.ru/shop/odezhda/futbolki/futbolka-regent-150-golubaya-137614/" , "1376.14 Футболка REGENT 150 голубая, размер M")</f>
      </c>
      <c r="C12962" s="4" t="n">
        <v>531.00</v>
      </c>
      <c r="D12962" s="4"/>
    </row>
    <row collapsed="" customFormat="false" customHeight="1" hidden="" ht="14" outlineLevel="0" r="12963">
      <c r="A12963" s="3" t="inlineStr">
        <is>
          <t>12919</t>
        </is>
      </c>
      <c r="B12963" s="4" t="s">
        <f>=HYPERLINK("http://anyluxury.ru/shop/odezhda/futbolki/futbolka-regent-150-golubaya-137614/" , "1376.14 Футболка REGENT 150 голубая, размер L")</f>
      </c>
      <c r="C12963" s="4" t="n">
        <v>531.00</v>
      </c>
      <c r="D12963" s="4"/>
    </row>
    <row collapsed="" customFormat="false" customHeight="1" hidden="" ht="14" outlineLevel="0" r="12964">
      <c r="A12964" s="3" t="inlineStr">
        <is>
          <t>12920</t>
        </is>
      </c>
      <c r="B12964" s="4" t="s">
        <f>=HYPERLINK("http://anyluxury.ru/shop/odezhda/futbolki/futbolka-regent-150-golubaya-137614/" , "1376.14 Футболка REGENT 150 голубая, размер XL")</f>
      </c>
      <c r="C12964" s="4" t="n">
        <v>531.00</v>
      </c>
      <c r="D12964" s="4"/>
    </row>
    <row collapsed="" customFormat="false" customHeight="1" hidden="" ht="14" outlineLevel="0" r="12965">
      <c r="A12965" s="3" t="inlineStr">
        <is>
          <t>12921</t>
        </is>
      </c>
      <c r="B12965" s="4" t="s">
        <f>=HYPERLINK("http://anyluxury.ru/shop/odezhda/futbolki/futbolka-regent-150-golubaya-137614/" , "1376.14 Футболка REGENT 150 голубая, размер XXL")</f>
      </c>
      <c r="C12965" s="4" t="n">
        <v>531.00</v>
      </c>
      <c r="D12965" s="4"/>
    </row>
    <row collapsed="" customFormat="false" customHeight="1" hidden="" ht="14" outlineLevel="0" r="12966">
      <c r="A12966" s="3" t="inlineStr">
        <is>
          <t>12922</t>
        </is>
      </c>
      <c r="B12966" s="4" t="s">
        <f>=HYPERLINK("http://anyluxury.ru/shop/odezhda/futbolki/futbolka-regent-150-golubaya-137614/" , "1376.14 Футболка Regent 150 голубая, размер XXS")</f>
      </c>
      <c r="C12966" s="4" t="n">
        <v>531.00</v>
      </c>
      <c r="D12966" s="4"/>
    </row>
    <row collapsed="" customFormat="false" customHeight="1" hidden="" ht="14" outlineLevel="0" r="12967">
      <c r="A12967" s="3" t="inlineStr">
        <is>
          <t>12923</t>
        </is>
      </c>
      <c r="B12967" s="4" t="s">
        <f>=HYPERLINK("http://anyluxury.ru/shop/odezhda/futbolki/futbolka-regent-150-golubaya-137614/" , "1376.14 Футболка Regent 150 голубая, размер 3XL")</f>
      </c>
      <c r="C12967" s="4" t="n">
        <v>653.00</v>
      </c>
      <c r="D12967" s="4"/>
    </row>
    <row collapsed="" customFormat="false" customHeight="1" hidden="" ht="14" outlineLevel="0" r="12968">
      <c r="A12968" s="3" t="inlineStr">
        <is>
          <t>12924</t>
        </is>
      </c>
      <c r="B12968" s="4" t="s">
        <f>=HYPERLINK("http://anyluxury.ru/shop/odezhda/futbolki/futbolka-regent-150-temnosinyaya-navy-137640/" , "1376.40 Футболка REGENT 150 темно-синяя, размер XS")</f>
      </c>
      <c r="C12968" s="4" t="n">
        <v>531.00</v>
      </c>
      <c r="D12968" s="4"/>
    </row>
    <row collapsed="" customFormat="false" customHeight="1" hidden="" ht="14" outlineLevel="0" r="12969">
      <c r="A12969" s="3" t="inlineStr">
        <is>
          <t>12925</t>
        </is>
      </c>
      <c r="B12969" s="4" t="s">
        <f>=HYPERLINK("http://anyluxury.ru/shop/odezhda/futbolki/futbolka-regent-150-temnosinyaya-navy-137640/" , "1376.40 Футболка REGENT 150 темно-синяя (navy), размер S")</f>
      </c>
      <c r="C12969" s="4" t="n">
        <v>531.00</v>
      </c>
      <c r="D12969" s="4"/>
    </row>
    <row collapsed="" customFormat="false" customHeight="1" hidden="" ht="14" outlineLevel="0" r="12970">
      <c r="A12970" s="3" t="inlineStr">
        <is>
          <t>12926</t>
        </is>
      </c>
      <c r="B12970" s="4" t="s">
        <f>=HYPERLINK("http://anyluxury.ru/shop/odezhda/futbolki/futbolka-regent-150-temnosinyaya-navy-137640/" , "1376.40 Футболка REGENT 150 темно-синяя (navy), размер M")</f>
      </c>
      <c r="C12970" s="4" t="n">
        <v>531.00</v>
      </c>
      <c r="D12970" s="4"/>
    </row>
    <row collapsed="" customFormat="false" customHeight="1" hidden="" ht="14" outlineLevel="0" r="12971">
      <c r="A12971" s="3" t="inlineStr">
        <is>
          <t>12927</t>
        </is>
      </c>
      <c r="B12971" s="4" t="s">
        <f>=HYPERLINK("http://anyluxury.ru/shop/odezhda/futbolki/futbolka-regent-150-temnosinyaya-navy-137640/" , "1376.40 Футболка REGENT 150 темно-синяя (navy), размер L")</f>
      </c>
      <c r="C12971" s="4" t="n">
        <v>531.00</v>
      </c>
      <c r="D12971" s="4"/>
    </row>
    <row collapsed="" customFormat="false" customHeight="1" hidden="" ht="14" outlineLevel="0" r="12972">
      <c r="A12972" s="3" t="inlineStr">
        <is>
          <t>12928</t>
        </is>
      </c>
      <c r="B12972" s="4" t="s">
        <f>=HYPERLINK("http://anyluxury.ru/shop/odezhda/futbolki/futbolka-regent-150-temnosinyaya-navy-137640/" , "1376.40 Футболка REGENT 150 темно-синяя (navy), размер XL")</f>
      </c>
      <c r="C12972" s="4" t="n">
        <v>531.00</v>
      </c>
      <c r="D12972" s="4"/>
    </row>
    <row collapsed="" customFormat="false" customHeight="1" hidden="" ht="14" outlineLevel="0" r="12973">
      <c r="A12973" s="3" t="inlineStr">
        <is>
          <t>12929</t>
        </is>
      </c>
      <c r="B12973" s="4" t="s">
        <f>=HYPERLINK("http://anyluxury.ru/shop/odezhda/futbolki/futbolka-regent-150-temnosinyaya-navy-137640/" , "1376.40 Футболка REGENT 150 темно-синяя (navy), размер XXL")</f>
      </c>
      <c r="C12973" s="4" t="n">
        <v>531.00</v>
      </c>
      <c r="D12973" s="4"/>
    </row>
    <row collapsed="" customFormat="false" customHeight="1" hidden="" ht="14" outlineLevel="0" r="12974">
      <c r="A12974" s="3" t="inlineStr">
        <is>
          <t>12930</t>
        </is>
      </c>
      <c r="B12974" s="4" t="s">
        <f>=HYPERLINK("http://anyluxury.ru/shop/odezhda/futbolki/futbolka-regent-150-temnosinyaya-navy-137640/" , "1376.40 Футболка REGENT 150 темно-синяя, размер 3XL")</f>
      </c>
      <c r="C12974" s="4" t="n">
        <v>653.00</v>
      </c>
      <c r="D12974" s="4"/>
    </row>
    <row collapsed="" customFormat="false" customHeight="1" hidden="" ht="14" outlineLevel="0" r="12975">
      <c r="A12975" s="3" t="inlineStr">
        <is>
          <t>12931</t>
        </is>
      </c>
      <c r="B12975" s="4" t="s">
        <f>=HYPERLINK("http://anyluxury.ru/shop/odezhda/futbolki/futbolka-regent-150-temnosinyaya-navy-137640/" , "1376.40 Футболка Regent 150 темно-синяя (navy), размер XXS")</f>
      </c>
      <c r="C12975" s="4" t="n">
        <v>531.00</v>
      </c>
      <c r="D12975" s="4"/>
    </row>
    <row collapsed="" customFormat="false" customHeight="1" hidden="" ht="14" outlineLevel="0" r="12976">
      <c r="A12976" s="3" t="inlineStr">
        <is>
          <t>12932</t>
        </is>
      </c>
      <c r="B12976" s="4" t="s">
        <f>=HYPERLINK("http://anyluxury.ru/shop/odezhda/futbolki/futbolka-regent-150-temnosinyaya-navy-137640/" , "1376.40 Футболка Regent 150 темно-синяя (navy), размер 4XL")</f>
      </c>
      <c r="C12976" s="4" t="n">
        <v>810.00</v>
      </c>
      <c r="D12976" s="4"/>
    </row>
    <row collapsed="" customFormat="false" customHeight="1" hidden="" ht="14" outlineLevel="0" r="12977">
      <c r="A12977" s="3" t="inlineStr">
        <is>
          <t>12933</t>
        </is>
      </c>
      <c r="B12977" s="4" t="s">
        <f>=HYPERLINK("http://anyluxury.ru/shop/odezhda/futbolki/futbolka-regent-150-temnosinyaya-navy-137640/" , "1376.40 Футболка Regent 150 темно-синяя (navy), размер 5XL")</f>
      </c>
      <c r="C12977" s="4" t="n">
        <v>935.00</v>
      </c>
      <c r="D12977" s="4"/>
    </row>
    <row collapsed="" customFormat="false" customHeight="1" hidden="" ht="14" outlineLevel="0" r="12978">
      <c r="A12978" s="3" t="inlineStr">
        <is>
          <t>12934</t>
        </is>
      </c>
      <c r="B12978" s="4" t="s">
        <f>=HYPERLINK("http://anyluxury.ru/shop/odezhda/futbolki/futbolka-regent-150-yarkosinyaya-royal-137644/" , "1376.44 Футболка REGENT 150 ярко-синяя (royal), размер XS")</f>
      </c>
      <c r="C12978" s="4" t="n">
        <v>531.00</v>
      </c>
      <c r="D12978" s="4"/>
    </row>
    <row collapsed="" customFormat="false" customHeight="1" hidden="" ht="14" outlineLevel="0" r="12979">
      <c r="A12979" s="3" t="inlineStr">
        <is>
          <t>12935</t>
        </is>
      </c>
      <c r="B12979" s="4" t="s">
        <f>=HYPERLINK("http://anyluxury.ru/shop/odezhda/futbolki/futbolka-regent-150-yarkosinyaya-royal-137644/" , "1376.44 Футболка REGENT 150 ярко-синяя (royal), размер S")</f>
      </c>
      <c r="C12979" s="4" t="n">
        <v>531.00</v>
      </c>
      <c r="D12979" s="4"/>
    </row>
    <row collapsed="" customFormat="false" customHeight="1" hidden="" ht="14" outlineLevel="0" r="12980">
      <c r="A12980" s="3" t="inlineStr">
        <is>
          <t>12936</t>
        </is>
      </c>
      <c r="B12980" s="4" t="s">
        <f>=HYPERLINK("http://anyluxury.ru/shop/odezhda/futbolki/futbolka-regent-150-yarkosinyaya-royal-137644/" , "1376.44 Футболка REGENT 150 ярко-синяя (royal), размер M")</f>
      </c>
      <c r="C12980" s="4" t="n">
        <v>531.00</v>
      </c>
      <c r="D12980" s="4"/>
    </row>
    <row collapsed="" customFormat="false" customHeight="1" hidden="" ht="14" outlineLevel="0" r="12981">
      <c r="A12981" s="3" t="inlineStr">
        <is>
          <t>12937</t>
        </is>
      </c>
      <c r="B12981" s="4" t="s">
        <f>=HYPERLINK("http://anyluxury.ru/shop/odezhda/futbolki/futbolka-regent-150-yarkosinyaya-royal-137644/" , "1376.44 Футболка REGENT 150 ярко-синяя (royal), размер L")</f>
      </c>
      <c r="C12981" s="4" t="n">
        <v>531.00</v>
      </c>
      <c r="D12981" s="4"/>
    </row>
    <row collapsed="" customFormat="false" customHeight="1" hidden="" ht="14" outlineLevel="0" r="12982">
      <c r="A12982" s="3" t="inlineStr">
        <is>
          <t>12938</t>
        </is>
      </c>
      <c r="B12982" s="4" t="s">
        <f>=HYPERLINK("http://anyluxury.ru/shop/odezhda/futbolki/futbolka-regent-150-yarkosinyaya-royal-137644/" , "1376.44 Футболка REGENT 150 ярко-синяя (royal), размер XL")</f>
      </c>
      <c r="C12982" s="4" t="n">
        <v>531.00</v>
      </c>
      <c r="D12982" s="4"/>
    </row>
    <row collapsed="" customFormat="false" customHeight="1" hidden="" ht="14" outlineLevel="0" r="12983">
      <c r="A12983" s="3" t="inlineStr">
        <is>
          <t>12939</t>
        </is>
      </c>
      <c r="B12983" s="4" t="s">
        <f>=HYPERLINK("http://anyluxury.ru/shop/odezhda/futbolki/futbolka-regent-150-yarkosinyaya-royal-137644/" , "1376.44 Футболка REGENT 150 ярко-синяя (royal), размер XXL")</f>
      </c>
      <c r="C12983" s="4" t="n">
        <v>531.00</v>
      </c>
      <c r="D12983" s="4"/>
    </row>
    <row collapsed="" customFormat="false" customHeight="1" hidden="" ht="14" outlineLevel="0" r="12984">
      <c r="A12984" s="3" t="inlineStr">
        <is>
          <t>12940</t>
        </is>
      </c>
      <c r="B12984" s="4" t="s">
        <f>=HYPERLINK("http://anyluxury.ru/shop/odezhda/futbolki/futbolka-regent-150-yarkosinyaya-royal-137644/" , "1376.44 Футболка REGENT 150 ярко-синяя (royal), размер XXXL")</f>
      </c>
      <c r="C12984" s="4" t="n">
        <v>653.00</v>
      </c>
      <c r="D12984" s="4"/>
    </row>
    <row collapsed="" customFormat="false" customHeight="1" hidden="" ht="14" outlineLevel="0" r="12985">
      <c r="A12985" s="3" t="inlineStr">
        <is>
          <t>12941</t>
        </is>
      </c>
      <c r="B12985" s="4" t="s">
        <f>=HYPERLINK("http://anyluxury.ru/shop/odezhda/futbolki/futbolka-regent-150-yarkosinyaya-royal-137644/" , "1376.44 Футболка Regent 150 ярко-синяя (royal), размер XXS")</f>
      </c>
      <c r="C12985" s="4" t="n">
        <v>531.00</v>
      </c>
      <c r="D12985" s="4"/>
    </row>
    <row collapsed="" customFormat="false" customHeight="1" hidden="" ht="14" outlineLevel="0" r="12986">
      <c r="A12986" s="3" t="inlineStr">
        <is>
          <t>12942</t>
        </is>
      </c>
      <c r="B12986" s="4" t="s">
        <f>=HYPERLINK("http://anyluxury.ru/shop/odezhda/futbolki/futbolka-regent-150-yarkosinyaya-royal-137644/" , "1376.44 Футболка Regent 150 ярко-синяя (royal), размер 4XL")</f>
      </c>
      <c r="C12986" s="4" t="n">
        <v>810.00</v>
      </c>
      <c r="D12986" s="4"/>
    </row>
    <row collapsed="" customFormat="false" customHeight="1" hidden="" ht="14" outlineLevel="0" r="12987">
      <c r="A12987" s="3" t="inlineStr">
        <is>
          <t>12943</t>
        </is>
      </c>
      <c r="B12987" s="4" t="s">
        <f>=HYPERLINK("http://anyluxury.ru/shop/odezhda/futbolki/futbolka-regent-150-yarkosinyaya-royal-137644/" , "1376.44 Футболка Regent 150 ярко-синяя (royal), размер 5XL")</f>
      </c>
      <c r="C12987" s="4" t="n">
        <v>935.00</v>
      </c>
      <c r="D12987" s="4"/>
    </row>
    <row collapsed="" customFormat="false" customHeight="1" hidden="" ht="14" outlineLevel="0" r="12988">
      <c r="A12988" s="3" t="inlineStr">
        <is>
          <t>12944</t>
        </is>
      </c>
      <c r="B12988" s="4" t="s">
        <f>=HYPERLINK("http://anyluxury.ru/shop/odezhda/futbolki/futbolka-regent-150-kobalt-temnosinyaya-137647/" , "1376.47 Футболка REGENT 150 кобальт (темно-синяя), размер XS")</f>
      </c>
      <c r="C12988" s="4" t="n">
        <v>531.00</v>
      </c>
      <c r="D12988" s="4"/>
    </row>
    <row collapsed="" customFormat="false" customHeight="1" hidden="" ht="14" outlineLevel="0" r="12989">
      <c r="A12989" s="3" t="inlineStr">
        <is>
          <t>12945</t>
        </is>
      </c>
      <c r="B12989" s="4" t="s">
        <f>=HYPERLINK("http://anyluxury.ru/shop/odezhda/futbolki/futbolka-regent-150-kobalt-temnosinyaya-137647/" , "1376.47 Футболка REGENT 150 кобальт (темно-синяя), размер S")</f>
      </c>
      <c r="C12989" s="4" t="n">
        <v>531.00</v>
      </c>
      <c r="D12989" s="4"/>
    </row>
    <row collapsed="" customFormat="false" customHeight="1" hidden="" ht="14" outlineLevel="0" r="12990">
      <c r="A12990" s="3" t="inlineStr">
        <is>
          <t>12946</t>
        </is>
      </c>
      <c r="B12990" s="4" t="s">
        <f>=HYPERLINK("http://anyluxury.ru/shop/odezhda/futbolki/futbolka-regent-150-kobalt-temnosinyaya-137647/" , "1376.47 Футболка REGENT 150 кобальт (темно-синяя), размер M")</f>
      </c>
      <c r="C12990" s="4" t="n">
        <v>531.00</v>
      </c>
      <c r="D12990" s="4"/>
    </row>
    <row collapsed="" customFormat="false" customHeight="1" hidden="" ht="14" outlineLevel="0" r="12991">
      <c r="A12991" s="3" t="inlineStr">
        <is>
          <t>12947</t>
        </is>
      </c>
      <c r="B12991" s="4" t="s">
        <f>=HYPERLINK("http://anyluxury.ru/shop/odezhda/futbolki/futbolka-regent-150-kobalt-temnosinyaya-137647/" , "1376.47 Футболка REGENT 150 кобальт (темно-синяя), размер L")</f>
      </c>
      <c r="C12991" s="4" t="n">
        <v>531.00</v>
      </c>
      <c r="D12991" s="4"/>
    </row>
    <row collapsed="" customFormat="false" customHeight="1" hidden="" ht="14" outlineLevel="0" r="12992">
      <c r="A12992" s="3" t="inlineStr">
        <is>
          <t>12948</t>
        </is>
      </c>
      <c r="B12992" s="4" t="s">
        <f>=HYPERLINK("http://anyluxury.ru/shop/odezhda/futbolki/futbolka-regent-150-kobalt-temnosinyaya-137647/" , "1376.47 Футболка REGENT 150 кобальт (темно-синяя), размер XL")</f>
      </c>
      <c r="C12992" s="4" t="n">
        <v>531.00</v>
      </c>
      <c r="D12992" s="4"/>
    </row>
    <row collapsed="" customFormat="false" customHeight="1" hidden="" ht="14" outlineLevel="0" r="12993">
      <c r="A12993" s="3" t="inlineStr">
        <is>
          <t>12949</t>
        </is>
      </c>
      <c r="B12993" s="4" t="s">
        <f>=HYPERLINK("http://anyluxury.ru/shop/odezhda/futbolki/futbolka-regent-150-kobalt-temnosinyaya-137647/" , "1376.47 Футболка REGENT 150 кобальт (темно-синяя), размер XXL")</f>
      </c>
      <c r="C12993" s="4" t="n">
        <v>531.00</v>
      </c>
      <c r="D12993" s="4"/>
    </row>
    <row collapsed="" customFormat="false" customHeight="1" hidden="" ht="14" outlineLevel="0" r="12994">
      <c r="A12994" s="3" t="inlineStr">
        <is>
          <t>12950</t>
        </is>
      </c>
      <c r="B12994" s="4" t="s">
        <f>=HYPERLINK("http://anyluxury.ru/shop/odezhda/futbolki/futbolka-regent-150-kobalt-temnosinyaya-137647/" , "1376.47 Футболка Regent 150 кобальт (темно-синяя), размер 4XL")</f>
      </c>
      <c r="C12994" s="4" t="n">
        <v>810.00</v>
      </c>
      <c r="D12994" s="4"/>
    </row>
    <row collapsed="" customFormat="false" customHeight="1" hidden="" ht="14" outlineLevel="0" r="12995">
      <c r="A12995" s="3" t="inlineStr">
        <is>
          <t>12951</t>
        </is>
      </c>
      <c r="B12995" s="4" t="s">
        <f>=HYPERLINK("http://anyluxury.ru/shop/odezhda/futbolki/futbolka-regent-150-kobalt-temnosinyaya-137647/" , "1376.47 Футболка Regent 150 кобальт (темно-синяя), размер 5XL")</f>
      </c>
      <c r="C12995" s="4" t="n">
        <v>935.00</v>
      </c>
      <c r="D12995" s="4"/>
    </row>
    <row collapsed="" customFormat="false" customHeight="1" hidden="" ht="14" outlineLevel="0" r="12996">
      <c r="A12996" s="3" t="inlineStr">
        <is>
          <t>12952</t>
        </is>
      </c>
      <c r="B12996" s="4" t="s">
        <f>=HYPERLINK("http://anyluxury.ru/shop/odezhda/futbolki/futbolka-regent-150-krasnaya-137650/" , "1376.50 Футболка REGENT 150 красная, размер XS")</f>
      </c>
      <c r="C12996" s="4" t="n">
        <v>531.00</v>
      </c>
      <c r="D12996" s="4"/>
    </row>
    <row collapsed="" customFormat="false" customHeight="1" hidden="" ht="14" outlineLevel="0" r="12997">
      <c r="A12997" s="3" t="inlineStr">
        <is>
          <t>12953</t>
        </is>
      </c>
      <c r="B12997" s="4" t="s">
        <f>=HYPERLINK("http://anyluxury.ru/shop/odezhda/futbolki/futbolka-regent-150-krasnaya-137650/" , "1376.50 Футболка REGENT 150 красная, размер S")</f>
      </c>
      <c r="C12997" s="4" t="n">
        <v>531.00</v>
      </c>
      <c r="D12997" s="4"/>
    </row>
    <row collapsed="" customFormat="false" customHeight="1" hidden="" ht="14" outlineLevel="0" r="12998">
      <c r="A12998" s="3" t="inlineStr">
        <is>
          <t>12954</t>
        </is>
      </c>
      <c r="B12998" s="4" t="s">
        <f>=HYPERLINK("http://anyluxury.ru/shop/odezhda/futbolki/futbolka-regent-150-krasnaya-137650/" , "1376.50 Футболка REGENT 150 красная, размер M")</f>
      </c>
      <c r="C12998" s="4" t="n">
        <v>531.00</v>
      </c>
      <c r="D12998" s="4"/>
    </row>
    <row collapsed="" customFormat="false" customHeight="1" hidden="" ht="14" outlineLevel="0" r="12999">
      <c r="A12999" s="3" t="inlineStr">
        <is>
          <t>12955</t>
        </is>
      </c>
      <c r="B12999" s="4" t="s">
        <f>=HYPERLINK("http://anyluxury.ru/shop/odezhda/futbolki/futbolka-regent-150-krasnaya-137650/" , "1376.50 Футболка REGENT 150 красная, размер L")</f>
      </c>
      <c r="C12999" s="4" t="n">
        <v>531.00</v>
      </c>
      <c r="D12999" s="4"/>
    </row>
    <row collapsed="" customFormat="false" customHeight="1" hidden="" ht="14" outlineLevel="0" r="13000">
      <c r="A13000" s="3" t="inlineStr">
        <is>
          <t>12956</t>
        </is>
      </c>
      <c r="B13000" s="4" t="s">
        <f>=HYPERLINK("http://anyluxury.ru/shop/odezhda/futbolki/futbolka-regent-150-krasnaya-137650/" , "1376.50 Футболка REGENT 150 красная, размер XL")</f>
      </c>
      <c r="C13000" s="4" t="n">
        <v>531.00</v>
      </c>
      <c r="D13000" s="4"/>
    </row>
    <row collapsed="" customFormat="false" customHeight="1" hidden="" ht="14" outlineLevel="0" r="13001">
      <c r="A13001" s="3" t="inlineStr">
        <is>
          <t>12957</t>
        </is>
      </c>
      <c r="B13001" s="4" t="s">
        <f>=HYPERLINK("http://anyluxury.ru/shop/odezhda/futbolki/futbolka-regent-150-krasnaya-137650/" , "1376.50 Футболка REGENT 150 красная, размер XXL")</f>
      </c>
      <c r="C13001" s="4" t="n">
        <v>531.00</v>
      </c>
      <c r="D13001" s="4"/>
    </row>
    <row collapsed="" customFormat="false" customHeight="1" hidden="" ht="14" outlineLevel="0" r="13002">
      <c r="A13002" s="3" t="inlineStr">
        <is>
          <t>12958</t>
        </is>
      </c>
      <c r="B13002" s="4" t="s">
        <f>=HYPERLINK("http://anyluxury.ru/shop/odezhda/futbolki/futbolka-regent-150-krasnaya-137650/" , "1376.50 Футболка REGENT 150 красная, размер XXXL")</f>
      </c>
      <c r="C13002" s="4" t="n">
        <v>653.00</v>
      </c>
      <c r="D13002" s="4"/>
    </row>
    <row collapsed="" customFormat="false" customHeight="1" hidden="" ht="14" outlineLevel="0" r="13003">
      <c r="A13003" s="3" t="inlineStr">
        <is>
          <t>12959</t>
        </is>
      </c>
      <c r="B13003" s="4" t="s">
        <f>=HYPERLINK("http://anyluxury.ru/shop/odezhda/futbolki/futbolka-regent-150-krasnaya-137650/" , "1376.50 Футболка Regent 150 красная, размер XXS")</f>
      </c>
      <c r="C13003" s="4" t="n">
        <v>531.00</v>
      </c>
      <c r="D13003" s="4"/>
    </row>
    <row collapsed="" customFormat="false" customHeight="1" hidden="" ht="14" outlineLevel="0" r="13004">
      <c r="A13004" s="3" t="inlineStr">
        <is>
          <t>12960</t>
        </is>
      </c>
      <c r="B13004" s="4" t="s">
        <f>=HYPERLINK("http://anyluxury.ru/shop/odezhda/futbolki/futbolka-regent-150-krasnaya-137650/" , "1376.50 Футболка Regent 150 красная, размер 4XL")</f>
      </c>
      <c r="C13004" s="4" t="n">
        <v>810.00</v>
      </c>
      <c r="D13004" s="4"/>
    </row>
    <row collapsed="" customFormat="false" customHeight="1" hidden="" ht="14" outlineLevel="0" r="13005">
      <c r="A13005" s="3" t="inlineStr">
        <is>
          <t>12961</t>
        </is>
      </c>
      <c r="B13005" s="4" t="s">
        <f>=HYPERLINK("http://anyluxury.ru/shop/odezhda/futbolki/futbolka-regent-150-krasnaya-137650/" , "1376.50 Футболка Regent 150 красная, размер 5XL")</f>
      </c>
      <c r="C13005" s="4" t="n">
        <v>935.00</v>
      </c>
      <c r="D13005" s="4"/>
    </row>
    <row collapsed="" customFormat="false" customHeight="1" hidden="" ht="14" outlineLevel="0" r="13006">
      <c r="A13006" s="3" t="inlineStr">
        <is>
          <t>12962</t>
        </is>
      </c>
      <c r="B13006" s="4" t="s">
        <f>=HYPERLINK("http://anyluxury.ru/shop/odezhda/futbolki/futbolka-regent-150-bordovaya-137655/" , "1376.55 Футболка REGENT 150 бордовая, размер XS")</f>
      </c>
      <c r="C13006" s="4" t="n">
        <v>531.00</v>
      </c>
      <c r="D13006" s="4"/>
    </row>
    <row collapsed="" customFormat="false" customHeight="1" hidden="" ht="14" outlineLevel="0" r="13007">
      <c r="A13007" s="3" t="inlineStr">
        <is>
          <t>12963</t>
        </is>
      </c>
      <c r="B13007" s="4" t="s">
        <f>=HYPERLINK("http://anyluxury.ru/shop/odezhda/futbolki/futbolka-regent-150-bordovaya-137655/" , "1376.55 Футболка REGENT 150 бордовая, размер S")</f>
      </c>
      <c r="C13007" s="4" t="n">
        <v>531.00</v>
      </c>
      <c r="D13007" s="4"/>
    </row>
    <row collapsed="" customFormat="false" customHeight="1" hidden="" ht="14" outlineLevel="0" r="13008">
      <c r="A13008" s="3" t="inlineStr">
        <is>
          <t>12964</t>
        </is>
      </c>
      <c r="B13008" s="4" t="s">
        <f>=HYPERLINK("http://anyluxury.ru/shop/odezhda/futbolki/futbolka-regent-150-bordovaya-137655/" , "1376.55 Футболка REGENT 150 бордовая, размер M")</f>
      </c>
      <c r="C13008" s="4" t="n">
        <v>531.00</v>
      </c>
      <c r="D13008" s="4"/>
    </row>
    <row collapsed="" customFormat="false" customHeight="1" hidden="" ht="14" outlineLevel="0" r="13009">
      <c r="A13009" s="3" t="inlineStr">
        <is>
          <t>12965</t>
        </is>
      </c>
      <c r="B13009" s="4" t="s">
        <f>=HYPERLINK("http://anyluxury.ru/shop/odezhda/futbolki/futbolka-regent-150-bordovaya-137655/" , "1376.55 Футболка REGENT 150 бордовая, размер L")</f>
      </c>
      <c r="C13009" s="4" t="n">
        <v>531.00</v>
      </c>
      <c r="D13009" s="4"/>
    </row>
    <row collapsed="" customFormat="false" customHeight="1" hidden="" ht="14" outlineLevel="0" r="13010">
      <c r="A13010" s="3" t="inlineStr">
        <is>
          <t>12966</t>
        </is>
      </c>
      <c r="B13010" s="4" t="s">
        <f>=HYPERLINK("http://anyluxury.ru/shop/odezhda/futbolki/futbolka-regent-150-bordovaya-137655/" , "1376.55 Футболка REGENT 150 бордовая, размер XL")</f>
      </c>
      <c r="C13010" s="4" t="n">
        <v>531.00</v>
      </c>
      <c r="D13010" s="4"/>
    </row>
    <row collapsed="" customFormat="false" customHeight="1" hidden="" ht="14" outlineLevel="0" r="13011">
      <c r="A13011" s="3" t="inlineStr">
        <is>
          <t>12967</t>
        </is>
      </c>
      <c r="B13011" s="4" t="s">
        <f>=HYPERLINK("http://anyluxury.ru/shop/odezhda/futbolki/futbolka-regent-150-bordovaya-137655/" , "1376.55 Футболка REGENT 150 бордовая, размер XXL")</f>
      </c>
      <c r="C13011" s="4" t="n">
        <v>531.00</v>
      </c>
      <c r="D13011" s="4"/>
    </row>
    <row collapsed="" customFormat="false" customHeight="1" hidden="" ht="14" outlineLevel="0" r="13012">
      <c r="A13012" s="3" t="inlineStr">
        <is>
          <t>12968</t>
        </is>
      </c>
      <c r="B13012" s="4" t="s">
        <f>=HYPERLINK("http://anyluxury.ru/shop/odezhda/futbolki/futbolka-regent-150-bordovaya-137655/" , "1376.55 Футболка Regent 150 бордовая, размер 3XL")</f>
      </c>
      <c r="C13012" s="4" t="n">
        <v>653.00</v>
      </c>
      <c r="D13012" s="4"/>
    </row>
    <row collapsed="" customFormat="false" customHeight="1" hidden="" ht="14" outlineLevel="0" r="13013">
      <c r="A13013" s="3" t="inlineStr">
        <is>
          <t>12969</t>
        </is>
      </c>
      <c r="B13013" s="4" t="s">
        <f>=HYPERLINK("http://anyluxury.ru/shop/odezhda/futbolki/futbolka-regent-150-laym-137689/" , "1376.89 Футболка REGENT 150 зеленая (лайм), размер XS")</f>
      </c>
      <c r="C13013" s="4" t="n">
        <v>531.00</v>
      </c>
      <c r="D13013" s="4"/>
    </row>
    <row collapsed="" customFormat="false" customHeight="1" hidden="" ht="14" outlineLevel="0" r="13014">
      <c r="A13014" s="3" t="inlineStr">
        <is>
          <t>12970</t>
        </is>
      </c>
      <c r="B13014" s="4" t="s">
        <f>=HYPERLINK("http://anyluxury.ru/shop/odezhda/futbolki/futbolka-regent-150-laym-137689/" , "1376.89 Футболка REGENT 150 зеленая (лайм), размер S")</f>
      </c>
      <c r="C13014" s="4" t="n">
        <v>531.00</v>
      </c>
      <c r="D13014" s="4"/>
    </row>
    <row collapsed="" customFormat="false" customHeight="1" hidden="" ht="14" outlineLevel="0" r="13015">
      <c r="A13015" s="3" t="inlineStr">
        <is>
          <t>12971</t>
        </is>
      </c>
      <c r="B13015" s="4" t="s">
        <f>=HYPERLINK("http://anyluxury.ru/shop/odezhda/futbolki/futbolka-regent-150-laym-137689/" , "1376.89 Футболка REGENT 150 зеленая (лайм), размер XL")</f>
      </c>
      <c r="C13015" s="4" t="n">
        <v>531.00</v>
      </c>
      <c r="D13015" s="4"/>
    </row>
    <row collapsed="" customFormat="false" customHeight="1" hidden="" ht="14" outlineLevel="0" r="13016">
      <c r="A13016" s="3" t="inlineStr">
        <is>
          <t>12972</t>
        </is>
      </c>
      <c r="B13016" s="4" t="s">
        <f>=HYPERLINK("http://anyluxury.ru/shop/odezhda/futbolki/futbolka-regent-150-laym-137689/" , "1376.89 Футболка REGENT 150 зеленая (лайм), размер XXL")</f>
      </c>
      <c r="C13016" s="4" t="n">
        <v>531.00</v>
      </c>
      <c r="D13016" s="4"/>
    </row>
    <row collapsed="" customFormat="false" customHeight="1" hidden="" ht="14" outlineLevel="0" r="13017">
      <c r="A13017" s="3" t="inlineStr">
        <is>
          <t>12973</t>
        </is>
      </c>
      <c r="B13017" s="4" t="s">
        <f>=HYPERLINK("http://anyluxury.ru/shop/odezhda/futbolki/futbolka-regent-150-zelenaya-izumrudnaya-137691/" , "1376.91 Футболка REGENT 150 зеленая (изумрудная), размер XS")</f>
      </c>
      <c r="C13017" s="4" t="n">
        <v>531.00</v>
      </c>
      <c r="D13017" s="4"/>
    </row>
    <row collapsed="" customFormat="false" customHeight="1" hidden="" ht="14" outlineLevel="0" r="13018">
      <c r="A13018" s="3" t="inlineStr">
        <is>
          <t>12974</t>
        </is>
      </c>
      <c r="B13018" s="4" t="s">
        <f>=HYPERLINK("http://anyluxury.ru/shop/odezhda/futbolki/futbolka-regent-150-zelenaya-izumrudnaya-137691/" , "1376.91 Футболка REGENT 150 зеленая (изумрудная), размер S")</f>
      </c>
      <c r="C13018" s="4" t="n">
        <v>531.00</v>
      </c>
      <c r="D13018" s="4"/>
    </row>
    <row collapsed="" customFormat="false" customHeight="1" hidden="" ht="14" outlineLevel="0" r="13019">
      <c r="A13019" s="3" t="inlineStr">
        <is>
          <t>12975</t>
        </is>
      </c>
      <c r="B13019" s="4" t="s">
        <f>=HYPERLINK("http://anyluxury.ru/shop/odezhda/futbolki/futbolka-regent-150-zelenaya-izumrudnaya-137691/" , "1376.91 Футболка REGENT 150 зеленая (изумрудная), размер M")</f>
      </c>
      <c r="C13019" s="4" t="n">
        <v>531.00</v>
      </c>
      <c r="D13019" s="4"/>
    </row>
    <row collapsed="" customFormat="false" customHeight="1" hidden="" ht="14" outlineLevel="0" r="13020">
      <c r="A13020" s="3" t="inlineStr">
        <is>
          <t>12976</t>
        </is>
      </c>
      <c r="B13020" s="4" t="s">
        <f>=HYPERLINK("http://anyluxury.ru/shop/odezhda/futbolki/futbolka-regent-150-zelenaya-izumrudnaya-137691/" , "1376.91 Футболка REGENT 150 зеленая (изумрудная), размер XXL")</f>
      </c>
      <c r="C13020" s="4" t="n">
        <v>531.00</v>
      </c>
      <c r="D13020" s="4"/>
    </row>
    <row collapsed="" customFormat="false" customHeight="1" hidden="" ht="14" outlineLevel="0" r="13021">
      <c r="A13021" s="3" t="inlineStr">
        <is>
          <t>12977</t>
        </is>
      </c>
      <c r="B13021" s="4" t="s">
        <f>=HYPERLINK("http://anyluxury.ru/shop/odezhda/futbolki/futbolka-regent-150-yarkozelenaya-137692/" , "1376.92 Футболка REGENT 150 ярко-зеленая, размер XS")</f>
      </c>
      <c r="C13021" s="4" t="n">
        <v>531.00</v>
      </c>
      <c r="D13021" s="4"/>
    </row>
    <row collapsed="" customFormat="false" customHeight="1" hidden="" ht="14" outlineLevel="0" r="13022">
      <c r="A13022" s="3" t="inlineStr">
        <is>
          <t>12978</t>
        </is>
      </c>
      <c r="B13022" s="4" t="s">
        <f>=HYPERLINK("http://anyluxury.ru/shop/odezhda/futbolki/futbolka-regent-150-yarkozelenaya-137692/" , "1376.92 Футболка REGENT 150 ярко-зеленая, размер S")</f>
      </c>
      <c r="C13022" s="4" t="n">
        <v>531.00</v>
      </c>
      <c r="D13022" s="4"/>
    </row>
    <row collapsed="" customFormat="false" customHeight="1" hidden="" ht="14" outlineLevel="0" r="13023">
      <c r="A13023" s="3" t="inlineStr">
        <is>
          <t>12979</t>
        </is>
      </c>
      <c r="B13023" s="4" t="s">
        <f>=HYPERLINK("http://anyluxury.ru/shop/odezhda/futbolki/futbolka-regent-150-yarkozelenaya-137692/" , "1376.92 Футболка REGENT 150 ярко-зеленая, размер M")</f>
      </c>
      <c r="C13023" s="4" t="n">
        <v>531.00</v>
      </c>
      <c r="D13023" s="4"/>
    </row>
    <row collapsed="" customFormat="false" customHeight="1" hidden="" ht="14" outlineLevel="0" r="13024">
      <c r="A13024" s="3" t="inlineStr">
        <is>
          <t>12980</t>
        </is>
      </c>
      <c r="B13024" s="4" t="s">
        <f>=HYPERLINK("http://anyluxury.ru/shop/odezhda/futbolki/futbolka-regent-150-yarkozelenaya-137692/" , "1376.92 Футболка REGENT 150 ярко-зеленая, размер L")</f>
      </c>
      <c r="C13024" s="4" t="n">
        <v>531.00</v>
      </c>
      <c r="D13024" s="4"/>
    </row>
    <row collapsed="" customFormat="false" customHeight="1" hidden="" ht="14" outlineLevel="0" r="13025">
      <c r="A13025" s="3" t="inlineStr">
        <is>
          <t>12981</t>
        </is>
      </c>
      <c r="B13025" s="4" t="s">
        <f>=HYPERLINK("http://anyluxury.ru/shop/odezhda/futbolki/futbolka-regent-150-yarkozelenaya-137692/" , "1376.92 Футболка REGENT 150 ярко-зеленая, размер XL")</f>
      </c>
      <c r="C13025" s="4" t="n">
        <v>531.00</v>
      </c>
      <c r="D13025" s="4"/>
    </row>
    <row collapsed="" customFormat="false" customHeight="1" hidden="" ht="14" outlineLevel="0" r="13026">
      <c r="A13026" s="3" t="inlineStr">
        <is>
          <t>12982</t>
        </is>
      </c>
      <c r="B13026" s="4" t="s">
        <f>=HYPERLINK("http://anyluxury.ru/shop/odezhda/futbolki/futbolka-regent-150-yarkozelenaya-137692/" , "1376.92 Футболка REGENT 150 ярко-зеленая, размер XXL")</f>
      </c>
      <c r="C13026" s="4" t="n">
        <v>531.00</v>
      </c>
      <c r="D13026" s="4"/>
    </row>
    <row collapsed="" customFormat="false" customHeight="1" hidden="" ht="14" outlineLevel="0" r="13027">
      <c r="A13027" s="3" t="inlineStr">
        <is>
          <t>12983</t>
        </is>
      </c>
      <c r="B13027" s="4" t="s">
        <f>=HYPERLINK("http://anyluxury.ru/shop/odezhda/futbolki/futbolka-regent-150-yarkozelenaya-137692/" , "1376.92 Футболка Regent 150 ярко-зеленая, размер XXS")</f>
      </c>
      <c r="C13027" s="4" t="n">
        <v>531.00</v>
      </c>
      <c r="D13027" s="4"/>
    </row>
    <row collapsed="" customFormat="false" customHeight="1" hidden="" ht="14" outlineLevel="0" r="13028">
      <c r="A13028" s="3" t="inlineStr">
        <is>
          <t>12984</t>
        </is>
      </c>
      <c r="B13028" s="4" t="s">
        <f>=HYPERLINK("http://anyluxury.ru/shop/odezhda/futbolki/futbolka-regent-150-yarkozelenaya-137692/" , "1376.92 Футболка Regent 150 ярко-зеленая, размер 3XL")</f>
      </c>
      <c r="C13028" s="4" t="n">
        <v>653.00</v>
      </c>
      <c r="D13028" s="4"/>
    </row>
    <row collapsed="" customFormat="false" customHeight="1" hidden="" ht="14" outlineLevel="0" r="13029">
      <c r="A13029" s="3" t="inlineStr">
        <is>
          <t>12985</t>
        </is>
      </c>
      <c r="B13029" s="4" t="s">
        <f>=HYPERLINK("http://anyluxury.ru/shop/odezhda/futbolki/futbolka-muzhskaya-s-kontrastnoy-otdelkoy-madison-170-oranzheviybeliy-183426/" , "1834.26 Футболка мужская с контрастной отделкой MADISON 170, оранжевый/белый, размер L")</f>
      </c>
      <c r="C13029" s="4" t="n">
        <v>640.00</v>
      </c>
      <c r="D13029" s="4"/>
    </row>
    <row collapsed="" customFormat="false" customHeight="1" hidden="" ht="14" outlineLevel="0" r="13030">
      <c r="A13030" s="3" t="inlineStr">
        <is>
          <t>12986</t>
        </is>
      </c>
      <c r="B13030" s="4" t="s">
        <f>=HYPERLINK("http://anyluxury.ru/shop/odezhda/futbolki/futbolka-muzhskaya-s-kontrastnoy-otdelkoy-madison-170-oranzheviybeliy-183426/" , "1834.26 Футболка мужская с контрастной отделкой MADISON 170, оранжевый/белый, размер XL")</f>
      </c>
      <c r="C13030" s="4" t="n">
        <v>640.00</v>
      </c>
      <c r="D13030" s="4"/>
    </row>
    <row collapsed="" customFormat="false" customHeight="1" hidden="" ht="14" outlineLevel="0" r="13031">
      <c r="A13031" s="3" t="inlineStr">
        <is>
          <t>12987</t>
        </is>
      </c>
      <c r="B13031" s="4" t="s">
        <f>=HYPERLINK("http://anyluxury.ru/shop/odezhda/futbolki/futbolka-imperial-190-seriy-melanzh-137411/" , "1374.11 Футболка IMPERIAL 190 серый меланж, размер S")</f>
      </c>
      <c r="C13031" s="4" t="n">
        <v>697.00</v>
      </c>
      <c r="D13031" s="4"/>
    </row>
    <row collapsed="" customFormat="false" customHeight="1" hidden="" ht="14" outlineLevel="0" r="13032">
      <c r="A13032" s="3" t="inlineStr">
        <is>
          <t>12988</t>
        </is>
      </c>
      <c r="B13032" s="4" t="s">
        <f>=HYPERLINK("http://anyluxury.ru/shop/odezhda/futbolki/futbolka-imperial-190-seriy-melanzh-137411/" , "1374.11 Футболка IMPERIAL 190 серый меланж, размер M")</f>
      </c>
      <c r="C13032" s="4" t="n">
        <v>697.00</v>
      </c>
      <c r="D13032" s="4"/>
    </row>
    <row collapsed="" customFormat="false" customHeight="1" hidden="" ht="14" outlineLevel="0" r="13033">
      <c r="A13033" s="3" t="inlineStr">
        <is>
          <t>12989</t>
        </is>
      </c>
      <c r="B13033" s="4" t="s">
        <f>=HYPERLINK("http://anyluxury.ru/shop/odezhda/futbolki/futbolka-imperial-190-seriy-melanzh-137411/" , "1374.11 Футболка IMPERIAL 190 серый меланж, размер L")</f>
      </c>
      <c r="C13033" s="4" t="n">
        <v>697.00</v>
      </c>
      <c r="D13033" s="4"/>
    </row>
    <row collapsed="" customFormat="false" customHeight="1" hidden="" ht="14" outlineLevel="0" r="13034">
      <c r="A13034" s="3" t="inlineStr">
        <is>
          <t>12990</t>
        </is>
      </c>
      <c r="B13034" s="4" t="s">
        <f>=HYPERLINK("http://anyluxury.ru/shop/odezhda/futbolki/futbolka-imperial-190-seriy-melanzh-137411/" , "1374.11 Футболка IMPERIAL 190 серый меланж, размер XL")</f>
      </c>
      <c r="C13034" s="4" t="n">
        <v>697.00</v>
      </c>
      <c r="D13034" s="4"/>
    </row>
    <row collapsed="" customFormat="false" customHeight="1" hidden="" ht="14" outlineLevel="0" r="13035">
      <c r="A13035" s="3" t="inlineStr">
        <is>
          <t>12991</t>
        </is>
      </c>
      <c r="B13035" s="4" t="s">
        <f>=HYPERLINK("http://anyluxury.ru/shop/odezhda/futbolki/futbolka-imperial-190-seriy-melanzh-137411/" , "1374.11 Футболка IMPERIAL 190 серый меланж, размер XXL")</f>
      </c>
      <c r="C13035" s="4" t="n">
        <v>697.00</v>
      </c>
      <c r="D13035" s="4"/>
    </row>
    <row collapsed="" customFormat="false" customHeight="1" hidden="" ht="14" outlineLevel="0" r="13036">
      <c r="A13036" s="3" t="inlineStr">
        <is>
          <t>12992</t>
        </is>
      </c>
      <c r="B13036" s="4" t="s">
        <f>=HYPERLINK("http://anyluxury.ru/shop/odezhda/futbolki/futbolka-imperial-190-seriy-melanzh-137411/" , "1374.11 Футболка IMPERIAL 190 серый меланж, размер 3XL")</f>
      </c>
      <c r="C13036" s="4" t="n">
        <v>820.00</v>
      </c>
      <c r="D13036" s="4"/>
    </row>
    <row collapsed="" customFormat="false" customHeight="1" hidden="" ht="14" outlineLevel="0" r="13037">
      <c r="A13037" s="3" t="inlineStr">
        <is>
          <t>12993</t>
        </is>
      </c>
      <c r="B13037" s="4" t="s">
        <f>=HYPERLINK("http://anyluxury.ru/shop/odezhda/futbolki/futbolka-imperial-190-seriy-melanzh-137411/" , "1374.11 Футболка IMPERIAL 190 серый меланж, размер 4XL")</f>
      </c>
      <c r="C13037" s="4" t="n">
        <v>1211.00</v>
      </c>
      <c r="D13037" s="4"/>
    </row>
    <row collapsed="" customFormat="false" customHeight="1" hidden="" ht="14" outlineLevel="0" r="13038">
      <c r="A13038" s="3" t="inlineStr">
        <is>
          <t>12994</t>
        </is>
      </c>
      <c r="B13038" s="4" t="s">
        <f>=HYPERLINK("http://anyluxury.ru/shop/odezhda/futbolki/futbolka-imperial-190-seriy-melanzh-137411/" , "1374.11 Футболка IMPERIAL 190 серый меланж, размер 5XL")</f>
      </c>
      <c r="C13038" s="4" t="n">
        <v>1211.00</v>
      </c>
      <c r="D13038" s="4"/>
    </row>
    <row collapsed="" customFormat="false" customHeight="1" hidden="" ht="14" outlineLevel="0" r="13039">
      <c r="A13039" s="3" t="inlineStr">
        <is>
          <t>12995</t>
        </is>
      </c>
      <c r="B13039" s="4" t="s">
        <f>=HYPERLINK("http://anyluxury.ru/shop/odezhda/futbolki/futbolka-imperial-190-seriy-melanzh-137411/" , "1374.11 Футболка Imperial 190 серый меланж, размер XS")</f>
      </c>
      <c r="C13039" s="4" t="n">
        <v>697.00</v>
      </c>
      <c r="D13039" s="4"/>
    </row>
    <row collapsed="" customFormat="false" customHeight="1" hidden="" ht="14" outlineLevel="0" r="13040">
      <c r="A13040" s="3" t="inlineStr">
        <is>
          <t>12996</t>
        </is>
      </c>
      <c r="B13040" s="4" t="s">
        <f>=HYPERLINK("http://anyluxury.ru/shop/odezhda/futbolki/futbolka-regent-150-temnozelenaya-137690/" , "1376.90 Футболка REGENT 150 темно-зеленая, размер XS")</f>
      </c>
      <c r="C13040" s="4" t="n">
        <v>531.00</v>
      </c>
      <c r="D13040" s="4"/>
    </row>
    <row collapsed="" customFormat="false" customHeight="1" hidden="" ht="14" outlineLevel="0" r="13041">
      <c r="A13041" s="3" t="inlineStr">
        <is>
          <t>12997</t>
        </is>
      </c>
      <c r="B13041" s="4" t="s">
        <f>=HYPERLINK("http://anyluxury.ru/shop/odezhda/futbolki/futbolka-regent-150-temnozelenaya-137690/" , "1376.90 Футболка REGENT 150 темно-зеленая, размер S")</f>
      </c>
      <c r="C13041" s="4" t="n">
        <v>531.00</v>
      </c>
      <c r="D13041" s="4"/>
    </row>
    <row collapsed="" customFormat="false" customHeight="1" hidden="" ht="14" outlineLevel="0" r="13042">
      <c r="A13042" s="3" t="inlineStr">
        <is>
          <t>12998</t>
        </is>
      </c>
      <c r="B13042" s="4" t="s">
        <f>=HYPERLINK("http://anyluxury.ru/shop/odezhda/futbolki/futbolka-regent-150-temnozelenaya-137690/" , "1376.90 Футболка REGENT 150 темно-зеленая, размер M")</f>
      </c>
      <c r="C13042" s="4" t="n">
        <v>531.00</v>
      </c>
      <c r="D13042" s="4"/>
    </row>
    <row collapsed="" customFormat="false" customHeight="1" hidden="" ht="14" outlineLevel="0" r="13043">
      <c r="A13043" s="3" t="inlineStr">
        <is>
          <t>12999</t>
        </is>
      </c>
      <c r="B13043" s="4" t="s">
        <f>=HYPERLINK("http://anyluxury.ru/shop/odezhda/futbolki/futbolka-regent-150-temnozelenaya-137690/" , "1376.90 Футболка REGENT 150 темно-зеленая, размер L")</f>
      </c>
      <c r="C13043" s="4" t="n">
        <v>531.00</v>
      </c>
      <c r="D13043" s="4"/>
    </row>
    <row collapsed="" customFormat="false" customHeight="1" hidden="" ht="14" outlineLevel="0" r="13044">
      <c r="A13044" s="3" t="inlineStr">
        <is>
          <t>13000</t>
        </is>
      </c>
      <c r="B13044" s="4" t="s">
        <f>=HYPERLINK("http://anyluxury.ru/shop/odezhda/futbolki/futbolka-regent-150-temnozelenaya-137690/" , "1376.90 Футболка REGENT 150 темно-зеленая, размер XL")</f>
      </c>
      <c r="C13044" s="4" t="n">
        <v>531.00</v>
      </c>
      <c r="D13044" s="4"/>
    </row>
    <row collapsed="" customFormat="false" customHeight="1" hidden="" ht="14" outlineLevel="0" r="13045">
      <c r="A13045" s="3" t="inlineStr">
        <is>
          <t>13001</t>
        </is>
      </c>
      <c r="B13045" s="4" t="s">
        <f>=HYPERLINK("http://anyluxury.ru/shop/odezhda/futbolki/futbolka-regent-150-temnozelenaya-137690/" , "1376.90 Футболка REGENT 150 темно-зеленая, размер XXL")</f>
      </c>
      <c r="C13045" s="4" t="n">
        <v>531.00</v>
      </c>
      <c r="D13045" s="4"/>
    </row>
    <row collapsed="" customFormat="false" customHeight="1" hidden="" ht="14" outlineLevel="0" r="13046">
      <c r="A13046" s="3" t="inlineStr">
        <is>
          <t>13002</t>
        </is>
      </c>
      <c r="B13046" s="4" t="s">
        <f>=HYPERLINK("http://anyluxury.ru/shop/odezhda/futbolki/futbolka-regent-150-temnozelenaya-137690/" , "1376.90 Футболка REGENT 150 темно-зеленая, размер 3XL")</f>
      </c>
      <c r="C13046" s="4" t="n">
        <v>653.00</v>
      </c>
      <c r="D13046" s="4"/>
    </row>
    <row collapsed="" customFormat="false" customHeight="1" hidden="" ht="14" outlineLevel="0" r="13047">
      <c r="A13047" s="3" t="inlineStr">
        <is>
          <t>13003</t>
        </is>
      </c>
      <c r="B13047" s="4" t="s">
        <f>=HYPERLINK("http://anyluxury.ru/shop/odezhda/futbolki/futbolka-stretch-zhenskaya-miami-170-belaya-437960/" , "4379.60 Футболка женская MIAMI 170 белая, размер L")</f>
      </c>
      <c r="C13047" s="4" t="n">
        <v>650.00</v>
      </c>
      <c r="D13047" s="4"/>
    </row>
    <row collapsed="" customFormat="false" customHeight="1" hidden="" ht="14" outlineLevel="0" r="13048">
      <c r="A13048" s="3" t="inlineStr">
        <is>
          <t>13004</t>
        </is>
      </c>
      <c r="B13048" s="4" t="s">
        <f>=HYPERLINK("http://anyluxury.ru/shop/odezhda/futbolki/futbolka-stretch-zhenskaya-miami-170-chernaya-437930/" , "4379.30 Футболка женская MIAMI 170 черная, размер S ")</f>
      </c>
      <c r="C13048" s="4" t="n">
        <v>740.00</v>
      </c>
      <c r="D13048" s="4"/>
    </row>
    <row collapsed="" customFormat="false" customHeight="1" hidden="" ht="14" outlineLevel="0" r="13049">
      <c r="A13049" s="3" t="inlineStr">
        <is>
          <t>13005</t>
        </is>
      </c>
      <c r="B13049" s="4" t="s">
        <f>=HYPERLINK("http://anyluxury.ru/shop/odezhda/futbolki/futbolka-stretch-zhenskaya-miami-170-chernaya-437930/" , "4379.30 Футболка женская MIAMI 170 черная, размер L")</f>
      </c>
      <c r="C13049" s="4" t="n">
        <v>740.00</v>
      </c>
      <c r="D13049" s="4"/>
    </row>
    <row collapsed="" customFormat="false" customHeight="1" hidden="" ht="14" outlineLevel="0" r="13050">
      <c r="A13050" s="3" t="inlineStr">
        <is>
          <t>13006</t>
        </is>
      </c>
      <c r="B13050" s="4" t="s">
        <f>=HYPERLINK("http://anyluxury.ru/shop/odezhda/futbolki/futbolka-zhenskaya-milky-150-belaya-s-krasnim-438165/" , "4381.65 Футболка женская MILKY 150 белая с красным , размер S")</f>
      </c>
      <c r="C13050" s="4" t="n">
        <v>903.00</v>
      </c>
      <c r="D13050" s="4"/>
    </row>
    <row collapsed="" customFormat="false" customHeight="1" hidden="" ht="14" outlineLevel="0" r="13051">
      <c r="A13051" s="3" t="inlineStr">
        <is>
          <t>13007</t>
        </is>
      </c>
      <c r="B13051" s="4" t="s">
        <f>=HYPERLINK("http://anyluxury.ru/shop/odezhda/futbolki/futbolka-zhenskaya-milky-150-belaya-s-krasnim-438165/" , "4381.65 Футболка женская MILKY 150 белая с красным , размер M")</f>
      </c>
      <c r="C13051" s="4" t="n">
        <v>903.00</v>
      </c>
      <c r="D13051" s="4"/>
    </row>
    <row collapsed="" customFormat="false" customHeight="1" hidden="" ht="14" outlineLevel="0" r="13052">
      <c r="A13052" s="3" t="inlineStr">
        <is>
          <t>13008</t>
        </is>
      </c>
      <c r="B13052" s="4" t="s">
        <f>=HYPERLINK("http://anyluxury.ru/shop/odezhda/futbolki/futbolka-zhenskaya-milky-150-belaya-s-krasnim-438165/" , "4381.65 Футболка женская MILKY 150 белая с красным , размер L")</f>
      </c>
      <c r="C13052" s="4" t="n">
        <v>903.00</v>
      </c>
      <c r="D13052" s="4"/>
    </row>
    <row collapsed="" customFormat="false" customHeight="1" hidden="" ht="14" outlineLevel="0" r="13053">
      <c r="A13053" s="3" t="inlineStr">
        <is>
          <t>13009</t>
        </is>
      </c>
      <c r="B13053" s="4" t="s">
        <f>=HYPERLINK("http://anyluxury.ru/shop/odezhda/futbolki/futbolka-zhenskaya-milky-150-belaya-s-krasnim-438165/" , "4381.65 Футболка женская MILKY 150 белая с красным, размер XL")</f>
      </c>
      <c r="C13053" s="4" t="n">
        <v>875.00</v>
      </c>
      <c r="D13053" s="4"/>
    </row>
    <row collapsed="" customFormat="false" customHeight="1" hidden="" ht="14" outlineLevel="0" r="13054">
      <c r="A13054" s="3" t="inlineStr">
        <is>
          <t>13010</t>
        </is>
      </c>
      <c r="B13054" s="4" t="s">
        <f>=HYPERLINK("http://anyluxury.ru/shop/odezhda/futbolki/futbolka-muzhskaya-master-150-s-glubokim-vobr-virezom-chernaya-479630/" , "4796.30 Футболка мужская с глубоким V-обр. вырезом MASTER 150, черная, размер S")</f>
      </c>
      <c r="C13054" s="4" t="n">
        <v>892.00</v>
      </c>
      <c r="D13054" s="4"/>
    </row>
    <row collapsed="" customFormat="false" customHeight="1" hidden="" ht="14" outlineLevel="0" r="13055">
      <c r="A13055" s="3" t="inlineStr">
        <is>
          <t>13011</t>
        </is>
      </c>
      <c r="B13055" s="4" t="s">
        <f>=HYPERLINK("http://anyluxury.ru/shop/odezhda/futbolki/futbolka-muzhskaya-master-150-s-glubokim-vobr-virezom-chernaya-479630/" , "4796.30 Футболка мужская с глубоким V-обр. вырезом MASTER 150, черная, размер XL")</f>
      </c>
      <c r="C13055" s="4" t="n">
        <v>892.00</v>
      </c>
      <c r="D13055" s="4"/>
    </row>
    <row collapsed="" customFormat="false" customHeight="1" hidden="" ht="14" outlineLevel="0" r="13056">
      <c r="A13056" s="3" t="inlineStr">
        <is>
          <t>13012</t>
        </is>
      </c>
      <c r="B13056" s="4" t="s">
        <f>=HYPERLINK("http://anyluxury.ru/shop/odezhda/futbolki/futbolka-muzhskaya-master-150-s-glubokim-vobr-virezom-chernaya-479630/" , "4796.30 Футболка мужская с глубоким V-обр. вырезом MASTER 150, черная, размер XXL")</f>
      </c>
      <c r="C13056" s="4" t="n">
        <v>892.00</v>
      </c>
      <c r="D13056" s="4"/>
    </row>
    <row collapsed="" customFormat="false" customHeight="1" hidden="" ht="14" outlineLevel="0" r="13057">
      <c r="A13057" s="3" t="inlineStr">
        <is>
          <t>13013</t>
        </is>
      </c>
      <c r="B13057" s="4" t="s">
        <f>=HYPERLINK("http://anyluxury.ru/shop/odezhda/futbolki/futbolka-muzhskaya-master-150-s-glubokim-vobr-virezom-haki-479699/" , "4796.99 Футболка мужская с глубоким V-обр. вырезом MASTER 150, хаки, размер S")</f>
      </c>
      <c r="C13057" s="4" t="n">
        <v>892.00</v>
      </c>
      <c r="D13057" s="4"/>
    </row>
    <row collapsed="" customFormat="false" customHeight="1" hidden="" ht="14" outlineLevel="0" r="13058">
      <c r="A13058" s="3" t="inlineStr">
        <is>
          <t>13014</t>
        </is>
      </c>
      <c r="B13058" s="4" t="s">
        <f>=HYPERLINK("http://anyluxury.ru/shop/odezhda/futbolki/futbolka-muzhskaya-master-150-s-glubokim-vobr-virezom-haki-479699/" , "4796.99 Футболка мужская с глубоким V-обр. вырезом MASTER 150, хаки, размер M")</f>
      </c>
      <c r="C13058" s="4" t="n">
        <v>892.00</v>
      </c>
      <c r="D13058" s="4"/>
    </row>
    <row collapsed="" customFormat="false" customHeight="1" hidden="" ht="14" outlineLevel="0" r="13059">
      <c r="A13059" s="3" t="inlineStr">
        <is>
          <t>13015</t>
        </is>
      </c>
      <c r="B13059" s="4" t="s">
        <f>=HYPERLINK("http://anyluxury.ru/shop/odezhda/futbolki/futbolka-muzhskaya-master-150-s-glubokim-vobr-virezom-haki-479699/" , "4796.99 Футболка мужская с глубоким V-обр. вырезом MASTER 150, хаки, размер XXL")</f>
      </c>
      <c r="C13059" s="4" t="n">
        <v>892.00</v>
      </c>
      <c r="D13059" s="4"/>
    </row>
    <row collapsed="" customFormat="false" customHeight="1" hidden="" ht="14" outlineLevel="0" r="13060">
      <c r="A13060" s="3" t="inlineStr">
        <is>
          <t>13016</t>
        </is>
      </c>
      <c r="B13060" s="4" t="s">
        <f>=HYPERLINK("http://anyluxury.ru/shop/odezhda/futbolki/futbolka-zhenskaya-s-originalnim-vobr-virezom-mint-170-chernaya-479730/" , "4797.30 Футболка женская с оригинальным V-обр. вырезом MINT 170, черная, размер L")</f>
      </c>
      <c r="C13060" s="4" t="n">
        <v>737.00</v>
      </c>
      <c r="D13060" s="4"/>
    </row>
    <row collapsed="" customFormat="false" customHeight="1" hidden="" ht="14" outlineLevel="0" r="13061">
      <c r="A13061" s="3" t="inlineStr">
        <is>
          <t>13017</t>
        </is>
      </c>
      <c r="B13061" s="4" t="s">
        <f>=HYPERLINK("http://anyluxury.ru/shop/odezhda/futbolki/futbolka-zhenskaya-s-originalnim-vobr-virezom-mint-170-rozovaya-orhideya-479756/" , "4797.56 Футболка женская с оригинальным V-обр. вырезом MINT 170, розовая орхидея, размер M")</f>
      </c>
      <c r="C13061" s="4" t="n">
        <v>737.00</v>
      </c>
      <c r="D13061" s="4"/>
    </row>
    <row collapsed="" customFormat="false" customHeight="1" hidden="" ht="14" outlineLevel="0" r="13062">
      <c r="A13062" s="3" t="inlineStr">
        <is>
          <t>13018</t>
        </is>
      </c>
      <c r="B13062" s="4" t="s">
        <f>=HYPERLINK("http://anyluxury.ru/shop/odezhda/futbolki/futbolka-zhenskaya-s-originalnim-vobr-virezom-mint-170-rozovaya-orhideya-479756/" , "4797.56 Футболка женская с оригинальным V-обр. вырезом MINT 170, розовая орхидея, размер L")</f>
      </c>
      <c r="C13062" s="4" t="n">
        <v>737.00</v>
      </c>
      <c r="D13062" s="4"/>
    </row>
    <row collapsed="" customFormat="false" customHeight="1" hidden="" ht="14" outlineLevel="0" r="13063">
      <c r="A13063" s="3" t="inlineStr">
        <is>
          <t>13019</t>
        </is>
      </c>
      <c r="B13063" s="4" t="s">
        <f>=HYPERLINK("http://anyluxury.ru/shop/odezhda/futbolki/futbolka-zhenskaya-s-originalnim-vobr-virezom-mint-170-biryuzovaya-479742/" , "4797.42 Футболка женская с оригинальным V-обр. вырезом MINT 170, бирюзовая, размер M")</f>
      </c>
      <c r="C13063" s="4" t="n">
        <v>737.00</v>
      </c>
      <c r="D13063" s="4"/>
    </row>
    <row collapsed="" customFormat="false" customHeight="1" hidden="" ht="14" outlineLevel="0" r="13064">
      <c r="A13064" s="3" t="inlineStr">
        <is>
          <t>13020</t>
        </is>
      </c>
      <c r="B13064" s="4" t="s">
        <f>=HYPERLINK("http://anyluxury.ru/shop/odezhda/futbolki/futbolka-muzhskaya-master-150-s-glubokim-vobr-virezom-belaya-479660/" , "4796.60 Футболка мужская с глубоким V-обр. вырезом MASTER 150, белая, размер S")</f>
      </c>
      <c r="C13064" s="4" t="n">
        <v>872.00</v>
      </c>
      <c r="D13064" s="4"/>
    </row>
    <row collapsed="" customFormat="false" customHeight="1" hidden="" ht="14" outlineLevel="0" r="13065">
      <c r="A13065" s="3" t="inlineStr">
        <is>
          <t>13021</t>
        </is>
      </c>
      <c r="B13065" s="4" t="s">
        <f>=HYPERLINK("http://anyluxury.ru/shop/odezhda/futbolki/futbolka-muzhskaya-master-150-s-glubokim-vobr-virezom-belaya-479660/" , "4796.60 Футболка мужская с глубоким V-обр. вырезом MASTER 150, белая, размер M")</f>
      </c>
      <c r="C13065" s="4" t="n">
        <v>872.00</v>
      </c>
      <c r="D13065" s="4"/>
    </row>
    <row collapsed="" customFormat="false" customHeight="1" hidden="" ht="14" outlineLevel="0" r="13066">
      <c r="A13066" s="3" t="inlineStr">
        <is>
          <t>13022</t>
        </is>
      </c>
      <c r="B13066" s="4" t="s">
        <f>=HYPERLINK("http://anyluxury.ru/shop/odezhda/futbolki/futbolka-muzhskaya-master-150-s-glubokim-vobr-virezom-belaya-479660/" , "4796.60 Футболка мужская с глубоким V-обр. вырезом MASTER 150, белая, размер XL")</f>
      </c>
      <c r="C13066" s="4" t="n">
        <v>872.00</v>
      </c>
      <c r="D13066" s="4"/>
    </row>
    <row collapsed="" customFormat="false" customHeight="1" hidden="" ht="14" outlineLevel="0" r="13067">
      <c r="A13067" s="3" t="inlineStr">
        <is>
          <t>13023</t>
        </is>
      </c>
      <c r="B13067" s="4" t="s">
        <f>=HYPERLINK("http://anyluxury.ru/shop/odezhda/futbolki/futbolka-rabochaya-mega-pro-190-krasnaya-609550/" , "6095.50 Футболка рабочая Mega pro 190 красная, размер S")</f>
      </c>
      <c r="C13067" s="4" t="n">
        <v>800.00</v>
      </c>
      <c r="D13067" s="4"/>
    </row>
    <row collapsed="" customFormat="false" customHeight="1" hidden="" ht="14" outlineLevel="0" r="13068">
      <c r="A13068" s="3" t="inlineStr">
        <is>
          <t>13024</t>
        </is>
      </c>
      <c r="B13068" s="4" t="s">
        <f>=HYPERLINK("http://anyluxury.ru/shop/odezhda/futbolki/futbolka-rabochaya-mega-pro-190-krasnaya-609550/" , "6095.50 Футболка рабочая Mega pro 190 красная, размер M")</f>
      </c>
      <c r="C13068" s="4" t="n">
        <v>800.00</v>
      </c>
      <c r="D13068" s="4"/>
    </row>
    <row collapsed="" customFormat="false" customHeight="1" hidden="" ht="14" outlineLevel="0" r="13069">
      <c r="A13069" s="3" t="inlineStr">
        <is>
          <t>13025</t>
        </is>
      </c>
      <c r="B13069" s="4" t="s">
        <f>=HYPERLINK("http://anyluxury.ru/shop/odezhda/futbolki/futbolka-rabochaya-mega-pro-190-krasnaya-609550/" , "6095.50 Футболка рабочая Mega pro 190 красная, размер XL")</f>
      </c>
      <c r="C13069" s="4" t="n">
        <v>800.00</v>
      </c>
      <c r="D13069" s="4"/>
    </row>
    <row collapsed="" customFormat="false" customHeight="1" hidden="" ht="14" outlineLevel="0" r="13070">
      <c r="A13070" s="3" t="inlineStr">
        <is>
          <t>13026</t>
        </is>
      </c>
      <c r="B13070" s="4" t="s">
        <f>=HYPERLINK("http://anyluxury.ru/shop/odezhda/futbolki/futbolka-imperial-190-temnoseraya-grafit-137413/" , "1374.13 Футболка IMPERIAL 190 темно-серая (графит), размер S")</f>
      </c>
      <c r="C13070" s="4" t="n">
        <v>697.00</v>
      </c>
      <c r="D13070" s="4"/>
    </row>
    <row collapsed="" customFormat="false" customHeight="1" hidden="" ht="14" outlineLevel="0" r="13071">
      <c r="A13071" s="3" t="inlineStr">
        <is>
          <t>13027</t>
        </is>
      </c>
      <c r="B13071" s="4" t="s">
        <f>=HYPERLINK("http://anyluxury.ru/shop/odezhda/futbolki/futbolka-imperial-190-temnoseraya-grafit-137413/" , "1374.13 Футболка IMPERIAL 190 темно-серая (графит), размер M")</f>
      </c>
      <c r="C13071" s="4" t="n">
        <v>697.00</v>
      </c>
      <c r="D13071" s="4"/>
    </row>
    <row collapsed="" customFormat="false" customHeight="1" hidden="" ht="14" outlineLevel="0" r="13072">
      <c r="A13072" s="3" t="inlineStr">
        <is>
          <t>13028</t>
        </is>
      </c>
      <c r="B13072" s="4" t="s">
        <f>=HYPERLINK("http://anyluxury.ru/shop/odezhda/futbolki/futbolka-imperial-190-temnoseraya-grafit-137413/" , "1374.13 Футболка IMPERIAL 190 темно-серая (графит), размер L")</f>
      </c>
      <c r="C13072" s="4" t="n">
        <v>697.00</v>
      </c>
      <c r="D13072" s="4"/>
    </row>
    <row collapsed="" customFormat="false" customHeight="1" hidden="" ht="14" outlineLevel="0" r="13073">
      <c r="A13073" s="3" t="inlineStr">
        <is>
          <t>13029</t>
        </is>
      </c>
      <c r="B13073" s="4" t="s">
        <f>=HYPERLINK("http://anyluxury.ru/shop/odezhda/futbolki/futbolka-imperial-190-temnoseraya-grafit-137413/" , "1374.13 Футболка IMPERIAL 190 темно-серая (графит), размер XL")</f>
      </c>
      <c r="C13073" s="4" t="n">
        <v>697.00</v>
      </c>
      <c r="D13073" s="4"/>
    </row>
    <row collapsed="" customFormat="false" customHeight="1" hidden="" ht="14" outlineLevel="0" r="13074">
      <c r="A13074" s="3" t="inlineStr">
        <is>
          <t>13030</t>
        </is>
      </c>
      <c r="B13074" s="4" t="s">
        <f>=HYPERLINK("http://anyluxury.ru/shop/odezhda/futbolki/futbolka-imperial-190-temnoseraya-grafit-137413/" , "1374.13 Футболка IMPERIAL 190 темно-серая (графит), размер XXL")</f>
      </c>
      <c r="C13074" s="4" t="n">
        <v>697.00</v>
      </c>
      <c r="D13074" s="4"/>
    </row>
    <row collapsed="" customFormat="false" customHeight="1" hidden="" ht="14" outlineLevel="0" r="13075">
      <c r="A13075" s="3" t="inlineStr">
        <is>
          <t>13031</t>
        </is>
      </c>
      <c r="B13075" s="4" t="s">
        <f>=HYPERLINK("http://anyluxury.ru/shop/odezhda/futbolki/futbolka-imperial-190-temnoseraya-grafit-137413/" , "1374.13 Футболка IMPERIAL 190 темно-серая (графит), размер 3XL")</f>
      </c>
      <c r="C13075" s="4" t="n">
        <v>820.00</v>
      </c>
      <c r="D13075" s="4"/>
    </row>
    <row collapsed="" customFormat="false" customHeight="1" hidden="" ht="14" outlineLevel="0" r="13076">
      <c r="A13076" s="3" t="inlineStr">
        <is>
          <t>13032</t>
        </is>
      </c>
      <c r="B13076" s="4" t="s">
        <f>=HYPERLINK("http://anyluxury.ru/shop/odezhda/futbolki/futbolka-imperial-190-temnoseraya-grafit-137413/" , "1374.13 Футболка IMPERIAL 190 темно-серая (графит), размер 4XL")</f>
      </c>
      <c r="C13076" s="4" t="n">
        <v>1211.00</v>
      </c>
      <c r="D13076" s="4"/>
    </row>
    <row collapsed="" customFormat="false" customHeight="1" hidden="" ht="14" outlineLevel="0" r="13077">
      <c r="A13077" s="3" t="inlineStr">
        <is>
          <t>13033</t>
        </is>
      </c>
      <c r="B13077" s="4" t="s">
        <f>=HYPERLINK("http://anyluxury.ru/shop/odezhda/futbolki/futbolka-imperial-190-temnoseraya-grafit-137413/" , "1374.13 Футболка IMPERIAL 190 темно-серая (графит), размер 5XL")</f>
      </c>
      <c r="C13077" s="4" t="n">
        <v>1211.00</v>
      </c>
      <c r="D13077" s="4"/>
    </row>
    <row collapsed="" customFormat="false" customHeight="1" hidden="" ht="14" outlineLevel="0" r="13078">
      <c r="A13078" s="3" t="inlineStr">
        <is>
          <t>13034</t>
        </is>
      </c>
      <c r="B13078" s="4" t="s">
        <f>=HYPERLINK("http://anyluxury.ru/shop/odezhda/futbolki/futbolka-regent-150-fioletovaya-137677/" , "1376.77 Футболка REGENT 150 фиолетовая, размер XS")</f>
      </c>
      <c r="C13078" s="4" t="n">
        <v>531.00</v>
      </c>
      <c r="D13078" s="4"/>
    </row>
    <row collapsed="" customFormat="false" customHeight="1" hidden="" ht="14" outlineLevel="0" r="13079">
      <c r="A13079" s="3" t="inlineStr">
        <is>
          <t>13035</t>
        </is>
      </c>
      <c r="B13079" s="4" t="s">
        <f>=HYPERLINK("http://anyluxury.ru/shop/odezhda/futbolki/futbolka-regent-150-fioletovaya-137677/" , "1376.77 Футболка REGENT 150 фиолетовая, размер S")</f>
      </c>
      <c r="C13079" s="4" t="n">
        <v>531.00</v>
      </c>
      <c r="D13079" s="4"/>
    </row>
    <row collapsed="" customFormat="false" customHeight="1" hidden="" ht="14" outlineLevel="0" r="13080">
      <c r="A13080" s="3" t="inlineStr">
        <is>
          <t>13036</t>
        </is>
      </c>
      <c r="B13080" s="4" t="s">
        <f>=HYPERLINK("http://anyluxury.ru/shop/odezhda/futbolki/futbolka-regent-150-fioletovaya-137677/" , "1376.77 Футболка REGENT 150 фиолетовая, размер M")</f>
      </c>
      <c r="C13080" s="4" t="n">
        <v>531.00</v>
      </c>
      <c r="D13080" s="4"/>
    </row>
    <row collapsed="" customFormat="false" customHeight="1" hidden="" ht="14" outlineLevel="0" r="13081">
      <c r="A13081" s="3" t="inlineStr">
        <is>
          <t>13037</t>
        </is>
      </c>
      <c r="B13081" s="4" t="s">
        <f>=HYPERLINK("http://anyluxury.ru/shop/odezhda/futbolki/futbolka-regent-150-fioletovaya-137677/" , "1376.77 Футболка REGENT 150 фиолетовая, размер L")</f>
      </c>
      <c r="C13081" s="4" t="n">
        <v>531.00</v>
      </c>
      <c r="D13081" s="4"/>
    </row>
    <row collapsed="" customFormat="false" customHeight="1" hidden="" ht="14" outlineLevel="0" r="13082">
      <c r="A13082" s="3" t="inlineStr">
        <is>
          <t>13038</t>
        </is>
      </c>
      <c r="B13082" s="4" t="s">
        <f>=HYPERLINK("http://anyluxury.ru/shop/odezhda/futbolki/futbolka-regent-150-fioletovaya-137677/" , "1376.77 Футболка REGENT 150 фиолетовая, размер XL")</f>
      </c>
      <c r="C13082" s="4" t="n">
        <v>531.00</v>
      </c>
      <c r="D13082" s="4"/>
    </row>
    <row collapsed="" customFormat="false" customHeight="1" hidden="" ht="14" outlineLevel="0" r="13083">
      <c r="A13083" s="3" t="inlineStr">
        <is>
          <t>13039</t>
        </is>
      </c>
      <c r="B13083" s="4" t="s">
        <f>=HYPERLINK("http://anyluxury.ru/shop/odezhda/futbolki/futbolka-regent-150-fioletovaya-137677/" , "1376.77 Футболка REGENT 150 фиолетовая, размер XXL")</f>
      </c>
      <c r="C13083" s="4" t="n">
        <v>531.00</v>
      </c>
      <c r="D13083" s="4"/>
    </row>
    <row collapsed="" customFormat="false" customHeight="1" hidden="" ht="14" outlineLevel="0" r="13084">
      <c r="A13084" s="3" t="inlineStr">
        <is>
          <t>13040</t>
        </is>
      </c>
      <c r="B13084" s="4" t="s">
        <f>=HYPERLINK("http://anyluxury.ru/shop/odezhda/futbolki/futbolka-stretch-muzhskaya-milano-190-temnokorichnevaya-shokolad-438059/" , "4380.59 Футболка мужская MILANO 190 темно-коричневая (шоколад), размер XXL")</f>
      </c>
      <c r="C13084" s="4" t="n">
        <v>750.00</v>
      </c>
      <c r="D13084" s="4"/>
    </row>
    <row collapsed="" customFormat="false" customHeight="1" hidden="" ht="14" outlineLevel="0" r="13085">
      <c r="A13085" s="3" t="inlineStr">
        <is>
          <t>13041</t>
        </is>
      </c>
      <c r="B13085" s="4" t="s">
        <f>=HYPERLINK("http://anyluxury.ru/shop/odezhda/futbolki/futbolka-zhenskaya-milky-150-belaya-s-oranzhevim-438162/" , "4381.62 Футболка женская MILKY 150 белая с оранжевым, размер S")</f>
      </c>
      <c r="C13085" s="4" t="n">
        <v>903.00</v>
      </c>
      <c r="D13085" s="4"/>
    </row>
    <row collapsed="" customFormat="false" customHeight="1" hidden="" ht="14" outlineLevel="0" r="13086">
      <c r="A13086" s="3" t="inlineStr">
        <is>
          <t>13042</t>
        </is>
      </c>
      <c r="B13086" s="4" t="s">
        <f>=HYPERLINK("http://anyluxury.ru/shop/odezhda/futbolki/futbolka-zhenskaya-milky-150-belaya-s-oranzhevim-438162/" , "4381.62 Футболка женская MILKY 150 белая с оранжевым, размер M")</f>
      </c>
      <c r="C13086" s="4" t="n">
        <v>903.00</v>
      </c>
      <c r="D13086" s="4"/>
    </row>
    <row collapsed="" customFormat="false" customHeight="1" hidden="" ht="14" outlineLevel="0" r="13087">
      <c r="A13087" s="3" t="inlineStr">
        <is>
          <t>13043</t>
        </is>
      </c>
      <c r="B13087" s="4" t="s">
        <f>=HYPERLINK("http://anyluxury.ru/shop/odezhda/futbolki/futbolka-zhenskaya-milky-150-belaya-s-oranzhevim-438162/" , "4381.62 Футболка женская MILKY 150 белая с оранжевым, размер L")</f>
      </c>
      <c r="C13087" s="4" t="n">
        <v>903.00</v>
      </c>
      <c r="D13087" s="4"/>
    </row>
    <row collapsed="" customFormat="false" customHeight="1" hidden="" ht="14" outlineLevel="0" r="13088">
      <c r="A13088" s="3" t="inlineStr">
        <is>
          <t>13044</t>
        </is>
      </c>
      <c r="B13088" s="4" t="s">
        <f>=HYPERLINK("http://anyluxury.ru/shop/odezhda/futbolki/futbolka-zhenskaya-milky-150-belaya-s-oranzhevim-438162/" , "4381.62 Футболка женская Milky 150 белая с оранжевым, размер XL")</f>
      </c>
      <c r="C13088" s="4" t="n">
        <v>875.00</v>
      </c>
      <c r="D13088" s="4"/>
    </row>
    <row collapsed="" customFormat="false" customHeight="1" hidden="" ht="14" outlineLevel="0" r="13089">
      <c r="A13089" s="3" t="inlineStr">
        <is>
          <t>13045</t>
        </is>
      </c>
      <c r="B13089" s="4" t="s">
        <f>=HYPERLINK("http://anyluxury.ru/shop/odezhda/futbolki/futbolka-zhenskaya-moorea-170-yarkozelenaya-s-beloy-otdelkoy-240092/" , "2400.92 Футболка женская MOOREA 170 ярко-зеленая с белой отделкой, размер M")</f>
      </c>
      <c r="C13089" s="4" t="n">
        <v>600.00</v>
      </c>
      <c r="D13089" s="4"/>
    </row>
    <row collapsed="" customFormat="false" customHeight="1" hidden="" ht="14" outlineLevel="0" r="13090">
      <c r="A13090" s="3" t="inlineStr">
        <is>
          <t>13046</t>
        </is>
      </c>
      <c r="B13090" s="4" t="s">
        <f>=HYPERLINK("http://anyluxury.ru/shop/odezhda/futbolki/futbolka-regent-150-zelenoe-yabloko-137694/" , "1376.94 Футболка REGENT 150, &amp;amp;quot;зеленое яблоко&amp;amp;quot;, размер XS")</f>
      </c>
      <c r="C13090" s="4" t="n">
        <v>531.00</v>
      </c>
      <c r="D13090" s="4"/>
    </row>
    <row collapsed="" customFormat="false" customHeight="1" hidden="" ht="14" outlineLevel="0" r="13091">
      <c r="A13091" s="3" t="inlineStr">
        <is>
          <t>13047</t>
        </is>
      </c>
      <c r="B13091" s="4" t="s">
        <f>=HYPERLINK("http://anyluxury.ru/shop/odezhda/futbolki/futbolka-regent-150-zelenoe-yabloko-137694/" , "1376.94 Футболка REGENT 150, 'зеленое яблоко', размер S")</f>
      </c>
      <c r="C13091" s="4" t="n">
        <v>531.00</v>
      </c>
      <c r="D13091" s="4"/>
    </row>
    <row collapsed="" customFormat="false" customHeight="1" hidden="" ht="14" outlineLevel="0" r="13092">
      <c r="A13092" s="3" t="inlineStr">
        <is>
          <t>13048</t>
        </is>
      </c>
      <c r="B13092" s="4" t="s">
        <f>=HYPERLINK("http://anyluxury.ru/shop/odezhda/futbolki/futbolka-regent-150-zelenoe-yabloko-137694/" , "1376.94 Футболка REGENT 150, 'зеленое яблоко', размер M")</f>
      </c>
      <c r="C13092" s="4" t="n">
        <v>531.00</v>
      </c>
      <c r="D13092" s="4"/>
    </row>
    <row collapsed="" customFormat="false" customHeight="1" hidden="" ht="14" outlineLevel="0" r="13093">
      <c r="A13093" s="3" t="inlineStr">
        <is>
          <t>13049</t>
        </is>
      </c>
      <c r="B13093" s="4" t="s">
        <f>=HYPERLINK("http://anyluxury.ru/shop/odezhda/futbolki/futbolka-regent-150-zelenoe-yabloko-137694/" , "1376.94 Футболка REGENT 150, 'зеленое яблоко', размер L")</f>
      </c>
      <c r="C13093" s="4" t="n">
        <v>531.00</v>
      </c>
      <c r="D13093" s="4"/>
    </row>
    <row collapsed="" customFormat="false" customHeight="1" hidden="" ht="14" outlineLevel="0" r="13094">
      <c r="A13094" s="3" t="inlineStr">
        <is>
          <t>13050</t>
        </is>
      </c>
      <c r="B13094" s="4" t="s">
        <f>=HYPERLINK("http://anyluxury.ru/shop/odezhda/futbolki/futbolka-regent-150-zelenoe-yabloko-137694/" , "1376.94 Футболка REGENT 150, 'зеленое яблоко', размер XL")</f>
      </c>
      <c r="C13094" s="4" t="n">
        <v>531.00</v>
      </c>
      <c r="D13094" s="4"/>
    </row>
    <row collapsed="" customFormat="false" customHeight="1" hidden="" ht="14" outlineLevel="0" r="13095">
      <c r="A13095" s="3" t="inlineStr">
        <is>
          <t>13051</t>
        </is>
      </c>
      <c r="B13095" s="4" t="s">
        <f>=HYPERLINK("http://anyluxury.ru/shop/odezhda/futbolki/futbolka-regent-150-zelenoe-yabloko-137694/" , "1376.94 Футболка REGENT 150, 'зеленое яблоко', размер XXL")</f>
      </c>
      <c r="C13095" s="4" t="n">
        <v>531.00</v>
      </c>
      <c r="D13095" s="4"/>
    </row>
    <row collapsed="" customFormat="false" customHeight="1" hidden="" ht="14" outlineLevel="0" r="13096">
      <c r="A13096" s="3" t="inlineStr">
        <is>
          <t>13052</t>
        </is>
      </c>
      <c r="B13096" s="4" t="s">
        <f>=HYPERLINK("http://anyluxury.ru/shop/odezhda/futbolki/futbolka-regent-150-zelenoe-yabloko-137694/" , "1376.94 Футболка Regent 150, зеленое яблоко, размер XXS")</f>
      </c>
      <c r="C13096" s="4" t="n">
        <v>531.00</v>
      </c>
      <c r="D13096" s="4"/>
    </row>
    <row collapsed="" customFormat="false" customHeight="1" hidden="" ht="14" outlineLevel="0" r="13097">
      <c r="A13097" s="3" t="inlineStr">
        <is>
          <t>13053</t>
        </is>
      </c>
      <c r="B13097" s="4" t="s">
        <f>=HYPERLINK("http://anyluxury.ru/shop/odezhda/futbolki/futbolka-regent-150-zelenoe-yabloko-137694/" , "1376.94 Футболка Regent 150, зеленое яблоко, размер 3XL")</f>
      </c>
      <c r="C13097" s="4" t="n">
        <v>653.00</v>
      </c>
      <c r="D13097" s="4"/>
    </row>
    <row collapsed="" customFormat="false" customHeight="1" hidden="" ht="14" outlineLevel="0" r="13098">
      <c r="A13098" s="3" t="inlineStr">
        <is>
          <t>13054</t>
        </is>
      </c>
      <c r="B13098" s="4" t="s">
        <f>=HYPERLINK("http://anyluxury.ru/shop/odezhda/futbolki/futbolka-imperial-190-zelenoe-yabloko-137494/" , "1374.94 Футболка IMPERIAL 190 зеленое яблоко, размер S")</f>
      </c>
      <c r="C13098" s="4" t="n">
        <v>697.00</v>
      </c>
      <c r="D13098" s="4"/>
    </row>
    <row collapsed="" customFormat="false" customHeight="1" hidden="" ht="14" outlineLevel="0" r="13099">
      <c r="A13099" s="3" t="inlineStr">
        <is>
          <t>13055</t>
        </is>
      </c>
      <c r="B13099" s="4" t="s">
        <f>=HYPERLINK("http://anyluxury.ru/shop/odezhda/futbolki/futbolka-imperial-190-zelenoe-yabloko-137494/" , "1374.94 Футболка IMPERIAL 190 зеленое яблоко, размер M")</f>
      </c>
      <c r="C13099" s="4" t="n">
        <v>697.00</v>
      </c>
      <c r="D13099" s="4"/>
    </row>
    <row collapsed="" customFormat="false" customHeight="1" hidden="" ht="14" outlineLevel="0" r="13100">
      <c r="A13100" s="3" t="inlineStr">
        <is>
          <t>13056</t>
        </is>
      </c>
      <c r="B13100" s="4" t="s">
        <f>=HYPERLINK("http://anyluxury.ru/shop/odezhda/futbolki/futbolka-imperial-190-zelenoe-yabloko-137494/" , "1374.94 Футболка IMPERIAL 190 зеленое яблоко, размер L")</f>
      </c>
      <c r="C13100" s="4" t="n">
        <v>697.00</v>
      </c>
      <c r="D13100" s="4"/>
    </row>
    <row collapsed="" customFormat="false" customHeight="1" hidden="" ht="14" outlineLevel="0" r="13101">
      <c r="A13101" s="3" t="inlineStr">
        <is>
          <t>13057</t>
        </is>
      </c>
      <c r="B13101" s="4" t="s">
        <f>=HYPERLINK("http://anyluxury.ru/shop/odezhda/futbolki/futbolka-imperial-190-zelenoe-yabloko-137494/" , "1374.94 Футболка IMPERIAL 190 зеленое яблоко, размер XL")</f>
      </c>
      <c r="C13101" s="4" t="n">
        <v>697.00</v>
      </c>
      <c r="D13101" s="4"/>
    </row>
    <row collapsed="" customFormat="false" customHeight="1" hidden="" ht="14" outlineLevel="0" r="13102">
      <c r="A13102" s="3" t="inlineStr">
        <is>
          <t>13058</t>
        </is>
      </c>
      <c r="B13102" s="4" t="s">
        <f>=HYPERLINK("http://anyluxury.ru/shop/odezhda/futbolki/futbolka-imperial-190-zelenoe-yabloko-137494/" , "1374.94 Футболка IMPERIAL 190 зеленое яблоко, размер XXL")</f>
      </c>
      <c r="C13102" s="4" t="n">
        <v>697.00</v>
      </c>
      <c r="D13102" s="4"/>
    </row>
    <row collapsed="" customFormat="false" customHeight="1" hidden="" ht="14" outlineLevel="0" r="13103">
      <c r="A13103" s="3" t="inlineStr">
        <is>
          <t>13059</t>
        </is>
      </c>
      <c r="B13103" s="4" t="s">
        <f>=HYPERLINK("http://anyluxury.ru/shop/odezhda/futbolki/futbolka-zhenskaya-melrose-150-s-glubokim-virezom-zelenoe-yabloko-183294/" , "1832.94 Футболка женская с глубоким вырезом MELROSE 150 зеленое яблоко, размер S")</f>
      </c>
      <c r="C13103" s="4" t="n">
        <v>396.00</v>
      </c>
      <c r="D13103" s="4"/>
    </row>
    <row collapsed="" customFormat="false" customHeight="1" hidden="" ht="14" outlineLevel="0" r="13104">
      <c r="A13104" s="3" t="inlineStr">
        <is>
          <t>13060</t>
        </is>
      </c>
      <c r="B13104" s="4" t="s">
        <f>=HYPERLINK("http://anyluxury.ru/shop/odezhda/futbolki/futbolka-zhenskaya-melrose-150-s-glubokim-virezom-zelenoe-yabloko-183294/" , "1832.94 Футболка женская с глубоким вырезом MELROSE 150 зеленое яблоко, размер M")</f>
      </c>
      <c r="C13104" s="4" t="n">
        <v>396.00</v>
      </c>
      <c r="D13104" s="4"/>
    </row>
    <row collapsed="" customFormat="false" customHeight="1" hidden="" ht="14" outlineLevel="0" r="13105">
      <c r="A13105" s="3" t="inlineStr">
        <is>
          <t>13061</t>
        </is>
      </c>
      <c r="B13105" s="4" t="s">
        <f>=HYPERLINK("http://anyluxury.ru/shop/odezhda/futbolki/futbolka-regent-150-rozovaya-137653/" , "1376.53 Футболка REGENT 150, розовая, размер XS")</f>
      </c>
      <c r="C13105" s="4" t="n">
        <v>531.00</v>
      </c>
      <c r="D13105" s="4"/>
    </row>
    <row collapsed="" customFormat="false" customHeight="1" hidden="" ht="14" outlineLevel="0" r="13106">
      <c r="A13106" s="3" t="inlineStr">
        <is>
          <t>13062</t>
        </is>
      </c>
      <c r="B13106" s="4" t="s">
        <f>=HYPERLINK("http://anyluxury.ru/shop/odezhda/futbolki/futbolka-regent-150-rozovaya-137653/" , "1376.53 Футболка REGENT 150, розовая, размер S")</f>
      </c>
      <c r="C13106" s="4" t="n">
        <v>531.00</v>
      </c>
      <c r="D13106" s="4"/>
    </row>
    <row collapsed="" customFormat="false" customHeight="1" hidden="" ht="14" outlineLevel="0" r="13107">
      <c r="A13107" s="3" t="inlineStr">
        <is>
          <t>13063</t>
        </is>
      </c>
      <c r="B13107" s="4" t="s">
        <f>=HYPERLINK("http://anyluxury.ru/shop/odezhda/futbolki/futbolka-regent-150-rozovaya-137653/" , "1376.53 Футболка REGENT 150, розовая, размер M")</f>
      </c>
      <c r="C13107" s="4" t="n">
        <v>531.00</v>
      </c>
      <c r="D13107" s="4"/>
    </row>
    <row collapsed="" customFormat="false" customHeight="1" hidden="" ht="14" outlineLevel="0" r="13108">
      <c r="A13108" s="3" t="inlineStr">
        <is>
          <t>13064</t>
        </is>
      </c>
      <c r="B13108" s="4" t="s">
        <f>=HYPERLINK("http://anyluxury.ru/shop/odezhda/futbolki/futbolka-regent-150-rozovaya-137653/" , "1376.53 Футболка REGENT 150, розовая, размер L")</f>
      </c>
      <c r="C13108" s="4" t="n">
        <v>531.00</v>
      </c>
      <c r="D13108" s="4"/>
    </row>
    <row collapsed="" customFormat="false" customHeight="1" hidden="" ht="14" outlineLevel="0" r="13109">
      <c r="A13109" s="3" t="inlineStr">
        <is>
          <t>13065</t>
        </is>
      </c>
      <c r="B13109" s="4" t="s">
        <f>=HYPERLINK("http://anyluxury.ru/shop/odezhda/futbolki/futbolka-regent-150-rozovaya-137653/" , "1376.53 Футболка REGENT 150, розовая, размер XL")</f>
      </c>
      <c r="C13109" s="4" t="n">
        <v>531.00</v>
      </c>
      <c r="D13109" s="4"/>
    </row>
    <row collapsed="" customFormat="false" customHeight="1" hidden="" ht="14" outlineLevel="0" r="13110">
      <c r="A13110" s="3" t="inlineStr">
        <is>
          <t>13066</t>
        </is>
      </c>
      <c r="B13110" s="4" t="s">
        <f>=HYPERLINK("http://anyluxury.ru/shop/odezhda/futbolki/futbolka-regent-150-rozovaya-137653/" , "1376.53 Футболка REGENT 150, розовая, размер XXL")</f>
      </c>
      <c r="C13110" s="4" t="n">
        <v>531.00</v>
      </c>
      <c r="D13110" s="4"/>
    </row>
    <row collapsed="" customFormat="false" customHeight="1" hidden="" ht="14" outlineLevel="0" r="13111">
      <c r="A13111" s="3" t="inlineStr">
        <is>
          <t>13067</t>
        </is>
      </c>
      <c r="B13111" s="4" t="s">
        <f>=HYPERLINK("http://anyluxury.ru/shop/odezhda/futbolki/futbolka-regent-150-temnofioletovaya-137678/" , "1376.78 Футболка REGENT 150 темно-фиолетовая, размер XS")</f>
      </c>
      <c r="C13111" s="4" t="n">
        <v>531.00</v>
      </c>
      <c r="D13111" s="4"/>
    </row>
    <row collapsed="" customFormat="false" customHeight="1" hidden="" ht="14" outlineLevel="0" r="13112">
      <c r="A13112" s="3" t="inlineStr">
        <is>
          <t>13068</t>
        </is>
      </c>
      <c r="B13112" s="4" t="s">
        <f>=HYPERLINK("http://anyluxury.ru/shop/odezhda/futbolki/futbolka-regent-150-temnofioletovaya-137678/" , "1376.78 Футболка REGENT 150 темно-фиолетовая, размер S")</f>
      </c>
      <c r="C13112" s="4" t="n">
        <v>531.00</v>
      </c>
      <c r="D13112" s="4"/>
    </row>
    <row collapsed="" customFormat="false" customHeight="1" hidden="" ht="14" outlineLevel="0" r="13113">
      <c r="A13113" s="3" t="inlineStr">
        <is>
          <t>13069</t>
        </is>
      </c>
      <c r="B13113" s="4" t="s">
        <f>=HYPERLINK("http://anyluxury.ru/shop/odezhda/futbolki/futbolka-regent-150-temnofioletovaya-137678/" , "1376.78 Футболка REGENT 150 темно-фиолетовая, размер L")</f>
      </c>
      <c r="C13113" s="4" t="n">
        <v>531.00</v>
      </c>
      <c r="D13113" s="4"/>
    </row>
    <row collapsed="" customFormat="false" customHeight="1" hidden="" ht="14" outlineLevel="0" r="13114">
      <c r="A13114" s="3" t="inlineStr">
        <is>
          <t>13070</t>
        </is>
      </c>
      <c r="B13114" s="4" t="s">
        <f>=HYPERLINK("http://anyluxury.ru/shop/odezhda/futbolki/futbolka-regent-150-temnofioletovaya-137678/" , "1376.78 Футболка REGENT 150 темно-фиолетовая, размер XL")</f>
      </c>
      <c r="C13114" s="4" t="n">
        <v>531.00</v>
      </c>
      <c r="D13114" s="4"/>
    </row>
    <row collapsed="" customFormat="false" customHeight="1" hidden="" ht="14" outlineLevel="0" r="13115">
      <c r="A13115" s="3" t="inlineStr">
        <is>
          <t>13071</t>
        </is>
      </c>
      <c r="B13115" s="4" t="s">
        <f>=HYPERLINK("http://anyluxury.ru/shop/odezhda/futbolki/futbolka-regent-150-temnofioletovaya-137678/" , "1376.78 Футболка REGENT 150 темно-фиолетовая, размер XXL")</f>
      </c>
      <c r="C13115" s="4" t="n">
        <v>531.00</v>
      </c>
      <c r="D13115" s="4"/>
    </row>
    <row collapsed="" customFormat="false" customHeight="1" hidden="" ht="14" outlineLevel="0" r="13116">
      <c r="A13116" s="3" t="inlineStr">
        <is>
          <t>13072</t>
        </is>
      </c>
      <c r="B13116" s="4" t="s">
        <f>=HYPERLINK("http://anyluxury.ru/shop/odezhda/futbolki/futbolka-regent-150-temnofioletovaya-137678/" , "1376.78 Футболка Regent 150 темно-фиолетовая, размер XXS")</f>
      </c>
      <c r="C13116" s="4" t="n">
        <v>653.00</v>
      </c>
      <c r="D13116" s="4"/>
    </row>
    <row collapsed="" customFormat="false" customHeight="1" hidden="" ht="14" outlineLevel="0" r="13117">
      <c r="A13117" s="3" t="inlineStr">
        <is>
          <t>13073</t>
        </is>
      </c>
      <c r="B13117" s="4" t="s">
        <f>=HYPERLINK("http://anyluxury.ru/shop/odezhda/futbolki/futbolka-sportivnaya-maracana-140-zelenaya-s-belim-642496/" , "6424.96 Футболка спортивная MARACANA 140, зеленая с белым, размер M")</f>
      </c>
      <c r="C13117" s="4" t="n">
        <v>798.00</v>
      </c>
      <c r="D13117" s="4"/>
    </row>
    <row collapsed="" customFormat="false" customHeight="1" hidden="" ht="14" outlineLevel="0" r="13118">
      <c r="A13118" s="3" t="inlineStr">
        <is>
          <t>13074</t>
        </is>
      </c>
      <c r="B13118" s="4" t="s">
        <f>=HYPERLINK("http://anyluxury.ru/shop/odezhda/futbolki/futbolka-muzhskaya-pritalennaya-imperial-fit-190-chernaya-584830/" , "5848.30 Футболка мужская приталенная IMPERIAL FIT 190, черная, размер S")</f>
      </c>
      <c r="C13118" s="4" t="n">
        <v>775.00</v>
      </c>
      <c r="D13118" s="4"/>
    </row>
    <row collapsed="" customFormat="false" customHeight="1" hidden="" ht="14" outlineLevel="0" r="13119">
      <c r="A13119" s="3" t="inlineStr">
        <is>
          <t>13075</t>
        </is>
      </c>
      <c r="B13119" s="4" t="s">
        <f>=HYPERLINK("http://anyluxury.ru/shop/odezhda/futbolki/futbolka-muzhskaya-pritalennaya-imperial-fit-190-chernaya-584830/" , "5848.30 Футболка мужская приталенная IMPERIAL FIT 190, черная, размер XL")</f>
      </c>
      <c r="C13119" s="4" t="n">
        <v>775.00</v>
      </c>
      <c r="D13119" s="4"/>
    </row>
    <row collapsed="" customFormat="false" customHeight="1" hidden="" ht="14" outlineLevel="0" r="13120">
      <c r="A13120" s="3" t="inlineStr">
        <is>
          <t>13076</t>
        </is>
      </c>
      <c r="B13120" s="4" t="s">
        <f>=HYPERLINK("http://anyluxury.ru/shop/odezhda/futbolki/futbolka-muzhskaya-pritalennaya-imperial-fit-190-chernaya-584830/" , "5848.30 Футболка мужская приталенная IMPERIAL FIT 190, черная, размер XXL черная, размер XXL")</f>
      </c>
      <c r="C13120" s="4" t="n">
        <v>775.00</v>
      </c>
      <c r="D13120" s="4"/>
    </row>
    <row collapsed="" customFormat="false" customHeight="1" hidden="" ht="14" outlineLevel="0" r="13121">
      <c r="A13121" s="3" t="inlineStr">
        <is>
          <t>13077</t>
        </is>
      </c>
      <c r="B13121" s="4" t="s">
        <f>=HYPERLINK("http://anyluxury.ru/shop/odezhda/futbolki/futbolka-muzhskaya-pritalennaya-imperial-fit-190-chernaya-584830/" , "5848.30 Футболка мужская приталенная Imperial Fit 190, черная, размер L")</f>
      </c>
      <c r="C13121" s="4" t="n">
        <v>775.00</v>
      </c>
      <c r="D13121" s="4"/>
    </row>
    <row collapsed="" customFormat="false" customHeight="1" hidden="" ht="14" outlineLevel="0" r="13122">
      <c r="A13122" s="3" t="inlineStr">
        <is>
          <t>13078</t>
        </is>
      </c>
      <c r="B13122" s="4" t="s">
        <f>=HYPERLINK("http://anyluxury.ru/shop/odezhda/futbolki/futbolka-muzhskaya-pritalennaya-imperial-fit-190-belaya-584860/" , "5848.60 Футболка мужская приталенная IMPERIAL FIT 190, белая, размер S")</f>
      </c>
      <c r="C13122" s="4" t="n">
        <v>642.00</v>
      </c>
      <c r="D13122" s="4"/>
    </row>
    <row collapsed="" customFormat="false" customHeight="1" hidden="" ht="14" outlineLevel="0" r="13123">
      <c r="A13123" s="3" t="inlineStr">
        <is>
          <t>13079</t>
        </is>
      </c>
      <c r="B13123" s="4" t="s">
        <f>=HYPERLINK("http://anyluxury.ru/shop/odezhda/futbolki/futbolka-muzhskaya-pritalennaya-imperial-fit-190-belaya-584860/" , "5848.60 Футболка мужская приталенная IMPERIAL FIT 190, белая, размер XL")</f>
      </c>
      <c r="C13123" s="4" t="n">
        <v>642.00</v>
      </c>
      <c r="D13123" s="4"/>
    </row>
    <row collapsed="" customFormat="false" customHeight="1" hidden="" ht="14" outlineLevel="0" r="13124">
      <c r="A13124" s="3" t="inlineStr">
        <is>
          <t>13080</t>
        </is>
      </c>
      <c r="B13124" s="4" t="s">
        <f>=HYPERLINK("http://anyluxury.ru/shop/odezhda/futbolki/futbolka-muzhskaya-pritalennaya-imperial-fit-190-belaya-584860/" , "5848.60 Футболка мужская приталенная IMPERIAL FIT 190, белая, размер XXL белая, размер XXL")</f>
      </c>
      <c r="C13124" s="4" t="n">
        <v>642.00</v>
      </c>
      <c r="D13124" s="4"/>
    </row>
    <row collapsed="" customFormat="false" customHeight="1" hidden="" ht="14" outlineLevel="0" r="13125">
      <c r="A13125" s="3" t="inlineStr">
        <is>
          <t>13081</t>
        </is>
      </c>
      <c r="B13125" s="4" t="s">
        <f>=HYPERLINK("http://anyluxury.ru/shop/odezhda/futbolki/mayka-zhenskaya-moka-110-yarkogolubaya-597042/" , "5970.42 Майка женская MOKA 110, ярко-голубая, размер XS")</f>
      </c>
      <c r="C13125" s="4" t="n">
        <v>784.00</v>
      </c>
      <c r="D13125" s="4"/>
    </row>
    <row collapsed="" customFormat="false" customHeight="1" hidden="" ht="14" outlineLevel="0" r="13126">
      <c r="A13126" s="3" t="inlineStr">
        <is>
          <t>13082</t>
        </is>
      </c>
      <c r="B13126" s="4" t="s">
        <f>=HYPERLINK("http://anyluxury.ru/shop/odezhda/futbolki/mayka-zhenskaya-moka-110-yarkogolubaya-597042/" , "5970.42 Майка женская MOKA 110, ярко-голубая, размер S")</f>
      </c>
      <c r="C13126" s="4" t="n">
        <v>784.00</v>
      </c>
      <c r="D13126" s="4"/>
    </row>
    <row collapsed="" customFormat="false" customHeight="1" hidden="" ht="14" outlineLevel="0" r="13127">
      <c r="A13127" s="3" t="inlineStr">
        <is>
          <t>13083</t>
        </is>
      </c>
      <c r="B13127" s="4" t="s">
        <f>=HYPERLINK("http://anyluxury.ru/shop/odezhda/futbolki/mayka-zhenskaya-moka-110-yarkogolubaya-597042/" , "5970.42 Майка женская MOKA 110, ярко-голубая, размер M")</f>
      </c>
      <c r="C13127" s="4" t="n">
        <v>784.00</v>
      </c>
      <c r="D13127" s="4"/>
    </row>
    <row collapsed="" customFormat="false" customHeight="1" hidden="" ht="14" outlineLevel="0" r="13128">
      <c r="A13128" s="3" t="inlineStr">
        <is>
          <t>13084</t>
        </is>
      </c>
      <c r="B13128" s="4" t="s">
        <f>=HYPERLINK("http://anyluxury.ru/shop/odezhda/futbolki/mayka-zhenskaya-moka-110-yarkogolubaya-597042/" , "5970.42 Майка женская MOKA 110, ярко-голубая, размер L")</f>
      </c>
      <c r="C13128" s="4" t="n">
        <v>784.00</v>
      </c>
      <c r="D13128" s="4"/>
    </row>
    <row collapsed="" customFormat="false" customHeight="1" hidden="" ht="14" outlineLevel="0" r="13129">
      <c r="A13129" s="3" t="inlineStr">
        <is>
          <t>13085</t>
        </is>
      </c>
      <c r="B13129" s="4" t="s">
        <f>=HYPERLINK("http://anyluxury.ru/shop/odezhda/futbolki/mayka-zhenskaya-moka-110-yarkogolubaya-597042/" , "5970.42 Майка женская MOKA 110, ярко-голубая, размер XL")</f>
      </c>
      <c r="C13129" s="4" t="n">
        <v>784.00</v>
      </c>
      <c r="D13129" s="4"/>
    </row>
    <row collapsed="" customFormat="false" customHeight="1" hidden="" ht="14" outlineLevel="0" r="13130">
      <c r="A13130" s="3" t="inlineStr">
        <is>
          <t>13086</t>
        </is>
      </c>
      <c r="B13130" s="4" t="s">
        <f>=HYPERLINK("http://anyluxury.ru/shop/odezhda/futbolki/mayka-zhenskaya-moka-110-oranzhevaya-597020/" , "5970.20 Майка женская MOKA 110, оранжевая, размер XS")</f>
      </c>
      <c r="C13130" s="4" t="n">
        <v>784.00</v>
      </c>
      <c r="D13130" s="4"/>
    </row>
    <row collapsed="" customFormat="false" customHeight="1" hidden="" ht="14" outlineLevel="0" r="13131">
      <c r="A13131" s="3" t="inlineStr">
        <is>
          <t>13087</t>
        </is>
      </c>
      <c r="B13131" s="4" t="s">
        <f>=HYPERLINK("http://anyluxury.ru/shop/odezhda/futbolki/mayka-zhenskaya-moka-110-oranzhevaya-597020/" , "5970.20 Майка женская MOKA 110, оранжевая, размер S")</f>
      </c>
      <c r="C13131" s="4" t="n">
        <v>784.00</v>
      </c>
      <c r="D13131" s="4"/>
    </row>
    <row collapsed="" customFormat="false" customHeight="1" hidden="" ht="14" outlineLevel="0" r="13132">
      <c r="A13132" s="3" t="inlineStr">
        <is>
          <t>13088</t>
        </is>
      </c>
      <c r="B13132" s="4" t="s">
        <f>=HYPERLINK("http://anyluxury.ru/shop/odezhda/futbolki/mayka-zhenskaya-moka-110-oranzhevaya-597020/" , "5970.20 Майка женская MOKA 110, оранжевая, размер M")</f>
      </c>
      <c r="C13132" s="4" t="n">
        <v>784.00</v>
      </c>
      <c r="D13132" s="4"/>
    </row>
    <row collapsed="" customFormat="false" customHeight="1" hidden="" ht="14" outlineLevel="0" r="13133">
      <c r="A13133" s="3" t="inlineStr">
        <is>
          <t>13089</t>
        </is>
      </c>
      <c r="B13133" s="4" t="s">
        <f>=HYPERLINK("http://anyluxury.ru/shop/odezhda/futbolki/mayka-zhenskaya-moka-110-oranzhevaya-597020/" , "5970.20 Майка женская MOKA 110, оранжевая, размер L")</f>
      </c>
      <c r="C13133" s="4" t="n">
        <v>784.00</v>
      </c>
      <c r="D13133" s="4"/>
    </row>
    <row collapsed="" customFormat="false" customHeight="1" hidden="" ht="14" outlineLevel="0" r="13134">
      <c r="A13134" s="3" t="inlineStr">
        <is>
          <t>13090</t>
        </is>
      </c>
      <c r="B13134" s="4" t="s">
        <f>=HYPERLINK("http://anyluxury.ru/shop/odezhda/futbolki/mayka-zhenskaya-moka-110-oranzhevaya-597020/" , "5970.20 Майка женская MOKA 110, оранжевая, размер XL")</f>
      </c>
      <c r="C13134" s="4" t="n">
        <v>784.00</v>
      </c>
      <c r="D13134" s="4"/>
    </row>
    <row collapsed="" customFormat="false" customHeight="1" hidden="" ht="14" outlineLevel="0" r="13135">
      <c r="A13135" s="3" t="inlineStr">
        <is>
          <t>13091</t>
        </is>
      </c>
      <c r="B13135" s="4" t="s">
        <f>=HYPERLINK("http://anyluxury.ru/shop/odezhda/futbolki/mayka-zhenskaya-moka-110-chernaya-597030/" , "5970.30 Майка женская MOKA 110, черная, размер XS")</f>
      </c>
      <c r="C13135" s="4" t="n">
        <v>784.00</v>
      </c>
      <c r="D13135" s="4"/>
    </row>
    <row collapsed="" customFormat="false" customHeight="1" hidden="" ht="14" outlineLevel="0" r="13136">
      <c r="A13136" s="3" t="inlineStr">
        <is>
          <t>13092</t>
        </is>
      </c>
      <c r="B13136" s="4" t="s">
        <f>=HYPERLINK("http://anyluxury.ru/shop/odezhda/futbolki/mayka-zhenskaya-moka-110-chernaya-597030/" , "5970.30 Майка женская MOKA 110, черная, размер L")</f>
      </c>
      <c r="C13136" s="4" t="n">
        <v>784.00</v>
      </c>
      <c r="D13136" s="4"/>
    </row>
    <row collapsed="" customFormat="false" customHeight="1" hidden="" ht="14" outlineLevel="0" r="13137">
      <c r="A13137" s="3" t="inlineStr">
        <is>
          <t>13093</t>
        </is>
      </c>
      <c r="B13137" s="4" t="s">
        <f>=HYPERLINK("http://anyluxury.ru/shop/odezhda/futbolki/mayka-zhenskaya-moka-110-chernaya-597030/" , "5970.30 Майка женская MOKA 110, черная, размер XL")</f>
      </c>
      <c r="C13137" s="4" t="n">
        <v>784.00</v>
      </c>
      <c r="D13137" s="4"/>
    </row>
    <row collapsed="" customFormat="false" customHeight="1" hidden="" ht="14" outlineLevel="0" r="13138">
      <c r="A13138" s="3" t="inlineStr">
        <is>
          <t>13094</t>
        </is>
      </c>
      <c r="B13138" s="4" t="s">
        <f>=HYPERLINK("http://anyluxury.ru/shop/odezhda/futbolki/mayka-zhenskaya-moka-110-temnorozovaya-malinovaya-597051/" , "5970.51 Майка женская MOKA 110, темно-розовая (малиновая), размер XS")</f>
      </c>
      <c r="C13138" s="4" t="n">
        <v>784.00</v>
      </c>
      <c r="D13138" s="4"/>
    </row>
    <row collapsed="" customFormat="false" customHeight="1" hidden="" ht="14" outlineLevel="0" r="13139">
      <c r="A13139" s="3" t="inlineStr">
        <is>
          <t>13095</t>
        </is>
      </c>
      <c r="B13139" s="4" t="s">
        <f>=HYPERLINK("http://anyluxury.ru/shop/odezhda/futbolki/mayka-zhenskaya-moka-110-temnorozovaya-malinovaya-597051/" , "5970.51 Майка женская MOKA 110, темно-розовая (малиновая), размер S")</f>
      </c>
      <c r="C13139" s="4" t="n">
        <v>784.00</v>
      </c>
      <c r="D13139" s="4"/>
    </row>
    <row collapsed="" customFormat="false" customHeight="1" hidden="" ht="14" outlineLevel="0" r="13140">
      <c r="A13140" s="3" t="inlineStr">
        <is>
          <t>13096</t>
        </is>
      </c>
      <c r="B13140" s="4" t="s">
        <f>=HYPERLINK("http://anyluxury.ru/shop/odezhda/futbolki/mayka-zhenskaya-moka-110-temnorozovaya-malinovaya-597051/" , "5970.51 Майка женская MOKA 110, темно-розовая (малиновая), размер M")</f>
      </c>
      <c r="C13140" s="4" t="n">
        <v>784.00</v>
      </c>
      <c r="D13140" s="4"/>
    </row>
    <row collapsed="" customFormat="false" customHeight="1" hidden="" ht="14" outlineLevel="0" r="13141">
      <c r="A13141" s="3" t="inlineStr">
        <is>
          <t>13097</t>
        </is>
      </c>
      <c r="B13141" s="4" t="s">
        <f>=HYPERLINK("http://anyluxury.ru/shop/odezhda/futbolki/mayka-zhenskaya-moka-110-temnorozovaya-malinovaya-597051/" , "5970.51 Майка женская MOKA 110, темно-розовая (малиновая), размер L")</f>
      </c>
      <c r="C13141" s="4" t="n">
        <v>784.00</v>
      </c>
      <c r="D13141" s="4"/>
    </row>
    <row collapsed="" customFormat="false" customHeight="1" hidden="" ht="14" outlineLevel="0" r="13142">
      <c r="A13142" s="3" t="inlineStr">
        <is>
          <t>13098</t>
        </is>
      </c>
      <c r="B13142" s="4" t="s">
        <f>=HYPERLINK("http://anyluxury.ru/shop/odezhda/futbolki/mayka-zhenskaya-moka-110-temnorozovaya-malinovaya-597051/" , "5970.51 Майка женская MOKA 110, темно-розовая (малиновая), размер XL")</f>
      </c>
      <c r="C13142" s="4" t="n">
        <v>784.00</v>
      </c>
      <c r="D13142" s="4"/>
    </row>
    <row collapsed="" customFormat="false" customHeight="1" hidden="" ht="14" outlineLevel="0" r="13143">
      <c r="A13143" s="3" t="inlineStr">
        <is>
          <t>13099</t>
        </is>
      </c>
      <c r="B13143" s="4" t="s">
        <f>=HYPERLINK("http://anyluxury.ru/shop/odezhda/futbolki/mayka-zhenskaya-moka-110-krasnaya-597050/" , "5970.50 Майка женская MOKA 110, красная, размер M")</f>
      </c>
      <c r="C13143" s="4" t="n">
        <v>784.00</v>
      </c>
      <c r="D13143" s="4"/>
    </row>
    <row collapsed="" customFormat="false" customHeight="1" hidden="" ht="14" outlineLevel="0" r="13144">
      <c r="A13144" s="3" t="inlineStr">
        <is>
          <t>13100</t>
        </is>
      </c>
      <c r="B13144" s="4" t="s">
        <f>=HYPERLINK("http://anyluxury.ru/shop/odezhda/futbolki/mayka-zhenskaya-moka-110-krasnaya-597050/" , "5970.50 Майка женская MOKA 110, красная, размер L")</f>
      </c>
      <c r="C13144" s="4" t="n">
        <v>784.00</v>
      </c>
      <c r="D13144" s="4"/>
    </row>
    <row collapsed="" customFormat="false" customHeight="1" hidden="" ht="14" outlineLevel="0" r="13145">
      <c r="A13145" s="3" t="inlineStr">
        <is>
          <t>13101</t>
        </is>
      </c>
      <c r="B13145" s="4" t="s">
        <f>=HYPERLINK("http://anyluxury.ru/shop/odezhda/futbolki/mayka-zhenskaya-moka-110-krasnaya-597050/" , "5970.50 Майка женская MOKA 110, красная, размер XL")</f>
      </c>
      <c r="C13145" s="4" t="n">
        <v>784.00</v>
      </c>
      <c r="D13145" s="4"/>
    </row>
    <row collapsed="" customFormat="false" customHeight="1" hidden="" ht="14" outlineLevel="0" r="13146">
      <c r="A13146" s="3" t="inlineStr">
        <is>
          <t>13102</t>
        </is>
      </c>
      <c r="B13146" s="4" t="s">
        <f>=HYPERLINK("http://anyluxury.ru/shop/odezhda/futbolki/futbolka-regent-150-temnokorichnevaya-shokolad-137659/" , "1376.59 Футболка REGENT 150 темно-коричневая (шоколад), размер XS")</f>
      </c>
      <c r="C13146" s="4" t="n">
        <v>531.00</v>
      </c>
      <c r="D13146" s="4"/>
    </row>
    <row collapsed="" customFormat="false" customHeight="1" hidden="" ht="14" outlineLevel="0" r="13147">
      <c r="A13147" s="3" t="inlineStr">
        <is>
          <t>13103</t>
        </is>
      </c>
      <c r="B13147" s="4" t="s">
        <f>=HYPERLINK("http://anyluxury.ru/shop/odezhda/futbolki/futbolka-regent-150-temnokorichnevaya-shokolad-137659/" , "1376.59 Футболка REGENT 150 темно-коричневая (шоколад), размер S")</f>
      </c>
      <c r="C13147" s="4" t="n">
        <v>531.00</v>
      </c>
      <c r="D13147" s="4"/>
    </row>
    <row collapsed="" customFormat="false" customHeight="1" hidden="" ht="14" outlineLevel="0" r="13148">
      <c r="A13148" s="3" t="inlineStr">
        <is>
          <t>13104</t>
        </is>
      </c>
      <c r="B13148" s="4" t="s">
        <f>=HYPERLINK("http://anyluxury.ru/shop/odezhda/futbolki/futbolka-regent-150-temnokorichnevaya-shokolad-137659/" , "1376.59 Футболка REGENT 150 темно-коричневая (шоколад), размер M")</f>
      </c>
      <c r="C13148" s="4" t="n">
        <v>531.00</v>
      </c>
      <c r="D13148" s="4"/>
    </row>
    <row collapsed="" customFormat="false" customHeight="1" hidden="" ht="14" outlineLevel="0" r="13149">
      <c r="A13149" s="3" t="inlineStr">
        <is>
          <t>13105</t>
        </is>
      </c>
      <c r="B13149" s="4" t="s">
        <f>=HYPERLINK("http://anyluxury.ru/shop/odezhda/futbolki/futbolka-regent-150-temnokorichnevaya-shokolad-137659/" , "1376.59 Футболка REGENT 150 темно-коричневая (шоколад), размер L")</f>
      </c>
      <c r="C13149" s="4" t="n">
        <v>531.00</v>
      </c>
      <c r="D13149" s="4"/>
    </row>
    <row collapsed="" customFormat="false" customHeight="1" hidden="" ht="14" outlineLevel="0" r="13150">
      <c r="A13150" s="3" t="inlineStr">
        <is>
          <t>13106</t>
        </is>
      </c>
      <c r="B13150" s="4" t="s">
        <f>=HYPERLINK("http://anyluxury.ru/shop/odezhda/futbolki/futbolka-regent-150-temnokorichnevaya-shokolad-137659/" , "1376.59 Футболка REGENT 150 темно-коричневая (шоколад), размер XL")</f>
      </c>
      <c r="C13150" s="4" t="n">
        <v>531.00</v>
      </c>
      <c r="D13150" s="4"/>
    </row>
    <row collapsed="" customFormat="false" customHeight="1" hidden="" ht="14" outlineLevel="0" r="13151">
      <c r="A13151" s="3" t="inlineStr">
        <is>
          <t>13107</t>
        </is>
      </c>
      <c r="B13151" s="4" t="s">
        <f>=HYPERLINK("http://anyluxury.ru/shop/odezhda/futbolki/futbolka-regent-150-temnokorichnevaya-shokolad-137659/" , "1376.59 Футболка REGENT 150 темно-коричневая (шоколад), размер XXL")</f>
      </c>
      <c r="C13151" s="4" t="n">
        <v>531.00</v>
      </c>
      <c r="D13151" s="4"/>
    </row>
    <row collapsed="" customFormat="false" customHeight="1" hidden="" ht="14" outlineLevel="0" r="13152">
      <c r="A13152" s="3" t="inlineStr">
        <is>
          <t>13108</t>
        </is>
      </c>
      <c r="B13152" s="4" t="s">
        <f>=HYPERLINK("http://anyluxury.ru/shop/odezhda/futbolki/futbolka-zhenskaya-ladies-american-t-seriy-melanzh-654911/" , "6549.11 Футболка женская LADIES AMERICAN T, серый меланж, размер L")</f>
      </c>
      <c r="C13152" s="4" t="n">
        <v>760.00</v>
      </c>
      <c r="D13152" s="4"/>
    </row>
    <row collapsed="" customFormat="false" customHeight="1" hidden="" ht="14" outlineLevel="0" r="13153">
      <c r="A13153" s="3" t="inlineStr">
        <is>
          <t>13109</t>
        </is>
      </c>
      <c r="B13153" s="4" t="s">
        <f>=HYPERLINK("http://anyluxury.ru/shop/odezhda/futbolki/futbolka-zhenskaya-ladies-american-t-seriy-melanzh-654911/" , "6549.11 Футболка женская LADIES AMERICAN T, серый меланж, размер XXL")</f>
      </c>
      <c r="C13153" s="4" t="n">
        <v>760.00</v>
      </c>
      <c r="D13153" s="4"/>
    </row>
    <row collapsed="" customFormat="false" customHeight="1" hidden="" ht="14" outlineLevel="0" r="13154">
      <c r="A13154" s="3" t="inlineStr">
        <is>
          <t>13110</t>
        </is>
      </c>
      <c r="B13154" s="4" t="s">
        <f>=HYPERLINK("http://anyluxury.ru/shop/odezhda/futbolki/futbolka-zhenskaya-ladies-american-t-chernaya-654930/" , "6549.30 Футболка женская LADIES AMERICAN T, черная, размер XXL")</f>
      </c>
      <c r="C13154" s="4" t="n">
        <v>759.00</v>
      </c>
      <c r="D13154" s="4"/>
    </row>
    <row collapsed="" customFormat="false" customHeight="1" hidden="" ht="14" outlineLevel="0" r="13155">
      <c r="A13155" s="3" t="inlineStr">
        <is>
          <t>13111</t>
        </is>
      </c>
      <c r="B13155" s="4" t="s">
        <f>=HYPERLINK("http://anyluxury.ru/shop/odezhda/futbolki/futbolka-zhenskaya-ladies-american-t-temnosinyaya-654940/" , "6549.40 Футболка женская LADIES AMERICAN T, темно-синяя, размер XXL")</f>
      </c>
      <c r="C13155" s="4" t="n">
        <v>760.00</v>
      </c>
      <c r="D13155" s="4"/>
    </row>
    <row collapsed="" customFormat="false" customHeight="1" hidden="" ht="14" outlineLevel="0" r="13156">
      <c r="A13156" s="3" t="inlineStr">
        <is>
          <t>13112</t>
        </is>
      </c>
      <c r="B13156" s="4" t="s">
        <f>=HYPERLINK("http://anyluxury.ru/shop/odezhda/futbolki/futbolka-muzhskaya-american-t-krasnaya-655050/" , "6550.50 Футболка мужская AMERICAN T, красная, размер S")</f>
      </c>
      <c r="C13156" s="4" t="n">
        <v>760.00</v>
      </c>
      <c r="D13156" s="4"/>
    </row>
    <row collapsed="" customFormat="false" customHeight="1" hidden="" ht="14" outlineLevel="0" r="13157">
      <c r="A13157" s="3" t="inlineStr">
        <is>
          <t>13113</t>
        </is>
      </c>
      <c r="B13157" s="4" t="s">
        <f>=HYPERLINK("http://anyluxury.ru/shop/odezhda/futbolki/futbolka-muzhskaya-american-t-krasnaya-655050/" , "6550.50 Футболка мужская AMERICAN T, красная, размер M")</f>
      </c>
      <c r="C13157" s="4" t="n">
        <v>760.00</v>
      </c>
      <c r="D13157" s="4"/>
    </row>
    <row collapsed="" customFormat="false" customHeight="1" hidden="" ht="14" outlineLevel="0" r="13158">
      <c r="A13158" s="3" t="inlineStr">
        <is>
          <t>13114</t>
        </is>
      </c>
      <c r="B13158" s="4" t="s">
        <f>=HYPERLINK("http://anyluxury.ru/shop/odezhda/futbolki/futbolka-uniseks-sporty-140-belaya-11939102/" , "11939102 Футболка унисекс SPORTY 140 белая, размер XXS")</f>
      </c>
      <c r="C13158" s="4" t="n">
        <v>717.00</v>
      </c>
      <c r="D13158" s="4"/>
    </row>
    <row collapsed="" customFormat="false" customHeight="1" hidden="" ht="14" outlineLevel="0" r="13159">
      <c r="A13159" s="3" t="inlineStr">
        <is>
          <t>13115</t>
        </is>
      </c>
      <c r="B13159" s="4" t="s">
        <f>=HYPERLINK("http://anyluxury.ru/shop/odezhda/futbolki/futbolka-uniseks-sporty-140-belaya-11939102/" , "11939102 Футболка унисекс SPORTY 140 белая, размер XS")</f>
      </c>
      <c r="C13159" s="4" t="n">
        <v>717.00</v>
      </c>
      <c r="D13159" s="4"/>
    </row>
    <row collapsed="" customFormat="false" customHeight="1" hidden="" ht="14" outlineLevel="0" r="13160">
      <c r="A13160" s="3" t="inlineStr">
        <is>
          <t>13116</t>
        </is>
      </c>
      <c r="B13160" s="4" t="s">
        <f>=HYPERLINK("http://anyluxury.ru/shop/odezhda/futbolki/futbolka-uniseks-sporty-140-belaya-11939102/" , "11939102 Футболка унисекс SPORTY 140 белая, размер S")</f>
      </c>
      <c r="C13160" s="4" t="n">
        <v>717.00</v>
      </c>
      <c r="D13160" s="4"/>
    </row>
    <row collapsed="" customFormat="false" customHeight="1" hidden="" ht="14" outlineLevel="0" r="13161">
      <c r="A13161" s="3" t="inlineStr">
        <is>
          <t>13117</t>
        </is>
      </c>
      <c r="B13161" s="4" t="s">
        <f>=HYPERLINK("http://anyluxury.ru/shop/odezhda/futbolki/futbolka-uniseks-sporty-140-belaya-11939102/" , "11939102 Футболка унисекс SPORTY 140 белая, размер M")</f>
      </c>
      <c r="C13161" s="4" t="n">
        <v>717.00</v>
      </c>
      <c r="D13161" s="4"/>
    </row>
    <row collapsed="" customFormat="false" customHeight="1" hidden="" ht="14" outlineLevel="0" r="13162">
      <c r="A13162" s="3" t="inlineStr">
        <is>
          <t>13118</t>
        </is>
      </c>
      <c r="B13162" s="4" t="s">
        <f>=HYPERLINK("http://anyluxury.ru/shop/odezhda/futbolki/futbolka-uniseks-sporty-140-belaya-11939102/" , "11939102 Футболка унисекс SPORTY 140 белая, размер L")</f>
      </c>
      <c r="C13162" s="4" t="n">
        <v>717.00</v>
      </c>
      <c r="D13162" s="4"/>
    </row>
    <row collapsed="" customFormat="false" customHeight="1" hidden="" ht="14" outlineLevel="0" r="13163">
      <c r="A13163" s="3" t="inlineStr">
        <is>
          <t>13119</t>
        </is>
      </c>
      <c r="B13163" s="4" t="s">
        <f>=HYPERLINK("http://anyluxury.ru/shop/odezhda/futbolki/futbolka-uniseks-sporty-140-belaya-11939102/" , "11939102 Футболка унисекс SPORTY 140 белая, размер XL")</f>
      </c>
      <c r="C13163" s="4" t="n">
        <v>717.00</v>
      </c>
      <c r="D13163" s="4"/>
    </row>
    <row collapsed="" customFormat="false" customHeight="1" hidden="" ht="14" outlineLevel="0" r="13164">
      <c r="A13164" s="3" t="inlineStr">
        <is>
          <t>13120</t>
        </is>
      </c>
      <c r="B13164" s="4" t="s">
        <f>=HYPERLINK("http://anyluxury.ru/shop/odezhda/futbolki/futbolka-uniseks-sporty-140-belaya-11939102/" , "11939102 Футболка унисекс SPORTY 140 белая, размер XXL")</f>
      </c>
      <c r="C13164" s="4" t="n">
        <v>717.00</v>
      </c>
      <c r="D13164" s="4"/>
    </row>
    <row collapsed="" customFormat="false" customHeight="1" hidden="" ht="14" outlineLevel="0" r="13165">
      <c r="A13165" s="3" t="inlineStr">
        <is>
          <t>13121</t>
        </is>
      </c>
      <c r="B13165" s="4" t="s">
        <f>=HYPERLINK("http://anyluxury.ru/shop/odezhda/futbolki/futbolka-uniseks-sporty-140-belaya-11939102/" , "11939102 Футболка унисекс SPORTY 140 белая, размер 3XL")</f>
      </c>
      <c r="C13165" s="4" t="n">
        <v>859.00</v>
      </c>
      <c r="D13165" s="4"/>
    </row>
    <row collapsed="" customFormat="false" customHeight="1" hidden="" ht="14" outlineLevel="0" r="13166">
      <c r="A13166" s="3" t="inlineStr">
        <is>
          <t>13122</t>
        </is>
      </c>
      <c r="B13166" s="4" t="s">
        <f>=HYPERLINK("http://anyluxury.ru/shop/odezhda/futbolki/futbolka-uniseks-sporty-140-zelenoe-yabloko-11939280/" , "11939280 Футболка унисекс SPORTY 140 зеленое яблоко, размер XXS")</f>
      </c>
      <c r="C13166" s="4" t="n">
        <v>752.00</v>
      </c>
      <c r="D13166" s="4"/>
    </row>
    <row collapsed="" customFormat="false" customHeight="1" hidden="" ht="14" outlineLevel="0" r="13167">
      <c r="A13167" s="3" t="inlineStr">
        <is>
          <t>13123</t>
        </is>
      </c>
      <c r="B13167" s="4" t="s">
        <f>=HYPERLINK("http://anyluxury.ru/shop/odezhda/futbolki/futbolka-uniseks-sporty-140-zelenoe-yabloko-11939280/" , "11939280 Футболка унисекс SPORTY 140 зеленое яблоко, размер XS")</f>
      </c>
      <c r="C13167" s="4" t="n">
        <v>752.00</v>
      </c>
      <c r="D13167" s="4"/>
    </row>
    <row collapsed="" customFormat="false" customHeight="1" hidden="" ht="14" outlineLevel="0" r="13168">
      <c r="A13168" s="3" t="inlineStr">
        <is>
          <t>13124</t>
        </is>
      </c>
      <c r="B13168" s="4" t="s">
        <f>=HYPERLINK("http://anyluxury.ru/shop/odezhda/futbolki/futbolka-uniseks-sporty-140-zelenoe-yabloko-11939280/" , "11939280 Футболка унисекс SPORTY 140 зеленое яблоко, размер S")</f>
      </c>
      <c r="C13168" s="4" t="n">
        <v>752.00</v>
      </c>
      <c r="D13168" s="4"/>
    </row>
    <row collapsed="" customFormat="false" customHeight="1" hidden="" ht="14" outlineLevel="0" r="13169">
      <c r="A13169" s="3" t="inlineStr">
        <is>
          <t>13125</t>
        </is>
      </c>
      <c r="B13169" s="4" t="s">
        <f>=HYPERLINK("http://anyluxury.ru/shop/odezhda/futbolki/futbolka-uniseks-sporty-140-zelenoe-yabloko-11939280/" , "11939280 Футболка унисекс SPORTY 140 зеленое яблоко, размер XXL")</f>
      </c>
      <c r="C13169" s="4" t="n">
        <v>752.00</v>
      </c>
      <c r="D13169" s="4"/>
    </row>
    <row collapsed="" customFormat="false" customHeight="1" hidden="" ht="14" outlineLevel="0" r="13170">
      <c r="A13170" s="3" t="inlineStr">
        <is>
          <t>13126</t>
        </is>
      </c>
      <c r="B13170" s="4" t="s">
        <f>=HYPERLINK("http://anyluxury.ru/shop/odezhda/futbolki/futbolka-uniseks-sporty-140-zelenoe-yabloko-11939280/" , "11939280 Футболка унисекс SPORTY 140 зеленое яблоко, размер 3XL")</f>
      </c>
      <c r="C13170" s="4" t="n">
        <v>902.00</v>
      </c>
      <c r="D13170" s="4"/>
    </row>
    <row collapsed="" customFormat="false" customHeight="1" hidden="" ht="14" outlineLevel="0" r="13171">
      <c r="A13171" s="3" t="inlineStr">
        <is>
          <t>13127</t>
        </is>
      </c>
      <c r="B13171" s="4" t="s">
        <f>=HYPERLINK("http://anyluxury.ru/shop/odezhda/futbolki/futbolka-uniseks-sporty-140-temnofioletovaya-11939712/" , "11939712 Футболка унисекс SPORTY 140 темно-фиолетовая, размер XXS")</f>
      </c>
      <c r="C13171" s="4" t="n">
        <v>752.00</v>
      </c>
      <c r="D13171" s="4"/>
    </row>
    <row collapsed="" customFormat="false" customHeight="1" hidden="" ht="14" outlineLevel="0" r="13172">
      <c r="A13172" s="3" t="inlineStr">
        <is>
          <t>13128</t>
        </is>
      </c>
      <c r="B13172" s="4" t="s">
        <f>=HYPERLINK("http://anyluxury.ru/shop/odezhda/futbolki/futbolka-uniseks-sporty-140-temnofioletovaya-11939712/" , "11939712 Футболка унисекс SPORTY 140 темно-фиолетовая, размер XS")</f>
      </c>
      <c r="C13172" s="4" t="n">
        <v>752.00</v>
      </c>
      <c r="D13172" s="4"/>
    </row>
    <row collapsed="" customFormat="false" customHeight="1" hidden="" ht="14" outlineLevel="0" r="13173">
      <c r="A13173" s="3" t="inlineStr">
        <is>
          <t>13129</t>
        </is>
      </c>
      <c r="B13173" s="4" t="s">
        <f>=HYPERLINK("http://anyluxury.ru/shop/odezhda/futbolki/futbolka-uniseks-sporty-140-temnofioletovaya-11939712/" , "11939712 Футболка унисекс SPORTY 140 темно-фиолетовая, размер S")</f>
      </c>
      <c r="C13173" s="4" t="n">
        <v>752.00</v>
      </c>
      <c r="D13173" s="4"/>
    </row>
    <row collapsed="" customFormat="false" customHeight="1" hidden="" ht="14" outlineLevel="0" r="13174">
      <c r="A13174" s="3" t="inlineStr">
        <is>
          <t>13130</t>
        </is>
      </c>
      <c r="B13174" s="4" t="s">
        <f>=HYPERLINK("http://anyluxury.ru/shop/odezhda/futbolki/futbolka-uniseks-sporty-140-temnofioletovaya-11939712/" , "11939712 Футболка унисекс SPORTY 140 темно-фиолетовая, размер XL")</f>
      </c>
      <c r="C13174" s="4" t="n">
        <v>752.00</v>
      </c>
      <c r="D13174" s="4"/>
    </row>
    <row collapsed="" customFormat="false" customHeight="1" hidden="" ht="14" outlineLevel="0" r="13175">
      <c r="A13175" s="3" t="inlineStr">
        <is>
          <t>13131</t>
        </is>
      </c>
      <c r="B13175" s="4" t="s">
        <f>=HYPERLINK("http://anyluxury.ru/shop/odezhda/futbolki/futbolka-uniseks-sporty-140-temnofioletovaya-11939712/" , "11939712 Футболка унисекс SPORTY 140 темно-фиолетовая, размер XXL")</f>
      </c>
      <c r="C13175" s="4" t="n">
        <v>752.00</v>
      </c>
      <c r="D13175" s="4"/>
    </row>
    <row collapsed="" customFormat="false" customHeight="1" hidden="" ht="14" outlineLevel="0" r="13176">
      <c r="A13176" s="3" t="inlineStr">
        <is>
          <t>13132</t>
        </is>
      </c>
      <c r="B13176" s="4" t="s">
        <f>=HYPERLINK("http://anyluxury.ru/shop/odezhda/futbolki/futbolka-uniseks-sporty-140-temnofioletovaya-11939712/" , "11939712 Футболка унисекс SPORTY 140 темно-фиолетовая, размер 3XL")</f>
      </c>
      <c r="C13176" s="4" t="n">
        <v>902.00</v>
      </c>
      <c r="D13176" s="4"/>
    </row>
    <row collapsed="" customFormat="false" customHeight="1" hidden="" ht="14" outlineLevel="0" r="13177">
      <c r="A13177" s="3" t="inlineStr">
        <is>
          <t>13133</t>
        </is>
      </c>
      <c r="B13177" s="4" t="s">
        <f>=HYPERLINK("http://anyluxury.ru/shop/odezhda/futbolki/futbolka-uniseks-sporty-140-krasnaya-11939145/" , "11939145 Футболка унисекс SPORTY 140 красная, размер XXS")</f>
      </c>
      <c r="C13177" s="4" t="n">
        <v>752.00</v>
      </c>
      <c r="D13177" s="4"/>
    </row>
    <row collapsed="" customFormat="false" customHeight="1" hidden="" ht="14" outlineLevel="0" r="13178">
      <c r="A13178" s="3" t="inlineStr">
        <is>
          <t>13134</t>
        </is>
      </c>
      <c r="B13178" s="4" t="s">
        <f>=HYPERLINK("http://anyluxury.ru/shop/odezhda/futbolki/futbolka-uniseks-sporty-140-krasnaya-11939145/" , "11939145 Футболка унисекс SPORTY 140 красная, размер XS")</f>
      </c>
      <c r="C13178" s="4" t="n">
        <v>752.00</v>
      </c>
      <c r="D13178" s="4"/>
    </row>
    <row collapsed="" customFormat="false" customHeight="1" hidden="" ht="14" outlineLevel="0" r="13179">
      <c r="A13179" s="3" t="inlineStr">
        <is>
          <t>13135</t>
        </is>
      </c>
      <c r="B13179" s="4" t="s">
        <f>=HYPERLINK("http://anyluxury.ru/shop/odezhda/futbolki/futbolka-uniseks-sporty-140-krasnaya-11939145/" , "11939145 Футболка унисекс SPORTY 140 красная, размер S")</f>
      </c>
      <c r="C13179" s="4" t="n">
        <v>752.00</v>
      </c>
      <c r="D13179" s="4"/>
    </row>
    <row collapsed="" customFormat="false" customHeight="1" hidden="" ht="14" outlineLevel="0" r="13180">
      <c r="A13180" s="3" t="inlineStr">
        <is>
          <t>13136</t>
        </is>
      </c>
      <c r="B13180" s="4" t="s">
        <f>=HYPERLINK("http://anyluxury.ru/shop/odezhda/futbolki/futbolka-uniseks-sporty-140-krasnaya-11939145/" , "11939145 Футболка унисекс SPORTY 140 красная, размер M")</f>
      </c>
      <c r="C13180" s="4" t="n">
        <v>752.00</v>
      </c>
      <c r="D13180" s="4"/>
    </row>
    <row collapsed="" customFormat="false" customHeight="1" hidden="" ht="14" outlineLevel="0" r="13181">
      <c r="A13181" s="3" t="inlineStr">
        <is>
          <t>13137</t>
        </is>
      </c>
      <c r="B13181" s="4" t="s">
        <f>=HYPERLINK("http://anyluxury.ru/shop/odezhda/futbolki/futbolka-uniseks-sporty-140-krasnaya-11939145/" , "11939145 Футболка унисекс SPORTY 140 красная, размер L")</f>
      </c>
      <c r="C13181" s="4" t="n">
        <v>752.00</v>
      </c>
      <c r="D13181" s="4"/>
    </row>
    <row collapsed="" customFormat="false" customHeight="1" hidden="" ht="14" outlineLevel="0" r="13182">
      <c r="A13182" s="3" t="inlineStr">
        <is>
          <t>13138</t>
        </is>
      </c>
      <c r="B13182" s="4" t="s">
        <f>=HYPERLINK("http://anyluxury.ru/shop/odezhda/futbolki/futbolka-uniseks-sporty-140-krasnaya-11939145/" , "11939145 Футболка унисекс SPORTY 140 красная, размер XL")</f>
      </c>
      <c r="C13182" s="4" t="n">
        <v>752.00</v>
      </c>
      <c r="D13182" s="4"/>
    </row>
    <row collapsed="" customFormat="false" customHeight="1" hidden="" ht="14" outlineLevel="0" r="13183">
      <c r="A13183" s="3" t="inlineStr">
        <is>
          <t>13139</t>
        </is>
      </c>
      <c r="B13183" s="4" t="s">
        <f>=HYPERLINK("http://anyluxury.ru/shop/odezhda/futbolki/futbolka-uniseks-sporty-140-krasnaya-11939145/" , "11939145 Футболка унисекс SPORTY 140 красная, размер XXL")</f>
      </c>
      <c r="C13183" s="4" t="n">
        <v>752.00</v>
      </c>
      <c r="D13183" s="4"/>
    </row>
    <row collapsed="" customFormat="false" customHeight="1" hidden="" ht="14" outlineLevel="0" r="13184">
      <c r="A13184" s="3" t="inlineStr">
        <is>
          <t>13140</t>
        </is>
      </c>
      <c r="B13184" s="4" t="s">
        <f>=HYPERLINK("http://anyluxury.ru/shop/odezhda/futbolki/futbolka-uniseks-sporty-140-krasnaya-11939145/" , "11939145 Футболка унисекс SPORTY 140 красная, размер 3XL")</f>
      </c>
      <c r="C13184" s="4" t="n">
        <v>902.00</v>
      </c>
      <c r="D13184" s="4"/>
    </row>
    <row collapsed="" customFormat="false" customHeight="1" hidden="" ht="14" outlineLevel="0" r="13185">
      <c r="A13185" s="3" t="inlineStr">
        <is>
          <t>13141</t>
        </is>
      </c>
      <c r="B13185" s="4" t="s">
        <f>=HYPERLINK("http://anyluxury.ru/shop/odezhda/futbolki/futbolka-uniseks-sporty-140-yarkosinyaya-11939241/" , "11939241 Футболка унисекс SPORTY 140 ярко-синяя, размер XXS")</f>
      </c>
      <c r="C13185" s="4" t="n">
        <v>752.00</v>
      </c>
      <c r="D13185" s="4"/>
    </row>
    <row collapsed="" customFormat="false" customHeight="1" hidden="" ht="14" outlineLevel="0" r="13186">
      <c r="A13186" s="3" t="inlineStr">
        <is>
          <t>13142</t>
        </is>
      </c>
      <c r="B13186" s="4" t="s">
        <f>=HYPERLINK("http://anyluxury.ru/shop/odezhda/futbolki/futbolka-uniseks-sporty-140-yarkosinyaya-11939241/" , "11939241 Футболка унисекс SPORTY 140 ярко-синяя, размер XS")</f>
      </c>
      <c r="C13186" s="4" t="n">
        <v>752.00</v>
      </c>
      <c r="D13186" s="4"/>
    </row>
    <row collapsed="" customFormat="false" customHeight="1" hidden="" ht="14" outlineLevel="0" r="13187">
      <c r="A13187" s="3" t="inlineStr">
        <is>
          <t>13143</t>
        </is>
      </c>
      <c r="B13187" s="4" t="s">
        <f>=HYPERLINK("http://anyluxury.ru/shop/odezhda/futbolki/futbolka-uniseks-sporty-140-yarkosinyaya-11939241/" , "11939241 Футболка унисекс SPORTY 140 ярко-синяя, размер S")</f>
      </c>
      <c r="C13187" s="4" t="n">
        <v>752.00</v>
      </c>
      <c r="D13187" s="4"/>
    </row>
    <row collapsed="" customFormat="false" customHeight="1" hidden="" ht="14" outlineLevel="0" r="13188">
      <c r="A13188" s="3" t="inlineStr">
        <is>
          <t>13144</t>
        </is>
      </c>
      <c r="B13188" s="4" t="s">
        <f>=HYPERLINK("http://anyluxury.ru/shop/odezhda/futbolki/futbolka-uniseks-sporty-140-yarkosinyaya-11939241/" , "11939241 Футболка унисекс SPORTY 140 ярко-синяя, размер M")</f>
      </c>
      <c r="C13188" s="4" t="n">
        <v>752.00</v>
      </c>
      <c r="D13188" s="4"/>
    </row>
    <row collapsed="" customFormat="false" customHeight="1" hidden="" ht="14" outlineLevel="0" r="13189">
      <c r="A13189" s="3" t="inlineStr">
        <is>
          <t>13145</t>
        </is>
      </c>
      <c r="B13189" s="4" t="s">
        <f>=HYPERLINK("http://anyluxury.ru/shop/odezhda/futbolki/futbolka-uniseks-sporty-140-yarkosinyaya-11939241/" , "11939241 Футболка унисекс SPORTY 140 ярко-синяя, размер L")</f>
      </c>
      <c r="C13189" s="4" t="n">
        <v>752.00</v>
      </c>
      <c r="D13189" s="4"/>
    </row>
    <row collapsed="" customFormat="false" customHeight="1" hidden="" ht="14" outlineLevel="0" r="13190">
      <c r="A13190" s="3" t="inlineStr">
        <is>
          <t>13146</t>
        </is>
      </c>
      <c r="B13190" s="4" t="s">
        <f>=HYPERLINK("http://anyluxury.ru/shop/odezhda/futbolki/futbolka-uniseks-sporty-140-yarkosinyaya-11939241/" , "11939241 Футболка унисекс SPORTY 140 ярко-синяя, размер XL")</f>
      </c>
      <c r="C13190" s="4" t="n">
        <v>752.00</v>
      </c>
      <c r="D13190" s="4"/>
    </row>
    <row collapsed="" customFormat="false" customHeight="1" hidden="" ht="14" outlineLevel="0" r="13191">
      <c r="A13191" s="3" t="inlineStr">
        <is>
          <t>13147</t>
        </is>
      </c>
      <c r="B13191" s="4" t="s">
        <f>=HYPERLINK("http://anyluxury.ru/shop/odezhda/futbolki/futbolka-uniseks-sporty-140-yarkosinyaya-11939241/" , "11939241 Футболка унисекс SPORTY 140 ярко-синяя, размер XXL")</f>
      </c>
      <c r="C13191" s="4" t="n">
        <v>752.00</v>
      </c>
      <c r="D13191" s="4"/>
    </row>
    <row collapsed="" customFormat="false" customHeight="1" hidden="" ht="14" outlineLevel="0" r="13192">
      <c r="A13192" s="3" t="inlineStr">
        <is>
          <t>13148</t>
        </is>
      </c>
      <c r="B13192" s="4" t="s">
        <f>=HYPERLINK("http://anyluxury.ru/shop/odezhda/futbolki/futbolka-uniseks-sporty-140-yarkosinyaya-11939241/" , "11939241 Футболка унисекс SPORTY 140 ярко-синяя, размер 3XL")</f>
      </c>
      <c r="C13192" s="4" t="n">
        <v>902.00</v>
      </c>
      <c r="D13192" s="4"/>
    </row>
    <row collapsed="" customFormat="false" customHeight="1" hidden="" ht="14" outlineLevel="0" r="13193">
      <c r="A13193" s="3" t="inlineStr">
        <is>
          <t>13149</t>
        </is>
      </c>
      <c r="B13193" s="4" t="s">
        <f>=HYPERLINK("http://anyluxury.ru/shop/odezhda/futbolki/futbolka-zhenskaya-sporty-women-140-zelenoe-yabloko-01159280/" , "01159280 Футболка женская SPORTY WOMEN 140 зеленое яблоко, размер XS")</f>
      </c>
      <c r="C13193" s="4" t="n">
        <v>733.00</v>
      </c>
      <c r="D13193" s="4"/>
    </row>
    <row collapsed="" customFormat="false" customHeight="1" hidden="" ht="14" outlineLevel="0" r="13194">
      <c r="A13194" s="3" t="inlineStr">
        <is>
          <t>13150</t>
        </is>
      </c>
      <c r="B13194" s="4" t="s">
        <f>=HYPERLINK("http://anyluxury.ru/shop/odezhda/futbolki/futbolka-zhenskaya-sporty-women-140-zelenoe-yabloko-01159280/" , "01159280 Футболка женская SPORTY WOMEN 140 зеленое яблоко, размер L")</f>
      </c>
      <c r="C13194" s="4" t="n">
        <v>733.00</v>
      </c>
      <c r="D13194" s="4"/>
    </row>
    <row collapsed="" customFormat="false" customHeight="1" hidden="" ht="14" outlineLevel="0" r="13195">
      <c r="A13195" s="3" t="inlineStr">
        <is>
          <t>13151</t>
        </is>
      </c>
      <c r="B13195" s="4" t="s">
        <f>=HYPERLINK("http://anyluxury.ru/shop/odezhda/futbolki/futbolka-zhenskaya-sporty-women-140-zelenoe-yabloko-01159280/" , "01159280 Футболка женская SPORTY WOMEN 140 зеленое яблоко, размер XL")</f>
      </c>
      <c r="C13195" s="4" t="n">
        <v>733.00</v>
      </c>
      <c r="D13195" s="4"/>
    </row>
    <row collapsed="" customFormat="false" customHeight="1" hidden="" ht="14" outlineLevel="0" r="13196">
      <c r="A13196" s="3" t="inlineStr">
        <is>
          <t>13152</t>
        </is>
      </c>
      <c r="B13196" s="4" t="s">
        <f>=HYPERLINK("http://anyluxury.ru/shop/odezhda/futbolki/futbolka-zhenskaya-sporty-women-140-zelenoe-yabloko-01159280/" , "01159280 Футболка женская SPORTY WOMEN 140 зеленое яблоко, размер XXL")</f>
      </c>
      <c r="C13196" s="4" t="n">
        <v>733.00</v>
      </c>
      <c r="D13196" s="4"/>
    </row>
    <row collapsed="" customFormat="false" customHeight="1" hidden="" ht="14" outlineLevel="0" r="13197">
      <c r="A13197" s="3" t="inlineStr">
        <is>
          <t>13153</t>
        </is>
      </c>
      <c r="B13197" s="4" t="s">
        <f>=HYPERLINK("http://anyluxury.ru/shop/odezhda/futbolki/futbolka-zhenskaya-sporty-women-140-chernaya-01159312/" , "01159312 Футболка женская SPORTY WOMEN 140 черная, размер XS")</f>
      </c>
      <c r="C13197" s="4" t="n">
        <v>733.00</v>
      </c>
      <c r="D13197" s="4"/>
    </row>
    <row collapsed="" customFormat="false" customHeight="1" hidden="" ht="14" outlineLevel="0" r="13198">
      <c r="A13198" s="3" t="inlineStr">
        <is>
          <t>13154</t>
        </is>
      </c>
      <c r="B13198" s="4" t="s">
        <f>=HYPERLINK("http://anyluxury.ru/shop/odezhda/futbolki/futbolka-zhenskaya-sporty-women-140-chernaya-01159312/" , "01159312 Футболка женская SPORTY WOMEN 140 черная, размер S")</f>
      </c>
      <c r="C13198" s="4" t="n">
        <v>733.00</v>
      </c>
      <c r="D13198" s="4"/>
    </row>
    <row collapsed="" customFormat="false" customHeight="1" hidden="" ht="14" outlineLevel="0" r="13199">
      <c r="A13199" s="3" t="inlineStr">
        <is>
          <t>13155</t>
        </is>
      </c>
      <c r="B13199" s="4" t="s">
        <f>=HYPERLINK("http://anyluxury.ru/shop/odezhda/futbolki/futbolka-zhenskaya-sporty-women-140-chernaya-01159312/" , "01159312 Футболка женская SPORTY WOMEN 140 черная, размер M")</f>
      </c>
      <c r="C13199" s="4" t="n">
        <v>733.00</v>
      </c>
      <c r="D13199" s="4"/>
    </row>
    <row collapsed="" customFormat="false" customHeight="1" hidden="" ht="14" outlineLevel="0" r="13200">
      <c r="A13200" s="3" t="inlineStr">
        <is>
          <t>13156</t>
        </is>
      </c>
      <c r="B13200" s="4" t="s">
        <f>=HYPERLINK("http://anyluxury.ru/shop/odezhda/futbolki/futbolka-zhenskaya-sporty-women-140-chernaya-01159312/" , "01159312 Футболка женская SPORTY WOMEN 140 черная, размер L")</f>
      </c>
      <c r="C13200" s="4" t="n">
        <v>733.00</v>
      </c>
      <c r="D13200" s="4"/>
    </row>
    <row collapsed="" customFormat="false" customHeight="1" hidden="" ht="14" outlineLevel="0" r="13201">
      <c r="A13201" s="3" t="inlineStr">
        <is>
          <t>13157</t>
        </is>
      </c>
      <c r="B13201" s="4" t="s">
        <f>=HYPERLINK("http://anyluxury.ru/shop/odezhda/futbolki/futbolka-zhenskaya-sporty-women-140-chernaya-01159312/" , "01159312 Футболка женская SPORTY WOMEN 140 черная, размер XL")</f>
      </c>
      <c r="C13201" s="4" t="n">
        <v>733.00</v>
      </c>
      <c r="D13201" s="4"/>
    </row>
    <row collapsed="" customFormat="false" customHeight="1" hidden="" ht="14" outlineLevel="0" r="13202">
      <c r="A13202" s="3" t="inlineStr">
        <is>
          <t>13158</t>
        </is>
      </c>
      <c r="B13202" s="4" t="s">
        <f>=HYPERLINK("http://anyluxury.ru/shop/odezhda/futbolki/futbolka-zhenskaya-sporty-women-140-chernaya-01159312/" , "01159312 Футболка женская SPORTY WOMEN 140 черная, размер XXL")</f>
      </c>
      <c r="C13202" s="4" t="n">
        <v>733.00</v>
      </c>
      <c r="D13202" s="4"/>
    </row>
    <row collapsed="" customFormat="false" customHeight="1" hidden="" ht="14" outlineLevel="0" r="13203">
      <c r="A13203" s="3" t="inlineStr">
        <is>
          <t>13159</t>
        </is>
      </c>
      <c r="B13203" s="4" t="s">
        <f>=HYPERLINK("http://anyluxury.ru/shop/odezhda/futbolki/futbolka-zhenskaya-sporty-women-140-temnofioletovaya-01159712/" , "01159712 Футболка женская SPORTY WOMEN 140 темно-фиолетовая, размер XS")</f>
      </c>
      <c r="C13203" s="4" t="n">
        <v>733.00</v>
      </c>
      <c r="D13203" s="4"/>
    </row>
    <row collapsed="" customFormat="false" customHeight="1" hidden="" ht="14" outlineLevel="0" r="13204">
      <c r="A13204" s="3" t="inlineStr">
        <is>
          <t>13160</t>
        </is>
      </c>
      <c r="B13204" s="4" t="s">
        <f>=HYPERLINK("http://anyluxury.ru/shop/odezhda/futbolki/futbolka-zhenskaya-sporty-women-140-temnofioletovaya-01159712/" , "01159712 Футболка женская SPORTY WOMEN 140 темно-фиолетовая, размер S")</f>
      </c>
      <c r="C13204" s="4" t="n">
        <v>733.00</v>
      </c>
      <c r="D13204" s="4"/>
    </row>
    <row collapsed="" customFormat="false" customHeight="1" hidden="" ht="14" outlineLevel="0" r="13205">
      <c r="A13205" s="3" t="inlineStr">
        <is>
          <t>13161</t>
        </is>
      </c>
      <c r="B13205" s="4" t="s">
        <f>=HYPERLINK("http://anyluxury.ru/shop/odezhda/futbolki/futbolka-zhenskaya-sporty-women-140-temnofioletovaya-01159712/" , "01159712 Футболка женская SPORTY WOMEN 140 темно-фиолетовая, размер M")</f>
      </c>
      <c r="C13205" s="4" t="n">
        <v>733.00</v>
      </c>
      <c r="D13205" s="4"/>
    </row>
    <row collapsed="" customFormat="false" customHeight="1" hidden="" ht="14" outlineLevel="0" r="13206">
      <c r="A13206" s="3" t="inlineStr">
        <is>
          <t>13162</t>
        </is>
      </c>
      <c r="B13206" s="4" t="s">
        <f>=HYPERLINK("http://anyluxury.ru/shop/odezhda/futbolki/futbolka-zhenskaya-sporty-women-140-temnofioletovaya-01159712/" , "01159712 Футболка женская SPORTY WOMEN 140 темно-фиолетовая, размер L")</f>
      </c>
      <c r="C13206" s="4" t="n">
        <v>733.00</v>
      </c>
      <c r="D13206" s="4"/>
    </row>
    <row collapsed="" customFormat="false" customHeight="1" hidden="" ht="14" outlineLevel="0" r="13207">
      <c r="A13207" s="3" t="inlineStr">
        <is>
          <t>13163</t>
        </is>
      </c>
      <c r="B13207" s="4" t="s">
        <f>=HYPERLINK("http://anyluxury.ru/shop/odezhda/futbolki/futbolka-zhenskaya-sporty-women-140-temnofioletovaya-01159712/" , "01159712 Футболка женская SPORTY WOMEN 140 темно-фиолетовая, размер XL")</f>
      </c>
      <c r="C13207" s="4" t="n">
        <v>733.00</v>
      </c>
      <c r="D13207" s="4"/>
    </row>
    <row collapsed="" customFormat="false" customHeight="1" hidden="" ht="14" outlineLevel="0" r="13208">
      <c r="A13208" s="3" t="inlineStr">
        <is>
          <t>13164</t>
        </is>
      </c>
      <c r="B13208" s="4" t="s">
        <f>=HYPERLINK("http://anyluxury.ru/shop/odezhda/futbolki/futbolka-zhenskaya-sporty-women-140-temnofioletovaya-01159712/" , "01159712 Футболка женская SPORTY WOMEN 140 темно-фиолетовая, размер XXL")</f>
      </c>
      <c r="C13208" s="4" t="n">
        <v>733.00</v>
      </c>
      <c r="D13208" s="4"/>
    </row>
    <row collapsed="" customFormat="false" customHeight="1" hidden="" ht="14" outlineLevel="0" r="13209">
      <c r="A13209" s="3" t="inlineStr">
        <is>
          <t>13165</t>
        </is>
      </c>
      <c r="B13209" s="4" t="s">
        <f>=HYPERLINK("http://anyluxury.ru/shop/odezhda/futbolki/futbolka-zhenskaya-sporty-women-140-temnosinyaya-01159319/" , "01159319 Футболка женская SPORTY WOMEN 140 темно-синяя, размер XS")</f>
      </c>
      <c r="C13209" s="4" t="n">
        <v>733.00</v>
      </c>
      <c r="D13209" s="4"/>
    </row>
    <row collapsed="" customFormat="false" customHeight="1" hidden="" ht="14" outlineLevel="0" r="13210">
      <c r="A13210" s="3" t="inlineStr">
        <is>
          <t>13166</t>
        </is>
      </c>
      <c r="B13210" s="4" t="s">
        <f>=HYPERLINK("http://anyluxury.ru/shop/odezhda/futbolki/futbolka-zhenskaya-sporty-women-140-temnosinyaya-01159319/" , "01159319 Футболка женская SPORTY WOMEN 140 темно-синяя, размер S")</f>
      </c>
      <c r="C13210" s="4" t="n">
        <v>733.00</v>
      </c>
      <c r="D13210" s="4"/>
    </row>
    <row collapsed="" customFormat="false" customHeight="1" hidden="" ht="14" outlineLevel="0" r="13211">
      <c r="A13211" s="3" t="inlineStr">
        <is>
          <t>13167</t>
        </is>
      </c>
      <c r="B13211" s="4" t="s">
        <f>=HYPERLINK("http://anyluxury.ru/shop/odezhda/futbolki/futbolka-zhenskaya-sporty-women-140-temnosinyaya-01159319/" , "01159319 Футболка женская SPORTY WOMEN 140 темно-синяя, размер M")</f>
      </c>
      <c r="C13211" s="4" t="n">
        <v>733.00</v>
      </c>
      <c r="D13211" s="4"/>
    </row>
    <row collapsed="" customFormat="false" customHeight="1" hidden="" ht="14" outlineLevel="0" r="13212">
      <c r="A13212" s="3" t="inlineStr">
        <is>
          <t>13168</t>
        </is>
      </c>
      <c r="B13212" s="4" t="s">
        <f>=HYPERLINK("http://anyluxury.ru/shop/odezhda/futbolki/futbolka-zhenskaya-sporty-women-140-temnosinyaya-01159319/" , "01159319 Футболка женская SPORTY WOMEN 140 темно-синяя, размер L")</f>
      </c>
      <c r="C13212" s="4" t="n">
        <v>733.00</v>
      </c>
      <c r="D13212" s="4"/>
    </row>
    <row collapsed="" customFormat="false" customHeight="1" hidden="" ht="14" outlineLevel="0" r="13213">
      <c r="A13213" s="3" t="inlineStr">
        <is>
          <t>13169</t>
        </is>
      </c>
      <c r="B13213" s="4" t="s">
        <f>=HYPERLINK("http://anyluxury.ru/shop/odezhda/futbolki/futbolka-zhenskaya-sporty-women-140-temnosinyaya-01159319/" , "01159319 Футболка женская SPORTY WOMEN 140 темно-синяя, размер XL")</f>
      </c>
      <c r="C13213" s="4" t="n">
        <v>733.00</v>
      </c>
      <c r="D13213" s="4"/>
    </row>
    <row collapsed="" customFormat="false" customHeight="1" hidden="" ht="14" outlineLevel="0" r="13214">
      <c r="A13214" s="3" t="inlineStr">
        <is>
          <t>13170</t>
        </is>
      </c>
      <c r="B13214" s="4" t="s">
        <f>=HYPERLINK("http://anyluxury.ru/shop/odezhda/futbolki/futbolka-zhenskaya-sporty-women-140-temnosinyaya-01159319/" , "01159319 Футболка женская SPORTY WOMEN 140 темно-синяя, размер XXL")</f>
      </c>
      <c r="C13214" s="4" t="n">
        <v>733.00</v>
      </c>
      <c r="D13214" s="4"/>
    </row>
    <row collapsed="" customFormat="false" customHeight="1" hidden="" ht="14" outlineLevel="0" r="13215">
      <c r="A13215" s="3" t="inlineStr">
        <is>
          <t>13171</t>
        </is>
      </c>
      <c r="B13215" s="4" t="s">
        <f>=HYPERLINK("http://anyluxury.ru/shop/odezhda/futbolki/futbolka-zhenskaya-sporty-women-140-zeleniy-neon-01159286/" , "01159286 Футболка женская SPORTY WOMEN 140 зеленый неон, размер XS")</f>
      </c>
      <c r="C13215" s="4" t="n">
        <v>733.00</v>
      </c>
      <c r="D13215" s="4"/>
    </row>
    <row collapsed="" customFormat="false" customHeight="1" hidden="" ht="14" outlineLevel="0" r="13216">
      <c r="A13216" s="3" t="inlineStr">
        <is>
          <t>13172</t>
        </is>
      </c>
      <c r="B13216" s="4" t="s">
        <f>=HYPERLINK("http://anyluxury.ru/shop/odezhda/futbolki/futbolka-zhenskaya-sporty-women-140-zeleniy-neon-01159286/" , "01159286 Футболка женская SPORTY WOMEN 140 зеленый неон, размер S")</f>
      </c>
      <c r="C13216" s="4" t="n">
        <v>733.00</v>
      </c>
      <c r="D13216" s="4"/>
    </row>
    <row collapsed="" customFormat="false" customHeight="1" hidden="" ht="14" outlineLevel="0" r="13217">
      <c r="A13217" s="3" t="inlineStr">
        <is>
          <t>13173</t>
        </is>
      </c>
      <c r="B13217" s="4" t="s">
        <f>=HYPERLINK("http://anyluxury.ru/shop/odezhda/futbolki/futbolka-zhenskaya-sporty-women-140-zeleniy-neon-01159286/" , "01159286 Футболка женская SPORTY WOMEN 140 зеленый неон, размер M")</f>
      </c>
      <c r="C13217" s="4" t="n">
        <v>733.00</v>
      </c>
      <c r="D13217" s="4"/>
    </row>
    <row collapsed="" customFormat="false" customHeight="1" hidden="" ht="14" outlineLevel="0" r="13218">
      <c r="A13218" s="3" t="inlineStr">
        <is>
          <t>13174</t>
        </is>
      </c>
      <c r="B13218" s="4" t="s">
        <f>=HYPERLINK("http://anyluxury.ru/shop/odezhda/futbolki/futbolka-zhenskaya-sporty-women-140-zeleniy-neon-01159286/" , "01159286 Футболка женская SPORTY WOMEN 140 зеленый неон, размер L")</f>
      </c>
      <c r="C13218" s="4" t="n">
        <v>733.00</v>
      </c>
      <c r="D13218" s="4"/>
    </row>
    <row collapsed="" customFormat="false" customHeight="1" hidden="" ht="14" outlineLevel="0" r="13219">
      <c r="A13219" s="3" t="inlineStr">
        <is>
          <t>13175</t>
        </is>
      </c>
      <c r="B13219" s="4" t="s">
        <f>=HYPERLINK("http://anyluxury.ru/shop/odezhda/futbolki/futbolka-zhenskaya-sporty-women-140-zeleniy-neon-01159286/" , "01159286 Футболка женская SPORTY WOMEN 140 зеленый неон, размер XL")</f>
      </c>
      <c r="C13219" s="4" t="n">
        <v>733.00</v>
      </c>
      <c r="D13219" s="4"/>
    </row>
    <row collapsed="" customFormat="false" customHeight="1" hidden="" ht="14" outlineLevel="0" r="13220">
      <c r="A13220" s="3" t="inlineStr">
        <is>
          <t>13176</t>
        </is>
      </c>
      <c r="B13220" s="4" t="s">
        <f>=HYPERLINK("http://anyluxury.ru/shop/odezhda/futbolki/futbolka-zhenskaya-sporty-women-140-zeleniy-neon-01159286/" , "01159286 Футболка женская SPORTY WOMEN 140 зеленый неон, размер XXL")</f>
      </c>
      <c r="C13220" s="4" t="n">
        <v>733.00</v>
      </c>
      <c r="D13220" s="4"/>
    </row>
    <row collapsed="" customFormat="false" customHeight="1" hidden="" ht="14" outlineLevel="0" r="13221">
      <c r="A13221" s="3" t="inlineStr">
        <is>
          <t>13177</t>
        </is>
      </c>
      <c r="B13221" s="4" t="s">
        <f>=HYPERLINK("http://anyluxury.ru/shop/odezhda/futbolki/futbolka-zhenskaya-sporty-women-140-oranzheviy-neon-01159404/" , "01159404 Футболка женская SPORTY WOMEN 140 оранжевый неон, размер XS")</f>
      </c>
      <c r="C13221" s="4" t="n">
        <v>733.00</v>
      </c>
      <c r="D13221" s="4"/>
    </row>
    <row collapsed="" customFormat="false" customHeight="1" hidden="" ht="14" outlineLevel="0" r="13222">
      <c r="A13222" s="3" t="inlineStr">
        <is>
          <t>13178</t>
        </is>
      </c>
      <c r="B13222" s="4" t="s">
        <f>=HYPERLINK("http://anyluxury.ru/shop/odezhda/futbolki/futbolka-zhenskaya-sporty-women-140-oranzheviy-neon-01159404/" , "01159404 Футболка женская SPORTY WOMEN 140 оранжевый неон, размер S")</f>
      </c>
      <c r="C13222" s="4" t="n">
        <v>733.00</v>
      </c>
      <c r="D13222" s="4"/>
    </row>
    <row collapsed="" customFormat="false" customHeight="1" hidden="" ht="14" outlineLevel="0" r="13223">
      <c r="A13223" s="3" t="inlineStr">
        <is>
          <t>13179</t>
        </is>
      </c>
      <c r="B13223" s="4" t="s">
        <f>=HYPERLINK("http://anyluxury.ru/shop/odezhda/futbolki/futbolka-zhenskaya-sporty-women-140-oranzheviy-neon-01159404/" , "01159404 Футболка женская SPORTY WOMEN 140 оранжевый неон, размер M")</f>
      </c>
      <c r="C13223" s="4" t="n">
        <v>733.00</v>
      </c>
      <c r="D13223" s="4"/>
    </row>
    <row collapsed="" customFormat="false" customHeight="1" hidden="" ht="14" outlineLevel="0" r="13224">
      <c r="A13224" s="3" t="inlineStr">
        <is>
          <t>13180</t>
        </is>
      </c>
      <c r="B13224" s="4" t="s">
        <f>=HYPERLINK("http://anyluxury.ru/shop/odezhda/futbolki/futbolka-zhenskaya-sporty-women-140-oranzheviy-neon-01159404/" , "01159404 Футболка женская SPORTY WOMEN 140 оранжевый неон, размер L")</f>
      </c>
      <c r="C13224" s="4" t="n">
        <v>733.00</v>
      </c>
      <c r="D13224" s="4"/>
    </row>
    <row collapsed="" customFormat="false" customHeight="1" hidden="" ht="14" outlineLevel="0" r="13225">
      <c r="A13225" s="3" t="inlineStr">
        <is>
          <t>13181</t>
        </is>
      </c>
      <c r="B13225" s="4" t="s">
        <f>=HYPERLINK("http://anyluxury.ru/shop/odezhda/futbolki/futbolka-zhenskaya-sporty-women-140-oranzheviy-neon-01159404/" , "01159404 Футболка женская SPORTY WOMEN 140 оранжевый неон, размер XL")</f>
      </c>
      <c r="C13225" s="4" t="n">
        <v>733.00</v>
      </c>
      <c r="D13225" s="4"/>
    </row>
    <row collapsed="" customFormat="false" customHeight="1" hidden="" ht="14" outlineLevel="0" r="13226">
      <c r="A13226" s="3" t="inlineStr">
        <is>
          <t>13182</t>
        </is>
      </c>
      <c r="B13226" s="4" t="s">
        <f>=HYPERLINK("http://anyluxury.ru/shop/odezhda/futbolki/futbolka-zhenskaya-sporty-women-140-oranzheviy-neon-01159404/" , "01159404 Футболка женская SPORTY WOMEN 140 оранжевый неон, размер XXL")</f>
      </c>
      <c r="C13226" s="4" t="n">
        <v>733.00</v>
      </c>
      <c r="D13226" s="4"/>
    </row>
    <row collapsed="" customFormat="false" customHeight="1" hidden="" ht="14" outlineLevel="0" r="13227">
      <c r="A13227" s="3" t="inlineStr">
        <is>
          <t>13183</t>
        </is>
      </c>
      <c r="B13227" s="4" t="s">
        <f>=HYPERLINK("http://anyluxury.ru/shop/odezhda/futbolki/futbolka-zhenskaya-sporty-women-140-rozoviy-neon-01159129/" , "01159129 Футболка женская SPORTY WOMEN 140 розовый неон, размер XS")</f>
      </c>
      <c r="C13227" s="4" t="n">
        <v>733.00</v>
      </c>
      <c r="D13227" s="4"/>
    </row>
    <row collapsed="" customFormat="false" customHeight="1" hidden="" ht="14" outlineLevel="0" r="13228">
      <c r="A13228" s="3" t="inlineStr">
        <is>
          <t>13184</t>
        </is>
      </c>
      <c r="B13228" s="4" t="s">
        <f>=HYPERLINK("http://anyluxury.ru/shop/odezhda/futbolki/futbolka-zhenskaya-sporty-women-140-rozoviy-neon-01159129/" , "01159129 Футболка женская SPORTY WOMEN 140 розовый неон, размер S")</f>
      </c>
      <c r="C13228" s="4" t="n">
        <v>733.00</v>
      </c>
      <c r="D13228" s="4"/>
    </row>
    <row collapsed="" customFormat="false" customHeight="1" hidden="" ht="14" outlineLevel="0" r="13229">
      <c r="A13229" s="3" t="inlineStr">
        <is>
          <t>13185</t>
        </is>
      </c>
      <c r="B13229" s="4" t="s">
        <f>=HYPERLINK("http://anyluxury.ru/shop/odezhda/futbolki/futbolka-zhenskaya-sporty-women-140-rozoviy-neon-01159129/" , "01159129 Футболка женская SPORTY WOMEN 140 розовый неон, размер M")</f>
      </c>
      <c r="C13229" s="4" t="n">
        <v>733.00</v>
      </c>
      <c r="D13229" s="4"/>
    </row>
    <row collapsed="" customFormat="false" customHeight="1" hidden="" ht="14" outlineLevel="0" r="13230">
      <c r="A13230" s="3" t="inlineStr">
        <is>
          <t>13186</t>
        </is>
      </c>
      <c r="B13230" s="4" t="s">
        <f>=HYPERLINK("http://anyluxury.ru/shop/odezhda/futbolki/futbolka-zhenskaya-sporty-women-140-rozoviy-neon-01159129/" , "01159129 Футболка женская SPORTY WOMEN 140 розовый неон, размер L")</f>
      </c>
      <c r="C13230" s="4" t="n">
        <v>733.00</v>
      </c>
      <c r="D13230" s="4"/>
    </row>
    <row collapsed="" customFormat="false" customHeight="1" hidden="" ht="14" outlineLevel="0" r="13231">
      <c r="A13231" s="3" t="inlineStr">
        <is>
          <t>13187</t>
        </is>
      </c>
      <c r="B13231" s="4" t="s">
        <f>=HYPERLINK("http://anyluxury.ru/shop/odezhda/futbolki/futbolka-zhenskaya-sporty-women-140-rozoviy-neon-01159129/" , "01159129 Футболка женская SPORTY WOMEN 140 розовый неон, размер XL")</f>
      </c>
      <c r="C13231" s="4" t="n">
        <v>733.00</v>
      </c>
      <c r="D13231" s="4"/>
    </row>
    <row collapsed="" customFormat="false" customHeight="1" hidden="" ht="14" outlineLevel="0" r="13232">
      <c r="A13232" s="3" t="inlineStr">
        <is>
          <t>13188</t>
        </is>
      </c>
      <c r="B13232" s="4" t="s">
        <f>=HYPERLINK("http://anyluxury.ru/shop/odezhda/futbolki/futbolka-zhenskaya-sporty-women-140-rozoviy-neon-01159129/" , "01159129 Футболка женская SPORTY WOMEN 140 розовый неон, размер XXL")</f>
      </c>
      <c r="C13232" s="4" t="n">
        <v>733.00</v>
      </c>
      <c r="D13232" s="4"/>
    </row>
    <row collapsed="" customFormat="false" customHeight="1" hidden="" ht="14" outlineLevel="0" r="13233">
      <c r="A13233" s="3" t="inlineStr">
        <is>
          <t>13189</t>
        </is>
      </c>
      <c r="B13233" s="4" t="s">
        <f>=HYPERLINK("http://anyluxury.ru/shop/odezhda/futbolki/futbolka-zhenskaya-sporty-women-140-zheltiy-neon-01159306/" , "01159306 Футболка женская SPORTY WOMEN 140 желтый неон, размер XS")</f>
      </c>
      <c r="C13233" s="4" t="n">
        <v>733.00</v>
      </c>
      <c r="D13233" s="4"/>
    </row>
    <row collapsed="" customFormat="false" customHeight="1" hidden="" ht="14" outlineLevel="0" r="13234">
      <c r="A13234" s="3" t="inlineStr">
        <is>
          <t>13190</t>
        </is>
      </c>
      <c r="B13234" s="4" t="s">
        <f>=HYPERLINK("http://anyluxury.ru/shop/odezhda/futbolki/futbolka-zhenskaya-sporty-women-140-zheltiy-neon-01159306/" , "01159306 Футболка женская SPORTY WOMEN 140 желтый неон, размер S")</f>
      </c>
      <c r="C13234" s="4" t="n">
        <v>733.00</v>
      </c>
      <c r="D13234" s="4"/>
    </row>
    <row collapsed="" customFormat="false" customHeight="1" hidden="" ht="14" outlineLevel="0" r="13235">
      <c r="A13235" s="3" t="inlineStr">
        <is>
          <t>13191</t>
        </is>
      </c>
      <c r="B13235" s="4" t="s">
        <f>=HYPERLINK("http://anyluxury.ru/shop/odezhda/futbolki/futbolka-zhenskaya-sporty-women-140-zheltiy-neon-01159306/" , "01159306 Футболка женская SPORTY WOMEN 140 желтый неон, размер M")</f>
      </c>
      <c r="C13235" s="4" t="n">
        <v>733.00</v>
      </c>
      <c r="D13235" s="4"/>
    </row>
    <row collapsed="" customFormat="false" customHeight="1" hidden="" ht="14" outlineLevel="0" r="13236">
      <c r="A13236" s="3" t="inlineStr">
        <is>
          <t>13192</t>
        </is>
      </c>
      <c r="B13236" s="4" t="s">
        <f>=HYPERLINK("http://anyluxury.ru/shop/odezhda/futbolki/futbolka-zhenskaya-sporty-women-140-zheltiy-neon-01159306/" , "01159306 Футболка женская SPORTY WOMEN 140 желтый неон, размер L")</f>
      </c>
      <c r="C13236" s="4" t="n">
        <v>733.00</v>
      </c>
      <c r="D13236" s="4"/>
    </row>
    <row collapsed="" customFormat="false" customHeight="1" hidden="" ht="14" outlineLevel="0" r="13237">
      <c r="A13237" s="3" t="inlineStr">
        <is>
          <t>13193</t>
        </is>
      </c>
      <c r="B13237" s="4" t="s">
        <f>=HYPERLINK("http://anyluxury.ru/shop/odezhda/futbolki/futbolka-zhenskaya-sporty-women-140-zheltiy-neon-01159306/" , "01159306 Футболка женская SPORTY WOMEN 140 желтый неон, размер XL")</f>
      </c>
      <c r="C13237" s="4" t="n">
        <v>733.00</v>
      </c>
      <c r="D13237" s="4"/>
    </row>
    <row collapsed="" customFormat="false" customHeight="1" hidden="" ht="14" outlineLevel="0" r="13238">
      <c r="A13238" s="3" t="inlineStr">
        <is>
          <t>13194</t>
        </is>
      </c>
      <c r="B13238" s="4" t="s">
        <f>=HYPERLINK("http://anyluxury.ru/shop/odezhda/futbolki/futbolka-zhenskaya-sporty-women-140-zheltiy-neon-01159306/" , "01159306 Футболка женская SPORTY WOMEN 140 желтый неон, размер XXL")</f>
      </c>
      <c r="C13238" s="4" t="n">
        <v>733.00</v>
      </c>
      <c r="D13238" s="4"/>
    </row>
    <row collapsed="" customFormat="false" customHeight="1" hidden="" ht="14" outlineLevel="0" r="13239">
      <c r="A13239" s="3" t="inlineStr">
        <is>
          <t>13195</t>
        </is>
      </c>
      <c r="B13239" s="4" t="s">
        <f>=HYPERLINK("http://anyluxury.ru/shop/odezhda/futbolki/futbolka-zhenskaya-sporty-women-140-krasnaya-01159145/" , "01159145 Футболка женская SPORTY WOMEN 140 красная, размер XS")</f>
      </c>
      <c r="C13239" s="4" t="n">
        <v>733.00</v>
      </c>
      <c r="D13239" s="4"/>
    </row>
    <row collapsed="" customFormat="false" customHeight="1" hidden="" ht="14" outlineLevel="0" r="13240">
      <c r="A13240" s="3" t="inlineStr">
        <is>
          <t>13196</t>
        </is>
      </c>
      <c r="B13240" s="4" t="s">
        <f>=HYPERLINK("http://anyluxury.ru/shop/odezhda/futbolki/futbolka-zhenskaya-sporty-women-140-krasnaya-01159145/" , "01159145 Футболка женская SPORTY WOMEN 140 красная, размер XL")</f>
      </c>
      <c r="C13240" s="4" t="n">
        <v>733.00</v>
      </c>
      <c r="D13240" s="4"/>
    </row>
    <row collapsed="" customFormat="false" customHeight="1" hidden="" ht="14" outlineLevel="0" r="13241">
      <c r="A13241" s="3" t="inlineStr">
        <is>
          <t>13197</t>
        </is>
      </c>
      <c r="B13241" s="4" t="s">
        <f>=HYPERLINK("http://anyluxury.ru/shop/odezhda/futbolki/futbolka-zhenskaya-sporty-women-140-krasnaya-01159145/" , "01159145 Футболка женская SPORTY WOMEN 140 красная, размер XXL")</f>
      </c>
      <c r="C13241" s="4" t="n">
        <v>733.00</v>
      </c>
      <c r="D13241" s="4"/>
    </row>
    <row collapsed="" customFormat="false" customHeight="1" hidden="" ht="14" outlineLevel="0" r="13242">
      <c r="A13242" s="3" t="inlineStr">
        <is>
          <t>13198</t>
        </is>
      </c>
      <c r="B13242" s="4" t="s">
        <f>=HYPERLINK("http://anyluxury.ru/shop/odezhda/futbolki/futbolka-zhenskaya-sporty-women-140-yarkosinyaya-01159241/" , "01159241 Футболка женская SPORTY WOMEN 140 ярко-синяя, размер S")</f>
      </c>
      <c r="C13242" s="4" t="n">
        <v>733.00</v>
      </c>
      <c r="D13242" s="4"/>
    </row>
    <row collapsed="" customFormat="false" customHeight="1" hidden="" ht="14" outlineLevel="0" r="13243">
      <c r="A13243" s="3" t="inlineStr">
        <is>
          <t>13199</t>
        </is>
      </c>
      <c r="B13243" s="4" t="s">
        <f>=HYPERLINK("http://anyluxury.ru/shop/odezhda/futbolki/futbolka-zhenskaya-sporty-women-140-yarkosinyaya-01159241/" , "01159241 Футболка женская SPORTY WOMEN 140 ярко-синяя, размер M")</f>
      </c>
      <c r="C13243" s="4" t="n">
        <v>733.00</v>
      </c>
      <c r="D13243" s="4"/>
    </row>
    <row collapsed="" customFormat="false" customHeight="1" hidden="" ht="14" outlineLevel="0" r="13244">
      <c r="A13244" s="3" t="inlineStr">
        <is>
          <t>13200</t>
        </is>
      </c>
      <c r="B13244" s="4" t="s">
        <f>=HYPERLINK("http://anyluxury.ru/shop/odezhda/futbolki/futbolka-zhenskaya-sporty-women-140-yarkosinyaya-01159241/" , "01159241 Футболка женская SPORTY WOMEN 140 ярко-синяя, размер L")</f>
      </c>
      <c r="C13244" s="4" t="n">
        <v>733.00</v>
      </c>
      <c r="D13244" s="4"/>
    </row>
    <row collapsed="" customFormat="false" customHeight="1" hidden="" ht="14" outlineLevel="0" r="13245">
      <c r="A13245" s="3" t="inlineStr">
        <is>
          <t>13201</t>
        </is>
      </c>
      <c r="B13245" s="4" t="s">
        <f>=HYPERLINK("http://anyluxury.ru/shop/odezhda/futbolki/futbolka-zhenskaya-sporty-women-140-yarkosinyaya-01159241/" , "01159241 Футболка женская SPORTY WOMEN 140 ярко-синяя, размер XL")</f>
      </c>
      <c r="C13245" s="4" t="n">
        <v>733.00</v>
      </c>
      <c r="D13245" s="4"/>
    </row>
    <row collapsed="" customFormat="false" customHeight="1" hidden="" ht="14" outlineLevel="0" r="13246">
      <c r="A13246" s="3" t="inlineStr">
        <is>
          <t>13202</t>
        </is>
      </c>
      <c r="B13246" s="4" t="s">
        <f>=HYPERLINK("http://anyluxury.ru/shop/odezhda/futbolki/futbolka-zhenskaya-sporty-women-140-belaya-01159102/" , "01159102 Футболка женская SPORTY WOMEN 140 белая, размер XS")</f>
      </c>
      <c r="C13246" s="4" t="n">
        <v>698.00</v>
      </c>
      <c r="D13246" s="4"/>
    </row>
    <row collapsed="" customFormat="false" customHeight="1" hidden="" ht="14" outlineLevel="0" r="13247">
      <c r="A13247" s="3" t="inlineStr">
        <is>
          <t>13203</t>
        </is>
      </c>
      <c r="B13247" s="4" t="s">
        <f>=HYPERLINK("http://anyluxury.ru/shop/odezhda/futbolki/futbolka-zhenskaya-sporty-women-140-belaya-01159102/" , "01159102 Футболка женская SPORTY WOMEN 140 белая, размер S")</f>
      </c>
      <c r="C13247" s="4" t="n">
        <v>698.00</v>
      </c>
      <c r="D13247" s="4"/>
    </row>
    <row collapsed="" customFormat="false" customHeight="1" hidden="" ht="14" outlineLevel="0" r="13248">
      <c r="A13248" s="3" t="inlineStr">
        <is>
          <t>13204</t>
        </is>
      </c>
      <c r="B13248" s="4" t="s">
        <f>=HYPERLINK("http://anyluxury.ru/shop/odezhda/futbolki/futbolka-zhenskaya-sporty-women-140-belaya-01159102/" , "01159102 Футболка женская SPORTY WOMEN 140 белая, размер M")</f>
      </c>
      <c r="C13248" s="4" t="n">
        <v>698.00</v>
      </c>
      <c r="D13248" s="4"/>
    </row>
    <row collapsed="" customFormat="false" customHeight="1" hidden="" ht="14" outlineLevel="0" r="13249">
      <c r="A13249" s="3" t="inlineStr">
        <is>
          <t>13205</t>
        </is>
      </c>
      <c r="B13249" s="4" t="s">
        <f>=HYPERLINK("http://anyluxury.ru/shop/odezhda/futbolki/futbolka-zhenskaya-sporty-women-140-belaya-01159102/" , "01159102 Футболка женская SPORTY WOMEN 140 белая, размер L")</f>
      </c>
      <c r="C13249" s="4" t="n">
        <v>698.00</v>
      </c>
      <c r="D13249" s="4"/>
    </row>
    <row collapsed="" customFormat="false" customHeight="1" hidden="" ht="14" outlineLevel="0" r="13250">
      <c r="A13250" s="3" t="inlineStr">
        <is>
          <t>13206</t>
        </is>
      </c>
      <c r="B13250" s="4" t="s">
        <f>=HYPERLINK("http://anyluxury.ru/shop/odezhda/futbolki/futbolka-zhenskaya-sporty-women-140-belaya-01159102/" , "01159102 Футболка женская SPORTY WOMEN 140 белая, размер XL")</f>
      </c>
      <c r="C13250" s="4" t="n">
        <v>698.00</v>
      </c>
      <c r="D13250" s="4"/>
    </row>
    <row collapsed="" customFormat="false" customHeight="1" hidden="" ht="14" outlineLevel="0" r="13251">
      <c r="A13251" s="3" t="inlineStr">
        <is>
          <t>13207</t>
        </is>
      </c>
      <c r="B13251" s="4" t="s">
        <f>=HYPERLINK("http://anyluxury.ru/shop/odezhda/futbolki/futbolka-zhenskaya-sporty-women-140-belaya-01159102/" , "01159102 Футболка женская SPORTY WOMEN 140 белая, размер XXL")</f>
      </c>
      <c r="C13251" s="4" t="n">
        <v>698.00</v>
      </c>
      <c r="D13251" s="4"/>
    </row>
    <row collapsed="" customFormat="false" customHeight="1" hidden="" ht="14" outlineLevel="0" r="13252">
      <c r="A13252" s="3" t="inlineStr">
        <is>
          <t>13208</t>
        </is>
      </c>
      <c r="B13252" s="4" t="s">
        <f>=HYPERLINK("http://anyluxury.ru/shop/odezhda/futbolki/futbolka-muzhskaya-camo-men-150-kamuflyazh-01188986/" , "01188986 Футболка мужская CAMO MEN 150 камуфляж, размер S")</f>
      </c>
      <c r="C13252" s="4" t="n">
        <v>1761.00</v>
      </c>
      <c r="D13252" s="4"/>
    </row>
    <row collapsed="" customFormat="false" customHeight="1" hidden="" ht="14" outlineLevel="0" r="13253">
      <c r="A13253" s="3" t="inlineStr">
        <is>
          <t>13209</t>
        </is>
      </c>
      <c r="B13253" s="4" t="s">
        <f>=HYPERLINK("http://anyluxury.ru/shop/odezhda/futbolki/futbolka-muzhskaya-camo-men-150-kamuflyazh-01188986/" , "01188986 Футболка мужская CAMO MEN 150 камуфляж, размер M")</f>
      </c>
      <c r="C13253" s="4" t="n">
        <v>1761.00</v>
      </c>
      <c r="D13253" s="4"/>
    </row>
    <row collapsed="" customFormat="false" customHeight="1" hidden="" ht="14" outlineLevel="0" r="13254">
      <c r="A13254" s="3" t="inlineStr">
        <is>
          <t>13210</t>
        </is>
      </c>
      <c r="B13254" s="4" t="s">
        <f>=HYPERLINK("http://anyluxury.ru/shop/odezhda/futbolki/futbolka-muzhskaya-camo-men-150-kamuflyazh-01188986/" , "01188986 Футболка мужская CAMO MEN 150 камуфляж, размер L")</f>
      </c>
      <c r="C13254" s="4" t="n">
        <v>1761.00</v>
      </c>
      <c r="D13254" s="4"/>
    </row>
    <row collapsed="" customFormat="false" customHeight="1" hidden="" ht="14" outlineLevel="0" r="13255">
      <c r="A13255" s="3" t="inlineStr">
        <is>
          <t>13211</t>
        </is>
      </c>
      <c r="B13255" s="4" t="s">
        <f>=HYPERLINK("http://anyluxury.ru/shop/odezhda/futbolki/futbolka-muzhskaya-camo-men-150-kamuflyazh-01188986/" , "01188986 Футболка мужская CAMO MEN 150 камуфляж, размер XL")</f>
      </c>
      <c r="C13255" s="4" t="n">
        <v>1761.00</v>
      </c>
      <c r="D13255" s="4"/>
    </row>
    <row collapsed="" customFormat="false" customHeight="1" hidden="" ht="14" outlineLevel="0" r="13256">
      <c r="A13256" s="3" t="inlineStr">
        <is>
          <t>13212</t>
        </is>
      </c>
      <c r="B13256" s="4" t="s">
        <f>=HYPERLINK("http://anyluxury.ru/shop/odezhda/futbolki/futbolka-muzhskaya-camo-men-150-kamuflyazh-01188986/" , "01188986 Футболка мужская CAMO MEN 150 камуфляж, размер XXL")</f>
      </c>
      <c r="C13256" s="4" t="n">
        <v>1761.00</v>
      </c>
      <c r="D13256" s="4"/>
    </row>
    <row collapsed="" customFormat="false" customHeight="1" hidden="" ht="14" outlineLevel="0" r="13257">
      <c r="A13257" s="3" t="inlineStr">
        <is>
          <t>13213</t>
        </is>
      </c>
      <c r="B13257" s="4" t="s">
        <f>=HYPERLINK("http://anyluxury.ru/shop/odezhda/futbolki/futbolka-zhenskaya-camo-women-150-kamuflyazh-01187986/" , "01187986 Футболка женская CAMO WOMEN 150 камуфляж, размер S")</f>
      </c>
      <c r="C13257" s="4" t="n">
        <v>1729.00</v>
      </c>
      <c r="D13257" s="4"/>
    </row>
    <row collapsed="" customFormat="false" customHeight="1" hidden="" ht="14" outlineLevel="0" r="13258">
      <c r="A13258" s="3" t="inlineStr">
        <is>
          <t>13214</t>
        </is>
      </c>
      <c r="B13258" s="4" t="s">
        <f>=HYPERLINK("http://anyluxury.ru/shop/odezhda/futbolki/futbolka-zhenskaya-camo-women-150-kamuflyazh-01187986/" , "01187986 Футболка женская CAMO WOMEN 150 камуфляж, размер M")</f>
      </c>
      <c r="C13258" s="4" t="n">
        <v>1729.00</v>
      </c>
      <c r="D13258" s="4"/>
    </row>
    <row collapsed="" customFormat="false" customHeight="1" hidden="" ht="14" outlineLevel="0" r="13259">
      <c r="A13259" s="3" t="inlineStr">
        <is>
          <t>13215</t>
        </is>
      </c>
      <c r="B13259" s="4" t="s">
        <f>=HYPERLINK("http://anyluxury.ru/shop/odezhda/futbolki/futbolka-zhenskaya-camo-women-150-kamuflyazh-01187986/" , "01187986 Футболка женская CAMO WOMEN 150 камуфляж, размер L")</f>
      </c>
      <c r="C13259" s="4" t="n">
        <v>1729.00</v>
      </c>
      <c r="D13259" s="4"/>
    </row>
    <row collapsed="" customFormat="false" customHeight="1" hidden="" ht="14" outlineLevel="0" r="13260">
      <c r="A13260" s="3" t="inlineStr">
        <is>
          <t>13216</t>
        </is>
      </c>
      <c r="B13260" s="4" t="s">
        <f>=HYPERLINK("http://anyluxury.ru/shop/odezhda/futbolki/futbolka-zhenskaya-camo-women-150-kamuflyazh-01187986/" , "01187986 Футболка женская CAMO WOMEN 150 камуфляж, размер XL")</f>
      </c>
      <c r="C13260" s="4" t="n">
        <v>1729.00</v>
      </c>
      <c r="D13260" s="4"/>
    </row>
    <row collapsed="" customFormat="false" customHeight="1" hidden="" ht="14" outlineLevel="0" r="13261">
      <c r="A13261" s="3" t="inlineStr">
        <is>
          <t>13217</t>
        </is>
      </c>
      <c r="B13261" s="4" t="s">
        <f>=HYPERLINK("http://anyluxury.ru/shop/odezhda/futbolki/futbolka-zhenskaya-camo-women-150-kamuflyazh-01187986/" , "01187986 Футболка женская CAMO WOMEN 150 камуфляж, размер XXL")</f>
      </c>
      <c r="C13261" s="4" t="n">
        <v>1729.00</v>
      </c>
      <c r="D13261" s="4"/>
    </row>
    <row collapsed="" customFormat="false" customHeight="1" hidden="" ht="14" outlineLevel="0" r="13262">
      <c r="A13262" s="3" t="inlineStr">
        <is>
          <t>13218</t>
        </is>
      </c>
      <c r="B13262" s="4" t="s">
        <f>=HYPERLINK("http://anyluxury.ru/shop/odezhda/futbolki/top-jamaica-cherniy-01223312/" , "01223312 Топ унисекс JAMAICA черный, размер XS")</f>
      </c>
      <c r="C13262" s="4" t="n">
        <v>837.00</v>
      </c>
      <c r="D13262" s="4"/>
    </row>
    <row collapsed="" customFormat="false" customHeight="1" hidden="" ht="14" outlineLevel="0" r="13263">
      <c r="A13263" s="3" t="inlineStr">
        <is>
          <t>13219</t>
        </is>
      </c>
      <c r="B13263" s="4" t="s">
        <f>=HYPERLINK("http://anyluxury.ru/shop/odezhda/futbolki/top-jamaica-cherniy-01223312/" , "01223312 Топ унисекс JAMAICA черный, размер S")</f>
      </c>
      <c r="C13263" s="4" t="n">
        <v>837.00</v>
      </c>
      <c r="D13263" s="4"/>
    </row>
    <row collapsed="" customFormat="false" customHeight="1" hidden="" ht="14" outlineLevel="0" r="13264">
      <c r="A13264" s="3" t="inlineStr">
        <is>
          <t>13220</t>
        </is>
      </c>
      <c r="B13264" s="4" t="s">
        <f>=HYPERLINK("http://anyluxury.ru/shop/odezhda/futbolki/top-jamaica-cherniy-01223312/" , "01223312 Топ унисекс JAMAICA черный, размер M")</f>
      </c>
      <c r="C13264" s="4" t="n">
        <v>837.00</v>
      </c>
      <c r="D13264" s="4"/>
    </row>
    <row collapsed="" customFormat="false" customHeight="1" hidden="" ht="14" outlineLevel="0" r="13265">
      <c r="A13265" s="3" t="inlineStr">
        <is>
          <t>13221</t>
        </is>
      </c>
      <c r="B13265" s="4" t="s">
        <f>=HYPERLINK("http://anyluxury.ru/shop/odezhda/futbolki/top-jamaica-cherniy-01223312/" , "01223312 Топ унисекс JAMAICA черный, размер L")</f>
      </c>
      <c r="C13265" s="4" t="n">
        <v>837.00</v>
      </c>
      <c r="D13265" s="4"/>
    </row>
    <row collapsed="" customFormat="false" customHeight="1" hidden="" ht="14" outlineLevel="0" r="13266">
      <c r="A13266" s="3" t="inlineStr">
        <is>
          <t>13222</t>
        </is>
      </c>
      <c r="B13266" s="4" t="s">
        <f>=HYPERLINK("http://anyluxury.ru/shop/odezhda/futbolki/top-jamaica-cherniy-01223312/" , "01223312 Топ унисекс JAMAICA черный, размер XL")</f>
      </c>
      <c r="C13266" s="4" t="n">
        <v>837.00</v>
      </c>
      <c r="D13266" s="4"/>
    </row>
    <row collapsed="" customFormat="false" customHeight="1" hidden="" ht="14" outlineLevel="0" r="13267">
      <c r="A13267" s="3" t="inlineStr">
        <is>
          <t>13223</t>
        </is>
      </c>
      <c r="B13267" s="4" t="s">
        <f>=HYPERLINK("http://anyluxury.ru/shop/odezhda/futbolki/top-jamaica-cherniy-01223312/" , "01223312 Топ унисекс JAMAICA черный, размер XXL")</f>
      </c>
      <c r="C13267" s="4" t="n">
        <v>837.00</v>
      </c>
      <c r="D13267" s="4"/>
    </row>
    <row collapsed="" customFormat="false" customHeight="1" hidden="" ht="14" outlineLevel="0" r="13268">
      <c r="A13268" s="3" t="inlineStr">
        <is>
          <t>13224</t>
        </is>
      </c>
      <c r="B13268" s="4" t="s">
        <f>=HYPERLINK("http://anyluxury.ru/shop/odezhda/futbolki/top-jamaica-120-zeleniy-neon-01223286/" , "01223286 Топ унисекс JAMAICA 120 зеленый неон, размер XS")</f>
      </c>
      <c r="C13268" s="4" t="n">
        <v>837.00</v>
      </c>
      <c r="D13268" s="4"/>
    </row>
    <row collapsed="" customFormat="false" customHeight="1" hidden="" ht="14" outlineLevel="0" r="13269">
      <c r="A13269" s="3" t="inlineStr">
        <is>
          <t>13225</t>
        </is>
      </c>
      <c r="B13269" s="4" t="s">
        <f>=HYPERLINK("http://anyluxury.ru/shop/odezhda/futbolki/top-jamaica-120-zeleniy-neon-01223286/" , "01223286 Топ унисекс JAMAICA 120 зеленый неон, размер S")</f>
      </c>
      <c r="C13269" s="4" t="n">
        <v>837.00</v>
      </c>
      <c r="D13269" s="4"/>
    </row>
    <row collapsed="" customFormat="false" customHeight="1" hidden="" ht="14" outlineLevel="0" r="13270">
      <c r="A13270" s="3" t="inlineStr">
        <is>
          <t>13226</t>
        </is>
      </c>
      <c r="B13270" s="4" t="s">
        <f>=HYPERLINK("http://anyluxury.ru/shop/odezhda/futbolki/top-jamaica-120-zeleniy-neon-01223286/" , "01223286 Топ унисекс JAMAICA 120 зеленый неон, размер M")</f>
      </c>
      <c r="C13270" s="4" t="n">
        <v>837.00</v>
      </c>
      <c r="D13270" s="4"/>
    </row>
    <row collapsed="" customFormat="false" customHeight="1" hidden="" ht="14" outlineLevel="0" r="13271">
      <c r="A13271" s="3" t="inlineStr">
        <is>
          <t>13227</t>
        </is>
      </c>
      <c r="B13271" s="4" t="s">
        <f>=HYPERLINK("http://anyluxury.ru/shop/odezhda/futbolki/top-jamaica-120-zeleniy-neon-01223286/" , "01223286 Топ унисекс JAMAICA 120 зеленый неон, размер L")</f>
      </c>
      <c r="C13271" s="4" t="n">
        <v>837.00</v>
      </c>
      <c r="D13271" s="4"/>
    </row>
    <row collapsed="" customFormat="false" customHeight="1" hidden="" ht="14" outlineLevel="0" r="13272">
      <c r="A13272" s="3" t="inlineStr">
        <is>
          <t>13228</t>
        </is>
      </c>
      <c r="B13272" s="4" t="s">
        <f>=HYPERLINK("http://anyluxury.ru/shop/odezhda/futbolki/top-jamaica-120-zeleniy-neon-01223286/" , "01223286 Топ унисекс JAMAICA 120 зеленый неон, размер XL")</f>
      </c>
      <c r="C13272" s="4" t="n">
        <v>837.00</v>
      </c>
      <c r="D13272" s="4"/>
    </row>
    <row collapsed="" customFormat="false" customHeight="1" hidden="" ht="14" outlineLevel="0" r="13273">
      <c r="A13273" s="3" t="inlineStr">
        <is>
          <t>13229</t>
        </is>
      </c>
      <c r="B13273" s="4" t="s">
        <f>=HYPERLINK("http://anyluxury.ru/shop/odezhda/futbolki/top-jamaica-120-zeleniy-neon-01223286/" , "01223286 Топ унисекс JAMAICA 120 зеленый неон, размер XXL")</f>
      </c>
      <c r="C13273" s="4" t="n">
        <v>837.00</v>
      </c>
      <c r="D13273" s="4"/>
    </row>
    <row collapsed="" customFormat="false" customHeight="1" hidden="" ht="14" outlineLevel="0" r="13274">
      <c r="A13274" s="3" t="inlineStr">
        <is>
          <t>13230</t>
        </is>
      </c>
      <c r="B13274" s="4" t="s">
        <f>=HYPERLINK("http://anyluxury.ru/shop/odezhda/futbolki/top-jamaica-120-oranzheviy-neon-01223404/" , "01223404 Топ унисекс JAMAICA 120 оранжевый неон, размер XS")</f>
      </c>
      <c r="C13274" s="4" t="n">
        <v>837.00</v>
      </c>
      <c r="D13274" s="4"/>
    </row>
    <row collapsed="" customFormat="false" customHeight="1" hidden="" ht="14" outlineLevel="0" r="13275">
      <c r="A13275" s="3" t="inlineStr">
        <is>
          <t>13231</t>
        </is>
      </c>
      <c r="B13275" s="4" t="s">
        <f>=HYPERLINK("http://anyluxury.ru/shop/odezhda/futbolki/top-jamaica-120-oranzheviy-neon-01223404/" , "01223404 Топ унисекс JAMAICA 120 оранжевый неон, размер S")</f>
      </c>
      <c r="C13275" s="4" t="n">
        <v>837.00</v>
      </c>
      <c r="D13275" s="4"/>
    </row>
    <row collapsed="" customFormat="false" customHeight="1" hidden="" ht="14" outlineLevel="0" r="13276">
      <c r="A13276" s="3" t="inlineStr">
        <is>
          <t>13232</t>
        </is>
      </c>
      <c r="B13276" s="4" t="s">
        <f>=HYPERLINK("http://anyluxury.ru/shop/odezhda/futbolki/top-jamaica-120-oranzheviy-neon-01223404/" , "01223404 Топ унисекс JAMAICA 120 оранжевый неон, размер M")</f>
      </c>
      <c r="C13276" s="4" t="n">
        <v>837.00</v>
      </c>
      <c r="D13276" s="4"/>
    </row>
    <row collapsed="" customFormat="false" customHeight="1" hidden="" ht="14" outlineLevel="0" r="13277">
      <c r="A13277" s="3" t="inlineStr">
        <is>
          <t>13233</t>
        </is>
      </c>
      <c r="B13277" s="4" t="s">
        <f>=HYPERLINK("http://anyluxury.ru/shop/odezhda/futbolki/top-jamaica-120-oranzheviy-neon-01223404/" , "01223404 Топ унисекс JAMAICA 120 оранжевый неон, размер L")</f>
      </c>
      <c r="C13277" s="4" t="n">
        <v>837.00</v>
      </c>
      <c r="D13277" s="4"/>
    </row>
    <row collapsed="" customFormat="false" customHeight="1" hidden="" ht="14" outlineLevel="0" r="13278">
      <c r="A13278" s="3" t="inlineStr">
        <is>
          <t>13234</t>
        </is>
      </c>
      <c r="B13278" s="4" t="s">
        <f>=HYPERLINK("http://anyluxury.ru/shop/odezhda/futbolki/top-jamaica-120-oranzheviy-neon-01223404/" , "01223404 Топ унисекс JAMAICA 120 оранжевый неон, размер XL")</f>
      </c>
      <c r="C13278" s="4" t="n">
        <v>837.00</v>
      </c>
      <c r="D13278" s="4"/>
    </row>
    <row collapsed="" customFormat="false" customHeight="1" hidden="" ht="14" outlineLevel="0" r="13279">
      <c r="A13279" s="3" t="inlineStr">
        <is>
          <t>13235</t>
        </is>
      </c>
      <c r="B13279" s="4" t="s">
        <f>=HYPERLINK("http://anyluxury.ru/shop/odezhda/futbolki/top-jamaica-120-oranzheviy-neon-01223404/" , "01223404 Топ унисекс JAMAICA 120 оранжевый неон, размер XXL")</f>
      </c>
      <c r="C13279" s="4" t="n">
        <v>837.00</v>
      </c>
      <c r="D13279" s="4"/>
    </row>
    <row collapsed="" customFormat="false" customHeight="1" hidden="" ht="14" outlineLevel="0" r="13280">
      <c r="A13280" s="3" t="inlineStr">
        <is>
          <t>13236</t>
        </is>
      </c>
      <c r="B13280" s="4" t="s">
        <f>=HYPERLINK("http://anyluxury.ru/shop/odezhda/futbolki/top-jamaica-120-beliy-01223102/" , "01223102 Топ унисекс JAMAICA 120 белый, размер XS")</f>
      </c>
      <c r="C13280" s="4" t="n">
        <v>837.00</v>
      </c>
      <c r="D13280" s="4"/>
    </row>
    <row collapsed="" customFormat="false" customHeight="1" hidden="" ht="14" outlineLevel="0" r="13281">
      <c r="A13281" s="3" t="inlineStr">
        <is>
          <t>13237</t>
        </is>
      </c>
      <c r="B13281" s="4" t="s">
        <f>=HYPERLINK("http://anyluxury.ru/shop/odezhda/futbolki/top-jamaica-120-beliy-01223102/" , "01223102 Топ унисекс JAMAICA 120 белый, размер S")</f>
      </c>
      <c r="C13281" s="4" t="n">
        <v>837.00</v>
      </c>
      <c r="D13281" s="4"/>
    </row>
    <row collapsed="" customFormat="false" customHeight="1" hidden="" ht="14" outlineLevel="0" r="13282">
      <c r="A13282" s="3" t="inlineStr">
        <is>
          <t>13238</t>
        </is>
      </c>
      <c r="B13282" s="4" t="s">
        <f>=HYPERLINK("http://anyluxury.ru/shop/odezhda/futbolki/top-jamaica-120-beliy-01223102/" , "01223102 Топ унисекс JAMAICA 120 белый, размер M")</f>
      </c>
      <c r="C13282" s="4" t="n">
        <v>837.00</v>
      </c>
      <c r="D13282" s="4"/>
    </row>
    <row collapsed="" customFormat="false" customHeight="1" hidden="" ht="14" outlineLevel="0" r="13283">
      <c r="A13283" s="3" t="inlineStr">
        <is>
          <t>13239</t>
        </is>
      </c>
      <c r="B13283" s="4" t="s">
        <f>=HYPERLINK("http://anyluxury.ru/shop/odezhda/futbolki/top-jamaica-120-beliy-01223102/" , "01223102 Топ унисекс JAMAICA 120 белый, размер L")</f>
      </c>
      <c r="C13283" s="4" t="n">
        <v>837.00</v>
      </c>
      <c r="D13283" s="4"/>
    </row>
    <row collapsed="" customFormat="false" customHeight="1" hidden="" ht="14" outlineLevel="0" r="13284">
      <c r="A13284" s="3" t="inlineStr">
        <is>
          <t>13240</t>
        </is>
      </c>
      <c r="B13284" s="4" t="s">
        <f>=HYPERLINK("http://anyluxury.ru/shop/odezhda/futbolki/top-jamaica-120-beliy-01223102/" , "01223102 Топ унисекс JAMAICA 120 белый, размер XL")</f>
      </c>
      <c r="C13284" s="4" t="n">
        <v>837.00</v>
      </c>
      <c r="D13284" s="4"/>
    </row>
    <row collapsed="" customFormat="false" customHeight="1" hidden="" ht="14" outlineLevel="0" r="13285">
      <c r="A13285" s="3" t="inlineStr">
        <is>
          <t>13241</t>
        </is>
      </c>
      <c r="B13285" s="4" t="s">
        <f>=HYPERLINK("http://anyluxury.ru/shop/odezhda/futbolki/top-jamaica-120-beliy-01223102/" , "01223102 Топ унисекс JAMAICA 120 белый, размер XXL")</f>
      </c>
      <c r="C13285" s="4" t="n">
        <v>837.00</v>
      </c>
      <c r="D13285" s="4"/>
    </row>
    <row collapsed="" customFormat="false" customHeight="1" hidden="" ht="14" outlineLevel="0" r="13286">
      <c r="A13286" s="3" t="inlineStr">
        <is>
          <t>13242</t>
        </is>
      </c>
      <c r="B13286" s="4" t="s">
        <f>=HYPERLINK("http://anyluxury.ru/shop/odezhda/futbolki/futbolka-muzhskaya-mixed-men-goluboy-melanzh-01182236/" , "01182236 Футболка мужская MIXED MEN голубой меланж, размер S")</f>
      </c>
      <c r="C13286" s="4" t="n">
        <v>852.00</v>
      </c>
      <c r="D13286" s="4"/>
    </row>
    <row collapsed="" customFormat="false" customHeight="1" hidden="" ht="14" outlineLevel="0" r="13287">
      <c r="A13287" s="3" t="inlineStr">
        <is>
          <t>13243</t>
        </is>
      </c>
      <c r="B13287" s="4" t="s">
        <f>=HYPERLINK("http://anyluxury.ru/shop/odezhda/futbolki/futbolka-muzhskaya-mixed-men-goluboy-melanzh-01182236/" , "01182236 Футболка мужская MIXED MEN голубой меланж, размер M")</f>
      </c>
      <c r="C13287" s="4" t="n">
        <v>852.00</v>
      </c>
      <c r="D13287" s="4"/>
    </row>
    <row collapsed="" customFormat="false" customHeight="1" hidden="" ht="14" outlineLevel="0" r="13288">
      <c r="A13288" s="3" t="inlineStr">
        <is>
          <t>13244</t>
        </is>
      </c>
      <c r="B13288" s="4" t="s">
        <f>=HYPERLINK("http://anyluxury.ru/shop/odezhda/futbolki/futbolka-muzhskaya-mixed-men-goluboy-melanzh-01182236/" , "01182236 Футболка мужская MIXED MEN голубой меланж, размер L")</f>
      </c>
      <c r="C13288" s="4" t="n">
        <v>852.00</v>
      </c>
      <c r="D13288" s="4"/>
    </row>
    <row collapsed="" customFormat="false" customHeight="1" hidden="" ht="14" outlineLevel="0" r="13289">
      <c r="A13289" s="3" t="inlineStr">
        <is>
          <t>13245</t>
        </is>
      </c>
      <c r="B13289" s="4" t="s">
        <f>=HYPERLINK("http://anyluxury.ru/shop/odezhda/futbolki/futbolka-muzhskaya-mixed-men-goluboy-melanzh-01182236/" , "01182236 Футболка мужская MIXED MEN голубой меланж, размер XL")</f>
      </c>
      <c r="C13289" s="4" t="n">
        <v>852.00</v>
      </c>
      <c r="D13289" s="4"/>
    </row>
    <row collapsed="" customFormat="false" customHeight="1" hidden="" ht="14" outlineLevel="0" r="13290">
      <c r="A13290" s="3" t="inlineStr">
        <is>
          <t>13246</t>
        </is>
      </c>
      <c r="B13290" s="4" t="s">
        <f>=HYPERLINK("http://anyluxury.ru/shop/odezhda/futbolki/futbolka-muzhskaya-mixed-men-goluboy-melanzh-01182236/" , "01182236 Футболка мужская MIXED MEN голубой меланж, размер XXL")</f>
      </c>
      <c r="C13290" s="4" t="n">
        <v>852.00</v>
      </c>
      <c r="D13290" s="4"/>
    </row>
    <row collapsed="" customFormat="false" customHeight="1" hidden="" ht="14" outlineLevel="0" r="13291">
      <c r="A13291" s="3" t="inlineStr">
        <is>
          <t>13247</t>
        </is>
      </c>
      <c r="B13291" s="4" t="s">
        <f>=HYPERLINK("http://anyluxury.ru/shop/odezhda/futbolki/futbolka-zhenskaya-mixed-women-temnoseriy-melanzh-01181348/" , "01181348 Футболка женская MIXED WOMEN темно-серый меланж, размер S")</f>
      </c>
      <c r="C13291" s="4" t="n">
        <v>830.00</v>
      </c>
      <c r="D13291" s="4"/>
    </row>
    <row collapsed="" customFormat="false" customHeight="1" hidden="" ht="14" outlineLevel="0" r="13292">
      <c r="A13292" s="3" t="inlineStr">
        <is>
          <t>13248</t>
        </is>
      </c>
      <c r="B13292" s="4" t="s">
        <f>=HYPERLINK("http://anyluxury.ru/shop/odezhda/futbolki/futbolka-zhenskaya-mixed-women-temnoseriy-melanzh-01181348/" , "01181348 Футболка женская MIXED WOMEN темно-серый меланж, размер M")</f>
      </c>
      <c r="C13292" s="4" t="n">
        <v>830.00</v>
      </c>
      <c r="D13292" s="4"/>
    </row>
    <row collapsed="" customFormat="false" customHeight="1" hidden="" ht="14" outlineLevel="0" r="13293">
      <c r="A13293" s="3" t="inlineStr">
        <is>
          <t>13249</t>
        </is>
      </c>
      <c r="B13293" s="4" t="s">
        <f>=HYPERLINK("http://anyluxury.ru/shop/odezhda/futbolki/futbolka-zhenskaya-mixed-women-temnoseriy-melanzh-01181348/" , "01181348 Футболка женская MIXED WOMEN темно-серый меланж, размер L")</f>
      </c>
      <c r="C13293" s="4" t="n">
        <v>830.00</v>
      </c>
      <c r="D13293" s="4"/>
    </row>
    <row collapsed="" customFormat="false" customHeight="1" hidden="" ht="14" outlineLevel="0" r="13294">
      <c r="A13294" s="3" t="inlineStr">
        <is>
          <t>13250</t>
        </is>
      </c>
      <c r="B13294" s="4" t="s">
        <f>=HYPERLINK("http://anyluxury.ru/shop/odezhda/futbolki/futbolka-zhenskaya-mixed-women-temnoseriy-melanzh-01181348/" , "01181348 Футболка женская MIXED WOMEN темно-серый меланж, размер XL")</f>
      </c>
      <c r="C13294" s="4" t="n">
        <v>830.00</v>
      </c>
      <c r="D13294" s="4"/>
    </row>
    <row collapsed="" customFormat="false" customHeight="1" hidden="" ht="14" outlineLevel="0" r="13295">
      <c r="A13295" s="3" t="inlineStr">
        <is>
          <t>13251</t>
        </is>
      </c>
      <c r="B13295" s="4" t="s">
        <f>=HYPERLINK("http://anyluxury.ru/shop/odezhda/futbolki/futbolka-zhenskaya-mixed-women-temnoseriy-melanzh-01181348/" , "01181348 Футболка женская MIXED WOMEN темно-серый меланж, размер XXL")</f>
      </c>
      <c r="C13295" s="4" t="n">
        <v>830.00</v>
      </c>
      <c r="D13295" s="4"/>
    </row>
    <row collapsed="" customFormat="false" customHeight="1" hidden="" ht="14" outlineLevel="0" r="13296">
      <c r="A13296" s="3" t="inlineStr">
        <is>
          <t>13252</t>
        </is>
      </c>
      <c r="B13296" s="4" t="s">
        <f>=HYPERLINK("http://anyluxury.ru/shop/odezhda/futbolki/futbolka-zhenskaya-mixed-women-150-svetloseriy-melanzh-01181350/" , "01181350 Футболка женская MIXED WOMEN 150 светло-серый меланж, размер S")</f>
      </c>
      <c r="C13296" s="4" t="n">
        <v>830.00</v>
      </c>
      <c r="D13296" s="4"/>
    </row>
    <row collapsed="" customFormat="false" customHeight="1" hidden="" ht="14" outlineLevel="0" r="13297">
      <c r="A13297" s="3" t="inlineStr">
        <is>
          <t>13253</t>
        </is>
      </c>
      <c r="B13297" s="4" t="s">
        <f>=HYPERLINK("http://anyluxury.ru/shop/odezhda/futbolki/futbolka-zhenskaya-mixed-women-150-svetloseriy-melanzh-01181350/" , "01181350 Футболка женская MIXED WOMEN 150 светло-серый меланж, размер M")</f>
      </c>
      <c r="C13297" s="4" t="n">
        <v>830.00</v>
      </c>
      <c r="D13297" s="4"/>
    </row>
    <row collapsed="" customFormat="false" customHeight="1" hidden="" ht="14" outlineLevel="0" r="13298">
      <c r="A13298" s="3" t="inlineStr">
        <is>
          <t>13254</t>
        </is>
      </c>
      <c r="B13298" s="4" t="s">
        <f>=HYPERLINK("http://anyluxury.ru/shop/odezhda/futbolki/futbolka-zhenskaya-mixed-women-150-svetloseriy-melanzh-01181350/" , "01181350 Футболка женская MIXED WOMEN 150 светло-серый меланж, размер L")</f>
      </c>
      <c r="C13298" s="4" t="n">
        <v>830.00</v>
      </c>
      <c r="D13298" s="4"/>
    </row>
    <row collapsed="" customFormat="false" customHeight="1" hidden="" ht="14" outlineLevel="0" r="13299">
      <c r="A13299" s="3" t="inlineStr">
        <is>
          <t>13255</t>
        </is>
      </c>
      <c r="B13299" s="4" t="s">
        <f>=HYPERLINK("http://anyluxury.ru/shop/odezhda/futbolki/futbolka-zhenskaya-mixed-women-150-svetloseriy-melanzh-01181350/" , "01181350 Футболка женская MIXED WOMEN 150 светло-серый меланж, размер XL")</f>
      </c>
      <c r="C13299" s="4" t="n">
        <v>830.00</v>
      </c>
      <c r="D13299" s="4"/>
    </row>
    <row collapsed="" customFormat="false" customHeight="1" hidden="" ht="14" outlineLevel="0" r="13300">
      <c r="A13300" s="3" t="inlineStr">
        <is>
          <t>13256</t>
        </is>
      </c>
      <c r="B13300" s="4" t="s">
        <f>=HYPERLINK("http://anyluxury.ru/shop/odezhda/futbolki/futbolka-zhenskaya-mixed-women-150-svetloseriy-melanzh-01181350/" , "01181350 Футболка женская MIXED WOMEN 150 светло-серый меланж, размер XXL")</f>
      </c>
      <c r="C13300" s="4" t="n">
        <v>830.00</v>
      </c>
      <c r="D13300" s="4"/>
    </row>
    <row collapsed="" customFormat="false" customHeight="1" hidden="" ht="14" outlineLevel="0" r="13301">
      <c r="A13301" s="3" t="inlineStr">
        <is>
          <t>13257</t>
        </is>
      </c>
      <c r="B13301" s="4" t="s">
        <f>=HYPERLINK("http://anyluxury.ru/shop/odezhda/futbolki/futbolka-zhenskaya-mixed-women-bordoviy-melanzh-01181144/" , "01181144 Футболка женская MIXED WOMEN бордовый меланж, размер S")</f>
      </c>
      <c r="C13301" s="4" t="n">
        <v>830.00</v>
      </c>
      <c r="D13301" s="4"/>
    </row>
    <row collapsed="" customFormat="false" customHeight="1" hidden="" ht="14" outlineLevel="0" r="13302">
      <c r="A13302" s="3" t="inlineStr">
        <is>
          <t>13258</t>
        </is>
      </c>
      <c r="B13302" s="4" t="s">
        <f>=HYPERLINK("http://anyluxury.ru/shop/odezhda/futbolki/futbolka-zhenskaya-mixed-women-bordoviy-melanzh-01181144/" , "01181144 Футболка женская MIXED WOMEN бордовый меланж, размер M")</f>
      </c>
      <c r="C13302" s="4" t="n">
        <v>830.00</v>
      </c>
      <c r="D13302" s="4"/>
    </row>
    <row collapsed="" customFormat="false" customHeight="1" hidden="" ht="14" outlineLevel="0" r="13303">
      <c r="A13303" s="3" t="inlineStr">
        <is>
          <t>13259</t>
        </is>
      </c>
      <c r="B13303" s="4" t="s">
        <f>=HYPERLINK("http://anyluxury.ru/shop/odezhda/futbolki/futbolka-zhenskaya-mixed-women-bordoviy-melanzh-01181144/" , "01181144 Футболка женская MIXED WOMEN бордовый меланж, размер L")</f>
      </c>
      <c r="C13303" s="4" t="n">
        <v>830.00</v>
      </c>
      <c r="D13303" s="4"/>
    </row>
    <row collapsed="" customFormat="false" customHeight="1" hidden="" ht="14" outlineLevel="0" r="13304">
      <c r="A13304" s="3" t="inlineStr">
        <is>
          <t>13260</t>
        </is>
      </c>
      <c r="B13304" s="4" t="s">
        <f>=HYPERLINK("http://anyluxury.ru/shop/odezhda/futbolki/futbolka-zhenskaya-mixed-women-bordoviy-melanzh-01181144/" , "01181144 Футболка женская MIXED WOMEN бордовый меланж, размер XL")</f>
      </c>
      <c r="C13304" s="4" t="n">
        <v>830.00</v>
      </c>
      <c r="D13304" s="4"/>
    </row>
    <row collapsed="" customFormat="false" customHeight="1" hidden="" ht="14" outlineLevel="0" r="13305">
      <c r="A13305" s="3" t="inlineStr">
        <is>
          <t>13261</t>
        </is>
      </c>
      <c r="B13305" s="4" t="s">
        <f>=HYPERLINK("http://anyluxury.ru/shop/odezhda/futbolki/futbolka-zhenskaya-mixed-women-bordoviy-melanzh-01181144/" , "01181144 Футболка женская MIXED WOMEN бордовый меланж, размер XXL")</f>
      </c>
      <c r="C13305" s="4" t="n">
        <v>830.00</v>
      </c>
      <c r="D13305" s="4"/>
    </row>
    <row collapsed="" customFormat="false" customHeight="1" hidden="" ht="14" outlineLevel="0" r="13306">
      <c r="A13306" s="3" t="inlineStr">
        <is>
          <t>13262</t>
        </is>
      </c>
      <c r="B13306" s="4" t="s">
        <f>=HYPERLINK("http://anyluxury.ru/shop/odezhda/futbolki/futbolka-zhenskaya-marylin-chernaya-11398309/" , "11398309 Футболка женская MARYLIN 110 черная, размер S")</f>
      </c>
      <c r="C13306" s="4" t="n">
        <v>1444.00</v>
      </c>
      <c r="D13306" s="4"/>
    </row>
    <row collapsed="" customFormat="false" customHeight="1" hidden="" ht="14" outlineLevel="0" r="13307">
      <c r="A13307" s="3" t="inlineStr">
        <is>
          <t>13263</t>
        </is>
      </c>
      <c r="B13307" s="4" t="s">
        <f>=HYPERLINK("http://anyluxury.ru/shop/odezhda/futbolki/futbolka-zhenskaya-marylin-chernaya-11398309/" , "11398309 Футболка женская MARYLIN 110 черная, размер M")</f>
      </c>
      <c r="C13307" s="4" t="n">
        <v>1444.00</v>
      </c>
      <c r="D13307" s="4"/>
    </row>
    <row collapsed="" customFormat="false" customHeight="1" hidden="" ht="14" outlineLevel="0" r="13308">
      <c r="A13308" s="3" t="inlineStr">
        <is>
          <t>13264</t>
        </is>
      </c>
      <c r="B13308" s="4" t="s">
        <f>=HYPERLINK("http://anyluxury.ru/shop/odezhda/futbolki/futbolka-zhenskaya-marylin-chernaya-11398309/" , "11398309 Футболка женская MARYLIN 110 черная, размер L")</f>
      </c>
      <c r="C13308" s="4" t="n">
        <v>1444.00</v>
      </c>
      <c r="D13308" s="4"/>
    </row>
    <row collapsed="" customFormat="false" customHeight="1" hidden="" ht="14" outlineLevel="0" r="13309">
      <c r="A13309" s="3" t="inlineStr">
        <is>
          <t>13265</t>
        </is>
      </c>
      <c r="B13309" s="4" t="s">
        <f>=HYPERLINK("http://anyluxury.ru/shop/odezhda/futbolki/futbolka-zhenskaya-marylin-chernaya-11398309/" , "11398309 Футболка женская MARYLIN 110 черная, размер XL")</f>
      </c>
      <c r="C13309" s="4" t="n">
        <v>1444.00</v>
      </c>
      <c r="D13309" s="4"/>
    </row>
    <row collapsed="" customFormat="false" customHeight="1" hidden="" ht="14" outlineLevel="0" r="13310">
      <c r="A13310" s="3" t="inlineStr">
        <is>
          <t>13266</t>
        </is>
      </c>
      <c r="B13310" s="4" t="s">
        <f>=HYPERLINK("http://anyluxury.ru/shop/odezhda/futbolki/futbolka-zhenskaya-marylin-chernaya-11398309/" , "11398309 Футболка женская MARYLIN 110 черная, размер XXL")</f>
      </c>
      <c r="C13310" s="4" t="n">
        <v>1444.00</v>
      </c>
      <c r="D13310" s="4"/>
    </row>
    <row collapsed="" customFormat="false" customHeight="1" hidden="" ht="14" outlineLevel="0" r="13311">
      <c r="A13311" s="3" t="inlineStr">
        <is>
          <t>13267</t>
        </is>
      </c>
      <c r="B13311" s="4" t="s">
        <f>=HYPERLINK("http://anyluxury.ru/shop/odezhda/futbolki/futbolka-zhenskaya-marylin-belaya-11398102/" , "11398102 Футболка женская MARYLIN 110 белая, размер S")</f>
      </c>
      <c r="C13311" s="4" t="n">
        <v>1254.00</v>
      </c>
      <c r="D13311" s="4"/>
    </row>
    <row collapsed="" customFormat="false" customHeight="1" hidden="" ht="14" outlineLevel="0" r="13312">
      <c r="A13312" s="3" t="inlineStr">
        <is>
          <t>13268</t>
        </is>
      </c>
      <c r="B13312" s="4" t="s">
        <f>=HYPERLINK("http://anyluxury.ru/shop/odezhda/futbolki/futbolka-zhenskaya-marylin-belaya-11398102/" , "11398102 Футболка женская MARYLIN 110 белая, размер M")</f>
      </c>
      <c r="C13312" s="4" t="n">
        <v>1254.00</v>
      </c>
      <c r="D13312" s="4"/>
    </row>
    <row collapsed="" customFormat="false" customHeight="1" hidden="" ht="14" outlineLevel="0" r="13313">
      <c r="A13313" s="3" t="inlineStr">
        <is>
          <t>13269</t>
        </is>
      </c>
      <c r="B13313" s="4" t="s">
        <f>=HYPERLINK("http://anyluxury.ru/shop/odezhda/futbolki/futbolka-zhenskaya-marylin-belaya-11398102/" , "11398102 Футболка женская MARYLIN 110 белая, размер L")</f>
      </c>
      <c r="C13313" s="4" t="n">
        <v>1254.00</v>
      </c>
      <c r="D13313" s="4"/>
    </row>
    <row collapsed="" customFormat="false" customHeight="1" hidden="" ht="14" outlineLevel="0" r="13314">
      <c r="A13314" s="3" t="inlineStr">
        <is>
          <t>13270</t>
        </is>
      </c>
      <c r="B13314" s="4" t="s">
        <f>=HYPERLINK("http://anyluxury.ru/shop/odezhda/futbolki/futbolka-zhenskaya-marylin-belaya-11398102/" , "11398102 Футболка женская MARYLIN 110 белая, размер XL")</f>
      </c>
      <c r="C13314" s="4" t="n">
        <v>1254.00</v>
      </c>
      <c r="D13314" s="4"/>
    </row>
    <row collapsed="" customFormat="false" customHeight="1" hidden="" ht="14" outlineLevel="0" r="13315">
      <c r="A13315" s="3" t="inlineStr">
        <is>
          <t>13271</t>
        </is>
      </c>
      <c r="B13315" s="4" t="s">
        <f>=HYPERLINK("http://anyluxury.ru/shop/odezhda/futbolki/futbolka-zhenskaya-marylin-belaya-11398102/" , "11398102 Футболка женская MARYLIN 110 белая, размер XXL")</f>
      </c>
      <c r="C13315" s="4" t="n">
        <v>1254.00</v>
      </c>
      <c r="D13315" s="4"/>
    </row>
    <row collapsed="" customFormat="false" customHeight="1" hidden="" ht="14" outlineLevel="0" r="13316">
      <c r="A13316" s="3" t="inlineStr">
        <is>
          <t>13272</t>
        </is>
      </c>
      <c r="B13316" s="4" t="s">
        <f>=HYPERLINK("http://anyluxury.ru/shop/odezhda/futbolki/mayka-zhenskaya-st-germain-150-temnofioletovaya-11808713/" , "11808713 Майка женская ST GERMAIN 150 темно-фиолетовая, размер S")</f>
      </c>
      <c r="C13316" s="4" t="n">
        <v>562.00</v>
      </c>
      <c r="D13316" s="4"/>
    </row>
    <row collapsed="" customFormat="false" customHeight="1" hidden="" ht="14" outlineLevel="0" r="13317">
      <c r="A13317" s="3" t="inlineStr">
        <is>
          <t>13273</t>
        </is>
      </c>
      <c r="B13317" s="4" t="s">
        <f>=HYPERLINK("http://anyluxury.ru/shop/odezhda/futbolki/mayka-zhenskaya-st-germain-150-temnofioletovaya-11808713/" , "11808713 Майка женская ST GERMAIN 150 темно-фиолетовая, размер M")</f>
      </c>
      <c r="C13317" s="4" t="n">
        <v>562.00</v>
      </c>
      <c r="D13317" s="4"/>
    </row>
    <row collapsed="" customFormat="false" customHeight="1" hidden="" ht="14" outlineLevel="0" r="13318">
      <c r="A13318" s="3" t="inlineStr">
        <is>
          <t>13274</t>
        </is>
      </c>
      <c r="B13318" s="4" t="s">
        <f>=HYPERLINK("http://anyluxury.ru/shop/odezhda/futbolki/mayka-zhenskaya-st-germain-150-temnofioletovaya-11808713/" , "11808713 Майка женская ST GERMAIN 150 темно-фиолетовая, размер L")</f>
      </c>
      <c r="C13318" s="4" t="n">
        <v>562.00</v>
      </c>
      <c r="D13318" s="4"/>
    </row>
    <row collapsed="" customFormat="false" customHeight="1" hidden="" ht="14" outlineLevel="0" r="13319">
      <c r="A13319" s="3" t="inlineStr">
        <is>
          <t>13275</t>
        </is>
      </c>
      <c r="B13319" s="4" t="s">
        <f>=HYPERLINK("http://anyluxury.ru/shop/odezhda/futbolki/mayka-zhenskaya-st-germain-150-temnofioletovaya-11808713/" , "11808713 Майка женская ST GERMAIN 150 темно-фиолетовая, размер XL")</f>
      </c>
      <c r="C13319" s="4" t="n">
        <v>562.00</v>
      </c>
      <c r="D13319" s="4"/>
    </row>
    <row collapsed="" customFormat="false" customHeight="1" hidden="" ht="14" outlineLevel="0" r="13320">
      <c r="A13320" s="3" t="inlineStr">
        <is>
          <t>13276</t>
        </is>
      </c>
      <c r="B13320" s="4" t="s">
        <f>=HYPERLINK("http://anyluxury.ru/shop/odezhda/futbolki/mayka-zhenskaya-st-germain-150-temnofioletovaya-11808713/" , "11808713 Майка женская ST GERMAIN 150 темно-фиолетовая, размер XXL")</f>
      </c>
      <c r="C13320" s="4" t="n">
        <v>562.00</v>
      </c>
      <c r="D13320" s="4"/>
    </row>
    <row collapsed="" customFormat="false" customHeight="1" hidden="" ht="14" outlineLevel="0" r="13321">
      <c r="A13321" s="3" t="inlineStr">
        <is>
          <t>13277</t>
        </is>
      </c>
      <c r="B13321" s="4" t="s">
        <f>=HYPERLINK("http://anyluxury.ru/shop/odezhda/futbolki/mayka-zhenskaya-st-germain-150-temnoseraya-11808384/" , "11808384 Майка женская ST GERMAIN 150 темно-серая, размер S")</f>
      </c>
      <c r="C13321" s="4" t="n">
        <v>562.00</v>
      </c>
      <c r="D13321" s="4"/>
    </row>
    <row collapsed="" customFormat="false" customHeight="1" hidden="" ht="14" outlineLevel="0" r="13322">
      <c r="A13322" s="3" t="inlineStr">
        <is>
          <t>13278</t>
        </is>
      </c>
      <c r="B13322" s="4" t="s">
        <f>=HYPERLINK("http://anyluxury.ru/shop/odezhda/futbolki/mayka-zhenskaya-st-germain-150-temnoseraya-11808384/" , "11808384 Майка женская ST GERMAIN 150 темно-серая, размер M")</f>
      </c>
      <c r="C13322" s="4" t="n">
        <v>562.00</v>
      </c>
      <c r="D13322" s="4"/>
    </row>
    <row collapsed="" customFormat="false" customHeight="1" hidden="" ht="14" outlineLevel="0" r="13323">
      <c r="A13323" s="3" t="inlineStr">
        <is>
          <t>13279</t>
        </is>
      </c>
      <c r="B13323" s="4" t="s">
        <f>=HYPERLINK("http://anyluxury.ru/shop/odezhda/futbolki/mayka-zhenskaya-st-germain-150-temnoseraya-11808384/" , "11808384 Майка женская ST GERMAIN 150 темно-серая, размер L")</f>
      </c>
      <c r="C13323" s="4" t="n">
        <v>562.00</v>
      </c>
      <c r="D13323" s="4"/>
    </row>
    <row collapsed="" customFormat="false" customHeight="1" hidden="" ht="14" outlineLevel="0" r="13324">
      <c r="A13324" s="3" t="inlineStr">
        <is>
          <t>13280</t>
        </is>
      </c>
      <c r="B13324" s="4" t="s">
        <f>=HYPERLINK("http://anyluxury.ru/shop/odezhda/futbolki/mayka-zhenskaya-st-germain-150-temnoseraya-11808384/" , "11808384 Майка женская ST GERMAIN 150 темно-серая, размер XL")</f>
      </c>
      <c r="C13324" s="4" t="n">
        <v>562.00</v>
      </c>
      <c r="D13324" s="4"/>
    </row>
    <row collapsed="" customFormat="false" customHeight="1" hidden="" ht="14" outlineLevel="0" r="13325">
      <c r="A13325" s="3" t="inlineStr">
        <is>
          <t>13281</t>
        </is>
      </c>
      <c r="B13325" s="4" t="s">
        <f>=HYPERLINK("http://anyluxury.ru/shop/odezhda/futbolki/mayka-zhenskaya-st-germain-150-temnoseraya-11808384/" , "11808384 Майка женская ST GERMAIN 150 темно-серая, размер XXL")</f>
      </c>
      <c r="C13325" s="4" t="n">
        <v>562.00</v>
      </c>
      <c r="D13325" s="4"/>
    </row>
    <row collapsed="" customFormat="false" customHeight="1" hidden="" ht="14" outlineLevel="0" r="13326">
      <c r="A13326" s="3" t="inlineStr">
        <is>
          <t>13282</t>
        </is>
      </c>
      <c r="B13326" s="4" t="s">
        <f>=HYPERLINK("http://anyluxury.ru/shop/odezhda/futbolki/futbolka-imperial-190-temnoseraya-137412/" , "1374.12 Футболка IMPERIAL 190 темно-серая, размер S")</f>
      </c>
      <c r="C13326" s="4" t="n">
        <v>697.00</v>
      </c>
      <c r="D13326" s="4"/>
    </row>
    <row collapsed="" customFormat="false" customHeight="1" hidden="" ht="14" outlineLevel="0" r="13327">
      <c r="A13327" s="3" t="inlineStr">
        <is>
          <t>13283</t>
        </is>
      </c>
      <c r="B13327" s="4" t="s">
        <f>=HYPERLINK("http://anyluxury.ru/shop/odezhda/futbolki/futbolka-imperial-190-temnoseraya-137412/" , "1374.12 Футболка IMPERIAL 190 темно-серая, размер M")</f>
      </c>
      <c r="C13327" s="4" t="n">
        <v>697.00</v>
      </c>
      <c r="D13327" s="4"/>
    </row>
    <row collapsed="" customFormat="false" customHeight="1" hidden="" ht="14" outlineLevel="0" r="13328">
      <c r="A13328" s="3" t="inlineStr">
        <is>
          <t>13284</t>
        </is>
      </c>
      <c r="B13328" s="4" t="s">
        <f>=HYPERLINK("http://anyluxury.ru/shop/odezhda/futbolki/futbolka-imperial-190-temnoseraya-137412/" , "1374.12 Футболка IMPERIAL 190 темно-серая, размер L")</f>
      </c>
      <c r="C13328" s="4" t="n">
        <v>697.00</v>
      </c>
      <c r="D13328" s="4"/>
    </row>
    <row collapsed="" customFormat="false" customHeight="1" hidden="" ht="14" outlineLevel="0" r="13329">
      <c r="A13329" s="3" t="inlineStr">
        <is>
          <t>13285</t>
        </is>
      </c>
      <c r="B13329" s="4" t="s">
        <f>=HYPERLINK("http://anyluxury.ru/shop/odezhda/futbolki/futbolka-imperial-190-temnoseraya-137412/" , "1374.12 Футболка IMPERIAL 190 темно-серая, размер XL")</f>
      </c>
      <c r="C13329" s="4" t="n">
        <v>697.00</v>
      </c>
      <c r="D13329" s="4"/>
    </row>
    <row collapsed="" customFormat="false" customHeight="1" hidden="" ht="14" outlineLevel="0" r="13330">
      <c r="A13330" s="3" t="inlineStr">
        <is>
          <t>13286</t>
        </is>
      </c>
      <c r="B13330" s="4" t="s">
        <f>=HYPERLINK("http://anyluxury.ru/shop/odezhda/futbolki/futbolka-imperial-190-temnoseraya-137412/" , "1374.12 Футболка IMPERIAL 190 темно-серая, размер XXL")</f>
      </c>
      <c r="C13330" s="4" t="n">
        <v>697.00</v>
      </c>
      <c r="D13330" s="4"/>
    </row>
    <row collapsed="" customFormat="false" customHeight="1" hidden="" ht="14" outlineLevel="0" r="13331">
      <c r="A13331" s="3" t="inlineStr">
        <is>
          <t>13287</t>
        </is>
      </c>
      <c r="B13331" s="4" t="s">
        <f>=HYPERLINK("http://anyluxury.ru/shop/odezhda/futbolki/futbolka-imperial-190-temnoseraya-137412/" , "1374.12 Футболка IMPERIAL, темно-серая, размер XS")</f>
      </c>
      <c r="C13331" s="4" t="n">
        <v>697.00</v>
      </c>
      <c r="D13331" s="4"/>
    </row>
    <row collapsed="" customFormat="false" customHeight="1" hidden="" ht="14" outlineLevel="0" r="13332">
      <c r="A13332" s="3" t="inlineStr">
        <is>
          <t>13288</t>
        </is>
      </c>
      <c r="B13332" s="4" t="s">
        <f>=HYPERLINK("http://anyluxury.ru/shop/odezhda/futbolki/futbolka-imperial-190-temnoseraya-137412/" , "1374.12 Футболка IMPERIAL 190, темно-серая, размер 3XL")</f>
      </c>
      <c r="C13332" s="4" t="n">
        <v>820.00</v>
      </c>
      <c r="D13332" s="4"/>
    </row>
    <row collapsed="" customFormat="false" customHeight="1" hidden="" ht="14" outlineLevel="0" r="13333">
      <c r="A13333" s="3" t="inlineStr">
        <is>
          <t>13289</t>
        </is>
      </c>
      <c r="B13333" s="4" t="s">
        <f>=HYPERLINK("http://anyluxury.ru/shop/odezhda/futbolki/futbolka-imperial-190-temnoseraya-137412/" , "1374.12 Футболка IMPERIAL 190, темно-серая, размер 4XL")</f>
      </c>
      <c r="C13333" s="4" t="n">
        <v>1211.00</v>
      </c>
      <c r="D13333" s="4"/>
    </row>
    <row collapsed="" customFormat="false" customHeight="1" hidden="" ht="14" outlineLevel="0" r="13334">
      <c r="A13334" s="3" t="inlineStr">
        <is>
          <t>13290</t>
        </is>
      </c>
      <c r="B13334" s="4" t="s">
        <f>=HYPERLINK("http://anyluxury.ru/shop/odezhda/futbolki/futbolka-imperial-190-temnoseraya-137412/" , "1374.12 Футболка IMPERIAL 190, темно-серая, размер 5XL")</f>
      </c>
      <c r="C13334" s="4" t="n">
        <v>1211.00</v>
      </c>
      <c r="D13334" s="4"/>
    </row>
    <row collapsed="" customFormat="false" customHeight="1" hidden="" ht="14" outlineLevel="0" r="13335">
      <c r="A13335" s="3" t="inlineStr">
        <is>
          <t>13291</t>
        </is>
      </c>
      <c r="B13335" s="4" t="s">
        <f>=HYPERLINK("http://anyluxury.ru/shop/odezhda/futbolki/futbolka-imperial-190-golubaya-137414/" , "1374.14 Футболка IMPERIAL 190 голубая, размер XS")</f>
      </c>
      <c r="C13335" s="4" t="n">
        <v>697.00</v>
      </c>
      <c r="D13335" s="4"/>
    </row>
    <row collapsed="" customFormat="false" customHeight="1" hidden="" ht="14" outlineLevel="0" r="13336">
      <c r="A13336" s="3" t="inlineStr">
        <is>
          <t>13292</t>
        </is>
      </c>
      <c r="B13336" s="4" t="s">
        <f>=HYPERLINK("http://anyluxury.ru/shop/odezhda/futbolki/futbolka-imperial-190-golubaya-137414/" , "1374.14 Футболка IMPERIAL 190 голубая, размер S")</f>
      </c>
      <c r="C13336" s="4" t="n">
        <v>697.00</v>
      </c>
      <c r="D13336" s="4"/>
    </row>
    <row collapsed="" customFormat="false" customHeight="1" hidden="" ht="14" outlineLevel="0" r="13337">
      <c r="A13337" s="3" t="inlineStr">
        <is>
          <t>13293</t>
        </is>
      </c>
      <c r="B13337" s="4" t="s">
        <f>=HYPERLINK("http://anyluxury.ru/shop/odezhda/futbolki/futbolka-imperial-190-golubaya-137414/" , "1374.14 Футболка IMPERIAL 190 голубая, размер M")</f>
      </c>
      <c r="C13337" s="4" t="n">
        <v>697.00</v>
      </c>
      <c r="D13337" s="4"/>
    </row>
    <row collapsed="" customFormat="false" customHeight="1" hidden="" ht="14" outlineLevel="0" r="13338">
      <c r="A13338" s="3" t="inlineStr">
        <is>
          <t>13294</t>
        </is>
      </c>
      <c r="B13338" s="4" t="s">
        <f>=HYPERLINK("http://anyluxury.ru/shop/odezhda/futbolki/futbolka-imperial-190-golubaya-137414/" , "1374.14 Футболка IMPERIAL 190 голубая, размер L")</f>
      </c>
      <c r="C13338" s="4" t="n">
        <v>697.00</v>
      </c>
      <c r="D13338" s="4"/>
    </row>
    <row collapsed="" customFormat="false" customHeight="1" hidden="" ht="14" outlineLevel="0" r="13339">
      <c r="A13339" s="3" t="inlineStr">
        <is>
          <t>13295</t>
        </is>
      </c>
      <c r="B13339" s="4" t="s">
        <f>=HYPERLINK("http://anyluxury.ru/shop/odezhda/futbolki/futbolka-imperial-190-golubaya-137414/" , "1374.14 Футболка IMPERIAL 190 голубая, размер XL")</f>
      </c>
      <c r="C13339" s="4" t="n">
        <v>697.00</v>
      </c>
      <c r="D13339" s="4"/>
    </row>
    <row collapsed="" customFormat="false" customHeight="1" hidden="" ht="14" outlineLevel="0" r="13340">
      <c r="A13340" s="3" t="inlineStr">
        <is>
          <t>13296</t>
        </is>
      </c>
      <c r="B13340" s="4" t="s">
        <f>=HYPERLINK("http://anyluxury.ru/shop/odezhda/futbolki/futbolka-imperial-190-golubaya-137414/" , "1374.14 Футболка IMPERIAL 190 голубая, размер XXL")</f>
      </c>
      <c r="C13340" s="4" t="n">
        <v>697.00</v>
      </c>
      <c r="D13340" s="4"/>
    </row>
    <row collapsed="" customFormat="false" customHeight="1" hidden="" ht="14" outlineLevel="0" r="13341">
      <c r="A13341" s="3" t="inlineStr">
        <is>
          <t>13297</t>
        </is>
      </c>
      <c r="B13341" s="4" t="s">
        <f>=HYPERLINK("http://anyluxury.ru/shop/odezhda/futbolki/futbolka-imperial-190-golubaya-137414/" , "1374.14 Футболка Imperial 190, голубая, размер 3XL")</f>
      </c>
      <c r="C13341" s="4" t="n">
        <v>820.00</v>
      </c>
      <c r="D13341" s="4"/>
    </row>
    <row collapsed="" customFormat="false" customHeight="1" hidden="" ht="14" outlineLevel="0" r="13342">
      <c r="A13342" s="3" t="inlineStr">
        <is>
          <t>13298</t>
        </is>
      </c>
      <c r="B13342" s="4" t="s">
        <f>=HYPERLINK("http://anyluxury.ru/shop/odezhda/futbolki/futbolka-imperial-190-svetloseraya-137419/" , "1374.19 Футболка IMPERIAL 190 светло-серая, размер S")</f>
      </c>
      <c r="C13342" s="4" t="n">
        <v>697.00</v>
      </c>
      <c r="D13342" s="4"/>
    </row>
    <row collapsed="" customFormat="false" customHeight="1" hidden="" ht="14" outlineLevel="0" r="13343">
      <c r="A13343" s="3" t="inlineStr">
        <is>
          <t>13299</t>
        </is>
      </c>
      <c r="B13343" s="4" t="s">
        <f>=HYPERLINK("http://anyluxury.ru/shop/odezhda/futbolki/futbolka-imperial-190-svetloseraya-137419/" , "1374.19 Футболка IMPERIAL 190 светло-серая, размер M")</f>
      </c>
      <c r="C13343" s="4" t="n">
        <v>697.00</v>
      </c>
      <c r="D13343" s="4"/>
    </row>
    <row collapsed="" customFormat="false" customHeight="1" hidden="" ht="14" outlineLevel="0" r="13344">
      <c r="A13344" s="3" t="inlineStr">
        <is>
          <t>13300</t>
        </is>
      </c>
      <c r="B13344" s="4" t="s">
        <f>=HYPERLINK("http://anyluxury.ru/shop/odezhda/futbolki/futbolka-imperial-190-svetloseraya-137419/" , "1374.19 Футболка IMPERIAL 190 светло-серая, размер L")</f>
      </c>
      <c r="C13344" s="4" t="n">
        <v>697.00</v>
      </c>
      <c r="D13344" s="4"/>
    </row>
    <row collapsed="" customFormat="false" customHeight="1" hidden="" ht="14" outlineLevel="0" r="13345">
      <c r="A13345" s="3" t="inlineStr">
        <is>
          <t>13301</t>
        </is>
      </c>
      <c r="B13345" s="4" t="s">
        <f>=HYPERLINK("http://anyluxury.ru/shop/odezhda/futbolki/futbolka-imperial-190-svetloseraya-137419/" , "1374.19 Футболка IMPERIAL 190 светло-серая, размер XL")</f>
      </c>
      <c r="C13345" s="4" t="n">
        <v>697.00</v>
      </c>
      <c r="D13345" s="4"/>
    </row>
    <row collapsed="" customFormat="false" customHeight="1" hidden="" ht="14" outlineLevel="0" r="13346">
      <c r="A13346" s="3" t="inlineStr">
        <is>
          <t>13302</t>
        </is>
      </c>
      <c r="B13346" s="4" t="s">
        <f>=HYPERLINK("http://anyluxury.ru/shop/odezhda/futbolki/futbolka-imperial-190-svetloseraya-137419/" , "1374.19 Футболка IMPERIAL 190 светло-серая, размер XXL")</f>
      </c>
      <c r="C13346" s="4" t="n">
        <v>697.00</v>
      </c>
      <c r="D13346" s="4"/>
    </row>
    <row collapsed="" customFormat="false" customHeight="1" hidden="" ht="14" outlineLevel="0" r="13347">
      <c r="A13347" s="3" t="inlineStr">
        <is>
          <t>13303</t>
        </is>
      </c>
      <c r="B13347" s="4" t="s">
        <f>=HYPERLINK("http://anyluxury.ru/shop/odezhda/futbolki/futbolka-imperial-190-biryuzovaya-137442/" , "1374.42 Футболка IMPERIAL 190 бирюзовая, размер S")</f>
      </c>
      <c r="C13347" s="4" t="n">
        <v>697.00</v>
      </c>
      <c r="D13347" s="4"/>
    </row>
    <row collapsed="" customFormat="false" customHeight="1" hidden="" ht="14" outlineLevel="0" r="13348">
      <c r="A13348" s="3" t="inlineStr">
        <is>
          <t>13304</t>
        </is>
      </c>
      <c r="B13348" s="4" t="s">
        <f>=HYPERLINK("http://anyluxury.ru/shop/odezhda/futbolki/futbolka-imperial-190-biryuzovaya-137442/" , "1374.42 Футболка IMPERIAL 190 бирюзовая, размер M")</f>
      </c>
      <c r="C13348" s="4" t="n">
        <v>697.00</v>
      </c>
      <c r="D13348" s="4"/>
    </row>
    <row collapsed="" customFormat="false" customHeight="1" hidden="" ht="14" outlineLevel="0" r="13349">
      <c r="A13349" s="3" t="inlineStr">
        <is>
          <t>13305</t>
        </is>
      </c>
      <c r="B13349" s="4" t="s">
        <f>=HYPERLINK("http://anyluxury.ru/shop/odezhda/futbolki/futbolka-imperial-190-biryuzovaya-137442/" , "1374.42 Футболка IMPERIAL 190 бирюзовая, размер L")</f>
      </c>
      <c r="C13349" s="4" t="n">
        <v>697.00</v>
      </c>
      <c r="D13349" s="4"/>
    </row>
    <row collapsed="" customFormat="false" customHeight="1" hidden="" ht="14" outlineLevel="0" r="13350">
      <c r="A13350" s="3" t="inlineStr">
        <is>
          <t>13306</t>
        </is>
      </c>
      <c r="B13350" s="4" t="s">
        <f>=HYPERLINK("http://anyluxury.ru/shop/odezhda/futbolki/futbolka-imperial-190-biryuzovaya-137442/" , "1374.42 Футболка IMPERIAL 190 бирюзовая, размер XL")</f>
      </c>
      <c r="C13350" s="4" t="n">
        <v>697.00</v>
      </c>
      <c r="D13350" s="4"/>
    </row>
    <row collapsed="" customFormat="false" customHeight="1" hidden="" ht="14" outlineLevel="0" r="13351">
      <c r="A13351" s="3" t="inlineStr">
        <is>
          <t>13307</t>
        </is>
      </c>
      <c r="B13351" s="4" t="s">
        <f>=HYPERLINK("http://anyluxury.ru/shop/odezhda/futbolki/futbolka-imperial-190-biryuzovaya-137442/" , "1374.42 Футболка IMPERIAL 190 бирюзовая, размер XXL")</f>
      </c>
      <c r="C13351" s="4" t="n">
        <v>697.00</v>
      </c>
      <c r="D13351" s="4"/>
    </row>
    <row collapsed="" customFormat="false" customHeight="1" hidden="" ht="14" outlineLevel="0" r="13352">
      <c r="A13352" s="3" t="inlineStr">
        <is>
          <t>13308</t>
        </is>
      </c>
      <c r="B13352" s="4" t="s">
        <f>=HYPERLINK("http://anyluxury.ru/shop/odezhda/futbolki/futbolka-imperial-190-sinyaya-dzhins-137443/" , "1374.43 Футболка IMPERIAL 190 синяя (джинс), размер S")</f>
      </c>
      <c r="C13352" s="4" t="n">
        <v>697.00</v>
      </c>
      <c r="D13352" s="4"/>
    </row>
    <row collapsed="" customFormat="false" customHeight="1" hidden="" ht="14" outlineLevel="0" r="13353">
      <c r="A13353" s="3" t="inlineStr">
        <is>
          <t>13309</t>
        </is>
      </c>
      <c r="B13353" s="4" t="s">
        <f>=HYPERLINK("http://anyluxury.ru/shop/odezhda/futbolki/futbolka-imperial-190-sinyaya-dzhins-137443/" , "1374.43 Футболка IMPERIAL 190 синяя (джинс), размер M")</f>
      </c>
      <c r="C13353" s="4" t="n">
        <v>697.00</v>
      </c>
      <c r="D13353" s="4"/>
    </row>
    <row collapsed="" customFormat="false" customHeight="1" hidden="" ht="14" outlineLevel="0" r="13354">
      <c r="A13354" s="3" t="inlineStr">
        <is>
          <t>13310</t>
        </is>
      </c>
      <c r="B13354" s="4" t="s">
        <f>=HYPERLINK("http://anyluxury.ru/shop/odezhda/futbolki/futbolka-imperial-190-sinyaya-dzhins-137443/" , "1374.43 Футболка IMPERIAL 190 синяя (джинс), размер L")</f>
      </c>
      <c r="C13354" s="4" t="n">
        <v>697.00</v>
      </c>
      <c r="D13354" s="4"/>
    </row>
    <row collapsed="" customFormat="false" customHeight="1" hidden="" ht="14" outlineLevel="0" r="13355">
      <c r="A13355" s="3" t="inlineStr">
        <is>
          <t>13311</t>
        </is>
      </c>
      <c r="B13355" s="4" t="s">
        <f>=HYPERLINK("http://anyluxury.ru/shop/odezhda/futbolki/futbolka-imperial-190-sinyaya-dzhins-137443/" , "1374.43 Футболка IMPERIAL 190 синяя (джинс), размер XL")</f>
      </c>
      <c r="C13355" s="4" t="n">
        <v>697.00</v>
      </c>
      <c r="D13355" s="4"/>
    </row>
    <row collapsed="" customFormat="false" customHeight="1" hidden="" ht="14" outlineLevel="0" r="13356">
      <c r="A13356" s="3" t="inlineStr">
        <is>
          <t>13312</t>
        </is>
      </c>
      <c r="B13356" s="4" t="s">
        <f>=HYPERLINK("http://anyluxury.ru/shop/odezhda/futbolki/futbolka-imperial-190-sinyaya-dzhins-137443/" , "1374.43 Футболка IMPERIAL 190 синяя (джинс), размер XXL")</f>
      </c>
      <c r="C13356" s="4" t="n">
        <v>697.00</v>
      </c>
      <c r="D13356" s="4"/>
    </row>
    <row collapsed="" customFormat="false" customHeight="1" hidden="" ht="14" outlineLevel="0" r="13357">
      <c r="A13357" s="3" t="inlineStr">
        <is>
          <t>13313</t>
        </is>
      </c>
      <c r="B13357" s="4" t="s">
        <f>=HYPERLINK("http://anyluxury.ru/shop/odezhda/futbolki/futbolka-imperial-190-sinyaya-dzhins-137443/" , "1374.43 Футболка IMPERIAL 190 синяя (джинс), размер 3XL")</f>
      </c>
      <c r="C13357" s="4" t="n">
        <v>820.00</v>
      </c>
      <c r="D13357" s="4"/>
    </row>
    <row collapsed="" customFormat="false" customHeight="1" hidden="" ht="14" outlineLevel="0" r="13358">
      <c r="A13358" s="3" t="inlineStr">
        <is>
          <t>13314</t>
        </is>
      </c>
      <c r="B13358" s="4" t="s">
        <f>=HYPERLINK("http://anyluxury.ru/shop/odezhda/futbolki/futbolka-imperial-190-sinyaya-dzhins-137443/" , "1374.43 Футболка IMPERIAL 190 синяя (джинс), размер 4XL")</f>
      </c>
      <c r="C13358" s="4" t="n">
        <v>1211.00</v>
      </c>
      <c r="D13358" s="4"/>
    </row>
    <row collapsed="" customFormat="false" customHeight="1" hidden="" ht="14" outlineLevel="0" r="13359">
      <c r="A13359" s="3" t="inlineStr">
        <is>
          <t>13315</t>
        </is>
      </c>
      <c r="B13359" s="4" t="s">
        <f>=HYPERLINK("http://anyluxury.ru/shop/odezhda/futbolki/futbolka-imperial-190-sinyaya-dzhins-137443/" , "1374.43 Футболка IMPERIAL 190 синяя (джинс), размер 5XL")</f>
      </c>
      <c r="C13359" s="4" t="n">
        <v>1211.00</v>
      </c>
      <c r="D13359" s="4"/>
    </row>
    <row collapsed="" customFormat="false" customHeight="1" hidden="" ht="14" outlineLevel="0" r="13360">
      <c r="A13360" s="3" t="inlineStr">
        <is>
          <t>13316</t>
        </is>
      </c>
      <c r="B13360" s="4" t="s">
        <f>=HYPERLINK("http://anyluxury.ru/shop/odezhda/futbolki/futbolka-imperial-190-svetlobezhevaya-137461/" , "1374.61 Футболка IMPERIAL 190 светло-бежевая, размер S")</f>
      </c>
      <c r="C13360" s="4" t="n">
        <v>697.00</v>
      </c>
      <c r="D13360" s="4"/>
    </row>
    <row collapsed="" customFormat="false" customHeight="1" hidden="" ht="14" outlineLevel="0" r="13361">
      <c r="A13361" s="3" t="inlineStr">
        <is>
          <t>13317</t>
        </is>
      </c>
      <c r="B13361" s="4" t="s">
        <f>=HYPERLINK("http://anyluxury.ru/shop/odezhda/futbolki/futbolka-imperial-190-svetlobezhevaya-137461/" , "1374.61 Футболка IMPERIAL 190 светло-бежевая, размер M")</f>
      </c>
      <c r="C13361" s="4" t="n">
        <v>697.00</v>
      </c>
      <c r="D13361" s="4"/>
    </row>
    <row collapsed="" customFormat="false" customHeight="1" hidden="" ht="14" outlineLevel="0" r="13362">
      <c r="A13362" s="3" t="inlineStr">
        <is>
          <t>13318</t>
        </is>
      </c>
      <c r="B13362" s="4" t="s">
        <f>=HYPERLINK("http://anyluxury.ru/shop/odezhda/futbolki/futbolka-imperial-190-svetlobezhevaya-137461/" , "1374.61 Футболка IMPERIAL 190 светло-бежевая, размер L")</f>
      </c>
      <c r="C13362" s="4" t="n">
        <v>697.00</v>
      </c>
      <c r="D13362" s="4"/>
    </row>
    <row collapsed="" customFormat="false" customHeight="1" hidden="" ht="14" outlineLevel="0" r="13363">
      <c r="A13363" s="3" t="inlineStr">
        <is>
          <t>13319</t>
        </is>
      </c>
      <c r="B13363" s="4" t="s">
        <f>=HYPERLINK("http://anyluxury.ru/shop/odezhda/futbolki/futbolka-imperial-190-svetlobezhevaya-137461/" , "1374.61 Футболка IMPERIAL 190 светло-бежевая, размер XL")</f>
      </c>
      <c r="C13363" s="4" t="n">
        <v>697.00</v>
      </c>
      <c r="D13363" s="4"/>
    </row>
    <row collapsed="" customFormat="false" customHeight="1" hidden="" ht="14" outlineLevel="0" r="13364">
      <c r="A13364" s="3" t="inlineStr">
        <is>
          <t>13320</t>
        </is>
      </c>
      <c r="B13364" s="4" t="s">
        <f>=HYPERLINK("http://anyluxury.ru/shop/odezhda/futbolki/futbolka-imperial-190-svetlobezhevaya-137461/" , "1374.61 Футболка IMPERIAL 190 светло-бежевая, размер XXL")</f>
      </c>
      <c r="C13364" s="4" t="n">
        <v>697.00</v>
      </c>
      <c r="D13364" s="4"/>
    </row>
    <row collapsed="" customFormat="false" customHeight="1" hidden="" ht="14" outlineLevel="0" r="13365">
      <c r="A13365" s="3" t="inlineStr">
        <is>
          <t>13321</t>
        </is>
      </c>
      <c r="B13365" s="4" t="s">
        <f>=HYPERLINK("http://anyluxury.ru/shop/odezhda/futbolki/futbolka-imperial-190-temnofioletovaya-137478/" , "1374.78 Футболка IMPERIAL 190 темно-фиолетовая, размер XS")</f>
      </c>
      <c r="C13365" s="4" t="n">
        <v>697.00</v>
      </c>
      <c r="D13365" s="4"/>
    </row>
    <row collapsed="" customFormat="false" customHeight="1" hidden="" ht="14" outlineLevel="0" r="13366">
      <c r="A13366" s="3" t="inlineStr">
        <is>
          <t>13322</t>
        </is>
      </c>
      <c r="B13366" s="4" t="s">
        <f>=HYPERLINK("http://anyluxury.ru/shop/odezhda/futbolki/futbolka-imperial-190-temnofioletovaya-137478/" , "1374.78 Футболка IMPERIAL 190 темно-фиолетовая, размер L")</f>
      </c>
      <c r="C13366" s="4" t="n">
        <v>697.00</v>
      </c>
      <c r="D13366" s="4"/>
    </row>
    <row collapsed="" customFormat="false" customHeight="1" hidden="" ht="14" outlineLevel="0" r="13367">
      <c r="A13367" s="3" t="inlineStr">
        <is>
          <t>13323</t>
        </is>
      </c>
      <c r="B13367" s="4" t="s">
        <f>=HYPERLINK("http://anyluxury.ru/shop/odezhda/futbolki/futbolka-imperial-190-temnofioletovaya-137478/" , "1374.78 Футболка IMPERIAL 190 темно-фиолетовая, размер XL")</f>
      </c>
      <c r="C13367" s="4" t="n">
        <v>697.00</v>
      </c>
      <c r="D13367" s="4"/>
    </row>
    <row collapsed="" customFormat="false" customHeight="1" hidden="" ht="14" outlineLevel="0" r="13368">
      <c r="A13368" s="3" t="inlineStr">
        <is>
          <t>13324</t>
        </is>
      </c>
      <c r="B13368" s="4" t="s">
        <f>=HYPERLINK("http://anyluxury.ru/shop/odezhda/futbolki/futbolka-imperial-190-temnofioletovaya-137478/" , "1374.78 Футболка IMPERIAL 190 темно-фиолетовая, размер XXL")</f>
      </c>
      <c r="C13368" s="4" t="n">
        <v>697.00</v>
      </c>
      <c r="D13368" s="4"/>
    </row>
    <row collapsed="" customFormat="false" customHeight="1" hidden="" ht="14" outlineLevel="0" r="13369">
      <c r="A13369" s="3" t="inlineStr">
        <is>
          <t>13325</t>
        </is>
      </c>
      <c r="B13369" s="4" t="s">
        <f>=HYPERLINK("http://anyluxury.ru/shop/odezhda/futbolki/futbolka-imperial-190-yarkozelenaya-137492/" , "1374.92 Футболка IMPERIAL 190 ярко-зеленая, размер XS")</f>
      </c>
      <c r="C13369" s="4" t="n">
        <v>697.00</v>
      </c>
      <c r="D13369" s="4"/>
    </row>
    <row collapsed="" customFormat="false" customHeight="1" hidden="" ht="14" outlineLevel="0" r="13370">
      <c r="A13370" s="3" t="inlineStr">
        <is>
          <t>13326</t>
        </is>
      </c>
      <c r="B13370" s="4" t="s">
        <f>=HYPERLINK("http://anyluxury.ru/shop/odezhda/futbolki/futbolka-imperial-190-yarkozelenaya-137492/" , "1374.92 Футболка IMPERIAL 190 ярко-зеленая, размер S")</f>
      </c>
      <c r="C13370" s="4" t="n">
        <v>697.00</v>
      </c>
      <c r="D13370" s="4"/>
    </row>
    <row collapsed="" customFormat="false" customHeight="1" hidden="" ht="14" outlineLevel="0" r="13371">
      <c r="A13371" s="3" t="inlineStr">
        <is>
          <t>13327</t>
        </is>
      </c>
      <c r="B13371" s="4" t="s">
        <f>=HYPERLINK("http://anyluxury.ru/shop/odezhda/futbolki/futbolka-imperial-190-yarkozelenaya-137492/" , "1374.92 Футболка IMPERIAL 190 ярко-зеленая, размер M")</f>
      </c>
      <c r="C13371" s="4" t="n">
        <v>697.00</v>
      </c>
      <c r="D13371" s="4"/>
    </row>
    <row collapsed="" customFormat="false" customHeight="1" hidden="" ht="14" outlineLevel="0" r="13372">
      <c r="A13372" s="3" t="inlineStr">
        <is>
          <t>13328</t>
        </is>
      </c>
      <c r="B13372" s="4" t="s">
        <f>=HYPERLINK("http://anyluxury.ru/shop/odezhda/futbolki/futbolka-imperial-190-yarkozelenaya-137492/" , "1374.92 Футболка IMPERIAL 190 ярко-зеленая, размер L")</f>
      </c>
      <c r="C13372" s="4" t="n">
        <v>697.00</v>
      </c>
      <c r="D13372" s="4"/>
    </row>
    <row collapsed="" customFormat="false" customHeight="1" hidden="" ht="14" outlineLevel="0" r="13373">
      <c r="A13373" s="3" t="inlineStr">
        <is>
          <t>13329</t>
        </is>
      </c>
      <c r="B13373" s="4" t="s">
        <f>=HYPERLINK("http://anyluxury.ru/shop/odezhda/futbolki/futbolka-imperial-190-yarkozelenaya-137492/" , "1374.92 Футболка IMPERIAL 190 ярко-зеленая, размер XL")</f>
      </c>
      <c r="C13373" s="4" t="n">
        <v>697.00</v>
      </c>
      <c r="D13373" s="4"/>
    </row>
    <row collapsed="" customFormat="false" customHeight="1" hidden="" ht="14" outlineLevel="0" r="13374">
      <c r="A13374" s="3" t="inlineStr">
        <is>
          <t>13330</t>
        </is>
      </c>
      <c r="B13374" s="4" t="s">
        <f>=HYPERLINK("http://anyluxury.ru/shop/odezhda/futbolki/futbolka-imperial-190-yarkozelenaya-137492/" , "1374.92 Футболка IMPERIAL 190 ярко-зеленая, размер XXL")</f>
      </c>
      <c r="C13374" s="4" t="n">
        <v>697.00</v>
      </c>
      <c r="D13374" s="4"/>
    </row>
    <row collapsed="" customFormat="false" customHeight="1" hidden="" ht="14" outlineLevel="0" r="13375">
      <c r="A13375" s="3" t="inlineStr">
        <is>
          <t>13331</t>
        </is>
      </c>
      <c r="B13375" s="4" t="s">
        <f>=HYPERLINK("http://anyluxury.ru/shop/odezhda/futbolki/futbolka-imperial-190-yarkozelenaya-137492/" , "1374.92 Футболка Imperial 190, ярко-зеленая, размер 3XL")</f>
      </c>
      <c r="C13375" s="4" t="n">
        <v>820.00</v>
      </c>
      <c r="D13375" s="4"/>
    </row>
    <row collapsed="" customFormat="false" customHeight="1" hidden="" ht="14" outlineLevel="0" r="13376">
      <c r="A13376" s="3" t="inlineStr">
        <is>
          <t>13332</t>
        </is>
      </c>
      <c r="B13376" s="4" t="s">
        <f>=HYPERLINK("http://anyluxury.ru/shop/odezhda/futbolki/futbolka-imperial-190-yarkozelenaya-137492/" , "1374.92 Футболка Imperial 190, ярко-зеленая, размер 4XL")</f>
      </c>
      <c r="C13376" s="4" t="n">
        <v>1211.00</v>
      </c>
      <c r="D13376" s="4"/>
    </row>
    <row collapsed="" customFormat="false" customHeight="1" hidden="" ht="14" outlineLevel="0" r="13377">
      <c r="A13377" s="3" t="inlineStr">
        <is>
          <t>13333</t>
        </is>
      </c>
      <c r="B13377" s="4" t="s">
        <f>=HYPERLINK("http://anyluxury.ru/shop/odezhda/futbolki/futbolka-imperial-190-yarkozelenaya-137492/" , "1374.92 Футболка Imperial 190, ярко-зеленая, размер 5XL")</f>
      </c>
      <c r="C13377" s="4" t="n">
        <v>1211.00</v>
      </c>
      <c r="D13377" s="4"/>
    </row>
    <row collapsed="" customFormat="false" customHeight="1" hidden="" ht="14" outlineLevel="0" r="13378">
      <c r="A13378" s="3" t="inlineStr">
        <is>
          <t>13334</t>
        </is>
      </c>
      <c r="B13378" s="4" t="s">
        <f>=HYPERLINK("http://anyluxury.ru/shop/odezhda/futbolki/futbolka-imperial-190-temniy-haki-137498/" , "1374.98 Футболка IMPERIAL 190 темный хаки, размер S")</f>
      </c>
      <c r="C13378" s="4" t="n">
        <v>697.00</v>
      </c>
      <c r="D13378" s="4"/>
    </row>
    <row collapsed="" customFormat="false" customHeight="1" hidden="" ht="14" outlineLevel="0" r="13379">
      <c r="A13379" s="3" t="inlineStr">
        <is>
          <t>13335</t>
        </is>
      </c>
      <c r="B13379" s="4" t="s">
        <f>=HYPERLINK("http://anyluxury.ru/shop/odezhda/futbolki/futbolka-imperial-190-temniy-haki-137498/" , "1374.98 Футболка IMPERIAL 190 темный хаки, размер M")</f>
      </c>
      <c r="C13379" s="4" t="n">
        <v>697.00</v>
      </c>
      <c r="D13379" s="4"/>
    </row>
    <row collapsed="" customFormat="false" customHeight="1" hidden="" ht="14" outlineLevel="0" r="13380">
      <c r="A13380" s="3" t="inlineStr">
        <is>
          <t>13336</t>
        </is>
      </c>
      <c r="B13380" s="4" t="s">
        <f>=HYPERLINK("http://anyluxury.ru/shop/odezhda/futbolki/futbolka-imperial-190-temniy-haki-137498/" , "1374.98 Футболка IMPERIAL 190 темный хаки, размер L")</f>
      </c>
      <c r="C13380" s="4" t="n">
        <v>697.00</v>
      </c>
      <c r="D13380" s="4"/>
    </row>
    <row collapsed="" customFormat="false" customHeight="1" hidden="" ht="14" outlineLevel="0" r="13381">
      <c r="A13381" s="3" t="inlineStr">
        <is>
          <t>13337</t>
        </is>
      </c>
      <c r="B13381" s="4" t="s">
        <f>=HYPERLINK("http://anyluxury.ru/shop/odezhda/futbolki/futbolka-imperial-190-temniy-haki-137498/" , "1374.98 Футболка IMPERIAL 190 темный хаки, размер XXL")</f>
      </c>
      <c r="C13381" s="4" t="n">
        <v>697.00</v>
      </c>
      <c r="D13381" s="4"/>
    </row>
    <row collapsed="" customFormat="false" customHeight="1" hidden="" ht="14" outlineLevel="0" r="13382">
      <c r="A13382" s="3" t="inlineStr">
        <is>
          <t>13338</t>
        </is>
      </c>
      <c r="B13382" s="4" t="s">
        <f>=HYPERLINK("http://anyluxury.ru/shop/odezhda/futbolki/futbolka-imperial-190-temniy-haki-137498/" , "1374.98 Футболка Imperial 190, темный хаки, размер 3XL")</f>
      </c>
      <c r="C13382" s="4" t="n">
        <v>820.00</v>
      </c>
      <c r="D13382" s="4"/>
    </row>
    <row collapsed="" customFormat="false" customHeight="1" hidden="" ht="14" outlineLevel="0" r="13383">
      <c r="A13383" s="3" t="inlineStr">
        <is>
          <t>13339</t>
        </is>
      </c>
      <c r="B13383" s="4" t="s">
        <f>=HYPERLINK("http://anyluxury.ru/shop/odezhda/futbolki/futbolka-zhenskaya-imperial-women-190-golubaya-608314/" , "6083.14 Футболка женская Imperial women 190 голубая, размер S")</f>
      </c>
      <c r="C13383" s="4" t="n">
        <v>697.00</v>
      </c>
      <c r="D13383" s="4"/>
    </row>
    <row collapsed="" customFormat="false" customHeight="1" hidden="" ht="14" outlineLevel="0" r="13384">
      <c r="A13384" s="3" t="inlineStr">
        <is>
          <t>13340</t>
        </is>
      </c>
      <c r="B13384" s="4" t="s">
        <f>=HYPERLINK("http://anyluxury.ru/shop/odezhda/futbolki/futbolka-zhenskaya-imperial-women-190-golubaya-608314/" , "6083.14 Футболка женская Imperial women 190 голубая, размер M")</f>
      </c>
      <c r="C13384" s="4" t="n">
        <v>697.00</v>
      </c>
      <c r="D13384" s="4"/>
    </row>
    <row collapsed="" customFormat="false" customHeight="1" hidden="" ht="14" outlineLevel="0" r="13385">
      <c r="A13385" s="3" t="inlineStr">
        <is>
          <t>13341</t>
        </is>
      </c>
      <c r="B13385" s="4" t="s">
        <f>=HYPERLINK("http://anyluxury.ru/shop/odezhda/futbolki/futbolka-zhenskaya-imperial-women-190-golubaya-608314/" , "6083.14 Футболка женская Imperial women 190 голубая, размер L")</f>
      </c>
      <c r="C13385" s="4" t="n">
        <v>697.00</v>
      </c>
      <c r="D13385" s="4"/>
    </row>
    <row collapsed="" customFormat="false" customHeight="1" hidden="" ht="14" outlineLevel="0" r="13386">
      <c r="A13386" s="3" t="inlineStr">
        <is>
          <t>13342</t>
        </is>
      </c>
      <c r="B13386" s="4" t="s">
        <f>=HYPERLINK("http://anyluxury.ru/shop/odezhda/futbolki/futbolka-zhenskaya-imperial-women-190-golubaya-608314/" , "6083.14 Футболка женская Imperial women 190 голубая, размер XL")</f>
      </c>
      <c r="C13386" s="4" t="n">
        <v>697.00</v>
      </c>
      <c r="D13386" s="4"/>
    </row>
    <row collapsed="" customFormat="false" customHeight="1" hidden="" ht="14" outlineLevel="0" r="13387">
      <c r="A13387" s="3" t="inlineStr">
        <is>
          <t>13343</t>
        </is>
      </c>
      <c r="B13387" s="4" t="s">
        <f>=HYPERLINK("http://anyluxury.ru/shop/odezhda/futbolki/futbolka-zhenskaya-imperial-women-190-golubaya-608314/" , "6083.14 Футболка женская Imperial women 190 голубая, размер XXL")</f>
      </c>
      <c r="C13387" s="4" t="n">
        <v>697.00</v>
      </c>
      <c r="D13387" s="4"/>
    </row>
    <row collapsed="" customFormat="false" customHeight="1" hidden="" ht="14" outlineLevel="0" r="13388">
      <c r="A13388" s="3" t="inlineStr">
        <is>
          <t>13344</t>
        </is>
      </c>
      <c r="B13388" s="4" t="s">
        <f>=HYPERLINK("http://anyluxury.ru/shop/odezhda/futbolki/futbolka-zhenskaya-imperial-women-190-yarkorozovaya-fuksiya-608357/" , "6083.57 Футболка женская Imperial women 190 ярко-розовая (фуксия), размер S")</f>
      </c>
      <c r="C13388" s="4" t="n">
        <v>697.00</v>
      </c>
      <c r="D13388" s="4"/>
    </row>
    <row collapsed="" customFormat="false" customHeight="1" hidden="" ht="14" outlineLevel="0" r="13389">
      <c r="A13389" s="3" t="inlineStr">
        <is>
          <t>13345</t>
        </is>
      </c>
      <c r="B13389" s="4" t="s">
        <f>=HYPERLINK("http://anyluxury.ru/shop/odezhda/futbolki/futbolka-zhenskaya-imperial-women-190-yarkorozovaya-fuksiya-608357/" , "6083.57 Футболка женская Imperial women 190 ярко-розовая (фуксия), размер M")</f>
      </c>
      <c r="C13389" s="4" t="n">
        <v>697.00</v>
      </c>
      <c r="D13389" s="4"/>
    </row>
    <row collapsed="" customFormat="false" customHeight="1" hidden="" ht="14" outlineLevel="0" r="13390">
      <c r="A13390" s="3" t="inlineStr">
        <is>
          <t>13346</t>
        </is>
      </c>
      <c r="B13390" s="4" t="s">
        <f>=HYPERLINK("http://anyluxury.ru/shop/odezhda/futbolki/futbolka-zhenskaya-imperial-women-190-yarkorozovaya-fuksiya-608357/" , "6083.57 Футболка женская Imperial women 190 ярко-розовая (фуксия), размер L")</f>
      </c>
      <c r="C13390" s="4" t="n">
        <v>697.00</v>
      </c>
      <c r="D13390" s="4"/>
    </row>
    <row collapsed="" customFormat="false" customHeight="1" hidden="" ht="14" outlineLevel="0" r="13391">
      <c r="A13391" s="3" t="inlineStr">
        <is>
          <t>13347</t>
        </is>
      </c>
      <c r="B13391" s="4" t="s">
        <f>=HYPERLINK("http://anyluxury.ru/shop/odezhda/futbolki/futbolka-zhenskaya-imperial-women-190-yarkorozovaya-fuksiya-608357/" , "6083.57 Футболка женская Imperial women 190 ярко-розовая (фуксия), размер XL")</f>
      </c>
      <c r="C13391" s="4" t="n">
        <v>697.00</v>
      </c>
      <c r="D13391" s="4"/>
    </row>
    <row collapsed="" customFormat="false" customHeight="1" hidden="" ht="14" outlineLevel="0" r="13392">
      <c r="A13392" s="3" t="inlineStr">
        <is>
          <t>13348</t>
        </is>
      </c>
      <c r="B13392" s="4" t="s">
        <f>=HYPERLINK("http://anyluxury.ru/shop/odezhda/futbolki/futbolka-zhenskaya-imperial-women-190-yarkorozovaya-fuksiya-608357/" , "6083.57 Футболка женская Imperial women 190 ярко-розовая (фуксия), размер XXL")</f>
      </c>
      <c r="C13392" s="4" t="n">
        <v>697.00</v>
      </c>
      <c r="D13392" s="4"/>
    </row>
    <row collapsed="" customFormat="false" customHeight="1" hidden="" ht="14" outlineLevel="0" r="13393">
      <c r="A13393" s="3" t="inlineStr">
        <is>
          <t>13349</t>
        </is>
      </c>
      <c r="B13393" s="4" t="s">
        <f>=HYPERLINK("http://anyluxury.ru/shop/odezhda/futbolki/futbolka-zhenskaya-imperial-women-190-shokoladnokorichnevaya-608359/" , "6083.59 Футболка женская Imperial women 190 шоколадно-коричневая, размер S")</f>
      </c>
      <c r="C13393" s="4" t="n">
        <v>697.00</v>
      </c>
      <c r="D13393" s="4"/>
    </row>
    <row collapsed="" customFormat="false" customHeight="1" hidden="" ht="14" outlineLevel="0" r="13394">
      <c r="A13394" s="3" t="inlineStr">
        <is>
          <t>13350</t>
        </is>
      </c>
      <c r="B13394" s="4" t="s">
        <f>=HYPERLINK("http://anyluxury.ru/shop/odezhda/futbolki/futbolka-zhenskaya-imperial-women-190-shokoladnokorichnevaya-608359/" , "6083.59 Футболка женская Imperial women 190 шоколадно-коричневая, размер M")</f>
      </c>
      <c r="C13394" s="4" t="n">
        <v>697.00</v>
      </c>
      <c r="D13394" s="4"/>
    </row>
    <row collapsed="" customFormat="false" customHeight="1" hidden="" ht="14" outlineLevel="0" r="13395">
      <c r="A13395" s="3" t="inlineStr">
        <is>
          <t>13351</t>
        </is>
      </c>
      <c r="B13395" s="4" t="s">
        <f>=HYPERLINK("http://anyluxury.ru/shop/odezhda/futbolki/futbolka-zhenskaya-imperial-women-190-shokoladnokorichnevaya-608359/" , "6083.59 Футболка женская Imperial women 190 шоколадно-коричневая, размер L")</f>
      </c>
      <c r="C13395" s="4" t="n">
        <v>697.00</v>
      </c>
      <c r="D13395" s="4"/>
    </row>
    <row collapsed="" customFormat="false" customHeight="1" hidden="" ht="14" outlineLevel="0" r="13396">
      <c r="A13396" s="3" t="inlineStr">
        <is>
          <t>13352</t>
        </is>
      </c>
      <c r="B13396" s="4" t="s">
        <f>=HYPERLINK("http://anyluxury.ru/shop/odezhda/futbolki/futbolka-zhenskaya-imperial-women-190-shokoladnokorichnevaya-608359/" , "6083.59 Футболка женская Imperial women 190 шоколадно-коричневая, размер XL")</f>
      </c>
      <c r="C13396" s="4" t="n">
        <v>697.00</v>
      </c>
      <c r="D13396" s="4"/>
    </row>
    <row collapsed="" customFormat="false" customHeight="1" hidden="" ht="14" outlineLevel="0" r="13397">
      <c r="A13397" s="3" t="inlineStr">
        <is>
          <t>13353</t>
        </is>
      </c>
      <c r="B13397" s="4" t="s">
        <f>=HYPERLINK("http://anyluxury.ru/shop/odezhda/futbolki/futbolka-zhenskaya-imperial-women-190-shokoladnokorichnevaya-608359/" , "6083.59 Футболка женская Imperial women 190 шоколадно-коричневая, размер XXL")</f>
      </c>
      <c r="C13397" s="4" t="n">
        <v>697.00</v>
      </c>
      <c r="D13397" s="4"/>
    </row>
    <row collapsed="" customFormat="false" customHeight="1" hidden="" ht="14" outlineLevel="0" r="13398">
      <c r="A13398" s="3" t="inlineStr">
        <is>
          <t>13354</t>
        </is>
      </c>
      <c r="B13398" s="4" t="s">
        <f>=HYPERLINK("http://anyluxury.ru/shop/odezhda/futbolki/futbolka-zhenskaya-imperial-women-190-temnofioletovaya-608378/" , "6083.78 Футболка женская Imperial women 190 темно-фиолетовая, размер S")</f>
      </c>
      <c r="C13398" s="4" t="n">
        <v>697.00</v>
      </c>
      <c r="D13398" s="4"/>
    </row>
    <row collapsed="" customFormat="false" customHeight="1" hidden="" ht="14" outlineLevel="0" r="13399">
      <c r="A13399" s="3" t="inlineStr">
        <is>
          <t>13355</t>
        </is>
      </c>
      <c r="B13399" s="4" t="s">
        <f>=HYPERLINK("http://anyluxury.ru/shop/odezhda/futbolki/futbolka-zhenskaya-imperial-women-190-temnofioletovaya-608378/" , "6083.78 Футболка женская Imperial women 190 темно-фиолетовая, размер M")</f>
      </c>
      <c r="C13399" s="4" t="n">
        <v>697.00</v>
      </c>
      <c r="D13399" s="4"/>
    </row>
    <row collapsed="" customFormat="false" customHeight="1" hidden="" ht="14" outlineLevel="0" r="13400">
      <c r="A13400" s="3" t="inlineStr">
        <is>
          <t>13356</t>
        </is>
      </c>
      <c r="B13400" s="4" t="s">
        <f>=HYPERLINK("http://anyluxury.ru/shop/odezhda/futbolki/futbolka-zhenskaya-imperial-women-190-temnofioletovaya-608378/" , "6083.78 Футболка женская Imperial women 190 темно-фиолетовая, размер L")</f>
      </c>
      <c r="C13400" s="4" t="n">
        <v>697.00</v>
      </c>
      <c r="D13400" s="4"/>
    </row>
    <row collapsed="" customFormat="false" customHeight="1" hidden="" ht="14" outlineLevel="0" r="13401">
      <c r="A13401" s="3" t="inlineStr">
        <is>
          <t>13357</t>
        </is>
      </c>
      <c r="B13401" s="4" t="s">
        <f>=HYPERLINK("http://anyluxury.ru/shop/odezhda/futbolki/futbolka-zhenskaya-imperial-women-190-temnofioletovaya-608378/" , "6083.78 Футболка женская Imperial women 190 темно-фиолетовая, размер XL")</f>
      </c>
      <c r="C13401" s="4" t="n">
        <v>697.00</v>
      </c>
      <c r="D13401" s="4"/>
    </row>
    <row collapsed="" customFormat="false" customHeight="1" hidden="" ht="14" outlineLevel="0" r="13402">
      <c r="A13402" s="3" t="inlineStr">
        <is>
          <t>13358</t>
        </is>
      </c>
      <c r="B13402" s="4" t="s">
        <f>=HYPERLINK("http://anyluxury.ru/shop/odezhda/futbolki/futbolka-zhenskaya-imperial-women-190-temnofioletovaya-608378/" , "6083.78 Футболка женская Imperial women 190 темно-фиолетовая, размер XXL")</f>
      </c>
      <c r="C13402" s="4" t="n">
        <v>697.00</v>
      </c>
      <c r="D13402" s="4"/>
    </row>
    <row collapsed="" customFormat="false" customHeight="1" hidden="" ht="14" outlineLevel="0" r="13403">
      <c r="A13403" s="3" t="inlineStr">
        <is>
          <t>13359</t>
        </is>
      </c>
      <c r="B13403" s="4" t="s">
        <f>=HYPERLINK("http://anyluxury.ru/shop/odezhda/futbolki/futbolka-zhenskaya-imperial-women-190-haki-608399/" , "6083.99 Футболка женская Imperial women 190 хаки, размер S")</f>
      </c>
      <c r="C13403" s="4" t="n">
        <v>697.00</v>
      </c>
      <c r="D13403" s="4"/>
    </row>
    <row collapsed="" customFormat="false" customHeight="1" hidden="" ht="14" outlineLevel="0" r="13404">
      <c r="A13404" s="3" t="inlineStr">
        <is>
          <t>13360</t>
        </is>
      </c>
      <c r="B13404" s="4" t="s">
        <f>=HYPERLINK("http://anyluxury.ru/shop/odezhda/futbolki/futbolka-zhenskaya-imperial-women-190-haki-608399/" , "6083.99 Футболка женская Imperial women 190 хаки, размер M")</f>
      </c>
      <c r="C13404" s="4" t="n">
        <v>697.00</v>
      </c>
      <c r="D13404" s="4"/>
    </row>
    <row collapsed="" customFormat="false" customHeight="1" hidden="" ht="14" outlineLevel="0" r="13405">
      <c r="A13405" s="3" t="inlineStr">
        <is>
          <t>13361</t>
        </is>
      </c>
      <c r="B13405" s="4" t="s">
        <f>=HYPERLINK("http://anyluxury.ru/shop/odezhda/futbolki/futbolka-zhenskaya-imperial-women-190-haki-608399/" , "6083.99 Футболка женская Imperial women 190 хаки, размер L")</f>
      </c>
      <c r="C13405" s="4" t="n">
        <v>697.00</v>
      </c>
      <c r="D13405" s="4"/>
    </row>
    <row collapsed="" customFormat="false" customHeight="1" hidden="" ht="14" outlineLevel="0" r="13406">
      <c r="A13406" s="3" t="inlineStr">
        <is>
          <t>13362</t>
        </is>
      </c>
      <c r="B13406" s="4" t="s">
        <f>=HYPERLINK("http://anyluxury.ru/shop/odezhda/futbolki/futbolka-zhenskaya-imperial-women-190-haki-608399/" , "6083.99 Футболка женская Imperial women 190 хаки, размер XL")</f>
      </c>
      <c r="C13406" s="4" t="n">
        <v>697.00</v>
      </c>
      <c r="D13406" s="4"/>
    </row>
    <row collapsed="" customFormat="false" customHeight="1" hidden="" ht="14" outlineLevel="0" r="13407">
      <c r="A13407" s="3" t="inlineStr">
        <is>
          <t>13363</t>
        </is>
      </c>
      <c r="B13407" s="4" t="s">
        <f>=HYPERLINK("http://anyluxury.ru/shop/odezhda/futbolki/futbolka-zhenskaya-imperial-women-190-haki-608399/" , "6083.99 Футболка женская Imperial women 190 хаки, размер XXL")</f>
      </c>
      <c r="C13407" s="4" t="n">
        <v>697.00</v>
      </c>
      <c r="D13407" s="4"/>
    </row>
    <row collapsed="" customFormat="false" customHeight="1" hidden="" ht="14" outlineLevel="0" r="13408">
      <c r="A13408" s="3" t="inlineStr">
        <is>
          <t>13364</t>
        </is>
      </c>
      <c r="B13408" s="4" t="s">
        <f>=HYPERLINK("http://anyluxury.ru/shop/odezhda/futbolki/mayka-zhenskaya-jane-150-oranzhevaya-480420/" , "4804.20 Майка женская Jane 150 оранжевая, размер S")</f>
      </c>
      <c r="C13408" s="4" t="n">
        <v>800.00</v>
      </c>
      <c r="D13408" s="4"/>
    </row>
    <row collapsed="" customFormat="false" customHeight="1" hidden="" ht="14" outlineLevel="0" r="13409">
      <c r="A13409" s="3" t="inlineStr">
        <is>
          <t>13365</t>
        </is>
      </c>
      <c r="B13409" s="4" t="s">
        <f>=HYPERLINK("http://anyluxury.ru/shop/odezhda/futbolki/mayka-zhenskaya-jane-150-oranzhevaya-480420/" , "4804.20 Майка женская Jane 150 оранжевая, размер M")</f>
      </c>
      <c r="C13409" s="4" t="n">
        <v>800.00</v>
      </c>
      <c r="D13409" s="4"/>
    </row>
    <row collapsed="" customFormat="false" customHeight="1" hidden="" ht="14" outlineLevel="0" r="13410">
      <c r="A13410" s="3" t="inlineStr">
        <is>
          <t>13366</t>
        </is>
      </c>
      <c r="B13410" s="4" t="s">
        <f>=HYPERLINK("http://anyluxury.ru/shop/odezhda/futbolki/mayka-zhenskaya-jane-150-oranzhevaya-480420/" , "4804.20 Майка женская Jane 150 оранжевая, размер L")</f>
      </c>
      <c r="C13410" s="4" t="n">
        <v>800.00</v>
      </c>
      <c r="D13410" s="4"/>
    </row>
    <row collapsed="" customFormat="false" customHeight="1" hidden="" ht="14" outlineLevel="0" r="13411">
      <c r="A13411" s="3" t="inlineStr">
        <is>
          <t>13367</t>
        </is>
      </c>
      <c r="B13411" s="4" t="s">
        <f>=HYPERLINK("http://anyluxury.ru/shop/odezhda/futbolki/mayka-zhenskaya-jane-150-oranzhevaya-480420/" , "4804.20 Майка женская Jane 150 оранжевая, размер XL")</f>
      </c>
      <c r="C13411" s="4" t="n">
        <v>800.00</v>
      </c>
      <c r="D13411" s="4"/>
    </row>
    <row collapsed="" customFormat="false" customHeight="1" hidden="" ht="14" outlineLevel="0" r="13412">
      <c r="A13412" s="3" t="inlineStr">
        <is>
          <t>13368</t>
        </is>
      </c>
      <c r="B13412" s="4" t="s">
        <f>=HYPERLINK("http://anyluxury.ru/shop/odezhda/futbolki/mayka-zhenskaya-jane-150-zheltaya-limonnaya-480489/" , "4804.89 Майка женская Jane 150 желтая (лимонная), размер S")</f>
      </c>
      <c r="C13412" s="4" t="n">
        <v>800.00</v>
      </c>
      <c r="D13412" s="4"/>
    </row>
    <row collapsed="" customFormat="false" customHeight="1" hidden="" ht="14" outlineLevel="0" r="13413">
      <c r="A13413" s="3" t="inlineStr">
        <is>
          <t>13369</t>
        </is>
      </c>
      <c r="B13413" s="4" t="s">
        <f>=HYPERLINK("http://anyluxury.ru/shop/odezhda/futbolki/mayka-zhenskaya-jane-150-zheltaya-limonnaya-480489/" , "4804.89 Майка женская Jane 150 желтая (лимонная), размер M")</f>
      </c>
      <c r="C13413" s="4" t="n">
        <v>800.00</v>
      </c>
      <c r="D13413" s="4"/>
    </row>
    <row collapsed="" customFormat="false" customHeight="1" hidden="" ht="14" outlineLevel="0" r="13414">
      <c r="A13414" s="3" t="inlineStr">
        <is>
          <t>13370</t>
        </is>
      </c>
      <c r="B13414" s="4" t="s">
        <f>=HYPERLINK("http://anyluxury.ru/shop/odezhda/futbolki/mayka-zhenskaya-jane-150-zheltaya-limonnaya-480489/" , "4804.89 Майка женская Jane 150 желтая (лимонная), размер L")</f>
      </c>
      <c r="C13414" s="4" t="n">
        <v>800.00</v>
      </c>
      <c r="D13414" s="4"/>
    </row>
    <row collapsed="" customFormat="false" customHeight="1" hidden="" ht="14" outlineLevel="0" r="13415">
      <c r="A13415" s="3" t="inlineStr">
        <is>
          <t>13371</t>
        </is>
      </c>
      <c r="B13415" s="4" t="s">
        <f>=HYPERLINK("http://anyluxury.ru/shop/odezhda/futbolki/mayka-zhenskaya-jane-150-zheltaya-limonnaya-480489/" , "4804.89 Майка женская Jane 150 желтая (лимонная), размер XL")</f>
      </c>
      <c r="C13415" s="4" t="n">
        <v>800.00</v>
      </c>
      <c r="D13415" s="4"/>
    </row>
    <row collapsed="" customFormat="false" customHeight="1" hidden="" ht="14" outlineLevel="0" r="13416">
      <c r="A13416" s="3" t="inlineStr">
        <is>
          <t>13372</t>
        </is>
      </c>
      <c r="B13416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S")</f>
      </c>
      <c r="C13416" s="4" t="n">
        <v>892.00</v>
      </c>
      <c r="D13416" s="4"/>
    </row>
    <row collapsed="" customFormat="false" customHeight="1" hidden="" ht="14" outlineLevel="0" r="13417">
      <c r="A13417" s="3" t="inlineStr">
        <is>
          <t>13373</t>
        </is>
      </c>
      <c r="B13417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M")</f>
      </c>
      <c r="C13417" s="4" t="n">
        <v>892.00</v>
      </c>
      <c r="D13417" s="4"/>
    </row>
    <row collapsed="" customFormat="false" customHeight="1" hidden="" ht="14" outlineLevel="0" r="13418">
      <c r="A13418" s="3" t="inlineStr">
        <is>
          <t>13374</t>
        </is>
      </c>
      <c r="B13418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L")</f>
      </c>
      <c r="C13418" s="4" t="n">
        <v>892.00</v>
      </c>
      <c r="D13418" s="4"/>
    </row>
    <row collapsed="" customFormat="false" customHeight="1" hidden="" ht="14" outlineLevel="0" r="13419">
      <c r="A13419" s="3" t="inlineStr">
        <is>
          <t>13375</t>
        </is>
      </c>
      <c r="B13419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XL")</f>
      </c>
      <c r="C13419" s="4" t="n">
        <v>892.00</v>
      </c>
      <c r="D13419" s="4"/>
    </row>
    <row collapsed="" customFormat="false" customHeight="1" hidden="" ht="14" outlineLevel="0" r="13420">
      <c r="A13420" s="3" t="inlineStr">
        <is>
          <t>13376</t>
        </is>
      </c>
      <c r="B13420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XXL")</f>
      </c>
      <c r="C13420" s="4" t="n">
        <v>892.00</v>
      </c>
      <c r="D13420" s="4"/>
    </row>
    <row collapsed="" customFormat="false" customHeight="1" hidden="" ht="14" outlineLevel="0" r="13421">
      <c r="A13421" s="3" t="inlineStr">
        <is>
          <t>13377</t>
        </is>
      </c>
      <c r="B13421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S")</f>
      </c>
      <c r="C13421" s="4" t="n">
        <v>892.00</v>
      </c>
      <c r="D13421" s="4"/>
    </row>
    <row collapsed="" customFormat="false" customHeight="1" hidden="" ht="14" outlineLevel="0" r="13422">
      <c r="A13422" s="3" t="inlineStr">
        <is>
          <t>13378</t>
        </is>
      </c>
      <c r="B13422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M")</f>
      </c>
      <c r="C13422" s="4" t="n">
        <v>892.00</v>
      </c>
      <c r="D13422" s="4"/>
    </row>
    <row collapsed="" customFormat="false" customHeight="1" hidden="" ht="14" outlineLevel="0" r="13423">
      <c r="A13423" s="3" t="inlineStr">
        <is>
          <t>13379</t>
        </is>
      </c>
      <c r="B13423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L")</f>
      </c>
      <c r="C13423" s="4" t="n">
        <v>892.00</v>
      </c>
      <c r="D13423" s="4"/>
    </row>
    <row collapsed="" customFormat="false" customHeight="1" hidden="" ht="14" outlineLevel="0" r="13424">
      <c r="A13424" s="3" t="inlineStr">
        <is>
          <t>13380</t>
        </is>
      </c>
      <c r="B13424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XL")</f>
      </c>
      <c r="C13424" s="4" t="n">
        <v>892.00</v>
      </c>
      <c r="D13424" s="4"/>
    </row>
    <row collapsed="" customFormat="false" customHeight="1" hidden="" ht="14" outlineLevel="0" r="13425">
      <c r="A13425" s="3" t="inlineStr">
        <is>
          <t>13381</t>
        </is>
      </c>
      <c r="B13425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XXL")</f>
      </c>
      <c r="C13425" s="4" t="n">
        <v>892.00</v>
      </c>
      <c r="D13425" s="4"/>
    </row>
    <row collapsed="" customFormat="false" customHeight="1" hidden="" ht="14" outlineLevel="0" r="13426">
      <c r="A13426" s="3" t="inlineStr">
        <is>
          <t>13382</t>
        </is>
      </c>
      <c r="B13426" s="4" t="s">
        <f>=HYPERLINK("http://anyluxury.ru/shop/odezhda/futbolki/futbolka-zhenskaya-milky-150-bordovaya-s-serim-melanzhem-438111/" , "4381.11 Футболка женская MILKY 150, бордовая с серым меланжем, размер S")</f>
      </c>
      <c r="C13426" s="4" t="n">
        <v>846.00</v>
      </c>
      <c r="D13426" s="4"/>
    </row>
    <row collapsed="" customFormat="false" customHeight="1" hidden="" ht="14" outlineLevel="0" r="13427">
      <c r="A13427" s="3" t="inlineStr">
        <is>
          <t>13383</t>
        </is>
      </c>
      <c r="B13427" s="4" t="s">
        <f>=HYPERLINK("http://anyluxury.ru/shop/odezhda/futbolki/futbolka-zhenskaya-milky-150-bordovaya-s-serim-melanzhem-438111/" , "4381.11 Футболка женская MILKY 150, бордовая с серым меланжем, размер M")</f>
      </c>
      <c r="C13427" s="4" t="n">
        <v>846.00</v>
      </c>
      <c r="D13427" s="4"/>
    </row>
    <row collapsed="" customFormat="false" customHeight="1" hidden="" ht="14" outlineLevel="0" r="13428">
      <c r="A13428" s="3" t="inlineStr">
        <is>
          <t>13384</t>
        </is>
      </c>
      <c r="B13428" s="4" t="s">
        <f>=HYPERLINK("http://anyluxury.ru/shop/odezhda/futbolki/futbolka-zhenskaya-milky-150-bordovaya-s-serim-melanzhem-438111/" , "4381.11 Футболка женская MILKY 150, бордовая с серым меланжем, размер L")</f>
      </c>
      <c r="C13428" s="4" t="n">
        <v>846.00</v>
      </c>
      <c r="D13428" s="4"/>
    </row>
    <row collapsed="" customFormat="false" customHeight="1" hidden="" ht="14" outlineLevel="0" r="13429">
      <c r="A13429" s="3" t="inlineStr">
        <is>
          <t>13385</t>
        </is>
      </c>
      <c r="B13429" s="4" t="s">
        <f>=HYPERLINK("http://anyluxury.ru/shop/odezhda/futbolki/futbolka-zhenskaya-milky-150-bordovaya-s-serim-melanzhem-438111/" , "4381.11 Футболка женская MILKY 150, бордовая с серым меланжем, размер XL")</f>
      </c>
      <c r="C13429" s="4" t="n">
        <v>846.00</v>
      </c>
      <c r="D13429" s="4"/>
    </row>
    <row collapsed="" customFormat="false" customHeight="1" hidden="" ht="14" outlineLevel="0" r="13430">
      <c r="A13430" s="3" t="inlineStr">
        <is>
          <t>13386</t>
        </is>
      </c>
      <c r="B13430" s="4" t="s">
        <f>=HYPERLINK("http://anyluxury.ru/shop/odezhda/futbolki/futbolka-zhenskaya-milky-150-chernaya-s-krasnim-438135/" , "4381.35 Футболка женская MILKY 150 черная с красным, размер S")</f>
      </c>
      <c r="C13430" s="4" t="n">
        <v>846.00</v>
      </c>
      <c r="D13430" s="4"/>
    </row>
    <row collapsed="" customFormat="false" customHeight="1" hidden="" ht="14" outlineLevel="0" r="13431">
      <c r="A13431" s="3" t="inlineStr">
        <is>
          <t>13387</t>
        </is>
      </c>
      <c r="B13431" s="4" t="s">
        <f>=HYPERLINK("http://anyluxury.ru/shop/odezhda/futbolki/futbolka-zhenskaya-milky-150-chernaya-s-krasnim-438135/" , "4381.35 Футболка женская MILKY 150 черная с красным, размер M")</f>
      </c>
      <c r="C13431" s="4" t="n">
        <v>846.00</v>
      </c>
      <c r="D13431" s="4"/>
    </row>
    <row collapsed="" customFormat="false" customHeight="1" hidden="" ht="14" outlineLevel="0" r="13432">
      <c r="A13432" s="3" t="inlineStr">
        <is>
          <t>13388</t>
        </is>
      </c>
      <c r="B13432" s="4" t="s">
        <f>=HYPERLINK("http://anyluxury.ru/shop/odezhda/futbolki/futbolka-zhenskaya-milky-150-chernaya-s-krasnim-438135/" , "4381.35 Футболка женская MILKY 150 черная с красным, размер L")</f>
      </c>
      <c r="C13432" s="4" t="n">
        <v>846.00</v>
      </c>
      <c r="D13432" s="4"/>
    </row>
    <row collapsed="" customFormat="false" customHeight="1" hidden="" ht="14" outlineLevel="0" r="13433">
      <c r="A13433" s="3" t="inlineStr">
        <is>
          <t>13389</t>
        </is>
      </c>
      <c r="B13433" s="4" t="s">
        <f>=HYPERLINK("http://anyluxury.ru/shop/odezhda/futbolki/futbolka-zhenskaya-milky-150-chernaya-s-krasnim-438135/" , "4381.35 Футболка женская MILKY 150 черная с красным, размер XL")</f>
      </c>
      <c r="C13433" s="4" t="n">
        <v>846.00</v>
      </c>
      <c r="D13433" s="4"/>
    </row>
    <row collapsed="" customFormat="false" customHeight="1" hidden="" ht="14" outlineLevel="0" r="13434">
      <c r="A13434" s="3" t="inlineStr">
        <is>
          <t>13390</t>
        </is>
      </c>
      <c r="B13434" s="4" t="s">
        <f>=HYPERLINK("http://anyluxury.ru/shop/odezhda/futbolki/futbolka-zhenskaya-milky-150-belaya-s-golubim-438167/" , "4381.67 Футболка женская MILKY 150 белая с голубым, размер S")</f>
      </c>
      <c r="C13434" s="4" t="n">
        <v>846.00</v>
      </c>
      <c r="D13434" s="4"/>
    </row>
    <row collapsed="" customFormat="false" customHeight="1" hidden="" ht="14" outlineLevel="0" r="13435">
      <c r="A13435" s="3" t="inlineStr">
        <is>
          <t>13391</t>
        </is>
      </c>
      <c r="B13435" s="4" t="s">
        <f>=HYPERLINK("http://anyluxury.ru/shop/odezhda/futbolki/futbolka-zhenskaya-milky-150-belaya-s-golubim-438167/" , "4381.67 Футболка женская MILKY 150 белая с голубым, размер M")</f>
      </c>
      <c r="C13435" s="4" t="n">
        <v>846.00</v>
      </c>
      <c r="D13435" s="4"/>
    </row>
    <row collapsed="" customFormat="false" customHeight="1" hidden="" ht="14" outlineLevel="0" r="13436">
      <c r="A13436" s="3" t="inlineStr">
        <is>
          <t>13392</t>
        </is>
      </c>
      <c r="B13436" s="4" t="s">
        <f>=HYPERLINK("http://anyluxury.ru/shop/odezhda/futbolki/futbolka-zhenskaya-milky-150-belaya-s-golubim-438167/" , "4381.67 Футболка женская MILKY 150 белая с голубым, размер L")</f>
      </c>
      <c r="C13436" s="4" t="n">
        <v>846.00</v>
      </c>
      <c r="D13436" s="4"/>
    </row>
    <row collapsed="" customFormat="false" customHeight="1" hidden="" ht="14" outlineLevel="0" r="13437">
      <c r="A13437" s="3" t="inlineStr">
        <is>
          <t>13393</t>
        </is>
      </c>
      <c r="B13437" s="4" t="s">
        <f>=HYPERLINK("http://anyluxury.ru/shop/odezhda/futbolki/futbolka-zhenskaya-milky-150-belaya-s-golubim-438167/" , "4381.67 Футболка женская MILKY 150 белая с голубым, размер XL")</f>
      </c>
      <c r="C13437" s="4" t="n">
        <v>846.00</v>
      </c>
      <c r="D13437" s="4"/>
    </row>
    <row collapsed="" customFormat="false" customHeight="1" hidden="" ht="14" outlineLevel="0" r="13438">
      <c r="A13438" s="3" t="inlineStr">
        <is>
          <t>13394</t>
        </is>
      </c>
      <c r="B13438" s="4" t="s">
        <f>=HYPERLINK("http://anyluxury.ru/shop/odezhda/futbolki/futbolka-zhenskaya-milky-150-belaya-s-yarkosinim-438169/" , "4381.69 Футболка женская MILKY 150 белая с ярко-синим, размер S")</f>
      </c>
      <c r="C13438" s="4" t="n">
        <v>846.00</v>
      </c>
      <c r="D13438" s="4"/>
    </row>
    <row collapsed="" customFormat="false" customHeight="1" hidden="" ht="14" outlineLevel="0" r="13439">
      <c r="A13439" s="3" t="inlineStr">
        <is>
          <t>13395</t>
        </is>
      </c>
      <c r="B13439" s="4" t="s">
        <f>=HYPERLINK("http://anyluxury.ru/shop/odezhda/futbolki/futbolka-zhenskaya-milky-150-belaya-s-yarkosinim-438169/" , "4381.69 Футболка женская MILKY 150 белая с ярко-синим, размер M")</f>
      </c>
      <c r="C13439" s="4" t="n">
        <v>846.00</v>
      </c>
      <c r="D13439" s="4"/>
    </row>
    <row collapsed="" customFormat="false" customHeight="1" hidden="" ht="14" outlineLevel="0" r="13440">
      <c r="A13440" s="3" t="inlineStr">
        <is>
          <t>13396</t>
        </is>
      </c>
      <c r="B13440" s="4" t="s">
        <f>=HYPERLINK("http://anyluxury.ru/shop/odezhda/futbolki/futbolka-zhenskaya-milky-150-belaya-s-yarkosinim-438169/" , "4381.69 Футболка женская MILKY 150 белая с ярко-синим, размер L")</f>
      </c>
      <c r="C13440" s="4" t="n">
        <v>846.00</v>
      </c>
      <c r="D13440" s="4"/>
    </row>
    <row collapsed="" customFormat="false" customHeight="1" hidden="" ht="14" outlineLevel="0" r="13441">
      <c r="A13441" s="3" t="inlineStr">
        <is>
          <t>13397</t>
        </is>
      </c>
      <c r="B13441" s="4" t="s">
        <f>=HYPERLINK("http://anyluxury.ru/shop/odezhda/futbolki/futbolka-zhenskaya-milky-150-belaya-s-yarkosinim-438169/" , "4381.69 Футболка женская MILKY 150 белая с ярко-синим, размер XL")</f>
      </c>
      <c r="C13441" s="4" t="n">
        <v>846.00</v>
      </c>
      <c r="D13441" s="4"/>
    </row>
    <row collapsed="" customFormat="false" customHeight="1" hidden="" ht="14" outlineLevel="0" r="13442">
      <c r="A13442" s="3" t="inlineStr">
        <is>
          <t>13398</t>
        </is>
      </c>
      <c r="B13442" s="4" t="s">
        <f>=HYPERLINK("http://anyluxury.ru/shop/odezhda/futbolki/futbolka-zhenskaya-miss-150-oranzhevaya-266220/" , "2662.20 Футболка женская MISS 150 оранжевая, размер S")</f>
      </c>
      <c r="C13442" s="4" t="n">
        <v>440.00</v>
      </c>
      <c r="D13442" s="4"/>
    </row>
    <row collapsed="" customFormat="false" customHeight="1" hidden="" ht="14" outlineLevel="0" r="13443">
      <c r="A13443" s="3" t="inlineStr">
        <is>
          <t>13399</t>
        </is>
      </c>
      <c r="B13443" s="4" t="s">
        <f>=HYPERLINK("http://anyluxury.ru/shop/odezhda/futbolki/futbolka-zhenskaya-miss-150-oranzhevaya-266220/" , "2662.20 Футболка женская MISS 150 оранжевая, размер M")</f>
      </c>
      <c r="C13443" s="4" t="n">
        <v>440.00</v>
      </c>
      <c r="D13443" s="4"/>
    </row>
    <row collapsed="" customFormat="false" customHeight="1" hidden="" ht="14" outlineLevel="0" r="13444">
      <c r="A13444" s="3" t="inlineStr">
        <is>
          <t>13400</t>
        </is>
      </c>
      <c r="B13444" s="4" t="s">
        <f>=HYPERLINK("http://anyluxury.ru/shop/odezhda/futbolki/futbolka-zhenskaya-miss-150-oranzhevaya-266220/" , "2662.20 Футболка женская MISS 150 оранжевая, размер L")</f>
      </c>
      <c r="C13444" s="4" t="n">
        <v>440.00</v>
      </c>
      <c r="D13444" s="4"/>
    </row>
    <row collapsed="" customFormat="false" customHeight="1" hidden="" ht="14" outlineLevel="0" r="13445">
      <c r="A13445" s="3" t="inlineStr">
        <is>
          <t>13401</t>
        </is>
      </c>
      <c r="B13445" s="4" t="s">
        <f>=HYPERLINK("http://anyluxury.ru/shop/odezhda/futbolki/futbolka-zhenskaya-miss-150-oranzhevaya-266220/" , "2662.20 Футболка женская MISS 150 оранжевая, размер XL")</f>
      </c>
      <c r="C13445" s="4" t="n">
        <v>440.00</v>
      </c>
      <c r="D13445" s="4"/>
    </row>
    <row collapsed="" customFormat="false" customHeight="1" hidden="" ht="14" outlineLevel="0" r="13446">
      <c r="A13446" s="3" t="inlineStr">
        <is>
          <t>13402</t>
        </is>
      </c>
      <c r="B13446" s="4" t="s">
        <f>=HYPERLINK("http://anyluxury.ru/shop/odezhda/futbolki/futbolka-zhenskaya-miss-150-oranzhevaya-266220/" , "2662.20 Футболка женская MISS 150 оранжевая, размер XXL")</f>
      </c>
      <c r="C13446" s="4" t="n">
        <v>440.00</v>
      </c>
      <c r="D13446" s="4"/>
    </row>
    <row collapsed="" customFormat="false" customHeight="1" hidden="" ht="14" outlineLevel="0" r="13447">
      <c r="A13447" s="3" t="inlineStr">
        <is>
          <t>13403</t>
        </is>
      </c>
      <c r="B13447" s="4" t="s">
        <f>=HYPERLINK("http://anyluxury.ru/shop/odezhda/futbolki/futbolka-zhenskaya-miss-150-yarkobiryuzovaya-266243/" , "2662.43 Футболка женская MISS 150 ярко-бирюзовая, размер S")</f>
      </c>
      <c r="C13447" s="4" t="n">
        <v>440.00</v>
      </c>
      <c r="D13447" s="4"/>
    </row>
    <row collapsed="" customFormat="false" customHeight="1" hidden="" ht="14" outlineLevel="0" r="13448">
      <c r="A13448" s="3" t="inlineStr">
        <is>
          <t>13404</t>
        </is>
      </c>
      <c r="B13448" s="4" t="s">
        <f>=HYPERLINK("http://anyluxury.ru/shop/odezhda/futbolki/futbolka-zhenskaya-miss-150-yarkobiryuzovaya-266243/" , "2662.43 Футболка женская MISS 150 ярко-бирюзовая, размер M")</f>
      </c>
      <c r="C13448" s="4" t="n">
        <v>440.00</v>
      </c>
      <c r="D13448" s="4"/>
    </row>
    <row collapsed="" customFormat="false" customHeight="1" hidden="" ht="14" outlineLevel="0" r="13449">
      <c r="A13449" s="3" t="inlineStr">
        <is>
          <t>13405</t>
        </is>
      </c>
      <c r="B13449" s="4" t="s">
        <f>=HYPERLINK("http://anyluxury.ru/shop/odezhda/futbolki/futbolka-zhenskaya-miss-150-yarkobiryuzovaya-266243/" , "2662.43 Футболка женская MISS 150 ярко-бирюзовая, размер L")</f>
      </c>
      <c r="C13449" s="4" t="n">
        <v>440.00</v>
      </c>
      <c r="D13449" s="4"/>
    </row>
    <row collapsed="" customFormat="false" customHeight="1" hidden="" ht="14" outlineLevel="0" r="13450">
      <c r="A13450" s="3" t="inlineStr">
        <is>
          <t>13406</t>
        </is>
      </c>
      <c r="B13450" s="4" t="s">
        <f>=HYPERLINK("http://anyluxury.ru/shop/odezhda/futbolki/futbolka-zhenskaya-miss-150-yarkobiryuzovaya-266243/" , "2662.43 Футболка женская MISS 150 ярко-бирюзовая, размер XL")</f>
      </c>
      <c r="C13450" s="4" t="n">
        <v>440.00</v>
      </c>
      <c r="D13450" s="4"/>
    </row>
    <row collapsed="" customFormat="false" customHeight="1" hidden="" ht="14" outlineLevel="0" r="13451">
      <c r="A13451" s="3" t="inlineStr">
        <is>
          <t>13407</t>
        </is>
      </c>
      <c r="B13451" s="4" t="s">
        <f>=HYPERLINK("http://anyluxury.ru/shop/odezhda/futbolki/futbolka-zhenskaya-miss-150-yarkobiryuzovaya-266243/" , "2662.43 Футболка женская MISS 150 ярко-бирюзовая, размер XXL")</f>
      </c>
      <c r="C13451" s="4" t="n">
        <v>440.00</v>
      </c>
      <c r="D13451" s="4"/>
    </row>
    <row collapsed="" customFormat="false" customHeight="1" hidden="" ht="14" outlineLevel="0" r="13452">
      <c r="A13452" s="3" t="inlineStr">
        <is>
          <t>13408</t>
        </is>
      </c>
      <c r="B13452" s="4" t="s">
        <f>=HYPERLINK("http://anyluxury.ru/shop/odezhda/futbolki/futbolka-zhenskaya-miss-150-zheltaya-gorchichnaya-266281/" , "2662.81 Футболка женская MISS 150 желтая (горчичная), размер S")</f>
      </c>
      <c r="C13452" s="4" t="n">
        <v>440.00</v>
      </c>
      <c r="D13452" s="4"/>
    </row>
    <row collapsed="" customFormat="false" customHeight="1" hidden="" ht="14" outlineLevel="0" r="13453">
      <c r="A13453" s="3" t="inlineStr">
        <is>
          <t>13409</t>
        </is>
      </c>
      <c r="B13453" s="4" t="s">
        <f>=HYPERLINK("http://anyluxury.ru/shop/odezhda/futbolki/futbolka-zhenskaya-miss-150-zheltaya-gorchichnaya-266281/" , "2662.81 Футболка женская MISS 150 желтая (горчичная), размер M")</f>
      </c>
      <c r="C13453" s="4" t="n">
        <v>440.00</v>
      </c>
      <c r="D13453" s="4"/>
    </row>
    <row collapsed="" customFormat="false" customHeight="1" hidden="" ht="14" outlineLevel="0" r="13454">
      <c r="A13454" s="3" t="inlineStr">
        <is>
          <t>13410</t>
        </is>
      </c>
      <c r="B13454" s="4" t="s">
        <f>=HYPERLINK("http://anyluxury.ru/shop/odezhda/futbolki/futbolka-zhenskaya-miss-150-zheltaya-gorchichnaya-266281/" , "2662.81 Футболка женская MISS 150 желтая (горчичная), размер L")</f>
      </c>
      <c r="C13454" s="4" t="n">
        <v>440.00</v>
      </c>
      <c r="D13454" s="4"/>
    </row>
    <row collapsed="" customFormat="false" customHeight="1" hidden="" ht="14" outlineLevel="0" r="13455">
      <c r="A13455" s="3" t="inlineStr">
        <is>
          <t>13411</t>
        </is>
      </c>
      <c r="B13455" s="4" t="s">
        <f>=HYPERLINK("http://anyluxury.ru/shop/odezhda/futbolki/futbolka-zhenskaya-miss-150-zheltaya-gorchichnaya-266281/" , "2662.81 Футболка женская MISS 150 желтая (горчичная), размер XL")</f>
      </c>
      <c r="C13455" s="4" t="n">
        <v>440.00</v>
      </c>
      <c r="D13455" s="4"/>
    </row>
    <row collapsed="" customFormat="false" customHeight="1" hidden="" ht="14" outlineLevel="0" r="13456">
      <c r="A13456" s="3" t="inlineStr">
        <is>
          <t>13412</t>
        </is>
      </c>
      <c r="B13456" s="4" t="s">
        <f>=HYPERLINK("http://anyluxury.ru/shop/odezhda/futbolki/futbolka-zhenskaya-miss-150-zheltaya-gorchichnaya-266281/" , "2662.81 Футболка женская MISS 150 желтая (горчичная), размер XXL")</f>
      </c>
      <c r="C13456" s="4" t="n">
        <v>440.00</v>
      </c>
      <c r="D13456" s="4"/>
    </row>
    <row collapsed="" customFormat="false" customHeight="1" hidden="" ht="14" outlineLevel="0" r="13457">
      <c r="A13457" s="3" t="inlineStr">
        <is>
          <t>13413</t>
        </is>
      </c>
      <c r="B13457" s="4" t="s">
        <f>=HYPERLINK("http://anyluxury.ru/shop/odezhda/futbolki/mayka-zhenskaya-moka-110-temnoseraya-597010/" , "5970.10 Майка женская MOKA 110 темно-серая, размер XS")</f>
      </c>
      <c r="C13457" s="4" t="n">
        <v>784.00</v>
      </c>
      <c r="D13457" s="4"/>
    </row>
    <row collapsed="" customFormat="false" customHeight="1" hidden="" ht="14" outlineLevel="0" r="13458">
      <c r="A13458" s="3" t="inlineStr">
        <is>
          <t>13414</t>
        </is>
      </c>
      <c r="B13458" s="4" t="s">
        <f>=HYPERLINK("http://anyluxury.ru/shop/odezhda/futbolki/mayka-zhenskaya-moka-110-temnoseraya-597010/" , "5970.10 Майка женская MOKA 110 темно-серая, размер S")</f>
      </c>
      <c r="C13458" s="4" t="n">
        <v>784.00</v>
      </c>
      <c r="D13458" s="4"/>
    </row>
    <row collapsed="" customFormat="false" customHeight="1" hidden="" ht="14" outlineLevel="0" r="13459">
      <c r="A13459" s="3" t="inlineStr">
        <is>
          <t>13415</t>
        </is>
      </c>
      <c r="B13459" s="4" t="s">
        <f>=HYPERLINK("http://anyluxury.ru/shop/odezhda/futbolki/mayka-zhenskaya-moka-110-temnoseraya-597010/" , "5970.10 Майка женская MOKA 110 темно-серая, размер M")</f>
      </c>
      <c r="C13459" s="4" t="n">
        <v>784.00</v>
      </c>
      <c r="D13459" s="4"/>
    </row>
    <row collapsed="" customFormat="false" customHeight="1" hidden="" ht="14" outlineLevel="0" r="13460">
      <c r="A13460" s="3" t="inlineStr">
        <is>
          <t>13416</t>
        </is>
      </c>
      <c r="B13460" s="4" t="s">
        <f>=HYPERLINK("http://anyluxury.ru/shop/odezhda/futbolki/mayka-zhenskaya-moka-110-temnoseraya-597010/" , "5970.10 Майка женская MOKA 110 темно-серая, размер L")</f>
      </c>
      <c r="C13460" s="4" t="n">
        <v>784.00</v>
      </c>
      <c r="D13460" s="4"/>
    </row>
    <row collapsed="" customFormat="false" customHeight="1" hidden="" ht="14" outlineLevel="0" r="13461">
      <c r="A13461" s="3" t="inlineStr">
        <is>
          <t>13417</t>
        </is>
      </c>
      <c r="B13461" s="4" t="s">
        <f>=HYPERLINK("http://anyluxury.ru/shop/odezhda/futbolki/mayka-zhenskaya-moka-110-temnoseraya-597010/" , "5970.10 Майка женская MOKA 110 темно-серая, размер XL")</f>
      </c>
      <c r="C13461" s="4" t="n">
        <v>784.00</v>
      </c>
      <c r="D13461" s="4"/>
    </row>
    <row collapsed="" customFormat="false" customHeight="1" hidden="" ht="14" outlineLevel="0" r="13462">
      <c r="A13462" s="3" t="inlineStr">
        <is>
          <t>13418</t>
        </is>
      </c>
      <c r="B13462" s="4" t="s">
        <f>=HYPERLINK("http://anyluxury.ru/shop/odezhda/futbolki/mayka-zhenskaya-moka-110-svetlozelenaya-597091/" , "5970.91 Майка женская MOKA 110 светло-зеленая, размер XS")</f>
      </c>
      <c r="C13462" s="4" t="n">
        <v>784.00</v>
      </c>
      <c r="D13462" s="4"/>
    </row>
    <row collapsed="" customFormat="false" customHeight="1" hidden="" ht="14" outlineLevel="0" r="13463">
      <c r="A13463" s="3" t="inlineStr">
        <is>
          <t>13419</t>
        </is>
      </c>
      <c r="B13463" s="4" t="s">
        <f>=HYPERLINK("http://anyluxury.ru/shop/odezhda/futbolki/mayka-zhenskaya-moka-110-svetlozelenaya-597091/" , "5970.91 Майка женская MOKA 110 светло-зеленая, размер S")</f>
      </c>
      <c r="C13463" s="4" t="n">
        <v>784.00</v>
      </c>
      <c r="D13463" s="4"/>
    </row>
    <row collapsed="" customFormat="false" customHeight="1" hidden="" ht="14" outlineLevel="0" r="13464">
      <c r="A13464" s="3" t="inlineStr">
        <is>
          <t>13420</t>
        </is>
      </c>
      <c r="B13464" s="4" t="s">
        <f>=HYPERLINK("http://anyluxury.ru/shop/odezhda/futbolki/mayka-zhenskaya-moka-110-svetlozelenaya-597091/" , "5970.91 Майка женская MOKA 110 светло-зеленая, размер M")</f>
      </c>
      <c r="C13464" s="4" t="n">
        <v>784.00</v>
      </c>
      <c r="D13464" s="4"/>
    </row>
    <row collapsed="" customFormat="false" customHeight="1" hidden="" ht="14" outlineLevel="0" r="13465">
      <c r="A13465" s="3" t="inlineStr">
        <is>
          <t>13421</t>
        </is>
      </c>
      <c r="B13465" s="4" t="s">
        <f>=HYPERLINK("http://anyluxury.ru/shop/odezhda/futbolki/mayka-zhenskaya-moka-110-svetlozelenaya-597091/" , "5970.91 Майка женская MOKA 110 светло-зеленая, размер L")</f>
      </c>
      <c r="C13465" s="4" t="n">
        <v>784.00</v>
      </c>
      <c r="D13465" s="4"/>
    </row>
    <row collapsed="" customFormat="false" customHeight="1" hidden="" ht="14" outlineLevel="0" r="13466">
      <c r="A13466" s="3" t="inlineStr">
        <is>
          <t>13422</t>
        </is>
      </c>
      <c r="B13466" s="4" t="s">
        <f>=HYPERLINK("http://anyluxury.ru/shop/odezhda/futbolki/mayka-zhenskaya-moka-110-svetlozelenaya-597091/" , "5970.91 Майка женская MOKA 110 светло-зеленая, размер XL")</f>
      </c>
      <c r="C13466" s="4" t="n">
        <v>784.00</v>
      </c>
      <c r="D13466" s="4"/>
    </row>
    <row collapsed="" customFormat="false" customHeight="1" hidden="" ht="14" outlineLevel="0" r="13467">
      <c r="A13467" s="3" t="inlineStr">
        <is>
          <t>13423</t>
        </is>
      </c>
      <c r="B13467" s="4" t="s">
        <f>=HYPERLINK("http://anyluxury.ru/shop/odezhda/futbolki/futbolka-regent-150-svetlorozovaya-137615/" , "1376.15 Футболка REGENT 150 светло-розовая, размер XS")</f>
      </c>
      <c r="C13467" s="4" t="n">
        <v>531.00</v>
      </c>
      <c r="D13467" s="4"/>
    </row>
    <row collapsed="" customFormat="false" customHeight="1" hidden="" ht="14" outlineLevel="0" r="13468">
      <c r="A13468" s="3" t="inlineStr">
        <is>
          <t>13424</t>
        </is>
      </c>
      <c r="B13468" s="4" t="s">
        <f>=HYPERLINK("http://anyluxury.ru/shop/odezhda/futbolki/futbolka-regent-150-svetlorozovaya-137615/" , "1376.15 Футболка REGENT 150 светло-розовая, размер S")</f>
      </c>
      <c r="C13468" s="4" t="n">
        <v>531.00</v>
      </c>
      <c r="D13468" s="4"/>
    </row>
    <row collapsed="" customFormat="false" customHeight="1" hidden="" ht="14" outlineLevel="0" r="13469">
      <c r="A13469" s="3" t="inlineStr">
        <is>
          <t>13425</t>
        </is>
      </c>
      <c r="B13469" s="4" t="s">
        <f>=HYPERLINK("http://anyluxury.ru/shop/odezhda/futbolki/futbolka-regent-150-svetlorozovaya-137615/" , "1376.15 Футболка REGENT 150 светло-розовая, размер M")</f>
      </c>
      <c r="C13469" s="4" t="n">
        <v>531.00</v>
      </c>
      <c r="D13469" s="4"/>
    </row>
    <row collapsed="" customFormat="false" customHeight="1" hidden="" ht="14" outlineLevel="0" r="13470">
      <c r="A13470" s="3" t="inlineStr">
        <is>
          <t>13426</t>
        </is>
      </c>
      <c r="B13470" s="4" t="s">
        <f>=HYPERLINK("http://anyluxury.ru/shop/odezhda/futbolki/futbolka-regent-150-svetlorozovaya-137615/" , "1376.15 Футболка REGENT 150 светло-розовая, размер L")</f>
      </c>
      <c r="C13470" s="4" t="n">
        <v>531.00</v>
      </c>
      <c r="D13470" s="4"/>
    </row>
    <row collapsed="" customFormat="false" customHeight="1" hidden="" ht="14" outlineLevel="0" r="13471">
      <c r="A13471" s="3" t="inlineStr">
        <is>
          <t>13427</t>
        </is>
      </c>
      <c r="B13471" s="4" t="s">
        <f>=HYPERLINK("http://anyluxury.ru/shop/odezhda/futbolki/futbolka-regent-150-svetlorozovaya-137615/" , "1376.15 Футболка REGENT 150 светло-розовая, размер XL")</f>
      </c>
      <c r="C13471" s="4" t="n">
        <v>531.00</v>
      </c>
      <c r="D13471" s="4"/>
    </row>
    <row collapsed="" customFormat="false" customHeight="1" hidden="" ht="14" outlineLevel="0" r="13472">
      <c r="A13472" s="3" t="inlineStr">
        <is>
          <t>13428</t>
        </is>
      </c>
      <c r="B13472" s="4" t="s">
        <f>=HYPERLINK("http://anyluxury.ru/shop/odezhda/futbolki/futbolka-regent-150-svetlorozovaya-137615/" , "1376.15 Футболка REGENT 150 светло-розовая, размер XXL")</f>
      </c>
      <c r="C13472" s="4" t="n">
        <v>531.00</v>
      </c>
      <c r="D13472" s="4"/>
    </row>
    <row collapsed="" customFormat="false" customHeight="1" hidden="" ht="14" outlineLevel="0" r="13473">
      <c r="A13473" s="3" t="inlineStr">
        <is>
          <t>13429</t>
        </is>
      </c>
      <c r="B13473" s="4" t="s">
        <f>=HYPERLINK("http://anyluxury.ru/shop/odezhda/futbolki/futbolka-regent-150-svetlorozovaya-137615/" , "1376.15 Футболка Regent 150 светло-розовая, размер XXS")</f>
      </c>
      <c r="C13473" s="4" t="n">
        <v>531.00</v>
      </c>
      <c r="D13473" s="4"/>
    </row>
    <row collapsed="" customFormat="false" customHeight="1" hidden="" ht="14" outlineLevel="0" r="13474">
      <c r="A13474" s="3" t="inlineStr">
        <is>
          <t>13430</t>
        </is>
      </c>
      <c r="B13474" s="4" t="s">
        <f>=HYPERLINK("http://anyluxury.ru/shop/odezhda/futbolki/futbolka-regent-150-temnoseraya-137618/" , "1376.18 Футболка REGENT 150 темно-серая, размер XS")</f>
      </c>
      <c r="C13474" s="4" t="n">
        <v>531.00</v>
      </c>
      <c r="D13474" s="4"/>
    </row>
    <row collapsed="" customFormat="false" customHeight="1" hidden="" ht="14" outlineLevel="0" r="13475">
      <c r="A13475" s="3" t="inlineStr">
        <is>
          <t>13431</t>
        </is>
      </c>
      <c r="B13475" s="4" t="s">
        <f>=HYPERLINK("http://anyluxury.ru/shop/odezhda/futbolki/futbolka-regent-150-temnoseraya-137618/" , "1376.18 Футболка REGENT 150 темно-серая, размер S")</f>
      </c>
      <c r="C13475" s="4" t="n">
        <v>531.00</v>
      </c>
      <c r="D13475" s="4"/>
    </row>
    <row collapsed="" customFormat="false" customHeight="1" hidden="" ht="14" outlineLevel="0" r="13476">
      <c r="A13476" s="3" t="inlineStr">
        <is>
          <t>13432</t>
        </is>
      </c>
      <c r="B13476" s="4" t="s">
        <f>=HYPERLINK("http://anyluxury.ru/shop/odezhda/futbolki/futbolka-regent-150-temnoseraya-137618/" , "1376.18 Футболка REGENT 150 темно-серая, размер M")</f>
      </c>
      <c r="C13476" s="4" t="n">
        <v>531.00</v>
      </c>
      <c r="D13476" s="4"/>
    </row>
    <row collapsed="" customFormat="false" customHeight="1" hidden="" ht="14" outlineLevel="0" r="13477">
      <c r="A13477" s="3" t="inlineStr">
        <is>
          <t>13433</t>
        </is>
      </c>
      <c r="B13477" s="4" t="s">
        <f>=HYPERLINK("http://anyluxury.ru/shop/odezhda/futbolki/futbolka-regent-150-temnoseraya-137618/" , "1376.18 Футболка REGENT 150 темно-серая, размер L")</f>
      </c>
      <c r="C13477" s="4" t="n">
        <v>531.00</v>
      </c>
      <c r="D13477" s="4"/>
    </row>
    <row collapsed="" customFormat="false" customHeight="1" hidden="" ht="14" outlineLevel="0" r="13478">
      <c r="A13478" s="3" t="inlineStr">
        <is>
          <t>13434</t>
        </is>
      </c>
      <c r="B13478" s="4" t="s">
        <f>=HYPERLINK("http://anyluxury.ru/shop/odezhda/futbolki/futbolka-regent-150-temnoseraya-137618/" , "1376.18 Футболка REGENT 150 темно-серая, размер XL")</f>
      </c>
      <c r="C13478" s="4" t="n">
        <v>531.00</v>
      </c>
      <c r="D13478" s="4"/>
    </row>
    <row collapsed="" customFormat="false" customHeight="1" hidden="" ht="14" outlineLevel="0" r="13479">
      <c r="A13479" s="3" t="inlineStr">
        <is>
          <t>13435</t>
        </is>
      </c>
      <c r="B13479" s="4" t="s">
        <f>=HYPERLINK("http://anyluxury.ru/shop/odezhda/futbolki/futbolka-regent-150-temnoseraya-137618/" , "1376.18 Футболка REGENT 150 темно-серая, размер XXL")</f>
      </c>
      <c r="C13479" s="4" t="n">
        <v>531.00</v>
      </c>
      <c r="D13479" s="4"/>
    </row>
    <row collapsed="" customFormat="false" customHeight="1" hidden="" ht="14" outlineLevel="0" r="13480">
      <c r="A13480" s="3" t="inlineStr">
        <is>
          <t>13436</t>
        </is>
      </c>
      <c r="B13480" s="4" t="s">
        <f>=HYPERLINK("http://anyluxury.ru/shop/odezhda/futbolki/futbolka-regent-150-temnoseraya-137618/" , "1376.18 Футболка Regent 150 темно-серая (графит), размер 5XL")</f>
      </c>
      <c r="C13480" s="4" t="n">
        <v>935.00</v>
      </c>
      <c r="D13480" s="4"/>
    </row>
    <row collapsed="" customFormat="false" customHeight="1" hidden="" ht="14" outlineLevel="0" r="13481">
      <c r="A13481" s="3" t="inlineStr">
        <is>
          <t>13437</t>
        </is>
      </c>
      <c r="B13481" s="4" t="s">
        <f>=HYPERLINK("http://anyluxury.ru/shop/odezhda/futbolki/futbolka-regent-150-svetloseraya-137619/" , "1376.19 Футболка REGENT 150 светло-серая, размер XS")</f>
      </c>
      <c r="C13481" s="4" t="n">
        <v>531.00</v>
      </c>
      <c r="D13481" s="4"/>
    </row>
    <row collapsed="" customFormat="false" customHeight="1" hidden="" ht="14" outlineLevel="0" r="13482">
      <c r="A13482" s="3" t="inlineStr">
        <is>
          <t>13438</t>
        </is>
      </c>
      <c r="B13482" s="4" t="s">
        <f>=HYPERLINK("http://anyluxury.ru/shop/odezhda/futbolki/futbolka-regent-150-svetloseraya-137619/" , "1376.19 Футболка REGENT 150 светло-серая, размер S")</f>
      </c>
      <c r="C13482" s="4" t="n">
        <v>531.00</v>
      </c>
      <c r="D13482" s="4"/>
    </row>
    <row collapsed="" customFormat="false" customHeight="1" hidden="" ht="14" outlineLevel="0" r="13483">
      <c r="A13483" s="3" t="inlineStr">
        <is>
          <t>13439</t>
        </is>
      </c>
      <c r="B13483" s="4" t="s">
        <f>=HYPERLINK("http://anyluxury.ru/shop/odezhda/futbolki/futbolka-regent-150-svetloseraya-137619/" , "1376.19 Футболка REGENT 150 светло-серая, размер M")</f>
      </c>
      <c r="C13483" s="4" t="n">
        <v>531.00</v>
      </c>
      <c r="D13483" s="4"/>
    </row>
    <row collapsed="" customFormat="false" customHeight="1" hidden="" ht="14" outlineLevel="0" r="13484">
      <c r="A13484" s="3" t="inlineStr">
        <is>
          <t>13440</t>
        </is>
      </c>
      <c r="B13484" s="4" t="s">
        <f>=HYPERLINK("http://anyluxury.ru/shop/odezhda/futbolki/futbolka-regent-150-svetloseraya-137619/" , "1376.19 Футболка REGENT 150 светло-серая, размер L")</f>
      </c>
      <c r="C13484" s="4" t="n">
        <v>531.00</v>
      </c>
      <c r="D13484" s="4"/>
    </row>
    <row collapsed="" customFormat="false" customHeight="1" hidden="" ht="14" outlineLevel="0" r="13485">
      <c r="A13485" s="3" t="inlineStr">
        <is>
          <t>13441</t>
        </is>
      </c>
      <c r="B13485" s="4" t="s">
        <f>=HYPERLINK("http://anyluxury.ru/shop/odezhda/futbolki/futbolka-regent-150-svetloseraya-137619/" , "1376.19 Футболка REGENT 150 светло-серая, размер XL")</f>
      </c>
      <c r="C13485" s="4" t="n">
        <v>531.00</v>
      </c>
      <c r="D13485" s="4"/>
    </row>
    <row collapsed="" customFormat="false" customHeight="1" hidden="" ht="14" outlineLevel="0" r="13486">
      <c r="A13486" s="3" t="inlineStr">
        <is>
          <t>13442</t>
        </is>
      </c>
      <c r="B13486" s="4" t="s">
        <f>=HYPERLINK("http://anyluxury.ru/shop/odezhda/futbolki/futbolka-regent-150-svetloseraya-137619/" , "1376.19 Футболка REGENT 150 светло-серая, размер XXL")</f>
      </c>
      <c r="C13486" s="4" t="n">
        <v>531.00</v>
      </c>
      <c r="D13486" s="4"/>
    </row>
    <row collapsed="" customFormat="false" customHeight="1" hidden="" ht="14" outlineLevel="0" r="13487">
      <c r="A13487" s="3" t="inlineStr">
        <is>
          <t>13443</t>
        </is>
      </c>
      <c r="B13487" s="4" t="s">
        <f>=HYPERLINK("http://anyluxury.ru/shop/odezhda/futbolki/futbolka-regent-150-vintazhniy-siniy-137645/" , "1376.45 Футболка REGENT 150 винтажный синий, размер XS")</f>
      </c>
      <c r="C13487" s="4" t="n">
        <v>531.00</v>
      </c>
      <c r="D13487" s="4"/>
    </row>
    <row collapsed="" customFormat="false" customHeight="1" hidden="" ht="14" outlineLevel="0" r="13488">
      <c r="A13488" s="3" t="inlineStr">
        <is>
          <t>13444</t>
        </is>
      </c>
      <c r="B13488" s="4" t="s">
        <f>=HYPERLINK("http://anyluxury.ru/shop/odezhda/futbolki/futbolka-regent-150-vintazhniy-siniy-137645/" , "1376.45 Футболка REGENT 150 винтажный синий, размер S")</f>
      </c>
      <c r="C13488" s="4" t="n">
        <v>531.00</v>
      </c>
      <c r="D13488" s="4"/>
    </row>
    <row collapsed="" customFormat="false" customHeight="1" hidden="" ht="14" outlineLevel="0" r="13489">
      <c r="A13489" s="3" t="inlineStr">
        <is>
          <t>13445</t>
        </is>
      </c>
      <c r="B13489" s="4" t="s">
        <f>=HYPERLINK("http://anyluxury.ru/shop/odezhda/futbolki/futbolka-regent-150-vintazhniy-siniy-137645/" , "1376.45 Футболка REGENT 150 винтажный синий, размер XXL")</f>
      </c>
      <c r="C13489" s="4" t="n">
        <v>531.00</v>
      </c>
      <c r="D13489" s="4"/>
    </row>
    <row collapsed="" customFormat="false" customHeight="1" hidden="" ht="14" outlineLevel="0" r="13490">
      <c r="A13490" s="3" t="inlineStr">
        <is>
          <t>13446</t>
        </is>
      </c>
      <c r="B13490" s="4" t="s">
        <f>=HYPERLINK("http://anyluxury.ru/shop/odezhda/futbolki/futbolka-regent-150-vintazhniy-siniy-137645/" , "1376.45 Футболка Regent 150 винтажный синий, размер 3XL")</f>
      </c>
      <c r="C13490" s="4" t="n">
        <v>653.00</v>
      </c>
      <c r="D13490" s="4"/>
    </row>
    <row collapsed="" customFormat="false" customHeight="1" hidden="" ht="14" outlineLevel="0" r="13491">
      <c r="A13491" s="3" t="inlineStr">
        <is>
          <t>13447</t>
        </is>
      </c>
      <c r="B13491" s="4" t="s">
        <f>=HYPERLINK("http://anyluxury.ru/shop/odezhda/futbolki/futbolka-regent-150-vishnevokrasnaya-137651/" , "1376.51 Футболка REGENT 150 вишнево-красная, размер XS")</f>
      </c>
      <c r="C13491" s="4" t="n">
        <v>531.00</v>
      </c>
      <c r="D13491" s="4"/>
    </row>
    <row collapsed="" customFormat="false" customHeight="1" hidden="" ht="14" outlineLevel="0" r="13492">
      <c r="A13492" s="3" t="inlineStr">
        <is>
          <t>13448</t>
        </is>
      </c>
      <c r="B13492" s="4" t="s">
        <f>=HYPERLINK("http://anyluxury.ru/shop/odezhda/futbolki/futbolka-regent-150-vishnevokrasnaya-137651/" , "1376.51 Футболка REGENT 150 вишнево-красная, размер S")</f>
      </c>
      <c r="C13492" s="4" t="n">
        <v>531.00</v>
      </c>
      <c r="D13492" s="4"/>
    </row>
    <row collapsed="" customFormat="false" customHeight="1" hidden="" ht="14" outlineLevel="0" r="13493">
      <c r="A13493" s="3" t="inlineStr">
        <is>
          <t>13449</t>
        </is>
      </c>
      <c r="B13493" s="4" t="s">
        <f>=HYPERLINK("http://anyluxury.ru/shop/odezhda/futbolki/futbolka-regent-150-vishnevokrasnaya-137651/" , "1376.51 Футболка REGENT 150 вишнево-красная, размер L")</f>
      </c>
      <c r="C13493" s="4" t="n">
        <v>531.00</v>
      </c>
      <c r="D13493" s="4"/>
    </row>
    <row collapsed="" customFormat="false" customHeight="1" hidden="" ht="14" outlineLevel="0" r="13494">
      <c r="A13494" s="3" t="inlineStr">
        <is>
          <t>13450</t>
        </is>
      </c>
      <c r="B13494" s="4" t="s">
        <f>=HYPERLINK("http://anyluxury.ru/shop/odezhda/futbolki/futbolka-regent-150-yarkorozovaya-fuksiya-137657/" , "1376.57 Футболка REGENT 150 ярко-розовая (фуксия), размер XS")</f>
      </c>
      <c r="C13494" s="4" t="n">
        <v>531.00</v>
      </c>
      <c r="D13494" s="4"/>
    </row>
    <row collapsed="" customFormat="false" customHeight="1" hidden="" ht="14" outlineLevel="0" r="13495">
      <c r="A13495" s="3" t="inlineStr">
        <is>
          <t>13451</t>
        </is>
      </c>
      <c r="B13495" s="4" t="s">
        <f>=HYPERLINK("http://anyluxury.ru/shop/odezhda/futbolki/futbolka-regent-150-yarkorozovaya-fuksiya-137657/" , "1376.57 Футболка REGENT 150 ярко-розовая (фуксия), размер S")</f>
      </c>
      <c r="C13495" s="4" t="n">
        <v>531.00</v>
      </c>
      <c r="D13495" s="4"/>
    </row>
    <row collapsed="" customFormat="false" customHeight="1" hidden="" ht="14" outlineLevel="0" r="13496">
      <c r="A13496" s="3" t="inlineStr">
        <is>
          <t>13452</t>
        </is>
      </c>
      <c r="B13496" s="4" t="s">
        <f>=HYPERLINK("http://anyluxury.ru/shop/odezhda/futbolki/futbolka-regent-150-yarkorozovaya-fuksiya-137657/" , "1376.57 Футболка REGENT 150 ярко-розовая (фуксия), размер M")</f>
      </c>
      <c r="C13496" s="4" t="n">
        <v>531.00</v>
      </c>
      <c r="D13496" s="4"/>
    </row>
    <row collapsed="" customFormat="false" customHeight="1" hidden="" ht="14" outlineLevel="0" r="13497">
      <c r="A13497" s="3" t="inlineStr">
        <is>
          <t>13453</t>
        </is>
      </c>
      <c r="B13497" s="4" t="s">
        <f>=HYPERLINK("http://anyluxury.ru/shop/odezhda/futbolki/futbolka-regent-150-yarkorozovaya-fuksiya-137657/" , "1376.57 Футболка REGENT 150 ярко-розовая (фуксия), размер L")</f>
      </c>
      <c r="C13497" s="4" t="n">
        <v>531.00</v>
      </c>
      <c r="D13497" s="4"/>
    </row>
    <row collapsed="" customFormat="false" customHeight="1" hidden="" ht="14" outlineLevel="0" r="13498">
      <c r="A13498" s="3" t="inlineStr">
        <is>
          <t>13454</t>
        </is>
      </c>
      <c r="B13498" s="4" t="s">
        <f>=HYPERLINK("http://anyluxury.ru/shop/odezhda/futbolki/futbolka-regent-150-yarkorozovaya-fuksiya-137657/" , "1376.57 Футболка REGENT 150 ярко-розовая (фуксия), размер XL")</f>
      </c>
      <c r="C13498" s="4" t="n">
        <v>531.00</v>
      </c>
      <c r="D13498" s="4"/>
    </row>
    <row collapsed="" customFormat="false" customHeight="1" hidden="" ht="14" outlineLevel="0" r="13499">
      <c r="A13499" s="3" t="inlineStr">
        <is>
          <t>13455</t>
        </is>
      </c>
      <c r="B13499" s="4" t="s">
        <f>=HYPERLINK("http://anyluxury.ru/shop/odezhda/futbolki/futbolka-regent-150-yarkorozovaya-fuksiya-137657/" , "1376.57 Футболка REGENT 150 ярко-розовая (фуксия), размер XXL")</f>
      </c>
      <c r="C13499" s="4" t="n">
        <v>531.00</v>
      </c>
      <c r="D13499" s="4"/>
    </row>
    <row collapsed="" customFormat="false" customHeight="1" hidden="" ht="14" outlineLevel="0" r="13500">
      <c r="A13500" s="3" t="inlineStr">
        <is>
          <t>13456</t>
        </is>
      </c>
      <c r="B13500" s="4" t="s">
        <f>=HYPERLINK("http://anyluxury.ru/shop/odezhda/futbolki/futbolka-regent-150-yarkorozovaya-fuksiya-137657/" , "1376.57 Футболка Regent 150 фуксия, размер XXS")</f>
      </c>
      <c r="C13500" s="4" t="n">
        <v>531.00</v>
      </c>
      <c r="D13500" s="4"/>
    </row>
    <row collapsed="" customFormat="false" customHeight="1" hidden="" ht="14" outlineLevel="0" r="13501">
      <c r="A13501" s="3" t="inlineStr">
        <is>
          <t>13457</t>
        </is>
      </c>
      <c r="B13501" s="4" t="s">
        <f>=HYPERLINK("http://anyluxury.ru/shop/odezhda/futbolki/futbolka-regent-150-svetlobezhevaya-137669/" , "1376.69 Футболка REGENT 150 светло-бежевая, размер XS")</f>
      </c>
      <c r="C13501" s="4" t="n">
        <v>531.00</v>
      </c>
      <c r="D13501" s="4"/>
    </row>
    <row collapsed="" customFormat="false" customHeight="1" hidden="" ht="14" outlineLevel="0" r="13502">
      <c r="A13502" s="3" t="inlineStr">
        <is>
          <t>13458</t>
        </is>
      </c>
      <c r="B13502" s="4" t="s">
        <f>=HYPERLINK("http://anyluxury.ru/shop/odezhda/futbolki/futbolka-regent-150-svetlobezhevaya-137669/" , "1376.69 Футболка REGENT 150 светло-бежевая, размер S")</f>
      </c>
      <c r="C13502" s="4" t="n">
        <v>531.00</v>
      </c>
      <c r="D13502" s="4"/>
    </row>
    <row collapsed="" customFormat="false" customHeight="1" hidden="" ht="14" outlineLevel="0" r="13503">
      <c r="A13503" s="3" t="inlineStr">
        <is>
          <t>13459</t>
        </is>
      </c>
      <c r="B13503" s="4" t="s">
        <f>=HYPERLINK("http://anyluxury.ru/shop/odezhda/futbolki/futbolka-regent-150-svetlobezhevaya-137669/" , "1376.69 Футболка REGENT 150 светло-бежевая, размер M")</f>
      </c>
      <c r="C13503" s="4" t="n">
        <v>531.00</v>
      </c>
      <c r="D13503" s="4"/>
    </row>
    <row collapsed="" customFormat="false" customHeight="1" hidden="" ht="14" outlineLevel="0" r="13504">
      <c r="A13504" s="3" t="inlineStr">
        <is>
          <t>13460</t>
        </is>
      </c>
      <c r="B13504" s="4" t="s">
        <f>=HYPERLINK("http://anyluxury.ru/shop/odezhda/futbolki/futbolka-regent-150-svetlobezhevaya-137669/" , "1376.69 Футболка REGENT 150 светло-бежевая, размер L")</f>
      </c>
      <c r="C13504" s="4" t="n">
        <v>531.00</v>
      </c>
      <c r="D13504" s="4"/>
    </row>
    <row collapsed="" customFormat="false" customHeight="1" hidden="" ht="14" outlineLevel="0" r="13505">
      <c r="A13505" s="3" t="inlineStr">
        <is>
          <t>13461</t>
        </is>
      </c>
      <c r="B13505" s="4" t="s">
        <f>=HYPERLINK("http://anyluxury.ru/shop/odezhda/futbolki/futbolka-regent-150-svetlobezhevaya-137669/" , "1376.69 Футболка REGENT 150 светло-бежевая, размер XL")</f>
      </c>
      <c r="C13505" s="4" t="n">
        <v>531.00</v>
      </c>
      <c r="D13505" s="4"/>
    </row>
    <row collapsed="" customFormat="false" customHeight="1" hidden="" ht="14" outlineLevel="0" r="13506">
      <c r="A13506" s="3" t="inlineStr">
        <is>
          <t>13462</t>
        </is>
      </c>
      <c r="B13506" s="4" t="s">
        <f>=HYPERLINK("http://anyluxury.ru/shop/odezhda/futbolki/futbolka-regent-150-svetlobezhevaya-137669/" , "1376.69 Футболка REGENT 150 светло-бежевая, размер XXL")</f>
      </c>
      <c r="C13506" s="4" t="n">
        <v>531.00</v>
      </c>
      <c r="D13506" s="4"/>
    </row>
    <row collapsed="" customFormat="false" customHeight="1" hidden="" ht="14" outlineLevel="0" r="13507">
      <c r="A13507" s="3" t="inlineStr">
        <is>
          <t>13463</t>
        </is>
      </c>
      <c r="B13507" s="4" t="s">
        <f>=HYPERLINK("http://anyluxury.ru/shop/odezhda/futbolki/futbolka-regent-150-korichnevaya-137693/" , "1376.93 Футболка REGENT 150 коричневая, размер XS")</f>
      </c>
      <c r="C13507" s="4" t="n">
        <v>531.00</v>
      </c>
      <c r="D13507" s="4"/>
    </row>
    <row collapsed="" customFormat="false" customHeight="1" hidden="" ht="14" outlineLevel="0" r="13508">
      <c r="A13508" s="3" t="inlineStr">
        <is>
          <t>13464</t>
        </is>
      </c>
      <c r="B13508" s="4" t="s">
        <f>=HYPERLINK("http://anyluxury.ru/shop/odezhda/futbolki/futbolka-regent-150-korichnevaya-137693/" , "1376.93 Футболка REGENT 150 коричневая, размер S")</f>
      </c>
      <c r="C13508" s="4" t="n">
        <v>531.00</v>
      </c>
      <c r="D13508" s="4"/>
    </row>
    <row collapsed="" customFormat="false" customHeight="1" hidden="" ht="14" outlineLevel="0" r="13509">
      <c r="A13509" s="3" t="inlineStr">
        <is>
          <t>13465</t>
        </is>
      </c>
      <c r="B13509" s="4" t="s">
        <f>=HYPERLINK("http://anyluxury.ru/shop/odezhda/futbolki/futbolka-regent-150-korichnevaya-137693/" , "1376.93 Футболка REGENT 150 коричневая, размер M")</f>
      </c>
      <c r="C13509" s="4" t="n">
        <v>531.00</v>
      </c>
      <c r="D13509" s="4"/>
    </row>
    <row collapsed="" customFormat="false" customHeight="1" hidden="" ht="14" outlineLevel="0" r="13510">
      <c r="A13510" s="3" t="inlineStr">
        <is>
          <t>13466</t>
        </is>
      </c>
      <c r="B13510" s="4" t="s">
        <f>=HYPERLINK("http://anyluxury.ru/shop/odezhda/futbolki/futbolka-regent-150-korichnevaya-137693/" , "1376.93 Футболка REGENT 150 коричневая, размер L")</f>
      </c>
      <c r="C13510" s="4" t="n">
        <v>531.00</v>
      </c>
      <c r="D13510" s="4"/>
    </row>
    <row collapsed="" customFormat="false" customHeight="1" hidden="" ht="14" outlineLevel="0" r="13511">
      <c r="A13511" s="3" t="inlineStr">
        <is>
          <t>13467</t>
        </is>
      </c>
      <c r="B13511" s="4" t="s">
        <f>=HYPERLINK("http://anyluxury.ru/shop/odezhda/futbolki/futbolka-regent-150-korichnevaya-137693/" , "1376.93 Футболка REGENT 150 коричневая, размер XL")</f>
      </c>
      <c r="C13511" s="4" t="n">
        <v>531.00</v>
      </c>
      <c r="D13511" s="4"/>
    </row>
    <row collapsed="" customFormat="false" customHeight="1" hidden="" ht="14" outlineLevel="0" r="13512">
      <c r="A13512" s="3" t="inlineStr">
        <is>
          <t>13468</t>
        </is>
      </c>
      <c r="B13512" s="4" t="s">
        <f>=HYPERLINK("http://anyluxury.ru/shop/odezhda/futbolki/futbolka-regent-150-korichnevaya-137693/" , "1376.93 Футболка REGENT 150 коричневая, размер XXL")</f>
      </c>
      <c r="C13512" s="4" t="n">
        <v>531.00</v>
      </c>
      <c r="D13512" s="4"/>
    </row>
    <row collapsed="" customFormat="false" customHeight="1" hidden="" ht="14" outlineLevel="0" r="13513">
      <c r="A13513" s="3" t="inlineStr">
        <is>
          <t>13469</t>
        </is>
      </c>
      <c r="B13513" s="4" t="s">
        <f>=HYPERLINK("http://anyluxury.ru/shop/odezhda/futbolki/futbolka-regent-150-temniy-haki-137698/" , "1376.98 Футболка REGENT 150 темный хаки, размер XS")</f>
      </c>
      <c r="C13513" s="4" t="n">
        <v>531.00</v>
      </c>
      <c r="D13513" s="4"/>
    </row>
    <row collapsed="" customFormat="false" customHeight="1" hidden="" ht="14" outlineLevel="0" r="13514">
      <c r="A13514" s="3" t="inlineStr">
        <is>
          <t>13470</t>
        </is>
      </c>
      <c r="B13514" s="4" t="s">
        <f>=HYPERLINK("http://anyluxury.ru/shop/odezhda/futbolki/futbolka-regent-150-temniy-haki-137698/" , "1376.98 Футболка REGENT 150 темный хаки, размер S")</f>
      </c>
      <c r="C13514" s="4" t="n">
        <v>531.00</v>
      </c>
      <c r="D13514" s="4"/>
    </row>
    <row collapsed="" customFormat="false" customHeight="1" hidden="" ht="14" outlineLevel="0" r="13515">
      <c r="A13515" s="3" t="inlineStr">
        <is>
          <t>13471</t>
        </is>
      </c>
      <c r="B13515" s="4" t="s">
        <f>=HYPERLINK("http://anyluxury.ru/shop/odezhda/futbolki/futbolka-regent-150-temniy-haki-137698/" , "1376.98 Футболка REGENT 150 темный хaки, размер M")</f>
      </c>
      <c r="C13515" s="4" t="n">
        <v>531.00</v>
      </c>
      <c r="D13515" s="4"/>
    </row>
    <row collapsed="" customFormat="false" customHeight="1" hidden="" ht="14" outlineLevel="0" r="13516">
      <c r="A13516" s="3" t="inlineStr">
        <is>
          <t>13472</t>
        </is>
      </c>
      <c r="B13516" s="4" t="s">
        <f>=HYPERLINK("http://anyluxury.ru/shop/odezhda/futbolki/futbolka-regent-150-temniy-haki-137698/" , "1376.98 Футболка REGENT 150 темный хаки, размер XXL")</f>
      </c>
      <c r="C13516" s="4" t="n">
        <v>531.00</v>
      </c>
      <c r="D13516" s="4"/>
    </row>
    <row collapsed="" customFormat="false" customHeight="1" hidden="" ht="14" outlineLevel="0" r="13517">
      <c r="A13517" s="3" t="inlineStr">
        <is>
          <t>13473</t>
        </is>
      </c>
      <c r="B13517" s="4" t="s">
        <f>=HYPERLINK("http://anyluxury.ru/shop/odezhda/futbolki/futbolka-regent-150-temniy-haki-137698/" , "1376.98 Футболка Regent 150 темный хаки, размер XXS")</f>
      </c>
      <c r="C13517" s="4" t="n">
        <v>531.00</v>
      </c>
      <c r="D13517" s="4"/>
    </row>
    <row collapsed="" customFormat="false" customHeight="1" hidden="" ht="14" outlineLevel="0" r="13518">
      <c r="A13518" s="3" t="inlineStr">
        <is>
          <t>13474</t>
        </is>
      </c>
      <c r="B13518" s="4" t="s">
        <f>=HYPERLINK("http://anyluxury.ru/shop/odezhda/futbolki/futbolka-regent-150-temniy-haki-137698/" , "1376.98 Футболка Regent 150 темный хаки, размер XL")</f>
      </c>
      <c r="C13518" s="4" t="n">
        <v>531.00</v>
      </c>
      <c r="D13518" s="4"/>
    </row>
    <row collapsed="" customFormat="false" customHeight="1" hidden="" ht="14" outlineLevel="0" r="13519">
      <c r="A13519" s="3" t="inlineStr">
        <is>
          <t>13475</t>
        </is>
      </c>
      <c r="B13519" s="4" t="s">
        <f>=HYPERLINK("http://anyluxury.ru/shop/odezhda/futbolki/futbolka-regent-150-temniy-haki-137698/" , "1376.98 Футболка Regent 150 темный хаки, размер 3XL")</f>
      </c>
      <c r="C13519" s="4" t="n">
        <v>653.00</v>
      </c>
      <c r="D13519" s="4"/>
    </row>
    <row collapsed="" customFormat="false" customHeight="1" hidden="" ht="14" outlineLevel="0" r="13520">
      <c r="A13520" s="3" t="inlineStr">
        <is>
          <t>13476</t>
        </is>
      </c>
      <c r="B13520" s="4" t="s">
        <f>=HYPERLINK("http://anyluxury.ru/shop/odezhda/futbolki/futbolka-muzhskaya-mixed-men-krasniy-melanzh-01182163/" , "01182163 Футболка мужская MIXED MEN, красный меланж, размер S")</f>
      </c>
      <c r="C13520" s="4" t="n">
        <v>852.00</v>
      </c>
      <c r="D13520" s="4"/>
    </row>
    <row collapsed="" customFormat="false" customHeight="1" hidden="" ht="14" outlineLevel="0" r="13521">
      <c r="A13521" s="3" t="inlineStr">
        <is>
          <t>13477</t>
        </is>
      </c>
      <c r="B13521" s="4" t="s">
        <f>=HYPERLINK("http://anyluxury.ru/shop/odezhda/futbolki/futbolka-muzhskaya-mixed-men-krasniy-melanzh-01182163/" , "01182163 Футболка мужская MIXED MEN, красный меланж, размер M")</f>
      </c>
      <c r="C13521" s="4" t="n">
        <v>852.00</v>
      </c>
      <c r="D13521" s="4"/>
    </row>
    <row collapsed="" customFormat="false" customHeight="1" hidden="" ht="14" outlineLevel="0" r="13522">
      <c r="A13522" s="3" t="inlineStr">
        <is>
          <t>13478</t>
        </is>
      </c>
      <c r="B13522" s="4" t="s">
        <f>=HYPERLINK("http://anyluxury.ru/shop/odezhda/futbolki/futbolka-muzhskaya-mixed-men-krasniy-melanzh-01182163/" , "01182163 Футболка мужская MIXED MEN, красный меланж, размер L")</f>
      </c>
      <c r="C13522" s="4" t="n">
        <v>852.00</v>
      </c>
      <c r="D13522" s="4"/>
    </row>
    <row collapsed="" customFormat="false" customHeight="1" hidden="" ht="14" outlineLevel="0" r="13523">
      <c r="A13523" s="3" t="inlineStr">
        <is>
          <t>13479</t>
        </is>
      </c>
      <c r="B13523" s="4" t="s">
        <f>=HYPERLINK("http://anyluxury.ru/shop/odezhda/futbolki/futbolka-muzhskaya-mixed-men-krasniy-melanzh-01182163/" , "01182163 Футболка мужская MIXED MEN, красный меланж, размер XL")</f>
      </c>
      <c r="C13523" s="4" t="n">
        <v>852.00</v>
      </c>
      <c r="D13523" s="4"/>
    </row>
    <row collapsed="" customFormat="false" customHeight="1" hidden="" ht="14" outlineLevel="0" r="13524">
      <c r="A13524" s="3" t="inlineStr">
        <is>
          <t>13480</t>
        </is>
      </c>
      <c r="B13524" s="4" t="s">
        <f>=HYPERLINK("http://anyluxury.ru/shop/odezhda/futbolki/futbolka-muzhskaya-mixed-men-krasniy-melanzh-01182163/" , "01182163 Футболка мужская MIXED MEN, красный меланж, размер XXL")</f>
      </c>
      <c r="C13524" s="4" t="n">
        <v>852.00</v>
      </c>
      <c r="D13524" s="4"/>
    </row>
    <row collapsed="" customFormat="false" customHeight="1" hidden="" ht="14" outlineLevel="0" r="13525">
      <c r="A13525" s="3" t="inlineStr">
        <is>
          <t>13481</t>
        </is>
      </c>
      <c r="B13525" s="4" t="s">
        <f>=HYPERLINK("http://anyluxury.ru/shop/odezhda/futbolki/futbolka-muzhskaya-dvuhcvetnaya-funky-150-zheltaya-s-zelenim-11190883/" , "11190883 Футболка мужская двухцветная FUNKY 150, желтая с зеленым, размер S")</f>
      </c>
      <c r="C13525" s="4" t="n">
        <v>867.00</v>
      </c>
      <c r="D13525" s="4"/>
    </row>
    <row collapsed="" customFormat="false" customHeight="1" hidden="" ht="14" outlineLevel="0" r="13526">
      <c r="A13526" s="3" t="inlineStr">
        <is>
          <t>13482</t>
        </is>
      </c>
      <c r="B13526" s="4" t="s">
        <f>=HYPERLINK("http://anyluxury.ru/shop/odezhda/futbolki/futbolka-muzhskaya-dvuhcvetnaya-funky-150-zheltaya-s-zelenim-11190883/" , "11190883 Футболка мужская двухцветная FUNKY 150, желтая с зеленым, размер M")</f>
      </c>
      <c r="C13526" s="4" t="n">
        <v>867.00</v>
      </c>
      <c r="D13526" s="4"/>
    </row>
    <row collapsed="" customFormat="false" customHeight="1" hidden="" ht="14" outlineLevel="0" r="13527">
      <c r="A13527" s="3" t="inlineStr">
        <is>
          <t>13483</t>
        </is>
      </c>
      <c r="B13527" s="4" t="s">
        <f>=HYPERLINK("http://anyluxury.ru/shop/odezhda/futbolki/futbolka-muzhskaya-dvuhcvetnaya-funky-150-zheltaya-s-zelenim-11190883/" , "11190883 Футболка мужская двухцветная FUNKY 150, желтая с зеленым, размер L")</f>
      </c>
      <c r="C13527" s="4" t="n">
        <v>867.00</v>
      </c>
      <c r="D13527" s="4"/>
    </row>
    <row collapsed="" customFormat="false" customHeight="1" hidden="" ht="14" outlineLevel="0" r="13528">
      <c r="A13528" s="3" t="inlineStr">
        <is>
          <t>13484</t>
        </is>
      </c>
      <c r="B13528" s="4" t="s">
        <f>=HYPERLINK("http://anyluxury.ru/shop/odezhda/futbolki/futbolka-muzhskaya-dvuhcvetnaya-funky-150-zheltaya-s-zelenim-11190883/" , "11190883 Футболка мужская двухцветная FUNKY 150, желтая с зеленым, размер XL")</f>
      </c>
      <c r="C13528" s="4" t="n">
        <v>867.00</v>
      </c>
      <c r="D13528" s="4"/>
    </row>
    <row collapsed="" customFormat="false" customHeight="1" hidden="" ht="14" outlineLevel="0" r="13529">
      <c r="A13529" s="3" t="inlineStr">
        <is>
          <t>13485</t>
        </is>
      </c>
      <c r="B13529" s="4" t="s">
        <f>=HYPERLINK("http://anyluxury.ru/shop/odezhda/futbolki/futbolka-muzhskaya-dvuhcvetnaya-funky-150-zheltaya-s-zelenim-11190883/" , "11190883 Футболка мужская двухцветная FUNKY 150, желтая с зеленым, размер XXL")</f>
      </c>
      <c r="C13529" s="4" t="n">
        <v>867.00</v>
      </c>
      <c r="D13529" s="4"/>
    </row>
    <row collapsed="" customFormat="false" customHeight="1" hidden="" ht="14" outlineLevel="0" r="13530">
      <c r="A13530" s="3" t="inlineStr">
        <is>
          <t>13486</t>
        </is>
      </c>
      <c r="B13530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S")</f>
      </c>
      <c r="C13530" s="4" t="n">
        <v>867.00</v>
      </c>
      <c r="D13530" s="4"/>
    </row>
    <row collapsed="" customFormat="false" customHeight="1" hidden="" ht="14" outlineLevel="0" r="13531">
      <c r="A13531" s="3" t="inlineStr">
        <is>
          <t>13487</t>
        </is>
      </c>
      <c r="B13531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M")</f>
      </c>
      <c r="C13531" s="4" t="n">
        <v>867.00</v>
      </c>
      <c r="D13531" s="4"/>
    </row>
    <row collapsed="" customFormat="false" customHeight="1" hidden="" ht="14" outlineLevel="0" r="13532">
      <c r="A13532" s="3" t="inlineStr">
        <is>
          <t>13488</t>
        </is>
      </c>
      <c r="B13532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L")</f>
      </c>
      <c r="C13532" s="4" t="n">
        <v>867.00</v>
      </c>
      <c r="D13532" s="4"/>
    </row>
    <row collapsed="" customFormat="false" customHeight="1" hidden="" ht="14" outlineLevel="0" r="13533">
      <c r="A13533" s="3" t="inlineStr">
        <is>
          <t>13489</t>
        </is>
      </c>
      <c r="B13533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XL")</f>
      </c>
      <c r="C13533" s="4" t="n">
        <v>867.00</v>
      </c>
      <c r="D13533" s="4"/>
    </row>
    <row collapsed="" customFormat="false" customHeight="1" hidden="" ht="14" outlineLevel="0" r="13534">
      <c r="A13534" s="3" t="inlineStr">
        <is>
          <t>13490</t>
        </is>
      </c>
      <c r="B13534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XXL")</f>
      </c>
      <c r="C13534" s="4" t="n">
        <v>867.00</v>
      </c>
      <c r="D13534" s="4"/>
    </row>
    <row collapsed="" customFormat="false" customHeight="1" hidden="" ht="14" outlineLevel="0" r="13535">
      <c r="A13535" s="3" t="inlineStr">
        <is>
          <t>13491</t>
        </is>
      </c>
      <c r="B13535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S")</f>
      </c>
      <c r="C13535" s="4" t="n">
        <v>867.00</v>
      </c>
      <c r="D13535" s="4"/>
    </row>
    <row collapsed="" customFormat="false" customHeight="1" hidden="" ht="14" outlineLevel="0" r="13536">
      <c r="A13536" s="3" t="inlineStr">
        <is>
          <t>13492</t>
        </is>
      </c>
      <c r="B13536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M")</f>
      </c>
      <c r="C13536" s="4" t="n">
        <v>867.00</v>
      </c>
      <c r="D13536" s="4"/>
    </row>
    <row collapsed="" customFormat="false" customHeight="1" hidden="" ht="14" outlineLevel="0" r="13537">
      <c r="A13537" s="3" t="inlineStr">
        <is>
          <t>13493</t>
        </is>
      </c>
      <c r="B13537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L")</f>
      </c>
      <c r="C13537" s="4" t="n">
        <v>867.00</v>
      </c>
      <c r="D13537" s="4"/>
    </row>
    <row collapsed="" customFormat="false" customHeight="1" hidden="" ht="14" outlineLevel="0" r="13538">
      <c r="A13538" s="3" t="inlineStr">
        <is>
          <t>13494</t>
        </is>
      </c>
      <c r="B13538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XL")</f>
      </c>
      <c r="C13538" s="4" t="n">
        <v>867.00</v>
      </c>
      <c r="D13538" s="4"/>
    </row>
    <row collapsed="" customFormat="false" customHeight="1" hidden="" ht="14" outlineLevel="0" r="13539">
      <c r="A13539" s="3" t="inlineStr">
        <is>
          <t>13495</t>
        </is>
      </c>
      <c r="B13539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XXL")</f>
      </c>
      <c r="C13539" s="4" t="n">
        <v>867.00</v>
      </c>
      <c r="D13539" s="4"/>
    </row>
    <row collapsed="" customFormat="false" customHeight="1" hidden="" ht="14" outlineLevel="0" r="13540">
      <c r="A13540" s="3" t="inlineStr">
        <is>
          <t>13496</t>
        </is>
      </c>
      <c r="B13540" s="4" t="s">
        <f>=HYPERLINK("http://anyluxury.ru/shop/odezhda/futbolki/futbolka-muzhskaya-dvuhcvetnaya-funky-150-belaya-s-golubim-11190958/" , "11190958 Футболка мужская двухцветная FUNKY 150, белая с голубым, размер S")</f>
      </c>
      <c r="C13540" s="4" t="n">
        <v>867.00</v>
      </c>
      <c r="D13540" s="4"/>
    </row>
    <row collapsed="" customFormat="false" customHeight="1" hidden="" ht="14" outlineLevel="0" r="13541">
      <c r="A13541" s="3" t="inlineStr">
        <is>
          <t>13497</t>
        </is>
      </c>
      <c r="B13541" s="4" t="s">
        <f>=HYPERLINK("http://anyluxury.ru/shop/odezhda/futbolki/futbolka-muzhskaya-dvuhcvetnaya-funky-150-belaya-s-golubim-11190958/" , "11190958 Футболка мужская двухцветная FUNKY 150, белая с голубым, размер M")</f>
      </c>
      <c r="C13541" s="4" t="n">
        <v>867.00</v>
      </c>
      <c r="D13541" s="4"/>
    </row>
    <row collapsed="" customFormat="false" customHeight="1" hidden="" ht="14" outlineLevel="0" r="13542">
      <c r="A13542" s="3" t="inlineStr">
        <is>
          <t>13498</t>
        </is>
      </c>
      <c r="B13542" s="4" t="s">
        <f>=HYPERLINK("http://anyluxury.ru/shop/odezhda/futbolki/futbolka-muzhskaya-dvuhcvetnaya-funky-150-belaya-s-golubim-11190958/" , "11190958 Футболка мужская двухцветная FUNKY 150, белая с голубым, размер L")</f>
      </c>
      <c r="C13542" s="4" t="n">
        <v>867.00</v>
      </c>
      <c r="D13542" s="4"/>
    </row>
    <row collapsed="" customFormat="false" customHeight="1" hidden="" ht="14" outlineLevel="0" r="13543">
      <c r="A13543" s="3" t="inlineStr">
        <is>
          <t>13499</t>
        </is>
      </c>
      <c r="B13543" s="4" t="s">
        <f>=HYPERLINK("http://anyluxury.ru/shop/odezhda/futbolki/futbolka-muzhskaya-dvuhcvetnaya-funky-150-belaya-s-golubim-11190958/" , "11190958 Футболка мужская двухцветная FUNKY 150, белая с голубым, размер XL")</f>
      </c>
      <c r="C13543" s="4" t="n">
        <v>867.00</v>
      </c>
      <c r="D13543" s="4"/>
    </row>
    <row collapsed="" customFormat="false" customHeight="1" hidden="" ht="14" outlineLevel="0" r="13544">
      <c r="A13544" s="3" t="inlineStr">
        <is>
          <t>13500</t>
        </is>
      </c>
      <c r="B13544" s="4" t="s">
        <f>=HYPERLINK("http://anyluxury.ru/shop/odezhda/futbolki/futbolka-muzhskaya-dvuhcvetnaya-funky-150-belaya-s-golubim-11190958/" , "11190958 Футболка мужская двухцветная FUNKY 150, белая с голубым, размер XXL")</f>
      </c>
      <c r="C13544" s="4" t="n">
        <v>867.00</v>
      </c>
      <c r="D13544" s="4"/>
    </row>
    <row collapsed="" customFormat="false" customHeight="1" hidden="" ht="14" outlineLevel="0" r="13545">
      <c r="A13545" s="3" t="inlineStr">
        <is>
          <t>13501</t>
        </is>
      </c>
      <c r="B13545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S")</f>
      </c>
      <c r="C13545" s="4" t="n">
        <v>951.00</v>
      </c>
      <c r="D13545" s="4"/>
    </row>
    <row collapsed="" customFormat="false" customHeight="1" hidden="" ht="14" outlineLevel="0" r="13546">
      <c r="A13546" s="3" t="inlineStr">
        <is>
          <t>13502</t>
        </is>
      </c>
      <c r="B13546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M")</f>
      </c>
      <c r="C13546" s="4" t="n">
        <v>951.00</v>
      </c>
      <c r="D13546" s="4"/>
    </row>
    <row collapsed="" customFormat="false" customHeight="1" hidden="" ht="14" outlineLevel="0" r="13547">
      <c r="A13547" s="3" t="inlineStr">
        <is>
          <t>13503</t>
        </is>
      </c>
      <c r="B13547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L")</f>
      </c>
      <c r="C13547" s="4" t="n">
        <v>951.00</v>
      </c>
      <c r="D13547" s="4"/>
    </row>
    <row collapsed="" customFormat="false" customHeight="1" hidden="" ht="14" outlineLevel="0" r="13548">
      <c r="A13548" s="3" t="inlineStr">
        <is>
          <t>13504</t>
        </is>
      </c>
      <c r="B13548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XL")</f>
      </c>
      <c r="C13548" s="4" t="n">
        <v>951.00</v>
      </c>
      <c r="D13548" s="4"/>
    </row>
    <row collapsed="" customFormat="false" customHeight="1" hidden="" ht="14" outlineLevel="0" r="13549">
      <c r="A13549" s="3" t="inlineStr">
        <is>
          <t>13505</t>
        </is>
      </c>
      <c r="B13549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XXL")</f>
      </c>
      <c r="C13549" s="4" t="n">
        <v>951.00</v>
      </c>
      <c r="D13549" s="4"/>
    </row>
    <row collapsed="" customFormat="false" customHeight="1" hidden="" ht="14" outlineLevel="0" r="13550">
      <c r="A13550" s="3" t="inlineStr">
        <is>
          <t>13506</t>
        </is>
      </c>
      <c r="B13550" s="4" t="s">
        <f>=HYPERLINK("http://anyluxury.ru/shop/odezhda/futbolki/futbolka-zhenskaya-marylin-svetlozelenaya-11398274/" , "11398274 Футболка женская MARYLIN светло-зеленая, размер S")</f>
      </c>
      <c r="C13550" s="4" t="n">
        <v>1285.00</v>
      </c>
      <c r="D13550" s="4"/>
    </row>
    <row collapsed="" customFormat="false" customHeight="1" hidden="" ht="14" outlineLevel="0" r="13551">
      <c r="A13551" s="3" t="inlineStr">
        <is>
          <t>13507</t>
        </is>
      </c>
      <c r="B13551" s="4" t="s">
        <f>=HYPERLINK("http://anyluxury.ru/shop/odezhda/futbolki/futbolka-zhenskaya-marylin-svetlozelenaya-11398274/" , "11398274 Футболка женская MARYLIN светло-зеленая, размер M")</f>
      </c>
      <c r="C13551" s="4" t="n">
        <v>1285.00</v>
      </c>
      <c r="D13551" s="4"/>
    </row>
    <row collapsed="" customFormat="false" customHeight="1" hidden="" ht="14" outlineLevel="0" r="13552">
      <c r="A13552" s="3" t="inlineStr">
        <is>
          <t>13508</t>
        </is>
      </c>
      <c r="B13552" s="4" t="s">
        <f>=HYPERLINK("http://anyluxury.ru/shop/odezhda/futbolki/futbolka-zhenskaya-marylin-svetlozelenaya-11398274/" , "11398274 Футболка женская MARYLIN светло-зеленая, размер L")</f>
      </c>
      <c r="C13552" s="4" t="n">
        <v>1285.00</v>
      </c>
      <c r="D13552" s="4"/>
    </row>
    <row collapsed="" customFormat="false" customHeight="1" hidden="" ht="14" outlineLevel="0" r="13553">
      <c r="A13553" s="3" t="inlineStr">
        <is>
          <t>13509</t>
        </is>
      </c>
      <c r="B13553" s="4" t="s">
        <f>=HYPERLINK("http://anyluxury.ru/shop/odezhda/futbolki/futbolka-zhenskaya-marylin-svetlozelenaya-11398274/" , "11398274 Футболка женская MARYLIN светло-зеленая, размер XL")</f>
      </c>
      <c r="C13553" s="4" t="n">
        <v>1285.00</v>
      </c>
      <c r="D13553" s="4"/>
    </row>
    <row collapsed="" customFormat="false" customHeight="1" hidden="" ht="14" outlineLevel="0" r="13554">
      <c r="A13554" s="3" t="inlineStr">
        <is>
          <t>13510</t>
        </is>
      </c>
      <c r="B13554" s="4" t="s">
        <f>=HYPERLINK("http://anyluxury.ru/shop/odezhda/futbolki/futbolka-zhenskaya-marylin-svetlozelenaya-11398274/" , "11398274 Футболка женская MARYLIN светло-зеленая, размер XXL")</f>
      </c>
      <c r="C13554" s="4" t="n">
        <v>1285.00</v>
      </c>
      <c r="D13554" s="4"/>
    </row>
    <row collapsed="" customFormat="false" customHeight="1" hidden="" ht="14" outlineLevel="0" r="13555">
      <c r="A13555" s="3" t="inlineStr">
        <is>
          <t>13511</t>
        </is>
      </c>
      <c r="B13555" s="4" t="s">
        <f>=HYPERLINK("http://anyluxury.ru/shop/odezhda/futbolki/futbolka-zhenskaya-marylin-krasnaya-11398154/" , "11398154 Футболка женская MARYLIN красная, размер S")</f>
      </c>
      <c r="C13555" s="4" t="n">
        <v>1285.00</v>
      </c>
      <c r="D13555" s="4"/>
    </row>
    <row collapsed="" customFormat="false" customHeight="1" hidden="" ht="14" outlineLevel="0" r="13556">
      <c r="A13556" s="3" t="inlineStr">
        <is>
          <t>13512</t>
        </is>
      </c>
      <c r="B13556" s="4" t="s">
        <f>=HYPERLINK("http://anyluxury.ru/shop/odezhda/futbolki/futbolka-zhenskaya-marylin-krasnaya-11398154/" , "11398154 Футболка женская MARYLIN красная, размер M")</f>
      </c>
      <c r="C13556" s="4" t="n">
        <v>1285.00</v>
      </c>
      <c r="D13556" s="4"/>
    </row>
    <row collapsed="" customFormat="false" customHeight="1" hidden="" ht="14" outlineLevel="0" r="13557">
      <c r="A13557" s="3" t="inlineStr">
        <is>
          <t>13513</t>
        </is>
      </c>
      <c r="B13557" s="4" t="s">
        <f>=HYPERLINK("http://anyluxury.ru/shop/odezhda/futbolki/futbolka-zhenskaya-marylin-krasnaya-11398154/" , "11398154 Футболка женская MARYLIN красная, размер L")</f>
      </c>
      <c r="C13557" s="4" t="n">
        <v>1285.00</v>
      </c>
      <c r="D13557" s="4"/>
    </row>
    <row collapsed="" customFormat="false" customHeight="1" hidden="" ht="14" outlineLevel="0" r="13558">
      <c r="A13558" s="3" t="inlineStr">
        <is>
          <t>13514</t>
        </is>
      </c>
      <c r="B13558" s="4" t="s">
        <f>=HYPERLINK("http://anyluxury.ru/shop/odezhda/futbolki/futbolka-zhenskaya-marylin-krasnaya-11398154/" , "11398154 Футболка женская MARYLIN красная, размер XL")</f>
      </c>
      <c r="C13558" s="4" t="n">
        <v>1285.00</v>
      </c>
      <c r="D13558" s="4"/>
    </row>
    <row collapsed="" customFormat="false" customHeight="1" hidden="" ht="14" outlineLevel="0" r="13559">
      <c r="A13559" s="3" t="inlineStr">
        <is>
          <t>13515</t>
        </is>
      </c>
      <c r="B13559" s="4" t="s">
        <f>=HYPERLINK("http://anyluxury.ru/shop/odezhda/futbolki/futbolka-zhenskaya-marylin-krasnaya-11398154/" , "11398154 Футболка женская MARYLIN красная, размер XXL")</f>
      </c>
      <c r="C13559" s="4" t="n">
        <v>1285.00</v>
      </c>
      <c r="D13559" s="4"/>
    </row>
    <row collapsed="" customFormat="false" customHeight="1" hidden="" ht="14" outlineLevel="0" r="13560">
      <c r="A13560" s="3" t="inlineStr">
        <is>
          <t>13516</t>
        </is>
      </c>
      <c r="B13560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S")</f>
      </c>
      <c r="C13560" s="4" t="n">
        <v>892.00</v>
      </c>
      <c r="D13560" s="4"/>
    </row>
    <row collapsed="" customFormat="false" customHeight="1" hidden="" ht="14" outlineLevel="0" r="13561">
      <c r="A13561" s="3" t="inlineStr">
        <is>
          <t>13517</t>
        </is>
      </c>
      <c r="B13561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M")</f>
      </c>
      <c r="C13561" s="4" t="n">
        <v>892.00</v>
      </c>
      <c r="D13561" s="4"/>
    </row>
    <row collapsed="" customFormat="false" customHeight="1" hidden="" ht="14" outlineLevel="0" r="13562">
      <c r="A13562" s="3" t="inlineStr">
        <is>
          <t>13518</t>
        </is>
      </c>
      <c r="B13562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L")</f>
      </c>
      <c r="C13562" s="4" t="n">
        <v>892.00</v>
      </c>
      <c r="D13562" s="4"/>
    </row>
    <row collapsed="" customFormat="false" customHeight="1" hidden="" ht="14" outlineLevel="0" r="13563">
      <c r="A13563" s="3" t="inlineStr">
        <is>
          <t>13519</t>
        </is>
      </c>
      <c r="B13563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XL")</f>
      </c>
      <c r="C13563" s="4" t="n">
        <v>892.00</v>
      </c>
      <c r="D13563" s="4"/>
    </row>
    <row collapsed="" customFormat="false" customHeight="1" hidden="" ht="14" outlineLevel="0" r="13564">
      <c r="A13564" s="3" t="inlineStr">
        <is>
          <t>13520</t>
        </is>
      </c>
      <c r="B13564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XXL")</f>
      </c>
      <c r="C13564" s="4" t="n">
        <v>892.00</v>
      </c>
      <c r="D13564" s="4"/>
    </row>
    <row collapsed="" customFormat="false" customHeight="1" hidden="" ht="14" outlineLevel="0" r="13565">
      <c r="A13565" s="3" t="inlineStr">
        <is>
          <t>13521</t>
        </is>
      </c>
      <c r="B13565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S")</f>
      </c>
      <c r="C13565" s="4" t="n">
        <v>663.00</v>
      </c>
      <c r="D13565" s="4"/>
    </row>
    <row collapsed="" customFormat="false" customHeight="1" hidden="" ht="14" outlineLevel="0" r="13566">
      <c r="A13566" s="3" t="inlineStr">
        <is>
          <t>13522</t>
        </is>
      </c>
      <c r="B13566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M")</f>
      </c>
      <c r="C13566" s="4" t="n">
        <v>663.00</v>
      </c>
      <c r="D13566" s="4"/>
    </row>
    <row collapsed="" customFormat="false" customHeight="1" hidden="" ht="14" outlineLevel="0" r="13567">
      <c r="A13567" s="3" t="inlineStr">
        <is>
          <t>13523</t>
        </is>
      </c>
      <c r="B13567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L")</f>
      </c>
      <c r="C13567" s="4" t="n">
        <v>663.00</v>
      </c>
      <c r="D13567" s="4"/>
    </row>
    <row collapsed="" customFormat="false" customHeight="1" hidden="" ht="14" outlineLevel="0" r="13568">
      <c r="A13568" s="3" t="inlineStr">
        <is>
          <t>13524</t>
        </is>
      </c>
      <c r="B13568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XL")</f>
      </c>
      <c r="C13568" s="4" t="n">
        <v>663.00</v>
      </c>
      <c r="D13568" s="4"/>
    </row>
    <row collapsed="" customFormat="false" customHeight="1" hidden="" ht="14" outlineLevel="0" r="13569">
      <c r="A13569" s="3" t="inlineStr">
        <is>
          <t>13525</t>
        </is>
      </c>
      <c r="B13569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XXL")</f>
      </c>
      <c r="C13569" s="4" t="n">
        <v>663.00</v>
      </c>
      <c r="D13569" s="4"/>
    </row>
    <row collapsed="" customFormat="false" customHeight="1" hidden="" ht="14" outlineLevel="0" r="13570">
      <c r="A13570" s="3" t="inlineStr">
        <is>
          <t>13526</t>
        </is>
      </c>
      <c r="B13570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S")</f>
      </c>
      <c r="C13570" s="4" t="n">
        <v>663.00</v>
      </c>
      <c r="D13570" s="4"/>
    </row>
    <row collapsed="" customFormat="false" customHeight="1" hidden="" ht="14" outlineLevel="0" r="13571">
      <c r="A13571" s="3" t="inlineStr">
        <is>
          <t>13527</t>
        </is>
      </c>
      <c r="B13571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M")</f>
      </c>
      <c r="C13571" s="4" t="n">
        <v>663.00</v>
      </c>
      <c r="D13571" s="4"/>
    </row>
    <row collapsed="" customFormat="false" customHeight="1" hidden="" ht="14" outlineLevel="0" r="13572">
      <c r="A13572" s="3" t="inlineStr">
        <is>
          <t>13528</t>
        </is>
      </c>
      <c r="B13572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L")</f>
      </c>
      <c r="C13572" s="4" t="n">
        <v>663.00</v>
      </c>
      <c r="D13572" s="4"/>
    </row>
    <row collapsed="" customFormat="false" customHeight="1" hidden="" ht="14" outlineLevel="0" r="13573">
      <c r="A13573" s="3" t="inlineStr">
        <is>
          <t>13529</t>
        </is>
      </c>
      <c r="B13573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XL")</f>
      </c>
      <c r="C13573" s="4" t="n">
        <v>663.00</v>
      </c>
      <c r="D13573" s="4"/>
    </row>
    <row collapsed="" customFormat="false" customHeight="1" hidden="" ht="14" outlineLevel="0" r="13574">
      <c r="A13574" s="3" t="inlineStr">
        <is>
          <t>13530</t>
        </is>
      </c>
      <c r="B13574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XXL")</f>
      </c>
      <c r="C13574" s="4" t="n">
        <v>663.00</v>
      </c>
      <c r="D13574" s="4"/>
    </row>
    <row collapsed="" customFormat="false" customHeight="1" hidden="" ht="14" outlineLevel="0" r="13575">
      <c r="A13575" s="3" t="inlineStr">
        <is>
          <t>13531</t>
        </is>
      </c>
      <c r="B13575" s="4" t="s">
        <f>=HYPERLINK("http://anyluxury.ru/shop/odezhda/futbolki/futbolka-zhenskaya-s-vobraznim-virezom-moon-150-seriy-melanzh-11388350/" , "11388350 Футболка женская MOON серый меланж, размер S")</f>
      </c>
      <c r="C13575" s="4" t="n">
        <v>663.00</v>
      </c>
      <c r="D13575" s="4"/>
    </row>
    <row collapsed="" customFormat="false" customHeight="1" hidden="" ht="14" outlineLevel="0" r="13576">
      <c r="A13576" s="3" t="inlineStr">
        <is>
          <t>13532</t>
        </is>
      </c>
      <c r="B13576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M")</f>
      </c>
      <c r="C13576" s="4" t="n">
        <v>663.00</v>
      </c>
      <c r="D13576" s="4"/>
    </row>
    <row collapsed="" customFormat="false" customHeight="1" hidden="" ht="14" outlineLevel="0" r="13577">
      <c r="A13577" s="3" t="inlineStr">
        <is>
          <t>13533</t>
        </is>
      </c>
      <c r="B13577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L")</f>
      </c>
      <c r="C13577" s="4" t="n">
        <v>663.00</v>
      </c>
      <c r="D13577" s="4"/>
    </row>
    <row collapsed="" customFormat="false" customHeight="1" hidden="" ht="14" outlineLevel="0" r="13578">
      <c r="A13578" s="3" t="inlineStr">
        <is>
          <t>13534</t>
        </is>
      </c>
      <c r="B13578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XL")</f>
      </c>
      <c r="C13578" s="4" t="n">
        <v>663.00</v>
      </c>
      <c r="D13578" s="4"/>
    </row>
    <row collapsed="" customFormat="false" customHeight="1" hidden="" ht="14" outlineLevel="0" r="13579">
      <c r="A13579" s="3" t="inlineStr">
        <is>
          <t>13535</t>
        </is>
      </c>
      <c r="B13579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XXL")</f>
      </c>
      <c r="C13579" s="4" t="n">
        <v>663.00</v>
      </c>
      <c r="D13579" s="4"/>
    </row>
    <row collapsed="" customFormat="false" customHeight="1" hidden="" ht="14" outlineLevel="0" r="13580">
      <c r="A13580" s="3" t="inlineStr">
        <is>
          <t>13536</t>
        </is>
      </c>
      <c r="B13580" s="4" t="s">
        <f>=HYPERLINK("http://anyluxury.ru/shop/odezhda/futbolki/futbolka-uniseks-sporty-140-rozoviy-korall-11939153/" , "11939153 Футболка унисекс SPORTY 140, неоново-коралловая, размер XXS")</f>
      </c>
      <c r="C13580" s="4" t="n">
        <v>752.00</v>
      </c>
      <c r="D13580" s="4"/>
    </row>
    <row collapsed="" customFormat="false" customHeight="1" hidden="" ht="14" outlineLevel="0" r="13581">
      <c r="A13581" s="3" t="inlineStr">
        <is>
          <t>13537</t>
        </is>
      </c>
      <c r="B13581" s="4" t="s">
        <f>=HYPERLINK("http://anyluxury.ru/shop/odezhda/futbolki/futbolka-uniseks-sporty-140-rozoviy-korall-11939153/" , "11939153 Футболка унисекс SPORTY 140, неоново-коралловая, размер XS")</f>
      </c>
      <c r="C13581" s="4" t="n">
        <v>752.00</v>
      </c>
      <c r="D13581" s="4"/>
    </row>
    <row collapsed="" customFormat="false" customHeight="1" hidden="" ht="14" outlineLevel="0" r="13582">
      <c r="A13582" s="3" t="inlineStr">
        <is>
          <t>13538</t>
        </is>
      </c>
      <c r="B13582" s="4" t="s">
        <f>=HYPERLINK("http://anyluxury.ru/shop/odezhda/futbolki/futbolka-uniseks-sporty-140-rozoviy-korall-11939153/" , "11939153 Футболка унисекс SPORTY 140, неоново-коралловая, размер S")</f>
      </c>
      <c r="C13582" s="4" t="n">
        <v>752.00</v>
      </c>
      <c r="D13582" s="4"/>
    </row>
    <row collapsed="" customFormat="false" customHeight="1" hidden="" ht="14" outlineLevel="0" r="13583">
      <c r="A13583" s="3" t="inlineStr">
        <is>
          <t>13539</t>
        </is>
      </c>
      <c r="B13583" s="4" t="s">
        <f>=HYPERLINK("http://anyluxury.ru/shop/odezhda/futbolki/futbolka-uniseks-sporty-140-rozoviy-korall-11939153/" , "11939153 Футболка унисекс SPORTY 140, неоново-коралловая, размер M")</f>
      </c>
      <c r="C13583" s="4" t="n">
        <v>752.00</v>
      </c>
      <c r="D13583" s="4"/>
    </row>
    <row collapsed="" customFormat="false" customHeight="1" hidden="" ht="14" outlineLevel="0" r="13584">
      <c r="A13584" s="3" t="inlineStr">
        <is>
          <t>13540</t>
        </is>
      </c>
      <c r="B13584" s="4" t="s">
        <f>=HYPERLINK("http://anyluxury.ru/shop/odezhda/futbolki/futbolka-uniseks-sporty-140-rozoviy-korall-11939153/" , "11939153 Футболка унисекс SPORTY 140, неоново-коралловая, размер L")</f>
      </c>
      <c r="C13584" s="4" t="n">
        <v>752.00</v>
      </c>
      <c r="D13584" s="4"/>
    </row>
    <row collapsed="" customFormat="false" customHeight="1" hidden="" ht="14" outlineLevel="0" r="13585">
      <c r="A13585" s="3" t="inlineStr">
        <is>
          <t>13541</t>
        </is>
      </c>
      <c r="B13585" s="4" t="s">
        <f>=HYPERLINK("http://anyluxury.ru/shop/odezhda/futbolki/futbolka-uniseks-sporty-140-rozoviy-korall-11939153/" , "11939153 Футболка унисекс SPORTY 140, неоново-коралловая, размер XL")</f>
      </c>
      <c r="C13585" s="4" t="n">
        <v>752.00</v>
      </c>
      <c r="D13585" s="4"/>
    </row>
    <row collapsed="" customFormat="false" customHeight="1" hidden="" ht="14" outlineLevel="0" r="13586">
      <c r="A13586" s="3" t="inlineStr">
        <is>
          <t>13542</t>
        </is>
      </c>
      <c r="B13586" s="4" t="s">
        <f>=HYPERLINK("http://anyluxury.ru/shop/odezhda/futbolki/futbolka-uniseks-sporty-140-rozoviy-korall-11939153/" , "11939153 Футболка унисекс SPORTY 140, неоново-коралловая, размер XXL")</f>
      </c>
      <c r="C13586" s="4" t="n">
        <v>752.00</v>
      </c>
      <c r="D13586" s="4"/>
    </row>
    <row collapsed="" customFormat="false" customHeight="1" hidden="" ht="14" outlineLevel="0" r="13587">
      <c r="A13587" s="3" t="inlineStr">
        <is>
          <t>13543</t>
        </is>
      </c>
      <c r="B13587" s="4" t="s">
        <f>=HYPERLINK("http://anyluxury.ru/shop/odezhda/futbolki/futbolka-uniseks-sporty-140-rozoviy-korall-11939153/" , "11939153 Футболка унисекс SPORTY 140, неоново-коралловая, размер 3XL")</f>
      </c>
      <c r="C13587" s="4" t="n">
        <v>902.00</v>
      </c>
      <c r="D13587" s="4"/>
    </row>
    <row collapsed="" customFormat="false" customHeight="1" hidden="" ht="14" outlineLevel="0" r="13588">
      <c r="A13588" s="3" t="inlineStr">
        <is>
          <t>13544</t>
        </is>
      </c>
      <c r="B13588" s="4" t="s">
        <f>=HYPERLINK("http://anyluxury.ru/shop/odezhda/futbolki/futbolka-miles-men-seraya-s-zheltim-01398798/" , "01398798 Футболка MILES MEN серый с желтым, размер S")</f>
      </c>
      <c r="C13588" s="4" t="n">
        <v>1284.00</v>
      </c>
      <c r="D13588" s="4"/>
    </row>
    <row collapsed="" customFormat="false" customHeight="1" hidden="" ht="14" outlineLevel="0" r="13589">
      <c r="A13589" s="3" t="inlineStr">
        <is>
          <t>13545</t>
        </is>
      </c>
      <c r="B13589" s="4" t="s">
        <f>=HYPERLINK("http://anyluxury.ru/shop/odezhda/futbolki/futbolka-miles-men-seraya-s-zheltim-01398798/" , "01398798 Футболка MILES MEN серый с желтым, размер M")</f>
      </c>
      <c r="C13589" s="4" t="n">
        <v>1284.00</v>
      </c>
      <c r="D13589" s="4"/>
    </row>
    <row collapsed="" customFormat="false" customHeight="1" hidden="" ht="14" outlineLevel="0" r="13590">
      <c r="A13590" s="3" t="inlineStr">
        <is>
          <t>13546</t>
        </is>
      </c>
      <c r="B13590" s="4" t="s">
        <f>=HYPERLINK("http://anyluxury.ru/shop/odezhda/futbolki/futbolka-miles-men-seraya-s-zheltim-01398798/" , "01398798 Футболка MILES MEN серый с желтым, размер L")</f>
      </c>
      <c r="C13590" s="4" t="n">
        <v>1284.00</v>
      </c>
      <c r="D13590" s="4"/>
    </row>
    <row collapsed="" customFormat="false" customHeight="1" hidden="" ht="14" outlineLevel="0" r="13591">
      <c r="A13591" s="3" t="inlineStr">
        <is>
          <t>13547</t>
        </is>
      </c>
      <c r="B13591" s="4" t="s">
        <f>=HYPERLINK("http://anyluxury.ru/shop/odezhda/futbolki/futbolka-miles-men-seraya-s-zheltim-01398798/" , "01398798 Футболка MILES MEN серый с желтым, размер XL")</f>
      </c>
      <c r="C13591" s="4" t="n">
        <v>1284.00</v>
      </c>
      <c r="D13591" s="4"/>
    </row>
    <row collapsed="" customFormat="false" customHeight="1" hidden="" ht="14" outlineLevel="0" r="13592">
      <c r="A13592" s="3" t="inlineStr">
        <is>
          <t>13548</t>
        </is>
      </c>
      <c r="B13592" s="4" t="s">
        <f>=HYPERLINK("http://anyluxury.ru/shop/odezhda/futbolki/futbolka-miles-men-seraya-s-zheltim-01398798/" , "01398798 Футболка MILES MEN серый с желтым, размер XXL")</f>
      </c>
      <c r="C13592" s="4" t="n">
        <v>1284.00</v>
      </c>
      <c r="D13592" s="4"/>
    </row>
    <row collapsed="" customFormat="false" customHeight="1" hidden="" ht="14" outlineLevel="0" r="13593">
      <c r="A13593" s="3" t="inlineStr">
        <is>
          <t>13549</t>
        </is>
      </c>
      <c r="B13593" s="4" t="s">
        <f>=HYPERLINK("http://anyluxury.ru/shop/odezhda/futbolki/futbolka-miles-men-belaya-s-temnosinim-01398904/" , "01398904 Футболка MILES MEN белая с темно-синим, размер S")</f>
      </c>
      <c r="C13593" s="4" t="n">
        <v>1247.00</v>
      </c>
      <c r="D13593" s="4"/>
    </row>
    <row collapsed="" customFormat="false" customHeight="1" hidden="" ht="14" outlineLevel="0" r="13594">
      <c r="A13594" s="3" t="inlineStr">
        <is>
          <t>13550</t>
        </is>
      </c>
      <c r="B13594" s="4" t="s">
        <f>=HYPERLINK("http://anyluxury.ru/shop/odezhda/futbolki/futbolka-miles-men-belaya-s-temnosinim-01398904/" , "01398904 Футболка MILES MEN белая с темно-синим, размер XXL")</f>
      </c>
      <c r="C13594" s="4" t="n">
        <v>1247.00</v>
      </c>
      <c r="D13594" s="4"/>
    </row>
    <row collapsed="" customFormat="false" customHeight="1" hidden="" ht="14" outlineLevel="0" r="13595">
      <c r="A13595" s="3" t="inlineStr">
        <is>
          <t>13551</t>
        </is>
      </c>
      <c r="B13595" s="4" t="s">
        <f>=HYPERLINK("http://anyluxury.ru/shop/odezhda/futbolki/futbolka-miles-men-belaya-s-krasnim-01398987/" , "01398987 Футболка MILES MEN белая с красным, размер S")</f>
      </c>
      <c r="C13595" s="4" t="n">
        <v>1247.00</v>
      </c>
      <c r="D13595" s="4"/>
    </row>
    <row collapsed="" customFormat="false" customHeight="1" hidden="" ht="14" outlineLevel="0" r="13596">
      <c r="A13596" s="3" t="inlineStr">
        <is>
          <t>13552</t>
        </is>
      </c>
      <c r="B13596" s="4" t="s">
        <f>=HYPERLINK("http://anyluxury.ru/shop/odezhda/futbolki/futbolka-miles-men-belaya-s-krasnim-01398987/" , "01398987 Футболка MILES MEN белая с красным, размер M")</f>
      </c>
      <c r="C13596" s="4" t="n">
        <v>1247.00</v>
      </c>
      <c r="D13596" s="4"/>
    </row>
    <row collapsed="" customFormat="false" customHeight="1" hidden="" ht="14" outlineLevel="0" r="13597">
      <c r="A13597" s="3" t="inlineStr">
        <is>
          <t>13553</t>
        </is>
      </c>
      <c r="B13597" s="4" t="s">
        <f>=HYPERLINK("http://anyluxury.ru/shop/odezhda/futbolki/futbolka-miles-men-belaya-s-krasnim-01398987/" , "01398987 Футболка MILES MEN белая с красным, размер XXL")</f>
      </c>
      <c r="C13597" s="4" t="n">
        <v>1247.00</v>
      </c>
      <c r="D13597" s="4"/>
    </row>
    <row collapsed="" customFormat="false" customHeight="1" hidden="" ht="14" outlineLevel="0" r="13598">
      <c r="A13598" s="3" t="inlineStr">
        <is>
          <t>13554</t>
        </is>
      </c>
      <c r="B13598" s="4" t="s">
        <f>=HYPERLINK("http://anyluxury.ru/shop/odezhda/futbolki/futbolka-miles-women-seraya-s-zheltim-01399798/" , "01399798 Футболка MILES WOMEN серый с желтым, размер XS")</f>
      </c>
      <c r="C13598" s="4" t="n">
        <v>1260.00</v>
      </c>
      <c r="D13598" s="4"/>
    </row>
    <row collapsed="" customFormat="false" customHeight="1" hidden="" ht="14" outlineLevel="0" r="13599">
      <c r="A13599" s="3" t="inlineStr">
        <is>
          <t>13555</t>
        </is>
      </c>
      <c r="B13599" s="4" t="s">
        <f>=HYPERLINK("http://anyluxury.ru/shop/odezhda/futbolki/futbolka-miles-women-seraya-s-zheltim-01399798/" , "01399798 Футболка MILES WOMEN серый с желтым, размер S")</f>
      </c>
      <c r="C13599" s="4" t="n">
        <v>1260.00</v>
      </c>
      <c r="D13599" s="4"/>
    </row>
    <row collapsed="" customFormat="false" customHeight="1" hidden="" ht="14" outlineLevel="0" r="13600">
      <c r="A13600" s="3" t="inlineStr">
        <is>
          <t>13556</t>
        </is>
      </c>
      <c r="B13600" s="4" t="s">
        <f>=HYPERLINK("http://anyluxury.ru/shop/odezhda/futbolki/futbolka-miles-women-seraya-s-zheltim-01399798/" , "01399798 Футболка MILES WOMEN серый с желтым, размер M")</f>
      </c>
      <c r="C13600" s="4" t="n">
        <v>1260.00</v>
      </c>
      <c r="D13600" s="4"/>
    </row>
    <row collapsed="" customFormat="false" customHeight="1" hidden="" ht="14" outlineLevel="0" r="13601">
      <c r="A13601" s="3" t="inlineStr">
        <is>
          <t>13557</t>
        </is>
      </c>
      <c r="B13601" s="4" t="s">
        <f>=HYPERLINK("http://anyluxury.ru/shop/odezhda/futbolki/futbolka-miles-women-seraya-s-zheltim-01399798/" , "01399798 Футболка MILES WOMEN серый с желтым, размер L")</f>
      </c>
      <c r="C13601" s="4" t="n">
        <v>1260.00</v>
      </c>
      <c r="D13601" s="4"/>
    </row>
    <row collapsed="" customFormat="false" customHeight="1" hidden="" ht="14" outlineLevel="0" r="13602">
      <c r="A13602" s="3" t="inlineStr">
        <is>
          <t>13558</t>
        </is>
      </c>
      <c r="B13602" s="4" t="s">
        <f>=HYPERLINK("http://anyluxury.ru/shop/odezhda/futbolki/futbolka-miles-women-seraya-s-zheltim-01399798/" , "01399798 Футболка MILES WOMEN серый с желтым, размер XL")</f>
      </c>
      <c r="C13602" s="4" t="n">
        <v>1260.00</v>
      </c>
      <c r="D13602" s="4"/>
    </row>
    <row collapsed="" customFormat="false" customHeight="1" hidden="" ht="14" outlineLevel="0" r="13603">
      <c r="A13603" s="3" t="inlineStr">
        <is>
          <t>13559</t>
        </is>
      </c>
      <c r="B13603" s="4" t="s">
        <f>=HYPERLINK("http://anyluxury.ru/shop/odezhda/futbolki/futbolka-miles-women-seraya-s-zheltim-01399798/" , "01399798 Футболка MILES WOMEN серый с желтым, размер XXL")</f>
      </c>
      <c r="C13603" s="4" t="n">
        <v>1260.00</v>
      </c>
      <c r="D13603" s="4"/>
    </row>
    <row collapsed="" customFormat="false" customHeight="1" hidden="" ht="14" outlineLevel="0" r="13604">
      <c r="A13604" s="3" t="inlineStr">
        <is>
          <t>13560</t>
        </is>
      </c>
      <c r="B13604" s="4" t="s">
        <f>=HYPERLINK("http://anyluxury.ru/shop/odezhda/futbolki/futbolka-miles-women-belaya-s-temnosinim-01399904/" , "01399904 Футболка MILES WOMEN белая с темно-синим, размер XS")</f>
      </c>
      <c r="C13604" s="4" t="n">
        <v>1224.00</v>
      </c>
      <c r="D13604" s="4"/>
    </row>
    <row collapsed="" customFormat="false" customHeight="1" hidden="" ht="14" outlineLevel="0" r="13605">
      <c r="A13605" s="3" t="inlineStr">
        <is>
          <t>13561</t>
        </is>
      </c>
      <c r="B13605" s="4" t="s">
        <f>=HYPERLINK("http://anyluxury.ru/shop/odezhda/futbolki/futbolka-miles-women-belaya-s-temnosinim-01399904/" , "01399904 Футболка MILES WOMEN белая с темно-синим, размер L")</f>
      </c>
      <c r="C13605" s="4" t="n">
        <v>1224.00</v>
      </c>
      <c r="D13605" s="4"/>
    </row>
    <row collapsed="" customFormat="false" customHeight="1" hidden="" ht="14" outlineLevel="0" r="13606">
      <c r="A13606" s="3" t="inlineStr">
        <is>
          <t>13562</t>
        </is>
      </c>
      <c r="B13606" s="4" t="s">
        <f>=HYPERLINK("http://anyluxury.ru/shop/odezhda/futbolki/futbolka-miles-women-belaya-s-temnosinim-01399904/" , "01399904 Футболка MILES WOMEN белая с темно-синим, размер XL")</f>
      </c>
      <c r="C13606" s="4" t="n">
        <v>1224.00</v>
      </c>
      <c r="D13606" s="4"/>
    </row>
    <row collapsed="" customFormat="false" customHeight="1" hidden="" ht="14" outlineLevel="0" r="13607">
      <c r="A13607" s="3" t="inlineStr">
        <is>
          <t>13563</t>
        </is>
      </c>
      <c r="B13607" s="4" t="s">
        <f>=HYPERLINK("http://anyluxury.ru/shop/odezhda/futbolki/futbolka-miles-women-belaya-s-temnosinim-01399904/" , "01399904 Футболка MILES WOMEN белая с темно-синим, размер XXL")</f>
      </c>
      <c r="C13607" s="4" t="n">
        <v>1224.00</v>
      </c>
      <c r="D13607" s="4"/>
    </row>
    <row collapsed="" customFormat="false" customHeight="1" hidden="" ht="14" outlineLevel="0" r="13608">
      <c r="A13608" s="3" t="inlineStr">
        <is>
          <t>13564</t>
        </is>
      </c>
      <c r="B13608" s="4" t="s">
        <f>=HYPERLINK("http://anyluxury.ru/shop/odezhda/futbolki/futbolka-miles-women-belaya-s-krasnim-01399987/" , "01399987 Футболка MILES WOMEN белая с красным, размер XS")</f>
      </c>
      <c r="C13608" s="4" t="n">
        <v>1224.00</v>
      </c>
      <c r="D13608" s="4"/>
    </row>
    <row collapsed="" customFormat="false" customHeight="1" hidden="" ht="14" outlineLevel="0" r="13609">
      <c r="A13609" s="3" t="inlineStr">
        <is>
          <t>13565</t>
        </is>
      </c>
      <c r="B13609" s="4" t="s">
        <f>=HYPERLINK("http://anyluxury.ru/shop/odezhda/futbolki/futbolka-miles-women-belaya-s-krasnim-01399987/" , "01399987 Футболка MILES WOMEN белая с красным, размер S")</f>
      </c>
      <c r="C13609" s="4" t="n">
        <v>1224.00</v>
      </c>
      <c r="D13609" s="4"/>
    </row>
    <row collapsed="" customFormat="false" customHeight="1" hidden="" ht="14" outlineLevel="0" r="13610">
      <c r="A13610" s="3" t="inlineStr">
        <is>
          <t>13566</t>
        </is>
      </c>
      <c r="B13610" s="4" t="s">
        <f>=HYPERLINK("http://anyluxury.ru/shop/odezhda/futbolki/futbolka-miles-women-belaya-s-krasnim-01399987/" , "01399987 Футболка MILES WOMEN белая с красным, размер M")</f>
      </c>
      <c r="C13610" s="4" t="n">
        <v>1224.00</v>
      </c>
      <c r="D13610" s="4"/>
    </row>
    <row collapsed="" customFormat="false" customHeight="1" hidden="" ht="14" outlineLevel="0" r="13611">
      <c r="A13611" s="3" t="inlineStr">
        <is>
          <t>13567</t>
        </is>
      </c>
      <c r="B13611" s="4" t="s">
        <f>=HYPERLINK("http://anyluxury.ru/shop/odezhda/futbolki/futbolka-miles-women-belaya-s-krasnim-01399987/" , "01399987 Футболка MILES WOMEN белая с красным, размер L")</f>
      </c>
      <c r="C13611" s="4" t="n">
        <v>1224.00</v>
      </c>
      <c r="D13611" s="4"/>
    </row>
    <row collapsed="" customFormat="false" customHeight="1" hidden="" ht="14" outlineLevel="0" r="13612">
      <c r="A13612" s="3" t="inlineStr">
        <is>
          <t>13568</t>
        </is>
      </c>
      <c r="B13612" s="4" t="s">
        <f>=HYPERLINK("http://anyluxury.ru/shop/odezhda/futbolki/futbolka-miles-women-belaya-s-krasnim-01399987/" , "01399987 Футболка MILES WOMEN белая с красным, размер XL")</f>
      </c>
      <c r="C13612" s="4" t="n">
        <v>1224.00</v>
      </c>
      <c r="D13612" s="4"/>
    </row>
    <row collapsed="" customFormat="false" customHeight="1" hidden="" ht="14" outlineLevel="0" r="13613">
      <c r="A13613" s="3" t="inlineStr">
        <is>
          <t>13569</t>
        </is>
      </c>
      <c r="B13613" s="4" t="s">
        <f>=HYPERLINK("http://anyluxury.ru/shop/odezhda/futbolki/futbolka-miles-women-belaya-s-krasnim-01399987/" , "01399987 Футболка MILES WOMEN белая с красным, размер XXL")</f>
      </c>
      <c r="C13613" s="4" t="n">
        <v>1224.00</v>
      </c>
      <c r="D13613" s="4"/>
    </row>
    <row collapsed="" customFormat="false" customHeight="1" hidden="" ht="14" outlineLevel="0" r="13614">
      <c r="A13614" s="3" t="inlineStr">
        <is>
          <t>13570</t>
        </is>
      </c>
      <c r="B13614" s="4" t="s">
        <f>=HYPERLINK("http://anyluxury.ru/shop/odezhda/futbolki/sportivniy-top-rio-cherniy-01418312/" , "01418312 Футболка RIO черная, размер XS")</f>
      </c>
      <c r="C13614" s="4" t="n">
        <v>482.00</v>
      </c>
      <c r="D13614" s="4"/>
    </row>
    <row collapsed="" customFormat="false" customHeight="1" hidden="" ht="14" outlineLevel="0" r="13615">
      <c r="A13615" s="3" t="inlineStr">
        <is>
          <t>13571</t>
        </is>
      </c>
      <c r="B13615" s="4" t="s">
        <f>=HYPERLINK("http://anyluxury.ru/shop/odezhda/futbolki/sportivniy-top-rio-cherniy-01418312/" , "01418312 Футболка RIO черная, размер S")</f>
      </c>
      <c r="C13615" s="4" t="n">
        <v>482.00</v>
      </c>
      <c r="D13615" s="4"/>
    </row>
    <row collapsed="" customFormat="false" customHeight="1" hidden="" ht="14" outlineLevel="0" r="13616">
      <c r="A13616" s="3" t="inlineStr">
        <is>
          <t>13572</t>
        </is>
      </c>
      <c r="B13616" s="4" t="s">
        <f>=HYPERLINK("http://anyluxury.ru/shop/odezhda/futbolki/sportivniy-top-rio-cherniy-01418312/" , "01418312 Футболка RIO черная, размер M")</f>
      </c>
      <c r="C13616" s="4" t="n">
        <v>482.00</v>
      </c>
      <c r="D13616" s="4"/>
    </row>
    <row collapsed="" customFormat="false" customHeight="1" hidden="" ht="14" outlineLevel="0" r="13617">
      <c r="A13617" s="3" t="inlineStr">
        <is>
          <t>13573</t>
        </is>
      </c>
      <c r="B13617" s="4" t="s">
        <f>=HYPERLINK("http://anyluxury.ru/shop/odezhda/futbolki/sportivniy-top-rio-cherniy-01418312/" , "01418312 Футболка RIO черная, размер L")</f>
      </c>
      <c r="C13617" s="4" t="n">
        <v>482.00</v>
      </c>
      <c r="D13617" s="4"/>
    </row>
    <row collapsed="" customFormat="false" customHeight="1" hidden="" ht="14" outlineLevel="0" r="13618">
      <c r="A13618" s="3" t="inlineStr">
        <is>
          <t>13574</t>
        </is>
      </c>
      <c r="B13618" s="4" t="s">
        <f>=HYPERLINK("http://anyluxury.ru/shop/odezhda/futbolki/sportivniy-top-rio-cherniy-01418312/" , "01418312 Футболка RIO черная, размер XL")</f>
      </c>
      <c r="C13618" s="4" t="n">
        <v>482.00</v>
      </c>
      <c r="D13618" s="4"/>
    </row>
    <row collapsed="" customFormat="false" customHeight="1" hidden="" ht="14" outlineLevel="0" r="13619">
      <c r="A13619" s="3" t="inlineStr">
        <is>
          <t>13575</t>
        </is>
      </c>
      <c r="B13619" s="4" t="s">
        <f>=HYPERLINK("http://anyluxury.ru/shop/odezhda/futbolki/sportivniy-top-rio-cherniy-01418312/" , "01418312 Футболка RIO черная, размер XXL")</f>
      </c>
      <c r="C13619" s="4" t="n">
        <v>482.00</v>
      </c>
      <c r="D13619" s="4"/>
    </row>
    <row collapsed="" customFormat="false" customHeight="1" hidden="" ht="14" outlineLevel="0" r="13620">
      <c r="A13620" s="3" t="inlineStr">
        <is>
          <t>13576</t>
        </is>
      </c>
      <c r="B13620" s="4" t="s">
        <f>=HYPERLINK("http://anyluxury.ru/shop/odezhda/futbolki/sportivniy-top-rio-neonoviy-rozoviy-korall-01418153/" , "01418153 Футболка RIO неоновый розовый (коралл), размер XS")</f>
      </c>
      <c r="C13620" s="4" t="n">
        <v>482.00</v>
      </c>
      <c r="D13620" s="4"/>
    </row>
    <row collapsed="" customFormat="false" customHeight="1" hidden="" ht="14" outlineLevel="0" r="13621">
      <c r="A13621" s="3" t="inlineStr">
        <is>
          <t>13577</t>
        </is>
      </c>
      <c r="B13621" s="4" t="s">
        <f>=HYPERLINK("http://anyluxury.ru/shop/odezhda/futbolki/sportivniy-top-rio-neonoviy-rozoviy-korall-01418153/" , "01418153 Футболка RIO неоновый розовый (коралл), размер S")</f>
      </c>
      <c r="C13621" s="4" t="n">
        <v>482.00</v>
      </c>
      <c r="D13621" s="4"/>
    </row>
    <row collapsed="" customFormat="false" customHeight="1" hidden="" ht="14" outlineLevel="0" r="13622">
      <c r="A13622" s="3" t="inlineStr">
        <is>
          <t>13578</t>
        </is>
      </c>
      <c r="B13622" s="4" t="s">
        <f>=HYPERLINK("http://anyluxury.ru/shop/odezhda/futbolki/sportivniy-top-rio-neonoviy-rozoviy-korall-01418153/" , "01418153 Футболка RIO неоновый розовый (коралл), размер M")</f>
      </c>
      <c r="C13622" s="4" t="n">
        <v>482.00</v>
      </c>
      <c r="D13622" s="4"/>
    </row>
    <row collapsed="" customFormat="false" customHeight="1" hidden="" ht="14" outlineLevel="0" r="13623">
      <c r="A13623" s="3" t="inlineStr">
        <is>
          <t>13579</t>
        </is>
      </c>
      <c r="B13623" s="4" t="s">
        <f>=HYPERLINK("http://anyluxury.ru/shop/odezhda/futbolki/sportivniy-top-rio-neonoviy-rozoviy-korall-01418153/" , "01418153 Футболка RIO неоновый розовый (коралл), размер L")</f>
      </c>
      <c r="C13623" s="4" t="n">
        <v>482.00</v>
      </c>
      <c r="D13623" s="4"/>
    </row>
    <row collapsed="" customFormat="false" customHeight="1" hidden="" ht="14" outlineLevel="0" r="13624">
      <c r="A13624" s="3" t="inlineStr">
        <is>
          <t>13580</t>
        </is>
      </c>
      <c r="B13624" s="4" t="s">
        <f>=HYPERLINK("http://anyluxury.ru/shop/odezhda/futbolki/sportivniy-top-rio-neonoviy-rozoviy-korall-01418153/" , "01418153 Футболка RIO неоновый розовый (коралл), размер XL")</f>
      </c>
      <c r="C13624" s="4" t="n">
        <v>482.00</v>
      </c>
      <c r="D13624" s="4"/>
    </row>
    <row collapsed="" customFormat="false" customHeight="1" hidden="" ht="14" outlineLevel="0" r="13625">
      <c r="A13625" s="3" t="inlineStr">
        <is>
          <t>13581</t>
        </is>
      </c>
      <c r="B13625" s="4" t="s">
        <f>=HYPERLINK("http://anyluxury.ru/shop/odezhda/futbolki/sportivniy-top-rio-neonoviy-rozoviy-korall-01418153/" , "01418153 Футболка RIO неоновый розовый (коралл), размер XXL")</f>
      </c>
      <c r="C13625" s="4" t="n">
        <v>482.00</v>
      </c>
      <c r="D13625" s="4"/>
    </row>
    <row collapsed="" customFormat="false" customHeight="1" hidden="" ht="14" outlineLevel="0" r="13626">
      <c r="A13626" s="3" t="inlineStr">
        <is>
          <t>13582</t>
        </is>
      </c>
      <c r="B13626" s="4" t="s">
        <f>=HYPERLINK("http://anyluxury.ru/shop/odezhda/futbolki/sportivniy-top-rio-neonoviy-zheltiy-01418306/" , "01418306 Футболка RIO неоновый желтый, размер XS")</f>
      </c>
      <c r="C13626" s="4" t="n">
        <v>482.00</v>
      </c>
      <c r="D13626" s="4"/>
    </row>
    <row collapsed="" customFormat="false" customHeight="1" hidden="" ht="14" outlineLevel="0" r="13627">
      <c r="A13627" s="3" t="inlineStr">
        <is>
          <t>13583</t>
        </is>
      </c>
      <c r="B13627" s="4" t="s">
        <f>=HYPERLINK("http://anyluxury.ru/shop/odezhda/futbolki/sportivniy-top-rio-neonoviy-zheltiy-01418306/" , "01418306 Футболка RIO неоновый желтый, размер S")</f>
      </c>
      <c r="C13627" s="4" t="n">
        <v>482.00</v>
      </c>
      <c r="D13627" s="4"/>
    </row>
    <row collapsed="" customFormat="false" customHeight="1" hidden="" ht="14" outlineLevel="0" r="13628">
      <c r="A13628" s="3" t="inlineStr">
        <is>
          <t>13584</t>
        </is>
      </c>
      <c r="B13628" s="4" t="s">
        <f>=HYPERLINK("http://anyluxury.ru/shop/odezhda/futbolki/sportivniy-top-rio-neonoviy-zheltiy-01418306/" , "01418306 Футболка RIO неоновый желтый, размер M")</f>
      </c>
      <c r="C13628" s="4" t="n">
        <v>482.00</v>
      </c>
      <c r="D13628" s="4"/>
    </row>
    <row collapsed="" customFormat="false" customHeight="1" hidden="" ht="14" outlineLevel="0" r="13629">
      <c r="A13629" s="3" t="inlineStr">
        <is>
          <t>13585</t>
        </is>
      </c>
      <c r="B13629" s="4" t="s">
        <f>=HYPERLINK("http://anyluxury.ru/shop/odezhda/futbolki/sportivniy-top-rio-neonoviy-zheltiy-01418306/" , "01418306 Футболка RIO неоновый желтый, размер L")</f>
      </c>
      <c r="C13629" s="4" t="n">
        <v>482.00</v>
      </c>
      <c r="D13629" s="4"/>
    </row>
    <row collapsed="" customFormat="false" customHeight="1" hidden="" ht="14" outlineLevel="0" r="13630">
      <c r="A13630" s="3" t="inlineStr">
        <is>
          <t>13586</t>
        </is>
      </c>
      <c r="B13630" s="4" t="s">
        <f>=HYPERLINK("http://anyluxury.ru/shop/odezhda/futbolki/sportivniy-top-rio-neonoviy-zheltiy-01418306/" , "01418306 Футболка RIO неоновый желтый, размер XL")</f>
      </c>
      <c r="C13630" s="4" t="n">
        <v>482.00</v>
      </c>
      <c r="D13630" s="4"/>
    </row>
    <row collapsed="" customFormat="false" customHeight="1" hidden="" ht="14" outlineLevel="0" r="13631">
      <c r="A13631" s="3" t="inlineStr">
        <is>
          <t>13587</t>
        </is>
      </c>
      <c r="B13631" s="4" t="s">
        <f>=HYPERLINK("http://anyluxury.ru/shop/odezhda/futbolki/sportivniy-top-rio-neonoviy-zheltiy-01418306/" , "01418306 Футболка RIO неоновый желтый, размер XXL")</f>
      </c>
      <c r="C13631" s="4" t="n">
        <v>482.00</v>
      </c>
      <c r="D13631" s="4"/>
    </row>
    <row collapsed="" customFormat="false" customHeight="1" hidden="" ht="14" outlineLevel="0" r="13632">
      <c r="A13632" s="3" t="inlineStr">
        <is>
          <t>13588</t>
        </is>
      </c>
      <c r="B13632" s="4" t="s">
        <f>=HYPERLINK("http://anyluxury.ru/shop/odezhda/futbolki/sportivniy-top-rio-beliy-01418102/" , "01418102 Футболка RIO белая, размер XS")</f>
      </c>
      <c r="C13632" s="4" t="n">
        <v>482.00</v>
      </c>
      <c r="D13632" s="4"/>
    </row>
    <row collapsed="" customFormat="false" customHeight="1" hidden="" ht="14" outlineLevel="0" r="13633">
      <c r="A13633" s="3" t="inlineStr">
        <is>
          <t>13589</t>
        </is>
      </c>
      <c r="B13633" s="4" t="s">
        <f>=HYPERLINK("http://anyluxury.ru/shop/odezhda/futbolki/sportivniy-top-rio-beliy-01418102/" , "01418102 Футболка RIO белая, размер S")</f>
      </c>
      <c r="C13633" s="4" t="n">
        <v>482.00</v>
      </c>
      <c r="D13633" s="4"/>
    </row>
    <row collapsed="" customFormat="false" customHeight="1" hidden="" ht="14" outlineLevel="0" r="13634">
      <c r="A13634" s="3" t="inlineStr">
        <is>
          <t>13590</t>
        </is>
      </c>
      <c r="B13634" s="4" t="s">
        <f>=HYPERLINK("http://anyluxury.ru/shop/odezhda/futbolki/sportivniy-top-rio-beliy-01418102/" , "01418102 Футболка RIO белая, размер M")</f>
      </c>
      <c r="C13634" s="4" t="n">
        <v>482.00</v>
      </c>
      <c r="D13634" s="4"/>
    </row>
    <row collapsed="" customFormat="false" customHeight="1" hidden="" ht="14" outlineLevel="0" r="13635">
      <c r="A13635" s="3" t="inlineStr">
        <is>
          <t>13591</t>
        </is>
      </c>
      <c r="B13635" s="4" t="s">
        <f>=HYPERLINK("http://anyluxury.ru/shop/odezhda/futbolki/sportivniy-top-rio-beliy-01418102/" , "01418102 Футболка RIO белая, размер L")</f>
      </c>
      <c r="C13635" s="4" t="n">
        <v>482.00</v>
      </c>
      <c r="D13635" s="4"/>
    </row>
    <row collapsed="" customFormat="false" customHeight="1" hidden="" ht="14" outlineLevel="0" r="13636">
      <c r="A13636" s="3" t="inlineStr">
        <is>
          <t>13592</t>
        </is>
      </c>
      <c r="B13636" s="4" t="s">
        <f>=HYPERLINK("http://anyluxury.ru/shop/odezhda/futbolki/sportivniy-top-rio-beliy-01418102/" , "01418102 Футболка RIO белая, размер XL")</f>
      </c>
      <c r="C13636" s="4" t="n">
        <v>482.00</v>
      </c>
      <c r="D13636" s="4"/>
    </row>
    <row collapsed="" customFormat="false" customHeight="1" hidden="" ht="14" outlineLevel="0" r="13637">
      <c r="A13637" s="3" t="inlineStr">
        <is>
          <t>13593</t>
        </is>
      </c>
      <c r="B13637" s="4" t="s">
        <f>=HYPERLINK("http://anyluxury.ru/shop/odezhda/futbolki/sportivniy-top-rio-beliy-01418102/" , "01418102 Футболка RIO белая, размер XXL")</f>
      </c>
      <c r="C13637" s="4" t="n">
        <v>482.00</v>
      </c>
      <c r="D13637" s="4"/>
    </row>
    <row collapsed="" customFormat="false" customHeight="1" hidden="" ht="14" outlineLevel="0" r="13638">
      <c r="A13638" s="3" t="inlineStr">
        <is>
          <t>13594</t>
        </is>
      </c>
      <c r="B13638" s="4" t="s">
        <f>=HYPERLINK("http://anyluxury.ru/shop/odezhda/futbolki/futbolka-sydney-men-chernaya-01414312/" , "01414312 Футболка SYDNEY MEN черная, размер S")</f>
      </c>
      <c r="C13638" s="4" t="n">
        <v>1362.00</v>
      </c>
      <c r="D13638" s="4"/>
    </row>
    <row collapsed="" customFormat="false" customHeight="1" hidden="" ht="14" outlineLevel="0" r="13639">
      <c r="A13639" s="3" t="inlineStr">
        <is>
          <t>13595</t>
        </is>
      </c>
      <c r="B13639" s="4" t="s">
        <f>=HYPERLINK("http://anyluxury.ru/shop/odezhda/futbolki/futbolka-sydney-men-chernaya-01414312/" , "01414312 Футболка SYDNEY MEN черная, размер M")</f>
      </c>
      <c r="C13639" s="4" t="n">
        <v>1362.00</v>
      </c>
      <c r="D13639" s="4"/>
    </row>
    <row collapsed="" customFormat="false" customHeight="1" hidden="" ht="14" outlineLevel="0" r="13640">
      <c r="A13640" s="3" t="inlineStr">
        <is>
          <t>13596</t>
        </is>
      </c>
      <c r="B13640" s="4" t="s">
        <f>=HYPERLINK("http://anyluxury.ru/shop/odezhda/futbolki/futbolka-sydney-men-chernaya-01414312/" , "01414312 Футболка SYDNEY MEN черная, размер L")</f>
      </c>
      <c r="C13640" s="4" t="n">
        <v>1362.00</v>
      </c>
      <c r="D13640" s="4"/>
    </row>
    <row collapsed="" customFormat="false" customHeight="1" hidden="" ht="14" outlineLevel="0" r="13641">
      <c r="A13641" s="3" t="inlineStr">
        <is>
          <t>13597</t>
        </is>
      </c>
      <c r="B13641" s="4" t="s">
        <f>=HYPERLINK("http://anyluxury.ru/shop/odezhda/futbolki/futbolka-sydney-men-chernaya-01414312/" , "01414312 Футболка SYDNEY MEN черная, размер XL")</f>
      </c>
      <c r="C13641" s="4" t="n">
        <v>1362.00</v>
      </c>
      <c r="D13641" s="4"/>
    </row>
    <row collapsed="" customFormat="false" customHeight="1" hidden="" ht="14" outlineLevel="0" r="13642">
      <c r="A13642" s="3" t="inlineStr">
        <is>
          <t>13598</t>
        </is>
      </c>
      <c r="B13642" s="4" t="s">
        <f>=HYPERLINK("http://anyluxury.ru/shop/odezhda/futbolki/futbolka-sydney-men-chernaya-01414312/" , "01414312 Футболка SYDNEY MEN черная, размер XXL")</f>
      </c>
      <c r="C13642" s="4" t="n">
        <v>1362.00</v>
      </c>
      <c r="D13642" s="4"/>
    </row>
    <row collapsed="" customFormat="false" customHeight="1" hidden="" ht="14" outlineLevel="0" r="13643">
      <c r="A13643" s="3" t="inlineStr">
        <is>
          <t>13599</t>
        </is>
      </c>
      <c r="B13643" s="4" t="s">
        <f>=HYPERLINK("http://anyluxury.ru/shop/odezhda/futbolki/futbolka-sydney-men-chernaya-01414312/" , "01414312 Футболка SYDNEY MEN черная, размер 3XL")</f>
      </c>
      <c r="C13643" s="4" t="n">
        <v>1384.00</v>
      </c>
      <c r="D13643" s="4"/>
    </row>
    <row collapsed="" customFormat="false" customHeight="1" hidden="" ht="14" outlineLevel="0" r="13644">
      <c r="A13644" s="3" t="inlineStr">
        <is>
          <t>13600</t>
        </is>
      </c>
      <c r="B13644" s="4" t="s">
        <f>=HYPERLINK("http://anyluxury.ru/shop/odezhda/futbolki/futbolka-sydney-men-rozoviy-neon-01414153/" , "01414153 Футболка SYDNEY MEN, розовый неон, размер S")</f>
      </c>
      <c r="C13644" s="4" t="n">
        <v>1362.00</v>
      </c>
      <c r="D13644" s="4"/>
    </row>
    <row collapsed="" customFormat="false" customHeight="1" hidden="" ht="14" outlineLevel="0" r="13645">
      <c r="A13645" s="3" t="inlineStr">
        <is>
          <t>13601</t>
        </is>
      </c>
      <c r="B13645" s="4" t="s">
        <f>=HYPERLINK("http://anyluxury.ru/shop/odezhda/futbolki/futbolka-sydney-men-rozoviy-neon-01414153/" , "01414153 Футболка SYDNEY MEN, розовый неон, размер M")</f>
      </c>
      <c r="C13645" s="4" t="n">
        <v>1362.00</v>
      </c>
      <c r="D13645" s="4"/>
    </row>
    <row collapsed="" customFormat="false" customHeight="1" hidden="" ht="14" outlineLevel="0" r="13646">
      <c r="A13646" s="3" t="inlineStr">
        <is>
          <t>13602</t>
        </is>
      </c>
      <c r="B13646" s="4" t="s">
        <f>=HYPERLINK("http://anyluxury.ru/shop/odezhda/futbolki/futbolka-sydney-men-rozoviy-neon-01414153/" , "01414153 Футболка SYDNEY MEN, розовый неон, размер L")</f>
      </c>
      <c r="C13646" s="4" t="n">
        <v>1362.00</v>
      </c>
      <c r="D13646" s="4"/>
    </row>
    <row collapsed="" customFormat="false" customHeight="1" hidden="" ht="14" outlineLevel="0" r="13647">
      <c r="A13647" s="3" t="inlineStr">
        <is>
          <t>13603</t>
        </is>
      </c>
      <c r="B13647" s="4" t="s">
        <f>=HYPERLINK("http://anyluxury.ru/shop/odezhda/futbolki/futbolka-sydney-men-rozoviy-neon-01414153/" , "01414153 Футболка SYDNEY MEN, розовый неон, размер XL")</f>
      </c>
      <c r="C13647" s="4" t="n">
        <v>1362.00</v>
      </c>
      <c r="D13647" s="4"/>
    </row>
    <row collapsed="" customFormat="false" customHeight="1" hidden="" ht="14" outlineLevel="0" r="13648">
      <c r="A13648" s="3" t="inlineStr">
        <is>
          <t>13604</t>
        </is>
      </c>
      <c r="B13648" s="4" t="s">
        <f>=HYPERLINK("http://anyluxury.ru/shop/odezhda/futbolki/futbolka-sydney-men-rozoviy-neon-01414153/" , "01414153 Футболка SYDNEY MEN, розовый неон, размер XXL")</f>
      </c>
      <c r="C13648" s="4" t="n">
        <v>1362.00</v>
      </c>
      <c r="D13648" s="4"/>
    </row>
    <row collapsed="" customFormat="false" customHeight="1" hidden="" ht="14" outlineLevel="0" r="13649">
      <c r="A13649" s="3" t="inlineStr">
        <is>
          <t>13605</t>
        </is>
      </c>
      <c r="B13649" s="4" t="s">
        <f>=HYPERLINK("http://anyluxury.ru/shop/odezhda/futbolki/futbolka-sydney-men-rozoviy-neon-01414153/" , "01414153 Футболка SYDNEY MEN, розовый неон, размер 3XL")</f>
      </c>
      <c r="C13649" s="4" t="n">
        <v>1384.00</v>
      </c>
      <c r="D13649" s="4"/>
    </row>
    <row collapsed="" customFormat="false" customHeight="1" hidden="" ht="14" outlineLevel="0" r="13650">
      <c r="A13650" s="3" t="inlineStr">
        <is>
          <t>13606</t>
        </is>
      </c>
      <c r="B13650" s="4" t="s">
        <f>=HYPERLINK("http://anyluxury.ru/shop/odezhda/futbolki/futbolka-sydney-women-chernaya-01415312/" , "01415312 Футболка SYDNEY WOMEN черная, размер XS")</f>
      </c>
      <c r="C13650" s="4" t="n">
        <v>1328.00</v>
      </c>
      <c r="D13650" s="4"/>
    </row>
    <row collapsed="" customFormat="false" customHeight="1" hidden="" ht="14" outlineLevel="0" r="13651">
      <c r="A13651" s="3" t="inlineStr">
        <is>
          <t>13607</t>
        </is>
      </c>
      <c r="B13651" s="4" t="s">
        <f>=HYPERLINK("http://anyluxury.ru/shop/odezhda/futbolki/futbolka-sydney-women-chernaya-01415312/" , "01415312 Футболка SYDNEY WOMEN черная, размер S")</f>
      </c>
      <c r="C13651" s="4" t="n">
        <v>1328.00</v>
      </c>
      <c r="D13651" s="4"/>
    </row>
    <row collapsed="" customFormat="false" customHeight="1" hidden="" ht="14" outlineLevel="0" r="13652">
      <c r="A13652" s="3" t="inlineStr">
        <is>
          <t>13608</t>
        </is>
      </c>
      <c r="B13652" s="4" t="s">
        <f>=HYPERLINK("http://anyluxury.ru/shop/odezhda/futbolki/futbolka-sydney-women-chernaya-01415312/" , "01415312 Футболка SYDNEY WOMEN черная, размер M")</f>
      </c>
      <c r="C13652" s="4" t="n">
        <v>1328.00</v>
      </c>
      <c r="D13652" s="4"/>
    </row>
    <row collapsed="" customFormat="false" customHeight="1" hidden="" ht="14" outlineLevel="0" r="13653">
      <c r="A13653" s="3" t="inlineStr">
        <is>
          <t>13609</t>
        </is>
      </c>
      <c r="B13653" s="4" t="s">
        <f>=HYPERLINK("http://anyluxury.ru/shop/odezhda/futbolki/futbolka-sydney-women-chernaya-01415312/" , "01415312 Футболка SYDNEY WOMEN черная, размер L")</f>
      </c>
      <c r="C13653" s="4" t="n">
        <v>1328.00</v>
      </c>
      <c r="D13653" s="4"/>
    </row>
    <row collapsed="" customFormat="false" customHeight="1" hidden="" ht="14" outlineLevel="0" r="13654">
      <c r="A13654" s="3" t="inlineStr">
        <is>
          <t>13610</t>
        </is>
      </c>
      <c r="B13654" s="4" t="s">
        <f>=HYPERLINK("http://anyluxury.ru/shop/odezhda/futbolki/futbolka-sydney-women-chernaya-01415312/" , "01415312 Футболка SYDNEY WOMEN черная, размер XL")</f>
      </c>
      <c r="C13654" s="4" t="n">
        <v>1328.00</v>
      </c>
      <c r="D13654" s="4"/>
    </row>
    <row collapsed="" customFormat="false" customHeight="1" hidden="" ht="14" outlineLevel="0" r="13655">
      <c r="A13655" s="3" t="inlineStr">
        <is>
          <t>13611</t>
        </is>
      </c>
      <c r="B13655" s="4" t="s">
        <f>=HYPERLINK("http://anyluxury.ru/shop/odezhda/futbolki/futbolka-sydney-women-chernaya-01415312/" , "01415312 Футболка SYDNEY WOMEN черная, размер XXL")</f>
      </c>
      <c r="C13655" s="4" t="n">
        <v>1328.00</v>
      </c>
      <c r="D13655" s="4"/>
    </row>
    <row collapsed="" customFormat="false" customHeight="1" hidden="" ht="14" outlineLevel="0" r="13656">
      <c r="A13656" s="3" t="inlineStr">
        <is>
          <t>13612</t>
        </is>
      </c>
      <c r="B13656" s="4" t="s">
        <f>=HYPERLINK("http://anyluxury.ru/shop/odezhda/futbolki/futbolka-muzhskaya-heavy-zelenaya-154492/" , "1544.92 Футболка мужская HEAVY зеленая, размер S")</f>
      </c>
      <c r="C13656" s="4" t="n">
        <v>1090.00</v>
      </c>
      <c r="D13656" s="4"/>
    </row>
    <row collapsed="" customFormat="false" customHeight="1" hidden="" ht="14" outlineLevel="0" r="13657">
      <c r="A13657" s="3" t="inlineStr">
        <is>
          <t>13613</t>
        </is>
      </c>
      <c r="B13657" s="4" t="s">
        <f>=HYPERLINK("http://anyluxury.ru/shop/odezhda/futbolki/futbolka-muzhskaya-heavy-zelenaya-154492/" , "1544.92 Футболка мужская HEAVY зеленая, размер M")</f>
      </c>
      <c r="C13657" s="4" t="n">
        <v>1090.00</v>
      </c>
      <c r="D13657" s="4"/>
    </row>
    <row collapsed="" customFormat="false" customHeight="1" hidden="" ht="14" outlineLevel="0" r="13658">
      <c r="A13658" s="3" t="inlineStr">
        <is>
          <t>13614</t>
        </is>
      </c>
      <c r="B13658" s="4" t="s">
        <f>=HYPERLINK("http://anyluxury.ru/shop/odezhda/futbolki/futbolka-muzhskaya-heavy-zelenaya-154492/" , "1544.92 Футболка мужская HEAVY зеленая, размер L")</f>
      </c>
      <c r="C13658" s="4" t="n">
        <v>1168.00</v>
      </c>
      <c r="D13658" s="4"/>
    </row>
    <row collapsed="" customFormat="false" customHeight="1" hidden="" ht="14" outlineLevel="0" r="13659">
      <c r="A13659" s="3" t="inlineStr">
        <is>
          <t>13615</t>
        </is>
      </c>
      <c r="B13659" s="4" t="s">
        <f>=HYPERLINK("http://anyluxury.ru/shop/odezhda/futbolki/futbolka-muzhskaya-heavy-zelenaya-154492/" , "1544.92 Футболка мужская HEAVY зеленая, размер XL")</f>
      </c>
      <c r="C13659" s="4" t="n">
        <v>1168.00</v>
      </c>
      <c r="D13659" s="4"/>
    </row>
    <row collapsed="" customFormat="false" customHeight="1" hidden="" ht="14" outlineLevel="0" r="13660">
      <c r="A13660" s="3" t="inlineStr">
        <is>
          <t>13616</t>
        </is>
      </c>
      <c r="B13660" s="4" t="s">
        <f>=HYPERLINK("http://anyluxury.ru/shop/odezhda/futbolki/futbolka-muzhskaya-heavy-zelenaya-154492/" , "1544.92 Футболка мужская HEAVY зеленая, размер XXL")</f>
      </c>
      <c r="C13660" s="4" t="n">
        <v>1090.00</v>
      </c>
      <c r="D13660" s="4"/>
    </row>
    <row collapsed="" customFormat="false" customHeight="1" hidden="" ht="14" outlineLevel="0" r="13661">
      <c r="A13661" s="3" t="inlineStr">
        <is>
          <t>13617</t>
        </is>
      </c>
      <c r="B13661" s="4" t="s">
        <f>=HYPERLINK("http://anyluxury.ru/shop/odezhda/futbolki/futbolka-muzhskaya-heavy-zelenaya-154492/" , "1544.92 Футболка мужская HEAVY зеленая, размер 3XL")</f>
      </c>
      <c r="C13661" s="4" t="n">
        <v>1090.00</v>
      </c>
      <c r="D13661" s="4"/>
    </row>
    <row collapsed="" customFormat="false" customHeight="1" hidden="" ht="14" outlineLevel="0" r="13662">
      <c r="A13662" s="3" t="inlineStr">
        <is>
          <t>13618</t>
        </is>
      </c>
      <c r="B13662" s="4" t="s">
        <f>=HYPERLINK("http://anyluxury.ru/shop/odezhda/futbolki/futbolka-muzhskaya-heavy-zheltaya-154480/" , "1544.80 Футболка мужская HEAVY желтая, размер S")</f>
      </c>
      <c r="C13662" s="4" t="n">
        <v>1090.00</v>
      </c>
      <c r="D13662" s="4"/>
    </row>
    <row collapsed="" customFormat="false" customHeight="1" hidden="" ht="14" outlineLevel="0" r="13663">
      <c r="A13663" s="3" t="inlineStr">
        <is>
          <t>13619</t>
        </is>
      </c>
      <c r="B13663" s="4" t="s">
        <f>=HYPERLINK("http://anyluxury.ru/shop/odezhda/futbolki/futbolka-muzhskaya-heavy-zheltaya-154480/" , "1544.80 Футболка мужская HEAVY желтая, размер M")</f>
      </c>
      <c r="C13663" s="4" t="n">
        <v>1090.00</v>
      </c>
      <c r="D13663" s="4"/>
    </row>
    <row collapsed="" customFormat="false" customHeight="1" hidden="" ht="14" outlineLevel="0" r="13664">
      <c r="A13664" s="3" t="inlineStr">
        <is>
          <t>13620</t>
        </is>
      </c>
      <c r="B13664" s="4" t="s">
        <f>=HYPERLINK("http://anyluxury.ru/shop/odezhda/futbolki/futbolka-muzhskaya-heavy-zheltaya-154480/" , "1544.80 Футболка мужская HEAVY желтая, размер L")</f>
      </c>
      <c r="C13664" s="4" t="n">
        <v>1090.00</v>
      </c>
      <c r="D13664" s="4"/>
    </row>
    <row collapsed="" customFormat="false" customHeight="1" hidden="" ht="14" outlineLevel="0" r="13665">
      <c r="A13665" s="3" t="inlineStr">
        <is>
          <t>13621</t>
        </is>
      </c>
      <c r="B13665" s="4" t="s">
        <f>=HYPERLINK("http://anyluxury.ru/shop/odezhda/futbolki/futbolka-muzhskaya-heavy-zheltaya-154480/" , "1544.80 Футболка мужская HEAVY желтая, размер XL")</f>
      </c>
      <c r="C13665" s="4" t="n">
        <v>1090.00</v>
      </c>
      <c r="D13665" s="4"/>
    </row>
    <row collapsed="" customFormat="false" customHeight="1" hidden="" ht="14" outlineLevel="0" r="13666">
      <c r="A13666" s="3" t="inlineStr">
        <is>
          <t>13622</t>
        </is>
      </c>
      <c r="B13666" s="4" t="s">
        <f>=HYPERLINK("http://anyluxury.ru/shop/odezhda/futbolki/futbolka-muzhskaya-heavy-zheltaya-154480/" , "1544.80 Футболка мужская HEAVY желтая, размер XXL")</f>
      </c>
      <c r="C13666" s="4" t="n">
        <v>1090.00</v>
      </c>
      <c r="D13666" s="4"/>
    </row>
    <row collapsed="" customFormat="false" customHeight="1" hidden="" ht="14" outlineLevel="0" r="13667">
      <c r="A13667" s="3" t="inlineStr">
        <is>
          <t>13623</t>
        </is>
      </c>
      <c r="B13667" s="4" t="s">
        <f>=HYPERLINK("http://anyluxury.ru/shop/odezhda/futbolki/futbolka-muzhskaya-heavy-zheltaya-154480/" , "1544.80 Футболка мужская HEAVY желтая, размер 3XL")</f>
      </c>
      <c r="C13667" s="4" t="n">
        <v>1090.00</v>
      </c>
      <c r="D13667" s="4"/>
    </row>
    <row collapsed="" customFormat="false" customHeight="1" hidden="" ht="14" outlineLevel="0" r="13668">
      <c r="A13668" s="3" t="inlineStr">
        <is>
          <t>13624</t>
        </is>
      </c>
      <c r="B13668" s="4" t="s">
        <f>=HYPERLINK("http://anyluxury.ru/shop/odezhda/futbolki/futbolka-muzhskaya-heavy-zelenoe-yabloko-154494/" , "1544.94 Футболка мужская HEAVY зеленое яблоко, размер S")</f>
      </c>
      <c r="C13668" s="4" t="n">
        <v>1090.00</v>
      </c>
      <c r="D13668" s="4"/>
    </row>
    <row collapsed="" customFormat="false" customHeight="1" hidden="" ht="14" outlineLevel="0" r="13669">
      <c r="A13669" s="3" t="inlineStr">
        <is>
          <t>13625</t>
        </is>
      </c>
      <c r="B13669" s="4" t="s">
        <f>=HYPERLINK("http://anyluxury.ru/shop/odezhda/futbolki/futbolka-muzhskaya-heavy-zelenoe-yabloko-154494/" , "1544.94 Футболка мужская HEAVY зеленое яблоко, размер XXL")</f>
      </c>
      <c r="C13669" s="4" t="n">
        <v>1090.00</v>
      </c>
      <c r="D13669" s="4"/>
    </row>
    <row collapsed="" customFormat="false" customHeight="1" hidden="" ht="14" outlineLevel="0" r="13670">
      <c r="A13670" s="3" t="inlineStr">
        <is>
          <t>13626</t>
        </is>
      </c>
      <c r="B13670" s="4" t="s">
        <f>=HYPERLINK("http://anyluxury.ru/shop/odezhda/futbolki/futbolka-muzhskaya-heavy-zelenoe-yabloko-154494/" , "1544.94 Футболка мужская HEAVY зеленое яблоко, размер 3XL")</f>
      </c>
      <c r="C13670" s="4" t="n">
        <v>1090.00</v>
      </c>
      <c r="D13670" s="4"/>
    </row>
    <row collapsed="" customFormat="false" customHeight="1" hidden="" ht="14" outlineLevel="0" r="13671">
      <c r="A13671" s="3" t="inlineStr">
        <is>
          <t>13627</t>
        </is>
      </c>
      <c r="B13671" s="4" t="s">
        <f>=HYPERLINK("http://anyluxury.ru/shop/odezhda/futbolki/futbolka-muzhskaya-heavy-golubaya-154414/" , "1544.14 Футболка мужская HEAVY голубая, размер S")</f>
      </c>
      <c r="C13671" s="4" t="n">
        <v>1090.00</v>
      </c>
      <c r="D13671" s="4"/>
    </row>
    <row collapsed="" customFormat="false" customHeight="1" hidden="" ht="14" outlineLevel="0" r="13672">
      <c r="A13672" s="3" t="inlineStr">
        <is>
          <t>13628</t>
        </is>
      </c>
      <c r="B13672" s="4" t="s">
        <f>=HYPERLINK("http://anyluxury.ru/shop/odezhda/futbolki/futbolka-muzhskaya-heavy-golubaya-154414/" , "1544.14 Футболка мужская HEAVY голубая, размер M")</f>
      </c>
      <c r="C13672" s="4" t="n">
        <v>1090.00</v>
      </c>
      <c r="D13672" s="4"/>
    </row>
    <row collapsed="" customFormat="false" customHeight="1" hidden="" ht="14" outlineLevel="0" r="13673">
      <c r="A13673" s="3" t="inlineStr">
        <is>
          <t>13629</t>
        </is>
      </c>
      <c r="B13673" s="4" t="s">
        <f>=HYPERLINK("http://anyluxury.ru/shop/odezhda/futbolki/futbolka-muzhskaya-heavy-golubaya-154414/" , "1544.14 Футболка мужская HEAVY голубая, размер XL")</f>
      </c>
      <c r="C13673" s="4" t="n">
        <v>1058.00</v>
      </c>
      <c r="D13673" s="4"/>
    </row>
    <row collapsed="" customFormat="false" customHeight="1" hidden="" ht="14" outlineLevel="0" r="13674">
      <c r="A13674" s="3" t="inlineStr">
        <is>
          <t>13630</t>
        </is>
      </c>
      <c r="B13674" s="4" t="s">
        <f>=HYPERLINK("http://anyluxury.ru/shop/odezhda/futbolki/futbolka-muzhskaya-heavy-golubaya-154414/" , "1544.14 Футболка мужская HEAVY голубая, размер XXL")</f>
      </c>
      <c r="C13674" s="4" t="n">
        <v>1090.00</v>
      </c>
      <c r="D13674" s="4"/>
    </row>
    <row collapsed="" customFormat="false" customHeight="1" hidden="" ht="14" outlineLevel="0" r="13675">
      <c r="A13675" s="3" t="inlineStr">
        <is>
          <t>13631</t>
        </is>
      </c>
      <c r="B13675" s="4" t="s">
        <f>=HYPERLINK("http://anyluxury.ru/shop/odezhda/futbolki/futbolka-muzhskaya-heavy-golubaya-154414/" , "1544.14 Футболка мужская HEAVY голубая, размер 3XL")</f>
      </c>
      <c r="C13675" s="4" t="n">
        <v>1090.00</v>
      </c>
      <c r="D13675" s="4"/>
    </row>
    <row collapsed="" customFormat="false" customHeight="1" hidden="" ht="14" outlineLevel="0" r="13676">
      <c r="A13676" s="3" t="inlineStr">
        <is>
          <t>13632</t>
        </is>
      </c>
      <c r="B13676" s="4" t="s">
        <f>=HYPERLINK("http://anyluxury.ru/shop/odezhda/futbolki/futbolka-zhenskaya-lady-h-belaya-154560/" , "1545.60 Футболка женская HEAVY LADY белая, размер XS")</f>
      </c>
      <c r="C13676" s="4" t="n">
        <v>776.00</v>
      </c>
      <c r="D13676" s="4"/>
    </row>
    <row collapsed="" customFormat="false" customHeight="1" hidden="" ht="14" outlineLevel="0" r="13677">
      <c r="A13677" s="3" t="inlineStr">
        <is>
          <t>13633</t>
        </is>
      </c>
      <c r="B13677" s="4" t="s">
        <f>=HYPERLINK("http://anyluxury.ru/shop/odezhda/futbolki/futbolka-zhenskaya-lady-h-belaya-154560/" , "1545.60 Футболка женская HEAVY LADY белая, размер M")</f>
      </c>
      <c r="C13677" s="4" t="n">
        <v>776.00</v>
      </c>
      <c r="D13677" s="4"/>
    </row>
    <row collapsed="" customFormat="false" customHeight="1" hidden="" ht="14" outlineLevel="0" r="13678">
      <c r="A13678" s="3" t="inlineStr">
        <is>
          <t>13634</t>
        </is>
      </c>
      <c r="B13678" s="4" t="s">
        <f>=HYPERLINK("http://anyluxury.ru/shop/odezhda/futbolki/futbolka-zhenskaya-lady-h-belaya-154560/" , "1545.60 Футболка женская HEAVY LADY белая, размер L")</f>
      </c>
      <c r="C13678" s="4" t="n">
        <v>776.00</v>
      </c>
      <c r="D13678" s="4"/>
    </row>
    <row collapsed="" customFormat="false" customHeight="1" hidden="" ht="14" outlineLevel="0" r="13679">
      <c r="A13679" s="3" t="inlineStr">
        <is>
          <t>13635</t>
        </is>
      </c>
      <c r="B13679" s="4" t="s">
        <f>=HYPERLINK("http://anyluxury.ru/shop/odezhda/futbolki/futbolka-zhenskaya-lady-h-belaya-154560/" , "1545.60 Футболка женская HEAVY LADY белая, размер XL")</f>
      </c>
      <c r="C13679" s="4" t="n">
        <v>776.00</v>
      </c>
      <c r="D13679" s="4"/>
    </row>
    <row collapsed="" customFormat="false" customHeight="1" hidden="" ht="14" outlineLevel="0" r="13680">
      <c r="A13680" s="3" t="inlineStr">
        <is>
          <t>13636</t>
        </is>
      </c>
      <c r="B13680" s="4" t="s">
        <f>=HYPERLINK("http://anyluxury.ru/shop/odezhda/futbolki/futbolka-zhenskaya-lady-h-belaya-154560/" , "1545.60 Футболка женская HEAVY LADY белая, размер XXL")</f>
      </c>
      <c r="C13680" s="4" t="n">
        <v>776.00</v>
      </c>
      <c r="D13680" s="4"/>
    </row>
    <row collapsed="" customFormat="false" customHeight="1" hidden="" ht="14" outlineLevel="0" r="13681">
      <c r="A13681" s="3" t="inlineStr">
        <is>
          <t>13637</t>
        </is>
      </c>
      <c r="B13681" s="4" t="s">
        <f>=HYPERLINK("http://anyluxury.ru/shop/odezhda/futbolki/futbolka-zhenskaya-lady-h-zelenaya-154592/" , "1545.92 Футболка женская HEAVY LADY зеленая, размер XS")</f>
      </c>
      <c r="C13681" s="4" t="n">
        <v>776.00</v>
      </c>
      <c r="D13681" s="4"/>
    </row>
    <row collapsed="" customFormat="false" customHeight="1" hidden="" ht="14" outlineLevel="0" r="13682">
      <c r="A13682" s="3" t="inlineStr">
        <is>
          <t>13638</t>
        </is>
      </c>
      <c r="B13682" s="4" t="s">
        <f>=HYPERLINK("http://anyluxury.ru/shop/odezhda/futbolki/futbolka-zhenskaya-lady-h-zelenaya-154592/" , "1545.92 Футболка женская HEAVY LADY зеленая, размер S")</f>
      </c>
      <c r="C13682" s="4" t="n">
        <v>776.00</v>
      </c>
      <c r="D13682" s="4"/>
    </row>
    <row collapsed="" customFormat="false" customHeight="1" hidden="" ht="14" outlineLevel="0" r="13683">
      <c r="A13683" s="3" t="inlineStr">
        <is>
          <t>13639</t>
        </is>
      </c>
      <c r="B13683" s="4" t="s">
        <f>=HYPERLINK("http://anyluxury.ru/shop/odezhda/futbolki/futbolka-zhenskaya-lady-h-zelenaya-154592/" , "1545.92 Футболка женская HEAVY LADY зеленая, размер M")</f>
      </c>
      <c r="C13683" s="4" t="n">
        <v>776.00</v>
      </c>
      <c r="D13683" s="4"/>
    </row>
    <row collapsed="" customFormat="false" customHeight="1" hidden="" ht="14" outlineLevel="0" r="13684">
      <c r="A13684" s="3" t="inlineStr">
        <is>
          <t>13640</t>
        </is>
      </c>
      <c r="B13684" s="4" t="s">
        <f>=HYPERLINK("http://anyluxury.ru/shop/odezhda/futbolki/futbolka-zhenskaya-lady-h-zelenaya-154592/" , "1545.92 Футболка женская HEAVY LADY зеленая, размер L")</f>
      </c>
      <c r="C13684" s="4" t="n">
        <v>776.00</v>
      </c>
      <c r="D13684" s="4"/>
    </row>
    <row collapsed="" customFormat="false" customHeight="1" hidden="" ht="14" outlineLevel="0" r="13685">
      <c r="A13685" s="3" t="inlineStr">
        <is>
          <t>13641</t>
        </is>
      </c>
      <c r="B13685" s="4" t="s">
        <f>=HYPERLINK("http://anyluxury.ru/shop/odezhda/futbolki/futbolka-zhenskaya-lady-h-zelenaya-154592/" , "1545.92 Футболка женская HEAVY LADY зеленая, размер XL")</f>
      </c>
      <c r="C13685" s="4" t="n">
        <v>776.00</v>
      </c>
      <c r="D13685" s="4"/>
    </row>
    <row collapsed="" customFormat="false" customHeight="1" hidden="" ht="14" outlineLevel="0" r="13686">
      <c r="A13686" s="3" t="inlineStr">
        <is>
          <t>13642</t>
        </is>
      </c>
      <c r="B13686" s="4" t="s">
        <f>=HYPERLINK("http://anyluxury.ru/shop/odezhda/futbolki/futbolka-zhenskaya-lady-h-zelenaya-154592/" , "1545.92 Футболка женская HEAVY LADY зеленая, размер XXL")</f>
      </c>
      <c r="C13686" s="4" t="n">
        <v>776.00</v>
      </c>
      <c r="D13686" s="4"/>
    </row>
    <row collapsed="" customFormat="false" customHeight="1" hidden="" ht="14" outlineLevel="0" r="13687">
      <c r="A13687" s="3" t="inlineStr">
        <is>
          <t>13643</t>
        </is>
      </c>
      <c r="B13687" s="4" t="s">
        <f>=HYPERLINK("http://anyluxury.ru/shop/odezhda/futbolki/futbolka-zhenskaya-lady-h-oranzhevaya-154520/" , "1545.20 Футболка женская HEAVY LADY оранжевая, размер XS")</f>
      </c>
      <c r="C13687" s="4" t="n">
        <v>776.00</v>
      </c>
      <c r="D13687" s="4"/>
    </row>
    <row collapsed="" customFormat="false" customHeight="1" hidden="" ht="14" outlineLevel="0" r="13688">
      <c r="A13688" s="3" t="inlineStr">
        <is>
          <t>13644</t>
        </is>
      </c>
      <c r="B13688" s="4" t="s">
        <f>=HYPERLINK("http://anyluxury.ru/shop/odezhda/futbolki/futbolka-zhenskaya-lady-h-oranzhevaya-154520/" , "1545.20 Футболка женская HEAVY LADY оранжевая, размер S")</f>
      </c>
      <c r="C13688" s="4" t="n">
        <v>776.00</v>
      </c>
      <c r="D13688" s="4"/>
    </row>
    <row collapsed="" customFormat="false" customHeight="1" hidden="" ht="14" outlineLevel="0" r="13689">
      <c r="A13689" s="3" t="inlineStr">
        <is>
          <t>13645</t>
        </is>
      </c>
      <c r="B13689" s="4" t="s">
        <f>=HYPERLINK("http://anyluxury.ru/shop/odezhda/futbolki/futbolka-zhenskaya-lady-h-oranzhevaya-154520/" , "1545.20 Футболка женская HEAVY LADY оранжевая, размер M")</f>
      </c>
      <c r="C13689" s="4" t="n">
        <v>776.00</v>
      </c>
      <c r="D13689" s="4"/>
    </row>
    <row collapsed="" customFormat="false" customHeight="1" hidden="" ht="14" outlineLevel="0" r="13690">
      <c r="A13690" s="3" t="inlineStr">
        <is>
          <t>13646</t>
        </is>
      </c>
      <c r="B13690" s="4" t="s">
        <f>=HYPERLINK("http://anyluxury.ru/shop/odezhda/futbolki/futbolka-zhenskaya-lady-h-oranzhevaya-154520/" , "1545.20 Футболка женская HEAVY LADY оранжевая, размер L")</f>
      </c>
      <c r="C13690" s="4" t="n">
        <v>776.00</v>
      </c>
      <c r="D13690" s="4"/>
    </row>
    <row collapsed="" customFormat="false" customHeight="1" hidden="" ht="14" outlineLevel="0" r="13691">
      <c r="A13691" s="3" t="inlineStr">
        <is>
          <t>13647</t>
        </is>
      </c>
      <c r="B13691" s="4" t="s">
        <f>=HYPERLINK("http://anyluxury.ru/shop/odezhda/futbolki/futbolka-zhenskaya-lady-h-oranzhevaya-154520/" , "1545.20 Футболка женская HEAVY LADY оранжевая, размер XL")</f>
      </c>
      <c r="C13691" s="4" t="n">
        <v>776.00</v>
      </c>
      <c r="D13691" s="4"/>
    </row>
    <row collapsed="" customFormat="false" customHeight="1" hidden="" ht="14" outlineLevel="0" r="13692">
      <c r="A13692" s="3" t="inlineStr">
        <is>
          <t>13648</t>
        </is>
      </c>
      <c r="B13692" s="4" t="s">
        <f>=HYPERLINK("http://anyluxury.ru/shop/odezhda/futbolki/futbolka-zhenskaya-lady-h-oranzhevaya-154520/" , "1545.20 Футболка женская HEAVY LADY оранжевая, размер XXL")</f>
      </c>
      <c r="C13692" s="4" t="n">
        <v>776.00</v>
      </c>
      <c r="D13692" s="4"/>
    </row>
    <row collapsed="" customFormat="false" customHeight="1" hidden="" ht="14" outlineLevel="0" r="13693">
      <c r="A13693" s="3" t="inlineStr">
        <is>
          <t>13649</t>
        </is>
      </c>
      <c r="B13693" s="4" t="s">
        <f>=HYPERLINK("http://anyluxury.ru/shop/odezhda/futbolki/futbolka-zhenskaya-lady-h-zheltaya-154580/" , "1545.80 Футболка женская HEAVY LADY желтая, размер XS")</f>
      </c>
      <c r="C13693" s="4" t="n">
        <v>776.00</v>
      </c>
      <c r="D13693" s="4"/>
    </row>
    <row collapsed="" customFormat="false" customHeight="1" hidden="" ht="14" outlineLevel="0" r="13694">
      <c r="A13694" s="3" t="inlineStr">
        <is>
          <t>13650</t>
        </is>
      </c>
      <c r="B13694" s="4" t="s">
        <f>=HYPERLINK("http://anyluxury.ru/shop/odezhda/futbolki/futbolka-zhenskaya-lady-h-zheltaya-154580/" , "1545.80 Футболка женская HEAVY LADY желтая, размер L")</f>
      </c>
      <c r="C13694" s="4" t="n">
        <v>776.00</v>
      </c>
      <c r="D13694" s="4"/>
    </row>
    <row collapsed="" customFormat="false" customHeight="1" hidden="" ht="14" outlineLevel="0" r="13695">
      <c r="A13695" s="3" t="inlineStr">
        <is>
          <t>13651</t>
        </is>
      </c>
      <c r="B13695" s="4" t="s">
        <f>=HYPERLINK("http://anyluxury.ru/shop/odezhda/futbolki/futbolka-zhenskaya-lady-h-zheltaya-154580/" , "1545.80 Футболка женская HEAVY LADY желтая, размер XL")</f>
      </c>
      <c r="C13695" s="4" t="n">
        <v>776.00</v>
      </c>
      <c r="D13695" s="4"/>
    </row>
    <row collapsed="" customFormat="false" customHeight="1" hidden="" ht="14" outlineLevel="0" r="13696">
      <c r="A13696" s="3" t="inlineStr">
        <is>
          <t>13652</t>
        </is>
      </c>
      <c r="B13696" s="4" t="s">
        <f>=HYPERLINK("http://anyluxury.ru/shop/odezhda/futbolki/futbolka-zhenskaya-lady-h-zheltaya-154580/" , "1545.80 Футболка женская HEAVY LADY желтая, размер XXL")</f>
      </c>
      <c r="C13696" s="4" t="n">
        <v>776.00</v>
      </c>
      <c r="D13696" s="4"/>
    </row>
    <row collapsed="" customFormat="false" customHeight="1" hidden="" ht="14" outlineLevel="0" r="13697">
      <c r="A13697" s="3" t="inlineStr">
        <is>
          <t>13653</t>
        </is>
      </c>
      <c r="B13697" s="4" t="s">
        <f>=HYPERLINK("http://anyluxury.ru/shop/odezhda/futbolki/futbolka-zhenskaya-lady-h-zelenoe-yabloko-154594/" , "1545.94 Футболка женская HEAVY LADY зеленое яблоко, размер XS")</f>
      </c>
      <c r="C13697" s="4" t="n">
        <v>776.00</v>
      </c>
      <c r="D13697" s="4"/>
    </row>
    <row collapsed="" customFormat="false" customHeight="1" hidden="" ht="14" outlineLevel="0" r="13698">
      <c r="A13698" s="3" t="inlineStr">
        <is>
          <t>13654</t>
        </is>
      </c>
      <c r="B13698" s="4" t="s">
        <f>=HYPERLINK("http://anyluxury.ru/shop/odezhda/futbolki/futbolka-zhenskaya-lady-h-zelenoe-yabloko-154594/" , "1545.94 Футболка женская HEAVY LADY зеленое яблоко, размер M")</f>
      </c>
      <c r="C13698" s="4" t="n">
        <v>776.00</v>
      </c>
      <c r="D13698" s="4"/>
    </row>
    <row collapsed="" customFormat="false" customHeight="1" hidden="" ht="14" outlineLevel="0" r="13699">
      <c r="A13699" s="3" t="inlineStr">
        <is>
          <t>13655</t>
        </is>
      </c>
      <c r="B13699" s="4" t="s">
        <f>=HYPERLINK("http://anyluxury.ru/shop/odezhda/futbolki/futbolka-zhenskaya-lady-h-zelenoe-yabloko-154594/" , "1545.94 Футболка женская HEAVY LADY зеленое яблоко, размер L")</f>
      </c>
      <c r="C13699" s="4" t="n">
        <v>776.00</v>
      </c>
      <c r="D13699" s="4"/>
    </row>
    <row collapsed="" customFormat="false" customHeight="1" hidden="" ht="14" outlineLevel="0" r="13700">
      <c r="A13700" s="3" t="inlineStr">
        <is>
          <t>13656</t>
        </is>
      </c>
      <c r="B13700" s="4" t="s">
        <f>=HYPERLINK("http://anyluxury.ru/shop/odezhda/futbolki/futbolka-zhenskaya-lady-h-zelenoe-yabloko-154594/" , "1545.94 Футболка женская HEAVY LADY зеленое яблоко, размер XL")</f>
      </c>
      <c r="C13700" s="4" t="n">
        <v>776.00</v>
      </c>
      <c r="D13700" s="4"/>
    </row>
    <row collapsed="" customFormat="false" customHeight="1" hidden="" ht="14" outlineLevel="0" r="13701">
      <c r="A13701" s="3" t="inlineStr">
        <is>
          <t>13657</t>
        </is>
      </c>
      <c r="B13701" s="4" t="s">
        <f>=HYPERLINK("http://anyluxury.ru/shop/odezhda/futbolki/futbolka-zhenskaya-lady-h-zelenoe-yabloko-154594/" , "1545.94 Футболка женская HEAVY LADY зеленое яблоко, размер XXL")</f>
      </c>
      <c r="C13701" s="4" t="n">
        <v>776.00</v>
      </c>
      <c r="D13701" s="4"/>
    </row>
    <row collapsed="" customFormat="false" customHeight="1" hidden="" ht="14" outlineLevel="0" r="13702">
      <c r="A13702" s="3" t="inlineStr">
        <is>
          <t>13658</t>
        </is>
      </c>
      <c r="B13702" s="4" t="s">
        <f>=HYPERLINK("http://anyluxury.ru/shop/odezhda/futbolki/futbolka-zhenskaya-lady-h-golubaya-154514/" , "1545.14 Футболка женская HEAVY LADY голубая, размер XS")</f>
      </c>
      <c r="C13702" s="4" t="n">
        <v>776.00</v>
      </c>
      <c r="D13702" s="4"/>
    </row>
    <row collapsed="" customFormat="false" customHeight="1" hidden="" ht="14" outlineLevel="0" r="13703">
      <c r="A13703" s="3" t="inlineStr">
        <is>
          <t>13659</t>
        </is>
      </c>
      <c r="B13703" s="4" t="s">
        <f>=HYPERLINK("http://anyluxury.ru/shop/odezhda/futbolki/futbolka-zhenskaya-lady-h-golubaya-154514/" , "1545.14 Футболка женская HEAVY LADY голубая, размер S")</f>
      </c>
      <c r="C13703" s="4" t="n">
        <v>776.00</v>
      </c>
      <c r="D13703" s="4"/>
    </row>
    <row collapsed="" customFormat="false" customHeight="1" hidden="" ht="14" outlineLevel="0" r="13704">
      <c r="A13704" s="3" t="inlineStr">
        <is>
          <t>13660</t>
        </is>
      </c>
      <c r="B13704" s="4" t="s">
        <f>=HYPERLINK("http://anyluxury.ru/shop/odezhda/futbolki/futbolka-zhenskaya-lady-h-golubaya-154514/" , "1545.14 Футболка женская HEAVY LADY голубая, размер M")</f>
      </c>
      <c r="C13704" s="4" t="n">
        <v>776.00</v>
      </c>
      <c r="D13704" s="4"/>
    </row>
    <row collapsed="" customFormat="false" customHeight="1" hidden="" ht="14" outlineLevel="0" r="13705">
      <c r="A13705" s="3" t="inlineStr">
        <is>
          <t>13661</t>
        </is>
      </c>
      <c r="B13705" s="4" t="s">
        <f>=HYPERLINK("http://anyluxury.ru/shop/odezhda/futbolki/futbolka-zhenskaya-lady-h-golubaya-154514/" , "1545.14 Футболка женская HEAVY LADY голубая, размер L")</f>
      </c>
      <c r="C13705" s="4" t="n">
        <v>776.00</v>
      </c>
      <c r="D13705" s="4"/>
    </row>
    <row collapsed="" customFormat="false" customHeight="1" hidden="" ht="14" outlineLevel="0" r="13706">
      <c r="A13706" s="3" t="inlineStr">
        <is>
          <t>13662</t>
        </is>
      </c>
      <c r="B13706" s="4" t="s">
        <f>=HYPERLINK("http://anyluxury.ru/shop/odezhda/futbolki/futbolka-zhenskaya-lady-h-golubaya-154514/" , "1545.14 Футболка женская HEAVY LADY голубая, размер XL")</f>
      </c>
      <c r="C13706" s="4" t="n">
        <v>776.00</v>
      </c>
      <c r="D13706" s="4"/>
    </row>
    <row collapsed="" customFormat="false" customHeight="1" hidden="" ht="14" outlineLevel="0" r="13707">
      <c r="A13707" s="3" t="inlineStr">
        <is>
          <t>13663</t>
        </is>
      </c>
      <c r="B13707" s="4" t="s">
        <f>=HYPERLINK("http://anyluxury.ru/shop/odezhda/futbolki/futbolka-zhenskaya-lady-h-golubaya-154514/" , "1545.14 Футболка женская HEAVY LADY голубая, размер XXL")</f>
      </c>
      <c r="C13707" s="4" t="n">
        <v>776.00</v>
      </c>
      <c r="D13707" s="4"/>
    </row>
    <row collapsed="" customFormat="false" customHeight="1" hidden="" ht="14" outlineLevel="0" r="13708">
      <c r="A13708" s="3" t="inlineStr">
        <is>
          <t>13664</t>
        </is>
      </c>
      <c r="B13708" s="4" t="s">
        <f>=HYPERLINK("http://anyluxury.ru/shop/odezhda/futbolki/futbolka-zhenskaya-lady-h-bordovaya-154555/" , "1545.55 Футболка женская HEAVY LADY бордовая, размер XS")</f>
      </c>
      <c r="C13708" s="4" t="n">
        <v>776.00</v>
      </c>
      <c r="D13708" s="4"/>
    </row>
    <row collapsed="" customFormat="false" customHeight="1" hidden="" ht="14" outlineLevel="0" r="13709">
      <c r="A13709" s="3" t="inlineStr">
        <is>
          <t>13665</t>
        </is>
      </c>
      <c r="B13709" s="4" t="s">
        <f>=HYPERLINK("http://anyluxury.ru/shop/odezhda/futbolki/futbolka-zhenskaya-lady-h-bordovaya-154555/" , "1545.55 Футболка женская HEAVY LADY бордовая, размер M")</f>
      </c>
      <c r="C13709" s="4" t="n">
        <v>776.00</v>
      </c>
      <c r="D13709" s="4"/>
    </row>
    <row collapsed="" customFormat="false" customHeight="1" hidden="" ht="14" outlineLevel="0" r="13710">
      <c r="A13710" s="3" t="inlineStr">
        <is>
          <t>13666</t>
        </is>
      </c>
      <c r="B13710" s="4" t="s">
        <f>=HYPERLINK("http://anyluxury.ru/shop/odezhda/futbolki/futbolka-zhenskaya-lady-h-bordovaya-154555/" , "1545.55 Футболка женская HEAVY LADY бордовая, размер XL")</f>
      </c>
      <c r="C13710" s="4" t="n">
        <v>777.00</v>
      </c>
      <c r="D13710" s="4"/>
    </row>
    <row collapsed="" customFormat="false" customHeight="1" hidden="" ht="14" outlineLevel="0" r="13711">
      <c r="A13711" s="3" t="inlineStr">
        <is>
          <t>13667</t>
        </is>
      </c>
      <c r="B13711" s="4" t="s">
        <f>=HYPERLINK("http://anyluxury.ru/shop/odezhda/futbolki/futbolka-zhenskaya-lady-h-bordovaya-154555/" , "1545.55 Футболка женская HEAVY LADY бордовая, размер XXL")</f>
      </c>
      <c r="C13711" s="4" t="n">
        <v>776.00</v>
      </c>
      <c r="D13711" s="4"/>
    </row>
    <row collapsed="" customFormat="false" customHeight="1" hidden="" ht="14" outlineLevel="0" r="13712">
      <c r="A13712" s="3" t="inlineStr">
        <is>
          <t>13668</t>
        </is>
      </c>
      <c r="B13712" s="4" t="s">
        <f>=HYPERLINK("http://anyluxury.ru/shop/odezhda/futbolki/futbolka-zhenskaya-lady-h-yarkosinyaya-154544/" , "1545.44 Футболка женская HEAVY LADY ярко-синяя, размер XS")</f>
      </c>
      <c r="C13712" s="4" t="n">
        <v>776.00</v>
      </c>
      <c r="D13712" s="4"/>
    </row>
    <row collapsed="" customFormat="false" customHeight="1" hidden="" ht="14" outlineLevel="0" r="13713">
      <c r="A13713" s="3" t="inlineStr">
        <is>
          <t>13669</t>
        </is>
      </c>
      <c r="B13713" s="4" t="s">
        <f>=HYPERLINK("http://anyluxury.ru/shop/odezhda/futbolki/futbolka-zhenskaya-lady-h-yarkosinyaya-154544/" , "1545.44 Футболка женская HEAVY LADY ярко-синяя, размер S")</f>
      </c>
      <c r="C13713" s="4" t="n">
        <v>776.00</v>
      </c>
      <c r="D13713" s="4"/>
    </row>
    <row collapsed="" customFormat="false" customHeight="1" hidden="" ht="14" outlineLevel="0" r="13714">
      <c r="A13714" s="3" t="inlineStr">
        <is>
          <t>13670</t>
        </is>
      </c>
      <c r="B13714" s="4" t="s">
        <f>=HYPERLINK("http://anyluxury.ru/shop/odezhda/futbolki/futbolka-zhenskaya-lady-h-yarkosinyaya-154544/" , "1545.44 Футболка женская HEAVY LADY ярко-синяя, размер L")</f>
      </c>
      <c r="C13714" s="4" t="n">
        <v>776.00</v>
      </c>
      <c r="D13714" s="4"/>
    </row>
    <row collapsed="" customFormat="false" customHeight="1" hidden="" ht="14" outlineLevel="0" r="13715">
      <c r="A13715" s="3" t="inlineStr">
        <is>
          <t>13671</t>
        </is>
      </c>
      <c r="B13715" s="4" t="s">
        <f>=HYPERLINK("http://anyluxury.ru/shop/odezhda/futbolki/futbolka-zhenskaya-lady-h-yarkosinyaya-154544/" , "1545.44 Футболка женская HEAVY LADY ярко-синяя, размер XL")</f>
      </c>
      <c r="C13715" s="4" t="n">
        <v>776.00</v>
      </c>
      <c r="D13715" s="4"/>
    </row>
    <row collapsed="" customFormat="false" customHeight="1" hidden="" ht="14" outlineLevel="0" r="13716">
      <c r="A13716" s="3" t="inlineStr">
        <is>
          <t>13672</t>
        </is>
      </c>
      <c r="B13716" s="4" t="s">
        <f>=HYPERLINK("http://anyluxury.ru/shop/odezhda/futbolki/mayka-zhenskaya-justin-women-rozovaya-01826136/" , "01826136 Майка женская JUSTIN WOMEN розовая, размер XS")</f>
      </c>
      <c r="C13716" s="4" t="n">
        <v>565.00</v>
      </c>
      <c r="D13716" s="4"/>
    </row>
    <row collapsed="" customFormat="false" customHeight="1" hidden="" ht="14" outlineLevel="0" r="13717">
      <c r="A13717" s="3" t="inlineStr">
        <is>
          <t>13673</t>
        </is>
      </c>
      <c r="B13717" s="4" t="s">
        <f>=HYPERLINK("http://anyluxury.ru/shop/odezhda/futbolki/mayka-zhenskaya-justin-women-rozovaya-01826136/" , "01826136 Майка женская JUSTIN WOMEN розовая, размер S")</f>
      </c>
      <c r="C13717" s="4" t="n">
        <v>565.00</v>
      </c>
      <c r="D13717" s="4"/>
    </row>
    <row collapsed="" customFormat="false" customHeight="1" hidden="" ht="14" outlineLevel="0" r="13718">
      <c r="A13718" s="3" t="inlineStr">
        <is>
          <t>13674</t>
        </is>
      </c>
      <c r="B13718" s="4" t="s">
        <f>=HYPERLINK("http://anyluxury.ru/shop/odezhda/futbolki/mayka-zhenskaya-justin-women-rozovaya-01826136/" , "01826136 Майка женская JUSTIN WOMEN розовая, размер M")</f>
      </c>
      <c r="C13718" s="4" t="n">
        <v>565.00</v>
      </c>
      <c r="D13718" s="4"/>
    </row>
    <row collapsed="" customFormat="false" customHeight="1" hidden="" ht="14" outlineLevel="0" r="13719">
      <c r="A13719" s="3" t="inlineStr">
        <is>
          <t>13675</t>
        </is>
      </c>
      <c r="B13719" s="4" t="s">
        <f>=HYPERLINK("http://anyluxury.ru/shop/odezhda/futbolki/mayka-zhenskaya-justin-women-rozovaya-01826136/" , "01826136 Майка женская JUSTIN WOMEN розовая, размер L")</f>
      </c>
      <c r="C13719" s="4" t="n">
        <v>565.00</v>
      </c>
      <c r="D13719" s="4"/>
    </row>
    <row collapsed="" customFormat="false" customHeight="1" hidden="" ht="14" outlineLevel="0" r="13720">
      <c r="A13720" s="3" t="inlineStr">
        <is>
          <t>13676</t>
        </is>
      </c>
      <c r="B13720" s="4" t="s">
        <f>=HYPERLINK("http://anyluxury.ru/shop/odezhda/futbolki/mayka-zhenskaya-justin-women-rozovaya-01826136/" , "01826136 Майка женская JUSTIN WOMEN розовая, размер XL")</f>
      </c>
      <c r="C13720" s="4" t="n">
        <v>565.00</v>
      </c>
      <c r="D13720" s="4"/>
    </row>
    <row collapsed="" customFormat="false" customHeight="1" hidden="" ht="14" outlineLevel="0" r="13721">
      <c r="A13721" s="3" t="inlineStr">
        <is>
          <t>13677</t>
        </is>
      </c>
      <c r="B13721" s="4" t="s">
        <f>=HYPERLINK("http://anyluxury.ru/shop/odezhda/futbolki/mayka-zhenskaya-justin-women-rozovaya-01826136/" , "01826136 Майка женская JUSTIN WOMEN розовая, размер XXL")</f>
      </c>
      <c r="C13721" s="4" t="n">
        <v>565.00</v>
      </c>
      <c r="D13721" s="4"/>
    </row>
    <row collapsed="" customFormat="false" customHeight="1" hidden="" ht="14" outlineLevel="0" r="13722">
      <c r="A13722" s="3" t="inlineStr">
        <is>
          <t>13678</t>
        </is>
      </c>
      <c r="B13722" s="4" t="s">
        <f>=HYPERLINK("http://anyluxury.ru/shop/odezhda/futbolki/mayka-zhenskaya-justin-women-krasnaya-01826145/" , "01826145 Майка женская JUSTIN WOMEN красная, размер XS")</f>
      </c>
      <c r="C13722" s="4" t="n">
        <v>640.00</v>
      </c>
      <c r="D13722" s="4"/>
    </row>
    <row collapsed="" customFormat="false" customHeight="1" hidden="" ht="14" outlineLevel="0" r="13723">
      <c r="A13723" s="3" t="inlineStr">
        <is>
          <t>13679</t>
        </is>
      </c>
      <c r="B13723" s="4" t="s">
        <f>=HYPERLINK("http://anyluxury.ru/shop/odezhda/futbolki/mayka-zhenskaya-justin-women-krasnaya-01826145/" , "01826145 Майка женская JUSTIN WOMEN красная, размер S")</f>
      </c>
      <c r="C13723" s="4" t="n">
        <v>640.00</v>
      </c>
      <c r="D13723" s="4"/>
    </row>
    <row collapsed="" customFormat="false" customHeight="1" hidden="" ht="14" outlineLevel="0" r="13724">
      <c r="A13724" s="3" t="inlineStr">
        <is>
          <t>13680</t>
        </is>
      </c>
      <c r="B13724" s="4" t="s">
        <f>=HYPERLINK("http://anyluxury.ru/shop/odezhda/futbolki/mayka-zhenskaya-justin-women-krasnaya-01826145/" , "01826145 Майка женская JUSTIN WOMEN красная, размер M")</f>
      </c>
      <c r="C13724" s="4" t="n">
        <v>640.00</v>
      </c>
      <c r="D13724" s="4"/>
    </row>
    <row collapsed="" customFormat="false" customHeight="1" hidden="" ht="14" outlineLevel="0" r="13725">
      <c r="A13725" s="3" t="inlineStr">
        <is>
          <t>13681</t>
        </is>
      </c>
      <c r="B13725" s="4" t="s">
        <f>=HYPERLINK("http://anyluxury.ru/shop/odezhda/futbolki/mayka-zhenskaya-justin-women-krasnaya-01826145/" , "01826145 Майка женская JUSTIN WOMEN красная, размер L")</f>
      </c>
      <c r="C13725" s="4" t="n">
        <v>640.00</v>
      </c>
      <c r="D13725" s="4"/>
    </row>
    <row collapsed="" customFormat="false" customHeight="1" hidden="" ht="14" outlineLevel="0" r="13726">
      <c r="A13726" s="3" t="inlineStr">
        <is>
          <t>13682</t>
        </is>
      </c>
      <c r="B13726" s="4" t="s">
        <f>=HYPERLINK("http://anyluxury.ru/shop/odezhda/futbolki/mayka-zhenskaya-justin-women-krasnaya-01826145/" , "01826145 Майка женская JUSTIN WOMEN красная, размер XL")</f>
      </c>
      <c r="C13726" s="4" t="n">
        <v>640.00</v>
      </c>
      <c r="D13726" s="4"/>
    </row>
    <row collapsed="" customFormat="false" customHeight="1" hidden="" ht="14" outlineLevel="0" r="13727">
      <c r="A13727" s="3" t="inlineStr">
        <is>
          <t>13683</t>
        </is>
      </c>
      <c r="B13727" s="4" t="s">
        <f>=HYPERLINK("http://anyluxury.ru/shop/odezhda/futbolki/mayka-zhenskaya-justin-women-krasnaya-01826145/" , "01826145 Майка женская JUSTIN WOMEN красная, размер XXL")</f>
      </c>
      <c r="C13727" s="4" t="n">
        <v>640.00</v>
      </c>
      <c r="D13727" s="4"/>
    </row>
    <row collapsed="" customFormat="false" customHeight="1" hidden="" ht="14" outlineLevel="0" r="13728">
      <c r="A13728" s="3" t="inlineStr">
        <is>
          <t>13684</t>
        </is>
      </c>
      <c r="B13728" s="4" t="s">
        <f>=HYPERLINK("http://anyluxury.ru/shop/odezhda/futbolki/mayka-zhenskaya-justin-women-biryuzovaya-01826225/" , "01826225 Майка женская JUSTIN WOMEN бирюзовая, размер XS")</f>
      </c>
      <c r="C13728" s="4" t="n">
        <v>565.00</v>
      </c>
      <c r="D13728" s="4"/>
    </row>
    <row collapsed="" customFormat="false" customHeight="1" hidden="" ht="14" outlineLevel="0" r="13729">
      <c r="A13729" s="3" t="inlineStr">
        <is>
          <t>13685</t>
        </is>
      </c>
      <c r="B13729" s="4" t="s">
        <f>=HYPERLINK("http://anyluxury.ru/shop/odezhda/futbolki/mayka-zhenskaya-justin-women-biryuzovaya-01826225/" , "01826225 Майка женская JUSTIN WOMEN бирюзовая, размер S")</f>
      </c>
      <c r="C13729" s="4" t="n">
        <v>565.00</v>
      </c>
      <c r="D13729" s="4"/>
    </row>
    <row collapsed="" customFormat="false" customHeight="1" hidden="" ht="14" outlineLevel="0" r="13730">
      <c r="A13730" s="3" t="inlineStr">
        <is>
          <t>13686</t>
        </is>
      </c>
      <c r="B13730" s="4" t="s">
        <f>=HYPERLINK("http://anyluxury.ru/shop/odezhda/futbolki/mayka-zhenskaya-justin-women-biryuzovaya-01826225/" , "01826225 Майка женская JUSTIN WOMEN бирюзовая, размер M")</f>
      </c>
      <c r="C13730" s="4" t="n">
        <v>565.00</v>
      </c>
      <c r="D13730" s="4"/>
    </row>
    <row collapsed="" customFormat="false" customHeight="1" hidden="" ht="14" outlineLevel="0" r="13731">
      <c r="A13731" s="3" t="inlineStr">
        <is>
          <t>13687</t>
        </is>
      </c>
      <c r="B13731" s="4" t="s">
        <f>=HYPERLINK("http://anyluxury.ru/shop/odezhda/futbolki/mayka-zhenskaya-justin-women-biryuzovaya-01826225/" , "01826225 Майка женская JUSTIN WOMEN бирюзовая, размер L")</f>
      </c>
      <c r="C13731" s="4" t="n">
        <v>565.00</v>
      </c>
      <c r="D13731" s="4"/>
    </row>
    <row collapsed="" customFormat="false" customHeight="1" hidden="" ht="14" outlineLevel="0" r="13732">
      <c r="A13732" s="3" t="inlineStr">
        <is>
          <t>13688</t>
        </is>
      </c>
      <c r="B13732" s="4" t="s">
        <f>=HYPERLINK("http://anyluxury.ru/shop/odezhda/futbolki/mayka-zhenskaya-justin-women-biryuzovaya-01826225/" , "01826225 Майка женская JUSTIN WOMEN бирюзовая, размер XL")</f>
      </c>
      <c r="C13732" s="4" t="n">
        <v>565.00</v>
      </c>
      <c r="D13732" s="4"/>
    </row>
    <row collapsed="" customFormat="false" customHeight="1" hidden="" ht="14" outlineLevel="0" r="13733">
      <c r="A13733" s="3" t="inlineStr">
        <is>
          <t>13689</t>
        </is>
      </c>
      <c r="B13733" s="4" t="s">
        <f>=HYPERLINK("http://anyluxury.ru/shop/odezhda/futbolki/mayka-zhenskaya-justin-women-biryuzovaya-01826225/" , "01826225 Майка женская JUSTIN WOMEN бирюзовая, размер XXL")</f>
      </c>
      <c r="C13733" s="4" t="n">
        <v>565.00</v>
      </c>
      <c r="D13733" s="4"/>
    </row>
    <row collapsed="" customFormat="false" customHeight="1" hidden="" ht="14" outlineLevel="0" r="13734">
      <c r="A13734" s="3" t="inlineStr">
        <is>
          <t>13690</t>
        </is>
      </c>
      <c r="B13734" s="4" t="s">
        <f>=HYPERLINK("http://anyluxury.ru/shop/odezhda/futbolki/mayka-zhenskaya-justin-women-chernaya-01826309/" , "01826309 Майка женская JUSTIN WOMEN черная, размер XS")</f>
      </c>
      <c r="C13734" s="4" t="n">
        <v>640.00</v>
      </c>
      <c r="D13734" s="4"/>
    </row>
    <row collapsed="" customFormat="false" customHeight="1" hidden="" ht="14" outlineLevel="0" r="13735">
      <c r="A13735" s="3" t="inlineStr">
        <is>
          <t>13691</t>
        </is>
      </c>
      <c r="B13735" s="4" t="s">
        <f>=HYPERLINK("http://anyluxury.ru/shop/odezhda/futbolki/mayka-zhenskaya-justin-women-chernaya-01826309/" , "01826309 Майка женская JUSTIN WOMEN черная, размер S")</f>
      </c>
      <c r="C13735" s="4" t="n">
        <v>640.00</v>
      </c>
      <c r="D13735" s="4"/>
    </row>
    <row collapsed="" customFormat="false" customHeight="1" hidden="" ht="14" outlineLevel="0" r="13736">
      <c r="A13736" s="3" t="inlineStr">
        <is>
          <t>13692</t>
        </is>
      </c>
      <c r="B13736" s="4" t="s">
        <f>=HYPERLINK("http://anyluxury.ru/shop/odezhda/futbolki/mayka-zhenskaya-justin-women-chernaya-01826309/" , "01826309 Майка женская JUSTIN WOMEN черная, размер M")</f>
      </c>
      <c r="C13736" s="4" t="n">
        <v>640.00</v>
      </c>
      <c r="D13736" s="4"/>
    </row>
    <row collapsed="" customFormat="false" customHeight="1" hidden="" ht="14" outlineLevel="0" r="13737">
      <c r="A13737" s="3" t="inlineStr">
        <is>
          <t>13693</t>
        </is>
      </c>
      <c r="B13737" s="4" t="s">
        <f>=HYPERLINK("http://anyluxury.ru/shop/odezhda/futbolki/mayka-zhenskaya-justin-women-chernaya-01826309/" , "01826309 Майка женская JUSTIN WOMEN черная, размер L")</f>
      </c>
      <c r="C13737" s="4" t="n">
        <v>640.00</v>
      </c>
      <c r="D13737" s="4"/>
    </row>
    <row collapsed="" customFormat="false" customHeight="1" hidden="" ht="14" outlineLevel="0" r="13738">
      <c r="A13738" s="3" t="inlineStr">
        <is>
          <t>13694</t>
        </is>
      </c>
      <c r="B13738" s="4" t="s">
        <f>=HYPERLINK("http://anyluxury.ru/shop/odezhda/futbolki/mayka-zhenskaya-justin-women-chernaya-01826309/" , "01826309 Майка женская JUSTIN WOMEN черная, размер XL")</f>
      </c>
      <c r="C13738" s="4" t="n">
        <v>640.00</v>
      </c>
      <c r="D13738" s="4"/>
    </row>
    <row collapsed="" customFormat="false" customHeight="1" hidden="" ht="14" outlineLevel="0" r="13739">
      <c r="A13739" s="3" t="inlineStr">
        <is>
          <t>13695</t>
        </is>
      </c>
      <c r="B13739" s="4" t="s">
        <f>=HYPERLINK("http://anyluxury.ru/shop/odezhda/futbolki/mayka-zhenskaya-justin-women-chernaya-01826309/" , "01826309 Майка женская JUSTIN WOMEN черная, размер XXL")</f>
      </c>
      <c r="C13739" s="4" t="n">
        <v>640.00</v>
      </c>
      <c r="D13739" s="4"/>
    </row>
    <row collapsed="" customFormat="false" customHeight="1" hidden="" ht="14" outlineLevel="0" r="13740">
      <c r="A13740" s="3" t="inlineStr">
        <is>
          <t>13696</t>
        </is>
      </c>
      <c r="B13740" s="4" t="s">
        <f>=HYPERLINK("http://anyluxury.ru/shop/odezhda/futbolki/mayka-zhenskaya-justin-women-zelenoe-yabloko-01826281/" , "01826281 Майка женская JUSTIN WOMEN, зеленое яблоко, размер XS")</f>
      </c>
      <c r="C13740" s="4" t="n">
        <v>565.00</v>
      </c>
      <c r="D13740" s="4"/>
    </row>
    <row collapsed="" customFormat="false" customHeight="1" hidden="" ht="14" outlineLevel="0" r="13741">
      <c r="A13741" s="3" t="inlineStr">
        <is>
          <t>13697</t>
        </is>
      </c>
      <c r="B13741" s="4" t="s">
        <f>=HYPERLINK("http://anyluxury.ru/shop/odezhda/futbolki/mayka-zhenskaya-justin-women-zelenoe-yabloko-01826281/" , "01826281 Майка женская JUSTIN WOMEN, зеленое яблоко, размер S")</f>
      </c>
      <c r="C13741" s="4" t="n">
        <v>565.00</v>
      </c>
      <c r="D13741" s="4"/>
    </row>
    <row collapsed="" customFormat="false" customHeight="1" hidden="" ht="14" outlineLevel="0" r="13742">
      <c r="A13742" s="3" t="inlineStr">
        <is>
          <t>13698</t>
        </is>
      </c>
      <c r="B13742" s="4" t="s">
        <f>=HYPERLINK("http://anyluxury.ru/shop/odezhda/futbolki/mayka-zhenskaya-justin-women-zelenoe-yabloko-01826281/" , "01826281 Майка женская JUSTIN WOMEN, зеленое яблоко, размер M")</f>
      </c>
      <c r="C13742" s="4" t="n">
        <v>565.00</v>
      </c>
      <c r="D13742" s="4"/>
    </row>
    <row collapsed="" customFormat="false" customHeight="1" hidden="" ht="14" outlineLevel="0" r="13743">
      <c r="A13743" s="3" t="inlineStr">
        <is>
          <t>13699</t>
        </is>
      </c>
      <c r="B13743" s="4" t="s">
        <f>=HYPERLINK("http://anyluxury.ru/shop/odezhda/futbolki/mayka-zhenskaya-justin-women-zelenoe-yabloko-01826281/" , "01826281 Майка женская JUSTIN WOMEN, зеленое яблоко, размер L")</f>
      </c>
      <c r="C13743" s="4" t="n">
        <v>565.00</v>
      </c>
      <c r="D13743" s="4"/>
    </row>
    <row collapsed="" customFormat="false" customHeight="1" hidden="" ht="14" outlineLevel="0" r="13744">
      <c r="A13744" s="3" t="inlineStr">
        <is>
          <t>13700</t>
        </is>
      </c>
      <c r="B13744" s="4" t="s">
        <f>=HYPERLINK("http://anyluxury.ru/shop/odezhda/futbolki/mayka-zhenskaya-justin-women-zelenoe-yabloko-01826281/" , "01826281 Майка женская JUSTIN WOMEN, зеленое яблоко, размер XL")</f>
      </c>
      <c r="C13744" s="4" t="n">
        <v>565.00</v>
      </c>
      <c r="D13744" s="4"/>
    </row>
    <row collapsed="" customFormat="false" customHeight="1" hidden="" ht="14" outlineLevel="0" r="13745">
      <c r="A13745" s="3" t="inlineStr">
        <is>
          <t>13701</t>
        </is>
      </c>
      <c r="B13745" s="4" t="s">
        <f>=HYPERLINK("http://anyluxury.ru/shop/odezhda/futbolki/mayka-zhenskaya-justin-women-zelenoe-yabloko-01826281/" , "01826281 Майка женская JUSTIN WOMEN, зеленое яблоко, размер XXL")</f>
      </c>
      <c r="C13745" s="4" t="n">
        <v>565.00</v>
      </c>
      <c r="D13745" s="4"/>
    </row>
    <row collapsed="" customFormat="false" customHeight="1" hidden="" ht="14" outlineLevel="0" r="13746">
      <c r="A13746" s="3" t="inlineStr">
        <is>
          <t>13702</t>
        </is>
      </c>
      <c r="B13746" s="4" t="s">
        <f>=HYPERLINK("http://anyluxury.ru/shop/odezhda/futbolki/mayka-zhenskaya-justin-women-oranzhevaya-01826400/" , "01826400 Майка женская JUSTIN WOMEN оранжевая, размер XS")</f>
      </c>
      <c r="C13746" s="4" t="n">
        <v>565.00</v>
      </c>
      <c r="D13746" s="4"/>
    </row>
    <row collapsed="" customFormat="false" customHeight="1" hidden="" ht="14" outlineLevel="0" r="13747">
      <c r="A13747" s="3" t="inlineStr">
        <is>
          <t>13703</t>
        </is>
      </c>
      <c r="B13747" s="4" t="s">
        <f>=HYPERLINK("http://anyluxury.ru/shop/odezhda/futbolki/mayka-zhenskaya-justin-women-oranzhevaya-01826400/" , "01826400 Майка женская JUSTIN WOMEN оранжевая, размер S")</f>
      </c>
      <c r="C13747" s="4" t="n">
        <v>565.00</v>
      </c>
      <c r="D13747" s="4"/>
    </row>
    <row collapsed="" customFormat="false" customHeight="1" hidden="" ht="14" outlineLevel="0" r="13748">
      <c r="A13748" s="3" t="inlineStr">
        <is>
          <t>13704</t>
        </is>
      </c>
      <c r="B13748" s="4" t="s">
        <f>=HYPERLINK("http://anyluxury.ru/shop/odezhda/futbolki/mayka-zhenskaya-justin-women-oranzhevaya-01826400/" , "01826400 Майка женская JUSTIN WOMEN оранжевая, размер M")</f>
      </c>
      <c r="C13748" s="4" t="n">
        <v>565.00</v>
      </c>
      <c r="D13748" s="4"/>
    </row>
    <row collapsed="" customFormat="false" customHeight="1" hidden="" ht="14" outlineLevel="0" r="13749">
      <c r="A13749" s="3" t="inlineStr">
        <is>
          <t>13705</t>
        </is>
      </c>
      <c r="B13749" s="4" t="s">
        <f>=HYPERLINK("http://anyluxury.ru/shop/odezhda/futbolki/mayka-zhenskaya-justin-women-oranzhevaya-01826400/" , "01826400 Майка женская JUSTIN WOMEN оранжевая, размер L")</f>
      </c>
      <c r="C13749" s="4" t="n">
        <v>565.00</v>
      </c>
      <c r="D13749" s="4"/>
    </row>
    <row collapsed="" customFormat="false" customHeight="1" hidden="" ht="14" outlineLevel="0" r="13750">
      <c r="A13750" s="3" t="inlineStr">
        <is>
          <t>13706</t>
        </is>
      </c>
      <c r="B13750" s="4" t="s">
        <f>=HYPERLINK("http://anyluxury.ru/shop/odezhda/futbolki/mayka-zhenskaya-justin-women-oranzhevaya-01826400/" , "01826400 Майка женская JUSTIN WOMEN оранжевая, размер XL")</f>
      </c>
      <c r="C13750" s="4" t="n">
        <v>565.00</v>
      </c>
      <c r="D13750" s="4"/>
    </row>
    <row collapsed="" customFormat="false" customHeight="1" hidden="" ht="14" outlineLevel="0" r="13751">
      <c r="A13751" s="3" t="inlineStr">
        <is>
          <t>13707</t>
        </is>
      </c>
      <c r="B13751" s="4" t="s">
        <f>=HYPERLINK("http://anyluxury.ru/shop/odezhda/futbolki/mayka-zhenskaya-justin-women-oranzhevaya-01826400/" , "01826400 Майка женская JUSTIN WOMEN оранжевая, размер XXL")</f>
      </c>
      <c r="C13751" s="4" t="n">
        <v>565.00</v>
      </c>
      <c r="D13751" s="4"/>
    </row>
    <row collapsed="" customFormat="false" customHeight="1" hidden="" ht="14" outlineLevel="0" r="13752">
      <c r="A13752" s="3" t="inlineStr">
        <is>
          <t>13708</t>
        </is>
      </c>
      <c r="B13752" s="4" t="s">
        <f>=HYPERLINK("http://anyluxury.ru/shop/odezhda/futbolki/futbolka-zhenskaya-dlya-sublimacii-magma-women-belaya-01705102/" , "01705102 Футболка женская MAGMA WOMEN белая, размер L")</f>
      </c>
      <c r="C13752" s="4" t="n">
        <v>847.00</v>
      </c>
      <c r="D13752" s="4"/>
    </row>
    <row collapsed="" customFormat="false" customHeight="1" hidden="" ht="14" outlineLevel="0" r="13753">
      <c r="A13753" s="3" t="inlineStr">
        <is>
          <t>13709</t>
        </is>
      </c>
      <c r="B13753" s="4" t="s">
        <f>=HYPERLINK("http://anyluxury.ru/shop/odezhda/futbolki/futbolka-zhenskaya-dlya-sublimacii-magma-women-belaya-01705102/" , "01705102 Футболка женская MAGMA WOMEN белая, размер XL")</f>
      </c>
      <c r="C13753" s="4" t="n">
        <v>847.00</v>
      </c>
      <c r="D13753" s="4"/>
    </row>
    <row collapsed="" customFormat="false" customHeight="1" hidden="" ht="14" outlineLevel="0" r="13754">
      <c r="A13754" s="3" t="inlineStr">
        <is>
          <t>13710</t>
        </is>
      </c>
      <c r="B13754" s="4" t="s">
        <f>=HYPERLINK("http://anyluxury.ru/shop/odezhda/futbolki/futbolka-muzhskaya-marvin-temniy-haki-01698269/" , "01698269 Футболка мужская MARVIN темный хаки, размер S")</f>
      </c>
      <c r="C13754" s="4" t="n">
        <v>620.00</v>
      </c>
      <c r="D13754" s="4"/>
    </row>
    <row collapsed="" customFormat="false" customHeight="1" hidden="" ht="14" outlineLevel="0" r="13755">
      <c r="A13755" s="3" t="inlineStr">
        <is>
          <t>13711</t>
        </is>
      </c>
      <c r="B13755" s="4" t="s">
        <f>=HYPERLINK("http://anyluxury.ru/shop/odezhda/futbolki/futbolka-muzhskaya-marvin-temniy-haki-01698269/" , "01698269 Футболка мужская MARVIN темный хаки, размер M")</f>
      </c>
      <c r="C13755" s="4" t="n">
        <v>620.00</v>
      </c>
      <c r="D13755" s="4"/>
    </row>
    <row collapsed="" customFormat="false" customHeight="1" hidden="" ht="14" outlineLevel="0" r="13756">
      <c r="A13756" s="3" t="inlineStr">
        <is>
          <t>13712</t>
        </is>
      </c>
      <c r="B13756" s="4" t="s">
        <f>=HYPERLINK("http://anyluxury.ru/shop/odezhda/futbolki/futbolka-muzhskaya-marvin-temniy-haki-01698269/" , "01698269 Футболка мужская MARVIN темный хаки, размер L")</f>
      </c>
      <c r="C13756" s="4" t="n">
        <v>620.00</v>
      </c>
      <c r="D13756" s="4"/>
    </row>
    <row collapsed="" customFormat="false" customHeight="1" hidden="" ht="14" outlineLevel="0" r="13757">
      <c r="A13757" s="3" t="inlineStr">
        <is>
          <t>13713</t>
        </is>
      </c>
      <c r="B13757" s="4" t="s">
        <f>=HYPERLINK("http://anyluxury.ru/shop/odezhda/futbolki/futbolka-muzhskaya-marvin-temniy-haki-01698269/" , "01698269 Футболка мужская MARVIN темный хаки, размер XL")</f>
      </c>
      <c r="C13757" s="4" t="n">
        <v>620.00</v>
      </c>
      <c r="D13757" s="4"/>
    </row>
    <row collapsed="" customFormat="false" customHeight="1" hidden="" ht="14" outlineLevel="0" r="13758">
      <c r="A13758" s="3" t="inlineStr">
        <is>
          <t>13714</t>
        </is>
      </c>
      <c r="B13758" s="4" t="s">
        <f>=HYPERLINK("http://anyluxury.ru/shop/odezhda/futbolki/futbolka-muzhskaya-marvin-temniy-haki-01698269/" , "01698269 Футболка мужская MARVIN темный хаки, размер XXL")</f>
      </c>
      <c r="C13758" s="4" t="n">
        <v>620.00</v>
      </c>
      <c r="D13758" s="4"/>
    </row>
    <row collapsed="" customFormat="false" customHeight="1" hidden="" ht="14" outlineLevel="0" r="13759">
      <c r="A13759" s="3" t="inlineStr">
        <is>
          <t>13715</t>
        </is>
      </c>
      <c r="B13759" s="4" t="s">
        <f>=HYPERLINK("http://anyluxury.ru/shop/odezhda/futbolki/futbolka-muzhskaya-marvin-temniy-haki-01698269/" , "01698269 Футболка мужская MARVIN темный хаки, размер 3XL")</f>
      </c>
      <c r="C13759" s="4" t="n">
        <v>697.00</v>
      </c>
      <c r="D13759" s="4"/>
    </row>
    <row collapsed="" customFormat="false" customHeight="1" hidden="" ht="14" outlineLevel="0" r="13760">
      <c r="A13760" s="3" t="inlineStr">
        <is>
          <t>13716</t>
        </is>
      </c>
      <c r="B13760" s="4" t="s">
        <f>=HYPERLINK("http://anyluxury.ru/shop/odezhda/futbolki/futbolka-muzhskaya-marvin-temnosinyaya-01698319/" , "01698319 Футболка мужская MARVIN темно-синяя, размер S")</f>
      </c>
      <c r="C13760" s="4" t="n">
        <v>620.00</v>
      </c>
      <c r="D13760" s="4"/>
    </row>
    <row collapsed="" customFormat="false" customHeight="1" hidden="" ht="14" outlineLevel="0" r="13761">
      <c r="A13761" s="3" t="inlineStr">
        <is>
          <t>13717</t>
        </is>
      </c>
      <c r="B13761" s="4" t="s">
        <f>=HYPERLINK("http://anyluxury.ru/shop/odezhda/futbolki/futbolka-muzhskaya-marvin-temnosinyaya-01698319/" , "01698319 Футболка мужская MARVIN темно-синяя, размер L")</f>
      </c>
      <c r="C13761" s="4" t="n">
        <v>620.00</v>
      </c>
      <c r="D13761" s="4"/>
    </row>
    <row collapsed="" customFormat="false" customHeight="1" hidden="" ht="14" outlineLevel="0" r="13762">
      <c r="A13762" s="3" t="inlineStr">
        <is>
          <t>13718</t>
        </is>
      </c>
      <c r="B13762" s="4" t="s">
        <f>=HYPERLINK("http://anyluxury.ru/shop/odezhda/futbolki/futbolka-muzhskaya-marvin-temnosinyaya-01698319/" , "01698319 Футболка мужская MARVIN темно-синяя, размер 3XL")</f>
      </c>
      <c r="C13762" s="4" t="n">
        <v>697.00</v>
      </c>
      <c r="D13762" s="4"/>
    </row>
    <row collapsed="" customFormat="false" customHeight="1" hidden="" ht="14" outlineLevel="0" r="13763">
      <c r="A13763" s="3" t="inlineStr">
        <is>
          <t>13719</t>
        </is>
      </c>
      <c r="B13763" s="4" t="s">
        <f>=HYPERLINK("http://anyluxury.ru/shop/odezhda/futbolki/futbolka-muzhskaya-marvin-seriy-melanzh-01698350/" , "01698350 Футболка мужская MARVIN серый меланж, размер XXL")</f>
      </c>
      <c r="C13763" s="4" t="n">
        <v>620.00</v>
      </c>
      <c r="D13763" s="4"/>
    </row>
    <row collapsed="" customFormat="false" customHeight="1" hidden="" ht="14" outlineLevel="0" r="13764">
      <c r="A13764" s="3" t="inlineStr">
        <is>
          <t>13720</t>
        </is>
      </c>
      <c r="B13764" s="4" t="s">
        <f>=HYPERLINK("http://anyluxury.ru/shop/odezhda/futbolki/futbolka-muzhskaya-marvin-seriy-melanzh-01698350/" , "01698350 Футболка мужская MARVIN серый меланж, размер 3XL")</f>
      </c>
      <c r="C13764" s="4" t="n">
        <v>697.00</v>
      </c>
      <c r="D13764" s="4"/>
    </row>
    <row collapsed="" customFormat="false" customHeight="1" hidden="" ht="14" outlineLevel="0" r="13765">
      <c r="A13765" s="3" t="inlineStr">
        <is>
          <t>13721</t>
        </is>
      </c>
      <c r="B13765" s="4" t="s">
        <f>=HYPERLINK("http://anyluxury.ru/shop/odezhda/futbolki/futbolka-muzhskaya-marvin-krasnaya-01698168/" , "01698168 Футболка мужская MARVIN красная, размер S")</f>
      </c>
      <c r="C13765" s="4" t="n">
        <v>620.00</v>
      </c>
      <c r="D13765" s="4"/>
    </row>
    <row collapsed="" customFormat="false" customHeight="1" hidden="" ht="14" outlineLevel="0" r="13766">
      <c r="A13766" s="3" t="inlineStr">
        <is>
          <t>13722</t>
        </is>
      </c>
      <c r="B13766" s="4" t="s">
        <f>=HYPERLINK("http://anyluxury.ru/shop/odezhda/futbolki/futbolka-muzhskaya-marvin-krasnaya-01698168/" , "01698168 Футболка мужская MARVIN красная, размер L")</f>
      </c>
      <c r="C13766" s="4" t="n">
        <v>620.00</v>
      </c>
      <c r="D13766" s="4"/>
    </row>
    <row collapsed="" customFormat="false" customHeight="1" hidden="" ht="14" outlineLevel="0" r="13767">
      <c r="A13767" s="3" t="inlineStr">
        <is>
          <t>13723</t>
        </is>
      </c>
      <c r="B13767" s="4" t="s">
        <f>=HYPERLINK("http://anyluxury.ru/shop/odezhda/futbolki/futbolka-muzhskaya-marvin-krasnaya-01698168/" , "01698168 Футболка мужская MARVIN красная, размер XXL")</f>
      </c>
      <c r="C13767" s="4" t="n">
        <v>620.00</v>
      </c>
      <c r="D13767" s="4"/>
    </row>
    <row collapsed="" customFormat="false" customHeight="1" hidden="" ht="14" outlineLevel="0" r="13768">
      <c r="A13768" s="3" t="inlineStr">
        <is>
          <t>13724</t>
        </is>
      </c>
      <c r="B13768" s="4" t="s">
        <f>=HYPERLINK("http://anyluxury.ru/shop/odezhda/futbolki/futbolka-muzhskaya-marvin-krasnaya-01698168/" , "01698168 Футболка мужская MARVIN красная, размер 3XL")</f>
      </c>
      <c r="C13768" s="4" t="n">
        <v>697.00</v>
      </c>
      <c r="D13768" s="4"/>
    </row>
    <row collapsed="" customFormat="false" customHeight="1" hidden="" ht="14" outlineLevel="0" r="13769">
      <c r="A13769" s="3" t="inlineStr">
        <is>
          <t>13725</t>
        </is>
      </c>
      <c r="B13769" s="4" t="s">
        <f>=HYPERLINK("http://anyluxury.ru/shop/odezhda/futbolki/futbolka-muzhskaya-marvin-seraya-01698381/" , "01698381 Футболка мужская MARVIN серая, размер L")</f>
      </c>
      <c r="C13769" s="4" t="n">
        <v>620.00</v>
      </c>
      <c r="D13769" s="4"/>
    </row>
    <row collapsed="" customFormat="false" customHeight="1" hidden="" ht="14" outlineLevel="0" r="13770">
      <c r="A13770" s="3" t="inlineStr">
        <is>
          <t>13726</t>
        </is>
      </c>
      <c r="B13770" s="4" t="s">
        <f>=HYPERLINK("http://anyluxury.ru/shop/odezhda/futbolki/futbolka-muzhskaya-marvin-seraya-01698381/" , "01698381 Футболка мужская MARVIN серая, размер XXL")</f>
      </c>
      <c r="C13770" s="4" t="n">
        <v>620.00</v>
      </c>
      <c r="D13770" s="4"/>
    </row>
    <row collapsed="" customFormat="false" customHeight="1" hidden="" ht="14" outlineLevel="0" r="13771">
      <c r="A13771" s="3" t="inlineStr">
        <is>
          <t>13727</t>
        </is>
      </c>
      <c r="B13771" s="4" t="s">
        <f>=HYPERLINK("http://anyluxury.ru/shop/odezhda/futbolki/futbolka-muzhskaya-marvin-seraya-01698381/" , "01698381 Футболка мужская MARVIN серая, размер 3XL")</f>
      </c>
      <c r="C13771" s="4" t="n">
        <v>697.00</v>
      </c>
      <c r="D13771" s="4"/>
    </row>
    <row collapsed="" customFormat="false" customHeight="1" hidden="" ht="14" outlineLevel="0" r="13772">
      <c r="A13772" s="3" t="inlineStr">
        <is>
          <t>13728</t>
        </is>
      </c>
      <c r="B13772" s="4" t="s">
        <f>=HYPERLINK("http://anyluxury.ru/shop/odezhda/futbolki/futbolka-muzhskaya-marvin-belaya-01698102/" , "01698102 Футболка мужская MARVIN белая, размер S")</f>
      </c>
      <c r="C13772" s="4" t="n">
        <v>578.00</v>
      </c>
      <c r="D13772" s="4"/>
    </row>
    <row collapsed="" customFormat="false" customHeight="1" hidden="" ht="14" outlineLevel="0" r="13773">
      <c r="A13773" s="3" t="inlineStr">
        <is>
          <t>13729</t>
        </is>
      </c>
      <c r="B13773" s="4" t="s">
        <f>=HYPERLINK("http://anyluxury.ru/shop/odezhda/futbolki/futbolka-muzhskaya-marvin-belaya-01698102/" , "01698102 Футболка мужская MARVIN белая, размер L")</f>
      </c>
      <c r="C13773" s="4" t="n">
        <v>578.00</v>
      </c>
      <c r="D13773" s="4"/>
    </row>
    <row collapsed="" customFormat="false" customHeight="1" hidden="" ht="14" outlineLevel="0" r="13774">
      <c r="A13774" s="3" t="inlineStr">
        <is>
          <t>13730</t>
        </is>
      </c>
      <c r="B13774" s="4" t="s">
        <f>=HYPERLINK("http://anyluxury.ru/shop/odezhda/futbolki/futbolka-muzhskaya-marvin-belaya-01698102/" , "01698102 Футболка мужская MARVIN белая, размер XL")</f>
      </c>
      <c r="C13774" s="4" t="n">
        <v>578.00</v>
      </c>
      <c r="D13774" s="4"/>
    </row>
    <row collapsed="" customFormat="false" customHeight="1" hidden="" ht="14" outlineLevel="0" r="13775">
      <c r="A13775" s="3" t="inlineStr">
        <is>
          <t>13731</t>
        </is>
      </c>
      <c r="B13775" s="4" t="s">
        <f>=HYPERLINK("http://anyluxury.ru/shop/odezhda/futbolki/futbolka-muzhskaya-marvin-belaya-01698102/" , "01698102 Футболка мужская MARVIN белая, размер 3XL")</f>
      </c>
      <c r="C13775" s="4" t="n">
        <v>654.00</v>
      </c>
      <c r="D13775" s="4"/>
    </row>
    <row collapsed="" customFormat="false" customHeight="1" hidden="" ht="14" outlineLevel="0" r="13776">
      <c r="A13776" s="3" t="inlineStr">
        <is>
          <t>13732</t>
        </is>
      </c>
      <c r="B13776" s="4" t="s">
        <f>=HYPERLINK("http://anyluxury.ru/shop/odezhda/futbolki/futbolka-zhenskaya-mia-temniy-haki-01699269/" , "01699269 Футболка женская MIA темный хаки, размер XS")</f>
      </c>
      <c r="C13776" s="4" t="n">
        <v>596.00</v>
      </c>
      <c r="D13776" s="4"/>
    </row>
    <row collapsed="" customFormat="false" customHeight="1" hidden="" ht="14" outlineLevel="0" r="13777">
      <c r="A13777" s="3" t="inlineStr">
        <is>
          <t>13733</t>
        </is>
      </c>
      <c r="B13777" s="4" t="s">
        <f>=HYPERLINK("http://anyluxury.ru/shop/odezhda/futbolki/futbolka-zhenskaya-mia-temniy-haki-01699269/" , "01699269 Футболка женская MIA темный хаки, размер S")</f>
      </c>
      <c r="C13777" s="4" t="n">
        <v>596.00</v>
      </c>
      <c r="D13777" s="4"/>
    </row>
    <row collapsed="" customFormat="false" customHeight="1" hidden="" ht="14" outlineLevel="0" r="13778">
      <c r="A13778" s="3" t="inlineStr">
        <is>
          <t>13734</t>
        </is>
      </c>
      <c r="B13778" s="4" t="s">
        <f>=HYPERLINK("http://anyluxury.ru/shop/odezhda/futbolki/futbolka-zhenskaya-mia-temniy-haki-01699269/" , "01699269 Футболка женская MIA темный хаки, размер M")</f>
      </c>
      <c r="C13778" s="4" t="n">
        <v>596.00</v>
      </c>
      <c r="D13778" s="4"/>
    </row>
    <row collapsed="" customFormat="false" customHeight="1" hidden="" ht="14" outlineLevel="0" r="13779">
      <c r="A13779" s="3" t="inlineStr">
        <is>
          <t>13735</t>
        </is>
      </c>
      <c r="B13779" s="4" t="s">
        <f>=HYPERLINK("http://anyluxury.ru/shop/odezhda/futbolki/futbolka-zhenskaya-mia-temniy-haki-01699269/" , "01699269 Футболка женская MIA темный хаки, размер L")</f>
      </c>
      <c r="C13779" s="4" t="n">
        <v>596.00</v>
      </c>
      <c r="D13779" s="4"/>
    </row>
    <row collapsed="" customFormat="false" customHeight="1" hidden="" ht="14" outlineLevel="0" r="13780">
      <c r="A13780" s="3" t="inlineStr">
        <is>
          <t>13736</t>
        </is>
      </c>
      <c r="B13780" s="4" t="s">
        <f>=HYPERLINK("http://anyluxury.ru/shop/odezhda/futbolki/futbolka-zhenskaya-mia-temniy-haki-01699269/" , "01699269 Футболка женская MIA темный хаки, размер XL")</f>
      </c>
      <c r="C13780" s="4" t="n">
        <v>596.00</v>
      </c>
      <c r="D13780" s="4"/>
    </row>
    <row collapsed="" customFormat="false" customHeight="1" hidden="" ht="14" outlineLevel="0" r="13781">
      <c r="A13781" s="3" t="inlineStr">
        <is>
          <t>13737</t>
        </is>
      </c>
      <c r="B13781" s="4" t="s">
        <f>=HYPERLINK("http://anyluxury.ru/shop/odezhda/futbolki/futbolka-zhenskaya-mia-temniy-haki-01699269/" , "01699269 Футболка женская MIA темный хаки, размер XXL")</f>
      </c>
      <c r="C13781" s="4" t="n">
        <v>596.00</v>
      </c>
      <c r="D13781" s="4"/>
    </row>
    <row collapsed="" customFormat="false" customHeight="1" hidden="" ht="14" outlineLevel="0" r="13782">
      <c r="A13782" s="3" t="inlineStr">
        <is>
          <t>13738</t>
        </is>
      </c>
      <c r="B13782" s="4" t="s">
        <f>=HYPERLINK("http://anyluxury.ru/shop/odezhda/futbolki/futbolka-zhenskaya-mia-chernaya-01699309/" , "01699309 Футболка женская MIA черная, размер XS")</f>
      </c>
      <c r="C13782" s="4" t="n">
        <v>596.00</v>
      </c>
      <c r="D13782" s="4"/>
    </row>
    <row collapsed="" customFormat="false" customHeight="1" hidden="" ht="14" outlineLevel="0" r="13783">
      <c r="A13783" s="3" t="inlineStr">
        <is>
          <t>13739</t>
        </is>
      </c>
      <c r="B13783" s="4" t="s">
        <f>=HYPERLINK("http://anyluxury.ru/shop/odezhda/futbolki/futbolka-zhenskaya-mia-chernaya-01699309/" , "01699309 Футболка женская MIA черная, размер S")</f>
      </c>
      <c r="C13783" s="4" t="n">
        <v>596.00</v>
      </c>
      <c r="D13783" s="4"/>
    </row>
    <row collapsed="" customFormat="false" customHeight="1" hidden="" ht="14" outlineLevel="0" r="13784">
      <c r="A13784" s="3" t="inlineStr">
        <is>
          <t>13740</t>
        </is>
      </c>
      <c r="B13784" s="4" t="s">
        <f>=HYPERLINK("http://anyluxury.ru/shop/odezhda/futbolki/futbolka-zhenskaya-mia-chernaya-01699309/" , "01699309 Футболка женская MIA черная, размер M")</f>
      </c>
      <c r="C13784" s="4" t="n">
        <v>596.00</v>
      </c>
      <c r="D13784" s="4"/>
    </row>
    <row collapsed="" customFormat="false" customHeight="1" hidden="" ht="14" outlineLevel="0" r="13785">
      <c r="A13785" s="3" t="inlineStr">
        <is>
          <t>13741</t>
        </is>
      </c>
      <c r="B13785" s="4" t="s">
        <f>=HYPERLINK("http://anyluxury.ru/shop/odezhda/futbolki/futbolka-zhenskaya-mia-chernaya-01699309/" , "01699309 Футболка женская MIA черная, размер L")</f>
      </c>
      <c r="C13785" s="4" t="n">
        <v>596.00</v>
      </c>
      <c r="D13785" s="4"/>
    </row>
    <row collapsed="" customFormat="false" customHeight="1" hidden="" ht="14" outlineLevel="0" r="13786">
      <c r="A13786" s="3" t="inlineStr">
        <is>
          <t>13742</t>
        </is>
      </c>
      <c r="B13786" s="4" t="s">
        <f>=HYPERLINK("http://anyluxury.ru/shop/odezhda/futbolki/futbolka-zhenskaya-mia-chernaya-01699309/" , "01699309 Футболка женская MIA черная, размер XL")</f>
      </c>
      <c r="C13786" s="4" t="n">
        <v>596.00</v>
      </c>
      <c r="D13786" s="4"/>
    </row>
    <row collapsed="" customFormat="false" customHeight="1" hidden="" ht="14" outlineLevel="0" r="13787">
      <c r="A13787" s="3" t="inlineStr">
        <is>
          <t>13743</t>
        </is>
      </c>
      <c r="B13787" s="4" t="s">
        <f>=HYPERLINK("http://anyluxury.ru/shop/odezhda/futbolki/futbolka-zhenskaya-mia-chernaya-01699309/" , "01699309 Футболка женская MIA черная, размер XXL")</f>
      </c>
      <c r="C13787" s="4" t="n">
        <v>596.00</v>
      </c>
      <c r="D13787" s="4"/>
    </row>
    <row collapsed="" customFormat="false" customHeight="1" hidden="" ht="14" outlineLevel="0" r="13788">
      <c r="A13788" s="3" t="inlineStr">
        <is>
          <t>13744</t>
        </is>
      </c>
      <c r="B13788" s="4" t="s">
        <f>=HYPERLINK("http://anyluxury.ru/shop/odezhda/futbolki/futbolka-zhenskaya-mia-temnosinyaya-01699319/" , "01699319 Футболка женская MIA темно-синяя, размер XS")</f>
      </c>
      <c r="C13788" s="4" t="n">
        <v>596.00</v>
      </c>
      <c r="D13788" s="4"/>
    </row>
    <row collapsed="" customFormat="false" customHeight="1" hidden="" ht="14" outlineLevel="0" r="13789">
      <c r="A13789" s="3" t="inlineStr">
        <is>
          <t>13745</t>
        </is>
      </c>
      <c r="B13789" s="4" t="s">
        <f>=HYPERLINK("http://anyluxury.ru/shop/odezhda/futbolki/futbolka-zhenskaya-mia-temnosinyaya-01699319/" , "01699319 Футболка женская MIA темно-синяя, размер S")</f>
      </c>
      <c r="C13789" s="4" t="n">
        <v>596.00</v>
      </c>
      <c r="D13789" s="4"/>
    </row>
    <row collapsed="" customFormat="false" customHeight="1" hidden="" ht="14" outlineLevel="0" r="13790">
      <c r="A13790" s="3" t="inlineStr">
        <is>
          <t>13746</t>
        </is>
      </c>
      <c r="B13790" s="4" t="s">
        <f>=HYPERLINK("http://anyluxury.ru/shop/odezhda/futbolki/futbolka-zhenskaya-mia-temnosinyaya-01699319/" , "01699319 Футболка женская MIA темно-синяя, размер M")</f>
      </c>
      <c r="C13790" s="4" t="n">
        <v>596.00</v>
      </c>
      <c r="D13790" s="4"/>
    </row>
    <row collapsed="" customFormat="false" customHeight="1" hidden="" ht="14" outlineLevel="0" r="13791">
      <c r="A13791" s="3" t="inlineStr">
        <is>
          <t>13747</t>
        </is>
      </c>
      <c r="B13791" s="4" t="s">
        <f>=HYPERLINK("http://anyluxury.ru/shop/odezhda/futbolki/futbolka-zhenskaya-mia-temnosinyaya-01699319/" , "01699319 Футболка женская MIA темно-синяя, размер L")</f>
      </c>
      <c r="C13791" s="4" t="n">
        <v>596.00</v>
      </c>
      <c r="D13791" s="4"/>
    </row>
    <row collapsed="" customFormat="false" customHeight="1" hidden="" ht="14" outlineLevel="0" r="13792">
      <c r="A13792" s="3" t="inlineStr">
        <is>
          <t>13748</t>
        </is>
      </c>
      <c r="B13792" s="4" t="s">
        <f>=HYPERLINK("http://anyluxury.ru/shop/odezhda/futbolki/futbolka-zhenskaya-mia-temnosinyaya-01699319/" , "01699319 Футболка женская MIA темно-синяя, размер XL")</f>
      </c>
      <c r="C13792" s="4" t="n">
        <v>596.00</v>
      </c>
      <c r="D13792" s="4"/>
    </row>
    <row collapsed="" customFormat="false" customHeight="1" hidden="" ht="14" outlineLevel="0" r="13793">
      <c r="A13793" s="3" t="inlineStr">
        <is>
          <t>13749</t>
        </is>
      </c>
      <c r="B13793" s="4" t="s">
        <f>=HYPERLINK("http://anyluxury.ru/shop/odezhda/futbolki/futbolka-zhenskaya-mia-temnosinyaya-01699319/" , "01699319 Футболка женская MIA темно-синяя, размер XXL")</f>
      </c>
      <c r="C13793" s="4" t="n">
        <v>596.00</v>
      </c>
      <c r="D13793" s="4"/>
    </row>
    <row collapsed="" customFormat="false" customHeight="1" hidden="" ht="14" outlineLevel="0" r="13794">
      <c r="A13794" s="3" t="inlineStr">
        <is>
          <t>13750</t>
        </is>
      </c>
      <c r="B13794" s="4" t="s">
        <f>=HYPERLINK("http://anyluxury.ru/shop/odezhda/futbolki/futbolka-zhenskaya-mia-seriy-melanzh-01699350/" , "01699350 Футболка женская MIA серый меланж, размер XS")</f>
      </c>
      <c r="C13794" s="4" t="n">
        <v>596.00</v>
      </c>
      <c r="D13794" s="4"/>
    </row>
    <row collapsed="" customFormat="false" customHeight="1" hidden="" ht="14" outlineLevel="0" r="13795">
      <c r="A13795" s="3" t="inlineStr">
        <is>
          <t>13751</t>
        </is>
      </c>
      <c r="B13795" s="4" t="s">
        <f>=HYPERLINK("http://anyluxury.ru/shop/odezhda/futbolki/futbolka-zhenskaya-mia-seriy-melanzh-01699350/" , "01699350 Футболка женская MIA серый меланж, размер XL")</f>
      </c>
      <c r="C13795" s="4" t="n">
        <v>596.00</v>
      </c>
      <c r="D13795" s="4"/>
    </row>
    <row collapsed="" customFormat="false" customHeight="1" hidden="" ht="14" outlineLevel="0" r="13796">
      <c r="A13796" s="3" t="inlineStr">
        <is>
          <t>13752</t>
        </is>
      </c>
      <c r="B13796" s="4" t="s">
        <f>=HYPERLINK("http://anyluxury.ru/shop/odezhda/futbolki/futbolka-zhenskaya-mia-seriy-melanzh-01699350/" , "01699350 Футболка женская MIA серый меланж, размер XXL")</f>
      </c>
      <c r="C13796" s="4" t="n">
        <v>596.00</v>
      </c>
      <c r="D13796" s="4"/>
    </row>
    <row collapsed="" customFormat="false" customHeight="1" hidden="" ht="14" outlineLevel="0" r="13797">
      <c r="A13797" s="3" t="inlineStr">
        <is>
          <t>13753</t>
        </is>
      </c>
      <c r="B13797" s="4" t="s">
        <f>=HYPERLINK("http://anyluxury.ru/shop/odezhda/futbolki/futbolka-zhenskaya-mia-krasnaya-01699168/" , "01699168 Футболка женская MIA красная, размер XS")</f>
      </c>
      <c r="C13797" s="4" t="n">
        <v>596.00</v>
      </c>
      <c r="D13797" s="4"/>
    </row>
    <row collapsed="" customFormat="false" customHeight="1" hidden="" ht="14" outlineLevel="0" r="13798">
      <c r="A13798" s="3" t="inlineStr">
        <is>
          <t>13754</t>
        </is>
      </c>
      <c r="B13798" s="4" t="s">
        <f>=HYPERLINK("http://anyluxury.ru/shop/odezhda/futbolki/futbolka-zhenskaya-mia-krasnaya-01699168/" , "01699168 Футболка женская MIA красная, размер S")</f>
      </c>
      <c r="C13798" s="4" t="n">
        <v>596.00</v>
      </c>
      <c r="D13798" s="4"/>
    </row>
    <row collapsed="" customFormat="false" customHeight="1" hidden="" ht="14" outlineLevel="0" r="13799">
      <c r="A13799" s="3" t="inlineStr">
        <is>
          <t>13755</t>
        </is>
      </c>
      <c r="B13799" s="4" t="s">
        <f>=HYPERLINK("http://anyluxury.ru/shop/odezhda/futbolki/futbolka-zhenskaya-mia-krasnaya-01699168/" , "01699168 Футболка женская MIA красная, размер M")</f>
      </c>
      <c r="C13799" s="4" t="n">
        <v>596.00</v>
      </c>
      <c r="D13799" s="4"/>
    </row>
    <row collapsed="" customFormat="false" customHeight="1" hidden="" ht="14" outlineLevel="0" r="13800">
      <c r="A13800" s="3" t="inlineStr">
        <is>
          <t>13756</t>
        </is>
      </c>
      <c r="B13800" s="4" t="s">
        <f>=HYPERLINK("http://anyluxury.ru/shop/odezhda/futbolki/futbolka-zhenskaya-mia-krasnaya-01699168/" , "01699168 Футболка женская MIA красная, размер L")</f>
      </c>
      <c r="C13800" s="4" t="n">
        <v>596.00</v>
      </c>
      <c r="D13800" s="4"/>
    </row>
    <row collapsed="" customFormat="false" customHeight="1" hidden="" ht="14" outlineLevel="0" r="13801">
      <c r="A13801" s="3" t="inlineStr">
        <is>
          <t>13757</t>
        </is>
      </c>
      <c r="B13801" s="4" t="s">
        <f>=HYPERLINK("http://anyluxury.ru/shop/odezhda/futbolki/futbolka-zhenskaya-mia-krasnaya-01699168/" , "01699168 Футболка женская MIA красная, размер XL")</f>
      </c>
      <c r="C13801" s="4" t="n">
        <v>596.00</v>
      </c>
      <c r="D13801" s="4"/>
    </row>
    <row collapsed="" customFormat="false" customHeight="1" hidden="" ht="14" outlineLevel="0" r="13802">
      <c r="A13802" s="3" t="inlineStr">
        <is>
          <t>13758</t>
        </is>
      </c>
      <c r="B13802" s="4" t="s">
        <f>=HYPERLINK("http://anyluxury.ru/shop/odezhda/futbolki/futbolka-zhenskaya-mia-krasnaya-01699168/" , "01699168 Футболка женская MIA красная, размер XXL")</f>
      </c>
      <c r="C13802" s="4" t="n">
        <v>596.00</v>
      </c>
      <c r="D13802" s="4"/>
    </row>
    <row collapsed="" customFormat="false" customHeight="1" hidden="" ht="14" outlineLevel="0" r="13803">
      <c r="A13803" s="3" t="inlineStr">
        <is>
          <t>13759</t>
        </is>
      </c>
      <c r="B13803" s="4" t="s">
        <f>=HYPERLINK("http://anyluxury.ru/shop/odezhda/futbolki/futbolka-zhenskaya-mia-zelenaya-myata-01699285/" , "01699285 Футболка женская MIA зеленая мята, размер XS")</f>
      </c>
      <c r="C13803" s="4" t="n">
        <v>596.00</v>
      </c>
      <c r="D13803" s="4"/>
    </row>
    <row collapsed="" customFormat="false" customHeight="1" hidden="" ht="14" outlineLevel="0" r="13804">
      <c r="A13804" s="3" t="inlineStr">
        <is>
          <t>13760</t>
        </is>
      </c>
      <c r="B13804" s="4" t="s">
        <f>=HYPERLINK("http://anyluxury.ru/shop/odezhda/futbolki/futbolka-zhenskaya-mia-zelenaya-myata-01699285/" , "01699285 Футболка женская MIA зеленая мята, размер S")</f>
      </c>
      <c r="C13804" s="4" t="n">
        <v>596.00</v>
      </c>
      <c r="D13804" s="4"/>
    </row>
    <row collapsed="" customFormat="false" customHeight="1" hidden="" ht="14" outlineLevel="0" r="13805">
      <c r="A13805" s="3" t="inlineStr">
        <is>
          <t>13761</t>
        </is>
      </c>
      <c r="B13805" s="4" t="s">
        <f>=HYPERLINK("http://anyluxury.ru/shop/odezhda/futbolki/futbolka-zhenskaya-mia-zelenaya-myata-01699285/" , "01699285 Футболка женская MIA зеленая мята, размер L")</f>
      </c>
      <c r="C13805" s="4" t="n">
        <v>596.00</v>
      </c>
      <c r="D13805" s="4"/>
    </row>
    <row collapsed="" customFormat="false" customHeight="1" hidden="" ht="14" outlineLevel="0" r="13806">
      <c r="A13806" s="3" t="inlineStr">
        <is>
          <t>13762</t>
        </is>
      </c>
      <c r="B13806" s="4" t="s">
        <f>=HYPERLINK("http://anyluxury.ru/shop/odezhda/futbolki/futbolka-zhenskaya-mia-zelenaya-myata-01699285/" , "01699285 Футболка женская MIA зеленая мята, размер XL")</f>
      </c>
      <c r="C13806" s="4" t="n">
        <v>596.00</v>
      </c>
      <c r="D13806" s="4"/>
    </row>
    <row collapsed="" customFormat="false" customHeight="1" hidden="" ht="14" outlineLevel="0" r="13807">
      <c r="A13807" s="3" t="inlineStr">
        <is>
          <t>13763</t>
        </is>
      </c>
      <c r="B13807" s="4" t="s">
        <f>=HYPERLINK("http://anyluxury.ru/shop/odezhda/futbolki/futbolka-zhenskaya-mia-zelenaya-myata-01699285/" , "01699285 Футболка женская MIA зеленая мята, размер XXL")</f>
      </c>
      <c r="C13807" s="4" t="n">
        <v>596.00</v>
      </c>
      <c r="D13807" s="4"/>
    </row>
    <row collapsed="" customFormat="false" customHeight="1" hidden="" ht="14" outlineLevel="0" r="13808">
      <c r="A13808" s="3" t="inlineStr">
        <is>
          <t>13764</t>
        </is>
      </c>
      <c r="B13808" s="4" t="s">
        <f>=HYPERLINK("http://anyluxury.ru/shop/odezhda/futbolki/futbolka-zhenskaya-mia-seraya-01699381/" , "01699381 Футболка женская MIA серая, размер XS")</f>
      </c>
      <c r="C13808" s="4" t="n">
        <v>596.00</v>
      </c>
      <c r="D13808" s="4"/>
    </row>
    <row collapsed="" customFormat="false" customHeight="1" hidden="" ht="14" outlineLevel="0" r="13809">
      <c r="A13809" s="3" t="inlineStr">
        <is>
          <t>13765</t>
        </is>
      </c>
      <c r="B13809" s="4" t="s">
        <f>=HYPERLINK("http://anyluxury.ru/shop/odezhda/futbolki/futbolka-zhenskaya-mia-seraya-01699381/" , "01699381 Футболка женская MIA серая, размер S")</f>
      </c>
      <c r="C13809" s="4" t="n">
        <v>596.00</v>
      </c>
      <c r="D13809" s="4"/>
    </row>
    <row collapsed="" customFormat="false" customHeight="1" hidden="" ht="14" outlineLevel="0" r="13810">
      <c r="A13810" s="3" t="inlineStr">
        <is>
          <t>13766</t>
        </is>
      </c>
      <c r="B13810" s="4" t="s">
        <f>=HYPERLINK("http://anyluxury.ru/shop/odezhda/futbolki/futbolka-zhenskaya-mia-seraya-01699381/" , "01699381 Футболка женская MIA серая, размер M")</f>
      </c>
      <c r="C13810" s="4" t="n">
        <v>596.00</v>
      </c>
      <c r="D13810" s="4"/>
    </row>
    <row collapsed="" customFormat="false" customHeight="1" hidden="" ht="14" outlineLevel="0" r="13811">
      <c r="A13811" s="3" t="inlineStr">
        <is>
          <t>13767</t>
        </is>
      </c>
      <c r="B13811" s="4" t="s">
        <f>=HYPERLINK("http://anyluxury.ru/shop/odezhda/futbolki/futbolka-zhenskaya-mia-seraya-01699381/" , "01699381 Футболка женская MIA серая, размер L")</f>
      </c>
      <c r="C13811" s="4" t="n">
        <v>596.00</v>
      </c>
      <c r="D13811" s="4"/>
    </row>
    <row collapsed="" customFormat="false" customHeight="1" hidden="" ht="14" outlineLevel="0" r="13812">
      <c r="A13812" s="3" t="inlineStr">
        <is>
          <t>13768</t>
        </is>
      </c>
      <c r="B13812" s="4" t="s">
        <f>=HYPERLINK("http://anyluxury.ru/shop/odezhda/futbolki/futbolka-zhenskaya-mia-seraya-01699381/" , "01699381 Футболка женская MIA серая, размер XL")</f>
      </c>
      <c r="C13812" s="4" t="n">
        <v>596.00</v>
      </c>
      <c r="D13812" s="4"/>
    </row>
    <row collapsed="" customFormat="false" customHeight="1" hidden="" ht="14" outlineLevel="0" r="13813">
      <c r="A13813" s="3" t="inlineStr">
        <is>
          <t>13769</t>
        </is>
      </c>
      <c r="B13813" s="4" t="s">
        <f>=HYPERLINK("http://anyluxury.ru/shop/odezhda/futbolki/futbolka-zhenskaya-mia-seraya-01699381/" , "01699381 Футболка женская MIA серая, размер XXL")</f>
      </c>
      <c r="C13813" s="4" t="n">
        <v>596.00</v>
      </c>
      <c r="D13813" s="4"/>
    </row>
    <row collapsed="" customFormat="false" customHeight="1" hidden="" ht="14" outlineLevel="0" r="13814">
      <c r="A13814" s="3" t="inlineStr">
        <is>
          <t>13770</t>
        </is>
      </c>
      <c r="B13814" s="4" t="s">
        <f>=HYPERLINK("http://anyluxury.ru/shop/odezhda/futbolki/futbolka-zhenskaya-mia-belaya-01699102/" , "01699102 Футболка женская MIA белая, размер XS")</f>
      </c>
      <c r="C13814" s="4" t="n">
        <v>554.00</v>
      </c>
      <c r="D13814" s="4"/>
    </row>
    <row collapsed="" customFormat="false" customHeight="1" hidden="" ht="14" outlineLevel="0" r="13815">
      <c r="A13815" s="3" t="inlineStr">
        <is>
          <t>13771</t>
        </is>
      </c>
      <c r="B13815" s="4" t="s">
        <f>=HYPERLINK("http://anyluxury.ru/shop/odezhda/futbolki/futbolka-zhenskaya-mia-belaya-01699102/" , "01699102 Футболка женская MIA белая, размер S")</f>
      </c>
      <c r="C13815" s="4" t="n">
        <v>554.00</v>
      </c>
      <c r="D13815" s="4"/>
    </row>
    <row collapsed="" customFormat="false" customHeight="1" hidden="" ht="14" outlineLevel="0" r="13816">
      <c r="A13816" s="3" t="inlineStr">
        <is>
          <t>13772</t>
        </is>
      </c>
      <c r="B13816" s="4" t="s">
        <f>=HYPERLINK("http://anyluxury.ru/shop/odezhda/futbolki/futbolka-zhenskaya-mia-belaya-01699102/" , "01699102 Футболка женская MIA белая, размер L")</f>
      </c>
      <c r="C13816" s="4" t="n">
        <v>554.00</v>
      </c>
      <c r="D13816" s="4"/>
    </row>
    <row collapsed="" customFormat="false" customHeight="1" hidden="" ht="14" outlineLevel="0" r="13817">
      <c r="A13817" s="3" t="inlineStr">
        <is>
          <t>13773</t>
        </is>
      </c>
      <c r="B13817" s="4" t="s">
        <f>=HYPERLINK("http://anyluxury.ru/shop/odezhda/futbolki/futbolka-zhenskaya-mia-belaya-01699102/" , "01699102 Футболка женская MIA белая, размер XL")</f>
      </c>
      <c r="C13817" s="4" t="n">
        <v>554.00</v>
      </c>
      <c r="D13817" s="4"/>
    </row>
    <row collapsed="" customFormat="false" customHeight="1" hidden="" ht="14" outlineLevel="0" r="13818">
      <c r="A13818" s="3" t="inlineStr">
        <is>
          <t>13774</t>
        </is>
      </c>
      <c r="B13818" s="4" t="s">
        <f>=HYPERLINK("http://anyluxury.ru/shop/odezhda/futbolki/futbolka-zhenskaya-mia-belaya-01699102/" , "01699102 Футболка женская MIA белая, размер XXL")</f>
      </c>
      <c r="C13818" s="4" t="n">
        <v>554.00</v>
      </c>
      <c r="D13818" s="4"/>
    </row>
    <row collapsed="" customFormat="false" customHeight="1" hidden="" ht="14" outlineLevel="0" r="13819">
      <c r="A13819" s="3" t="inlineStr">
        <is>
          <t>13775</t>
        </is>
      </c>
      <c r="B13819" s="4" t="s">
        <f>=HYPERLINK("http://anyluxury.ru/shop/odezhda/futbolki/futbolka-muzhskaya-murphy-men-chernaya-01836309/" , "01836309 Футболка мужская MURPHY MEN черная, размер S")</f>
      </c>
      <c r="C13819" s="4" t="n">
        <v>865.00</v>
      </c>
      <c r="D13819" s="4"/>
    </row>
    <row collapsed="" customFormat="false" customHeight="1" hidden="" ht="14" outlineLevel="0" r="13820">
      <c r="A13820" s="3" t="inlineStr">
        <is>
          <t>13776</t>
        </is>
      </c>
      <c r="B13820" s="4" t="s">
        <f>=HYPERLINK("http://anyluxury.ru/shop/odezhda/futbolki/futbolka-muzhskaya-murphy-men-chernaya-01836309/" , "01836309 Футболка мужская MURPHY MEN черная, размер M")</f>
      </c>
      <c r="C13820" s="4" t="n">
        <v>865.00</v>
      </c>
      <c r="D13820" s="4"/>
    </row>
    <row collapsed="" customFormat="false" customHeight="1" hidden="" ht="14" outlineLevel="0" r="13821">
      <c r="A13821" s="3" t="inlineStr">
        <is>
          <t>13777</t>
        </is>
      </c>
      <c r="B13821" s="4" t="s">
        <f>=HYPERLINK("http://anyluxury.ru/shop/odezhda/futbolki/futbolka-muzhskaya-murphy-men-chernaya-01836309/" , "01836309 Футболка мужская MURPHY MEN черная, размер L")</f>
      </c>
      <c r="C13821" s="4" t="n">
        <v>865.00</v>
      </c>
      <c r="D13821" s="4"/>
    </row>
    <row collapsed="" customFormat="false" customHeight="1" hidden="" ht="14" outlineLevel="0" r="13822">
      <c r="A13822" s="3" t="inlineStr">
        <is>
          <t>13778</t>
        </is>
      </c>
      <c r="B13822" s="4" t="s">
        <f>=HYPERLINK("http://anyluxury.ru/shop/odezhda/futbolki/futbolka-muzhskaya-murphy-men-chernaya-01836309/" , "01836309 Футболка мужская MURPHY MEN черная, размер XL")</f>
      </c>
      <c r="C13822" s="4" t="n">
        <v>865.00</v>
      </c>
      <c r="D13822" s="4"/>
    </row>
    <row collapsed="" customFormat="false" customHeight="1" hidden="" ht="14" outlineLevel="0" r="13823">
      <c r="A13823" s="3" t="inlineStr">
        <is>
          <t>13779</t>
        </is>
      </c>
      <c r="B13823" s="4" t="s">
        <f>=HYPERLINK("http://anyluxury.ru/shop/odezhda/futbolki/futbolka-muzhskaya-murphy-men-chernaya-01836309/" , "01836309 Футболка мужская MURPHY MEN черная, размер XXL")</f>
      </c>
      <c r="C13823" s="4" t="n">
        <v>865.00</v>
      </c>
      <c r="D13823" s="4"/>
    </row>
    <row collapsed="" customFormat="false" customHeight="1" hidden="" ht="14" outlineLevel="0" r="13824">
      <c r="A13824" s="3" t="inlineStr">
        <is>
          <t>13780</t>
        </is>
      </c>
      <c r="B13824" s="4" t="s">
        <f>=HYPERLINK("http://anyluxury.ru/shop/odezhda/futbolki/futbolka-muzhskaya-murphy-men-chernaya-01836309/" , "01836309 Футболка мужская MURPHY MEN черная, размер 3XL")</f>
      </c>
      <c r="C13824" s="4" t="n">
        <v>997.00</v>
      </c>
      <c r="D13824" s="4"/>
    </row>
    <row collapsed="" customFormat="false" customHeight="1" hidden="" ht="14" outlineLevel="0" r="13825">
      <c r="A13825" s="3" t="inlineStr">
        <is>
          <t>13781</t>
        </is>
      </c>
      <c r="B13825" s="4" t="s">
        <f>=HYPERLINK("http://anyluxury.ru/shop/odezhda/futbolki/futbolka-muzhskaya-murphy-men-temnosinyaya-01836319/" , "01836319 Футболка мужская MURPHY MEN темно-синяя, размер S")</f>
      </c>
      <c r="C13825" s="4" t="n">
        <v>865.00</v>
      </c>
      <c r="D13825" s="4"/>
    </row>
    <row collapsed="" customFormat="false" customHeight="1" hidden="" ht="14" outlineLevel="0" r="13826">
      <c r="A13826" s="3" t="inlineStr">
        <is>
          <t>13782</t>
        </is>
      </c>
      <c r="B13826" s="4" t="s">
        <f>=HYPERLINK("http://anyluxury.ru/shop/odezhda/futbolki/futbolka-muzhskaya-murphy-men-temnosinyaya-01836319/" , "01836319 Футболка мужская MURPHY MEN темно-синяя, размер M")</f>
      </c>
      <c r="C13826" s="4" t="n">
        <v>865.00</v>
      </c>
      <c r="D13826" s="4"/>
    </row>
    <row collapsed="" customFormat="false" customHeight="1" hidden="" ht="14" outlineLevel="0" r="13827">
      <c r="A13827" s="3" t="inlineStr">
        <is>
          <t>13783</t>
        </is>
      </c>
      <c r="B13827" s="4" t="s">
        <f>=HYPERLINK("http://anyluxury.ru/shop/odezhda/futbolki/futbolka-muzhskaya-murphy-men-temnosinyaya-01836319/" , "01836319 Футболка мужская MURPHY MEN темно-синяя, размер L")</f>
      </c>
      <c r="C13827" s="4" t="n">
        <v>865.00</v>
      </c>
      <c r="D13827" s="4"/>
    </row>
    <row collapsed="" customFormat="false" customHeight="1" hidden="" ht="14" outlineLevel="0" r="13828">
      <c r="A13828" s="3" t="inlineStr">
        <is>
          <t>13784</t>
        </is>
      </c>
      <c r="B13828" s="4" t="s">
        <f>=HYPERLINK("http://anyluxury.ru/shop/odezhda/futbolki/futbolka-muzhskaya-murphy-men-temnosinyaya-01836319/" , "01836319 Футболка мужская MURPHY MEN темно-синяя, размер XL")</f>
      </c>
      <c r="C13828" s="4" t="n">
        <v>865.00</v>
      </c>
      <c r="D13828" s="4"/>
    </row>
    <row collapsed="" customFormat="false" customHeight="1" hidden="" ht="14" outlineLevel="0" r="13829">
      <c r="A13829" s="3" t="inlineStr">
        <is>
          <t>13785</t>
        </is>
      </c>
      <c r="B13829" s="4" t="s">
        <f>=HYPERLINK("http://anyluxury.ru/shop/odezhda/futbolki/futbolka-muzhskaya-murphy-men-temnosinyaya-01836319/" , "01836319 Футболка мужская MURPHY MEN темно-синяя, размер XXL")</f>
      </c>
      <c r="C13829" s="4" t="n">
        <v>865.00</v>
      </c>
      <c r="D13829" s="4"/>
    </row>
    <row collapsed="" customFormat="false" customHeight="1" hidden="" ht="14" outlineLevel="0" r="13830">
      <c r="A13830" s="3" t="inlineStr">
        <is>
          <t>13786</t>
        </is>
      </c>
      <c r="B13830" s="4" t="s">
        <f>=HYPERLINK("http://anyluxury.ru/shop/odezhda/futbolki/futbolka-muzhskaya-murphy-men-temnosinyaya-01836319/" , "01836319 Футболка мужская MURPHY MEN темно-синяя, размер 3XL")</f>
      </c>
      <c r="C13830" s="4" t="n">
        <v>997.00</v>
      </c>
      <c r="D13830" s="4"/>
    </row>
    <row collapsed="" customFormat="false" customHeight="1" hidden="" ht="14" outlineLevel="0" r="13831">
      <c r="A13831" s="3" t="inlineStr">
        <is>
          <t>13787</t>
        </is>
      </c>
      <c r="B13831" s="4" t="s">
        <f>=HYPERLINK("http://anyluxury.ru/shop/odezhda/futbolki/futbolka-muzhskaya-murphy-men-seriy-melanzh-01836350/" , "01836350 Футболка мужская MURPHY MEN серый меланж, размер S")</f>
      </c>
      <c r="C13831" s="4" t="n">
        <v>865.00</v>
      </c>
      <c r="D13831" s="4"/>
    </row>
    <row collapsed="" customFormat="false" customHeight="1" hidden="" ht="14" outlineLevel="0" r="13832">
      <c r="A13832" s="3" t="inlineStr">
        <is>
          <t>13788</t>
        </is>
      </c>
      <c r="B13832" s="4" t="s">
        <f>=HYPERLINK("http://anyluxury.ru/shop/odezhda/futbolki/futbolka-muzhskaya-murphy-men-seriy-melanzh-01836350/" , "01836350 Футболка мужская MURPHY MEN серый меланж, размер M")</f>
      </c>
      <c r="C13832" s="4" t="n">
        <v>865.00</v>
      </c>
      <c r="D13832" s="4"/>
    </row>
    <row collapsed="" customFormat="false" customHeight="1" hidden="" ht="14" outlineLevel="0" r="13833">
      <c r="A13833" s="3" t="inlineStr">
        <is>
          <t>13789</t>
        </is>
      </c>
      <c r="B13833" s="4" t="s">
        <f>=HYPERLINK("http://anyluxury.ru/shop/odezhda/futbolki/futbolka-muzhskaya-murphy-men-seriy-melanzh-01836350/" , "01836350 Футболка мужская MURPHY MEN серый меланж, размер L")</f>
      </c>
      <c r="C13833" s="4" t="n">
        <v>865.00</v>
      </c>
      <c r="D13833" s="4"/>
    </row>
    <row collapsed="" customFormat="false" customHeight="1" hidden="" ht="14" outlineLevel="0" r="13834">
      <c r="A13834" s="3" t="inlineStr">
        <is>
          <t>13790</t>
        </is>
      </c>
      <c r="B13834" s="4" t="s">
        <f>=HYPERLINK("http://anyluxury.ru/shop/odezhda/futbolki/futbolka-muzhskaya-murphy-men-seriy-melanzh-01836350/" , "01836350 Футболка мужская MURPHY MEN серый меланж, размер XL")</f>
      </c>
      <c r="C13834" s="4" t="n">
        <v>865.00</v>
      </c>
      <c r="D13834" s="4"/>
    </row>
    <row collapsed="" customFormat="false" customHeight="1" hidden="" ht="14" outlineLevel="0" r="13835">
      <c r="A13835" s="3" t="inlineStr">
        <is>
          <t>13791</t>
        </is>
      </c>
      <c r="B13835" s="4" t="s">
        <f>=HYPERLINK("http://anyluxury.ru/shop/odezhda/futbolki/futbolka-muzhskaya-murphy-men-seriy-melanzh-01836350/" , "01836350 Футболка мужская MURPHY MEN серый меланж, размер XXL")</f>
      </c>
      <c r="C13835" s="4" t="n">
        <v>865.00</v>
      </c>
      <c r="D13835" s="4"/>
    </row>
    <row collapsed="" customFormat="false" customHeight="1" hidden="" ht="14" outlineLevel="0" r="13836">
      <c r="A13836" s="3" t="inlineStr">
        <is>
          <t>13792</t>
        </is>
      </c>
      <c r="B13836" s="4" t="s">
        <f>=HYPERLINK("http://anyluxury.ru/shop/odezhda/futbolki/futbolka-muzhskaya-murphy-men-seriy-melanzh-01836350/" , "01836350 Футболка мужская MURPHY MEN серый меланж, размер 3XL")</f>
      </c>
      <c r="C13836" s="4" t="n">
        <v>997.00</v>
      </c>
      <c r="D13836" s="4"/>
    </row>
    <row collapsed="" customFormat="false" customHeight="1" hidden="" ht="14" outlineLevel="0" r="13837">
      <c r="A13837" s="3" t="inlineStr">
        <is>
          <t>13793</t>
        </is>
      </c>
      <c r="B13837" s="4" t="s">
        <f>=HYPERLINK("http://anyluxury.ru/shop/odezhda/futbolki/futbolka-muzhskaya-murphy-men-krasnaya-01836168/" , "01836168 Футболка мужская MURPHY MEN красная, размер S")</f>
      </c>
      <c r="C13837" s="4" t="n">
        <v>865.00</v>
      </c>
      <c r="D13837" s="4"/>
    </row>
    <row collapsed="" customFormat="false" customHeight="1" hidden="" ht="14" outlineLevel="0" r="13838">
      <c r="A13838" s="3" t="inlineStr">
        <is>
          <t>13794</t>
        </is>
      </c>
      <c r="B13838" s="4" t="s">
        <f>=HYPERLINK("http://anyluxury.ru/shop/odezhda/futbolki/futbolka-muzhskaya-murphy-men-krasnaya-01836168/" , "01836168 Футболка мужская MURPHY MEN красная, размер M")</f>
      </c>
      <c r="C13838" s="4" t="n">
        <v>865.00</v>
      </c>
      <c r="D13838" s="4"/>
    </row>
    <row collapsed="" customFormat="false" customHeight="1" hidden="" ht="14" outlineLevel="0" r="13839">
      <c r="A13839" s="3" t="inlineStr">
        <is>
          <t>13795</t>
        </is>
      </c>
      <c r="B13839" s="4" t="s">
        <f>=HYPERLINK("http://anyluxury.ru/shop/odezhda/futbolki/futbolka-muzhskaya-murphy-men-krasnaya-01836168/" , "01836168 Футболка мужская MURPHY MEN красная, размер L")</f>
      </c>
      <c r="C13839" s="4" t="n">
        <v>865.00</v>
      </c>
      <c r="D13839" s="4"/>
    </row>
    <row collapsed="" customFormat="false" customHeight="1" hidden="" ht="14" outlineLevel="0" r="13840">
      <c r="A13840" s="3" t="inlineStr">
        <is>
          <t>13796</t>
        </is>
      </c>
      <c r="B13840" s="4" t="s">
        <f>=HYPERLINK("http://anyluxury.ru/shop/odezhda/futbolki/futbolka-muzhskaya-murphy-men-krasnaya-01836168/" , "01836168 Футболка мужская MURPHY MEN красная, размер XL")</f>
      </c>
      <c r="C13840" s="4" t="n">
        <v>865.00</v>
      </c>
      <c r="D13840" s="4"/>
    </row>
    <row collapsed="" customFormat="false" customHeight="1" hidden="" ht="14" outlineLevel="0" r="13841">
      <c r="A13841" s="3" t="inlineStr">
        <is>
          <t>13797</t>
        </is>
      </c>
      <c r="B13841" s="4" t="s">
        <f>=HYPERLINK("http://anyluxury.ru/shop/odezhda/futbolki/futbolka-muzhskaya-murphy-men-krasnaya-01836168/" , "01836168 Футболка мужская MURPHY MEN красная, размер XXL")</f>
      </c>
      <c r="C13841" s="4" t="n">
        <v>865.00</v>
      </c>
      <c r="D13841" s="4"/>
    </row>
    <row collapsed="" customFormat="false" customHeight="1" hidden="" ht="14" outlineLevel="0" r="13842">
      <c r="A13842" s="3" t="inlineStr">
        <is>
          <t>13798</t>
        </is>
      </c>
      <c r="B13842" s="4" t="s">
        <f>=HYPERLINK("http://anyluxury.ru/shop/odezhda/futbolki/futbolka-muzhskaya-murphy-men-krasnaya-01836168/" , "01836168 Футболка мужская MURPHY MEN красная, размер 3XL")</f>
      </c>
      <c r="C13842" s="4" t="n">
        <v>997.00</v>
      </c>
      <c r="D13842" s="4"/>
    </row>
    <row collapsed="" customFormat="false" customHeight="1" hidden="" ht="14" outlineLevel="0" r="13843">
      <c r="A13843" s="3" t="inlineStr">
        <is>
          <t>13799</t>
        </is>
      </c>
      <c r="B13843" s="4" t="s">
        <f>=HYPERLINK("http://anyluxury.ru/shop/odezhda/futbolki/futbolka-muzhskaya-murphy-men-zelenaya-myata-01836285/" , "01836285 Футболка мужская MURPHY MEN зеленая мята, размер S")</f>
      </c>
      <c r="C13843" s="4" t="n">
        <v>865.00</v>
      </c>
      <c r="D13843" s="4"/>
    </row>
    <row collapsed="" customFormat="false" customHeight="1" hidden="" ht="14" outlineLevel="0" r="13844">
      <c r="A13844" s="3" t="inlineStr">
        <is>
          <t>13800</t>
        </is>
      </c>
      <c r="B13844" s="4" t="s">
        <f>=HYPERLINK("http://anyluxury.ru/shop/odezhda/futbolki/futbolka-muzhskaya-murphy-men-zelenaya-myata-01836285/" , "01836285 Футболка мужская MURPHY MEN зеленая мята, размер M")</f>
      </c>
      <c r="C13844" s="4" t="n">
        <v>865.00</v>
      </c>
      <c r="D13844" s="4"/>
    </row>
    <row collapsed="" customFormat="false" customHeight="1" hidden="" ht="14" outlineLevel="0" r="13845">
      <c r="A13845" s="3" t="inlineStr">
        <is>
          <t>13801</t>
        </is>
      </c>
      <c r="B13845" s="4" t="s">
        <f>=HYPERLINK("http://anyluxury.ru/shop/odezhda/futbolki/futbolka-muzhskaya-murphy-men-zelenaya-myata-01836285/" , "01836285 Футболка мужская MURPHY MEN зеленая мята, размер L")</f>
      </c>
      <c r="C13845" s="4" t="n">
        <v>865.00</v>
      </c>
      <c r="D13845" s="4"/>
    </row>
    <row collapsed="" customFormat="false" customHeight="1" hidden="" ht="14" outlineLevel="0" r="13846">
      <c r="A13846" s="3" t="inlineStr">
        <is>
          <t>13802</t>
        </is>
      </c>
      <c r="B13846" s="4" t="s">
        <f>=HYPERLINK("http://anyluxury.ru/shop/odezhda/futbolki/futbolka-muzhskaya-murphy-men-zelenaya-myata-01836285/" , "01836285 Футболка мужская MURPHY MEN зеленая мята, размер XL")</f>
      </c>
      <c r="C13846" s="4" t="n">
        <v>865.00</v>
      </c>
      <c r="D13846" s="4"/>
    </row>
    <row collapsed="" customFormat="false" customHeight="1" hidden="" ht="14" outlineLevel="0" r="13847">
      <c r="A13847" s="3" t="inlineStr">
        <is>
          <t>13803</t>
        </is>
      </c>
      <c r="B13847" s="4" t="s">
        <f>=HYPERLINK("http://anyluxury.ru/shop/odezhda/futbolki/futbolka-muzhskaya-murphy-men-zelenaya-myata-01836285/" , "01836285 Футболка мужская MURPHY MEN зеленая мята, размер XXL")</f>
      </c>
      <c r="C13847" s="4" t="n">
        <v>865.00</v>
      </c>
      <c r="D13847" s="4"/>
    </row>
    <row collapsed="" customFormat="false" customHeight="1" hidden="" ht="14" outlineLevel="0" r="13848">
      <c r="A13848" s="3" t="inlineStr">
        <is>
          <t>13804</t>
        </is>
      </c>
      <c r="B13848" s="4" t="s">
        <f>=HYPERLINK("http://anyluxury.ru/shop/odezhda/futbolki/futbolka-muzhskaya-murphy-men-zelenaya-myata-01836285/" , "01836285 Футболка мужская MURPHY MEN зеленая мята, размер 3XL")</f>
      </c>
      <c r="C13848" s="4" t="n">
        <v>997.00</v>
      </c>
      <c r="D13848" s="4"/>
    </row>
    <row collapsed="" customFormat="false" customHeight="1" hidden="" ht="14" outlineLevel="0" r="13849">
      <c r="A13849" s="3" t="inlineStr">
        <is>
          <t>13805</t>
        </is>
      </c>
      <c r="B13849" s="4" t="s">
        <f>=HYPERLINK("http://anyluxury.ru/shop/odezhda/futbolki/futbolka-muzhskaya-murphy-men-sinyaya-01836248/" , "01836248 Футболка мужская MURPHY MEN синяя, размер S")</f>
      </c>
      <c r="C13849" s="4" t="n">
        <v>865.00</v>
      </c>
      <c r="D13849" s="4"/>
    </row>
    <row collapsed="" customFormat="false" customHeight="1" hidden="" ht="14" outlineLevel="0" r="13850">
      <c r="A13850" s="3" t="inlineStr">
        <is>
          <t>13806</t>
        </is>
      </c>
      <c r="B13850" s="4" t="s">
        <f>=HYPERLINK("http://anyluxury.ru/shop/odezhda/futbolki/futbolka-muzhskaya-murphy-men-sinyaya-01836248/" , "01836248 Футболка мужская MURPHY MEN синяя, размер M")</f>
      </c>
      <c r="C13850" s="4" t="n">
        <v>865.00</v>
      </c>
      <c r="D13850" s="4"/>
    </row>
    <row collapsed="" customFormat="false" customHeight="1" hidden="" ht="14" outlineLevel="0" r="13851">
      <c r="A13851" s="3" t="inlineStr">
        <is>
          <t>13807</t>
        </is>
      </c>
      <c r="B13851" s="4" t="s">
        <f>=HYPERLINK("http://anyluxury.ru/shop/odezhda/futbolki/futbolka-muzhskaya-murphy-men-sinyaya-01836248/" , "01836248 Футболка мужская MURPHY MEN синяя, размер L")</f>
      </c>
      <c r="C13851" s="4" t="n">
        <v>865.00</v>
      </c>
      <c r="D13851" s="4"/>
    </row>
    <row collapsed="" customFormat="false" customHeight="1" hidden="" ht="14" outlineLevel="0" r="13852">
      <c r="A13852" s="3" t="inlineStr">
        <is>
          <t>13808</t>
        </is>
      </c>
      <c r="B13852" s="4" t="s">
        <f>=HYPERLINK("http://anyluxury.ru/shop/odezhda/futbolki/futbolka-muzhskaya-murphy-men-sinyaya-01836248/" , "01836248 Футболка мужская MURPHY MEN синяя, размер XL")</f>
      </c>
      <c r="C13852" s="4" t="n">
        <v>865.00</v>
      </c>
      <c r="D13852" s="4"/>
    </row>
    <row collapsed="" customFormat="false" customHeight="1" hidden="" ht="14" outlineLevel="0" r="13853">
      <c r="A13853" s="3" t="inlineStr">
        <is>
          <t>13809</t>
        </is>
      </c>
      <c r="B13853" s="4" t="s">
        <f>=HYPERLINK("http://anyluxury.ru/shop/odezhda/futbolki/futbolka-muzhskaya-murphy-men-sinyaya-01836248/" , "01836248 Футболка мужская MURPHY MEN синяя, размер XXL")</f>
      </c>
      <c r="C13853" s="4" t="n">
        <v>865.00</v>
      </c>
      <c r="D13853" s="4"/>
    </row>
    <row collapsed="" customFormat="false" customHeight="1" hidden="" ht="14" outlineLevel="0" r="13854">
      <c r="A13854" s="3" t="inlineStr">
        <is>
          <t>13810</t>
        </is>
      </c>
      <c r="B13854" s="4" t="s">
        <f>=HYPERLINK("http://anyluxury.ru/shop/odezhda/futbolki/futbolka-muzhskaya-murphy-men-sinyaya-01836248/" , "01836248 Футболка мужская MURPHY MEN синяя, размер 3XL")</f>
      </c>
      <c r="C13854" s="4" t="n">
        <v>997.00</v>
      </c>
      <c r="D13854" s="4"/>
    </row>
    <row collapsed="" customFormat="false" customHeight="1" hidden="" ht="14" outlineLevel="0" r="13855">
      <c r="A13855" s="3" t="inlineStr">
        <is>
          <t>13811</t>
        </is>
      </c>
      <c r="B13855" s="4" t="s">
        <f>=HYPERLINK("http://anyluxury.ru/shop/odezhda/futbolki/futbolka-muzhskaya-murphy-men-belaya-01836102/" , "01836102 Футболка мужская MURPHY MEN белая, размер S")</f>
      </c>
      <c r="C13855" s="4" t="n">
        <v>812.00</v>
      </c>
      <c r="D13855" s="4"/>
    </row>
    <row collapsed="" customFormat="false" customHeight="1" hidden="" ht="14" outlineLevel="0" r="13856">
      <c r="A13856" s="3" t="inlineStr">
        <is>
          <t>13812</t>
        </is>
      </c>
      <c r="B13856" s="4" t="s">
        <f>=HYPERLINK("http://anyluxury.ru/shop/odezhda/futbolki/futbolka-muzhskaya-murphy-men-belaya-01836102/" , "01836102 Футболка мужская MURPHY MEN белая, размер M")</f>
      </c>
      <c r="C13856" s="4" t="n">
        <v>812.00</v>
      </c>
      <c r="D13856" s="4"/>
    </row>
    <row collapsed="" customFormat="false" customHeight="1" hidden="" ht="14" outlineLevel="0" r="13857">
      <c r="A13857" s="3" t="inlineStr">
        <is>
          <t>13813</t>
        </is>
      </c>
      <c r="B13857" s="4" t="s">
        <f>=HYPERLINK("http://anyluxury.ru/shop/odezhda/futbolki/futbolka-muzhskaya-murphy-men-belaya-01836102/" , "01836102 Футболка мужская MURPHY MEN белая, размер L")</f>
      </c>
      <c r="C13857" s="4" t="n">
        <v>812.00</v>
      </c>
      <c r="D13857" s="4"/>
    </row>
    <row collapsed="" customFormat="false" customHeight="1" hidden="" ht="14" outlineLevel="0" r="13858">
      <c r="A13858" s="3" t="inlineStr">
        <is>
          <t>13814</t>
        </is>
      </c>
      <c r="B13858" s="4" t="s">
        <f>=HYPERLINK("http://anyluxury.ru/shop/odezhda/futbolki/futbolka-muzhskaya-murphy-men-belaya-01836102/" , "01836102 Футболка мужская MURPHY MEN белая, размер XL")</f>
      </c>
      <c r="C13858" s="4" t="n">
        <v>812.00</v>
      </c>
      <c r="D13858" s="4"/>
    </row>
    <row collapsed="" customFormat="false" customHeight="1" hidden="" ht="14" outlineLevel="0" r="13859">
      <c r="A13859" s="3" t="inlineStr">
        <is>
          <t>13815</t>
        </is>
      </c>
      <c r="B13859" s="4" t="s">
        <f>=HYPERLINK("http://anyluxury.ru/shop/odezhda/futbolki/futbolka-muzhskaya-murphy-men-belaya-01836102/" , "01836102 Футболка мужская MURPHY MEN белая, размер XXL")</f>
      </c>
      <c r="C13859" s="4" t="n">
        <v>812.00</v>
      </c>
      <c r="D13859" s="4"/>
    </row>
    <row collapsed="" customFormat="false" customHeight="1" hidden="" ht="14" outlineLevel="0" r="13860">
      <c r="A13860" s="3" t="inlineStr">
        <is>
          <t>13816</t>
        </is>
      </c>
      <c r="B13860" s="4" t="s">
        <f>=HYPERLINK("http://anyluxury.ru/shop/odezhda/futbolki/futbolka-muzhskaya-murphy-men-belaya-01836102/" , "01836102 Футболка мужская MURPHY MEN белая, размер 3XL")</f>
      </c>
      <c r="C13860" s="4" t="n">
        <v>937.00</v>
      </c>
      <c r="D13860" s="4"/>
    </row>
    <row collapsed="" customFormat="false" customHeight="1" hidden="" ht="14" outlineLevel="0" r="13861">
      <c r="A13861" s="3" t="inlineStr">
        <is>
          <t>13817</t>
        </is>
      </c>
      <c r="B13861" s="4" t="s">
        <f>=HYPERLINK("http://anyluxury.ru/shop/odezhda/futbolki/futbolka-zhenskaya-murphy-women-chernaya-01837309/" , "01837309 Футболка женская MURPHY WOMEN черная, размер S")</f>
      </c>
      <c r="C13861" s="4" t="n">
        <v>822.00</v>
      </c>
      <c r="D13861" s="4"/>
    </row>
    <row collapsed="" customFormat="false" customHeight="1" hidden="" ht="14" outlineLevel="0" r="13862">
      <c r="A13862" s="3" t="inlineStr">
        <is>
          <t>13818</t>
        </is>
      </c>
      <c r="B13862" s="4" t="s">
        <f>=HYPERLINK("http://anyluxury.ru/shop/odezhda/futbolki/futbolka-zhenskaya-murphy-women-chernaya-01837309/" , "01837309 Футболка женская MURPHY WOMEN черная, размер M")</f>
      </c>
      <c r="C13862" s="4" t="n">
        <v>822.00</v>
      </c>
      <c r="D13862" s="4"/>
    </row>
    <row collapsed="" customFormat="false" customHeight="1" hidden="" ht="14" outlineLevel="0" r="13863">
      <c r="A13863" s="3" t="inlineStr">
        <is>
          <t>13819</t>
        </is>
      </c>
      <c r="B13863" s="4" t="s">
        <f>=HYPERLINK("http://anyluxury.ru/shop/odezhda/futbolki/futbolka-zhenskaya-murphy-women-chernaya-01837309/" , "01837309 Футболка женская MURPHY WOMEN черная, размер L")</f>
      </c>
      <c r="C13863" s="4" t="n">
        <v>822.00</v>
      </c>
      <c r="D13863" s="4"/>
    </row>
    <row collapsed="" customFormat="false" customHeight="1" hidden="" ht="14" outlineLevel="0" r="13864">
      <c r="A13864" s="3" t="inlineStr">
        <is>
          <t>13820</t>
        </is>
      </c>
      <c r="B13864" s="4" t="s">
        <f>=HYPERLINK("http://anyluxury.ru/shop/odezhda/futbolki/futbolka-zhenskaya-murphy-women-chernaya-01837309/" , "01837309 Футболка женская MURPHY WOMEN черная, размер XL")</f>
      </c>
      <c r="C13864" s="4" t="n">
        <v>822.00</v>
      </c>
      <c r="D13864" s="4"/>
    </row>
    <row collapsed="" customFormat="false" customHeight="1" hidden="" ht="14" outlineLevel="0" r="13865">
      <c r="A13865" s="3" t="inlineStr">
        <is>
          <t>13821</t>
        </is>
      </c>
      <c r="B13865" s="4" t="s">
        <f>=HYPERLINK("http://anyluxury.ru/shop/odezhda/futbolki/futbolka-zhenskaya-murphy-women-chernaya-01837309/" , "01837309 Футболка женская MURPHY WOMEN черная, размер XXL")</f>
      </c>
      <c r="C13865" s="4" t="n">
        <v>822.00</v>
      </c>
      <c r="D13865" s="4"/>
    </row>
    <row collapsed="" customFormat="false" customHeight="1" hidden="" ht="14" outlineLevel="0" r="13866">
      <c r="A13866" s="3" t="inlineStr">
        <is>
          <t>13822</t>
        </is>
      </c>
      <c r="B13866" s="4" t="s">
        <f>=HYPERLINK("http://anyluxury.ru/shop/odezhda/futbolki/futbolka-zhenskaya-murphy-women-seriy-melanzh-01837350/" , "01837350 Футболка женская MURPHY WOMEN серый меланж, размер S")</f>
      </c>
      <c r="C13866" s="4" t="n">
        <v>822.00</v>
      </c>
      <c r="D13866" s="4"/>
    </row>
    <row collapsed="" customFormat="false" customHeight="1" hidden="" ht="14" outlineLevel="0" r="13867">
      <c r="A13867" s="3" t="inlineStr">
        <is>
          <t>13823</t>
        </is>
      </c>
      <c r="B13867" s="4" t="s">
        <f>=HYPERLINK("http://anyluxury.ru/shop/odezhda/futbolki/futbolka-zhenskaya-murphy-women-seriy-melanzh-01837350/" , "01837350 Футболка женская MURPHY WOMEN серый меланж, размер M")</f>
      </c>
      <c r="C13867" s="4" t="n">
        <v>822.00</v>
      </c>
      <c r="D13867" s="4"/>
    </row>
    <row collapsed="" customFormat="false" customHeight="1" hidden="" ht="14" outlineLevel="0" r="13868">
      <c r="A13868" s="3" t="inlineStr">
        <is>
          <t>13824</t>
        </is>
      </c>
      <c r="B13868" s="4" t="s">
        <f>=HYPERLINK("http://anyluxury.ru/shop/odezhda/futbolki/futbolka-zhenskaya-murphy-women-seriy-melanzh-01837350/" , "01837350 Футболка женская MURPHY WOMEN серый меланж, размер L")</f>
      </c>
      <c r="C13868" s="4" t="n">
        <v>822.00</v>
      </c>
      <c r="D13868" s="4"/>
    </row>
    <row collapsed="" customFormat="false" customHeight="1" hidden="" ht="14" outlineLevel="0" r="13869">
      <c r="A13869" s="3" t="inlineStr">
        <is>
          <t>13825</t>
        </is>
      </c>
      <c r="B13869" s="4" t="s">
        <f>=HYPERLINK("http://anyluxury.ru/shop/odezhda/futbolki/futbolka-zhenskaya-murphy-women-seriy-melanzh-01837350/" , "01837350 Футболка женская MURPHY WOMEN серый меланж, размер XL")</f>
      </c>
      <c r="C13869" s="4" t="n">
        <v>822.00</v>
      </c>
      <c r="D13869" s="4"/>
    </row>
    <row collapsed="" customFormat="false" customHeight="1" hidden="" ht="14" outlineLevel="0" r="13870">
      <c r="A13870" s="3" t="inlineStr">
        <is>
          <t>13826</t>
        </is>
      </c>
      <c r="B13870" s="4" t="s">
        <f>=HYPERLINK("http://anyluxury.ru/shop/odezhda/futbolki/futbolka-zhenskaya-murphy-women-seriy-melanzh-01837350/" , "01837350 Футболка женская MURPHY WOMEN серый меланж, размер XXL")</f>
      </c>
      <c r="C13870" s="4" t="n">
        <v>822.00</v>
      </c>
      <c r="D13870" s="4"/>
    </row>
    <row collapsed="" customFormat="false" customHeight="1" hidden="" ht="14" outlineLevel="0" r="13871">
      <c r="A13871" s="3" t="inlineStr">
        <is>
          <t>13827</t>
        </is>
      </c>
      <c r="B13871" s="4" t="s">
        <f>=HYPERLINK("http://anyluxury.ru/shop/odezhda/futbolki/futbolka-zhenskaya-murphy-women-krasnaya-01837168/" , "01837168 Футболка женская MURPHY WOMEN красная, размер S")</f>
      </c>
      <c r="C13871" s="4" t="n">
        <v>822.00</v>
      </c>
      <c r="D13871" s="4"/>
    </row>
    <row collapsed="" customFormat="false" customHeight="1" hidden="" ht="14" outlineLevel="0" r="13872">
      <c r="A13872" s="3" t="inlineStr">
        <is>
          <t>13828</t>
        </is>
      </c>
      <c r="B13872" s="4" t="s">
        <f>=HYPERLINK("http://anyluxury.ru/shop/odezhda/futbolki/futbolka-zhenskaya-murphy-women-krasnaya-01837168/" , "01837168 Футболка женская MURPHY WOMEN красная, размер M")</f>
      </c>
      <c r="C13872" s="4" t="n">
        <v>822.00</v>
      </c>
      <c r="D13872" s="4"/>
    </row>
    <row collapsed="" customFormat="false" customHeight="1" hidden="" ht="14" outlineLevel="0" r="13873">
      <c r="A13873" s="3" t="inlineStr">
        <is>
          <t>13829</t>
        </is>
      </c>
      <c r="B13873" s="4" t="s">
        <f>=HYPERLINK("http://anyluxury.ru/shop/odezhda/futbolki/futbolka-zhenskaya-murphy-women-krasnaya-01837168/" , "01837168 Футболка женская MURPHY WOMEN красная, размер L")</f>
      </c>
      <c r="C13873" s="4" t="n">
        <v>822.00</v>
      </c>
      <c r="D13873" s="4"/>
    </row>
    <row collapsed="" customFormat="false" customHeight="1" hidden="" ht="14" outlineLevel="0" r="13874">
      <c r="A13874" s="3" t="inlineStr">
        <is>
          <t>13830</t>
        </is>
      </c>
      <c r="B13874" s="4" t="s">
        <f>=HYPERLINK("http://anyluxury.ru/shop/odezhda/futbolki/futbolka-zhenskaya-murphy-women-krasnaya-01837168/" , "01837168 Футболка женская MURPHY WOMEN красная, размер XL")</f>
      </c>
      <c r="C13874" s="4" t="n">
        <v>822.00</v>
      </c>
      <c r="D13874" s="4"/>
    </row>
    <row collapsed="" customFormat="false" customHeight="1" hidden="" ht="14" outlineLevel="0" r="13875">
      <c r="A13875" s="3" t="inlineStr">
        <is>
          <t>13831</t>
        </is>
      </c>
      <c r="B13875" s="4" t="s">
        <f>=HYPERLINK("http://anyluxury.ru/shop/odezhda/futbolki/futbolka-zhenskaya-murphy-women-krasnaya-01837168/" , "01837168 Футболка женская MURPHY WOMEN красная, размер XXL")</f>
      </c>
      <c r="C13875" s="4" t="n">
        <v>822.00</v>
      </c>
      <c r="D13875" s="4"/>
    </row>
    <row collapsed="" customFormat="false" customHeight="1" hidden="" ht="14" outlineLevel="0" r="13876">
      <c r="A13876" s="3" t="inlineStr">
        <is>
          <t>13832</t>
        </is>
      </c>
      <c r="B13876" s="4" t="s">
        <f>=HYPERLINK("http://anyluxury.ru/shop/odezhda/futbolki/futbolka-zhenskaya-murphy-women-zelenaya-myata-01837285/" , "01837285 Футболка женская MURPHY WOMEN зеленая мята, размер S")</f>
      </c>
      <c r="C13876" s="4" t="n">
        <v>822.00</v>
      </c>
      <c r="D13876" s="4"/>
    </row>
    <row collapsed="" customFormat="false" customHeight="1" hidden="" ht="14" outlineLevel="0" r="13877">
      <c r="A13877" s="3" t="inlineStr">
        <is>
          <t>13833</t>
        </is>
      </c>
      <c r="B13877" s="4" t="s">
        <f>=HYPERLINK("http://anyluxury.ru/shop/odezhda/futbolki/futbolka-zhenskaya-murphy-women-zelenaya-myata-01837285/" , "01837285 Футболка женская MURPHY WOMEN зеленая мята, размер M")</f>
      </c>
      <c r="C13877" s="4" t="n">
        <v>822.00</v>
      </c>
      <c r="D13877" s="4"/>
    </row>
    <row collapsed="" customFormat="false" customHeight="1" hidden="" ht="14" outlineLevel="0" r="13878">
      <c r="A13878" s="3" t="inlineStr">
        <is>
          <t>13834</t>
        </is>
      </c>
      <c r="B13878" s="4" t="s">
        <f>=HYPERLINK("http://anyluxury.ru/shop/odezhda/futbolki/futbolka-zhenskaya-murphy-women-zelenaya-myata-01837285/" , "01837285 Футболка женская MURPHY WOMEN зеленая мята, размер L")</f>
      </c>
      <c r="C13878" s="4" t="n">
        <v>822.00</v>
      </c>
      <c r="D13878" s="4"/>
    </row>
    <row collapsed="" customFormat="false" customHeight="1" hidden="" ht="14" outlineLevel="0" r="13879">
      <c r="A13879" s="3" t="inlineStr">
        <is>
          <t>13835</t>
        </is>
      </c>
      <c r="B13879" s="4" t="s">
        <f>=HYPERLINK("http://anyluxury.ru/shop/odezhda/futbolki/futbolka-zhenskaya-murphy-women-zelenaya-myata-01837285/" , "01837285 Футболка женская MURPHY WOMEN зеленая мята, размер XL")</f>
      </c>
      <c r="C13879" s="4" t="n">
        <v>822.00</v>
      </c>
      <c r="D13879" s="4"/>
    </row>
    <row collapsed="" customFormat="false" customHeight="1" hidden="" ht="14" outlineLevel="0" r="13880">
      <c r="A13880" s="3" t="inlineStr">
        <is>
          <t>13836</t>
        </is>
      </c>
      <c r="B13880" s="4" t="s">
        <f>=HYPERLINK("http://anyluxury.ru/shop/odezhda/futbolki/futbolka-zhenskaya-murphy-women-zelenaya-myata-01837285/" , "01837285 Футболка женская MURPHY WOMEN зеленая мята, размер XXL")</f>
      </c>
      <c r="C13880" s="4" t="n">
        <v>822.00</v>
      </c>
      <c r="D13880" s="4"/>
    </row>
    <row collapsed="" customFormat="false" customHeight="1" hidden="" ht="14" outlineLevel="0" r="13881">
      <c r="A13881" s="3" t="inlineStr">
        <is>
          <t>13837</t>
        </is>
      </c>
      <c r="B13881" s="4" t="s">
        <f>=HYPERLINK("http://anyluxury.ru/shop/odezhda/futbolki/futbolka-zhenskaya-murphy-women-sinyaya-01837248/" , "01837248 Футболка женская MURPHY WOMEN синяя, размер S")</f>
      </c>
      <c r="C13881" s="4" t="n">
        <v>822.00</v>
      </c>
      <c r="D13881" s="4"/>
    </row>
    <row collapsed="" customFormat="false" customHeight="1" hidden="" ht="14" outlineLevel="0" r="13882">
      <c r="A13882" s="3" t="inlineStr">
        <is>
          <t>13838</t>
        </is>
      </c>
      <c r="B13882" s="4" t="s">
        <f>=HYPERLINK("http://anyluxury.ru/shop/odezhda/futbolki/futbolka-zhenskaya-murphy-women-sinyaya-01837248/" , "01837248 Футболка женская MURPHY WOMEN синяя, размер M")</f>
      </c>
      <c r="C13882" s="4" t="n">
        <v>822.00</v>
      </c>
      <c r="D13882" s="4"/>
    </row>
    <row collapsed="" customFormat="false" customHeight="1" hidden="" ht="14" outlineLevel="0" r="13883">
      <c r="A13883" s="3" t="inlineStr">
        <is>
          <t>13839</t>
        </is>
      </c>
      <c r="B13883" s="4" t="s">
        <f>=HYPERLINK("http://anyluxury.ru/shop/odezhda/futbolki/futbolka-zhenskaya-murphy-women-sinyaya-01837248/" , "01837248 Футболка женская MURPHY WOMEN синяя, размер L")</f>
      </c>
      <c r="C13883" s="4" t="n">
        <v>822.00</v>
      </c>
      <c r="D13883" s="4"/>
    </row>
    <row collapsed="" customFormat="false" customHeight="1" hidden="" ht="14" outlineLevel="0" r="13884">
      <c r="A13884" s="3" t="inlineStr">
        <is>
          <t>13840</t>
        </is>
      </c>
      <c r="B13884" s="4" t="s">
        <f>=HYPERLINK("http://anyluxury.ru/shop/odezhda/futbolki/futbolka-zhenskaya-murphy-women-sinyaya-01837248/" , "01837248 Футболка женская MURPHY WOMEN синяя, размер XL")</f>
      </c>
      <c r="C13884" s="4" t="n">
        <v>822.00</v>
      </c>
      <c r="D13884" s="4"/>
    </row>
    <row collapsed="" customFormat="false" customHeight="1" hidden="" ht="14" outlineLevel="0" r="13885">
      <c r="A13885" s="3" t="inlineStr">
        <is>
          <t>13841</t>
        </is>
      </c>
      <c r="B13885" s="4" t="s">
        <f>=HYPERLINK("http://anyluxury.ru/shop/odezhda/futbolki/futbolka-zhenskaya-murphy-women-sinyaya-01837248/" , "01837248 Футболка женская MURPHY WOMEN синяя, размер XXL")</f>
      </c>
      <c r="C13885" s="4" t="n">
        <v>822.00</v>
      </c>
      <c r="D13885" s="4"/>
    </row>
    <row collapsed="" customFormat="false" customHeight="1" hidden="" ht="14" outlineLevel="0" r="13886">
      <c r="A13886" s="3" t="inlineStr">
        <is>
          <t>13842</t>
        </is>
      </c>
      <c r="B13886" s="4" t="s">
        <f>=HYPERLINK("http://anyluxury.ru/shop/odezhda/futbolki/futbolka-regent-150-oranzhevaya-abrikosovaya-137626/" , "1376.26 Футболка REGENT 150, оранжевая (абрикосовая), размер XS")</f>
      </c>
      <c r="C13886" s="4" t="n">
        <v>531.00</v>
      </c>
      <c r="D13886" s="4"/>
    </row>
    <row collapsed="" customFormat="false" customHeight="1" hidden="" ht="14" outlineLevel="0" r="13887">
      <c r="A13887" s="3" t="inlineStr">
        <is>
          <t>13843</t>
        </is>
      </c>
      <c r="B13887" s="4" t="s">
        <f>=HYPERLINK("http://anyluxury.ru/shop/odezhda/futbolki/futbolka-regent-150-oranzhevaya-abrikosovaya-137626/" , "1376.26 Футболка REGENT 150, оранжевая (абрикосовая), размер S")</f>
      </c>
      <c r="C13887" s="4" t="n">
        <v>531.00</v>
      </c>
      <c r="D13887" s="4"/>
    </row>
    <row collapsed="" customFormat="false" customHeight="1" hidden="" ht="14" outlineLevel="0" r="13888">
      <c r="A13888" s="3" t="inlineStr">
        <is>
          <t>13844</t>
        </is>
      </c>
      <c r="B13888" s="4" t="s">
        <f>=HYPERLINK("http://anyluxury.ru/shop/odezhda/futbolki/futbolka-regent-150-oranzhevaya-abrikosovaya-137626/" , "1376.26 Футболка REGENT 150, оранжевая (абрикосовая), размер M")</f>
      </c>
      <c r="C13888" s="4" t="n">
        <v>531.00</v>
      </c>
      <c r="D13888" s="4"/>
    </row>
    <row collapsed="" customFormat="false" customHeight="1" hidden="" ht="14" outlineLevel="0" r="13889">
      <c r="A13889" s="3" t="inlineStr">
        <is>
          <t>13845</t>
        </is>
      </c>
      <c r="B13889" s="4" t="s">
        <f>=HYPERLINK("http://anyluxury.ru/shop/odezhda/futbolki/futbolka-regent-150-oranzhevaya-abrikosovaya-137626/" , "1376.26 Футболка REGENT 150, оранжевая (абрикосовая), размер L")</f>
      </c>
      <c r="C13889" s="4" t="n">
        <v>531.00</v>
      </c>
      <c r="D13889" s="4"/>
    </row>
    <row collapsed="" customFormat="false" customHeight="1" hidden="" ht="14" outlineLevel="0" r="13890">
      <c r="A13890" s="3" t="inlineStr">
        <is>
          <t>13846</t>
        </is>
      </c>
      <c r="B13890" s="4" t="s">
        <f>=HYPERLINK("http://anyluxury.ru/shop/odezhda/futbolki/futbolka-regent-150-oranzhevaya-abrikosovaya-137626/" , "1376.26 Футболка REGENT 150, оранжевая (абрикосовая), размер XL")</f>
      </c>
      <c r="C13890" s="4" t="n">
        <v>531.00</v>
      </c>
      <c r="D13890" s="4"/>
    </row>
    <row collapsed="" customFormat="false" customHeight="1" hidden="" ht="14" outlineLevel="0" r="13891">
      <c r="A13891" s="3" t="inlineStr">
        <is>
          <t>13847</t>
        </is>
      </c>
      <c r="B13891" s="4" t="s">
        <f>=HYPERLINK("http://anyluxury.ru/shop/odezhda/futbolki/futbolka-regent-150-oranzhevaya-abrikosovaya-137626/" , "1376.26 Футболка REGENT 150, оранжевая (абрикосовая), размер XXL")</f>
      </c>
      <c r="C13891" s="4" t="n">
        <v>531.00</v>
      </c>
      <c r="D13891" s="4"/>
    </row>
    <row collapsed="" customFormat="false" customHeight="1" hidden="" ht="14" outlineLevel="0" r="13892">
      <c r="A13892" s="3" t="inlineStr">
        <is>
          <t>13848</t>
        </is>
      </c>
      <c r="B13892" s="4" t="s">
        <f>=HYPERLINK("http://anyluxury.ru/shop/odezhda/futbolki/futbolka-imperial-190-krasnaya-gibiskus-137458/" , "1374.58 Футболка IMPERIAL 190 красная (гибискус), размер S")</f>
      </c>
      <c r="C13892" s="4" t="n">
        <v>697.00</v>
      </c>
      <c r="D13892" s="4"/>
    </row>
    <row collapsed="" customFormat="false" customHeight="1" hidden="" ht="14" outlineLevel="0" r="13893">
      <c r="A13893" s="3" t="inlineStr">
        <is>
          <t>13849</t>
        </is>
      </c>
      <c r="B13893" s="4" t="s">
        <f>=HYPERLINK("http://anyluxury.ru/shop/odezhda/futbolki/futbolka-imperial-190-krasnaya-gibiskus-137458/" , "1374.58 Футболка IMPERIAL 190 красная (гибискус), размер M")</f>
      </c>
      <c r="C13893" s="4" t="n">
        <v>697.00</v>
      </c>
      <c r="D13893" s="4"/>
    </row>
    <row collapsed="" customFormat="false" customHeight="1" hidden="" ht="14" outlineLevel="0" r="13894">
      <c r="A13894" s="3" t="inlineStr">
        <is>
          <t>13850</t>
        </is>
      </c>
      <c r="B13894" s="4" t="s">
        <f>=HYPERLINK("http://anyluxury.ru/shop/odezhda/futbolki/futbolka-imperial-190-krasnaya-gibiskus-137458/" , "1374.58 Футболка IMPERIAL 190 красная (гибискус), размер L")</f>
      </c>
      <c r="C13894" s="4" t="n">
        <v>697.00</v>
      </c>
      <c r="D13894" s="4"/>
    </row>
    <row collapsed="" customFormat="false" customHeight="1" hidden="" ht="14" outlineLevel="0" r="13895">
      <c r="A13895" s="3" t="inlineStr">
        <is>
          <t>13851</t>
        </is>
      </c>
      <c r="B13895" s="4" t="s">
        <f>=HYPERLINK("http://anyluxury.ru/shop/odezhda/futbolki/futbolka-imperial-190-krasnaya-gibiskus-137458/" , "1374.58 Футболка IMPERIAL 190 красная (гибискус), размер XL")</f>
      </c>
      <c r="C13895" s="4" t="n">
        <v>697.00</v>
      </c>
      <c r="D13895" s="4"/>
    </row>
    <row collapsed="" customFormat="false" customHeight="1" hidden="" ht="14" outlineLevel="0" r="13896">
      <c r="A13896" s="3" t="inlineStr">
        <is>
          <t>13852</t>
        </is>
      </c>
      <c r="B13896" s="4" t="s">
        <f>=HYPERLINK("http://anyluxury.ru/shop/odezhda/futbolki/futbolka-imperial-190-krasnaya-gibiskus-137458/" , "1374.58 Футболка IMPERIAL 190 красная (гибискус), размер XXL")</f>
      </c>
      <c r="C13896" s="4" t="n">
        <v>697.00</v>
      </c>
      <c r="D13896" s="4"/>
    </row>
    <row collapsed="" customFormat="false" customHeight="1" hidden="" ht="14" outlineLevel="0" r="13897">
      <c r="A13897" s="3" t="inlineStr">
        <is>
          <t>13853</t>
        </is>
      </c>
      <c r="B13897" s="4" t="s">
        <f>=HYPERLINK("http://anyluxury.ru/shop/odezhda/futbolki/futbolka-imperial-190-sinyaya-petrol-137446/" , "1374.46 Футболка IMPERIAL 190, синяя (petrol), размер S")</f>
      </c>
      <c r="C13897" s="4" t="n">
        <v>697.00</v>
      </c>
      <c r="D13897" s="4"/>
    </row>
    <row collapsed="" customFormat="false" customHeight="1" hidden="" ht="14" outlineLevel="0" r="13898">
      <c r="A13898" s="3" t="inlineStr">
        <is>
          <t>13854</t>
        </is>
      </c>
      <c r="B13898" s="4" t="s">
        <f>=HYPERLINK("http://anyluxury.ru/shop/odezhda/futbolki/futbolka-imperial-190-sinyaya-petrol-137446/" , "1374.46 Футболка IMPERIAL 190, синяя (petrol), размер M")</f>
      </c>
      <c r="C13898" s="4" t="n">
        <v>697.00</v>
      </c>
      <c r="D13898" s="4"/>
    </row>
    <row collapsed="" customFormat="false" customHeight="1" hidden="" ht="14" outlineLevel="0" r="13899">
      <c r="A13899" s="3" t="inlineStr">
        <is>
          <t>13855</t>
        </is>
      </c>
      <c r="B13899" s="4" t="s">
        <f>=HYPERLINK("http://anyluxury.ru/shop/odezhda/futbolki/futbolka-imperial-190-sinyaya-petrol-137446/" , "1374.46 Футболка IMPERIAL 190, синяя (petrol), размер L")</f>
      </c>
      <c r="C13899" s="4" t="n">
        <v>697.00</v>
      </c>
      <c r="D13899" s="4"/>
    </row>
    <row collapsed="" customFormat="false" customHeight="1" hidden="" ht="14" outlineLevel="0" r="13900">
      <c r="A13900" s="3" t="inlineStr">
        <is>
          <t>13856</t>
        </is>
      </c>
      <c r="B13900" s="4" t="s">
        <f>=HYPERLINK("http://anyluxury.ru/shop/odezhda/futbolki/futbolka-imperial-190-sinyaya-petrol-137446/" , "1374.46 Футболка IMPERIAL 190, синяя (petrol), размер XL")</f>
      </c>
      <c r="C13900" s="4" t="n">
        <v>697.00</v>
      </c>
      <c r="D13900" s="4"/>
    </row>
    <row collapsed="" customFormat="false" customHeight="1" hidden="" ht="14" outlineLevel="0" r="13901">
      <c r="A13901" s="3" t="inlineStr">
        <is>
          <t>13857</t>
        </is>
      </c>
      <c r="B13901" s="4" t="s">
        <f>=HYPERLINK("http://anyluxury.ru/shop/odezhda/futbolki/futbolka-imperial-190-sinyaya-petrol-137446/" , "1374.46 Футболка IMPERIAL 190, синяя (petrol), размер XXL")</f>
      </c>
      <c r="C13901" s="4" t="n">
        <v>697.00</v>
      </c>
      <c r="D13901" s="4"/>
    </row>
    <row collapsed="" customFormat="false" customHeight="1" hidden="" ht="14" outlineLevel="0" r="13902">
      <c r="A13902" s="3" t="inlineStr">
        <is>
          <t>13858</t>
        </is>
      </c>
      <c r="B13902" s="4" t="s">
        <f>=HYPERLINK("http://anyluxury.ru/shop/odezhda/futbolki/futbolka-zhenskaya-imperial-women-190-krasnaya-gibiskus-608358/" , "6083.58 Футболка женская Imperial women 190, красная (гибискус), размер S")</f>
      </c>
      <c r="C13902" s="4" t="n">
        <v>616.00</v>
      </c>
      <c r="D13902" s="4"/>
    </row>
    <row collapsed="" customFormat="false" customHeight="1" hidden="" ht="14" outlineLevel="0" r="13903">
      <c r="A13903" s="3" t="inlineStr">
        <is>
          <t>13859</t>
        </is>
      </c>
      <c r="B13903" s="4" t="s">
        <f>=HYPERLINK("http://anyluxury.ru/shop/odezhda/futbolki/futbolka-zhenskaya-imperial-women-190-krasnaya-gibiskus-608358/" , "6083.58 Футболка женская Imperial women 190, красная (гибискус), размер M")</f>
      </c>
      <c r="C13903" s="4" t="n">
        <v>616.00</v>
      </c>
      <c r="D13903" s="4"/>
    </row>
    <row collapsed="" customFormat="false" customHeight="1" hidden="" ht="14" outlineLevel="0" r="13904">
      <c r="A13904" s="3" t="inlineStr">
        <is>
          <t>13860</t>
        </is>
      </c>
      <c r="B13904" s="4" t="s">
        <f>=HYPERLINK("http://anyluxury.ru/shop/odezhda/futbolki/futbolka-zhenskaya-imperial-women-190-krasnaya-gibiskus-608358/" , "6083.58 Футболка женская Imperial women 190, красная (гибискус), размер L")</f>
      </c>
      <c r="C13904" s="4" t="n">
        <v>616.00</v>
      </c>
      <c r="D13904" s="4"/>
    </row>
    <row collapsed="" customFormat="false" customHeight="1" hidden="" ht="14" outlineLevel="0" r="13905">
      <c r="A13905" s="3" t="inlineStr">
        <is>
          <t>13861</t>
        </is>
      </c>
      <c r="B13905" s="4" t="s">
        <f>=HYPERLINK("http://anyluxury.ru/shop/odezhda/futbolki/futbolka-zhenskaya-imperial-women-190-krasnaya-gibiskus-608358/" , "6083.58 Футболка женская Imperial women 190, красная (гибискус), размер XL")</f>
      </c>
      <c r="C13905" s="4" t="n">
        <v>616.00</v>
      </c>
      <c r="D13905" s="4"/>
    </row>
    <row collapsed="" customFormat="false" customHeight="1" hidden="" ht="14" outlineLevel="0" r="13906">
      <c r="A13906" s="3" t="inlineStr">
        <is>
          <t>13862</t>
        </is>
      </c>
      <c r="B13906" s="4" t="s">
        <f>=HYPERLINK("http://anyluxury.ru/shop/odezhda/futbolki/futbolka-zhenskaya-imperial-women-190-krasnaya-gibiskus-608358/" , "6083.58 Футболка женская Imperial women 190, красная (гибискус), размер XXL")</f>
      </c>
      <c r="C13906" s="4" t="n">
        <v>616.00</v>
      </c>
      <c r="D13906" s="4"/>
    </row>
    <row collapsed="" customFormat="false" customHeight="1" hidden="" ht="14" outlineLevel="0" r="13907">
      <c r="A13907" s="3" t="inlineStr">
        <is>
          <t>13863</t>
        </is>
      </c>
      <c r="B13907" s="4" t="s">
        <f>=HYPERLINK("http://anyluxury.ru/shop/odezhda/futbolki/futbolka-zhenskaya-imperial-women-190-sinyaya-petrol-608346/" , "6083.46 Футболка женская Imperial women 190, синяя (petrol), размер S")</f>
      </c>
      <c r="C13907" s="4" t="n">
        <v>616.00</v>
      </c>
      <c r="D13907" s="4"/>
    </row>
    <row collapsed="" customFormat="false" customHeight="1" hidden="" ht="14" outlineLevel="0" r="13908">
      <c r="A13908" s="3" t="inlineStr">
        <is>
          <t>13864</t>
        </is>
      </c>
      <c r="B13908" s="4" t="s">
        <f>=HYPERLINK("http://anyluxury.ru/shop/odezhda/futbolki/futbolka-zhenskaya-imperial-women-190-sinyaya-petrol-608346/" , "6083.46 Футболка женская Imperial women 190, синяя (petrol), размер M")</f>
      </c>
      <c r="C13908" s="4" t="n">
        <v>616.00</v>
      </c>
      <c r="D13908" s="4"/>
    </row>
    <row collapsed="" customFormat="false" customHeight="1" hidden="" ht="14" outlineLevel="0" r="13909">
      <c r="A13909" s="3" t="inlineStr">
        <is>
          <t>13865</t>
        </is>
      </c>
      <c r="B13909" s="4" t="s">
        <f>=HYPERLINK("http://anyluxury.ru/shop/odezhda/futbolki/futbolka-zhenskaya-imperial-women-190-sinyaya-petrol-608346/" , "6083.46 Футболка женская Imperial women 190, синяя (petrol), размер L")</f>
      </c>
      <c r="C13909" s="4" t="n">
        <v>616.00</v>
      </c>
      <c r="D13909" s="4"/>
    </row>
    <row collapsed="" customFormat="false" customHeight="1" hidden="" ht="14" outlineLevel="0" r="13910">
      <c r="A13910" s="3" t="inlineStr">
        <is>
          <t>13866</t>
        </is>
      </c>
      <c r="B13910" s="4" t="s">
        <f>=HYPERLINK("http://anyluxury.ru/shop/odezhda/futbolki/futbolka-zhenskaya-imperial-women-190-sinyaya-petrol-608346/" , "6083.46 Футболка женская Imperial women 190, синяя (petrol), размер XL")</f>
      </c>
      <c r="C13910" s="4" t="n">
        <v>616.00</v>
      </c>
      <c r="D13910" s="4"/>
    </row>
    <row collapsed="" customFormat="false" customHeight="1" hidden="" ht="14" outlineLevel="0" r="13911">
      <c r="A13911" s="3" t="inlineStr">
        <is>
          <t>13867</t>
        </is>
      </c>
      <c r="B13911" s="4" t="s">
        <f>=HYPERLINK("http://anyluxury.ru/shop/odezhda/futbolki/futbolka-zhenskaya-imperial-women-190-sinyaya-petrol-608346/" , "6083.46 Футболка женская Imperial women 190, синяя (petrol), размер XXL")</f>
      </c>
      <c r="C13911" s="4" t="n">
        <v>616.00</v>
      </c>
      <c r="D13911" s="4"/>
    </row>
    <row collapsed="" customFormat="false" customHeight="1" hidden="" ht="14" outlineLevel="0" r="13912">
      <c r="A13912" s="3" t="inlineStr">
        <is>
          <t>13868</t>
        </is>
      </c>
      <c r="B13912" s="4" t="s">
        <f>=HYPERLINK("http://anyluxury.ru/shop/odezhda/futbolki/futbolka-zhenskaya-imperial-women-190-temnosinyaya-kobalt-608347/" , "6083.47 Футболка женская Imperial women 190, темно-синяя (кобальт), размер S")</f>
      </c>
      <c r="C13912" s="4" t="n">
        <v>697.00</v>
      </c>
      <c r="D13912" s="4"/>
    </row>
    <row collapsed="" customFormat="false" customHeight="1" hidden="" ht="14" outlineLevel="0" r="13913">
      <c r="A13913" s="3" t="inlineStr">
        <is>
          <t>13869</t>
        </is>
      </c>
      <c r="B13913" s="4" t="s">
        <f>=HYPERLINK("http://anyluxury.ru/shop/odezhda/futbolki/futbolka-zhenskaya-imperial-women-190-temnosinyaya-kobalt-608347/" , "6083.47 Футболка женская Imperial women 190, темно-синяя (кобальт), размер M")</f>
      </c>
      <c r="C13913" s="4" t="n">
        <v>697.00</v>
      </c>
      <c r="D13913" s="4"/>
    </row>
    <row collapsed="" customFormat="false" customHeight="1" hidden="" ht="14" outlineLevel="0" r="13914">
      <c r="A13914" s="3" t="inlineStr">
        <is>
          <t>13870</t>
        </is>
      </c>
      <c r="B13914" s="4" t="s">
        <f>=HYPERLINK("http://anyluxury.ru/shop/odezhda/futbolki/futbolka-zhenskaya-imperial-women-190-temnosinyaya-kobalt-608347/" , "6083.47 Футболка женская Imperial women 190, темно-синяя (кобальт), размер L")</f>
      </c>
      <c r="C13914" s="4" t="n">
        <v>697.00</v>
      </c>
      <c r="D13914" s="4"/>
    </row>
    <row collapsed="" customFormat="false" customHeight="1" hidden="" ht="14" outlineLevel="0" r="13915">
      <c r="A13915" s="3" t="inlineStr">
        <is>
          <t>13871</t>
        </is>
      </c>
      <c r="B13915" s="4" t="s">
        <f>=HYPERLINK("http://anyluxury.ru/shop/odezhda/futbolki/futbolka-zhenskaya-imperial-women-190-temnosinyaya-kobalt-608347/" , "6083.47 Футболка женская Imperial women 190, темно-синяя (кобальт), размер XL")</f>
      </c>
      <c r="C13915" s="4" t="n">
        <v>697.00</v>
      </c>
      <c r="D13915" s="4"/>
    </row>
    <row collapsed="" customFormat="false" customHeight="1" hidden="" ht="14" outlineLevel="0" r="13916">
      <c r="A13916" s="3" t="inlineStr">
        <is>
          <t>13872</t>
        </is>
      </c>
      <c r="B13916" s="4" t="s">
        <f>=HYPERLINK("http://anyluxury.ru/shop/odezhda/futbolki/futbolka-zhenskaya-imperial-women-190-temnosinyaya-kobalt-608347/" , "6083.47 Футболка женская Imperial women 190, темно-синяя (кобальт), размер XXL")</f>
      </c>
      <c r="C13916" s="4" t="n">
        <v>697.00</v>
      </c>
      <c r="D13916" s="4"/>
    </row>
    <row collapsed="" customFormat="false" customHeight="1" hidden="" ht="14" outlineLevel="0" r="13917">
      <c r="A13917" s="3" t="inlineStr">
        <is>
          <t>13873</t>
        </is>
      </c>
      <c r="B13917" s="4" t="s">
        <f>=HYPERLINK("http://anyluxury.ru/shop/odezhda/futbolki/futbolka-muzhskaya-pritalennaya-imperial-fit-190-temnoseraya-584810/" , "5848.10 Футболка мужская приталенная IMPERIAL FIT 190, темно-серая, размер S")</f>
      </c>
      <c r="C13917" s="4" t="n">
        <v>775.00</v>
      </c>
      <c r="D13917" s="4"/>
    </row>
    <row collapsed="" customFormat="false" customHeight="1" hidden="" ht="14" outlineLevel="0" r="13918">
      <c r="A13918" s="3" t="inlineStr">
        <is>
          <t>13874</t>
        </is>
      </c>
      <c r="B13918" s="4" t="s">
        <f>=HYPERLINK("http://anyluxury.ru/shop/odezhda/futbolki/futbolka-muzhskaya-pritalennaya-imperial-fit-190-temnoseraya-584810/" , "5848.10 Футболка мужская приталенная IMPERIAL FIT 190, темно-серая, размер M")</f>
      </c>
      <c r="C13918" s="4" t="n">
        <v>775.00</v>
      </c>
      <c r="D13918" s="4"/>
    </row>
    <row collapsed="" customFormat="false" customHeight="1" hidden="" ht="14" outlineLevel="0" r="13919">
      <c r="A13919" s="3" t="inlineStr">
        <is>
          <t>13875</t>
        </is>
      </c>
      <c r="B13919" s="4" t="s">
        <f>=HYPERLINK("http://anyluxury.ru/shop/odezhda/futbolki/futbolka-muzhskaya-pritalennaya-imperial-fit-190-temnoseraya-584810/" , "5848.10 Футболка мужская приталенная IMPERIAL FIT 190, темно-серая, размер L")</f>
      </c>
      <c r="C13919" s="4" t="n">
        <v>775.00</v>
      </c>
      <c r="D13919" s="4"/>
    </row>
    <row collapsed="" customFormat="false" customHeight="1" hidden="" ht="14" outlineLevel="0" r="13920">
      <c r="A13920" s="3" t="inlineStr">
        <is>
          <t>13876</t>
        </is>
      </c>
      <c r="B13920" s="4" t="s">
        <f>=HYPERLINK("http://anyluxury.ru/shop/odezhda/futbolki/futbolka-muzhskaya-pritalennaya-imperial-fit-190-temnoseraya-584810/" , "5848.10 Футболка мужская приталенная IMPERIAL FIT 190, темно-серая, размер XL")</f>
      </c>
      <c r="C13920" s="4" t="n">
        <v>775.00</v>
      </c>
      <c r="D13920" s="4"/>
    </row>
    <row collapsed="" customFormat="false" customHeight="1" hidden="" ht="14" outlineLevel="0" r="13921">
      <c r="A13921" s="3" t="inlineStr">
        <is>
          <t>13877</t>
        </is>
      </c>
      <c r="B13921" s="4" t="s">
        <f>=HYPERLINK("http://anyluxury.ru/shop/odezhda/futbolki/futbolka-muzhskaya-pritalennaya-imperial-fit-190-temnoseraya-584810/" , "5848.10 Футболка мужская приталенная IMPERIAL FIT 190, темно-серая, размер XXL")</f>
      </c>
      <c r="C13921" s="4" t="n">
        <v>775.00</v>
      </c>
      <c r="D13921" s="4"/>
    </row>
    <row collapsed="" customFormat="false" customHeight="1" hidden="" ht="14" outlineLevel="0" r="13922">
      <c r="A13922" s="3" t="inlineStr">
        <is>
          <t>13878</t>
        </is>
      </c>
      <c r="B13922" s="4" t="s">
        <f>=HYPERLINK("http://anyluxury.ru/shop/odezhda/futbolki/futbolka-muzhskaya-pritalennaya-imperial-fit-190-kobalt-temnosinyaya-584847/" , "5848.47 Футболка мужская приталенная IMPERIAL FIT 190, темно-синяя (кобальт), размер S")</f>
      </c>
      <c r="C13922" s="4" t="n">
        <v>775.00</v>
      </c>
      <c r="D13922" s="4"/>
    </row>
    <row collapsed="" customFormat="false" customHeight="1" hidden="" ht="14" outlineLevel="0" r="13923">
      <c r="A13923" s="3" t="inlineStr">
        <is>
          <t>13879</t>
        </is>
      </c>
      <c r="B13923" s="4" t="s">
        <f>=HYPERLINK("http://anyluxury.ru/shop/odezhda/futbolki/futbolka-muzhskaya-pritalennaya-imperial-fit-190-kobalt-temnosinyaya-584847/" , "5848.47 Футболка мужская приталенная IMPERIAL FIT 190, темно-синяя (кобальт), размер M")</f>
      </c>
      <c r="C13923" s="4" t="n">
        <v>775.00</v>
      </c>
      <c r="D13923" s="4"/>
    </row>
    <row collapsed="" customFormat="false" customHeight="1" hidden="" ht="14" outlineLevel="0" r="13924">
      <c r="A13924" s="3" t="inlineStr">
        <is>
          <t>13880</t>
        </is>
      </c>
      <c r="B13924" s="4" t="s">
        <f>=HYPERLINK("http://anyluxury.ru/shop/odezhda/futbolki/futbolka-muzhskaya-pritalennaya-imperial-fit-190-kobalt-temnosinyaya-584847/" , "5848.47 Футболка мужская приталенная IMPERIAL FIT 190, темно-синяя (кобальт), размер L")</f>
      </c>
      <c r="C13924" s="4" t="n">
        <v>775.00</v>
      </c>
      <c r="D13924" s="4"/>
    </row>
    <row collapsed="" customFormat="false" customHeight="1" hidden="" ht="14" outlineLevel="0" r="13925">
      <c r="A13925" s="3" t="inlineStr">
        <is>
          <t>13881</t>
        </is>
      </c>
      <c r="B13925" s="4" t="s">
        <f>=HYPERLINK("http://anyluxury.ru/shop/odezhda/futbolki/futbolka-muzhskaya-pritalennaya-imperial-fit-190-kobalt-temnosinyaya-584847/" , "5848.47 Футболка мужская приталенная IMPERIAL FIT 190, темно-синяя (кобальт), размер XL")</f>
      </c>
      <c r="C13925" s="4" t="n">
        <v>775.00</v>
      </c>
      <c r="D13925" s="4"/>
    </row>
    <row collapsed="" customFormat="false" customHeight="1" hidden="" ht="14" outlineLevel="0" r="13926">
      <c r="A13926" s="3" t="inlineStr">
        <is>
          <t>13882</t>
        </is>
      </c>
      <c r="B13926" s="4" t="s">
        <f>=HYPERLINK("http://anyluxury.ru/shop/odezhda/futbolki/futbolka-muzhskaya-pritalennaya-imperial-fit-190-kobalt-temnosinyaya-584847/" , "5848.47 Футболка мужская приталенная IMPERIAL FIT 190, темно-синяя (кобальт), размер XXL")</f>
      </c>
      <c r="C13926" s="4" t="n">
        <v>775.00</v>
      </c>
      <c r="D13926" s="4"/>
    </row>
    <row collapsed="" customFormat="false" customHeight="1" hidden="" ht="14" outlineLevel="0" r="13927">
      <c r="A13927" s="3" t="inlineStr">
        <is>
          <t>13883</t>
        </is>
      </c>
      <c r="B13927" s="4" t="s">
        <f>=HYPERLINK("http://anyluxury.ru/shop/odezhda/futbolki/futbolka-muzhskaya-pritalennaya-imperial-fit-190-seriy-melanzh-584811/" , "5848.11 Футболка мужская приталенная IMPERIAL FIT 190, серый меланж, размер S")</f>
      </c>
      <c r="C13927" s="4" t="n">
        <v>775.00</v>
      </c>
      <c r="D13927" s="4"/>
    </row>
    <row collapsed="" customFormat="false" customHeight="1" hidden="" ht="14" outlineLevel="0" r="13928">
      <c r="A13928" s="3" t="inlineStr">
        <is>
          <t>13884</t>
        </is>
      </c>
      <c r="B13928" s="4" t="s">
        <f>=HYPERLINK("http://anyluxury.ru/shop/odezhda/futbolki/futbolka-muzhskaya-pritalennaya-imperial-fit-190-seriy-melanzh-584811/" , "5848.11 Футболка мужская приталенная IMPERIAL FIT 190, серый меланж, размер M")</f>
      </c>
      <c r="C13928" s="4" t="n">
        <v>775.00</v>
      </c>
      <c r="D13928" s="4"/>
    </row>
    <row collapsed="" customFormat="false" customHeight="1" hidden="" ht="14" outlineLevel="0" r="13929">
      <c r="A13929" s="3" t="inlineStr">
        <is>
          <t>13885</t>
        </is>
      </c>
      <c r="B13929" s="4" t="s">
        <f>=HYPERLINK("http://anyluxury.ru/shop/odezhda/futbolki/futbolka-muzhskaya-pritalennaya-imperial-fit-190-seriy-melanzh-584811/" , "5848.11 Футболка мужская приталенная IMPERIAL FIT 190, серый меланж, размер L")</f>
      </c>
      <c r="C13929" s="4" t="n">
        <v>775.00</v>
      </c>
      <c r="D13929" s="4"/>
    </row>
    <row collapsed="" customFormat="false" customHeight="1" hidden="" ht="14" outlineLevel="0" r="13930">
      <c r="A13930" s="3" t="inlineStr">
        <is>
          <t>13886</t>
        </is>
      </c>
      <c r="B13930" s="4" t="s">
        <f>=HYPERLINK("http://anyluxury.ru/shop/odezhda/futbolki/futbolka-muzhskaya-pritalennaya-imperial-fit-190-seriy-melanzh-584811/" , "5848.11 Футболка мужская приталенная IMPERIAL FIT 190, серый меланж, размер XL")</f>
      </c>
      <c r="C13930" s="4" t="n">
        <v>775.00</v>
      </c>
      <c r="D13930" s="4"/>
    </row>
    <row collapsed="" customFormat="false" customHeight="1" hidden="" ht="14" outlineLevel="0" r="13931">
      <c r="A13931" s="3" t="inlineStr">
        <is>
          <t>13887</t>
        </is>
      </c>
      <c r="B13931" s="4" t="s">
        <f>=HYPERLINK("http://anyluxury.ru/shop/odezhda/futbolki/futbolka-muzhskaya-pritalennaya-imperial-fit-190-seriy-melanzh-584811/" , "5848.11 Футболка мужская приталенная IMPERIAL FIT 190, серый меланж, размер XXL")</f>
      </c>
      <c r="C13931" s="4" t="n">
        <v>775.00</v>
      </c>
      <c r="D13931" s="4"/>
    </row>
    <row collapsed="" customFormat="false" customHeight="1" hidden="" ht="14" outlineLevel="0" r="13932">
      <c r="A13932" s="3" t="inlineStr">
        <is>
          <t>13888</t>
        </is>
      </c>
      <c r="B13932" s="4" t="s">
        <f>=HYPERLINK("http://anyluxury.ru/shop/odezhda/futbolki/mayka-muzhskaya-justin-150-zelenoe-yabloko-480592/" , "4805.92 Майка мужская JUSTIN 150, зеленое яблоко, размер S")</f>
      </c>
      <c r="C13932" s="4" t="n">
        <v>582.00</v>
      </c>
      <c r="D13932" s="4"/>
    </row>
    <row collapsed="" customFormat="false" customHeight="1" hidden="" ht="14" outlineLevel="0" r="13933">
      <c r="A13933" s="3" t="inlineStr">
        <is>
          <t>13889</t>
        </is>
      </c>
      <c r="B13933" s="4" t="s">
        <f>=HYPERLINK("http://anyluxury.ru/shop/odezhda/futbolki/mayka-muzhskaya-justin-150-zelenoe-yabloko-480592/" , "4805.92 Майка мужская JUSTIN 150, зеленое яблоко, размер M")</f>
      </c>
      <c r="C13933" s="4" t="n">
        <v>582.00</v>
      </c>
      <c r="D13933" s="4"/>
    </row>
    <row collapsed="" customFormat="false" customHeight="1" hidden="" ht="14" outlineLevel="0" r="13934">
      <c r="A13934" s="3" t="inlineStr">
        <is>
          <t>13890</t>
        </is>
      </c>
      <c r="B13934" s="4" t="s">
        <f>=HYPERLINK("http://anyluxury.ru/shop/odezhda/futbolki/mayka-muzhskaya-justin-150-zelenoe-yabloko-480592/" , "4805.92 Майка мужская JUSTIN 150, зеленое яблоко, размер L")</f>
      </c>
      <c r="C13934" s="4" t="n">
        <v>582.00</v>
      </c>
      <c r="D13934" s="4"/>
    </row>
    <row collapsed="" customFormat="false" customHeight="1" hidden="" ht="14" outlineLevel="0" r="13935">
      <c r="A13935" s="3" t="inlineStr">
        <is>
          <t>13891</t>
        </is>
      </c>
      <c r="B13935" s="4" t="s">
        <f>=HYPERLINK("http://anyluxury.ru/shop/odezhda/futbolki/mayka-muzhskaya-justin-150-zelenoe-yabloko-480592/" , "4805.92 Майка мужская JUSTIN 150, зеленое яблоко, размер XL")</f>
      </c>
      <c r="C13935" s="4" t="n">
        <v>582.00</v>
      </c>
      <c r="D13935" s="4"/>
    </row>
    <row collapsed="" customFormat="false" customHeight="1" hidden="" ht="14" outlineLevel="0" r="13936">
      <c r="A13936" s="3" t="inlineStr">
        <is>
          <t>13892</t>
        </is>
      </c>
      <c r="B13936" s="4" t="s">
        <f>=HYPERLINK("http://anyluxury.ru/shop/odezhda/futbolki/mayka-muzhskaya-justin-150-zelenoe-yabloko-480592/" , "4805.92 Майка мужская JUSTIN 150, зеленое яблоко, размер XXL")</f>
      </c>
      <c r="C13936" s="4" t="n">
        <v>582.00</v>
      </c>
      <c r="D13936" s="4"/>
    </row>
    <row collapsed="" customFormat="false" customHeight="1" hidden="" ht="14" outlineLevel="0" r="13937">
      <c r="A13937" s="3" t="inlineStr">
        <is>
          <t>13893</t>
        </is>
      </c>
      <c r="B13937" s="4" t="s">
        <f>=HYPERLINK("http://anyluxury.ru/shop/odezhda/futbolki/mayka-muzhskaya-justin-150-rozovaya-480556/" , "4805.56 Майка мужская JUSTIN 150, розовая, размер S")</f>
      </c>
      <c r="C13937" s="4" t="n">
        <v>582.00</v>
      </c>
      <c r="D13937" s="4"/>
    </row>
    <row collapsed="" customFormat="false" customHeight="1" hidden="" ht="14" outlineLevel="0" r="13938">
      <c r="A13938" s="3" t="inlineStr">
        <is>
          <t>13894</t>
        </is>
      </c>
      <c r="B13938" s="4" t="s">
        <f>=HYPERLINK("http://anyluxury.ru/shop/odezhda/futbolki/mayka-muzhskaya-justin-150-rozovaya-480556/" , "4805.56 Майка мужская JUSTIN 150, розовая, размер M")</f>
      </c>
      <c r="C13938" s="4" t="n">
        <v>582.00</v>
      </c>
      <c r="D13938" s="4"/>
    </row>
    <row collapsed="" customFormat="false" customHeight="1" hidden="" ht="14" outlineLevel="0" r="13939">
      <c r="A13939" s="3" t="inlineStr">
        <is>
          <t>13895</t>
        </is>
      </c>
      <c r="B13939" s="4" t="s">
        <f>=HYPERLINK("http://anyluxury.ru/shop/odezhda/futbolki/mayka-muzhskaya-justin-150-rozovaya-480556/" , "4805.56 Майка мужская JUSTIN 150, розовая, размер L")</f>
      </c>
      <c r="C13939" s="4" t="n">
        <v>582.00</v>
      </c>
      <c r="D13939" s="4"/>
    </row>
    <row collapsed="" customFormat="false" customHeight="1" hidden="" ht="14" outlineLevel="0" r="13940">
      <c r="A13940" s="3" t="inlineStr">
        <is>
          <t>13896</t>
        </is>
      </c>
      <c r="B13940" s="4" t="s">
        <f>=HYPERLINK("http://anyluxury.ru/shop/odezhda/futbolki/mayka-muzhskaya-justin-150-rozovaya-480556/" , "4805.56 Майка мужская JUSTIN 150, розовая, размер XL")</f>
      </c>
      <c r="C13940" s="4" t="n">
        <v>582.00</v>
      </c>
      <c r="D13940" s="4"/>
    </row>
    <row collapsed="" customFormat="false" customHeight="1" hidden="" ht="14" outlineLevel="0" r="13941">
      <c r="A13941" s="3" t="inlineStr">
        <is>
          <t>13897</t>
        </is>
      </c>
      <c r="B13941" s="4" t="s">
        <f>=HYPERLINK("http://anyluxury.ru/shop/odezhda/futbolki/mayka-muzhskaya-justin-150-rozovaya-480556/" , "4805.56 Майка мужская JUSTIN 150, розовая, размер XXL")</f>
      </c>
      <c r="C13941" s="4" t="n">
        <v>582.00</v>
      </c>
      <c r="D13941" s="4"/>
    </row>
    <row collapsed="" customFormat="false" customHeight="1" hidden="" ht="14" outlineLevel="0" r="13942">
      <c r="A13942" s="3" t="inlineStr">
        <is>
          <t>13898</t>
        </is>
      </c>
      <c r="B13942" s="4" t="s">
        <f>=HYPERLINK("http://anyluxury.ru/shop/odezhda/futbolki/futbolka-muzhskaya-tbolka-stretch-kobalt-temnosinyaya-189347/" , "1893.47 Футболка мужская T-bolka Stretch, кобальт (темно-синяя), размер S")</f>
      </c>
      <c r="C13942" s="4" t="n">
        <v>903.00</v>
      </c>
      <c r="D13942" s="4"/>
    </row>
    <row collapsed="" customFormat="false" customHeight="1" hidden="" ht="14" outlineLevel="0" r="13943">
      <c r="A13943" s="3" t="inlineStr">
        <is>
          <t>13899</t>
        </is>
      </c>
      <c r="B13943" s="4" t="s">
        <f>=HYPERLINK("http://anyluxury.ru/shop/odezhda/futbolki/futbolka-muzhskaya-tbolka-stretch-temnokrasnaya-189351/" , "1893.51 Футболка мужская T-bolka Stretch, темно-красная, размер S")</f>
      </c>
      <c r="C13943" s="4" t="n">
        <v>903.00</v>
      </c>
      <c r="D13943" s="4"/>
    </row>
    <row collapsed="" customFormat="false" customHeight="1" hidden="" ht="14" outlineLevel="0" r="13944">
      <c r="A13944" s="3" t="inlineStr">
        <is>
          <t>13900</t>
        </is>
      </c>
      <c r="B13944" s="4" t="s">
        <f>=HYPERLINK("http://anyluxury.ru/shop/odezhda/futbolki/futbolka-muzhskaya-rayet-dvustoronnyaya-golubaya-s-zelenim-348140/" , "3481.40 Футболка мужская RAYET двусторонняя, голубой/зеленый, размер S")</f>
      </c>
      <c r="C13944" s="4" t="n">
        <v>300.00</v>
      </c>
      <c r="D13944" s="4"/>
    </row>
    <row collapsed="" customFormat="false" customHeight="1" hidden="" ht="14" outlineLevel="0" r="13945">
      <c r="A13945" s="3" t="inlineStr">
        <is>
          <t>13901</t>
        </is>
      </c>
      <c r="B13945" s="4" t="s">
        <f>=HYPERLINK("http://anyluxury.ru/shop/odezhda/futbolki/futbolka-muzhskaya-rayet-dvustoronnyaya-golubaya-s-zelenim-348140/" , "3481.40 Футболка мужская RAYET двусторонняя, голубой/зеленый, размер M")</f>
      </c>
      <c r="C13945" s="4" t="n">
        <v>300.00</v>
      </c>
      <c r="D13945" s="4"/>
    </row>
    <row collapsed="" customFormat="false" customHeight="1" hidden="" ht="14" outlineLevel="0" r="13946">
      <c r="A13946" s="3" t="inlineStr">
        <is>
          <t>13902</t>
        </is>
      </c>
      <c r="B13946" s="4" t="s">
        <f>=HYPERLINK("http://anyluxury.ru/shop/odezhda/futbolki/futbolka-muzhskaya-rayet-dvustoronnyaya-golubaya-s-zelenim-348140/" , "3481.40 Футболка мужская RAYET двусторонняя, голубой/зеленый, размер L")</f>
      </c>
      <c r="C13946" s="4" t="n">
        <v>300.00</v>
      </c>
      <c r="D13946" s="4"/>
    </row>
    <row collapsed="" customFormat="false" customHeight="1" hidden="" ht="14" outlineLevel="0" r="13947">
      <c r="A13947" s="3" t="inlineStr">
        <is>
          <t>13903</t>
        </is>
      </c>
      <c r="B13947" s="4" t="s">
        <f>=HYPERLINK("http://anyluxury.ru/shop/odezhda/futbolki/futbolka-muzhskaya-rayet-dvustoronnyaya-golubaya-s-zelenim-348140/" , "3481.40 Футболка мужская RAYET двусторонняя, голубой/зеленый, размер XL")</f>
      </c>
      <c r="C13947" s="4" t="n">
        <v>300.00</v>
      </c>
      <c r="D13947" s="4"/>
    </row>
    <row collapsed="" customFormat="false" customHeight="1" hidden="" ht="14" outlineLevel="0" r="13948">
      <c r="A13948" s="3" t="inlineStr">
        <is>
          <t>13904</t>
        </is>
      </c>
      <c r="B13948" s="4" t="s">
        <f>=HYPERLINK("http://anyluxury.ru/shop/odezhda/futbolki/futbolka-muzhskaya-rayet-dvustoronnyaya-golubaya-s-zelenim-348140/" , "3481.40 Футболка мужская RAYET двусторонняя, голубой/зеленый, размер XXL")</f>
      </c>
      <c r="C13948" s="4" t="n">
        <v>300.00</v>
      </c>
      <c r="D13948" s="4"/>
    </row>
    <row collapsed="" customFormat="false" customHeight="1" hidden="" ht="14" outlineLevel="0" r="13949">
      <c r="A13949" s="3" t="inlineStr">
        <is>
          <t>13905</t>
        </is>
      </c>
      <c r="B13949" s="4" t="s">
        <f>=HYPERLINK("http://anyluxury.ru/shop/odezhda/futbolki/futbolka-muzhskaya-rayet-dvustoronnyaya-krasnaya-s-sinim-348150/" , "3481.50 Футболка мужская RAYET двусторонняя, красный/синий, размер S")</f>
      </c>
      <c r="C13949" s="4" t="n">
        <v>300.00</v>
      </c>
      <c r="D13949" s="4"/>
    </row>
    <row collapsed="" customFormat="false" customHeight="1" hidden="" ht="14" outlineLevel="0" r="13950">
      <c r="A13950" s="3" t="inlineStr">
        <is>
          <t>13906</t>
        </is>
      </c>
      <c r="B13950" s="4" t="s">
        <f>=HYPERLINK("http://anyluxury.ru/shop/odezhda/futbolki/futbolka-muzhskaya-rayet-dvustoronnyaya-krasnaya-s-sinim-348150/" , "3481.50 Футболка мужская RAYET двусторонняя, красный/синий, размер M")</f>
      </c>
      <c r="C13950" s="4" t="n">
        <v>300.00</v>
      </c>
      <c r="D13950" s="4"/>
    </row>
    <row collapsed="" customFormat="false" customHeight="1" hidden="" ht="14" outlineLevel="0" r="13951">
      <c r="A13951" s="3" t="inlineStr">
        <is>
          <t>13907</t>
        </is>
      </c>
      <c r="B13951" s="4" t="s">
        <f>=HYPERLINK("http://anyluxury.ru/shop/odezhda/futbolki/futbolka-muzhskaya-rayet-dvustoronnyaya-krasnaya-s-sinim-348150/" , "3481.50 Футболка мужская RAYET двусторонняя, красный/синий, размер L")</f>
      </c>
      <c r="C13951" s="4" t="n">
        <v>300.00</v>
      </c>
      <c r="D13951" s="4"/>
    </row>
    <row collapsed="" customFormat="false" customHeight="1" hidden="" ht="14" outlineLevel="0" r="13952">
      <c r="A13952" s="3" t="inlineStr">
        <is>
          <t>13908</t>
        </is>
      </c>
      <c r="B13952" s="4" t="s">
        <f>=HYPERLINK("http://anyluxury.ru/shop/odezhda/futbolki/futbolka-muzhskaya-rayet-dvustoronnyaya-krasnaya-s-sinim-348150/" , "3481.50 Футболка мужская RAYET двусторонняя, красный/синий, размер XL")</f>
      </c>
      <c r="C13952" s="4" t="n">
        <v>300.00</v>
      </c>
      <c r="D13952" s="4"/>
    </row>
    <row collapsed="" customFormat="false" customHeight="1" hidden="" ht="14" outlineLevel="0" r="13953">
      <c r="A13953" s="3" t="inlineStr">
        <is>
          <t>13909</t>
        </is>
      </c>
      <c r="B13953" s="4" t="s">
        <f>=HYPERLINK("http://anyluxury.ru/shop/odezhda/futbolki/futbolka-muzhskaya-rayet-dvustoronnyaya-krasnaya-s-sinim-348150/" , "3481.50 Футболка мужская RAYET двусторонняя, красный/синий, размер XXL")</f>
      </c>
      <c r="C13953" s="4" t="n">
        <v>300.00</v>
      </c>
      <c r="D13953" s="4"/>
    </row>
    <row collapsed="" customFormat="false" customHeight="1" hidden="" ht="14" outlineLevel="0" r="13954">
      <c r="A13954" s="3" t="inlineStr">
        <is>
          <t>13910</t>
        </is>
      </c>
      <c r="B13954" s="4" t="s">
        <f>=HYPERLINK("http://anyluxury.ru/shop/odezhda/futbolki/futbolka-muzhskaya-rayet-dvustoronnyaya-oranzhevaya-s-fioletovim-348120/" , "3481.20 Футболка мужская RAYET двусторонняя, оранжевый/фиолетовый, размер S")</f>
      </c>
      <c r="C13954" s="4" t="n">
        <v>300.00</v>
      </c>
      <c r="D13954" s="4"/>
    </row>
    <row collapsed="" customFormat="false" customHeight="1" hidden="" ht="14" outlineLevel="0" r="13955">
      <c r="A13955" s="3" t="inlineStr">
        <is>
          <t>13911</t>
        </is>
      </c>
      <c r="B13955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M")</f>
      </c>
      <c r="C13955" s="4" t="n">
        <v>300.00</v>
      </c>
      <c r="D13955" s="4"/>
    </row>
    <row collapsed="" customFormat="false" customHeight="1" hidden="" ht="14" outlineLevel="0" r="13956">
      <c r="A13956" s="3" t="inlineStr">
        <is>
          <t>13912</t>
        </is>
      </c>
      <c r="B13956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L")</f>
      </c>
      <c r="C13956" s="4" t="n">
        <v>300.00</v>
      </c>
      <c r="D13956" s="4"/>
    </row>
    <row collapsed="" customFormat="false" customHeight="1" hidden="" ht="14" outlineLevel="0" r="13957">
      <c r="A13957" s="3" t="inlineStr">
        <is>
          <t>13913</t>
        </is>
      </c>
      <c r="B13957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XL")</f>
      </c>
      <c r="C13957" s="4" t="n">
        <v>300.00</v>
      </c>
      <c r="D13957" s="4"/>
    </row>
    <row collapsed="" customFormat="false" customHeight="1" hidden="" ht="14" outlineLevel="0" r="13958">
      <c r="A13958" s="3" t="inlineStr">
        <is>
          <t>13914</t>
        </is>
      </c>
      <c r="B13958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XXL")</f>
      </c>
      <c r="C13958" s="4" t="n">
        <v>300.00</v>
      </c>
      <c r="D13958" s="4"/>
    </row>
    <row collapsed="" customFormat="false" customHeight="1" hidden="" ht="14" outlineLevel="0" r="13959">
      <c r="A13959" s="3" t="inlineStr">
        <is>
          <t>13915</t>
        </is>
      </c>
      <c r="B13959" s="4" t="s">
        <f>=HYPERLINK("http://anyluxury.ru/shop/odezhda/futbolki/futbolka-zhenskaya-rayet-lady-dvustoronnyaya-golubaya-s-zelenim-348240/" , "3482.40 Футболка женская RAYET LADY двусторонняя, голубой/зеленый, размер S")</f>
      </c>
      <c r="C13959" s="4" t="n">
        <v>300.00</v>
      </c>
      <c r="D13959" s="4"/>
    </row>
    <row collapsed="" customFormat="false" customHeight="1" hidden="" ht="14" outlineLevel="0" r="13960">
      <c r="A13960" s="3" t="inlineStr">
        <is>
          <t>13916</t>
        </is>
      </c>
      <c r="B13960" s="4" t="s">
        <f>=HYPERLINK("http://anyluxury.ru/shop/odezhda/futbolki/futbolka-zhenskaya-rayet-lady-dvustoronnyaya-golubaya-s-zelenim-348240/" , "3482.40 Футболка женская RAYET LADY двусторонняя, голубой/зеленый, размер M")</f>
      </c>
      <c r="C13960" s="4" t="n">
        <v>300.00</v>
      </c>
      <c r="D13960" s="4"/>
    </row>
    <row collapsed="" customFormat="false" customHeight="1" hidden="" ht="14" outlineLevel="0" r="13961">
      <c r="A13961" s="3" t="inlineStr">
        <is>
          <t>13917</t>
        </is>
      </c>
      <c r="B13961" s="4" t="s">
        <f>=HYPERLINK("http://anyluxury.ru/shop/odezhda/futbolki/futbolka-zhenskaya-rayet-lady-dvustoronnyaya-golubaya-s-zelenim-348240/" , "3482.40 Футболка женская RAYET LADY двусторонняя, голубой/зеленый, размер L")</f>
      </c>
      <c r="C13961" s="4" t="n">
        <v>300.00</v>
      </c>
      <c r="D13961" s="4"/>
    </row>
    <row collapsed="" customFormat="false" customHeight="1" hidden="" ht="14" outlineLevel="0" r="13962">
      <c r="A13962" s="3" t="inlineStr">
        <is>
          <t>13918</t>
        </is>
      </c>
      <c r="B13962" s="4" t="s">
        <f>=HYPERLINK("http://anyluxury.ru/shop/odezhda/futbolki/futbolka-zhenskaya-rayet-lady-dvustoronnyaya-golubaya-s-zelenim-348240/" , "3482.40 Футболка женская RAYET LADY двусторонняя, голубой/зеленый, размер XL")</f>
      </c>
      <c r="C13962" s="4" t="n">
        <v>300.00</v>
      </c>
      <c r="D13962" s="4"/>
    </row>
    <row collapsed="" customFormat="false" customHeight="1" hidden="" ht="14" outlineLevel="0" r="13963">
      <c r="A13963" s="3" t="inlineStr">
        <is>
          <t>13919</t>
        </is>
      </c>
      <c r="B13963" s="4" t="s">
        <f>=HYPERLINK("http://anyluxury.ru/shop/odezhda/futbolki/futbolka-zhenskaya-rayet-lady-dvustoronnyaya-golubaya-s-zelenim-348240/" , "3482.40 Футболка женская RAYET LADY двусторонняя, голубой/зеленый, размер XXL")</f>
      </c>
      <c r="C13963" s="4" t="n">
        <v>300.00</v>
      </c>
      <c r="D13963" s="4"/>
    </row>
    <row collapsed="" customFormat="false" customHeight="1" hidden="" ht="14" outlineLevel="0" r="13964">
      <c r="A13964" s="3" t="inlineStr">
        <is>
          <t>13920</t>
        </is>
      </c>
      <c r="B13964" s="4" t="s">
        <f>=HYPERLINK("http://anyluxury.ru/shop/odezhda/futbolki/futbolka-zhenskaya-rayet-lady-dvustoronnyaya-krasnaya-s-sinim-348250/" , "3482.50 Футболка женская RAYET LADY двусторонняя, красный/синий, размер S")</f>
      </c>
      <c r="C13964" s="4" t="n">
        <v>300.00</v>
      </c>
      <c r="D13964" s="4"/>
    </row>
    <row collapsed="" customFormat="false" customHeight="1" hidden="" ht="14" outlineLevel="0" r="13965">
      <c r="A13965" s="3" t="inlineStr">
        <is>
          <t>13921</t>
        </is>
      </c>
      <c r="B13965" s="4" t="s">
        <f>=HYPERLINK("http://anyluxury.ru/shop/odezhda/futbolki/futbolka-zhenskaya-rayet-lady-dvustoronnyaya-krasnaya-s-sinim-348250/" , "3482.50 Футболка женская RAYET LADY двусторонняя, красный/синий, размер M")</f>
      </c>
      <c r="C13965" s="4" t="n">
        <v>300.00</v>
      </c>
      <c r="D13965" s="4"/>
    </row>
    <row collapsed="" customFormat="false" customHeight="1" hidden="" ht="14" outlineLevel="0" r="13966">
      <c r="A13966" s="3" t="inlineStr">
        <is>
          <t>13922</t>
        </is>
      </c>
      <c r="B13966" s="4" t="s">
        <f>=HYPERLINK("http://anyluxury.ru/shop/odezhda/futbolki/futbolka-zhenskaya-rayet-lady-dvustoronnyaya-krasnaya-s-sinim-348250/" , "3482.50 Футболка женская RAYET LADY двусторонняя, красный/синий, размер L")</f>
      </c>
      <c r="C13966" s="4" t="n">
        <v>300.00</v>
      </c>
      <c r="D13966" s="4"/>
    </row>
    <row collapsed="" customFormat="false" customHeight="1" hidden="" ht="14" outlineLevel="0" r="13967">
      <c r="A13967" s="3" t="inlineStr">
        <is>
          <t>13923</t>
        </is>
      </c>
      <c r="B13967" s="4" t="s">
        <f>=HYPERLINK("http://anyluxury.ru/shop/odezhda/futbolki/futbolka-zhenskaya-rayet-lady-dvustoronnyaya-krasnaya-s-sinim-348250/" , "3482.50 Футболка женская RAYET LADY двусторонняя, красный/синий, размер XL")</f>
      </c>
      <c r="C13967" s="4" t="n">
        <v>300.00</v>
      </c>
      <c r="D13967" s="4"/>
    </row>
    <row collapsed="" customFormat="false" customHeight="1" hidden="" ht="14" outlineLevel="0" r="13968">
      <c r="A13968" s="3" t="inlineStr">
        <is>
          <t>13924</t>
        </is>
      </c>
      <c r="B13968" s="4" t="s">
        <f>=HYPERLINK("http://anyluxury.ru/shop/odezhda/futbolki/futbolka-zhenskaya-rayet-lady-dvustoronnyaya-krasnaya-s-sinim-348250/" , "3482.50 Футболка женская RAYET LADY двусторонняя, красный/синий, размер XXL")</f>
      </c>
      <c r="C13968" s="4" t="n">
        <v>300.00</v>
      </c>
      <c r="D13968" s="4"/>
    </row>
    <row collapsed="" customFormat="false" customHeight="1" hidden="" ht="14" outlineLevel="0" r="13969">
      <c r="A13969" s="3" t="inlineStr">
        <is>
          <t>13925</t>
        </is>
      </c>
      <c r="B13969" s="4" t="s">
        <f>=HYPERLINK("http://anyluxury.ru/shop/odezhda/futbolki/futbolka-zhenskaya-rayet-lady-dvustoronnyaya-oranzhevaya-s-fioletovim-348220/" , "3482.20 Футболка женская RAYET LADY двусторонняя, оранжевый/фиолетовый, размер S")</f>
      </c>
      <c r="C13969" s="4" t="n">
        <v>300.00</v>
      </c>
      <c r="D13969" s="4"/>
    </row>
    <row collapsed="" customFormat="false" customHeight="1" hidden="" ht="14" outlineLevel="0" r="13970">
      <c r="A13970" s="3" t="inlineStr">
        <is>
          <t>13926</t>
        </is>
      </c>
      <c r="B13970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M")</f>
      </c>
      <c r="C13970" s="4" t="n">
        <v>300.00</v>
      </c>
      <c r="D13970" s="4"/>
    </row>
    <row collapsed="" customFormat="false" customHeight="1" hidden="" ht="14" outlineLevel="0" r="13971">
      <c r="A13971" s="3" t="inlineStr">
        <is>
          <t>13927</t>
        </is>
      </c>
      <c r="B13971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L")</f>
      </c>
      <c r="C13971" s="4" t="n">
        <v>300.00</v>
      </c>
      <c r="D13971" s="4"/>
    </row>
    <row collapsed="" customFormat="false" customHeight="1" hidden="" ht="14" outlineLevel="0" r="13972">
      <c r="A13972" s="3" t="inlineStr">
        <is>
          <t>13928</t>
        </is>
      </c>
      <c r="B13972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XL")</f>
      </c>
      <c r="C13972" s="4" t="n">
        <v>300.00</v>
      </c>
      <c r="D13972" s="4"/>
    </row>
    <row collapsed="" customFormat="false" customHeight="1" hidden="" ht="14" outlineLevel="0" r="13973">
      <c r="A13973" s="3" t="inlineStr">
        <is>
          <t>13929</t>
        </is>
      </c>
      <c r="B13973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XXL")</f>
      </c>
      <c r="C13973" s="4" t="n">
        <v>300.00</v>
      </c>
      <c r="D13973" s="4"/>
    </row>
    <row collapsed="" customFormat="false" customHeight="1" hidden="" ht="14" outlineLevel="0" r="13974">
      <c r="A13974" s="3" t="inlineStr">
        <is>
          <t>13930</t>
        </is>
      </c>
      <c r="B13974" s="4" t="s">
        <f>=HYPERLINK("http://anyluxury.ru/shop/odezhda/futbolki/futbolka-zhenskaya-imperial-fit-women-cherniy-melanzh-02080348/" , "02080348 Футболка женская IMPERIAL FIT WOMEN черный меланж, размер S")</f>
      </c>
      <c r="C13974" s="4" t="n">
        <v>826.00</v>
      </c>
      <c r="D13974" s="4"/>
    </row>
    <row collapsed="" customFormat="false" customHeight="1" hidden="" ht="14" outlineLevel="0" r="13975">
      <c r="A13975" s="3" t="inlineStr">
        <is>
          <t>13931</t>
        </is>
      </c>
      <c r="B13975" s="4" t="s">
        <f>=HYPERLINK("http://anyluxury.ru/shop/odezhda/futbolki/futbolka-zhenskaya-imperial-fit-women-cherniy-melanzh-02080348/" , "02080348 Футболка женская IMPERIAL FIT WOMEN черный меланж, размер M")</f>
      </c>
      <c r="C13975" s="4" t="n">
        <v>826.00</v>
      </c>
      <c r="D13975" s="4"/>
    </row>
    <row collapsed="" customFormat="false" customHeight="1" hidden="" ht="14" outlineLevel="0" r="13976">
      <c r="A13976" s="3" t="inlineStr">
        <is>
          <t>13932</t>
        </is>
      </c>
      <c r="B13976" s="4" t="s">
        <f>=HYPERLINK("http://anyluxury.ru/shop/odezhda/futbolki/futbolka-zhenskaya-imperial-fit-women-cherniy-melanzh-02080348/" , "02080348 Футболка женская IMPERIAL FIT WOMEN черный меланж, размер L")</f>
      </c>
      <c r="C13976" s="4" t="n">
        <v>826.00</v>
      </c>
      <c r="D13976" s="4"/>
    </row>
    <row collapsed="" customFormat="false" customHeight="1" hidden="" ht="14" outlineLevel="0" r="13977">
      <c r="A13977" s="3" t="inlineStr">
        <is>
          <t>13933</t>
        </is>
      </c>
      <c r="B13977" s="4" t="s">
        <f>=HYPERLINK("http://anyluxury.ru/shop/odezhda/futbolki/futbolka-zhenskaya-imperial-fit-women-cherniy-melanzh-02080348/" , "02080348 Футболка женская IMPERIAL FIT WOMEN черный меланж, размер XL")</f>
      </c>
      <c r="C13977" s="4" t="n">
        <v>826.00</v>
      </c>
      <c r="D13977" s="4"/>
    </row>
    <row collapsed="" customFormat="false" customHeight="1" hidden="" ht="14" outlineLevel="0" r="13978">
      <c r="A13978" s="3" t="inlineStr">
        <is>
          <t>13934</t>
        </is>
      </c>
      <c r="B13978" s="4" t="s">
        <f>=HYPERLINK("http://anyluxury.ru/shop/odezhda/futbolki/futbolka-zhenskaya-imperial-fit-women-cherniy-melanzh-02080348/" , "02080348 Футболка женская IMPERIAL FIT WOMEN черный меланж, размер XXL")</f>
      </c>
      <c r="C13978" s="4" t="n">
        <v>826.00</v>
      </c>
      <c r="D13978" s="4"/>
    </row>
    <row collapsed="" customFormat="false" customHeight="1" hidden="" ht="14" outlineLevel="0" r="13979">
      <c r="A13979" s="3" t="inlineStr">
        <is>
          <t>13935</t>
        </is>
      </c>
      <c r="B13979" s="4" t="s">
        <f>=HYPERLINK("http://anyluxury.ru/shop/odezhda/futbolki/futbolka-zhenskaya-imperial-fit-women-temnoseraya-02080384/" , "02080384 Футболка женская IMPERIAL FIT WOMEN темно-серая, размер S")</f>
      </c>
      <c r="C13979" s="4" t="n">
        <v>772.00</v>
      </c>
      <c r="D13979" s="4"/>
    </row>
    <row collapsed="" customFormat="false" customHeight="1" hidden="" ht="14" outlineLevel="0" r="13980">
      <c r="A13980" s="3" t="inlineStr">
        <is>
          <t>13936</t>
        </is>
      </c>
      <c r="B13980" s="4" t="s">
        <f>=HYPERLINK("http://anyluxury.ru/shop/odezhda/futbolki/futbolka-zhenskaya-imperial-fit-women-temnoseraya-02080384/" , "02080384 Футболка женская IMPERIAL FIT WOMEN темно-серая, размер M")</f>
      </c>
      <c r="C13980" s="4" t="n">
        <v>772.00</v>
      </c>
      <c r="D13980" s="4"/>
    </row>
    <row collapsed="" customFormat="false" customHeight="1" hidden="" ht="14" outlineLevel="0" r="13981">
      <c r="A13981" s="3" t="inlineStr">
        <is>
          <t>13937</t>
        </is>
      </c>
      <c r="B13981" s="4" t="s">
        <f>=HYPERLINK("http://anyluxury.ru/shop/odezhda/futbolki/futbolka-zhenskaya-imperial-fit-women-temnoseraya-02080384/" , "02080384 Футболка женская IMPERIAL FIT WOMEN темно-серая, размер L")</f>
      </c>
      <c r="C13981" s="4" t="n">
        <v>772.00</v>
      </c>
      <c r="D13981" s="4"/>
    </row>
    <row collapsed="" customFormat="false" customHeight="1" hidden="" ht="14" outlineLevel="0" r="13982">
      <c r="A13982" s="3" t="inlineStr">
        <is>
          <t>13938</t>
        </is>
      </c>
      <c r="B13982" s="4" t="s">
        <f>=HYPERLINK("http://anyluxury.ru/shop/odezhda/futbolki/futbolka-zhenskaya-imperial-fit-women-temnoseraya-02080384/" , "02080384 Футболка женская IMPERIAL FIT WOMEN темно-серая, размер XL")</f>
      </c>
      <c r="C13982" s="4" t="n">
        <v>772.00</v>
      </c>
      <c r="D13982" s="4"/>
    </row>
    <row collapsed="" customFormat="false" customHeight="1" hidden="" ht="14" outlineLevel="0" r="13983">
      <c r="A13983" s="3" t="inlineStr">
        <is>
          <t>13939</t>
        </is>
      </c>
      <c r="B13983" s="4" t="s">
        <f>=HYPERLINK("http://anyluxury.ru/shop/odezhda/futbolki/futbolka-zhenskaya-imperial-fit-women-temnoseraya-02080384/" , "02080384 Футболка женская IMPERIAL FIT WOMEN темно-серая, размер XXL")</f>
      </c>
      <c r="C13983" s="4" t="n">
        <v>772.00</v>
      </c>
      <c r="D13983" s="4"/>
    </row>
    <row collapsed="" customFormat="false" customHeight="1" hidden="" ht="14" outlineLevel="0" r="13984">
      <c r="A13984" s="3" t="inlineStr">
        <is>
          <t>13940</t>
        </is>
      </c>
      <c r="B13984" s="4" t="s">
        <f>=HYPERLINK("http://anyluxury.ru/shop/odezhda/futbolki/futbolka-zhenskaya-imperial-fit-women-chernaya-02080309/" , "02080309 Футболка женская IMPERIAL FIT WOMEN черная, размер S")</f>
      </c>
      <c r="C13984" s="4" t="n">
        <v>729.00</v>
      </c>
      <c r="D13984" s="4"/>
    </row>
    <row collapsed="" customFormat="false" customHeight="1" hidden="" ht="14" outlineLevel="0" r="13985">
      <c r="A13985" s="3" t="inlineStr">
        <is>
          <t>13941</t>
        </is>
      </c>
      <c r="B13985" s="4" t="s">
        <f>=HYPERLINK("http://anyluxury.ru/shop/odezhda/futbolki/futbolka-zhenskaya-imperial-fit-women-chernaya-02080309/" , "02080309 Футболка женская IMPERIAL FIT WOMEN черная, размер M")</f>
      </c>
      <c r="C13985" s="4" t="n">
        <v>729.00</v>
      </c>
      <c r="D13985" s="4"/>
    </row>
    <row collapsed="" customFormat="false" customHeight="1" hidden="" ht="14" outlineLevel="0" r="13986">
      <c r="A13986" s="3" t="inlineStr">
        <is>
          <t>13942</t>
        </is>
      </c>
      <c r="B13986" s="4" t="s">
        <f>=HYPERLINK("http://anyluxury.ru/shop/odezhda/futbolki/futbolka-zhenskaya-imperial-fit-women-chernaya-02080309/" , "02080309 Футболка женская IMPERIAL FIT WOMEN черная, размер L")</f>
      </c>
      <c r="C13986" s="4" t="n">
        <v>729.00</v>
      </c>
      <c r="D13986" s="4"/>
    </row>
    <row collapsed="" customFormat="false" customHeight="1" hidden="" ht="14" outlineLevel="0" r="13987">
      <c r="A13987" s="3" t="inlineStr">
        <is>
          <t>13943</t>
        </is>
      </c>
      <c r="B13987" s="4" t="s">
        <f>=HYPERLINK("http://anyluxury.ru/shop/odezhda/futbolki/futbolka-zhenskaya-imperial-fit-women-chernaya-02080309/" , "02080309 Футболка женская IMPERIAL FIT WOMEN черная, размер XL")</f>
      </c>
      <c r="C13987" s="4" t="n">
        <v>729.00</v>
      </c>
      <c r="D13987" s="4"/>
    </row>
    <row collapsed="" customFormat="false" customHeight="1" hidden="" ht="14" outlineLevel="0" r="13988">
      <c r="A13988" s="3" t="inlineStr">
        <is>
          <t>13944</t>
        </is>
      </c>
      <c r="B13988" s="4" t="s">
        <f>=HYPERLINK("http://anyluxury.ru/shop/odezhda/futbolki/futbolka-zhenskaya-imperial-fit-women-chernaya-02080309/" , "02080309 Футболка женская IMPERIAL FIT WOMEN черная, размер XXL")</f>
      </c>
      <c r="C13988" s="4" t="n">
        <v>729.00</v>
      </c>
      <c r="D13988" s="4"/>
    </row>
    <row collapsed="" customFormat="false" customHeight="1" hidden="" ht="14" outlineLevel="0" r="13989">
      <c r="A13989" s="3" t="inlineStr">
        <is>
          <t>13945</t>
        </is>
      </c>
      <c r="B13989" s="4" t="s">
        <f>=HYPERLINK("http://anyluxury.ru/shop/odezhda/futbolki/futbolka-zhenskaya-imperial-fit-women-siniy-melanzh-02080222/" , "02080222 Футболка женская IMPERIAL FIT WOMEN синий меланж, размер S")</f>
      </c>
      <c r="C13989" s="4" t="n">
        <v>826.00</v>
      </c>
      <c r="D13989" s="4"/>
    </row>
    <row collapsed="" customFormat="false" customHeight="1" hidden="" ht="14" outlineLevel="0" r="13990">
      <c r="A13990" s="3" t="inlineStr">
        <is>
          <t>13946</t>
        </is>
      </c>
      <c r="B13990" s="4" t="s">
        <f>=HYPERLINK("http://anyluxury.ru/shop/odezhda/futbolki/futbolka-zhenskaya-imperial-fit-women-siniy-melanzh-02080222/" , "02080222 Футболка женская IMPERIAL FIT WOMEN синий меланж, размер M")</f>
      </c>
      <c r="C13990" s="4" t="n">
        <v>826.00</v>
      </c>
      <c r="D13990" s="4"/>
    </row>
    <row collapsed="" customFormat="false" customHeight="1" hidden="" ht="14" outlineLevel="0" r="13991">
      <c r="A13991" s="3" t="inlineStr">
        <is>
          <t>13947</t>
        </is>
      </c>
      <c r="B13991" s="4" t="s">
        <f>=HYPERLINK("http://anyluxury.ru/shop/odezhda/futbolki/futbolka-zhenskaya-imperial-fit-women-siniy-melanzh-02080222/" , "02080222 Футболка женская IMPERIAL FIT WOMEN синий меланж, размер L")</f>
      </c>
      <c r="C13991" s="4" t="n">
        <v>826.00</v>
      </c>
      <c r="D13991" s="4"/>
    </row>
    <row collapsed="" customFormat="false" customHeight="1" hidden="" ht="14" outlineLevel="0" r="13992">
      <c r="A13992" s="3" t="inlineStr">
        <is>
          <t>13948</t>
        </is>
      </c>
      <c r="B13992" s="4" t="s">
        <f>=HYPERLINK("http://anyluxury.ru/shop/odezhda/futbolki/futbolka-zhenskaya-imperial-fit-women-siniy-melanzh-02080222/" , "02080222 Футболка женская IMPERIAL FIT WOMEN синий меланж, размер XL")</f>
      </c>
      <c r="C13992" s="4" t="n">
        <v>826.00</v>
      </c>
      <c r="D13992" s="4"/>
    </row>
    <row collapsed="" customFormat="false" customHeight="1" hidden="" ht="14" outlineLevel="0" r="13993">
      <c r="A13993" s="3" t="inlineStr">
        <is>
          <t>13949</t>
        </is>
      </c>
      <c r="B13993" s="4" t="s">
        <f>=HYPERLINK("http://anyluxury.ru/shop/odezhda/futbolki/futbolka-zhenskaya-imperial-fit-women-siniy-melanzh-02080222/" , "02080222 Футболка женская IMPERIAL FIT WOMEN синий меланж, размер XXL")</f>
      </c>
      <c r="C13993" s="4" t="n">
        <v>826.00</v>
      </c>
      <c r="D13993" s="4"/>
    </row>
    <row collapsed="" customFormat="false" customHeight="1" hidden="" ht="14" outlineLevel="0" r="13994">
      <c r="A13994" s="3" t="inlineStr">
        <is>
          <t>13950</t>
        </is>
      </c>
      <c r="B13994" s="4" t="s">
        <f>=HYPERLINK("http://anyluxury.ru/shop/odezhda/futbolki/futbolka-zhenskaya-imperial-fit-women-bordoviy-melanzh-02080148/" , "02080148 Футболка женская IMPERIAL FIT WOMEN бордовый меланж, размер S")</f>
      </c>
      <c r="C13994" s="4" t="n">
        <v>826.00</v>
      </c>
      <c r="D13994" s="4"/>
    </row>
    <row collapsed="" customFormat="false" customHeight="1" hidden="" ht="14" outlineLevel="0" r="13995">
      <c r="A13995" s="3" t="inlineStr">
        <is>
          <t>13951</t>
        </is>
      </c>
      <c r="B13995" s="4" t="s">
        <f>=HYPERLINK("http://anyluxury.ru/shop/odezhda/futbolki/futbolka-zhenskaya-imperial-fit-women-bordoviy-melanzh-02080148/" , "02080148 Футболка женская IMPERIAL FIT WOMEN бордовый меланж, размер M")</f>
      </c>
      <c r="C13995" s="4" t="n">
        <v>826.00</v>
      </c>
      <c r="D13995" s="4"/>
    </row>
    <row collapsed="" customFormat="false" customHeight="1" hidden="" ht="14" outlineLevel="0" r="13996">
      <c r="A13996" s="3" t="inlineStr">
        <is>
          <t>13952</t>
        </is>
      </c>
      <c r="B13996" s="4" t="s">
        <f>=HYPERLINK("http://anyluxury.ru/shop/odezhda/futbolki/futbolka-zhenskaya-imperial-fit-women-bordoviy-melanzh-02080148/" , "02080148 Футболка женская IMPERIAL FIT WOMEN бордовый меланж, размер L")</f>
      </c>
      <c r="C13996" s="4" t="n">
        <v>826.00</v>
      </c>
      <c r="D13996" s="4"/>
    </row>
    <row collapsed="" customFormat="false" customHeight="1" hidden="" ht="14" outlineLevel="0" r="13997">
      <c r="A13997" s="3" t="inlineStr">
        <is>
          <t>13953</t>
        </is>
      </c>
      <c r="B13997" s="4" t="s">
        <f>=HYPERLINK("http://anyluxury.ru/shop/odezhda/futbolki/futbolka-zhenskaya-imperial-fit-women-bordoviy-melanzh-02080148/" , "02080148 Футболка женская IMPERIAL FIT WOMEN бордовый меланж, размер XL")</f>
      </c>
      <c r="C13997" s="4" t="n">
        <v>826.00</v>
      </c>
      <c r="D13997" s="4"/>
    </row>
    <row collapsed="" customFormat="false" customHeight="1" hidden="" ht="14" outlineLevel="0" r="13998">
      <c r="A13998" s="3" t="inlineStr">
        <is>
          <t>13954</t>
        </is>
      </c>
      <c r="B13998" s="4" t="s">
        <f>=HYPERLINK("http://anyluxury.ru/shop/odezhda/futbolki/futbolka-zhenskaya-imperial-fit-women-bordoviy-melanzh-02080148/" , "02080148 Футболка женская IMPERIAL FIT WOMEN бордовый меланж, размер XXL")</f>
      </c>
      <c r="C13998" s="4" t="n">
        <v>826.00</v>
      </c>
      <c r="D13998" s="4"/>
    </row>
    <row collapsed="" customFormat="false" customHeight="1" hidden="" ht="14" outlineLevel="0" r="13999">
      <c r="A13999" s="3" t="inlineStr">
        <is>
          <t>13955</t>
        </is>
      </c>
      <c r="B13999" s="4" t="s">
        <f>=HYPERLINK("http://anyluxury.ru/shop/odezhda/futbolki/futbolka-zhenskaya-metropolitan-chernaya-02079309/" , "02079309 Футболка женская METROPOLITAN черная, размер S")</f>
      </c>
      <c r="C13999" s="4" t="n">
        <v>620.00</v>
      </c>
      <c r="D13999" s="4"/>
    </row>
    <row collapsed="" customFormat="false" customHeight="1" hidden="" ht="14" outlineLevel="0" r="14000">
      <c r="A14000" s="3" t="inlineStr">
        <is>
          <t>13956</t>
        </is>
      </c>
      <c r="B14000" s="4" t="s">
        <f>=HYPERLINK("http://anyluxury.ru/shop/odezhda/futbolki/futbolka-zhenskaya-metropolitan-chernaya-02079309/" , "02079309 Футболка женская METROPOLITAN черная, размер M")</f>
      </c>
      <c r="C14000" s="4" t="n">
        <v>620.00</v>
      </c>
      <c r="D14000" s="4"/>
    </row>
    <row collapsed="" customFormat="false" customHeight="1" hidden="" ht="14" outlineLevel="0" r="14001">
      <c r="A14001" s="3" t="inlineStr">
        <is>
          <t>13957</t>
        </is>
      </c>
      <c r="B14001" s="4" t="s">
        <f>=HYPERLINK("http://anyluxury.ru/shop/odezhda/futbolki/futbolka-zhenskaya-metropolitan-chernaya-02079309/" , "02079309 Футболка женская METROPOLITAN черная, размер XL")</f>
      </c>
      <c r="C14001" s="4" t="n">
        <v>620.00</v>
      </c>
      <c r="D14001" s="4"/>
    </row>
    <row collapsed="" customFormat="false" customHeight="1" hidden="" ht="14" outlineLevel="0" r="14002">
      <c r="A14002" s="3" t="inlineStr">
        <is>
          <t>13958</t>
        </is>
      </c>
      <c r="B14002" s="4" t="s">
        <f>=HYPERLINK("http://anyluxury.ru/shop/odezhda/futbolki/futbolka-zhenskaya-metropolitan-chernaya-02079309/" , "02079309 Футболка женская METROPOLITAN черная, размер XXL")</f>
      </c>
      <c r="C14002" s="4" t="n">
        <v>620.00</v>
      </c>
      <c r="D14002" s="4"/>
    </row>
    <row collapsed="" customFormat="false" customHeight="1" hidden="" ht="14" outlineLevel="0" r="14003">
      <c r="A14003" s="3" t="inlineStr">
        <is>
          <t>13959</t>
        </is>
      </c>
      <c r="B14003" s="4" t="s">
        <f>=HYPERLINK("http://anyluxury.ru/shop/odezhda/futbolki/futbolka-zhenskaya-metropolitan-yarkorozovaya-02079138/" , "02079138 Футболка женская METROPOLITAN ярко-розовая, размер S")</f>
      </c>
      <c r="C14003" s="4" t="n">
        <v>620.00</v>
      </c>
      <c r="D14003" s="4"/>
    </row>
    <row collapsed="" customFormat="false" customHeight="1" hidden="" ht="14" outlineLevel="0" r="14004">
      <c r="A14004" s="3" t="inlineStr">
        <is>
          <t>13960</t>
        </is>
      </c>
      <c r="B14004" s="4" t="s">
        <f>=HYPERLINK("http://anyluxury.ru/shop/odezhda/futbolki/futbolka-zhenskaya-metropolitan-yarkorozovaya-02079138/" , "02079138 Футболка женская METROPOLITAN ярко-розовая, размер M")</f>
      </c>
      <c r="C14004" s="4" t="n">
        <v>620.00</v>
      </c>
      <c r="D14004" s="4"/>
    </row>
    <row collapsed="" customFormat="false" customHeight="1" hidden="" ht="14" outlineLevel="0" r="14005">
      <c r="A14005" s="3" t="inlineStr">
        <is>
          <t>13961</t>
        </is>
      </c>
      <c r="B14005" s="4" t="s">
        <f>=HYPERLINK("http://anyluxury.ru/shop/odezhda/futbolki/futbolka-zhenskaya-metropolitan-yarkorozovaya-02079138/" , "02079138 Футболка женская METROPOLITAN ярко-розовая, размер L")</f>
      </c>
      <c r="C14005" s="4" t="n">
        <v>620.00</v>
      </c>
      <c r="D14005" s="4"/>
    </row>
    <row collapsed="" customFormat="false" customHeight="1" hidden="" ht="14" outlineLevel="0" r="14006">
      <c r="A14006" s="3" t="inlineStr">
        <is>
          <t>13962</t>
        </is>
      </c>
      <c r="B14006" s="4" t="s">
        <f>=HYPERLINK("http://anyluxury.ru/shop/odezhda/futbolki/futbolka-zhenskaya-metropolitan-yarkorozovaya-02079138/" , "02079138 Футболка женская METROPOLITAN ярко-розовая, размер XL")</f>
      </c>
      <c r="C14006" s="4" t="n">
        <v>620.00</v>
      </c>
      <c r="D14006" s="4"/>
    </row>
    <row collapsed="" customFormat="false" customHeight="1" hidden="" ht="14" outlineLevel="0" r="14007">
      <c r="A14007" s="3" t="inlineStr">
        <is>
          <t>13963</t>
        </is>
      </c>
      <c r="B14007" s="4" t="s">
        <f>=HYPERLINK("http://anyluxury.ru/shop/odezhda/futbolki/futbolka-zhenskaya-metropolitan-yarkorozovaya-02079138/" , "02079138 Футболка женская METROPOLITAN ярко-розовая, размер XXL")</f>
      </c>
      <c r="C14007" s="4" t="n">
        <v>620.00</v>
      </c>
      <c r="D14007" s="4"/>
    </row>
    <row collapsed="" customFormat="false" customHeight="1" hidden="" ht="14" outlineLevel="0" r="14008">
      <c r="A14008" s="3" t="inlineStr">
        <is>
          <t>13964</t>
        </is>
      </c>
      <c r="B14008" s="4" t="s">
        <f>=HYPERLINK("http://anyluxury.ru/shop/odezhda/futbolki/futbolka-zhenskaya-metropolitan-temnosinyaya-02079319/" , "02079319 Футболка женская METROPOLITAN темно-синяя, размер S")</f>
      </c>
      <c r="C14008" s="4" t="n">
        <v>620.00</v>
      </c>
      <c r="D14008" s="4"/>
    </row>
    <row collapsed="" customFormat="false" customHeight="1" hidden="" ht="14" outlineLevel="0" r="14009">
      <c r="A14009" s="3" t="inlineStr">
        <is>
          <t>13965</t>
        </is>
      </c>
      <c r="B14009" s="4" t="s">
        <f>=HYPERLINK("http://anyluxury.ru/shop/odezhda/futbolki/futbolka-zhenskaya-metropolitan-temnosinyaya-02079319/" , "02079319 Футболка женская METROPOLITAN темно-синяя, размер M")</f>
      </c>
      <c r="C14009" s="4" t="n">
        <v>620.00</v>
      </c>
      <c r="D14009" s="4"/>
    </row>
    <row collapsed="" customFormat="false" customHeight="1" hidden="" ht="14" outlineLevel="0" r="14010">
      <c r="A14010" s="3" t="inlineStr">
        <is>
          <t>13966</t>
        </is>
      </c>
      <c r="B14010" s="4" t="s">
        <f>=HYPERLINK("http://anyluxury.ru/shop/odezhda/futbolki/futbolka-zhenskaya-metropolitan-temnosinyaya-02079319/" , "02079319 Футболка женская METROPOLITAN темно-синяя, размер L")</f>
      </c>
      <c r="C14010" s="4" t="n">
        <v>620.00</v>
      </c>
      <c r="D14010" s="4"/>
    </row>
    <row collapsed="" customFormat="false" customHeight="1" hidden="" ht="14" outlineLevel="0" r="14011">
      <c r="A14011" s="3" t="inlineStr">
        <is>
          <t>13967</t>
        </is>
      </c>
      <c r="B14011" s="4" t="s">
        <f>=HYPERLINK("http://anyluxury.ru/shop/odezhda/futbolki/futbolka-zhenskaya-metropolitan-temnosinyaya-02079319/" , "02079319 Футболка женская METROPOLITAN темно-синяя, размер XL")</f>
      </c>
      <c r="C14011" s="4" t="n">
        <v>620.00</v>
      </c>
      <c r="D14011" s="4"/>
    </row>
    <row collapsed="" customFormat="false" customHeight="1" hidden="" ht="14" outlineLevel="0" r="14012">
      <c r="A14012" s="3" t="inlineStr">
        <is>
          <t>13968</t>
        </is>
      </c>
      <c r="B14012" s="4" t="s">
        <f>=HYPERLINK("http://anyluxury.ru/shop/odezhda/futbolki/futbolka-zhenskaya-metropolitan-temnosinyaya-02079319/" , "02079319 Футболка женская METROPOLITAN темно-синяя, размер XXL")</f>
      </c>
      <c r="C14012" s="4" t="n">
        <v>620.00</v>
      </c>
      <c r="D14012" s="4"/>
    </row>
    <row collapsed="" customFormat="false" customHeight="1" hidden="" ht="14" outlineLevel="0" r="14013">
      <c r="A14013" s="3" t="inlineStr">
        <is>
          <t>13969</t>
        </is>
      </c>
      <c r="B14013" s="4" t="s">
        <f>=HYPERLINK("http://anyluxury.ru/shop/odezhda/futbolki/futbolka-zhenskaya-metropolitan-seriy-melanzh-02079350/" , "02079350 Футболка женская METROPOLITAN серый меланж, размер S")</f>
      </c>
      <c r="C14013" s="4" t="n">
        <v>620.00</v>
      </c>
      <c r="D14013" s="4"/>
    </row>
    <row collapsed="" customFormat="false" customHeight="1" hidden="" ht="14" outlineLevel="0" r="14014">
      <c r="A14014" s="3" t="inlineStr">
        <is>
          <t>13970</t>
        </is>
      </c>
      <c r="B14014" s="4" t="s">
        <f>=HYPERLINK("http://anyluxury.ru/shop/odezhda/futbolki/futbolka-zhenskaya-metropolitan-seriy-melanzh-02079350/" , "02079350 Футболка женская METROPOLITAN серый меланж, размер M")</f>
      </c>
      <c r="C14014" s="4" t="n">
        <v>620.00</v>
      </c>
      <c r="D14014" s="4"/>
    </row>
    <row collapsed="" customFormat="false" customHeight="1" hidden="" ht="14" outlineLevel="0" r="14015">
      <c r="A14015" s="3" t="inlineStr">
        <is>
          <t>13971</t>
        </is>
      </c>
      <c r="B14015" s="4" t="s">
        <f>=HYPERLINK("http://anyluxury.ru/shop/odezhda/futbolki/futbolka-zhenskaya-metropolitan-seriy-melanzh-02079350/" , "02079350 Футболка женская METROPOLITAN серый меланж, размер L")</f>
      </c>
      <c r="C14015" s="4" t="n">
        <v>620.00</v>
      </c>
      <c r="D14015" s="4"/>
    </row>
    <row collapsed="" customFormat="false" customHeight="1" hidden="" ht="14" outlineLevel="0" r="14016">
      <c r="A14016" s="3" t="inlineStr">
        <is>
          <t>13972</t>
        </is>
      </c>
      <c r="B14016" s="4" t="s">
        <f>=HYPERLINK("http://anyluxury.ru/shop/odezhda/futbolki/futbolka-zhenskaya-metropolitan-seriy-melanzh-02079350/" , "02079350 Футболка женская METROPOLITAN серый меланж, размер XL")</f>
      </c>
      <c r="C14016" s="4" t="n">
        <v>620.00</v>
      </c>
      <c r="D14016" s="4"/>
    </row>
    <row collapsed="" customFormat="false" customHeight="1" hidden="" ht="14" outlineLevel="0" r="14017">
      <c r="A14017" s="3" t="inlineStr">
        <is>
          <t>13973</t>
        </is>
      </c>
      <c r="B14017" s="4" t="s">
        <f>=HYPERLINK("http://anyluxury.ru/shop/odezhda/futbolki/futbolka-zhenskaya-metropolitan-seriy-melanzh-02079350/" , "02079350 Футболка женская METROPOLITAN серый меланж, размер XXL")</f>
      </c>
      <c r="C14017" s="4" t="n">
        <v>620.00</v>
      </c>
      <c r="D14017" s="4"/>
    </row>
    <row collapsed="" customFormat="false" customHeight="1" hidden="" ht="14" outlineLevel="0" r="14018">
      <c r="A14018" s="3" t="inlineStr">
        <is>
          <t>13974</t>
        </is>
      </c>
      <c r="B14018" s="4" t="s">
        <f>=HYPERLINK("http://anyluxury.ru/shop/odezhda/futbolki/futbolka-zhenskaya-metropolitan-rozovaya-korallovaya-02079168/" , "02079168 Футболка женская METROPOLITAN розовая (коралловая), размер S")</f>
      </c>
      <c r="C14018" s="4" t="n">
        <v>620.00</v>
      </c>
      <c r="D14018" s="4"/>
    </row>
    <row collapsed="" customFormat="false" customHeight="1" hidden="" ht="14" outlineLevel="0" r="14019">
      <c r="A14019" s="3" t="inlineStr">
        <is>
          <t>13975</t>
        </is>
      </c>
      <c r="B14019" s="4" t="s">
        <f>=HYPERLINK("http://anyluxury.ru/shop/odezhda/futbolki/futbolka-zhenskaya-metropolitan-rozovaya-korallovaya-02079168/" , "02079168 Футболка женская METROPOLITAN розовая (коралловая), размер M")</f>
      </c>
      <c r="C14019" s="4" t="n">
        <v>620.00</v>
      </c>
      <c r="D14019" s="4"/>
    </row>
    <row collapsed="" customFormat="false" customHeight="1" hidden="" ht="14" outlineLevel="0" r="14020">
      <c r="A14020" s="3" t="inlineStr">
        <is>
          <t>13976</t>
        </is>
      </c>
      <c r="B14020" s="4" t="s">
        <f>=HYPERLINK("http://anyluxury.ru/shop/odezhda/futbolki/futbolka-zhenskaya-metropolitan-rozovaya-korallovaya-02079168/" , "02079168 Футболка женская METROPOLITAN розовая (коралловая), размер L")</f>
      </c>
      <c r="C14020" s="4" t="n">
        <v>620.00</v>
      </c>
      <c r="D14020" s="4"/>
    </row>
    <row collapsed="" customFormat="false" customHeight="1" hidden="" ht="14" outlineLevel="0" r="14021">
      <c r="A14021" s="3" t="inlineStr">
        <is>
          <t>13977</t>
        </is>
      </c>
      <c r="B14021" s="4" t="s">
        <f>=HYPERLINK("http://anyluxury.ru/shop/odezhda/futbolki/futbolka-zhenskaya-metropolitan-rozovaya-korallovaya-02079168/" , "02079168 Футболка женская METROPOLITAN розовая (коралловая), размер XL")</f>
      </c>
      <c r="C14021" s="4" t="n">
        <v>620.00</v>
      </c>
      <c r="D14021" s="4"/>
    </row>
    <row collapsed="" customFormat="false" customHeight="1" hidden="" ht="14" outlineLevel="0" r="14022">
      <c r="A14022" s="3" t="inlineStr">
        <is>
          <t>13978</t>
        </is>
      </c>
      <c r="B14022" s="4" t="s">
        <f>=HYPERLINK("http://anyluxury.ru/shop/odezhda/futbolki/futbolka-zhenskaya-metropolitan-rozovaya-korallovaya-02079168/" , "02079168 Футболка женская METROPOLITAN розовая (коралловая), размер XXL")</f>
      </c>
      <c r="C14022" s="4" t="n">
        <v>620.00</v>
      </c>
      <c r="D14022" s="4"/>
    </row>
    <row collapsed="" customFormat="false" customHeight="1" hidden="" ht="14" outlineLevel="0" r="14023">
      <c r="A14023" s="3" t="inlineStr">
        <is>
          <t>13979</t>
        </is>
      </c>
      <c r="B14023" s="4" t="s">
        <f>=HYPERLINK("http://anyluxury.ru/shop/odezhda/futbolki/futbolka-zhenskaya-metropolitan-krasnaya-02079154/" , "02079154 Футболка женская METROPOLITAN красная, размер S")</f>
      </c>
      <c r="C14023" s="4" t="n">
        <v>620.00</v>
      </c>
      <c r="D14023" s="4"/>
    </row>
    <row collapsed="" customFormat="false" customHeight="1" hidden="" ht="14" outlineLevel="0" r="14024">
      <c r="A14024" s="3" t="inlineStr">
        <is>
          <t>13980</t>
        </is>
      </c>
      <c r="B14024" s="4" t="s">
        <f>=HYPERLINK("http://anyluxury.ru/shop/odezhda/futbolki/futbolka-zhenskaya-metropolitan-krasnaya-02079154/" , "02079154 Футболка женская METROPOLITAN красная, размер M")</f>
      </c>
      <c r="C14024" s="4" t="n">
        <v>620.00</v>
      </c>
      <c r="D14024" s="4"/>
    </row>
    <row collapsed="" customFormat="false" customHeight="1" hidden="" ht="14" outlineLevel="0" r="14025">
      <c r="A14025" s="3" t="inlineStr">
        <is>
          <t>13981</t>
        </is>
      </c>
      <c r="B14025" s="4" t="s">
        <f>=HYPERLINK("http://anyluxury.ru/shop/odezhda/futbolki/futbolka-zhenskaya-metropolitan-krasnaya-02079154/" , "02079154 Футболка женская METROPOLITAN красная, размер L")</f>
      </c>
      <c r="C14025" s="4" t="n">
        <v>620.00</v>
      </c>
      <c r="D14025" s="4"/>
    </row>
    <row collapsed="" customFormat="false" customHeight="1" hidden="" ht="14" outlineLevel="0" r="14026">
      <c r="A14026" s="3" t="inlineStr">
        <is>
          <t>13982</t>
        </is>
      </c>
      <c r="B14026" s="4" t="s">
        <f>=HYPERLINK("http://anyluxury.ru/shop/odezhda/futbolki/futbolka-zhenskaya-metropolitan-krasnaya-02079154/" , "02079154 Футболка женская METROPOLITAN красная, размер XL")</f>
      </c>
      <c r="C14026" s="4" t="n">
        <v>620.00</v>
      </c>
      <c r="D14026" s="4"/>
    </row>
    <row collapsed="" customFormat="false" customHeight="1" hidden="" ht="14" outlineLevel="0" r="14027">
      <c r="A14027" s="3" t="inlineStr">
        <is>
          <t>13983</t>
        </is>
      </c>
      <c r="B14027" s="4" t="s">
        <f>=HYPERLINK("http://anyluxury.ru/shop/odezhda/futbolki/futbolka-zhenskaya-metropolitan-belaya-02079102/" , "02079102 Футболка женская METROPOLITAN белая, размер S")</f>
      </c>
      <c r="C14027" s="4" t="n">
        <v>556.00</v>
      </c>
      <c r="D14027" s="4"/>
    </row>
    <row collapsed="" customFormat="false" customHeight="1" hidden="" ht="14" outlineLevel="0" r="14028">
      <c r="A14028" s="3" t="inlineStr">
        <is>
          <t>13984</t>
        </is>
      </c>
      <c r="B14028" s="4" t="s">
        <f>=HYPERLINK("http://anyluxury.ru/shop/odezhda/futbolki/futbolka-zhenskaya-regent-fit-women-cherniy-melanzh-02758348/" , "02758348 Футболка женская REGENT FIT WOMEN черный меланж, размер S")</f>
      </c>
      <c r="C14028" s="4" t="n">
        <v>668.00</v>
      </c>
      <c r="D14028" s="4"/>
    </row>
    <row collapsed="" customFormat="false" customHeight="1" hidden="" ht="14" outlineLevel="0" r="14029">
      <c r="A14029" s="3" t="inlineStr">
        <is>
          <t>13985</t>
        </is>
      </c>
      <c r="B14029" s="4" t="s">
        <f>=HYPERLINK("http://anyluxury.ru/shop/odezhda/futbolki/futbolka-zhenskaya-regent-fit-women-cherniy-melanzh-02758348/" , "02758348 Футболка женская REGENT FIT WOMEN черный меланж, размер M")</f>
      </c>
      <c r="C14029" s="4" t="n">
        <v>668.00</v>
      </c>
      <c r="D14029" s="4"/>
    </row>
    <row collapsed="" customFormat="false" customHeight="1" hidden="" ht="14" outlineLevel="0" r="14030">
      <c r="A14030" s="3" t="inlineStr">
        <is>
          <t>13986</t>
        </is>
      </c>
      <c r="B14030" s="4" t="s">
        <f>=HYPERLINK("http://anyluxury.ru/shop/odezhda/futbolki/futbolka-zhenskaya-regent-fit-women-cherniy-melanzh-02758348/" , "02758348 Футболка женская REGENT FIT WOMEN черный меланж, размер L")</f>
      </c>
      <c r="C14030" s="4" t="n">
        <v>668.00</v>
      </c>
      <c r="D14030" s="4"/>
    </row>
    <row collapsed="" customFormat="false" customHeight="1" hidden="" ht="14" outlineLevel="0" r="14031">
      <c r="A14031" s="3" t="inlineStr">
        <is>
          <t>13987</t>
        </is>
      </c>
      <c r="B14031" s="4" t="s">
        <f>=HYPERLINK("http://anyluxury.ru/shop/odezhda/futbolki/futbolka-zhenskaya-regent-fit-women-cherniy-melanzh-02758348/" , "02758348 Футболка женская REGENT FIT WOMEN черный меланж, размер XL")</f>
      </c>
      <c r="C14031" s="4" t="n">
        <v>668.00</v>
      </c>
      <c r="D14031" s="4"/>
    </row>
    <row collapsed="" customFormat="false" customHeight="1" hidden="" ht="14" outlineLevel="0" r="14032">
      <c r="A14032" s="3" t="inlineStr">
        <is>
          <t>13988</t>
        </is>
      </c>
      <c r="B14032" s="4" t="s">
        <f>=HYPERLINK("http://anyluxury.ru/shop/odezhda/futbolki/futbolka-zhenskaya-regent-fit-women-cherniy-melanzh-02758348/" , "02758348 Футболка женская REGENT FIT WOMEN черный меланж, размер XXL")</f>
      </c>
      <c r="C14032" s="4" t="n">
        <v>668.00</v>
      </c>
      <c r="D14032" s="4"/>
    </row>
    <row collapsed="" customFormat="false" customHeight="1" hidden="" ht="14" outlineLevel="0" r="14033">
      <c r="A14033" s="3" t="inlineStr">
        <is>
          <t>13989</t>
        </is>
      </c>
      <c r="B14033" s="4" t="s">
        <f>=HYPERLINK("http://anyluxury.ru/shop/odezhda/futbolki/futbolka-zhenskaya-regent-fit-women-siniy-melanzh-02758222/" , "02758222 Футболка женская REGENT FIT WOMEN синий меланж, размер S")</f>
      </c>
      <c r="C14033" s="4" t="n">
        <v>668.00</v>
      </c>
      <c r="D14033" s="4"/>
    </row>
    <row collapsed="" customFormat="false" customHeight="1" hidden="" ht="14" outlineLevel="0" r="14034">
      <c r="A14034" s="3" t="inlineStr">
        <is>
          <t>13990</t>
        </is>
      </c>
      <c r="B14034" s="4" t="s">
        <f>=HYPERLINK("http://anyluxury.ru/shop/odezhda/futbolki/futbolka-zhenskaya-regent-fit-women-siniy-melanzh-02758222/" , "02758222 Футболка женская REGENT FIT WOMEN синий меланж, размер M")</f>
      </c>
      <c r="C14034" s="4" t="n">
        <v>668.00</v>
      </c>
      <c r="D14034" s="4"/>
    </row>
    <row collapsed="" customFormat="false" customHeight="1" hidden="" ht="14" outlineLevel="0" r="14035">
      <c r="A14035" s="3" t="inlineStr">
        <is>
          <t>13991</t>
        </is>
      </c>
      <c r="B14035" s="4" t="s">
        <f>=HYPERLINK("http://anyluxury.ru/shop/odezhda/futbolki/futbolka-zhenskaya-regent-fit-women-siniy-melanzh-02758222/" , "02758222 Футболка женская REGENT FIT WOMEN синий меланж, размер XL")</f>
      </c>
      <c r="C14035" s="4" t="n">
        <v>668.00</v>
      </c>
      <c r="D14035" s="4"/>
    </row>
    <row collapsed="" customFormat="false" customHeight="1" hidden="" ht="14" outlineLevel="0" r="14036">
      <c r="A14036" s="3" t="inlineStr">
        <is>
          <t>13992</t>
        </is>
      </c>
      <c r="B14036" s="4" t="s">
        <f>=HYPERLINK("http://anyluxury.ru/shop/odezhda/futbolki/futbolka-zhenskaya-regent-fit-women-siniy-melanzh-02758222/" , "02758222 Футболка женская REGENT FIT WOMEN синий меланж, размер XXL")</f>
      </c>
      <c r="C14036" s="4" t="n">
        <v>668.00</v>
      </c>
      <c r="D14036" s="4"/>
    </row>
    <row collapsed="" customFormat="false" customHeight="1" hidden="" ht="14" outlineLevel="0" r="14037">
      <c r="A14037" s="3" t="inlineStr">
        <is>
          <t>13993</t>
        </is>
      </c>
      <c r="B14037" s="4" t="s">
        <f>=HYPERLINK("http://anyluxury.ru/shop/odezhda/futbolki/futbolka-zhenskaya-regent-fit-women-melanzh-haki-02758288/" , "02758288 Футболка женская REGENT FIT WOMEN меланж хаки, размер S")</f>
      </c>
      <c r="C14037" s="4" t="n">
        <v>668.00</v>
      </c>
      <c r="D14037" s="4"/>
    </row>
    <row collapsed="" customFormat="false" customHeight="1" hidden="" ht="14" outlineLevel="0" r="14038">
      <c r="A14038" s="3" t="inlineStr">
        <is>
          <t>13994</t>
        </is>
      </c>
      <c r="B14038" s="4" t="s">
        <f>=HYPERLINK("http://anyluxury.ru/shop/odezhda/futbolki/futbolka-zhenskaya-regent-fit-women-melanzh-haki-02758288/" , "02758288 Футболка женская REGENT FIT WOMEN меланж хаки, размер XL")</f>
      </c>
      <c r="C14038" s="4" t="n">
        <v>668.00</v>
      </c>
      <c r="D14038" s="4"/>
    </row>
    <row collapsed="" customFormat="false" customHeight="1" hidden="" ht="14" outlineLevel="0" r="14039">
      <c r="A14039" s="3" t="inlineStr">
        <is>
          <t>13995</t>
        </is>
      </c>
      <c r="B14039" s="4" t="s">
        <f>=HYPERLINK("http://anyluxury.ru/shop/odezhda/futbolki/futbolka-zhenskaya-regent-fit-women-melanzh-haki-02758288/" , "02758288 Футболка женская REGENT FIT WOMEN меланж хаки, размер XXL")</f>
      </c>
      <c r="C14039" s="4" t="n">
        <v>668.00</v>
      </c>
      <c r="D14039" s="4"/>
    </row>
    <row collapsed="" customFormat="false" customHeight="1" hidden="" ht="14" outlineLevel="0" r="14040">
      <c r="A14040" s="3" t="inlineStr">
        <is>
          <t>13996</t>
        </is>
      </c>
      <c r="B14040" s="4" t="s">
        <f>=HYPERLINK("http://anyluxury.ru/shop/odezhda/futbolki/futbolka-zhenskaya-regent-fit-women-bordoviy-melanzh-02758148/" , "02758148 Футболка женская REGENT FIT WOMEN бордовый меланж, размер S")</f>
      </c>
      <c r="C14040" s="4" t="n">
        <v>668.00</v>
      </c>
      <c r="D14040" s="4"/>
    </row>
    <row collapsed="" customFormat="false" customHeight="1" hidden="" ht="14" outlineLevel="0" r="14041">
      <c r="A14041" s="3" t="inlineStr">
        <is>
          <t>13997</t>
        </is>
      </c>
      <c r="B14041" s="4" t="s">
        <f>=HYPERLINK("http://anyluxury.ru/shop/odezhda/futbolki/futbolka-zhenskaya-regent-fit-women-bordoviy-melanzh-02758148/" , "02758148 Футболка женская REGENT FIT WOMEN бордовый меланж, размер M")</f>
      </c>
      <c r="C14041" s="4" t="n">
        <v>668.00</v>
      </c>
      <c r="D14041" s="4"/>
    </row>
    <row collapsed="" customFormat="false" customHeight="1" hidden="" ht="14" outlineLevel="0" r="14042">
      <c r="A14042" s="3" t="inlineStr">
        <is>
          <t>13998</t>
        </is>
      </c>
      <c r="B14042" s="4" t="s">
        <f>=HYPERLINK("http://anyluxury.ru/shop/odezhda/futbolki/futbolka-zhenskaya-regent-fit-women-bordoviy-melanzh-02758148/" , "02758148 Футболка женская REGENT FIT WOMEN бордовый меланж, размер XL")</f>
      </c>
      <c r="C14042" s="4" t="n">
        <v>668.00</v>
      </c>
      <c r="D14042" s="4"/>
    </row>
    <row collapsed="" customFormat="false" customHeight="1" hidden="" ht="14" outlineLevel="0" r="14043">
      <c r="A14043" s="3" t="inlineStr">
        <is>
          <t>13999</t>
        </is>
      </c>
      <c r="B14043" s="4" t="s">
        <f>=HYPERLINK("http://anyluxury.ru/shop/odezhda/futbolki/futbolka-zhenskaya-regent-fit-women-bordoviy-melanzh-02758148/" , "02758148 Футболка женская REGENT FIT WOMEN бордовый меланж, размер XXL")</f>
      </c>
      <c r="C14043" s="4" t="n">
        <v>668.00</v>
      </c>
      <c r="D14043" s="4"/>
    </row>
    <row collapsed="" customFormat="false" customHeight="1" hidden="" ht="14" outlineLevel="0" r="14044">
      <c r="A14044" s="3" t="inlineStr">
        <is>
          <t>14000</t>
        </is>
      </c>
      <c r="B14044" s="4" t="s">
        <f>=HYPERLINK("http://anyluxury.ru/shop/odezhda/futbolki/futbolka-zhenskaya-regent-fit-women-belaya-02758102/" , "02758102 Футболка женская REGENT FIT WOMEN белая, размер S")</f>
      </c>
      <c r="C14044" s="4" t="n">
        <v>555.00</v>
      </c>
      <c r="D14044" s="4"/>
    </row>
    <row collapsed="" customFormat="false" customHeight="1" hidden="" ht="14" outlineLevel="0" r="14045">
      <c r="A14045" s="3" t="inlineStr">
        <is>
          <t>14001</t>
        </is>
      </c>
      <c r="B14045" s="4" t="s">
        <f>=HYPERLINK("http://anyluxury.ru/shop/odezhda/futbolki/futbolka-zhenskaya-regent-fit-women-belaya-02758102/" , "02758102 Футболка женская REGENT FIT WOMEN белая, размер M")</f>
      </c>
      <c r="C14045" s="4" t="n">
        <v>555.00</v>
      </c>
      <c r="D14045" s="4"/>
    </row>
    <row collapsed="" customFormat="false" customHeight="1" hidden="" ht="14" outlineLevel="0" r="14046">
      <c r="A14046" s="3" t="inlineStr">
        <is>
          <t>14002</t>
        </is>
      </c>
      <c r="B14046" s="4" t="s">
        <f>=HYPERLINK("http://anyluxury.ru/shop/odezhda/futbolki/futbolka-zhenskaya-regent-fit-women-belaya-02758102/" , "02758102 Футболка женская REGENT FIT WOMEN белая, размер L")</f>
      </c>
      <c r="C14046" s="4" t="n">
        <v>555.00</v>
      </c>
      <c r="D14046" s="4"/>
    </row>
    <row collapsed="" customFormat="false" customHeight="1" hidden="" ht="14" outlineLevel="0" r="14047">
      <c r="A14047" s="3" t="inlineStr">
        <is>
          <t>14003</t>
        </is>
      </c>
      <c r="B14047" s="4" t="s">
        <f>=HYPERLINK("http://anyluxury.ru/shop/odezhda/futbolki/futbolka-zhenskaya-regent-fit-women-belaya-02758102/" , "02758102 Футболка женская REGENT FIT WOMEN белая, размер XL")</f>
      </c>
      <c r="C14047" s="4" t="n">
        <v>555.00</v>
      </c>
      <c r="D14047" s="4"/>
    </row>
    <row collapsed="" customFormat="false" customHeight="1" hidden="" ht="14" outlineLevel="0" r="14048">
      <c r="A14048" s="3" t="inlineStr">
        <is>
          <t>14004</t>
        </is>
      </c>
      <c r="B14048" s="4" t="s">
        <f>=HYPERLINK("http://anyluxury.ru/shop/odezhda/futbolki/futbolka-zhenskaya-regent-fit-women-belaya-02758102/" , "02758102 Футболка женская REGENT FIT WOMEN белая, размер XXL")</f>
      </c>
      <c r="C14048" s="4" t="n">
        <v>555.00</v>
      </c>
      <c r="D14048" s="4"/>
    </row>
    <row collapsed="" customFormat="false" customHeight="1" hidden="" ht="14" outlineLevel="0" r="14049">
      <c r="A14049" s="3" t="inlineStr">
        <is>
          <t>14005</t>
        </is>
      </c>
      <c r="B14049" s="4" t="s">
        <f>=HYPERLINK("http://anyluxury.ru/shop/odezhda/futbolki/mayka-muzhskaya-sporty-tt-men-zelenoe-yabloko-02073280/" , "02073280 Майка мужская SPORTY TT MEN зеленое яблоко, размер 3XL")</f>
      </c>
      <c r="C14049" s="4" t="n">
        <v>663.00</v>
      </c>
      <c r="D14049" s="4"/>
    </row>
    <row collapsed="" customFormat="false" customHeight="1" hidden="" ht="14" outlineLevel="0" r="14050">
      <c r="A14050" s="3" t="inlineStr">
        <is>
          <t>14006</t>
        </is>
      </c>
      <c r="B14050" s="4" t="s">
        <f>=HYPERLINK("http://anyluxury.ru/shop/odezhda/futbolki/mayka-muzhskaya-sporty-tt-men-chernaya-02073312/" , "02073312 Майка мужская SPORTY TT MEN черная, размер S")</f>
      </c>
      <c r="C14050" s="4" t="n">
        <v>577.00</v>
      </c>
      <c r="D14050" s="4"/>
    </row>
    <row collapsed="" customFormat="false" customHeight="1" hidden="" ht="14" outlineLevel="0" r="14051">
      <c r="A14051" s="3" t="inlineStr">
        <is>
          <t>14007</t>
        </is>
      </c>
      <c r="B14051" s="4" t="s">
        <f>=HYPERLINK("http://anyluxury.ru/shop/odezhda/futbolki/mayka-muzhskaya-sporty-tt-men-chernaya-02073312/" , "02073312 Майка мужская SPORTY TT MEN черная, размер M")</f>
      </c>
      <c r="C14051" s="4" t="n">
        <v>577.00</v>
      </c>
      <c r="D14051" s="4"/>
    </row>
    <row collapsed="" customFormat="false" customHeight="1" hidden="" ht="14" outlineLevel="0" r="14052">
      <c r="A14052" s="3" t="inlineStr">
        <is>
          <t>14008</t>
        </is>
      </c>
      <c r="B14052" s="4" t="s">
        <f>=HYPERLINK("http://anyluxury.ru/shop/odezhda/futbolki/mayka-muzhskaya-sporty-tt-men-chernaya-02073312/" , "02073312 Майка мужская SPORTY TT MEN черная, размер XL")</f>
      </c>
      <c r="C14052" s="4" t="n">
        <v>577.00</v>
      </c>
      <c r="D14052" s="4"/>
    </row>
    <row collapsed="" customFormat="false" customHeight="1" hidden="" ht="14" outlineLevel="0" r="14053">
      <c r="A14053" s="3" t="inlineStr">
        <is>
          <t>14009</t>
        </is>
      </c>
      <c r="B14053" s="4" t="s">
        <f>=HYPERLINK("http://anyluxury.ru/shop/odezhda/futbolki/mayka-muzhskaya-sporty-tt-men-chernaya-02073312/" , "02073312 Майка мужская SPORTY TT MEN черная, размер XXL")</f>
      </c>
      <c r="C14053" s="4" t="n">
        <v>577.00</v>
      </c>
      <c r="D14053" s="4"/>
    </row>
    <row collapsed="" customFormat="false" customHeight="1" hidden="" ht="14" outlineLevel="0" r="14054">
      <c r="A14054" s="3" t="inlineStr">
        <is>
          <t>14010</t>
        </is>
      </c>
      <c r="B14054" s="4" t="s">
        <f>=HYPERLINK("http://anyluxury.ru/shop/odezhda/futbolki/mayka-muzhskaya-sporty-tt-men-chernaya-02073312/" , "02073312 Майка мужская SPORTY TT MEN черная, размер 3XL")</f>
      </c>
      <c r="C14054" s="4" t="n">
        <v>663.00</v>
      </c>
      <c r="D14054" s="4"/>
    </row>
    <row collapsed="" customFormat="false" customHeight="1" hidden="" ht="14" outlineLevel="0" r="14055">
      <c r="A14055" s="3" t="inlineStr">
        <is>
          <t>14011</t>
        </is>
      </c>
      <c r="B14055" s="4" t="s">
        <f>=HYPERLINK("http://anyluxury.ru/shop/odezhda/futbolki/mayka-muzhskaya-sporty-tt-men-krasnaya-02073145/" , "02073145 Майка мужская SPORTY TT MEN красная, размер 3XL")</f>
      </c>
      <c r="C14055" s="4" t="n">
        <v>663.00</v>
      </c>
      <c r="D14055" s="4"/>
    </row>
    <row collapsed="" customFormat="false" customHeight="1" hidden="" ht="14" outlineLevel="0" r="14056">
      <c r="A14056" s="3" t="inlineStr">
        <is>
          <t>14012</t>
        </is>
      </c>
      <c r="B14056" s="4" t="s">
        <f>=HYPERLINK("http://anyluxury.ru/shop/odezhda/futbolki/mayka-muzhskaya-sporty-tt-men-yarkosinyaya-02073241/" , "02073241 Майка мужская SPORTY TT MEN ярко-синяя, размер M")</f>
      </c>
      <c r="C14056" s="4" t="n">
        <v>577.00</v>
      </c>
      <c r="D14056" s="4"/>
    </row>
    <row collapsed="" customFormat="false" customHeight="1" hidden="" ht="14" outlineLevel="0" r="14057">
      <c r="A14057" s="3" t="inlineStr">
        <is>
          <t>14013</t>
        </is>
      </c>
      <c r="B14057" s="4" t="s">
        <f>=HYPERLINK("http://anyluxury.ru/shop/odezhda/futbolki/mayka-muzhskaya-sporty-tt-men-yarkosinyaya-02073241/" , "02073241 Майка мужская SPORTY TT MEN ярко-синяя, размер 3XL")</f>
      </c>
      <c r="C14057" s="4" t="n">
        <v>663.00</v>
      </c>
      <c r="D14057" s="4"/>
    </row>
    <row collapsed="" customFormat="false" customHeight="1" hidden="" ht="14" outlineLevel="0" r="14058">
      <c r="A14058" s="3" t="inlineStr">
        <is>
          <t>14014</t>
        </is>
      </c>
      <c r="B14058" s="4" t="s">
        <f>=HYPERLINK("http://anyluxury.ru/shop/odezhda/futbolki/mayka-muzhskaya-sporty-tt-men-belaya-02073102/" , "02073102 Майка мужская SPORTY TT MEN белая, размер 3XL")</f>
      </c>
      <c r="C14058" s="4" t="n">
        <v>633.00</v>
      </c>
      <c r="D14058" s="4"/>
    </row>
    <row collapsed="" customFormat="false" customHeight="1" hidden="" ht="14" outlineLevel="0" r="14059">
      <c r="A14059" s="3" t="inlineStr">
        <is>
          <t>14015</t>
        </is>
      </c>
      <c r="B14059" s="4" t="s">
        <f>=HYPERLINK("http://anyluxury.ru/shop/odezhda/futbolki/mayka-zhenskaya-sporty-tt-women-zelenoe-yabloko-02117280/" , "02117280 Майка женская SPORTY TT WOMEN зеленое яблоко, размер XS")</f>
      </c>
      <c r="C14059" s="4" t="n">
        <v>558.00</v>
      </c>
      <c r="D14059" s="4"/>
    </row>
    <row collapsed="" customFormat="false" customHeight="1" hidden="" ht="14" outlineLevel="0" r="14060">
      <c r="A14060" s="3" t="inlineStr">
        <is>
          <t>14016</t>
        </is>
      </c>
      <c r="B14060" s="4" t="s">
        <f>=HYPERLINK("http://anyluxury.ru/shop/odezhda/futbolki/mayka-zhenskaya-sporty-tt-women-zelenoe-yabloko-02117280/" , "02117280 Майка женская SPORTY TT WOMEN зеленое яблоко, размер S")</f>
      </c>
      <c r="C14060" s="4" t="n">
        <v>558.00</v>
      </c>
      <c r="D14060" s="4"/>
    </row>
    <row collapsed="" customFormat="false" customHeight="1" hidden="" ht="14" outlineLevel="0" r="14061">
      <c r="A14061" s="3" t="inlineStr">
        <is>
          <t>14017</t>
        </is>
      </c>
      <c r="B14061" s="4" t="s">
        <f>=HYPERLINK("http://anyluxury.ru/shop/odezhda/futbolki/mayka-zhenskaya-sporty-tt-women-zelenoe-yabloko-02117280/" , "02117280 Майка женская SPORTY TT WOMEN зеленое яблоко, размер M")</f>
      </c>
      <c r="C14061" s="4" t="n">
        <v>558.00</v>
      </c>
      <c r="D14061" s="4"/>
    </row>
    <row collapsed="" customFormat="false" customHeight="1" hidden="" ht="14" outlineLevel="0" r="14062">
      <c r="A14062" s="3" t="inlineStr">
        <is>
          <t>14018</t>
        </is>
      </c>
      <c r="B14062" s="4" t="s">
        <f>=HYPERLINK("http://anyluxury.ru/shop/odezhda/futbolki/mayka-zhenskaya-sporty-tt-women-zelenoe-yabloko-02117280/" , "02117280 Майка женская SPORTY TT WOMEN зеленое яблоко, размер L")</f>
      </c>
      <c r="C14062" s="4" t="n">
        <v>558.00</v>
      </c>
      <c r="D14062" s="4"/>
    </row>
    <row collapsed="" customFormat="false" customHeight="1" hidden="" ht="14" outlineLevel="0" r="14063">
      <c r="A14063" s="3" t="inlineStr">
        <is>
          <t>14019</t>
        </is>
      </c>
      <c r="B14063" s="4" t="s">
        <f>=HYPERLINK("http://anyluxury.ru/shop/odezhda/futbolki/mayka-zhenskaya-sporty-tt-women-chernaya-02117312/" , "02117312 Майка женская SPORTY TT WOMEN черная, размер L")</f>
      </c>
      <c r="C14063" s="4" t="n">
        <v>558.00</v>
      </c>
      <c r="D14063" s="4"/>
    </row>
    <row collapsed="" customFormat="false" customHeight="1" hidden="" ht="14" outlineLevel="0" r="14064">
      <c r="A14064" s="3" t="inlineStr">
        <is>
          <t>14020</t>
        </is>
      </c>
      <c r="B14064" s="4" t="s">
        <f>=HYPERLINK("http://anyluxury.ru/shop/odezhda/futbolki/mayka-zhenskaya-sporty-tt-women-krasnaya-02117145/" , "02117145 Майка женская SPORTY TT WOMEN красная, размер XS")</f>
      </c>
      <c r="C14064" s="4" t="n">
        <v>558.00</v>
      </c>
      <c r="D14064" s="4"/>
    </row>
    <row collapsed="" customFormat="false" customHeight="1" hidden="" ht="14" outlineLevel="0" r="14065">
      <c r="A14065" s="3" t="inlineStr">
        <is>
          <t>14021</t>
        </is>
      </c>
      <c r="B14065" s="4" t="s">
        <f>=HYPERLINK("http://anyluxury.ru/shop/odezhda/futbolki/mayka-zhenskaya-sporty-tt-women-krasnaya-02117145/" , "02117145 Майка женская SPORTY TT WOMEN красная, размер M")</f>
      </c>
      <c r="C14065" s="4" t="n">
        <v>558.00</v>
      </c>
      <c r="D14065" s="4"/>
    </row>
    <row collapsed="" customFormat="false" customHeight="1" hidden="" ht="14" outlineLevel="0" r="14066">
      <c r="A14066" s="3" t="inlineStr">
        <is>
          <t>14022</t>
        </is>
      </c>
      <c r="B14066" s="4" t="s">
        <f>=HYPERLINK("http://anyluxury.ru/shop/odezhda/futbolki/mayka-zhenskaya-sporty-tt-women-krasnaya-02117145/" , "02117145 Майка женская SPORTY TT WOMEN красная, размер L")</f>
      </c>
      <c r="C14066" s="4" t="n">
        <v>558.00</v>
      </c>
      <c r="D14066" s="4"/>
    </row>
    <row collapsed="" customFormat="false" customHeight="1" hidden="" ht="14" outlineLevel="0" r="14067">
      <c r="A14067" s="3" t="inlineStr">
        <is>
          <t>14023</t>
        </is>
      </c>
      <c r="B14067" s="4" t="s">
        <f>=HYPERLINK("http://anyluxury.ru/shop/odezhda/futbolki/mayka-zhenskaya-sporty-tt-women-yarkosinyaya-02117241/" , "02117241 Майка женская SPORTY TT WOMEN ярко-синяя, размер L")</f>
      </c>
      <c r="C14067" s="4" t="n">
        <v>558.00</v>
      </c>
      <c r="D14067" s="4"/>
    </row>
    <row collapsed="" customFormat="false" customHeight="1" hidden="" ht="14" outlineLevel="0" r="14068">
      <c r="A14068" s="3" t="inlineStr">
        <is>
          <t>14024</t>
        </is>
      </c>
      <c r="B14068" s="4" t="s">
        <f>=HYPERLINK("http://anyluxury.ru/shop/odezhda/futbolki/mayka-zhenskaya-sporty-tt-women-belaya-02117102/" , "02117102 Майка женская SPORTY TT WOMEN белая, размер XS")</f>
      </c>
      <c r="C14068" s="4" t="n">
        <v>529.00</v>
      </c>
      <c r="D14068" s="4"/>
    </row>
    <row collapsed="" customFormat="false" customHeight="1" hidden="" ht="14" outlineLevel="0" r="14069">
      <c r="A14069" s="3" t="inlineStr">
        <is>
          <t>14025</t>
        </is>
      </c>
      <c r="B14069" s="4" t="s">
        <f>=HYPERLINK("http://anyluxury.ru/shop/odezhda/futbolki/futbolka-sublimation-belaya-tm062001/" , "TM062001 Футболка SUBLIMATION белая, размер XXL")</f>
      </c>
      <c r="C14069" s="4" t="n">
        <v>542.00</v>
      </c>
      <c r="D14069" s="4"/>
    </row>
    <row collapsed="" customFormat="false" customHeight="1" hidden="" ht="14" outlineLevel="0" r="14070">
      <c r="A14070" s="3" t="inlineStr">
        <is>
          <t>14026</t>
        </is>
      </c>
      <c r="B14070" s="4" t="s">
        <f>=HYPERLINK("http://anyluxury.ru/shop/odezhda/futbolki/futbolka-sublimation-belaya-tm062001/" , "TM062001 Футболка SUBLIMATION белая, размер XXXL")</f>
      </c>
      <c r="C14070" s="4" t="n">
        <v>542.00</v>
      </c>
      <c r="D14070" s="4"/>
    </row>
    <row collapsed="" customFormat="false" customHeight="1" hidden="" ht="14" outlineLevel="0" r="14071">
      <c r="A14071" s="3" t="inlineStr">
        <is>
          <t>14027</t>
        </is>
      </c>
      <c r="B14071" s="4" t="s">
        <f>=HYPERLINK("http://anyluxury.ru/shop/odezhda/futbolki/futbolka-sublimation-belaya-tm062001/" , "TM062001 Футболка SUBLIMATION белая, размер M")</f>
      </c>
      <c r="C14071" s="4" t="n">
        <v>542.00</v>
      </c>
      <c r="D14071" s="4"/>
    </row>
    <row collapsed="" customFormat="false" customHeight="1" hidden="" ht="14" outlineLevel="0" r="14072">
      <c r="A14072" s="3" t="inlineStr">
        <is>
          <t>14028</t>
        </is>
      </c>
      <c r="B14072" s="4" t="s">
        <f>=HYPERLINK("http://anyluxury.ru/shop/odezhda/futbolki/futbolka-sublimation-belaya-tm062001/" , "TM062001 Футболка SUBLIMATION белая, размер L")</f>
      </c>
      <c r="C14072" s="4" t="n">
        <v>542.00</v>
      </c>
      <c r="D14072" s="4"/>
    </row>
    <row collapsed="" customFormat="false" customHeight="1" hidden="" ht="14" outlineLevel="0" r="14073">
      <c r="A14073" s="3" t="inlineStr">
        <is>
          <t>14029</t>
        </is>
      </c>
      <c r="B14073" s="4" t="s">
        <f>=HYPERLINK("http://anyluxury.ru/shop/odezhda/futbolki/futbolka-sublimation-belaya-tm062001/" , "TM062001 Футболка SUBLIMATION белая, размер XL")</f>
      </c>
      <c r="C14073" s="4" t="n">
        <v>542.00</v>
      </c>
      <c r="D14073" s="4"/>
    </row>
    <row collapsed="" customFormat="false" customHeight="1" hidden="" ht="14" outlineLevel="0" r="14074">
      <c r="A14074" s="3" t="inlineStr">
        <is>
          <t>14030</t>
        </is>
      </c>
      <c r="B14074" s="4" t="s">
        <f>=HYPERLINK("http://anyluxury.ru/shop/odezhda/futbolki/futbolka-zhenskaya-sublimation-belaya-tw063001/" , "TW063001 Футболка женская SUBLIMATION белая, размер XS")</f>
      </c>
      <c r="C14074" s="4" t="n">
        <v>617.00</v>
      </c>
      <c r="D14074" s="4"/>
    </row>
    <row collapsed="" customFormat="false" customHeight="1" hidden="" ht="14" outlineLevel="0" r="14075">
      <c r="A14075" s="3" t="inlineStr">
        <is>
          <t>14031</t>
        </is>
      </c>
      <c r="B14075" s="4" t="s">
        <f>=HYPERLINK("http://anyluxury.ru/shop/odezhda/futbolki/futbolka-zhenskaya-sublimation-belaya-tw063001/" , "TW063001 Футболка женская SUBLIMATION белая, размер XL")</f>
      </c>
      <c r="C14075" s="4" t="n">
        <v>617.00</v>
      </c>
      <c r="D14075" s="4"/>
    </row>
    <row collapsed="" customFormat="false" customHeight="1" hidden="" ht="14" outlineLevel="0" r="14076">
      <c r="A14076" s="3" t="inlineStr">
        <is>
          <t>14032</t>
        </is>
      </c>
      <c r="B14076" s="4" t="s">
        <f>=HYPERLINK("http://anyluxury.ru/shop/odezhda/futbolki/futbolka-zhenskaya-sublimation-belaya-tw063001/" , "TW063001 Футболка женская SUBLIMATION белая, размер XXL")</f>
      </c>
      <c r="C14076" s="4" t="n">
        <v>617.00</v>
      </c>
      <c r="D14076" s="4"/>
    </row>
    <row collapsed="" customFormat="false" customHeight="1" hidden="" ht="14" outlineLevel="0" r="14077">
      <c r="A14077" s="3" t="inlineStr">
        <is>
          <t>14033</t>
        </is>
      </c>
      <c r="B14077" s="4" t="s">
        <f>=HYPERLINK("http://anyluxury.ru/shop/odezhda/futbolki/futbolka-tbolka-180-temnosinyaya-699440/" , "6994.40 Футболка T-Bolka 180 темно-синяя, размер S")</f>
      </c>
      <c r="C14077" s="4" t="n">
        <v>629.00</v>
      </c>
      <c r="D14077" s="4"/>
    </row>
    <row collapsed="" customFormat="false" customHeight="1" hidden="" ht="14" outlineLevel="0" r="14078">
      <c r="A14078" s="3" t="inlineStr">
        <is>
          <t>14034</t>
        </is>
      </c>
      <c r="B14078" s="4" t="s">
        <f>=HYPERLINK("http://anyluxury.ru/shop/odezhda/futbolki/futbolka-tbolka-180-temnosinyaya-699440/" , "6994.40 Футболка T-Bolka 180 темно-синяя, размер XXL")</f>
      </c>
      <c r="C14078" s="4" t="n">
        <v>629.00</v>
      </c>
      <c r="D14078" s="4"/>
    </row>
    <row collapsed="" customFormat="false" customHeight="1" hidden="" ht="14" outlineLevel="0" r="14079">
      <c r="A14079" s="3" t="inlineStr">
        <is>
          <t>14035</t>
        </is>
      </c>
      <c r="B14079" s="4" t="s">
        <f>=HYPERLINK("http://anyluxury.ru/shop/odezhda/futbolki/futbolka-tbolka-180-temnosinyaya-699440/" , "6994.40 Футболка T-Bolka 180 темно-синяя, размер 3XL")</f>
      </c>
      <c r="C14079" s="4" t="n">
        <v>629.00</v>
      </c>
      <c r="D14079" s="4"/>
    </row>
    <row collapsed="" customFormat="false" customHeight="1" hidden="" ht="14" outlineLevel="0" r="14080">
      <c r="A14080" s="3" t="inlineStr">
        <is>
          <t>14036</t>
        </is>
      </c>
      <c r="B14080" s="4" t="s">
        <f>=HYPERLINK("http://anyluxury.ru/shop/odezhda/futbolki/futbolka-tbolka-180-temnosinyaya-699440/" , "6994.40 Футболка T-Bolka 180 темно-синяя, размер 4XL")</f>
      </c>
      <c r="C14080" s="4" t="n">
        <v>629.00</v>
      </c>
      <c r="D14080" s="4"/>
    </row>
    <row collapsed="" customFormat="false" customHeight="1" hidden="" ht="14" outlineLevel="0" r="14081">
      <c r="A14081" s="3" t="inlineStr">
        <is>
          <t>14037</t>
        </is>
      </c>
      <c r="B14081" s="4" t="s">
        <f>=HYPERLINK("http://anyluxury.ru/shop/odezhda/futbolki/futbolka-tbolka-180-temnosinyaya-699440/" , "6994.40 Футболка T-Bolka 180 темно-синяя, размер 5XL")</f>
      </c>
      <c r="C14081" s="4" t="n">
        <v>629.00</v>
      </c>
      <c r="D14081" s="4"/>
    </row>
    <row collapsed="" customFormat="false" customHeight="1" hidden="" ht="14" outlineLevel="0" r="14082">
      <c r="A14082" s="3" t="inlineStr">
        <is>
          <t>14038</t>
        </is>
      </c>
      <c r="B14082" s="4" t="s">
        <f>=HYPERLINK("http://anyluxury.ru/shop/odezhda/futbolki/futbolka-tbolka-180-temnosinyaya-699440/" , "6994.40 Футболка T-Bolka 180 темно-синяя, размер XS")</f>
      </c>
      <c r="C14082" s="4" t="n">
        <v>629.00</v>
      </c>
      <c r="D14082" s="4"/>
    </row>
    <row collapsed="" customFormat="false" customHeight="1" hidden="" ht="14" outlineLevel="0" r="14083">
      <c r="A14083" s="3" t="inlineStr">
        <is>
          <t>14039</t>
        </is>
      </c>
      <c r="B14083" s="4" t="s">
        <f>=HYPERLINK("http://anyluxury.ru/shop/odezhda/futbolki/futbolka-tbolka-180-temnosinyaya-699440/" , "6994.40 Футболка T-Bolka 180 темно-синяя, размер S")</f>
      </c>
      <c r="C14083" s="4" t="n">
        <v>629.00</v>
      </c>
      <c r="D14083" s="4"/>
    </row>
    <row collapsed="" customFormat="false" customHeight="1" hidden="" ht="14" outlineLevel="0" r="14084">
      <c r="A14084" s="3" t="inlineStr">
        <is>
          <t>14040</t>
        </is>
      </c>
      <c r="B14084" s="4" t="s">
        <f>=HYPERLINK("http://anyluxury.ru/shop/odezhda/futbolki/futbolka-tbolka-180-temnosinyaya-699440/" , "6994.40 Футболка T-Bolka 180 темно-синяя, размер M")</f>
      </c>
      <c r="C14084" s="4" t="n">
        <v>629.00</v>
      </c>
      <c r="D14084" s="4"/>
    </row>
    <row collapsed="" customFormat="false" customHeight="1" hidden="" ht="14" outlineLevel="0" r="14085">
      <c r="A14085" s="3" t="inlineStr">
        <is>
          <t>14041</t>
        </is>
      </c>
      <c r="B14085" s="4" t="s">
        <f>=HYPERLINK("http://anyluxury.ru/shop/odezhda/futbolki/futbolka-tbolka-180-temnosinyaya-699440/" , "6994.40 Футболка T-Bolka 180 темно-синяя, размер L")</f>
      </c>
      <c r="C14085" s="4" t="n">
        <v>629.00</v>
      </c>
      <c r="D14085" s="4"/>
    </row>
    <row collapsed="" customFormat="false" customHeight="1" hidden="" ht="14" outlineLevel="0" r="14086">
      <c r="A14086" s="3" t="inlineStr">
        <is>
          <t>14042</t>
        </is>
      </c>
      <c r="B14086" s="4" t="s">
        <f>=HYPERLINK("http://anyluxury.ru/shop/odezhda/futbolki/futbolka-tbolka-180-temnosinyaya-699440/" , "6994.40 Футболка T-Bolka 180 темно-синяя, размер XL")</f>
      </c>
      <c r="C14086" s="4" t="n">
        <v>629.00</v>
      </c>
      <c r="D14086" s="4"/>
    </row>
    <row collapsed="" customFormat="false" customHeight="1" hidden="" ht="14" outlineLevel="0" r="14087">
      <c r="A14087" s="3" t="inlineStr">
        <is>
          <t>14043</t>
        </is>
      </c>
      <c r="B14087" s="4" t="s">
        <f>=HYPERLINK("http://anyluxury.ru/shop/odezhda/futbolki/futbolka-tbolka-180-temnosinyaya-699440/" , "6994.40 Футболка T-Bolka 180 темно-синяя, размер XXL")</f>
      </c>
      <c r="C14087" s="4" t="n">
        <v>629.00</v>
      </c>
      <c r="D14087" s="4"/>
    </row>
    <row collapsed="" customFormat="false" customHeight="1" hidden="" ht="14" outlineLevel="0" r="14088">
      <c r="A14088" s="3" t="inlineStr">
        <is>
          <t>14044</t>
        </is>
      </c>
      <c r="B14088" s="4" t="s">
        <f>=HYPERLINK("http://anyluxury.ru/shop/odezhda/futbolki/futbolka-tbolka-180-temnosinyaya-699440/" , "6994.40 Футболка T-Bolka 180 темно-синяя, размер 3XL")</f>
      </c>
      <c r="C14088" s="4" t="n">
        <v>629.00</v>
      </c>
      <c r="D14088" s="4"/>
    </row>
    <row collapsed="" customFormat="false" customHeight="1" hidden="" ht="14" outlineLevel="0" r="14089">
      <c r="A14089" s="3" t="inlineStr">
        <is>
          <t>14045</t>
        </is>
      </c>
      <c r="B14089" s="4" t="s">
        <f>=HYPERLINK("http://anyluxury.ru/shop/odezhda/futbolki/futbolka-tbolka-180-temnosinyaya-699440/" , "6994.40 Футболка T-Bolka 180 темно-синяя, размер 4XL")</f>
      </c>
      <c r="C14089" s="4" t="n">
        <v>629.00</v>
      </c>
      <c r="D14089" s="4"/>
    </row>
    <row collapsed="" customFormat="false" customHeight="1" hidden="" ht="14" outlineLevel="0" r="14090">
      <c r="A14090" s="3" t="inlineStr">
        <is>
          <t>14046</t>
        </is>
      </c>
      <c r="B14090" s="4" t="s">
        <f>=HYPERLINK("http://anyluxury.ru/shop/odezhda/futbolki/futbolka-tbolka-180-temnosinyaya-699440/" , "6994.40 Футболка T-Bolka 180 темно-синяя, размер 5XL")</f>
      </c>
      <c r="C14090" s="4" t="n">
        <v>629.00</v>
      </c>
      <c r="D14090" s="4"/>
    </row>
    <row collapsed="" customFormat="false" customHeight="1" hidden="" ht="14" outlineLevel="0" r="14091">
      <c r="A14091" s="3" t="inlineStr">
        <is>
          <t>14047</t>
        </is>
      </c>
      <c r="B14091" s="4" t="s">
        <f>=HYPERLINK("http://anyluxury.ru/shop/odezhda/futbolki/futbolka-tbolka-180-belaya-699460/" , "6994.60 Футболка T-Bolka 180 белая, размер 4XL")</f>
      </c>
      <c r="C14091" s="4" t="n">
        <v>629.00</v>
      </c>
      <c r="D14091" s="4"/>
    </row>
    <row collapsed="" customFormat="false" customHeight="1" hidden="" ht="14" outlineLevel="0" r="14092">
      <c r="A14092" s="3" t="inlineStr">
        <is>
          <t>14048</t>
        </is>
      </c>
      <c r="B14092" s="4" t="s">
        <f>=HYPERLINK("http://anyluxury.ru/shop/odezhda/futbolki/futbolka-tbolka-180-belaya-699460/" , "6994.60 Футболка T-Bolka 180 белая, размер 5XL")</f>
      </c>
      <c r="C14092" s="4" t="n">
        <v>629.00</v>
      </c>
      <c r="D14092" s="4"/>
    </row>
    <row collapsed="" customFormat="false" customHeight="1" hidden="" ht="14" outlineLevel="0" r="14093">
      <c r="A14093" s="3" t="inlineStr">
        <is>
          <t>14049</t>
        </is>
      </c>
      <c r="B14093" s="4" t="s">
        <f>=HYPERLINK("http://anyluxury.ru/shop/odezhda/futbolki/futbolka-tbolka-180-belaya-699460/" , "6994.60 Футболка T-Bolka 180 белая, размер S")</f>
      </c>
      <c r="C14093" s="4" t="n">
        <v>629.00</v>
      </c>
      <c r="D14093" s="4"/>
    </row>
    <row collapsed="" customFormat="false" customHeight="1" hidden="" ht="14" outlineLevel="0" r="14094">
      <c r="A14094" s="3" t="inlineStr">
        <is>
          <t>14050</t>
        </is>
      </c>
      <c r="B14094" s="4" t="s">
        <f>=HYPERLINK("http://anyluxury.ru/shop/odezhda/futbolki/futbolka-tbolka-180-belaya-699460/" , "6994.60 Футболка T-Bolka 180 белая, размер XXL")</f>
      </c>
      <c r="C14094" s="4" t="n">
        <v>629.00</v>
      </c>
      <c r="D14094" s="4"/>
    </row>
    <row collapsed="" customFormat="false" customHeight="1" hidden="" ht="14" outlineLevel="0" r="14095">
      <c r="A14095" s="3" t="inlineStr">
        <is>
          <t>14051</t>
        </is>
      </c>
      <c r="B14095" s="4" t="s">
        <f>=HYPERLINK("http://anyluxury.ru/shop/odezhda/futbolki/futbolka-tbolka-180-belaya-699460/" , "6994.60 Футболка T-Bolka 180 белая, размер 4XL")</f>
      </c>
      <c r="C14095" s="4" t="n">
        <v>629.00</v>
      </c>
      <c r="D14095" s="4"/>
    </row>
    <row collapsed="" customFormat="false" customHeight="1" hidden="" ht="14" outlineLevel="0" r="14096">
      <c r="A14096" s="3" t="inlineStr">
        <is>
          <t>14052</t>
        </is>
      </c>
      <c r="B14096" s="4" t="s">
        <f>=HYPERLINK("http://anyluxury.ru/shop/odezhda/futbolki/futbolka-tbolka-180-belaya-699460/" , "6994.60 Футболка T-Bolka 180 белая, размер 5XL")</f>
      </c>
      <c r="C14096" s="4" t="n">
        <v>629.00</v>
      </c>
      <c r="D14096" s="4"/>
    </row>
    <row collapsed="" customFormat="false" customHeight="1" hidden="" ht="14" outlineLevel="0" r="14097">
      <c r="A14097" s="3" t="inlineStr">
        <is>
          <t>14053</t>
        </is>
      </c>
      <c r="B14097" s="4" t="s">
        <f>=HYPERLINK("http://anyluxury.ru/shop/odezhda/futbolki/futbolka-tbolka-180-seriy-melanzh-699411/" , "6994.11 Футболка T-Bolka 180 серый меланж, размер S")</f>
      </c>
      <c r="C14097" s="4" t="n">
        <v>629.00</v>
      </c>
      <c r="D14097" s="4"/>
    </row>
    <row collapsed="" customFormat="false" customHeight="1" hidden="" ht="14" outlineLevel="0" r="14098">
      <c r="A14098" s="3" t="inlineStr">
        <is>
          <t>14054</t>
        </is>
      </c>
      <c r="B14098" s="4" t="s">
        <f>=HYPERLINK("http://anyluxury.ru/shop/odezhda/futbolki/futbolka-tbolka-180-seriy-melanzh-699411/" , "6994.11 Футболка T-Bolka 180 серый меланж, размер M")</f>
      </c>
      <c r="C14098" s="4" t="n">
        <v>629.00</v>
      </c>
      <c r="D14098" s="4"/>
    </row>
    <row collapsed="" customFormat="false" customHeight="1" hidden="" ht="14" outlineLevel="0" r="14099">
      <c r="A14099" s="3" t="inlineStr">
        <is>
          <t>14055</t>
        </is>
      </c>
      <c r="B14099" s="4" t="s">
        <f>=HYPERLINK("http://anyluxury.ru/shop/odezhda/futbolki/futbolka-tbolka-180-seriy-melanzh-699411/" , "6994.11 Футболка T-Bolka 180 серый меланж, размер L")</f>
      </c>
      <c r="C14099" s="4" t="n">
        <v>630.00</v>
      </c>
      <c r="D14099" s="4"/>
    </row>
    <row collapsed="" customFormat="false" customHeight="1" hidden="" ht="14" outlineLevel="0" r="14100">
      <c r="A14100" s="3" t="inlineStr">
        <is>
          <t>14056</t>
        </is>
      </c>
      <c r="B14100" s="4" t="s">
        <f>=HYPERLINK("http://anyluxury.ru/shop/odezhda/futbolki/futbolka-tbolka-180-seriy-melanzh-699411/" , "6994.11 Футболка T-Bolka 180 серый меланж, размер 3XL")</f>
      </c>
      <c r="C14100" s="4" t="n">
        <v>629.00</v>
      </c>
      <c r="D14100" s="4"/>
    </row>
    <row collapsed="" customFormat="false" customHeight="1" hidden="" ht="14" outlineLevel="0" r="14101">
      <c r="A14101" s="3" t="inlineStr">
        <is>
          <t>14057</t>
        </is>
      </c>
      <c r="B14101" s="4" t="s">
        <f>=HYPERLINK("http://anyluxury.ru/shop/odezhda/futbolki/futbolka-tbolka-180-seriy-melanzh-699411/" , "6994.11 Футболка T-Bolka 180 серый меланж, размер 5XL")</f>
      </c>
      <c r="C14101" s="4" t="n">
        <v>629.00</v>
      </c>
      <c r="D14101" s="4"/>
    </row>
    <row collapsed="" customFormat="false" customHeight="1" hidden="" ht="14" outlineLevel="0" r="14102">
      <c r="A14102" s="3" t="inlineStr">
        <is>
          <t>14058</t>
        </is>
      </c>
      <c r="B14102" s="4" t="s">
        <f>=HYPERLINK("http://anyluxury.ru/shop/odezhda/futbolki/futbolka-tbolka-180-seriy-melanzh-699411/" , "6994.11 Футболка T-Bolka 180 серый меланж, размер XS")</f>
      </c>
      <c r="C14102" s="4" t="n">
        <v>629.00</v>
      </c>
      <c r="D14102" s="4"/>
    </row>
    <row collapsed="" customFormat="false" customHeight="1" hidden="" ht="14" outlineLevel="0" r="14103">
      <c r="A14103" s="3" t="inlineStr">
        <is>
          <t>14059</t>
        </is>
      </c>
      <c r="B14103" s="4" t="s">
        <f>=HYPERLINK("http://anyluxury.ru/shop/odezhda/futbolki/futbolka-tbolka-180-seriy-melanzh-699411/" , "6994.11 Футболка T-Bolka 180 серый меланж, размер S")</f>
      </c>
      <c r="C14103" s="4" t="n">
        <v>629.00</v>
      </c>
      <c r="D14103" s="4"/>
    </row>
    <row collapsed="" customFormat="false" customHeight="1" hidden="" ht="14" outlineLevel="0" r="14104">
      <c r="A14104" s="3" t="inlineStr">
        <is>
          <t>14060</t>
        </is>
      </c>
      <c r="B14104" s="4" t="s">
        <f>=HYPERLINK("http://anyluxury.ru/shop/odezhda/futbolki/futbolka-tbolka-180-seriy-melanzh-699411/" , "6994.11 Футболка T-Bolka 180 серый меланж, размер M")</f>
      </c>
      <c r="C14104" s="4" t="n">
        <v>629.00</v>
      </c>
      <c r="D14104" s="4"/>
    </row>
    <row collapsed="" customFormat="false" customHeight="1" hidden="" ht="14" outlineLevel="0" r="14105">
      <c r="A14105" s="3" t="inlineStr">
        <is>
          <t>14061</t>
        </is>
      </c>
      <c r="B14105" s="4" t="s">
        <f>=HYPERLINK("http://anyluxury.ru/shop/odezhda/futbolki/futbolka-tbolka-180-seriy-melanzh-699411/" , "6994.11 Футболка T-Bolka 180 серый меланж, размер L")</f>
      </c>
      <c r="C14105" s="4" t="n">
        <v>629.00</v>
      </c>
      <c r="D14105" s="4"/>
    </row>
    <row collapsed="" customFormat="false" customHeight="1" hidden="" ht="14" outlineLevel="0" r="14106">
      <c r="A14106" s="3" t="inlineStr">
        <is>
          <t>14062</t>
        </is>
      </c>
      <c r="B14106" s="4" t="s">
        <f>=HYPERLINK("http://anyluxury.ru/shop/odezhda/futbolki/futbolka-tbolka-180-seriy-melanzh-699411/" , "6994.11 Футболка T-Bolka 180 серый меланж, размер XL")</f>
      </c>
      <c r="C14106" s="4" t="n">
        <v>629.00</v>
      </c>
      <c r="D14106" s="4"/>
    </row>
    <row collapsed="" customFormat="false" customHeight="1" hidden="" ht="14" outlineLevel="0" r="14107">
      <c r="A14107" s="3" t="inlineStr">
        <is>
          <t>14063</t>
        </is>
      </c>
      <c r="B14107" s="4" t="s">
        <f>=HYPERLINK("http://anyluxury.ru/shop/odezhda/futbolki/futbolka-tbolka-180-seriy-melanzh-699411/" , "6994.11 Футболка T-Bolka 180 серый меланж, размер XXL")</f>
      </c>
      <c r="C14107" s="4" t="n">
        <v>629.00</v>
      </c>
      <c r="D14107" s="4"/>
    </row>
    <row collapsed="" customFormat="false" customHeight="1" hidden="" ht="14" outlineLevel="0" r="14108">
      <c r="A14108" s="3" t="inlineStr">
        <is>
          <t>14064</t>
        </is>
      </c>
      <c r="B14108" s="4" t="s">
        <f>=HYPERLINK("http://anyluxury.ru/shop/odezhda/futbolki/futbolka-tbolka-180-seriy-melanzh-699411/" , "6994.11 Футболка T-Bolka 180 серый меланж, размер 3XL")</f>
      </c>
      <c r="C14108" s="4" t="n">
        <v>629.00</v>
      </c>
      <c r="D14108" s="4"/>
    </row>
    <row collapsed="" customFormat="false" customHeight="1" hidden="" ht="14" outlineLevel="0" r="14109">
      <c r="A14109" s="3" t="inlineStr">
        <is>
          <t>14065</t>
        </is>
      </c>
      <c r="B14109" s="4" t="s">
        <f>=HYPERLINK("http://anyluxury.ru/shop/odezhda/futbolki/futbolka-tbolka-180-seriy-melanzh-699411/" , "6994.11 Футболка T-Bolka 180 серый меланж, размер 4XL")</f>
      </c>
      <c r="C14109" s="4" t="n">
        <v>629.00</v>
      </c>
      <c r="D14109" s="4"/>
    </row>
    <row collapsed="" customFormat="false" customHeight="1" hidden="" ht="14" outlineLevel="0" r="14110">
      <c r="A14110" s="3" t="inlineStr">
        <is>
          <t>14066</t>
        </is>
      </c>
      <c r="B14110" s="4" t="s">
        <f>=HYPERLINK("http://anyluxury.ru/shop/odezhda/futbolki/futbolka-tbolka-180-seriy-melanzh-699411/" , "6994.11 Футболка T-Bolka 180 серый меланж, размер 5XL")</f>
      </c>
      <c r="C14110" s="4" t="n">
        <v>629.00</v>
      </c>
      <c r="D14110" s="4"/>
    </row>
    <row collapsed="" customFormat="false" customHeight="1" hidden="" ht="14" outlineLevel="0" r="14111">
      <c r="A14111" s="3" t="inlineStr">
        <is>
          <t>14067</t>
        </is>
      </c>
      <c r="B14111" s="4" t="s">
        <f>=HYPERLINK("http://anyluxury.ru/shop/odezhda/futbolki/futbolka-tbolka-180-krasnaya-699450/" , "6994.50 Футболка T-Bolka 180 красная, размер XXL")</f>
      </c>
      <c r="C14111" s="4" t="n">
        <v>629.00</v>
      </c>
      <c r="D14111" s="4"/>
    </row>
    <row collapsed="" customFormat="false" customHeight="1" hidden="" ht="14" outlineLevel="0" r="14112">
      <c r="A14112" s="3" t="inlineStr">
        <is>
          <t>14068</t>
        </is>
      </c>
      <c r="B14112" s="4" t="s">
        <f>=HYPERLINK("http://anyluxury.ru/shop/odezhda/futbolki/futbolka-tbolka-180-krasnaya-699450/" , "6994.50 Футболка T-Bolka 180 красная, размер XS")</f>
      </c>
      <c r="C14112" s="4" t="n">
        <v>629.00</v>
      </c>
      <c r="D14112" s="4"/>
    </row>
    <row collapsed="" customFormat="false" customHeight="1" hidden="" ht="14" outlineLevel="0" r="14113">
      <c r="A14113" s="3" t="inlineStr">
        <is>
          <t>14069</t>
        </is>
      </c>
      <c r="B14113" s="4" t="s">
        <f>=HYPERLINK("http://anyluxury.ru/shop/odezhda/futbolki/futbolka-tbolka-180-krasnaya-699450/" , "6994.50 Футболка T-Bolka 180 красная, размер S")</f>
      </c>
      <c r="C14113" s="4" t="n">
        <v>629.00</v>
      </c>
      <c r="D14113" s="4"/>
    </row>
    <row collapsed="" customFormat="false" customHeight="1" hidden="" ht="14" outlineLevel="0" r="14114">
      <c r="A14114" s="3" t="inlineStr">
        <is>
          <t>14070</t>
        </is>
      </c>
      <c r="B14114" s="4" t="s">
        <f>=HYPERLINK("http://anyluxury.ru/shop/odezhda/futbolki/futbolka-tbolka-180-krasnaya-699450/" , "6994.50 Футболка T-Bolka 180 красная, размер 3XL")</f>
      </c>
      <c r="C14114" s="4" t="n">
        <v>629.00</v>
      </c>
      <c r="D14114" s="4"/>
    </row>
    <row collapsed="" customFormat="false" customHeight="1" hidden="" ht="14" outlineLevel="0" r="14115">
      <c r="A14115" s="3" t="inlineStr">
        <is>
          <t>14071</t>
        </is>
      </c>
      <c r="B14115" s="4" t="s">
        <f>=HYPERLINK("http://anyluxury.ru/shop/odezhda/futbolki/futbolka-tbolka-180-krasnaya-699450/" , "6994.50 Футболка T-Bolka 180 красная, размер 4XL")</f>
      </c>
      <c r="C14115" s="4" t="n">
        <v>629.00</v>
      </c>
      <c r="D14115" s="4"/>
    </row>
    <row collapsed="" customFormat="false" customHeight="1" hidden="" ht="14" outlineLevel="0" r="14116">
      <c r="A14116" s="3" t="inlineStr">
        <is>
          <t>14072</t>
        </is>
      </c>
      <c r="B14116" s="4" t="s">
        <f>=HYPERLINK("http://anyluxury.ru/shop/odezhda/futbolki/futbolka-tbolka-180-krasnaya-699450/" , "6994.50 Футболка T-Bolka 180 красная, размер XXL")</f>
      </c>
      <c r="C14116" s="4" t="n">
        <v>629.00</v>
      </c>
      <c r="D14116" s="4"/>
    </row>
    <row collapsed="" customFormat="false" customHeight="1" hidden="" ht="14" outlineLevel="0" r="14117">
      <c r="A14117" s="3" t="inlineStr">
        <is>
          <t>14073</t>
        </is>
      </c>
      <c r="B14117" s="4" t="s">
        <f>=HYPERLINK("http://anyluxury.ru/shop/odezhda/futbolki/futbolka-tbolka-180-chernaya-699430/" , "6994.30 Футболка T-Bolka 180 черная, размер XXL")</f>
      </c>
      <c r="C14117" s="4" t="n">
        <v>629.00</v>
      </c>
      <c r="D14117" s="4"/>
    </row>
    <row collapsed="" customFormat="false" customHeight="1" hidden="" ht="14" outlineLevel="0" r="14118">
      <c r="A14118" s="3" t="inlineStr">
        <is>
          <t>14074</t>
        </is>
      </c>
      <c r="B14118" s="4" t="s">
        <f>=HYPERLINK("http://anyluxury.ru/shop/odezhda/futbolki/futbolka-tbolka-180-chernaya-699430/" , "6994.30 Футболка T-Bolka 180 черная, размер 3XL")</f>
      </c>
      <c r="C14118" s="4" t="n">
        <v>629.00</v>
      </c>
      <c r="D14118" s="4"/>
    </row>
    <row collapsed="" customFormat="false" customHeight="1" hidden="" ht="14" outlineLevel="0" r="14119">
      <c r="A14119" s="3" t="inlineStr">
        <is>
          <t>14075</t>
        </is>
      </c>
      <c r="B14119" s="4" t="s">
        <f>=HYPERLINK("http://anyluxury.ru/shop/odezhda/futbolki/futbolka-tbolka-180-chernaya-699430/" , "6994.30 Футболка T-Bolka 180 черная, размер 4XL")</f>
      </c>
      <c r="C14119" s="4" t="n">
        <v>629.00</v>
      </c>
      <c r="D14119" s="4"/>
    </row>
    <row collapsed="" customFormat="false" customHeight="1" hidden="" ht="14" outlineLevel="0" r="14120">
      <c r="A14120" s="3" t="inlineStr">
        <is>
          <t>14076</t>
        </is>
      </c>
      <c r="B14120" s="4" t="s">
        <f>=HYPERLINK("http://anyluxury.ru/shop/odezhda/futbolki/futbolka-tbolka-180-chernaya-699430/" , "6994.30 Футболка T-Bolka 180 черная, размер 5XL")</f>
      </c>
      <c r="C14120" s="4" t="n">
        <v>629.00</v>
      </c>
      <c r="D14120" s="4"/>
    </row>
    <row collapsed="" customFormat="false" customHeight="1" hidden="" ht="14" outlineLevel="0" r="14121">
      <c r="A14121" s="3" t="inlineStr">
        <is>
          <t>14077</t>
        </is>
      </c>
      <c r="B14121" s="4" t="s">
        <f>=HYPERLINK("http://anyluxury.ru/shop/odezhda/futbolki/futbolka-tbolka-180-chernaya-699430/" , "6994.30 Футболка T-Bolka 180 черная, размер S")</f>
      </c>
      <c r="C14121" s="4" t="n">
        <v>629.00</v>
      </c>
      <c r="D14121" s="4"/>
    </row>
    <row collapsed="" customFormat="false" customHeight="1" hidden="" ht="14" outlineLevel="0" r="14122">
      <c r="A14122" s="3" t="inlineStr">
        <is>
          <t>14078</t>
        </is>
      </c>
      <c r="B14122" s="4" t="s">
        <f>=HYPERLINK("http://anyluxury.ru/shop/odezhda/futbolki/futbolka-tbolka-180-chernaya-699430/" , "6994.30 Футболка T-Bolka 180 черная, размер XS")</f>
      </c>
      <c r="C14122" s="4" t="n">
        <v>629.00</v>
      </c>
      <c r="D14122" s="4"/>
    </row>
    <row collapsed="" customFormat="false" customHeight="1" hidden="" ht="14" outlineLevel="0" r="14123">
      <c r="A14123" s="3" t="inlineStr">
        <is>
          <t>14079</t>
        </is>
      </c>
      <c r="B14123" s="4" t="s">
        <f>=HYPERLINK("http://anyluxury.ru/shop/odezhda/futbolki/futbolka-tbolka-180-chernaya-699430/" , "6994.30 Футболка T-Bolka 180 черная, размер M")</f>
      </c>
      <c r="C14123" s="4" t="n">
        <v>629.00</v>
      </c>
      <c r="D14123" s="4"/>
    </row>
    <row collapsed="" customFormat="false" customHeight="1" hidden="" ht="14" outlineLevel="0" r="14124">
      <c r="A14124" s="3" t="inlineStr">
        <is>
          <t>14080</t>
        </is>
      </c>
      <c r="B14124" s="4" t="s">
        <f>=HYPERLINK("http://anyluxury.ru/shop/odezhda/futbolki/futbolka-tbolka-180-chernaya-699430/" , "6994.30 Футболка T-Bolka 180 черная, размер 3XL")</f>
      </c>
      <c r="C14124" s="4" t="n">
        <v>629.00</v>
      </c>
      <c r="D14124" s="4"/>
    </row>
    <row collapsed="" customFormat="false" customHeight="1" hidden="" ht="14" outlineLevel="0" r="14125">
      <c r="A14125" s="3" t="inlineStr">
        <is>
          <t>14081</t>
        </is>
      </c>
      <c r="B14125" s="4" t="s">
        <f>=HYPERLINK("http://anyluxury.ru/shop/odezhda/futbolki/futbolka-tbolka-180-chernaya-699430/" , "6994.30 Футболка T-Bolka 180 черная, размер 4XL")</f>
      </c>
      <c r="C14125" s="4" t="n">
        <v>629.00</v>
      </c>
      <c r="D14125" s="4"/>
    </row>
    <row collapsed="" customFormat="false" customHeight="1" hidden="" ht="14" outlineLevel="0" r="14126">
      <c r="A14126" s="3" t="inlineStr">
        <is>
          <t>14082</t>
        </is>
      </c>
      <c r="B14126" s="4" t="s">
        <f>=HYPERLINK("http://anyluxury.ru/shop/odezhda/futbolki/futbolka-tbolka-180-chernaya-699430/" , "6994.30 Футболка T-Bolka 180 черная, размер 5XL")</f>
      </c>
      <c r="C14126" s="4" t="n">
        <v>629.00</v>
      </c>
      <c r="D14126" s="4"/>
    </row>
    <row collapsed="" customFormat="false" customHeight="1" hidden="" ht="14" outlineLevel="0" r="14127">
      <c r="A14127" s="3" t="inlineStr">
        <is>
          <t>14083</t>
        </is>
      </c>
      <c r="B14127" s="4" t="s">
        <f>=HYPERLINK("http://anyluxury.ru/shop/odezhda/futbolki/futbolka-tbolka-180-zheltaya-699480/" , "6994.80 Футболка T-Bolka 180 желтая, размер L")</f>
      </c>
      <c r="C14127" s="4" t="n">
        <v>629.00</v>
      </c>
      <c r="D14127" s="4"/>
    </row>
    <row collapsed="" customFormat="false" customHeight="1" hidden="" ht="14" outlineLevel="0" r="14128">
      <c r="A14128" s="3" t="inlineStr">
        <is>
          <t>14084</t>
        </is>
      </c>
      <c r="B14128" s="4" t="s">
        <f>=HYPERLINK("http://anyluxury.ru/shop/odezhda/futbolki/futbolka-tbolka-180-zheltaya-699480/" , "6994.80 Футболка T-Bolka 180 желтая, размер XL")</f>
      </c>
      <c r="C14128" s="4" t="n">
        <v>629.00</v>
      </c>
      <c r="D14128" s="4"/>
    </row>
    <row collapsed="" customFormat="false" customHeight="1" hidden="" ht="14" outlineLevel="0" r="14129">
      <c r="A14129" s="3" t="inlineStr">
        <is>
          <t>14085</t>
        </is>
      </c>
      <c r="B14129" s="4" t="s">
        <f>=HYPERLINK("http://anyluxury.ru/shop/odezhda/futbolki/futbolka-tbolka-180-zheltaya-699480/" , "6994.80 Футболка T-Bolka 180 желтая, размер XS")</f>
      </c>
      <c r="C14129" s="4" t="n">
        <v>629.00</v>
      </c>
      <c r="D14129" s="4"/>
    </row>
    <row collapsed="" customFormat="false" customHeight="1" hidden="" ht="14" outlineLevel="0" r="14130">
      <c r="A14130" s="3" t="inlineStr">
        <is>
          <t>14086</t>
        </is>
      </c>
      <c r="B14130" s="4" t="s">
        <f>=HYPERLINK("http://anyluxury.ru/shop/odezhda/futbolki/futbolka-tbolka-180-zheltaya-699480/" , "6994.80 Футболка T-Bolka 180 желтая, размер S")</f>
      </c>
      <c r="C14130" s="4" t="n">
        <v>629.00</v>
      </c>
      <c r="D14130" s="4"/>
    </row>
    <row collapsed="" customFormat="false" customHeight="1" hidden="" ht="14" outlineLevel="0" r="14131">
      <c r="A14131" s="3" t="inlineStr">
        <is>
          <t>14087</t>
        </is>
      </c>
      <c r="B14131" s="4" t="s">
        <f>=HYPERLINK("http://anyluxury.ru/shop/odezhda/futbolki/futbolka-tbolka-180-zheltaya-699480/" , "6994.80 Футболка T-Bolka 180 желтая, размер M")</f>
      </c>
      <c r="C14131" s="4" t="n">
        <v>629.00</v>
      </c>
      <c r="D14131" s="4"/>
    </row>
    <row collapsed="" customFormat="false" customHeight="1" hidden="" ht="14" outlineLevel="0" r="14132">
      <c r="A14132" s="3" t="inlineStr">
        <is>
          <t>14088</t>
        </is>
      </c>
      <c r="B14132" s="4" t="s">
        <f>=HYPERLINK("http://anyluxury.ru/shop/odezhda/futbolki/futbolka-tbolka-180-zheltaya-699480/" , "6994.80 Футболка T-Bolka 180 желтая, размер L")</f>
      </c>
      <c r="C14132" s="4" t="n">
        <v>629.00</v>
      </c>
      <c r="D14132" s="4"/>
    </row>
    <row collapsed="" customFormat="false" customHeight="1" hidden="" ht="14" outlineLevel="0" r="14133">
      <c r="A14133" s="3" t="inlineStr">
        <is>
          <t>14089</t>
        </is>
      </c>
      <c r="B14133" s="4" t="s">
        <f>=HYPERLINK("http://anyluxury.ru/shop/odezhda/futbolki/futbolka-tbolka-180-zheltaya-699480/" , "6994.80 Футболка T-Bolka 180 желтая, размер XL")</f>
      </c>
      <c r="C14133" s="4" t="n">
        <v>629.00</v>
      </c>
      <c r="D14133" s="4"/>
    </row>
    <row collapsed="" customFormat="false" customHeight="1" hidden="" ht="14" outlineLevel="0" r="14134">
      <c r="A14134" s="3" t="inlineStr">
        <is>
          <t>14090</t>
        </is>
      </c>
      <c r="B14134" s="4" t="s">
        <f>=HYPERLINK("http://anyluxury.ru/shop/odezhda/futbolki/futbolka-tbolka-180-zheltaya-699480/" , "6994.80 Футболка T-Bolka 180 желтая, размер XXL")</f>
      </c>
      <c r="C14134" s="4" t="n">
        <v>629.00</v>
      </c>
      <c r="D14134" s="4"/>
    </row>
    <row collapsed="" customFormat="false" customHeight="1" hidden="" ht="14" outlineLevel="0" r="14135">
      <c r="A14135" s="3" t="inlineStr">
        <is>
          <t>14091</t>
        </is>
      </c>
      <c r="B14135" s="4" t="s">
        <f>=HYPERLINK("http://anyluxury.ru/shop/odezhda/futbolki/futbolka-tbolka-180-zheltaya-699480/" , "6994.80 Футболка T-Bolka 180 желтая, размер 3XL")</f>
      </c>
      <c r="C14135" s="4" t="n">
        <v>629.00</v>
      </c>
      <c r="D14135" s="4"/>
    </row>
    <row collapsed="" customFormat="false" customHeight="1" hidden="" ht="14" outlineLevel="0" r="14136">
      <c r="A14136" s="3" t="inlineStr">
        <is>
          <t>14092</t>
        </is>
      </c>
      <c r="B14136" s="4" t="s">
        <f>=HYPERLINK("http://anyluxury.ru/shop/odezhda/futbolki/futbolka-tbolka-180-zheltaya-699480/" , "6994.80 Футболка T-Bolka 180 желтая, размер 4XL")</f>
      </c>
      <c r="C14136" s="4" t="n">
        <v>629.00</v>
      </c>
      <c r="D14136" s="4"/>
    </row>
    <row collapsed="" customFormat="false" customHeight="1" hidden="" ht="14" outlineLevel="0" r="14137">
      <c r="A14137" s="3" t="inlineStr">
        <is>
          <t>14093</t>
        </is>
      </c>
      <c r="B14137" s="4" t="s">
        <f>=HYPERLINK("http://anyluxury.ru/shop/odezhda/futbolki/futbolka-tbolka-180-biryuzovaya-699442/" , "6994.42 Футболка T-Bolka 180 бирюзовая, размер XXL")</f>
      </c>
      <c r="C14137" s="4" t="n">
        <v>629.00</v>
      </c>
      <c r="D14137" s="4"/>
    </row>
    <row collapsed="" customFormat="false" customHeight="1" hidden="" ht="14" outlineLevel="0" r="14138">
      <c r="A14138" s="3" t="inlineStr">
        <is>
          <t>14094</t>
        </is>
      </c>
      <c r="B14138" s="4" t="s">
        <f>=HYPERLINK("http://anyluxury.ru/shop/odezhda/futbolki/futbolka-tbolka-180-biryuzovaya-699442/" , "6994.42 Футболка T-Bolka 180 бирюзовая, размер XS")</f>
      </c>
      <c r="C14138" s="4" t="n">
        <v>629.00</v>
      </c>
      <c r="D14138" s="4"/>
    </row>
    <row collapsed="" customFormat="false" customHeight="1" hidden="" ht="14" outlineLevel="0" r="14139">
      <c r="A14139" s="3" t="inlineStr">
        <is>
          <t>14095</t>
        </is>
      </c>
      <c r="B14139" s="4" t="s">
        <f>=HYPERLINK("http://anyluxury.ru/shop/odezhda/futbolki/futbolka-tbolka-180-biryuzovaya-699442/" , "6994.42 Футболка T-Bolka 180 бирюзовая, размер S")</f>
      </c>
      <c r="C14139" s="4" t="n">
        <v>629.00</v>
      </c>
      <c r="D14139" s="4"/>
    </row>
    <row collapsed="" customFormat="false" customHeight="1" hidden="" ht="14" outlineLevel="0" r="14140">
      <c r="A14140" s="3" t="inlineStr">
        <is>
          <t>14096</t>
        </is>
      </c>
      <c r="B14140" s="4" t="s">
        <f>=HYPERLINK("http://anyluxury.ru/shop/odezhda/futbolki/futbolka-tbolka-180-biryuzovaya-699442/" , "6994.42 Футболка T-Bolka 180 бирюзовая, размер 3XL")</f>
      </c>
      <c r="C14140" s="4" t="n">
        <v>629.00</v>
      </c>
      <c r="D14140" s="4"/>
    </row>
    <row collapsed="" customFormat="false" customHeight="1" hidden="" ht="14" outlineLevel="0" r="14141">
      <c r="A14141" s="3" t="inlineStr">
        <is>
          <t>14097</t>
        </is>
      </c>
      <c r="B14141" s="4" t="s">
        <f>=HYPERLINK("http://anyluxury.ru/shop/odezhda/futbolki/futbolka-tbolka-180-biryuzovaya-699442/" , "6994.42 Футболка T-Bolka 180 бирюзовая, размер 4XL")</f>
      </c>
      <c r="C14141" s="4" t="n">
        <v>629.00</v>
      </c>
      <c r="D14141" s="4"/>
    </row>
    <row collapsed="" customFormat="false" customHeight="1" hidden="" ht="14" outlineLevel="0" r="14142">
      <c r="A14142" s="3" t="inlineStr">
        <is>
          <t>14098</t>
        </is>
      </c>
      <c r="B14142" s="4" t="s">
        <f>=HYPERLINK("http://anyluxury.ru/shop/odezhda/futbolki/futbolka-tbolka-180-biryuzovaya-699442/" , "6994.42 Футболка T-Bolka 180 бирюзовая, размер XXL")</f>
      </c>
      <c r="C14142" s="4" t="n">
        <v>629.00</v>
      </c>
      <c r="D14142" s="4"/>
    </row>
    <row collapsed="" customFormat="false" customHeight="1" hidden="" ht="14" outlineLevel="0" r="14143">
      <c r="A14143" s="3" t="inlineStr">
        <is>
          <t>14099</t>
        </is>
      </c>
      <c r="B14143" s="4" t="s">
        <f>=HYPERLINK("http://anyluxury.ru/shop/odezhda/futbolki/futbolka-tbolka-180-yarkosinyaya-699444/" , "6994.44 Футболка T-Bolka 180 ярко-синяя, размер XS")</f>
      </c>
      <c r="C14143" s="4" t="n">
        <v>629.00</v>
      </c>
      <c r="D14143" s="4"/>
    </row>
    <row collapsed="" customFormat="false" customHeight="1" hidden="" ht="14" outlineLevel="0" r="14144">
      <c r="A14144" s="3" t="inlineStr">
        <is>
          <t>14100</t>
        </is>
      </c>
      <c r="B14144" s="4" t="s">
        <f>=HYPERLINK("http://anyluxury.ru/shop/odezhda/futbolki/futbolka-tbolka-180-yarkosinyaya-699444/" , "6994.44 Футболка T-Bolka 180 ярко-синяя, размер S")</f>
      </c>
      <c r="C14144" s="4" t="n">
        <v>629.00</v>
      </c>
      <c r="D14144" s="4"/>
    </row>
    <row collapsed="" customFormat="false" customHeight="1" hidden="" ht="14" outlineLevel="0" r="14145">
      <c r="A14145" s="3" t="inlineStr">
        <is>
          <t>14101</t>
        </is>
      </c>
      <c r="B14145" s="4" t="s">
        <f>=HYPERLINK("http://anyluxury.ru/shop/odezhda/futbolki/futbolka-tbolka-180-yarkosinyaya-699444/" , "6994.44 Футболка T-Bolka 180 ярко-синяя, размер M")</f>
      </c>
      <c r="C14145" s="4" t="n">
        <v>629.00</v>
      </c>
      <c r="D14145" s="4"/>
    </row>
    <row collapsed="" customFormat="false" customHeight="1" hidden="" ht="14" outlineLevel="0" r="14146">
      <c r="A14146" s="3" t="inlineStr">
        <is>
          <t>14102</t>
        </is>
      </c>
      <c r="B14146" s="4" t="s">
        <f>=HYPERLINK("http://anyluxury.ru/shop/odezhda/futbolki/futbolka-tbolka-180-yarkosinyaya-699444/" , "6994.44 Футболка T-Bolka 180 ярко-синяя, размер XXL")</f>
      </c>
      <c r="C14146" s="4" t="n">
        <v>629.00</v>
      </c>
      <c r="D14146" s="4"/>
    </row>
    <row collapsed="" customFormat="false" customHeight="1" hidden="" ht="14" outlineLevel="0" r="14147">
      <c r="A14147" s="3" t="inlineStr">
        <is>
          <t>14103</t>
        </is>
      </c>
      <c r="B14147" s="4" t="s">
        <f>=HYPERLINK("http://anyluxury.ru/shop/odezhda/futbolki/futbolka-tbolka-180-yarkosinyaya-699444/" , "6994.44 Футболка T-Bolka 180 ярко-синяя, размер 4XL")</f>
      </c>
      <c r="C14147" s="4" t="n">
        <v>629.00</v>
      </c>
      <c r="D14147" s="4"/>
    </row>
    <row collapsed="" customFormat="false" customHeight="1" hidden="" ht="14" outlineLevel="0" r="14148">
      <c r="A14148" s="3" t="inlineStr">
        <is>
          <t>14104</t>
        </is>
      </c>
      <c r="B14148" s="4" t="s">
        <f>=HYPERLINK("http://anyluxury.ru/shop/odezhda/futbolki/futbolka-tbolka-180-yarkosinyaya-699444/" , "6994.44 Футболка T-Bolka 180 ярко-синяя, размер 5XL")</f>
      </c>
      <c r="C14148" s="4" t="n">
        <v>629.00</v>
      </c>
      <c r="D14148" s="4"/>
    </row>
    <row collapsed="" customFormat="false" customHeight="1" hidden="" ht="14" outlineLevel="0" r="14149">
      <c r="A14149" s="3" t="inlineStr">
        <is>
          <t>14105</t>
        </is>
      </c>
      <c r="B14149" s="4" t="s">
        <f>=HYPERLINK("http://anyluxury.ru/shop/odezhda/futbolki/futbolka-muzhskaya-udlinennaya-magnum-men-chernaya-02999309/" , "02999309 Футболка мужская удлиненная MAGNUM MEN черная, размер XS")</f>
      </c>
      <c r="C14149" s="4" t="n">
        <v>1285.00</v>
      </c>
      <c r="D14149" s="4"/>
    </row>
    <row collapsed="" customFormat="false" customHeight="1" hidden="" ht="14" outlineLevel="0" r="14150">
      <c r="A14150" s="3" t="inlineStr">
        <is>
          <t>14106</t>
        </is>
      </c>
      <c r="B14150" s="4" t="s">
        <f>=HYPERLINK("http://anyluxury.ru/shop/odezhda/futbolki/futbolka-muzhskaya-udlinennaya-magnum-men-chernaya-02999309/" , "02999309 Футболка мужская удлиненная MAGNUM MEN черная, размер S")</f>
      </c>
      <c r="C14150" s="4" t="n">
        <v>1285.00</v>
      </c>
      <c r="D14150" s="4"/>
    </row>
    <row collapsed="" customFormat="false" customHeight="1" hidden="" ht="14" outlineLevel="0" r="14151">
      <c r="A14151" s="3" t="inlineStr">
        <is>
          <t>14107</t>
        </is>
      </c>
      <c r="B14151" s="4" t="s">
        <f>=HYPERLINK("http://anyluxury.ru/shop/odezhda/futbolki/futbolka-muzhskaya-udlinennaya-magnum-men-belaya-02999102/" , "02999102 Футболка мужская удлиненная MAGNUM MEN белая, размер XS")</f>
      </c>
      <c r="C14151" s="4" t="n">
        <v>1154.00</v>
      </c>
      <c r="D14151" s="4"/>
    </row>
    <row collapsed="" customFormat="false" customHeight="1" hidden="" ht="14" outlineLevel="0" r="14152">
      <c r="A14152" s="3" t="inlineStr">
        <is>
          <t>14108</t>
        </is>
      </c>
      <c r="B14152" s="4" t="s">
        <f>=HYPERLINK("http://anyluxury.ru/shop/odezhda/futbolki/futbolka-muzhskaya-udlinennaya-magnum-men-belaya-02999102/" , "02999102 Футболка мужская удлиненная MAGNUM MEN белая, размер S")</f>
      </c>
      <c r="C14152" s="4" t="n">
        <v>1154.00</v>
      </c>
      <c r="D14152" s="4"/>
    </row>
    <row collapsed="" customFormat="false" customHeight="1" hidden="" ht="14" outlineLevel="0" r="14153">
      <c r="A14153" s="3" t="inlineStr">
        <is>
          <t>14109</t>
        </is>
      </c>
      <c r="B14153" s="4" t="s">
        <f>=HYPERLINK("http://anyluxury.ru/shop/odezhda/futbolki/futbolka-muzhskaya-udlinennaya-magnum-men-belaya-02999102/" , "02999102 Футболка мужская удлиненная MAGNUM MEN белая, размер M")</f>
      </c>
      <c r="C14153" s="4" t="n">
        <v>1154.00</v>
      </c>
      <c r="D14153" s="4"/>
    </row>
    <row collapsed="" customFormat="false" customHeight="1" hidden="" ht="14" outlineLevel="0" r="14154">
      <c r="A14154" s="3" t="inlineStr">
        <is>
          <t>14110</t>
        </is>
      </c>
      <c r="B14154" s="4" t="s">
        <f>=HYPERLINK("http://anyluxury.ru/shop/odezhda/futbolki/futbolka-muzhskaya-udlinennaya-magnum-men-belaya-02999102/" , "02999102 Футболка мужская удлиненная MAGNUM MEN белая, размер XL")</f>
      </c>
      <c r="C14154" s="4" t="n">
        <v>1154.00</v>
      </c>
      <c r="D14154" s="4"/>
    </row>
    <row collapsed="" customFormat="false" customHeight="1" hidden="" ht="14" outlineLevel="0" r="14155">
      <c r="A14155" s="3" t="inlineStr">
        <is>
          <t>14111</t>
        </is>
      </c>
      <c r="B14155" s="4" t="s">
        <f>=HYPERLINK("http://anyluxury.ru/shop/odezhda/futbolki/futbolka-muzhskaya-martin-men-chernaya-02855309/" , "02855309 Футболка мужская MARTIN MEN черная, размер S")</f>
      </c>
      <c r="C14155" s="4" t="n">
        <v>919.00</v>
      </c>
      <c r="D14155" s="4"/>
    </row>
    <row collapsed="" customFormat="false" customHeight="1" hidden="" ht="14" outlineLevel="0" r="14156">
      <c r="A14156" s="3" t="inlineStr">
        <is>
          <t>14112</t>
        </is>
      </c>
      <c r="B14156" s="4" t="s">
        <f>=HYPERLINK("http://anyluxury.ru/shop/odezhda/futbolki/futbolka-muzhskaya-martin-men-temnosinyaya-02855319/" , "02855319 Футболка мужская MARTIN MEN темно-синяя, размер S")</f>
      </c>
      <c r="C14156" s="4" t="n">
        <v>919.00</v>
      </c>
      <c r="D14156" s="4"/>
    </row>
    <row collapsed="" customFormat="false" customHeight="1" hidden="" ht="14" outlineLevel="0" r="14157">
      <c r="A14157" s="3" t="inlineStr">
        <is>
          <t>14113</t>
        </is>
      </c>
      <c r="B14157" s="4" t="s">
        <f>=HYPERLINK("http://anyluxury.ru/shop/odezhda/futbolki/futbolka-muzhskaya-martin-men-temnosinyaya-02855319/" , "02855319 Футболка мужская MARTIN MEN темно-синяя, размер M")</f>
      </c>
      <c r="C14157" s="4" t="n">
        <v>919.00</v>
      </c>
      <c r="D14157" s="4"/>
    </row>
    <row collapsed="" customFormat="false" customHeight="1" hidden="" ht="14" outlineLevel="0" r="14158">
      <c r="A14158" s="3" t="inlineStr">
        <is>
          <t>14114</t>
        </is>
      </c>
      <c r="B14158" s="4" t="s">
        <f>=HYPERLINK("http://anyluxury.ru/shop/odezhda/futbolki/futbolka-muzhskaya-martin-men-temnosinyaya-02855319/" , "02855319 Футболка мужская MARTIN MEN темно-синяя, размер XL")</f>
      </c>
      <c r="C14158" s="4" t="n">
        <v>919.00</v>
      </c>
      <c r="D14158" s="4"/>
    </row>
    <row collapsed="" customFormat="false" customHeight="1" hidden="" ht="14" outlineLevel="0" r="14159">
      <c r="A14159" s="3" t="inlineStr">
        <is>
          <t>14115</t>
        </is>
      </c>
      <c r="B14159" s="4" t="s">
        <f>=HYPERLINK("http://anyluxury.ru/shop/odezhda/futbolki/futbolka-muzhskaya-martin-men-temnosinyaya-02855319/" , "02855319 Футболка мужская MARTIN MEN темно-синяя, размер XXL")</f>
      </c>
      <c r="C14159" s="4" t="n">
        <v>919.00</v>
      </c>
      <c r="D14159" s="4"/>
    </row>
    <row collapsed="" customFormat="false" customHeight="1" hidden="" ht="14" outlineLevel="0" r="14160">
      <c r="A14160" s="3" t="inlineStr">
        <is>
          <t>14116</t>
        </is>
      </c>
      <c r="B14160" s="4" t="s">
        <f>=HYPERLINK("http://anyluxury.ru/shop/odezhda/futbolki/futbolka-muzhskaya-martin-men-seriy-melanzh-02855350/" , "02855350 Футболка мужская MARTIN MEN серый меланж, размер S")</f>
      </c>
      <c r="C14160" s="4" t="n">
        <v>919.00</v>
      </c>
      <c r="D14160" s="4"/>
    </row>
    <row collapsed="" customFormat="false" customHeight="1" hidden="" ht="14" outlineLevel="0" r="14161">
      <c r="A14161" s="3" t="inlineStr">
        <is>
          <t>14117</t>
        </is>
      </c>
      <c r="B14161" s="4" t="s">
        <f>=HYPERLINK("http://anyluxury.ru/shop/odezhda/futbolki/futbolka-muzhskaya-martin-men-seriy-melanzh-02855350/" , "02855350 Футболка мужская MARTIN MEN серый меланж, размер XXL")</f>
      </c>
      <c r="C14161" s="4" t="n">
        <v>919.00</v>
      </c>
      <c r="D14161" s="4"/>
    </row>
    <row collapsed="" customFormat="false" customHeight="1" hidden="" ht="14" outlineLevel="0" r="14162">
      <c r="A14162" s="3" t="inlineStr">
        <is>
          <t>14118</t>
        </is>
      </c>
      <c r="B14162" s="4" t="s">
        <f>=HYPERLINK("http://anyluxury.ru/shop/odezhda/futbolki/futbolka-muzhskaya-martin-men-bordovaya-02855167/" , "02855167 Футболка мужская MARTIN MEN бордовая, размер XXL")</f>
      </c>
      <c r="C14162" s="4" t="n">
        <v>726.00</v>
      </c>
      <c r="D14162" s="4"/>
    </row>
    <row collapsed="" customFormat="false" customHeight="1" hidden="" ht="14" outlineLevel="0" r="14163">
      <c r="A14163" s="3" t="inlineStr">
        <is>
          <t>14119</t>
        </is>
      </c>
      <c r="B14163" s="4" t="s">
        <f>=HYPERLINK("http://anyluxury.ru/shop/odezhda/futbolki/futbolka-muzhskaya-martin-men-belaya-02855102/" , "02855102 Футболка мужская MARTIN MEN белая, размер S")</f>
      </c>
      <c r="C14163" s="4" t="n">
        <v>859.00</v>
      </c>
      <c r="D14163" s="4"/>
    </row>
    <row collapsed="" customFormat="false" customHeight="1" hidden="" ht="14" outlineLevel="0" r="14164">
      <c r="A14164" s="3" t="inlineStr">
        <is>
          <t>14120</t>
        </is>
      </c>
      <c r="B14164" s="4" t="s">
        <f>=HYPERLINK("http://anyluxury.ru/shop/odezhda/futbolki/futbolka-muzhskaya-martin-men-belaya-02855102/" , "02855102 Футболка мужская MARTIN MEN белая, размер XXL")</f>
      </c>
      <c r="C14164" s="4" t="n">
        <v>859.00</v>
      </c>
      <c r="D14164" s="4"/>
    </row>
    <row collapsed="" customFormat="false" customHeight="1" hidden="" ht="14" outlineLevel="0" r="14165">
      <c r="A14165" s="3" t="inlineStr">
        <is>
          <t>14121</t>
        </is>
      </c>
      <c r="B14165" s="4" t="s">
        <f>=HYPERLINK("http://anyluxury.ru/shop/odezhda/futbolki/futbolka-zhenskaya-martin-women-chernaya-02856309/" , "02856309 Футболка женская MARTIN WOMEN черная, размер XS")</f>
      </c>
      <c r="C14165" s="4" t="n">
        <v>881.00</v>
      </c>
      <c r="D14165" s="4"/>
    </row>
    <row collapsed="" customFormat="false" customHeight="1" hidden="" ht="14" outlineLevel="0" r="14166">
      <c r="A14166" s="3" t="inlineStr">
        <is>
          <t>14122</t>
        </is>
      </c>
      <c r="B14166" s="4" t="s">
        <f>=HYPERLINK("http://anyluxury.ru/shop/odezhda/futbolki/futbolka-zhenskaya-martin-women-chernaya-02856309/" , "02856309 Футболка женская MARTIN WOMEN черная, размер M")</f>
      </c>
      <c r="C14166" s="4" t="n">
        <v>881.00</v>
      </c>
      <c r="D14166" s="4"/>
    </row>
    <row collapsed="" customFormat="false" customHeight="1" hidden="" ht="14" outlineLevel="0" r="14167">
      <c r="A14167" s="3" t="inlineStr">
        <is>
          <t>14123</t>
        </is>
      </c>
      <c r="B14167" s="4" t="s">
        <f>=HYPERLINK("http://anyluxury.ru/shop/odezhda/futbolki/futbolka-zhenskaya-martin-women-chernaya-02856309/" , "02856309 Футболка женская MARTIN WOMEN черная, размер L")</f>
      </c>
      <c r="C14167" s="4" t="n">
        <v>881.00</v>
      </c>
      <c r="D14167" s="4"/>
    </row>
    <row collapsed="" customFormat="false" customHeight="1" hidden="" ht="14" outlineLevel="0" r="14168">
      <c r="A14168" s="3" t="inlineStr">
        <is>
          <t>14124</t>
        </is>
      </c>
      <c r="B14168" s="4" t="s">
        <f>=HYPERLINK("http://anyluxury.ru/shop/odezhda/futbolki/futbolka-zhenskaya-martin-women-chernaya-02856309/" , "02856309 Футболка женская MARTIN WOMEN черная, размер XL")</f>
      </c>
      <c r="C14168" s="4" t="n">
        <v>881.00</v>
      </c>
      <c r="D14168" s="4"/>
    </row>
    <row collapsed="" customFormat="false" customHeight="1" hidden="" ht="14" outlineLevel="0" r="14169">
      <c r="A14169" s="3" t="inlineStr">
        <is>
          <t>14125</t>
        </is>
      </c>
      <c r="B14169" s="4" t="s">
        <f>=HYPERLINK("http://anyluxury.ru/shop/odezhda/futbolki/futbolka-zhenskaya-martin-women-temnosinyaya-02856319/" , "02856319 Футболка женская MARTIN WOMEN темно-синяя, размер XS")</f>
      </c>
      <c r="C14169" s="4" t="n">
        <v>881.00</v>
      </c>
      <c r="D14169" s="4"/>
    </row>
    <row collapsed="" customFormat="false" customHeight="1" hidden="" ht="14" outlineLevel="0" r="14170">
      <c r="A14170" s="3" t="inlineStr">
        <is>
          <t>14126</t>
        </is>
      </c>
      <c r="B14170" s="4" t="s">
        <f>=HYPERLINK("http://anyluxury.ru/shop/odezhda/futbolki/futbolka-zhenskaya-martin-women-temnosinyaya-02856319/" , "02856319 Футболка женская MARTIN WOMEN темно-синяя, размер S")</f>
      </c>
      <c r="C14170" s="4" t="n">
        <v>881.00</v>
      </c>
      <c r="D14170" s="4"/>
    </row>
    <row collapsed="" customFormat="false" customHeight="1" hidden="" ht="14" outlineLevel="0" r="14171">
      <c r="A14171" s="3" t="inlineStr">
        <is>
          <t>14127</t>
        </is>
      </c>
      <c r="B14171" s="4" t="s">
        <f>=HYPERLINK("http://anyluxury.ru/shop/odezhda/futbolki/futbolka-zhenskaya-martin-women-temnosinyaya-02856319/" , "02856319 Футболка женская MARTIN WOMEN темно-синяя, размер XL")</f>
      </c>
      <c r="C14171" s="4" t="n">
        <v>881.00</v>
      </c>
      <c r="D14171" s="4"/>
    </row>
    <row collapsed="" customFormat="false" customHeight="1" hidden="" ht="14" outlineLevel="0" r="14172">
      <c r="A14172" s="3" t="inlineStr">
        <is>
          <t>14128</t>
        </is>
      </c>
      <c r="B14172" s="4" t="s">
        <f>=HYPERLINK("http://anyluxury.ru/shop/odezhda/futbolki/futbolka-zhenskaya-martin-women-seriy-melanzh-02856350/" , "02856350 Футболка женская MARTIN WOMEN серый меланж, размер XS")</f>
      </c>
      <c r="C14172" s="4" t="n">
        <v>688.00</v>
      </c>
      <c r="D14172" s="4"/>
    </row>
    <row collapsed="" customFormat="false" customHeight="1" hidden="" ht="14" outlineLevel="0" r="14173">
      <c r="A14173" s="3" t="inlineStr">
        <is>
          <t>14129</t>
        </is>
      </c>
      <c r="B14173" s="4" t="s">
        <f>=HYPERLINK("http://anyluxury.ru/shop/odezhda/futbolki/futbolka-zhenskaya-martin-women-seriy-melanzh-02856350/" , "02856350 Футболка женская MARTIN WOMEN серый меланж, размер S")</f>
      </c>
      <c r="C14173" s="4" t="n">
        <v>688.00</v>
      </c>
      <c r="D14173" s="4"/>
    </row>
    <row collapsed="" customFormat="false" customHeight="1" hidden="" ht="14" outlineLevel="0" r="14174">
      <c r="A14174" s="3" t="inlineStr">
        <is>
          <t>14130</t>
        </is>
      </c>
      <c r="B14174" s="4" t="s">
        <f>=HYPERLINK("http://anyluxury.ru/shop/odezhda/futbolki/futbolka-zhenskaya-martin-women-seriy-melanzh-02856350/" , "02856350 Футболка женская MARTIN WOMEN серый меланж, размер M")</f>
      </c>
      <c r="C14174" s="4" t="n">
        <v>688.00</v>
      </c>
      <c r="D14174" s="4"/>
    </row>
    <row collapsed="" customFormat="false" customHeight="1" hidden="" ht="14" outlineLevel="0" r="14175">
      <c r="A14175" s="3" t="inlineStr">
        <is>
          <t>14131</t>
        </is>
      </c>
      <c r="B14175" s="4" t="s">
        <f>=HYPERLINK("http://anyluxury.ru/shop/odezhda/futbolki/futbolka-zhenskaya-martin-women-seriy-melanzh-02856350/" , "02856350 Футболка женская MARTIN WOMEN серый меланж, размер L")</f>
      </c>
      <c r="C14175" s="4" t="n">
        <v>688.00</v>
      </c>
      <c r="D14175" s="4"/>
    </row>
    <row collapsed="" customFormat="false" customHeight="1" hidden="" ht="14" outlineLevel="0" r="14176">
      <c r="A14176" s="3" t="inlineStr">
        <is>
          <t>14132</t>
        </is>
      </c>
      <c r="B14176" s="4" t="s">
        <f>=HYPERLINK("http://anyluxury.ru/shop/odezhda/futbolki/futbolka-zhenskaya-martin-women-seriy-melanzh-02856350/" , "02856350 Футболка женская MARTIN WOMEN серый меланж, размер XL")</f>
      </c>
      <c r="C14176" s="4" t="n">
        <v>688.00</v>
      </c>
      <c r="D14176" s="4"/>
    </row>
    <row collapsed="" customFormat="false" customHeight="1" hidden="" ht="14" outlineLevel="0" r="14177">
      <c r="A14177" s="3" t="inlineStr">
        <is>
          <t>14133</t>
        </is>
      </c>
      <c r="B14177" s="4" t="s">
        <f>=HYPERLINK("http://anyluxury.ru/shop/odezhda/futbolki/futbolka-zhenskaya-martin-women-bordovaya-02856167/" , "02856167 Футболка женская MARTIN WOMEN бордовая, размер XS")</f>
      </c>
      <c r="C14177" s="4" t="n">
        <v>688.00</v>
      </c>
      <c r="D14177" s="4"/>
    </row>
    <row collapsed="" customFormat="false" customHeight="1" hidden="" ht="14" outlineLevel="0" r="14178">
      <c r="A14178" s="3" t="inlineStr">
        <is>
          <t>14134</t>
        </is>
      </c>
      <c r="B14178" s="4" t="s">
        <f>=HYPERLINK("http://anyluxury.ru/shop/odezhda/futbolki/futbolka-zhenskaya-martin-women-bordovaya-02856167/" , "02856167 Футболка женская MARTIN WOMEN бордовая, размер S")</f>
      </c>
      <c r="C14178" s="4" t="n">
        <v>688.00</v>
      </c>
      <c r="D14178" s="4"/>
    </row>
    <row collapsed="" customFormat="false" customHeight="1" hidden="" ht="14" outlineLevel="0" r="14179">
      <c r="A14179" s="3" t="inlineStr">
        <is>
          <t>14135</t>
        </is>
      </c>
      <c r="B14179" s="4" t="s">
        <f>=HYPERLINK("http://anyluxury.ru/shop/odezhda/futbolki/futbolka-zhenskaya-martin-women-bordovaya-02856167/" , "02856167 Футболка женская MARTIN WOMEN бордовая, размер M")</f>
      </c>
      <c r="C14179" s="4" t="n">
        <v>688.00</v>
      </c>
      <c r="D14179" s="4"/>
    </row>
    <row collapsed="" customFormat="false" customHeight="1" hidden="" ht="14" outlineLevel="0" r="14180">
      <c r="A14180" s="3" t="inlineStr">
        <is>
          <t>14136</t>
        </is>
      </c>
      <c r="B14180" s="4" t="s">
        <f>=HYPERLINK("http://anyluxury.ru/shop/odezhda/futbolki/futbolka-zhenskaya-martin-women-bordovaya-02856167/" , "02856167 Футболка женская MARTIN WOMEN бордовая, размер L")</f>
      </c>
      <c r="C14180" s="4" t="n">
        <v>688.00</v>
      </c>
      <c r="D14180" s="4"/>
    </row>
    <row collapsed="" customFormat="false" customHeight="1" hidden="" ht="14" outlineLevel="0" r="14181">
      <c r="A14181" s="3" t="inlineStr">
        <is>
          <t>14137</t>
        </is>
      </c>
      <c r="B14181" s="4" t="s">
        <f>=HYPERLINK("http://anyluxury.ru/shop/odezhda/futbolki/futbolka-zhenskaya-martin-women-bordovaya-02856167/" , "02856167 Футболка женская MARTIN WOMEN бордовая, размер XL")</f>
      </c>
      <c r="C14181" s="4" t="n">
        <v>688.00</v>
      </c>
      <c r="D14181" s="4"/>
    </row>
    <row collapsed="" customFormat="false" customHeight="1" hidden="" ht="14" outlineLevel="0" r="14182">
      <c r="A14182" s="3" t="inlineStr">
        <is>
          <t>14138</t>
        </is>
      </c>
      <c r="B14182" s="4" t="s">
        <f>=HYPERLINK("http://anyluxury.ru/shop/odezhda/futbolki/futbolka-zhenskaya-martin-women-belaya-02856102/" , "02856102 Футболка женская MARTIN WOMEN белая, размер XS")</f>
      </c>
      <c r="C14182" s="4" t="n">
        <v>827.00</v>
      </c>
      <c r="D14182" s="4"/>
    </row>
    <row collapsed="" customFormat="false" customHeight="1" hidden="" ht="14" outlineLevel="0" r="14183">
      <c r="A14183" s="3" t="inlineStr">
        <is>
          <t>14139</t>
        </is>
      </c>
      <c r="B14183" s="4" t="s">
        <f>=HYPERLINK("http://anyluxury.ru/shop/odezhda/futbolki/futbolka-zhenskaya-martin-women-belaya-02856102/" , "02856102 Футболка женская MARTIN WOMEN белая, размер M")</f>
      </c>
      <c r="C14183" s="4" t="n">
        <v>827.00</v>
      </c>
      <c r="D14183" s="4"/>
    </row>
    <row collapsed="" customFormat="false" customHeight="1" hidden="" ht="14" outlineLevel="0" r="14184">
      <c r="A14184" s="3" t="inlineStr">
        <is>
          <t>14140</t>
        </is>
      </c>
      <c r="B14184" s="4" t="s">
        <f>=HYPERLINK("http://anyluxury.ru/shop/odezhda/futbolki/futbolka-zhenskaya-martin-women-belaya-02856102/" , "02856102 Футболка женская MARTIN WOMEN белая, размер XL")</f>
      </c>
      <c r="C14184" s="4" t="n">
        <v>827.00</v>
      </c>
      <c r="D14184" s="4"/>
    </row>
    <row collapsed="" customFormat="false" customHeight="1" hidden="" ht="14" outlineLevel="0" r="14185">
      <c r="A14185" s="3" t="inlineStr">
        <is>
          <t>14141</t>
        </is>
      </c>
      <c r="B14185" s="4" t="s">
        <f>=HYPERLINK("http://anyluxury.ru/shop/odezhda/futbolki/futbolka-muzhskaya-american-u-svetliy-melanzh-1114811/" , "11148.11 Футболка мужская AMERICAN U светлый меланж, размер S")</f>
      </c>
      <c r="C14185" s="4" t="n">
        <v>1285.00</v>
      </c>
      <c r="D14185" s="4"/>
    </row>
    <row collapsed="" customFormat="false" customHeight="1" hidden="" ht="14" outlineLevel="0" r="14186">
      <c r="A14186" s="3" t="inlineStr">
        <is>
          <t>14142</t>
        </is>
      </c>
      <c r="B14186" s="4" t="s">
        <f>=HYPERLINK("http://anyluxury.ru/shop/odezhda/futbolki/futbolka-muzhskaya-american-u-svetliy-melanzh-1114811/" , "11148.11 Футболка мужская AMERICAN U светлый меланж, размер M")</f>
      </c>
      <c r="C14186" s="4" t="n">
        <v>1285.00</v>
      </c>
      <c r="D14186" s="4"/>
    </row>
    <row collapsed="" customFormat="false" customHeight="1" hidden="" ht="14" outlineLevel="0" r="14187">
      <c r="A14187" s="3" t="inlineStr">
        <is>
          <t>14143</t>
        </is>
      </c>
      <c r="B14187" s="4" t="s">
        <f>=HYPERLINK("http://anyluxury.ru/shop/odezhda/futbolki/futbolka-muzhskaya-american-u-chernaya-1114830/" , "11148.30 Футболка мужская AMERICAN U черная, размер S")</f>
      </c>
      <c r="C14187" s="4" t="n">
        <v>1285.00</v>
      </c>
      <c r="D14187" s="4"/>
    </row>
    <row collapsed="" customFormat="false" customHeight="1" hidden="" ht="14" outlineLevel="0" r="14188">
      <c r="A14188" s="3" t="inlineStr">
        <is>
          <t>14144</t>
        </is>
      </c>
      <c r="B14188" s="4" t="s">
        <f>=HYPERLINK("http://anyluxury.ru/shop/odezhda/futbolki/futbolka-muzhskaya-american-u-chernaya-1114830/" , "11148.30 Футболка мужская AMERICAN U черная, размер M")</f>
      </c>
      <c r="C14188" s="4" t="n">
        <v>1285.00</v>
      </c>
      <c r="D14188" s="4"/>
    </row>
    <row collapsed="" customFormat="false" customHeight="1" hidden="" ht="14" outlineLevel="0" r="14189">
      <c r="A14189" s="3" t="inlineStr">
        <is>
          <t>14145</t>
        </is>
      </c>
      <c r="B14189" s="4" t="s">
        <f>=HYPERLINK("http://anyluxury.ru/shop/odezhda/futbolki/futbolka-muzhskaya-american-u-krasnaya-1114850/" , "11148.50 Футболка мужская AMERICAN U красная, размер S")</f>
      </c>
      <c r="C14189" s="4" t="n">
        <v>1285.00</v>
      </c>
      <c r="D14189" s="4"/>
    </row>
    <row collapsed="" customFormat="false" customHeight="1" hidden="" ht="14" outlineLevel="0" r="14190">
      <c r="A14190" s="3" t="inlineStr">
        <is>
          <t>14146</t>
        </is>
      </c>
      <c r="B14190" s="4" t="s">
        <f>=HYPERLINK("http://anyluxury.ru/shop/odezhda/futbolki/futbolka-muzhskaya-american-u-krasnaya-1114850/" , "11148.50 Футболка мужская AMERICAN U красная, размер M")</f>
      </c>
      <c r="C14190" s="4" t="n">
        <v>1285.00</v>
      </c>
      <c r="D14190" s="4"/>
    </row>
    <row collapsed="" customFormat="false" customHeight="1" hidden="" ht="14" outlineLevel="0" r="14191">
      <c r="A14191" s="3" t="inlineStr">
        <is>
          <t>14147</t>
        </is>
      </c>
      <c r="B14191" s="4" t="s">
        <f>=HYPERLINK("http://anyluxury.ru/shop/odezhda/futbolki/futbolka-muzhskaya-american-u-belaya-1114860/" , "11148.60 Футболка мужская AMERICAN U белая, размер S")</f>
      </c>
      <c r="C14191" s="4" t="n">
        <v>1285.00</v>
      </c>
      <c r="D14191" s="4"/>
    </row>
    <row collapsed="" customFormat="false" customHeight="1" hidden="" ht="14" outlineLevel="0" r="14192">
      <c r="A14192" s="3" t="inlineStr">
        <is>
          <t>14148</t>
        </is>
      </c>
      <c r="B14192" s="4" t="s">
        <f>=HYPERLINK("http://anyluxury.ru/shop/odezhda/futbolki/futbolka-muzhskaya-american-u-belaya-1114860/" , "11148.60 Футболка мужская AMERICAN U белая, размер 3XL")</f>
      </c>
      <c r="C14192" s="4" t="n">
        <v>1285.00</v>
      </c>
      <c r="D14192" s="4"/>
    </row>
    <row collapsed="" customFormat="false" customHeight="1" hidden="" ht="14" outlineLevel="0" r="14193">
      <c r="A14193" s="3" t="inlineStr">
        <is>
          <t>14149</t>
        </is>
      </c>
      <c r="B14193" s="4" t="s">
        <f>=HYPERLINK("http://anyluxury.ru/shop/odezhda/futbolki/futbolka-muzhskaya-american-u-sinyaya-1114844/" , "11148.44 Футболка мужская AMERICAN U синяя, размер S")</f>
      </c>
      <c r="C14193" s="4" t="n">
        <v>1285.00</v>
      </c>
      <c r="D14193" s="4"/>
    </row>
    <row collapsed="" customFormat="false" customHeight="1" hidden="" ht="14" outlineLevel="0" r="14194">
      <c r="A14194" s="3" t="inlineStr">
        <is>
          <t>14150</t>
        </is>
      </c>
      <c r="B14194" s="4" t="s">
        <f>=HYPERLINK("http://anyluxury.ru/shop/odezhda/futbolki/futbolka-muzhskaya-american-u-sinyaya-1114844/" , "11148.44 Футболка мужская AMERICAN U синяя, размер M")</f>
      </c>
      <c r="C14194" s="4" t="n">
        <v>1285.00</v>
      </c>
      <c r="D14194" s="4"/>
    </row>
    <row collapsed="" customFormat="false" customHeight="1" hidden="" ht="14" outlineLevel="0" r="14195">
      <c r="A14195" s="3" t="inlineStr">
        <is>
          <t>14151</t>
        </is>
      </c>
      <c r="B14195" s="4" t="s">
        <f>=HYPERLINK("http://anyluxury.ru/shop/odezhda/futbolki/futbolka-zhenskaya-ladies-american-u-svetliy-melanzh-1114911/" , "11149.11 Футболка женская LADIES AMERICAN U светлый меланж, размер L")</f>
      </c>
      <c r="C14195" s="4" t="n">
        <v>1365.00</v>
      </c>
      <c r="D14195" s="4"/>
    </row>
    <row collapsed="" customFormat="false" customHeight="1" hidden="" ht="14" outlineLevel="0" r="14196">
      <c r="A14196" s="3" t="inlineStr">
        <is>
          <t>14152</t>
        </is>
      </c>
      <c r="B14196" s="4" t="s">
        <f>=HYPERLINK("http://anyluxury.ru/shop/odezhda/futbolki/futbolka-zhenskaya-ladies-american-u-svetliy-melanzh-1114911/" , "11149.11 Футболка женская LADIES AMERICAN U светлый меланж, размер XXL")</f>
      </c>
      <c r="C14196" s="4" t="n">
        <v>1365.00</v>
      </c>
      <c r="D14196" s="4"/>
    </row>
    <row collapsed="" customFormat="false" customHeight="1" hidden="" ht="14" outlineLevel="0" r="14197">
      <c r="A14197" s="3" t="inlineStr">
        <is>
          <t>14153</t>
        </is>
      </c>
      <c r="B14197" s="4" t="s">
        <f>=HYPERLINK("http://anyluxury.ru/shop/odezhda/futbolki/futbolka-zhenskaya-ladies-american-u-chernaya-1114930/" , "11149.30 Футболка женская LADIES AMERICAN U черная, размер S")</f>
      </c>
      <c r="C14197" s="4" t="n">
        <v>1365.00</v>
      </c>
      <c r="D14197" s="4"/>
    </row>
    <row collapsed="" customFormat="false" customHeight="1" hidden="" ht="14" outlineLevel="0" r="14198">
      <c r="A14198" s="3" t="inlineStr">
        <is>
          <t>14154</t>
        </is>
      </c>
      <c r="B14198" s="4" t="s">
        <f>=HYPERLINK("http://anyluxury.ru/shop/odezhda/futbolki/futbolka-zhenskaya-ladies-american-u-chernaya-1114930/" , "11149.30 Футболка женская LADIES AMERICAN U черная, размер M")</f>
      </c>
      <c r="C14198" s="4" t="n">
        <v>1365.00</v>
      </c>
      <c r="D14198" s="4"/>
    </row>
    <row collapsed="" customFormat="false" customHeight="1" hidden="" ht="14" outlineLevel="0" r="14199">
      <c r="A14199" s="3" t="inlineStr">
        <is>
          <t>14155</t>
        </is>
      </c>
      <c r="B14199" s="4" t="s">
        <f>=HYPERLINK("http://anyluxury.ru/shop/odezhda/futbolki/futbolka-zhenskaya-ladies-american-u-chernaya-1114930/" , "11149.30 Футболка женская LADIES AMERICAN U черная, размер XL")</f>
      </c>
      <c r="C14199" s="4" t="n">
        <v>1365.00</v>
      </c>
      <c r="D14199" s="4"/>
    </row>
    <row collapsed="" customFormat="false" customHeight="1" hidden="" ht="14" outlineLevel="0" r="14200">
      <c r="A14200" s="3" t="inlineStr">
        <is>
          <t>14156</t>
        </is>
      </c>
      <c r="B14200" s="4" t="s">
        <f>=HYPERLINK("http://anyluxury.ru/shop/odezhda/futbolki/futbolka-zhenskaya-ladies-american-u-temnosinyaya-1114940/" , "11149.40 Футболка женская LADIES AMERICAN U темно-синяя, размер S")</f>
      </c>
      <c r="C14200" s="4" t="n">
        <v>1365.00</v>
      </c>
      <c r="D14200" s="4"/>
    </row>
    <row collapsed="" customFormat="false" customHeight="1" hidden="" ht="14" outlineLevel="0" r="14201">
      <c r="A14201" s="3" t="inlineStr">
        <is>
          <t>14157</t>
        </is>
      </c>
      <c r="B14201" s="4" t="s">
        <f>=HYPERLINK("http://anyluxury.ru/shop/odezhda/futbolki/futbolka-zhenskaya-ladies-american-u-temnosinyaya-1114940/" , "11149.40 Футболка женская LADIES AMERICAN U темно-синяя, размер M")</f>
      </c>
      <c r="C14201" s="4" t="n">
        <v>1365.00</v>
      </c>
      <c r="D14201" s="4"/>
    </row>
    <row collapsed="" customFormat="false" customHeight="1" hidden="" ht="14" outlineLevel="0" r="14202">
      <c r="A14202" s="3" t="inlineStr">
        <is>
          <t>14158</t>
        </is>
      </c>
      <c r="B14202" s="4" t="s">
        <f>=HYPERLINK("http://anyluxury.ru/shop/odezhda/futbolki/futbolka-zhenskaya-ladies-american-u-temnosinyaya-1114940/" , "11149.40 Футболка женская LADIES AMERICAN U темно-синяя, размер L")</f>
      </c>
      <c r="C14202" s="4" t="n">
        <v>1365.00</v>
      </c>
      <c r="D14202" s="4"/>
    </row>
    <row collapsed="" customFormat="false" customHeight="1" hidden="" ht="14" outlineLevel="0" r="14203">
      <c r="A14203" s="3" t="inlineStr">
        <is>
          <t>14159</t>
        </is>
      </c>
      <c r="B14203" s="4" t="s">
        <f>=HYPERLINK("http://anyluxury.ru/shop/odezhda/futbolki/futbolka-zhenskaya-ladies-american-u-temnosinyaya-1114940/" , "11149.40 Футболка женская LADIES AMERICAN U темно-синяя, размер XL")</f>
      </c>
      <c r="C14203" s="4" t="n">
        <v>1365.00</v>
      </c>
      <c r="D14203" s="4"/>
    </row>
    <row collapsed="" customFormat="false" customHeight="1" hidden="" ht="14" outlineLevel="0" r="14204">
      <c r="A14204" s="3" t="inlineStr">
        <is>
          <t>14160</t>
        </is>
      </c>
      <c r="B14204" s="4" t="s">
        <f>=HYPERLINK("http://anyluxury.ru/shop/odezhda/futbolki/futbolka-zhenskaya-ladies-american-u-temnosinyaya-1114940/" , "11149.40 Футболка женская LADIES AMERICAN U темно-синяя, размер XXL")</f>
      </c>
      <c r="C14204" s="4" t="n">
        <v>1365.00</v>
      </c>
      <c r="D14204" s="4"/>
    </row>
    <row collapsed="" customFormat="false" customHeight="1" hidden="" ht="14" outlineLevel="0" r="14205">
      <c r="A14205" s="3" t="inlineStr">
        <is>
          <t>14161</t>
        </is>
      </c>
      <c r="B14205" s="4" t="s">
        <f>=HYPERLINK("http://anyluxury.ru/shop/odezhda/futbolki/futbolka-zhenskaya-ladies-american-u-krasnaya-1114950/" , "11149.50 Футболка женская LADIES AMERICAN U красная, размер S")</f>
      </c>
      <c r="C14205" s="4" t="n">
        <v>1365.00</v>
      </c>
      <c r="D14205" s="4"/>
    </row>
    <row collapsed="" customFormat="false" customHeight="1" hidden="" ht="14" outlineLevel="0" r="14206">
      <c r="A14206" s="3" t="inlineStr">
        <is>
          <t>14162</t>
        </is>
      </c>
      <c r="B14206" s="4" t="s">
        <f>=HYPERLINK("http://anyluxury.ru/shop/odezhda/futbolki/futbolka-zhenskaya-ladies-american-u-krasnaya-1114950/" , "11149.50 Футболка женская LADIES AMERICAN U красная, размер M")</f>
      </c>
      <c r="C14206" s="4" t="n">
        <v>1365.00</v>
      </c>
      <c r="D14206" s="4"/>
    </row>
    <row collapsed="" customFormat="false" customHeight="1" hidden="" ht="14" outlineLevel="0" r="14207">
      <c r="A14207" s="3" t="inlineStr">
        <is>
          <t>14163</t>
        </is>
      </c>
      <c r="B14207" s="4" t="s">
        <f>=HYPERLINK("http://anyluxury.ru/shop/odezhda/futbolki/futbolka-zhenskaya-ladies-american-u-krasnaya-1114950/" , "11149.50 Футболка женская LADIES AMERICAN U красная, размер L")</f>
      </c>
      <c r="C14207" s="4" t="n">
        <v>1365.00</v>
      </c>
      <c r="D14207" s="4"/>
    </row>
    <row collapsed="" customFormat="false" customHeight="1" hidden="" ht="14" outlineLevel="0" r="14208">
      <c r="A14208" s="3" t="inlineStr">
        <is>
          <t>14164</t>
        </is>
      </c>
      <c r="B14208" s="4" t="s">
        <f>=HYPERLINK("http://anyluxury.ru/shop/odezhda/futbolki/futbolka-zhenskaya-ladies-american-u-krasnaya-1114950/" , "11149.50 Футболка женская LADIES AMERICAN U красная, размер XL")</f>
      </c>
      <c r="C14208" s="4" t="n">
        <v>1365.00</v>
      </c>
      <c r="D14208" s="4"/>
    </row>
    <row collapsed="" customFormat="false" customHeight="1" hidden="" ht="14" outlineLevel="0" r="14209">
      <c r="A14209" s="3" t="inlineStr">
        <is>
          <t>14165</t>
        </is>
      </c>
      <c r="B14209" s="4" t="s">
        <f>=HYPERLINK("http://anyluxury.ru/shop/odezhda/futbolki/futbolka-zhenskaya-ladies-american-u-krasnaya-1114950/" , "11149.50 Футболка женская LADIES AMERICAN U красная, размер XXL")</f>
      </c>
      <c r="C14209" s="4" t="n">
        <v>1365.00</v>
      </c>
      <c r="D14209" s="4"/>
    </row>
    <row collapsed="" customFormat="false" customHeight="1" hidden="" ht="14" outlineLevel="0" r="14210">
      <c r="A14210" s="3" t="inlineStr">
        <is>
          <t>14166</t>
        </is>
      </c>
      <c r="B14210" s="4" t="s">
        <f>=HYPERLINK("http://anyluxury.ru/shop/odezhda/futbolki/futbolka-zhenskaya-ladies-american-u-belaya-1114960/" , "11149.60 Футболка женская LADIES AMERICAN U белая, размер S")</f>
      </c>
      <c r="C14210" s="4" t="n">
        <v>1365.00</v>
      </c>
      <c r="D14210" s="4"/>
    </row>
    <row collapsed="" customFormat="false" customHeight="1" hidden="" ht="14" outlineLevel="0" r="14211">
      <c r="A14211" s="3" t="inlineStr">
        <is>
          <t>14167</t>
        </is>
      </c>
      <c r="B14211" s="4" t="s">
        <f>=HYPERLINK("http://anyluxury.ru/shop/odezhda/futbolki/futbolka-zhenskaya-ladies-american-u-belaya-1114960/" , "11149.60 Футболка женская LADIES AMERICAN U белая, размер XXL")</f>
      </c>
      <c r="C14211" s="4" t="n">
        <v>1365.00</v>
      </c>
      <c r="D14211" s="4"/>
    </row>
    <row collapsed="" customFormat="false" customHeight="1" hidden="" ht="14" outlineLevel="0" r="14212">
      <c r="A14212" s="3" t="inlineStr">
        <is>
          <t>14168</t>
        </is>
      </c>
      <c r="B14212" s="4" t="s">
        <f>=HYPERLINK("http://anyluxury.ru/shop/odezhda/futbolki/futbolka-zhenskaya-ladies-american-u-sinyaya-1114944/" , "11149.44 Футболка женская LADIES AMERICAN U синяя, размер S")</f>
      </c>
      <c r="C14212" s="4" t="n">
        <v>1365.00</v>
      </c>
      <c r="D14212" s="4"/>
    </row>
    <row collapsed="" customFormat="false" customHeight="1" hidden="" ht="14" outlineLevel="0" r="14213">
      <c r="A14213" s="3" t="inlineStr">
        <is>
          <t>14169</t>
        </is>
      </c>
      <c r="B14213" s="4" t="s">
        <f>=HYPERLINK("http://anyluxury.ru/shop/odezhda/futbolki/futbolka-zhenskaya-ladies-american-u-sinyaya-1114944/" , "11149.44 Футболка женская LADIES AMERICAN U синяя, размер M")</f>
      </c>
      <c r="C14213" s="4" t="n">
        <v>1365.00</v>
      </c>
      <c r="D14213" s="4"/>
    </row>
    <row collapsed="" customFormat="false" customHeight="1" hidden="" ht="14" outlineLevel="0" r="14214">
      <c r="A14214" s="3" t="inlineStr">
        <is>
          <t>14170</t>
        </is>
      </c>
      <c r="B14214" s="4" t="s">
        <f>=HYPERLINK("http://anyluxury.ru/shop/odezhda/futbolki/futbolka-zhenskaya-ladies-american-u-sinyaya-1114944/" , "11149.44 Футболка женская LADIES AMERICAN U синяя, размер L")</f>
      </c>
      <c r="C14214" s="4" t="n">
        <v>1365.00</v>
      </c>
      <c r="D14214" s="4"/>
    </row>
    <row collapsed="" customFormat="false" customHeight="1" hidden="" ht="14" outlineLevel="0" r="14215">
      <c r="A14215" s="3" t="inlineStr">
        <is>
          <t>14171</t>
        </is>
      </c>
      <c r="B14215" s="4" t="s">
        <f>=HYPERLINK("http://anyluxury.ru/shop/odezhda/futbolki/futbolka-zhenskaya-ladies-american-u-sinyaya-1114944/" , "11149.44 Футболка женская LADIES AMERICAN U синяя, размер XL")</f>
      </c>
      <c r="C14215" s="4" t="n">
        <v>1365.00</v>
      </c>
      <c r="D14215" s="4"/>
    </row>
    <row collapsed="" customFormat="false" customHeight="1" hidden="" ht="14" outlineLevel="0" r="14216">
      <c r="A14216" s="3" t="inlineStr">
        <is>
          <t>14172</t>
        </is>
      </c>
      <c r="B14216" s="4" t="s">
        <f>=HYPERLINK("http://anyluxury.ru/shop/odezhda/futbolki/futbolka-zhenskaya-ladies-american-u-sinyaya-1114944/" , "11149.44 Футболка женская LADIES AMERICAN U синяя, размер XXL")</f>
      </c>
      <c r="C14216" s="4" t="n">
        <v>1365.00</v>
      </c>
      <c r="D14216" s="4"/>
    </row>
    <row collapsed="" customFormat="false" customHeight="1" hidden="" ht="14" outlineLevel="0" r="14217">
      <c r="A14217" s="3" t="inlineStr">
        <is>
          <t>14173</t>
        </is>
      </c>
      <c r="B14217" s="4" t="s">
        <f>=HYPERLINK("http://anyluxury.ru/shop/odezhda/futbolki/futbolka-tbolka-160-original-belaya-1114060/" , "11140.60 Футболка T-bolka 160 Original белая, размер XXS")</f>
      </c>
      <c r="C14217" s="4" t="n">
        <v>631.00</v>
      </c>
      <c r="D14217" s="4"/>
    </row>
    <row collapsed="" customFormat="false" customHeight="1" hidden="" ht="14" outlineLevel="0" r="14218">
      <c r="A14218" s="3" t="inlineStr">
        <is>
          <t>14174</t>
        </is>
      </c>
      <c r="B14218" s="4" t="s">
        <f>=HYPERLINK("http://anyluxury.ru/shop/odezhda/futbolki/futbolka-tbolka-160-original-belaya-1114060/" , "11140.60 Футболка T-bolka 160 Original белая, размер M")</f>
      </c>
      <c r="C14218" s="4" t="n">
        <v>631.00</v>
      </c>
      <c r="D14218" s="4"/>
    </row>
    <row collapsed="" customFormat="false" customHeight="1" hidden="" ht="14" outlineLevel="0" r="14219">
      <c r="A14219" s="3" t="inlineStr">
        <is>
          <t>14175</t>
        </is>
      </c>
      <c r="B14219" s="4" t="s">
        <f>=HYPERLINK("http://anyluxury.ru/shop/odezhda/futbolki/futbolka-tbolka-160-original-belaya-1114060/" , "11140.60 Футболка T-bolka 160 Original белая, размер L")</f>
      </c>
      <c r="C14219" s="4" t="n">
        <v>631.00</v>
      </c>
      <c r="D14219" s="4"/>
    </row>
    <row collapsed="" customFormat="false" customHeight="1" hidden="" ht="14" outlineLevel="0" r="14220">
      <c r="A14220" s="3" t="inlineStr">
        <is>
          <t>14176</t>
        </is>
      </c>
      <c r="B14220" s="4" t="s">
        <f>=HYPERLINK("http://anyluxury.ru/shop/odezhda/futbolki/futbolka-tbolka-160-original-belaya-1114060/" , "11140.60 Футболка T-bolka 160 Original белая, размер XL")</f>
      </c>
      <c r="C14220" s="4" t="n">
        <v>631.00</v>
      </c>
      <c r="D14220" s="4"/>
    </row>
    <row collapsed="" customFormat="false" customHeight="1" hidden="" ht="14" outlineLevel="0" r="14221">
      <c r="A14221" s="3" t="inlineStr">
        <is>
          <t>14177</t>
        </is>
      </c>
      <c r="B14221" s="4" t="s">
        <f>=HYPERLINK("http://anyluxury.ru/shop/odezhda/futbolki/futbolka-tbolka-160-original-belaya-1114060/" , "11140.60 Футболка T-bolka 160 Original белая, размер XXL")</f>
      </c>
      <c r="C14221" s="4" t="n">
        <v>631.00</v>
      </c>
      <c r="D14221" s="4"/>
    </row>
    <row collapsed="" customFormat="false" customHeight="1" hidden="" ht="14" outlineLevel="0" r="14222">
      <c r="A14222" s="3" t="inlineStr">
        <is>
          <t>14178</t>
        </is>
      </c>
      <c r="B14222" s="4" t="s">
        <f>=HYPERLINK("http://anyluxury.ru/shop/odezhda/futbolki/futbolka-tbolka-160-original-chernaya-1114030/" , "11140.30 Футболка T-bolka 160 Original черная, размер XXS")</f>
      </c>
      <c r="C14222" s="4" t="n">
        <v>667.00</v>
      </c>
      <c r="D14222" s="4"/>
    </row>
    <row collapsed="" customFormat="false" customHeight="1" hidden="" ht="14" outlineLevel="0" r="14223">
      <c r="A14223" s="3" t="inlineStr">
        <is>
          <t>14179</t>
        </is>
      </c>
      <c r="B14223" s="4" t="s">
        <f>=HYPERLINK("http://anyluxury.ru/shop/odezhda/futbolki/futbolka-tbolka-160-original-chernaya-1114030/" , "11140.30 Футболка T-bolka 160 Original черная, размер XS")</f>
      </c>
      <c r="C14223" s="4" t="n">
        <v>667.00</v>
      </c>
      <c r="D14223" s="4"/>
    </row>
    <row collapsed="" customFormat="false" customHeight="1" hidden="" ht="14" outlineLevel="0" r="14224">
      <c r="A14224" s="3" t="inlineStr">
        <is>
          <t>14180</t>
        </is>
      </c>
      <c r="B14224" s="4" t="s">
        <f>=HYPERLINK("http://anyluxury.ru/shop/odezhda/futbolki/futbolka-tbolka-160-original-chernaya-1114030/" , "11140.30 Футболка T-bolka 160 Original черная, размер S")</f>
      </c>
      <c r="C14224" s="4" t="n">
        <v>667.00</v>
      </c>
      <c r="D14224" s="4"/>
    </row>
    <row collapsed="" customFormat="false" customHeight="1" hidden="" ht="14" outlineLevel="0" r="14225">
      <c r="A14225" s="3" t="inlineStr">
        <is>
          <t>14181</t>
        </is>
      </c>
      <c r="B14225" s="4" t="s">
        <f>=HYPERLINK("http://anyluxury.ru/shop/odezhda/futbolki/futbolka-tbolka-160-original-chernaya-1114030/" , "11140.30 Футболка T-bolka 160 Original черная, размер M")</f>
      </c>
      <c r="C14225" s="4" t="n">
        <v>667.00</v>
      </c>
      <c r="D14225" s="4"/>
    </row>
    <row collapsed="" customFormat="false" customHeight="1" hidden="" ht="14" outlineLevel="0" r="14226">
      <c r="A14226" s="3" t="inlineStr">
        <is>
          <t>14182</t>
        </is>
      </c>
      <c r="B14226" s="4" t="s">
        <f>=HYPERLINK("http://anyluxury.ru/shop/odezhda/futbolki/futbolka-tbolka-160-original-chernaya-1114030/" , "11140.30 Футболка T-bolka 160 Original черная, размер L")</f>
      </c>
      <c r="C14226" s="4" t="n">
        <v>667.00</v>
      </c>
      <c r="D14226" s="4"/>
    </row>
    <row collapsed="" customFormat="false" customHeight="1" hidden="" ht="14" outlineLevel="0" r="14227">
      <c r="A14227" s="3" t="inlineStr">
        <is>
          <t>14183</t>
        </is>
      </c>
      <c r="B14227" s="4" t="s">
        <f>=HYPERLINK("http://anyluxury.ru/shop/odezhda/futbolki/futbolka-tbolka-160-original-chernaya-1114030/" , "11140.30 Футболка T-bolka 160 Original черная, размер XL")</f>
      </c>
      <c r="C14227" s="4" t="n">
        <v>667.00</v>
      </c>
      <c r="D14227" s="4"/>
    </row>
    <row collapsed="" customFormat="false" customHeight="1" hidden="" ht="14" outlineLevel="0" r="14228">
      <c r="A14228" s="3" t="inlineStr">
        <is>
          <t>14184</t>
        </is>
      </c>
      <c r="B14228" s="4" t="s">
        <f>=HYPERLINK("http://anyluxury.ru/shop/odezhda/futbolki/futbolka-tbolka-160-original-chernaya-1114030/" , "11140.30 Футболка T-bolka 160 Original черная, размер XXL")</f>
      </c>
      <c r="C14228" s="4" t="n">
        <v>667.00</v>
      </c>
      <c r="D14228" s="4"/>
    </row>
    <row collapsed="" customFormat="false" customHeight="1" hidden="" ht="14" outlineLevel="0" r="14229">
      <c r="A14229" s="3" t="inlineStr">
        <is>
          <t>14185</t>
        </is>
      </c>
      <c r="B14229" s="4" t="s">
        <f>=HYPERLINK("http://anyluxury.ru/shop/odezhda/futbolki/futbolka-tbolka-160-original-seriy-melanzh-1114011/" , "11140.11 Футболка T-bolka 160 Original серый меланж, размер XXS")</f>
      </c>
      <c r="C14229" s="4" t="n">
        <v>667.00</v>
      </c>
      <c r="D14229" s="4"/>
    </row>
    <row collapsed="" customFormat="false" customHeight="1" hidden="" ht="14" outlineLevel="0" r="14230">
      <c r="A14230" s="3" t="inlineStr">
        <is>
          <t>14186</t>
        </is>
      </c>
      <c r="B14230" s="4" t="s">
        <f>=HYPERLINK("http://anyluxury.ru/shop/odezhda/futbolki/futbolka-tbolka-160-original-seriy-melanzh-1114011/" , "11140.11 Футболка T-bolka 160 Original серый меланж, размер XS")</f>
      </c>
      <c r="C14230" s="4" t="n">
        <v>667.00</v>
      </c>
      <c r="D14230" s="4"/>
    </row>
    <row collapsed="" customFormat="false" customHeight="1" hidden="" ht="14" outlineLevel="0" r="14231">
      <c r="A14231" s="3" t="inlineStr">
        <is>
          <t>14187</t>
        </is>
      </c>
      <c r="B14231" s="4" t="s">
        <f>=HYPERLINK("http://anyluxury.ru/shop/odezhda/futbolki/futbolka-tbolka-160-original-seriy-melanzh-1114011/" , "11140.11 Футболка T-bolka 160 Original серый меланж, размер S")</f>
      </c>
      <c r="C14231" s="4" t="n">
        <v>667.00</v>
      </c>
      <c r="D14231" s="4"/>
    </row>
    <row collapsed="" customFormat="false" customHeight="1" hidden="" ht="14" outlineLevel="0" r="14232">
      <c r="A14232" s="3" t="inlineStr">
        <is>
          <t>14188</t>
        </is>
      </c>
      <c r="B14232" s="4" t="s">
        <f>=HYPERLINK("http://anyluxury.ru/shop/odezhda/futbolki/futbolka-tbolka-160-original-seriy-melanzh-1114011/" , "11140.11 Футболка T-bolka 160 Original серый меланж, размер M")</f>
      </c>
      <c r="C14232" s="4" t="n">
        <v>667.00</v>
      </c>
      <c r="D14232" s="4"/>
    </row>
    <row collapsed="" customFormat="false" customHeight="1" hidden="" ht="14" outlineLevel="0" r="14233">
      <c r="A14233" s="3" t="inlineStr">
        <is>
          <t>14189</t>
        </is>
      </c>
      <c r="B14233" s="4" t="s">
        <f>=HYPERLINK("http://anyluxury.ru/shop/odezhda/futbolki/futbolka-tbolka-160-original-seriy-melanzh-1114011/" , "11140.11 Футболка T-bolka 160 Original серый меланж, размер L")</f>
      </c>
      <c r="C14233" s="4" t="n">
        <v>667.00</v>
      </c>
      <c r="D14233" s="4"/>
    </row>
    <row collapsed="" customFormat="false" customHeight="1" hidden="" ht="14" outlineLevel="0" r="14234">
      <c r="A14234" s="3" t="inlineStr">
        <is>
          <t>14190</t>
        </is>
      </c>
      <c r="B14234" s="4" t="s">
        <f>=HYPERLINK("http://anyluxury.ru/shop/odezhda/futbolki/futbolka-tbolka-160-original-seriy-melanzh-1114011/" , "11140.11 Футболка T-bolka 160 Original серый меланж, размер XL")</f>
      </c>
      <c r="C14234" s="4" t="n">
        <v>667.00</v>
      </c>
      <c r="D14234" s="4"/>
    </row>
    <row collapsed="" customFormat="false" customHeight="1" hidden="" ht="14" outlineLevel="0" r="14235">
      <c r="A14235" s="3" t="inlineStr">
        <is>
          <t>14191</t>
        </is>
      </c>
      <c r="B14235" s="4" t="s">
        <f>=HYPERLINK("http://anyluxury.ru/shop/odezhda/futbolki/futbolka-tbolka-160-original-seriy-melanzh-1114011/" , "11140.11 Футболка T-bolka 160 Original серый меланж, размер XXL")</f>
      </c>
      <c r="C14235" s="4" t="n">
        <v>667.00</v>
      </c>
      <c r="D14235" s="4"/>
    </row>
    <row collapsed="" customFormat="false" customHeight="1" hidden="" ht="14" outlineLevel="0" r="14236">
      <c r="A14236" s="3" t="inlineStr">
        <is>
          <t>14192</t>
        </is>
      </c>
      <c r="B14236" s="4" t="s">
        <f>=HYPERLINK("http://anyluxury.ru/shop/odezhda/futbolki/futbolka-zhenskaya-tbolka-stretch-light-lady-seriy-melanzh-1113311/" , "11133.11 Футболка женская T-bolka Stretch Light Lady, серый меланж, размер XL")</f>
      </c>
      <c r="C14236" s="4" t="n">
        <v>350.00</v>
      </c>
      <c r="D14236" s="4"/>
    </row>
    <row collapsed="" customFormat="false" customHeight="1" hidden="" ht="14" outlineLevel="0" r="14237">
      <c r="A14237" s="3" t="inlineStr">
        <is>
          <t>14193</t>
        </is>
      </c>
      <c r="B14237" s="4" t="s">
        <f>=HYPERLINK("http://anyluxury.ru/shop/odezhda/futbolki/futbolka-zhenskaya-tbolka-stretch-light-lady-seriy-melanzh-1113311/" , "11133.11 Футболка женская T-bolka Stretch Light Lady, серый меланж, размер XXL")</f>
      </c>
      <c r="C14237" s="4" t="n">
        <v>280.00</v>
      </c>
      <c r="D14237" s="4"/>
    </row>
    <row collapsed="" customFormat="false" customHeight="1" hidden="" ht="14" outlineLevel="0" r="14238">
      <c r="A14238" s="3" t="inlineStr">
        <is>
          <t>14194</t>
        </is>
      </c>
      <c r="B14238" s="4" t="s">
        <f>=HYPERLINK("http://anyluxury.ru/shop/odezhda/futbolki/futbolka-zhenskaya-tbolka-stretch-light-lady-temnosinyaya-navy-1113340/" , "11133.40 Футболка женская T-bolka Stretch Light Lady, темно-синяя (navy), размер S")</f>
      </c>
      <c r="C14238" s="4" t="n">
        <v>280.00</v>
      </c>
      <c r="D14238" s="4"/>
    </row>
    <row collapsed="" customFormat="false" customHeight="1" hidden="" ht="14" outlineLevel="0" r="14239">
      <c r="A14239" s="3" t="inlineStr">
        <is>
          <t>14195</t>
        </is>
      </c>
      <c r="B14239" s="4" t="s">
        <f>=HYPERLINK("http://anyluxury.ru/shop/odezhda/futbolki/futbolka-zhenskaya-tbolka-stretch-light-lady-temnosinyaya-navy-1113340/" , "11133.40 Футболка женская T-bolka Stretch Light Lady, темно-синяя (navy), размер M")</f>
      </c>
      <c r="C14239" s="4" t="n">
        <v>280.00</v>
      </c>
      <c r="D14239" s="4"/>
    </row>
    <row collapsed="" customFormat="false" customHeight="1" hidden="" ht="14" outlineLevel="0" r="14240">
      <c r="A14240" s="3" t="inlineStr">
        <is>
          <t>14196</t>
        </is>
      </c>
      <c r="B14240" s="4" t="s">
        <f>=HYPERLINK("http://anyluxury.ru/shop/odezhda/futbolki/futbolka-zhenskaya-tbolka-stretch-light-lady-temnosinyaya-navy-1113340/" , "11133.40 Футболка женская T-bolka Stretch Light Lady, темно-синяя (navy), размер L")</f>
      </c>
      <c r="C14240" s="4" t="n">
        <v>280.00</v>
      </c>
      <c r="D14240" s="4"/>
    </row>
    <row collapsed="" customFormat="false" customHeight="1" hidden="" ht="14" outlineLevel="0" r="14241">
      <c r="A14241" s="3" t="inlineStr">
        <is>
          <t>14197</t>
        </is>
      </c>
      <c r="B14241" s="4" t="s">
        <f>=HYPERLINK("http://anyluxury.ru/shop/odezhda/futbolki/futbolka-zhenskaya-tbolka-stretch-light-lady-temnosinyaya-navy-1113340/" , "11133.40 Футболка женская T-bolka Stretch Light Lady, темно-синяя (navy), размер XXL")</f>
      </c>
      <c r="C14241" s="4" t="n">
        <v>280.00</v>
      </c>
      <c r="D14241" s="4"/>
    </row>
    <row collapsed="" customFormat="false" customHeight="1" hidden="" ht="14" outlineLevel="0" r="14242">
      <c r="A14242" s="3" t="inlineStr">
        <is>
          <t>14198</t>
        </is>
      </c>
      <c r="B14242" s="4" t="s">
        <f>=HYPERLINK("http://anyluxury.ru/shop/odezhda/futbolki/futbolka-zhenskaya-tbolka-stretch-light-lady-belaya-1113360/" , "11133.60 Футболка женская T-bolka Stretch Light Lady, белая, размер XXL")</f>
      </c>
      <c r="C14242" s="4" t="n">
        <v>280.00</v>
      </c>
      <c r="D14242" s="4"/>
    </row>
    <row collapsed="" customFormat="false" customHeight="1" hidden="" ht="14" outlineLevel="0" r="14243">
      <c r="A14243" s="3" t="inlineStr">
        <is>
          <t>14199</t>
        </is>
      </c>
      <c r="B14243" s="4" t="s">
        <f>=HYPERLINK("http://anyluxury.ru/shop/odezhda/futbolki/futbolka-muzhskaya-tbolka-stretch-light-temnosinyaya-navy-1113240/" , "11132.40 Футболка мужская T-bolka Stretch Light, темно-синяя (navy), размер S")</f>
      </c>
      <c r="C14243" s="4" t="n">
        <v>400.00</v>
      </c>
      <c r="D14243" s="4"/>
    </row>
    <row collapsed="" customFormat="false" customHeight="1" hidden="" ht="14" outlineLevel="0" r="14244">
      <c r="A14244" s="3" t="inlineStr">
        <is>
          <t>14200</t>
        </is>
      </c>
      <c r="B14244" s="4" t="s">
        <f>=HYPERLINK("http://anyluxury.ru/shop/odezhda/futbolki/futbolka-muzhskaya-tbolka-stretch-light-belaya-1113260/" , "11132.60 Футболка мужская T-bolka Stretch Light, белая, размер S")</f>
      </c>
      <c r="C14244" s="4" t="n">
        <v>400.00</v>
      </c>
      <c r="D14244" s="4"/>
    </row>
    <row collapsed="" customFormat="false" customHeight="1" hidden="" ht="14" outlineLevel="0" r="14245">
      <c r="A14245" s="3" t="inlineStr">
        <is>
          <t>14201</t>
        </is>
      </c>
      <c r="B14245" s="4" t="s">
        <f>=HYPERLINK("http://anyluxury.ru/shop/odezhda/futbolki/futbolka-muzhskaya-martin-men-rozovaya-02855143/" , "02855143 Футболка мужская Martin Men, розовая, размер S")</f>
      </c>
      <c r="C14245" s="4" t="n">
        <v>726.00</v>
      </c>
      <c r="D14245" s="4"/>
    </row>
    <row collapsed="" customFormat="false" customHeight="1" hidden="" ht="14" outlineLevel="0" r="14246">
      <c r="A14246" s="3" t="inlineStr">
        <is>
          <t>14202</t>
        </is>
      </c>
      <c r="B14246" s="4" t="s">
        <f>=HYPERLINK("http://anyluxury.ru/shop/odezhda/futbolki/futbolka-muzhskaya-martin-men-rozovaya-02855143/" , "02855143 Футболка мужская Martin Men, розовая, размер M")</f>
      </c>
      <c r="C14246" s="4" t="n">
        <v>726.00</v>
      </c>
      <c r="D14246" s="4"/>
    </row>
    <row collapsed="" customFormat="false" customHeight="1" hidden="" ht="14" outlineLevel="0" r="14247">
      <c r="A14247" s="3" t="inlineStr">
        <is>
          <t>14203</t>
        </is>
      </c>
      <c r="B14247" s="4" t="s">
        <f>=HYPERLINK("http://anyluxury.ru/shop/odezhda/futbolki/futbolka-muzhskaya-martin-men-rozovaya-02855143/" , "02855143 Футболка мужская Martin Men, розовая, размер L")</f>
      </c>
      <c r="C14247" s="4" t="n">
        <v>726.00</v>
      </c>
      <c r="D14247" s="4"/>
    </row>
    <row collapsed="" customFormat="false" customHeight="1" hidden="" ht="14" outlineLevel="0" r="14248">
      <c r="A14248" s="3" t="inlineStr">
        <is>
          <t>14204</t>
        </is>
      </c>
      <c r="B14248" s="4" t="s">
        <f>=HYPERLINK("http://anyluxury.ru/shop/odezhda/futbolki/futbolka-muzhskaya-martin-men-rozovaya-02855143/" , "02855143 Футболка мужская Martin Men, розовая, размер XL")</f>
      </c>
      <c r="C14248" s="4" t="n">
        <v>726.00</v>
      </c>
      <c r="D14248" s="4"/>
    </row>
    <row collapsed="" customFormat="false" customHeight="1" hidden="" ht="14" outlineLevel="0" r="14249">
      <c r="A14249" s="3" t="inlineStr">
        <is>
          <t>14205</t>
        </is>
      </c>
      <c r="B14249" s="4" t="s">
        <f>=HYPERLINK("http://anyluxury.ru/shop/odezhda/futbolki/futbolka-muzhskaya-martin-men-rozovaya-02855143/" , "02855143 Футболка мужская Martin Men, розовая, размер XXL")</f>
      </c>
      <c r="C14249" s="4" t="n">
        <v>726.00</v>
      </c>
      <c r="D14249" s="4"/>
    </row>
    <row collapsed="" customFormat="false" customHeight="1" hidden="" ht="14" outlineLevel="0" r="14250">
      <c r="A14250" s="3" t="inlineStr">
        <is>
          <t>14206</t>
        </is>
      </c>
      <c r="B14250" s="4" t="s">
        <f>=HYPERLINK("http://anyluxury.ru/shop/odezhda/futbolki/futbolka-muzhskaya-martin-men-zelenaya-02855323/" , "02855323 Футболка мужская Martin Men, зеленая, размер S")</f>
      </c>
      <c r="C14250" s="4" t="n">
        <v>726.00</v>
      </c>
      <c r="D14250" s="4"/>
    </row>
    <row collapsed="" customFormat="false" customHeight="1" hidden="" ht="14" outlineLevel="0" r="14251">
      <c r="A14251" s="3" t="inlineStr">
        <is>
          <t>14207</t>
        </is>
      </c>
      <c r="B14251" s="4" t="s">
        <f>=HYPERLINK("http://anyluxury.ru/shop/odezhda/futbolki/futbolka-muzhskaya-martin-men-zelenaya-02855323/" , "02855323 Футболка мужская Martin Men, зеленая, размер M")</f>
      </c>
      <c r="C14251" s="4" t="n">
        <v>726.00</v>
      </c>
      <c r="D14251" s="4"/>
    </row>
    <row collapsed="" customFormat="false" customHeight="1" hidden="" ht="14" outlineLevel="0" r="14252">
      <c r="A14252" s="3" t="inlineStr">
        <is>
          <t>14208</t>
        </is>
      </c>
      <c r="B14252" s="4" t="s">
        <f>=HYPERLINK("http://anyluxury.ru/shop/odezhda/futbolki/futbolka-muzhskaya-martin-men-zelenaya-02855323/" , "02855323 Футболка мужская Martin Men, зеленая, размер XL")</f>
      </c>
      <c r="C14252" s="4" t="n">
        <v>726.00</v>
      </c>
      <c r="D14252" s="4"/>
    </row>
    <row collapsed="" customFormat="false" customHeight="1" hidden="" ht="14" outlineLevel="0" r="14253">
      <c r="A14253" s="3" t="inlineStr">
        <is>
          <t>14209</t>
        </is>
      </c>
      <c r="B14253" s="4" t="s">
        <f>=HYPERLINK("http://anyluxury.ru/shop/odezhda/futbolki/futbolka-muzhskaya-martin-men-zelenaya-02855323/" , "02855323 Футболка мужская Martin Men, зеленая, размер XXL")</f>
      </c>
      <c r="C14253" s="4" t="n">
        <v>726.00</v>
      </c>
      <c r="D14253" s="4"/>
    </row>
    <row collapsed="" customFormat="false" customHeight="1" hidden="" ht="14" outlineLevel="0" r="14254">
      <c r="A14254" s="3" t="inlineStr">
        <is>
          <t>14210</t>
        </is>
      </c>
      <c r="B14254" s="4" t="s">
        <f>=HYPERLINK("http://anyluxury.ru/shop/odezhda/futbolki/futbolka-muzhskaya-martin-men-golubaya-02855251/" , "02855251 Футболка мужская MARTIN MEN голубая, размер S")</f>
      </c>
      <c r="C14254" s="4" t="n">
        <v>919.00</v>
      </c>
      <c r="D14254" s="4"/>
    </row>
    <row collapsed="" customFormat="false" customHeight="1" hidden="" ht="14" outlineLevel="0" r="14255">
      <c r="A14255" s="3" t="inlineStr">
        <is>
          <t>14211</t>
        </is>
      </c>
      <c r="B14255" s="4" t="s">
        <f>=HYPERLINK("http://anyluxury.ru/shop/odezhda/futbolki/futbolka-muzhskaya-martin-men-golubaya-02855251/" , "02855251 Футболка мужская MARTIN MEN голубая, размер M")</f>
      </c>
      <c r="C14255" s="4" t="n">
        <v>919.00</v>
      </c>
      <c r="D14255" s="4"/>
    </row>
    <row collapsed="" customFormat="false" customHeight="1" hidden="" ht="14" outlineLevel="0" r="14256">
      <c r="A14256" s="3" t="inlineStr">
        <is>
          <t>14212</t>
        </is>
      </c>
      <c r="B14256" s="4" t="s">
        <f>=HYPERLINK("http://anyluxury.ru/shop/odezhda/futbolki/futbolka-zhenskaya-martin-women-golubaya-02856251/" , "02856251 Футболка женская MARTIN WOMEN голубая, размер XS")</f>
      </c>
      <c r="C14256" s="4" t="n">
        <v>688.00</v>
      </c>
      <c r="D14256" s="4"/>
    </row>
    <row collapsed="" customFormat="false" customHeight="1" hidden="" ht="14" outlineLevel="0" r="14257">
      <c r="A14257" s="3" t="inlineStr">
        <is>
          <t>14213</t>
        </is>
      </c>
      <c r="B14257" s="4" t="s">
        <f>=HYPERLINK("http://anyluxury.ru/shop/odezhda/futbolki/futbolka-zhenskaya-martin-women-golubaya-02856251/" , "02856251 Футболка женская MARTIN WOMEN голубая, размер S")</f>
      </c>
      <c r="C14257" s="4" t="n">
        <v>688.00</v>
      </c>
      <c r="D14257" s="4"/>
    </row>
    <row collapsed="" customFormat="false" customHeight="1" hidden="" ht="14" outlineLevel="0" r="14258">
      <c r="A14258" s="3" t="inlineStr">
        <is>
          <t>14214</t>
        </is>
      </c>
      <c r="B14258" s="4" t="s">
        <f>=HYPERLINK("http://anyluxury.ru/shop/odezhda/futbolki/futbolka-zhenskaya-martin-women-golubaya-02856251/" , "02856251 Футболка женская MARTIN WOMEN голубая, размер L")</f>
      </c>
      <c r="C14258" s="4" t="n">
        <v>688.00</v>
      </c>
      <c r="D14258" s="4"/>
    </row>
    <row collapsed="" customFormat="false" customHeight="1" hidden="" ht="14" outlineLevel="0" r="14259">
      <c r="A14259" s="3" t="inlineStr">
        <is>
          <t>14215</t>
        </is>
      </c>
      <c r="B14259" s="4" t="s">
        <f>=HYPERLINK("http://anyluxury.ru/shop/odezhda/futbolki/futbolka-zhenskaya-martin-women-golubaya-02856251/" , "02856251 Футболка женская MARTIN WOMEN голубая, размер XL")</f>
      </c>
      <c r="C14259" s="4" t="n">
        <v>688.00</v>
      </c>
      <c r="D14259" s="4"/>
    </row>
    <row collapsed="" customFormat="false" customHeight="1" hidden="" ht="14" outlineLevel="0" r="14260">
      <c r="A14260" s="3" t="inlineStr">
        <is>
          <t>14216</t>
        </is>
      </c>
      <c r="B14260" s="4" t="s">
        <f>=HYPERLINK("http://anyluxury.ru/shop/odezhda/futbolki/futbolka-zhenskaya-martin-women-rozovaya-02856143/" , "02856143 Футболка женская MARTIN WOMEN розовая, размер XS")</f>
      </c>
      <c r="C14260" s="4" t="n">
        <v>688.00</v>
      </c>
      <c r="D14260" s="4"/>
    </row>
    <row collapsed="" customFormat="false" customHeight="1" hidden="" ht="14" outlineLevel="0" r="14261">
      <c r="A14261" s="3" t="inlineStr">
        <is>
          <t>14217</t>
        </is>
      </c>
      <c r="B14261" s="4" t="s">
        <f>=HYPERLINK("http://anyluxury.ru/shop/odezhda/futbolki/futbolka-zhenskaya-martin-women-rozovaya-02856143/" , "02856143 Футболка женская MARTIN WOMEN розовая, размер S")</f>
      </c>
      <c r="C14261" s="4" t="n">
        <v>688.00</v>
      </c>
      <c r="D14261" s="4"/>
    </row>
    <row collapsed="" customFormat="false" customHeight="1" hidden="" ht="14" outlineLevel="0" r="14262">
      <c r="A14262" s="3" t="inlineStr">
        <is>
          <t>14218</t>
        </is>
      </c>
      <c r="B14262" s="4" t="s">
        <f>=HYPERLINK("http://anyluxury.ru/shop/odezhda/futbolki/futbolka-zhenskaya-martin-women-rozovaya-02856143/" , "02856143 Футболка женская MARTIN WOMEN розовая, размер M")</f>
      </c>
      <c r="C14262" s="4" t="n">
        <v>688.00</v>
      </c>
      <c r="D14262" s="4"/>
    </row>
    <row collapsed="" customFormat="false" customHeight="1" hidden="" ht="14" outlineLevel="0" r="14263">
      <c r="A14263" s="3" t="inlineStr">
        <is>
          <t>14219</t>
        </is>
      </c>
      <c r="B14263" s="4" t="s">
        <f>=HYPERLINK("http://anyluxury.ru/shop/odezhda/futbolki/futbolka-zhenskaya-martin-women-rozovaya-02856143/" , "02856143 Футболка женская MARTIN WOMEN розовая, размер L")</f>
      </c>
      <c r="C14263" s="4" t="n">
        <v>688.00</v>
      </c>
      <c r="D14263" s="4"/>
    </row>
    <row collapsed="" customFormat="false" customHeight="1" hidden="" ht="14" outlineLevel="0" r="14264">
      <c r="A14264" s="3" t="inlineStr">
        <is>
          <t>14220</t>
        </is>
      </c>
      <c r="B14264" s="4" t="s">
        <f>=HYPERLINK("http://anyluxury.ru/shop/odezhda/futbolki/futbolka-zhenskaya-martin-women-rozovaya-02856143/" , "02856143 Футболка женская MARTIN WOMEN розовая, размер XL")</f>
      </c>
      <c r="C14264" s="4" t="n">
        <v>688.00</v>
      </c>
      <c r="D14264" s="4"/>
    </row>
    <row collapsed="" customFormat="false" customHeight="1" hidden="" ht="14" outlineLevel="0" r="14265">
      <c r="A14265" s="3" t="inlineStr">
        <is>
          <t>14221</t>
        </is>
      </c>
      <c r="B14265" s="4" t="s">
        <f>=HYPERLINK("http://anyluxury.ru/shop/odezhda/futbolki/futbolka-muzhskaya-pritalennaya-regent-fit-150-siniy-melanzh-00553222/" , "00553222 Футболка мужская приталенная REGENT FIT синий меланж, размер XS")</f>
      </c>
      <c r="C14265" s="4" t="n">
        <v>651.00</v>
      </c>
      <c r="D14265" s="4"/>
    </row>
    <row collapsed="" customFormat="false" customHeight="1" hidden="" ht="14" outlineLevel="0" r="14266">
      <c r="A14266" s="3" t="inlineStr">
        <is>
          <t>14222</t>
        </is>
      </c>
      <c r="B14266" s="4" t="s">
        <f>=HYPERLINK("http://anyluxury.ru/shop/odezhda/futbolki/futbolka-muzhskaya-pritalennaya-regent-fit-150-melanzh-haki-00553288/" , "00553288 Футболка мужская приталенная REGENT FIT меланж хаки, размер XS")</f>
      </c>
      <c r="C14266" s="4" t="n">
        <v>651.00</v>
      </c>
      <c r="D14266" s="4"/>
    </row>
    <row collapsed="" customFormat="false" customHeight="1" hidden="" ht="14" outlineLevel="0" r="14267">
      <c r="A14267" s="3" t="inlineStr">
        <is>
          <t>14223</t>
        </is>
      </c>
      <c r="B14267" s="4" t="s">
        <f>=HYPERLINK("http://anyluxury.ru/shop/odezhda/futbolki/futbolka-muzhskaya-pritalennaya-regent-fit-150-bordoviy-melanzh-00553148/" , "00553148 Футболка мужская приталенная REGENT FIT бордовый меланж, размер XS")</f>
      </c>
      <c r="C14267" s="4" t="n">
        <v>651.00</v>
      </c>
      <c r="D14267" s="4"/>
    </row>
    <row collapsed="" customFormat="false" customHeight="1" hidden="" ht="14" outlineLevel="0" r="14268">
      <c r="A14268" s="3" t="inlineStr">
        <is>
          <t>14224</t>
        </is>
      </c>
      <c r="B14268" s="4" t="s">
        <f>=HYPERLINK("http://anyluxury.ru/shop/odezhda/futbolki/futbolka-muzhskaya-pritalennaya-regent-fit-150-bordoviy-melanzh-00553148/" , "00553148 Футболка мужская приталенная REGENT FIT бордовый меланж, размер S")</f>
      </c>
      <c r="C14268" s="4" t="n">
        <v>651.00</v>
      </c>
      <c r="D14268" s="4"/>
    </row>
    <row collapsed="" customFormat="false" customHeight="1" hidden="" ht="14" outlineLevel="0" r="14269">
      <c r="A14269" s="3" t="inlineStr">
        <is>
          <t>14225</t>
        </is>
      </c>
      <c r="B14269" s="4" t="s">
        <f>=HYPERLINK("http://anyluxury.ru/shop/odezhda/futbolki/futbolka-muzhskaya-pritalennaya-regent-fit-150-rozoviy-melanzh-00553151/" , "00553151 Футболка мужская приталенная REGENT FIT розовый меланж, размер XS")</f>
      </c>
      <c r="C14269" s="4" t="n">
        <v>651.00</v>
      </c>
      <c r="D14269" s="4"/>
    </row>
    <row collapsed="" customFormat="false" customHeight="1" hidden="" ht="14" outlineLevel="0" r="14270">
      <c r="A14270" s="3" t="inlineStr">
        <is>
          <t>14226</t>
        </is>
      </c>
      <c r="B14270" s="4" t="s">
        <f>=HYPERLINK("http://anyluxury.ru/shop/odezhda/futbolki/futbolka-muzhskaya-pritalennaya-regent-fit-150-rozoviy-melanzh-00553151/" , "00553151 Футболка мужская приталенная REGENT FIT розовый меланж, размер S")</f>
      </c>
      <c r="C14270" s="4" t="n">
        <v>651.00</v>
      </c>
      <c r="D14270" s="4"/>
    </row>
    <row collapsed="" customFormat="false" customHeight="1" hidden="" ht="14" outlineLevel="0" r="14271">
      <c r="A14271" s="3" t="inlineStr">
        <is>
          <t>14227</t>
        </is>
      </c>
      <c r="B14271" s="4" t="s">
        <f>=HYPERLINK("http://anyluxury.ru/shop/odezhda/futbolki/futbolka-muzhskaya-pritalennaya-regent-fit-150-rozoviy-melanzh-00553151/" , "00553151 Футболка мужская приталенная REGENT FIT розовый меланж, размер M")</f>
      </c>
      <c r="C14271" s="4" t="n">
        <v>651.00</v>
      </c>
      <c r="D14271" s="4"/>
    </row>
    <row collapsed="" customFormat="false" customHeight="1" hidden="" ht="14" outlineLevel="0" r="14272">
      <c r="A14272" s="3" t="inlineStr">
        <is>
          <t>14228</t>
        </is>
      </c>
      <c r="B14272" s="4" t="s">
        <f>=HYPERLINK("http://anyluxury.ru/shop/odezhda/futbolki/futbolka-muzhskaya-pritalennaya-regent-fit-150-rozoviy-melanzh-00553151/" , "00553151 Футболка мужская приталенная REGENT FIT розовый меланж, размер L")</f>
      </c>
      <c r="C14272" s="4" t="n">
        <v>651.00</v>
      </c>
      <c r="D14272" s="4"/>
    </row>
    <row collapsed="" customFormat="false" customHeight="1" hidden="" ht="14" outlineLevel="0" r="14273">
      <c r="A14273" s="3" t="inlineStr">
        <is>
          <t>14229</t>
        </is>
      </c>
      <c r="B14273" s="4" t="s">
        <f>=HYPERLINK("http://anyluxury.ru/shop/odezhda/futbolki/futbolka-muzhskaya-pritalennaya-regent-fit-150-rozoviy-melanzh-00553151/" , "00553151 Футболка мужская приталенная REGENT FIT розовый меланж, размер XXL")</f>
      </c>
      <c r="C14273" s="4" t="n">
        <v>651.00</v>
      </c>
      <c r="D14273" s="4"/>
    </row>
    <row collapsed="" customFormat="false" customHeight="1" hidden="" ht="14" outlineLevel="0" r="14274">
      <c r="A14274" s="3" t="inlineStr">
        <is>
          <t>14230</t>
        </is>
      </c>
      <c r="B14274" s="4" t="s">
        <f>=HYPERLINK("http://anyluxury.ru/shop/odezhda/futbolki/futbolka-muzhskaya-pritalennaya-regent-fit-150-goluboy-melanzh-00553258/" , "00553258 Футболка мужская приталенная REGENT FIT голубой меланж, размер XS")</f>
      </c>
      <c r="C14274" s="4" t="n">
        <v>651.00</v>
      </c>
      <c r="D14274" s="4"/>
    </row>
    <row collapsed="" customFormat="false" customHeight="1" hidden="" ht="14" outlineLevel="0" r="14275">
      <c r="A14275" s="3" t="inlineStr">
        <is>
          <t>14231</t>
        </is>
      </c>
      <c r="B14275" s="4" t="s">
        <f>=HYPERLINK("http://anyluxury.ru/shop/odezhda/futbolki/futbolka-muzhskaya-pritalennaya-regent-fit-150-goluboy-melanzh-00553258/" , "00553258 Футболка мужская приталенная REGENT FIT голубой меланж, размер S")</f>
      </c>
      <c r="C14275" s="4" t="n">
        <v>651.00</v>
      </c>
      <c r="D14275" s="4"/>
    </row>
    <row collapsed="" customFormat="false" customHeight="1" hidden="" ht="14" outlineLevel="0" r="14276">
      <c r="A14276" s="3" t="inlineStr">
        <is>
          <t>14232</t>
        </is>
      </c>
      <c r="B14276" s="4" t="s">
        <f>=HYPERLINK("http://anyluxury.ru/shop/odezhda/futbolki/futbolka-muzhskaya-pritalennaya-regent-fit-150-goluboy-melanzh-00553258/" , "00553258 Футболка мужская приталенная REGENT FIT голубой меланж, размер XL")</f>
      </c>
      <c r="C14276" s="4" t="n">
        <v>651.00</v>
      </c>
      <c r="D14276" s="4"/>
    </row>
    <row collapsed="" customFormat="false" customHeight="1" hidden="" ht="14" outlineLevel="0" r="14277">
      <c r="A14277" s="3" t="inlineStr">
        <is>
          <t>14233</t>
        </is>
      </c>
      <c r="B14277" s="4" t="s">
        <f>=HYPERLINK("http://anyluxury.ru/shop/odezhda/futbolki/futbolka-muzhskaya-pritalennaya-regent-fit-150-goluboy-melanzh-00553258/" , "00553258 Футболка мужская приталенная REGENT FIT голубой меланж, размер XXL")</f>
      </c>
      <c r="C14277" s="4" t="n">
        <v>651.00</v>
      </c>
      <c r="D14277" s="4"/>
    </row>
    <row collapsed="" customFormat="false" customHeight="1" hidden="" ht="14" outlineLevel="0" r="14278">
      <c r="A14278" s="3" t="inlineStr">
        <is>
          <t>14234</t>
        </is>
      </c>
      <c r="B14278" s="4" t="s">
        <f>=HYPERLINK("http://anyluxury.ru/shop/odezhda/futbolki/futbolka-muzhskaya-pritalennaya-regent-fit-150-cherniy-melanzh-00553348/" , "00553348 Футболка мужская приталенная REGENT FIT черный меланж, размер XS")</f>
      </c>
      <c r="C14278" s="4" t="n">
        <v>651.00</v>
      </c>
      <c r="D14278" s="4"/>
    </row>
    <row collapsed="" customFormat="false" customHeight="1" hidden="" ht="14" outlineLevel="0" r="14279">
      <c r="A14279" s="3" t="inlineStr">
        <is>
          <t>14235</t>
        </is>
      </c>
      <c r="B14279" s="4" t="s">
        <f>=HYPERLINK("http://anyluxury.ru/shop/odezhda/futbolki/futbolka-muzhskaya-pritalennaya-regent-fit-150-cherniy-melanzh-00553348/" , "00553348 Футболка мужская приталенная REGENT FIT черный меланж, размер S")</f>
      </c>
      <c r="C14279" s="4" t="n">
        <v>651.00</v>
      </c>
      <c r="D14279" s="4"/>
    </row>
    <row collapsed="" customFormat="false" customHeight="1" hidden="" ht="14" outlineLevel="0" r="14280">
      <c r="A14280" s="3" t="inlineStr">
        <is>
          <t>14236</t>
        </is>
      </c>
      <c r="B14280" s="4" t="s">
        <f>=HYPERLINK("http://anyluxury.ru/shop/odezhda/futbolki/futbolka-tbolka-180-temnoseraya-699410/" , "6994.10 Футболка T-Bolka 180 темно-серая, размер S")</f>
      </c>
      <c r="C14280" s="4" t="n">
        <v>629.00</v>
      </c>
      <c r="D14280" s="4"/>
    </row>
    <row collapsed="" customFormat="false" customHeight="1" hidden="" ht="14" outlineLevel="0" r="14281">
      <c r="A14281" s="3" t="inlineStr">
        <is>
          <t>14237</t>
        </is>
      </c>
      <c r="B14281" s="4" t="s">
        <f>=HYPERLINK("http://anyluxury.ru/shop/odezhda/futbolki/futbolka-tbolka-180-temnoseraya-699410/" , "6994.10 Футболка T-Bolka 180 темно-серая, размер 5XL")</f>
      </c>
      <c r="C14281" s="4" t="n">
        <v>629.00</v>
      </c>
      <c r="D14281" s="4"/>
    </row>
    <row collapsed="" customFormat="false" customHeight="1" hidden="" ht="14" outlineLevel="0" r="14282">
      <c r="A14282" s="3" t="inlineStr">
        <is>
          <t>14238</t>
        </is>
      </c>
      <c r="B14282" s="4" t="s">
        <f>=HYPERLINK("http://anyluxury.ru/shop/odezhda/futbolki/futbolka-tbolka-180-temnoseraya-699410/" , "6994.10 Футболка T-Bolka 180 темно-серая, размер S")</f>
      </c>
      <c r="C14282" s="4" t="n">
        <v>629.00</v>
      </c>
      <c r="D14282" s="4"/>
    </row>
    <row collapsed="" customFormat="false" customHeight="1" hidden="" ht="14" outlineLevel="0" r="14283">
      <c r="A14283" s="3" t="inlineStr">
        <is>
          <t>14239</t>
        </is>
      </c>
      <c r="B14283" s="4" t="s">
        <f>=HYPERLINK("http://anyluxury.ru/shop/odezhda/futbolki/futbolka-tbolka-180-temnoseraya-699410/" , "6994.10 Футболка T-Bolka 180 темно-серая, размер XXL")</f>
      </c>
      <c r="C14283" s="4" t="n">
        <v>629.00</v>
      </c>
      <c r="D14283" s="4"/>
    </row>
    <row collapsed="" customFormat="false" customHeight="1" hidden="" ht="14" outlineLevel="0" r="14284">
      <c r="A14284" s="3" t="inlineStr">
        <is>
          <t>14240</t>
        </is>
      </c>
      <c r="B14284" s="4" t="s">
        <f>=HYPERLINK("http://anyluxury.ru/shop/odezhda/futbolki/futbolka-tbolka-180-temnoseraya-699410/" , "6994.10 Футболка T-Bolka 180 темно-серая, размер XS")</f>
      </c>
      <c r="C14284" s="4" t="n">
        <v>629.00</v>
      </c>
      <c r="D14284" s="4"/>
    </row>
    <row collapsed="" customFormat="false" customHeight="1" hidden="" ht="14" outlineLevel="0" r="14285">
      <c r="A14285" s="3" t="inlineStr">
        <is>
          <t>14241</t>
        </is>
      </c>
      <c r="B14285" s="4" t="s">
        <f>=HYPERLINK("http://anyluxury.ru/shop/odezhda/futbolki/futbolka-tbolka-180-temnoseraya-699410/" , "6994.10 Футболка T-Bolka 180 темно-серая, размер 3XL")</f>
      </c>
      <c r="C14285" s="4" t="n">
        <v>629.00</v>
      </c>
      <c r="D14285" s="4"/>
    </row>
    <row collapsed="" customFormat="false" customHeight="1" hidden="" ht="14" outlineLevel="0" r="14286">
      <c r="A14286" s="3" t="inlineStr">
        <is>
          <t>14242</t>
        </is>
      </c>
      <c r="B14286" s="4" t="s">
        <f>=HYPERLINK("http://anyluxury.ru/shop/odezhda/futbolki/futbolka-tbolka-180-temnoseraya-699410/" , "6994.10 Футболка T-Bolka 180 темно-серая, размер 4XL")</f>
      </c>
      <c r="C14286" s="4" t="n">
        <v>629.00</v>
      </c>
      <c r="D14286" s="4"/>
    </row>
    <row collapsed="" customFormat="false" customHeight="1" hidden="" ht="14" outlineLevel="0" r="14287">
      <c r="A14287" s="3" t="inlineStr">
        <is>
          <t>14243</t>
        </is>
      </c>
      <c r="B14287" s="4" t="s">
        <f>=HYPERLINK("http://anyluxury.ru/shop/odezhda/futbolki/futbolka-tbolka-180-temnoseraya-699410/" , "6994.10 Футболка T-Bolka 180 темно-серая, размер 5XL")</f>
      </c>
      <c r="C14287" s="4" t="n">
        <v>629.00</v>
      </c>
      <c r="D14287" s="4"/>
    </row>
    <row collapsed="" customFormat="false" customHeight="1" hidden="" ht="14" outlineLevel="0" r="14288">
      <c r="A14288" s="3" t="inlineStr">
        <is>
          <t>14244</t>
        </is>
      </c>
      <c r="B14288" s="4" t="s">
        <f>=HYPERLINK("http://anyluxury.ru/shop/odezhda/futbolki/futbolka-firm-wear-cherniy-melanzh-1112530/" , "11125.30 Футболка Firm Wear черный меланж, размер S")</f>
      </c>
      <c r="C14288" s="4" t="n">
        <v>450.00</v>
      </c>
      <c r="D14288" s="4"/>
    </row>
    <row collapsed="" customFormat="false" customHeight="1" hidden="" ht="14" outlineLevel="0" r="14289">
      <c r="A14289" s="3" t="inlineStr">
        <is>
          <t>14245</t>
        </is>
      </c>
      <c r="B14289" s="4" t="s">
        <f>=HYPERLINK("http://anyluxury.ru/shop/odezhda/futbolki/futbolka-firm-wear-temnoseraya-1112510/" , "11125.10 Футболка Firm Wear темно-серая, размер S")</f>
      </c>
      <c r="C14289" s="4" t="n">
        <v>450.00</v>
      </c>
      <c r="D14289" s="4"/>
    </row>
    <row collapsed="" customFormat="false" customHeight="1" hidden="" ht="14" outlineLevel="0" r="14290">
      <c r="A14290" s="3" t="inlineStr">
        <is>
          <t>14246</t>
        </is>
      </c>
      <c r="B14290" s="4" t="s">
        <f>=HYPERLINK("http://anyluxury.ru/shop/odezhda/futbolki/futbolka-zhenskaya-imperial-fit-women-temnosinyaya-kobalt-02080319/" , "02080319 Футболка женская IMPERIAL FIT WOMEN темно-синяя (кобальт), размер S")</f>
      </c>
      <c r="C14290" s="4" t="n">
        <v>772.00</v>
      </c>
      <c r="D14290" s="4"/>
    </row>
    <row collapsed="" customFormat="false" customHeight="1" hidden="" ht="14" outlineLevel="0" r="14291">
      <c r="A14291" s="3" t="inlineStr">
        <is>
          <t>14247</t>
        </is>
      </c>
      <c r="B14291" s="4" t="s">
        <f>=HYPERLINK("http://anyluxury.ru/shop/odezhda/futbolki/futbolka-zhenskaya-imperial-fit-women-temnosinyaya-kobalt-02080319/" , "02080319 Футболка женская IMPERIAL FIT WOMEN темно-синяя (кобальт), размер M")</f>
      </c>
      <c r="C14291" s="4" t="n">
        <v>772.00</v>
      </c>
      <c r="D14291" s="4"/>
    </row>
    <row collapsed="" customFormat="false" customHeight="1" hidden="" ht="14" outlineLevel="0" r="14292">
      <c r="A14292" s="3" t="inlineStr">
        <is>
          <t>14248</t>
        </is>
      </c>
      <c r="B14292" s="4" t="s">
        <f>=HYPERLINK("http://anyluxury.ru/shop/odezhda/futbolki/futbolka-zhenskaya-imperial-fit-women-temnosinyaya-kobalt-02080319/" , "02080319 Футболка женская IMPERIAL FIT WOMEN темно-синяя (кобальт), размер L")</f>
      </c>
      <c r="C14292" s="4" t="n">
        <v>772.00</v>
      </c>
      <c r="D14292" s="4"/>
    </row>
    <row collapsed="" customFormat="false" customHeight="1" hidden="" ht="14" outlineLevel="0" r="14293">
      <c r="A14293" s="3" t="inlineStr">
        <is>
          <t>14249</t>
        </is>
      </c>
      <c r="B14293" s="4" t="s">
        <f>=HYPERLINK("http://anyluxury.ru/shop/odezhda/futbolki/futbolka-zhenskaya-imperial-fit-women-temnosinyaya-kobalt-02080319/" , "02080319 Футболка женская IMPERIAL FIT WOMEN темно-синяя (кобальт), размер XL")</f>
      </c>
      <c r="C14293" s="4" t="n">
        <v>772.00</v>
      </c>
      <c r="D14293" s="4"/>
    </row>
    <row collapsed="" customFormat="false" customHeight="1" hidden="" ht="14" outlineLevel="0" r="14294">
      <c r="A14294" s="3" t="inlineStr">
        <is>
          <t>14250</t>
        </is>
      </c>
      <c r="B14294" s="4" t="s">
        <f>=HYPERLINK("http://anyluxury.ru/shop/odezhda/futbolki/futbolka-zhenskaya-imperial-fit-women-temnosinyaya-kobalt-02080319/" , "02080319 Футболка женская IMPERIAL FIT WOMEN темно-синяя (кобальт), размер XXL")</f>
      </c>
      <c r="C14294" s="4" t="n">
        <v>772.00</v>
      </c>
      <c r="D14294" s="4"/>
    </row>
    <row collapsed="" customFormat="false" customHeight="1" hidden="" ht="14" outlineLevel="0" r="14295">
      <c r="A14295" s="3" t="inlineStr">
        <is>
          <t>14251</t>
        </is>
      </c>
      <c r="B14295" s="4" t="s">
        <f>=HYPERLINK("http://anyluxury.ru/shop/odezhda/futbolki/futbolka-zhenskaya-imperial-fit-women-seriy-melanzh-02080350/" , "02080350 Футболка женская IMPERIAL FIT WOMEN серый меланж, размер S")</f>
      </c>
      <c r="C14295" s="4" t="n">
        <v>772.00</v>
      </c>
      <c r="D14295" s="4"/>
    </row>
    <row collapsed="" customFormat="false" customHeight="1" hidden="" ht="14" outlineLevel="0" r="14296">
      <c r="A14296" s="3" t="inlineStr">
        <is>
          <t>14252</t>
        </is>
      </c>
      <c r="B14296" s="4" t="s">
        <f>=HYPERLINK("http://anyluxury.ru/shop/odezhda/futbolki/futbolka-zhenskaya-imperial-fit-women-seriy-melanzh-02080350/" , "02080350 Футболка женская IMPERIAL FIT WOMEN серый меланж, размер M")</f>
      </c>
      <c r="C14296" s="4" t="n">
        <v>772.00</v>
      </c>
      <c r="D14296" s="4"/>
    </row>
    <row collapsed="" customFormat="false" customHeight="1" hidden="" ht="14" outlineLevel="0" r="14297">
      <c r="A14297" s="3" t="inlineStr">
        <is>
          <t>14253</t>
        </is>
      </c>
      <c r="B14297" s="4" t="s">
        <f>=HYPERLINK("http://anyluxury.ru/shop/odezhda/futbolki/futbolka-zhenskaya-imperial-fit-women-seriy-melanzh-02080350/" , "02080350 Футболка женская IMPERIAL FIT WOMEN серый меланж, размер L")</f>
      </c>
      <c r="C14297" s="4" t="n">
        <v>772.00</v>
      </c>
      <c r="D14297" s="4"/>
    </row>
    <row collapsed="" customFormat="false" customHeight="1" hidden="" ht="14" outlineLevel="0" r="14298">
      <c r="A14298" s="3" t="inlineStr">
        <is>
          <t>14254</t>
        </is>
      </c>
      <c r="B14298" s="4" t="s">
        <f>=HYPERLINK("http://anyluxury.ru/shop/odezhda/futbolki/futbolka-zhenskaya-imperial-fit-women-seriy-melanzh-02080350/" , "02080350 Футболка женская IMPERIAL FIT WOMEN серый меланж, размер XL")</f>
      </c>
      <c r="C14298" s="4" t="n">
        <v>772.00</v>
      </c>
      <c r="D14298" s="4"/>
    </row>
    <row collapsed="" customFormat="false" customHeight="1" hidden="" ht="14" outlineLevel="0" r="14299">
      <c r="A14299" s="3" t="inlineStr">
        <is>
          <t>14255</t>
        </is>
      </c>
      <c r="B14299" s="4" t="s">
        <f>=HYPERLINK("http://anyluxury.ru/shop/odezhda/futbolki/futbolka-zhenskaya-imperial-fit-women-seriy-melanzh-02080350/" , "02080350 Футболка женская IMPERIAL FIT WOMEN серый меланж, размер XXL")</f>
      </c>
      <c r="C14299" s="4" t="n">
        <v>772.00</v>
      </c>
      <c r="D14299" s="4"/>
    </row>
    <row collapsed="" customFormat="false" customHeight="1" hidden="" ht="14" outlineLevel="0" r="14300">
      <c r="A14300" s="3" t="inlineStr">
        <is>
          <t>14256</t>
        </is>
      </c>
      <c r="B14300" s="4" t="s">
        <f>=HYPERLINK("http://anyluxury.ru/shop/odezhda/futbolki/futbolka-zhenskaya-imperial-fit-women-melanzh-haki-02080288/" , "02080288 Футболка женская IMPERIAL FIT WOMEN меланж хаки, размер S")</f>
      </c>
      <c r="C14300" s="4" t="n">
        <v>826.00</v>
      </c>
      <c r="D14300" s="4"/>
    </row>
    <row collapsed="" customFormat="false" customHeight="1" hidden="" ht="14" outlineLevel="0" r="14301">
      <c r="A14301" s="3" t="inlineStr">
        <is>
          <t>14257</t>
        </is>
      </c>
      <c r="B14301" s="4" t="s">
        <f>=HYPERLINK("http://anyluxury.ru/shop/odezhda/futbolki/futbolka-zhenskaya-imperial-fit-women-melanzh-haki-02080288/" , "02080288 Футболка женская IMPERIAL FIT WOMEN меланж хаки, размер M")</f>
      </c>
      <c r="C14301" s="4" t="n">
        <v>826.00</v>
      </c>
      <c r="D14301" s="4"/>
    </row>
    <row collapsed="" customFormat="false" customHeight="1" hidden="" ht="14" outlineLevel="0" r="14302">
      <c r="A14302" s="3" t="inlineStr">
        <is>
          <t>14258</t>
        </is>
      </c>
      <c r="B14302" s="4" t="s">
        <f>=HYPERLINK("http://anyluxury.ru/shop/odezhda/futbolki/futbolka-zhenskaya-imperial-fit-women-melanzh-haki-02080288/" , "02080288 Футболка женская IMPERIAL FIT WOMEN меланж хаки, размер L")</f>
      </c>
      <c r="C14302" s="4" t="n">
        <v>826.00</v>
      </c>
      <c r="D14302" s="4"/>
    </row>
    <row collapsed="" customFormat="false" customHeight="1" hidden="" ht="14" outlineLevel="0" r="14303">
      <c r="A14303" s="3" t="inlineStr">
        <is>
          <t>14259</t>
        </is>
      </c>
      <c r="B14303" s="4" t="s">
        <f>=HYPERLINK("http://anyluxury.ru/shop/odezhda/futbolki/futbolka-zhenskaya-imperial-fit-women-melanzh-haki-02080288/" , "02080288 Футболка женская IMPERIAL FIT WOMEN меланж хаки, размер XL")</f>
      </c>
      <c r="C14303" s="4" t="n">
        <v>826.00</v>
      </c>
      <c r="D14303" s="4"/>
    </row>
    <row collapsed="" customFormat="false" customHeight="1" hidden="" ht="14" outlineLevel="0" r="14304">
      <c r="A14304" s="3" t="inlineStr">
        <is>
          <t>14260</t>
        </is>
      </c>
      <c r="B14304" s="4" t="s">
        <f>=HYPERLINK("http://anyluxury.ru/shop/odezhda/futbolki/futbolka-zhenskaya-imperial-fit-women-melanzh-haki-02080288/" , "02080288 Футболка женская IMPERIAL FIT WOMEN меланж хаки, размер XXL")</f>
      </c>
      <c r="C14304" s="4" t="n">
        <v>826.00</v>
      </c>
      <c r="D14304" s="4"/>
    </row>
    <row collapsed="" customFormat="false" customHeight="1" hidden="" ht="14" outlineLevel="0" r="14305">
      <c r="A14305" s="3" t="inlineStr">
        <is>
          <t>14261</t>
        </is>
      </c>
      <c r="B14305" s="4" t="s">
        <f>=HYPERLINK("http://anyluxury.ru/shop/odezhda/futbolki/futbolka-zhenskaya-imperial-fit-women-temnobordovaya-02080167/" , "02080167 Футболка женская IMPERIAL FIT WOMEN темно-бордовая, размер S")</f>
      </c>
      <c r="C14305" s="4" t="n">
        <v>772.00</v>
      </c>
      <c r="D14305" s="4"/>
    </row>
    <row collapsed="" customFormat="false" customHeight="1" hidden="" ht="14" outlineLevel="0" r="14306">
      <c r="A14306" s="3" t="inlineStr">
        <is>
          <t>14262</t>
        </is>
      </c>
      <c r="B14306" s="4" t="s">
        <f>=HYPERLINK("http://anyluxury.ru/shop/odezhda/futbolki/futbolka-zhenskaya-imperial-fit-women-temnobordovaya-02080167/" , "02080167 Футболка женская IMPERIAL FIT WOMEN темно-бордовая, размер M")</f>
      </c>
      <c r="C14306" s="4" t="n">
        <v>772.00</v>
      </c>
      <c r="D14306" s="4"/>
    </row>
    <row collapsed="" customFormat="false" customHeight="1" hidden="" ht="14" outlineLevel="0" r="14307">
      <c r="A14307" s="3" t="inlineStr">
        <is>
          <t>14263</t>
        </is>
      </c>
      <c r="B14307" s="4" t="s">
        <f>=HYPERLINK("http://anyluxury.ru/shop/odezhda/futbolki/futbolka-zhenskaya-imperial-fit-women-temnobordovaya-02080167/" , "02080167 Футболка женская IMPERIAL FIT WOMEN темно-бордовая, размер L")</f>
      </c>
      <c r="C14307" s="4" t="n">
        <v>772.00</v>
      </c>
      <c r="D14307" s="4"/>
    </row>
    <row collapsed="" customFormat="false" customHeight="1" hidden="" ht="14" outlineLevel="0" r="14308">
      <c r="A14308" s="3" t="inlineStr">
        <is>
          <t>14264</t>
        </is>
      </c>
      <c r="B14308" s="4" t="s">
        <f>=HYPERLINK("http://anyluxury.ru/shop/odezhda/futbolki/futbolka-zhenskaya-imperial-fit-women-temnobordovaya-02080167/" , "02080167 Футболка женская IMPERIAL FIT WOMEN темно-бордовая, размер XL")</f>
      </c>
      <c r="C14308" s="4" t="n">
        <v>772.00</v>
      </c>
      <c r="D14308" s="4"/>
    </row>
    <row collapsed="" customFormat="false" customHeight="1" hidden="" ht="14" outlineLevel="0" r="14309">
      <c r="A14309" s="3" t="inlineStr">
        <is>
          <t>14265</t>
        </is>
      </c>
      <c r="B14309" s="4" t="s">
        <f>=HYPERLINK("http://anyluxury.ru/shop/odezhda/futbolki/futbolka-zhenskaya-imperial-fit-women-temnobordovaya-02080167/" , "02080167 Футболка женская IMPERIAL FIT WOMEN темно-бордовая, размер XXL")</f>
      </c>
      <c r="C14309" s="4" t="n">
        <v>772.00</v>
      </c>
      <c r="D14309" s="4"/>
    </row>
    <row collapsed="" customFormat="false" customHeight="1" hidden="" ht="14" outlineLevel="0" r="14310">
      <c r="A14310" s="3" t="inlineStr">
        <is>
          <t>14266</t>
        </is>
      </c>
      <c r="B14310" s="4" t="s">
        <f>=HYPERLINK("http://anyluxury.ru/shop/odezhda/futbolki/futbolka-zhenskaya-imperial-fit-women-svetloseriy-02080342/" , "02080342 Футболка женская IMPERIAL FIT WOMEN светло-серый, размер S")</f>
      </c>
      <c r="C14310" s="4" t="n">
        <v>772.00</v>
      </c>
      <c r="D14310" s="4"/>
    </row>
    <row collapsed="" customFormat="false" customHeight="1" hidden="" ht="14" outlineLevel="0" r="14311">
      <c r="A14311" s="3" t="inlineStr">
        <is>
          <t>14267</t>
        </is>
      </c>
      <c r="B14311" s="4" t="s">
        <f>=HYPERLINK("http://anyluxury.ru/shop/odezhda/futbolki/futbolka-zhenskaya-imperial-fit-women-svetloseriy-02080342/" , "02080342 Футболка женская IMPERIAL FIT WOMEN светло-серый, размер M")</f>
      </c>
      <c r="C14311" s="4" t="n">
        <v>772.00</v>
      </c>
      <c r="D14311" s="4"/>
    </row>
    <row collapsed="" customFormat="false" customHeight="1" hidden="" ht="14" outlineLevel="0" r="14312">
      <c r="A14312" s="3" t="inlineStr">
        <is>
          <t>14268</t>
        </is>
      </c>
      <c r="B14312" s="4" t="s">
        <f>=HYPERLINK("http://anyluxury.ru/shop/odezhda/futbolki/futbolka-zhenskaya-imperial-fit-women-svetloseriy-02080342/" , "02080342 Футболка женская IMPERIAL FIT WOMEN светло-серый, размер L")</f>
      </c>
      <c r="C14312" s="4" t="n">
        <v>772.00</v>
      </c>
      <c r="D14312" s="4"/>
    </row>
    <row collapsed="" customFormat="false" customHeight="1" hidden="" ht="14" outlineLevel="0" r="14313">
      <c r="A14313" s="3" t="inlineStr">
        <is>
          <t>14269</t>
        </is>
      </c>
      <c r="B14313" s="4" t="s">
        <f>=HYPERLINK("http://anyluxury.ru/shop/odezhda/futbolki/futbolka-zhenskaya-imperial-fit-women-svetloseriy-02080342/" , "02080342 Футболка женская IMPERIAL FIT WOMEN светло-серый, размер XL")</f>
      </c>
      <c r="C14313" s="4" t="n">
        <v>772.00</v>
      </c>
      <c r="D14313" s="4"/>
    </row>
    <row collapsed="" customFormat="false" customHeight="1" hidden="" ht="14" outlineLevel="0" r="14314">
      <c r="A14314" s="3" t="inlineStr">
        <is>
          <t>14270</t>
        </is>
      </c>
      <c r="B14314" s="4" t="s">
        <f>=HYPERLINK("http://anyluxury.ru/shop/odezhda/futbolki/futbolka-zhenskaya-imperial-fit-women-svetloseriy-02080342/" , "02080342 Футболка женская IMPERIAL FIT WOMEN светло-серый, размер XXL")</f>
      </c>
      <c r="C14314" s="4" t="n">
        <v>772.00</v>
      </c>
      <c r="D14314" s="4"/>
    </row>
    <row collapsed="" customFormat="false" customHeight="1" hidden="" ht="14" outlineLevel="0" r="14315">
      <c r="A14315" s="3" t="inlineStr">
        <is>
          <t>14271</t>
        </is>
      </c>
      <c r="B14315" s="4" t="s">
        <f>=HYPERLINK("http://anyluxury.ru/shop/odezhda/futbolki/futbolka-zhenskaya-regent-fit-women-temnoseraya-02758384/" , "02758384 Футболка женская REGENT FIT WOMEN темно-серая, размер S")</f>
      </c>
      <c r="C14315" s="4" t="n">
        <v>628.00</v>
      </c>
      <c r="D14315" s="4"/>
    </row>
    <row collapsed="" customFormat="false" customHeight="1" hidden="" ht="14" outlineLevel="0" r="14316">
      <c r="A14316" s="3" t="inlineStr">
        <is>
          <t>14272</t>
        </is>
      </c>
      <c r="B14316" s="4" t="s">
        <f>=HYPERLINK("http://anyluxury.ru/shop/odezhda/futbolki/futbolka-zhenskaya-regent-fit-women-temnoseraya-02758384/" , "02758384 Футболка женская REGENT FIT WOMEN темно-серая, размер M")</f>
      </c>
      <c r="C14316" s="4" t="n">
        <v>628.00</v>
      </c>
      <c r="D14316" s="4"/>
    </row>
    <row collapsed="" customFormat="false" customHeight="1" hidden="" ht="14" outlineLevel="0" r="14317">
      <c r="A14317" s="3" t="inlineStr">
        <is>
          <t>14273</t>
        </is>
      </c>
      <c r="B14317" s="4" t="s">
        <f>=HYPERLINK("http://anyluxury.ru/shop/odezhda/futbolki/futbolka-zhenskaya-regent-fit-women-temnoseraya-02758384/" , "02758384 Футболка женская REGENT FIT WOMEN темно-серая, размер L")</f>
      </c>
      <c r="C14317" s="4" t="n">
        <v>628.00</v>
      </c>
      <c r="D14317" s="4"/>
    </row>
    <row collapsed="" customFormat="false" customHeight="1" hidden="" ht="14" outlineLevel="0" r="14318">
      <c r="A14318" s="3" t="inlineStr">
        <is>
          <t>14274</t>
        </is>
      </c>
      <c r="B14318" s="4" t="s">
        <f>=HYPERLINK("http://anyluxury.ru/shop/odezhda/futbolki/futbolka-zhenskaya-regent-fit-women-temnoseraya-02758384/" , "02758384 Футболка женская REGENT FIT WOMEN темно-серая, размер XL")</f>
      </c>
      <c r="C14318" s="4" t="n">
        <v>628.00</v>
      </c>
      <c r="D14318" s="4"/>
    </row>
    <row collapsed="" customFormat="false" customHeight="1" hidden="" ht="14" outlineLevel="0" r="14319">
      <c r="A14319" s="3" t="inlineStr">
        <is>
          <t>14275</t>
        </is>
      </c>
      <c r="B14319" s="4" t="s">
        <f>=HYPERLINK("http://anyluxury.ru/shop/odezhda/futbolki/futbolka-zhenskaya-regent-fit-women-temnoseraya-02758384/" , "02758384 Футболка женская REGENT FIT WOMEN темно-серая, размер XXL")</f>
      </c>
      <c r="C14319" s="4" t="n">
        <v>628.00</v>
      </c>
      <c r="D14319" s="4"/>
    </row>
    <row collapsed="" customFormat="false" customHeight="1" hidden="" ht="14" outlineLevel="0" r="14320">
      <c r="A14320" s="3" t="inlineStr">
        <is>
          <t>14276</t>
        </is>
      </c>
      <c r="B14320" s="4" t="s">
        <f>=HYPERLINK("http://anyluxury.ru/shop/odezhda/futbolki/futbolka-zhenskaya-regent-fit-women-chernaya-02758309/" , "02758309 Футболка женская REGENT FIT WOMEN черная, размер S")</f>
      </c>
      <c r="C14320" s="4" t="n">
        <v>628.00</v>
      </c>
      <c r="D14320" s="4"/>
    </row>
    <row collapsed="" customFormat="false" customHeight="1" hidden="" ht="14" outlineLevel="0" r="14321">
      <c r="A14321" s="3" t="inlineStr">
        <is>
          <t>14277</t>
        </is>
      </c>
      <c r="B14321" s="4" t="s">
        <f>=HYPERLINK("http://anyluxury.ru/shop/odezhda/futbolki/futbolka-zhenskaya-regent-fit-women-chernaya-02758309/" , "02758309 Футболка женская REGENT FIT WOMEN черная, размер M")</f>
      </c>
      <c r="C14321" s="4" t="n">
        <v>628.00</v>
      </c>
      <c r="D14321" s="4"/>
    </row>
    <row collapsed="" customFormat="false" customHeight="1" hidden="" ht="14" outlineLevel="0" r="14322">
      <c r="A14322" s="3" t="inlineStr">
        <is>
          <t>14278</t>
        </is>
      </c>
      <c r="B14322" s="4" t="s">
        <f>=HYPERLINK("http://anyluxury.ru/shop/odezhda/futbolki/futbolka-zhenskaya-regent-fit-women-chernaya-02758309/" , "02758309 Футболка женская REGENT FIT WOMEN черная, размер L")</f>
      </c>
      <c r="C14322" s="4" t="n">
        <v>628.00</v>
      </c>
      <c r="D14322" s="4"/>
    </row>
    <row collapsed="" customFormat="false" customHeight="1" hidden="" ht="14" outlineLevel="0" r="14323">
      <c r="A14323" s="3" t="inlineStr">
        <is>
          <t>14279</t>
        </is>
      </c>
      <c r="B14323" s="4" t="s">
        <f>=HYPERLINK("http://anyluxury.ru/shop/odezhda/futbolki/futbolka-zhenskaya-regent-fit-women-chernaya-02758309/" , "02758309 Футболка женская REGENT FIT WOMEN черная, размер XL")</f>
      </c>
      <c r="C14323" s="4" t="n">
        <v>628.00</v>
      </c>
      <c r="D14323" s="4"/>
    </row>
    <row collapsed="" customFormat="false" customHeight="1" hidden="" ht="14" outlineLevel="0" r="14324">
      <c r="A14324" s="3" t="inlineStr">
        <is>
          <t>14280</t>
        </is>
      </c>
      <c r="B14324" s="4" t="s">
        <f>=HYPERLINK("http://anyluxury.ru/shop/odezhda/futbolki/futbolka-zhenskaya-regent-fit-women-chernaya-02758309/" , "02758309 Футболка женская REGENT FIT WOMEN черная, размер XXL")</f>
      </c>
      <c r="C14324" s="4" t="n">
        <v>628.00</v>
      </c>
      <c r="D14324" s="4"/>
    </row>
    <row collapsed="" customFormat="false" customHeight="1" hidden="" ht="14" outlineLevel="0" r="14325">
      <c r="A14325" s="3" t="inlineStr">
        <is>
          <t>14281</t>
        </is>
      </c>
      <c r="B14325" s="4" t="s">
        <f>=HYPERLINK("http://anyluxury.ru/shop/odezhda/futbolki/futbolka-zhenskaya-regent-fit-women-vintazhniy-siniy-02758235/" , "02758235 Футболка женская REGENT FIT WOMEN винтажный синий, размер S")</f>
      </c>
      <c r="C14325" s="4" t="n">
        <v>628.00</v>
      </c>
      <c r="D14325" s="4"/>
    </row>
    <row collapsed="" customFormat="false" customHeight="1" hidden="" ht="14" outlineLevel="0" r="14326">
      <c r="A14326" s="3" t="inlineStr">
        <is>
          <t>14282</t>
        </is>
      </c>
      <c r="B14326" s="4" t="s">
        <f>=HYPERLINK("http://anyluxury.ru/shop/odezhda/futbolki/futbolka-zhenskaya-regent-fit-women-vintazhniy-siniy-02758235/" , "02758235 Футболка женская REGENT FIT WOMEN винтажный синий, размер M")</f>
      </c>
      <c r="C14326" s="4" t="n">
        <v>628.00</v>
      </c>
      <c r="D14326" s="4"/>
    </row>
    <row collapsed="" customFormat="false" customHeight="1" hidden="" ht="14" outlineLevel="0" r="14327">
      <c r="A14327" s="3" t="inlineStr">
        <is>
          <t>14283</t>
        </is>
      </c>
      <c r="B14327" s="4" t="s">
        <f>=HYPERLINK("http://anyluxury.ru/shop/odezhda/futbolki/futbolka-zhenskaya-regent-fit-women-vintazhniy-siniy-02758235/" , "02758235 Футболка женская REGENT FIT WOMEN винтажный синий, размер L")</f>
      </c>
      <c r="C14327" s="4" t="n">
        <v>628.00</v>
      </c>
      <c r="D14327" s="4"/>
    </row>
    <row collapsed="" customFormat="false" customHeight="1" hidden="" ht="14" outlineLevel="0" r="14328">
      <c r="A14328" s="3" t="inlineStr">
        <is>
          <t>14284</t>
        </is>
      </c>
      <c r="B14328" s="4" t="s">
        <f>=HYPERLINK("http://anyluxury.ru/shop/odezhda/futbolki/futbolka-zhenskaya-regent-fit-women-vintazhniy-siniy-02758235/" , "02758235 Футболка женская REGENT FIT WOMEN винтажный синий, размер XL")</f>
      </c>
      <c r="C14328" s="4" t="n">
        <v>628.00</v>
      </c>
      <c r="D14328" s="4"/>
    </row>
    <row collapsed="" customFormat="false" customHeight="1" hidden="" ht="14" outlineLevel="0" r="14329">
      <c r="A14329" s="3" t="inlineStr">
        <is>
          <t>14285</t>
        </is>
      </c>
      <c r="B14329" s="4" t="s">
        <f>=HYPERLINK("http://anyluxury.ru/shop/odezhda/futbolki/futbolka-zhenskaya-regent-fit-women-vintazhniy-siniy-02758235/" , "02758235 Футболка женская REGENT FIT WOMEN винтажный синий, размер XXL")</f>
      </c>
      <c r="C14329" s="4" t="n">
        <v>628.00</v>
      </c>
      <c r="D14329" s="4"/>
    </row>
    <row collapsed="" customFormat="false" customHeight="1" hidden="" ht="14" outlineLevel="0" r="14330">
      <c r="A14330" s="3" t="inlineStr">
        <is>
          <t>14286</t>
        </is>
      </c>
      <c r="B14330" s="4" t="s">
        <f>=HYPERLINK("http://anyluxury.ru/shop/odezhda/futbolki/futbolka-zhenskaya-regent-fit-women-temnosinyaya-kobalt-02758319/" , "02758319 Футболка женская REGENT FIT WOMEN темно-синяя (кобальт), размер S")</f>
      </c>
      <c r="C14330" s="4" t="n">
        <v>628.00</v>
      </c>
      <c r="D14330" s="4"/>
    </row>
    <row collapsed="" customFormat="false" customHeight="1" hidden="" ht="14" outlineLevel="0" r="14331">
      <c r="A14331" s="3" t="inlineStr">
        <is>
          <t>14287</t>
        </is>
      </c>
      <c r="B14331" s="4" t="s">
        <f>=HYPERLINK("http://anyluxury.ru/shop/odezhda/futbolki/futbolka-zhenskaya-regent-fit-women-temnosinyaya-kobalt-02758319/" , "02758319 Футболка женская REGENT FIT WOMEN темно-синяя (кобальт), размер M")</f>
      </c>
      <c r="C14331" s="4" t="n">
        <v>628.00</v>
      </c>
      <c r="D14331" s="4"/>
    </row>
    <row collapsed="" customFormat="false" customHeight="1" hidden="" ht="14" outlineLevel="0" r="14332">
      <c r="A14332" s="3" t="inlineStr">
        <is>
          <t>14288</t>
        </is>
      </c>
      <c r="B14332" s="4" t="s">
        <f>=HYPERLINK("http://anyluxury.ru/shop/odezhda/futbolki/futbolka-zhenskaya-regent-fit-women-temnosinyaya-kobalt-02758319/" , "02758319 Футболка женская REGENT FIT WOMEN темно-синяя (кобальт), размер L")</f>
      </c>
      <c r="C14332" s="4" t="n">
        <v>628.00</v>
      </c>
      <c r="D14332" s="4"/>
    </row>
    <row collapsed="" customFormat="false" customHeight="1" hidden="" ht="14" outlineLevel="0" r="14333">
      <c r="A14333" s="3" t="inlineStr">
        <is>
          <t>14289</t>
        </is>
      </c>
      <c r="B14333" s="4" t="s">
        <f>=HYPERLINK("http://anyluxury.ru/shop/odezhda/futbolki/futbolka-zhenskaya-regent-fit-women-temnosinyaya-kobalt-02758319/" , "02758319 Футболка женская REGENT FIT WOMEN темно-синяя (кобальт), размер XL")</f>
      </c>
      <c r="C14333" s="4" t="n">
        <v>628.00</v>
      </c>
      <c r="D14333" s="4"/>
    </row>
    <row collapsed="" customFormat="false" customHeight="1" hidden="" ht="14" outlineLevel="0" r="14334">
      <c r="A14334" s="3" t="inlineStr">
        <is>
          <t>14290</t>
        </is>
      </c>
      <c r="B14334" s="4" t="s">
        <f>=HYPERLINK("http://anyluxury.ru/shop/odezhda/futbolki/futbolka-zhenskaya-regent-fit-women-temnosinyaya-kobalt-02758319/" , "02758319 Футболка женская REGENT FIT WOMEN темно-синяя (кобальт), размер XXL")</f>
      </c>
      <c r="C14334" s="4" t="n">
        <v>628.00</v>
      </c>
      <c r="D14334" s="4"/>
    </row>
    <row collapsed="" customFormat="false" customHeight="1" hidden="" ht="14" outlineLevel="0" r="14335">
      <c r="A14335" s="3" t="inlineStr">
        <is>
          <t>14291</t>
        </is>
      </c>
      <c r="B14335" s="4" t="s">
        <f>=HYPERLINK("http://anyluxury.ru/shop/odezhda/futbolki/futbolka-zhenskaya-regent-fit-women-seriy-melanzh-02758350/" , "02758350 Футболка женская REGENT FIT WOMEN серый меланж, размер S")</f>
      </c>
      <c r="C14335" s="4" t="n">
        <v>628.00</v>
      </c>
      <c r="D14335" s="4"/>
    </row>
    <row collapsed="" customFormat="false" customHeight="1" hidden="" ht="14" outlineLevel="0" r="14336">
      <c r="A14336" s="3" t="inlineStr">
        <is>
          <t>14292</t>
        </is>
      </c>
      <c r="B14336" s="4" t="s">
        <f>=HYPERLINK("http://anyluxury.ru/shop/odezhda/futbolki/futbolka-zhenskaya-regent-fit-women-seriy-melanzh-02758350/" , "02758350 Футболка женская REGENT FIT WOMEN серый меланж, размер M")</f>
      </c>
      <c r="C14336" s="4" t="n">
        <v>628.00</v>
      </c>
      <c r="D14336" s="4"/>
    </row>
    <row collapsed="" customFormat="false" customHeight="1" hidden="" ht="14" outlineLevel="0" r="14337">
      <c r="A14337" s="3" t="inlineStr">
        <is>
          <t>14293</t>
        </is>
      </c>
      <c r="B14337" s="4" t="s">
        <f>=HYPERLINK("http://anyluxury.ru/shop/odezhda/futbolki/futbolka-zhenskaya-regent-fit-women-seriy-melanzh-02758350/" , "02758350 Футболка женская REGENT FIT WOMEN серый меланж, размер L")</f>
      </c>
      <c r="C14337" s="4" t="n">
        <v>628.00</v>
      </c>
      <c r="D14337" s="4"/>
    </row>
    <row collapsed="" customFormat="false" customHeight="1" hidden="" ht="14" outlineLevel="0" r="14338">
      <c r="A14338" s="3" t="inlineStr">
        <is>
          <t>14294</t>
        </is>
      </c>
      <c r="B14338" s="4" t="s">
        <f>=HYPERLINK("http://anyluxury.ru/shop/odezhda/futbolki/futbolka-zhenskaya-regent-fit-women-seriy-melanzh-02758350/" , "02758350 Футболка женская REGENT FIT WOMEN серый меланж, размер XL")</f>
      </c>
      <c r="C14338" s="4" t="n">
        <v>628.00</v>
      </c>
      <c r="D14338" s="4"/>
    </row>
    <row collapsed="" customFormat="false" customHeight="1" hidden="" ht="14" outlineLevel="0" r="14339">
      <c r="A14339" s="3" t="inlineStr">
        <is>
          <t>14295</t>
        </is>
      </c>
      <c r="B14339" s="4" t="s">
        <f>=HYPERLINK("http://anyluxury.ru/shop/odezhda/futbolki/futbolka-zhenskaya-regent-fit-women-seriy-melanzh-02758350/" , "02758350 Футболка женская REGENT FIT WOMEN серый меланж, размер XXL")</f>
      </c>
      <c r="C14339" s="4" t="n">
        <v>628.00</v>
      </c>
      <c r="D14339" s="4"/>
    </row>
    <row collapsed="" customFormat="false" customHeight="1" hidden="" ht="14" outlineLevel="0" r="14340">
      <c r="A14340" s="3" t="inlineStr">
        <is>
          <t>14296</t>
        </is>
      </c>
      <c r="B14340" s="4" t="s">
        <f>=HYPERLINK("http://anyluxury.ru/shop/odezhda/futbolki/futbolka-zhenskaya-regent-fit-women-yarkozelenaya-02758272/" , "02758272 Футболка женская REGENT FIT WOMEN ярко-зеленая, размер S")</f>
      </c>
      <c r="C14340" s="4" t="n">
        <v>628.00</v>
      </c>
      <c r="D14340" s="4"/>
    </row>
    <row collapsed="" customFormat="false" customHeight="1" hidden="" ht="14" outlineLevel="0" r="14341">
      <c r="A14341" s="3" t="inlineStr">
        <is>
          <t>14297</t>
        </is>
      </c>
      <c r="B14341" s="4" t="s">
        <f>=HYPERLINK("http://anyluxury.ru/shop/odezhda/futbolki/futbolka-zhenskaya-regent-fit-women-yarkozelenaya-02758272/" , "02758272 Футболка женская REGENT FIT WOMEN ярко-зеленая, размер M")</f>
      </c>
      <c r="C14341" s="4" t="n">
        <v>628.00</v>
      </c>
      <c r="D14341" s="4"/>
    </row>
    <row collapsed="" customFormat="false" customHeight="1" hidden="" ht="14" outlineLevel="0" r="14342">
      <c r="A14342" s="3" t="inlineStr">
        <is>
          <t>14298</t>
        </is>
      </c>
      <c r="B14342" s="4" t="s">
        <f>=HYPERLINK("http://anyluxury.ru/shop/odezhda/futbolki/futbolka-zhenskaya-regent-fit-women-yarkozelenaya-02758272/" , "02758272 Футболка женская REGENT FIT WOMEN ярко-зеленая, размер L")</f>
      </c>
      <c r="C14342" s="4" t="n">
        <v>628.00</v>
      </c>
      <c r="D14342" s="4"/>
    </row>
    <row collapsed="" customFormat="false" customHeight="1" hidden="" ht="14" outlineLevel="0" r="14343">
      <c r="A14343" s="3" t="inlineStr">
        <is>
          <t>14299</t>
        </is>
      </c>
      <c r="B14343" s="4" t="s">
        <f>=HYPERLINK("http://anyluxury.ru/shop/odezhda/futbolki/futbolka-zhenskaya-regent-fit-women-yarkozelenaya-02758272/" , "02758272 Футболка женская REGENT FIT WOMEN ярко-зеленая, размер XL")</f>
      </c>
      <c r="C14343" s="4" t="n">
        <v>628.00</v>
      </c>
      <c r="D14343" s="4"/>
    </row>
    <row collapsed="" customFormat="false" customHeight="1" hidden="" ht="14" outlineLevel="0" r="14344">
      <c r="A14344" s="3" t="inlineStr">
        <is>
          <t>14300</t>
        </is>
      </c>
      <c r="B14344" s="4" t="s">
        <f>=HYPERLINK("http://anyluxury.ru/shop/odezhda/futbolki/futbolka-zhenskaya-regent-fit-women-yarkozelenaya-02758272/" , "02758272 Футболка женская REGENT FIT WOMEN ярко-зеленая, размер XXL")</f>
      </c>
      <c r="C14344" s="4" t="n">
        <v>628.00</v>
      </c>
      <c r="D14344" s="4"/>
    </row>
    <row collapsed="" customFormat="false" customHeight="1" hidden="" ht="14" outlineLevel="0" r="14345">
      <c r="A14345" s="3" t="inlineStr">
        <is>
          <t>14301</t>
        </is>
      </c>
      <c r="B14345" s="4" t="s">
        <f>=HYPERLINK("http://anyluxury.ru/shop/odezhda/futbolki/futbolka-zhenskaya-regent-fit-women-temnobordovaya-02758167/" , "02758167 Футболка женская REGENT FIT WOMEN темно-бордовая, размер S")</f>
      </c>
      <c r="C14345" s="4" t="n">
        <v>628.00</v>
      </c>
      <c r="D14345" s="4"/>
    </row>
    <row collapsed="" customFormat="false" customHeight="1" hidden="" ht="14" outlineLevel="0" r="14346">
      <c r="A14346" s="3" t="inlineStr">
        <is>
          <t>14302</t>
        </is>
      </c>
      <c r="B14346" s="4" t="s">
        <f>=HYPERLINK("http://anyluxury.ru/shop/odezhda/futbolki/futbolka-zhenskaya-regent-fit-women-temnobordovaya-02758167/" , "02758167 Футболка женская REGENT FIT WOMEN темно-бордовая, размер M")</f>
      </c>
      <c r="C14346" s="4" t="n">
        <v>628.00</v>
      </c>
      <c r="D14346" s="4"/>
    </row>
    <row collapsed="" customFormat="false" customHeight="1" hidden="" ht="14" outlineLevel="0" r="14347">
      <c r="A14347" s="3" t="inlineStr">
        <is>
          <t>14303</t>
        </is>
      </c>
      <c r="B14347" s="4" t="s">
        <f>=HYPERLINK("http://anyluxury.ru/shop/odezhda/futbolki/futbolka-zhenskaya-regent-fit-women-temnobordovaya-02758167/" , "02758167 Футболка женская REGENT FIT WOMEN темно-бордовая, размер L")</f>
      </c>
      <c r="C14347" s="4" t="n">
        <v>628.00</v>
      </c>
      <c r="D14347" s="4"/>
    </row>
    <row collapsed="" customFormat="false" customHeight="1" hidden="" ht="14" outlineLevel="0" r="14348">
      <c r="A14348" s="3" t="inlineStr">
        <is>
          <t>14304</t>
        </is>
      </c>
      <c r="B14348" s="4" t="s">
        <f>=HYPERLINK("http://anyluxury.ru/shop/odezhda/futbolki/futbolka-zhenskaya-regent-fit-women-temnobordovaya-02758167/" , "02758167 Футболка женская REGENT FIT WOMEN темно-бордовая, размер XL")</f>
      </c>
      <c r="C14348" s="4" t="n">
        <v>628.00</v>
      </c>
      <c r="D14348" s="4"/>
    </row>
    <row collapsed="" customFormat="false" customHeight="1" hidden="" ht="14" outlineLevel="0" r="14349">
      <c r="A14349" s="3" t="inlineStr">
        <is>
          <t>14305</t>
        </is>
      </c>
      <c r="B14349" s="4" t="s">
        <f>=HYPERLINK("http://anyluxury.ru/shop/odezhda/futbolki/futbolka-zhenskaya-regent-fit-women-temnobordovaya-02758167/" , "02758167 Футболка женская REGENT FIT WOMEN темно-бордовая, размер XXL")</f>
      </c>
      <c r="C14349" s="4" t="n">
        <v>628.00</v>
      </c>
      <c r="D14349" s="4"/>
    </row>
    <row collapsed="" customFormat="false" customHeight="1" hidden="" ht="14" outlineLevel="0" r="14350">
      <c r="A14350" s="3" t="inlineStr">
        <is>
          <t>14306</t>
        </is>
      </c>
      <c r="B14350" s="4" t="s">
        <f>=HYPERLINK("http://anyluxury.ru/shop/odezhda/futbolki/futbolka-zhenskaya-regent-fit-women-svetloseraya-02758342/" , "02758342 Футболка женская REGENT FIT WOMEN светло-серая, размер S")</f>
      </c>
      <c r="C14350" s="4" t="n">
        <v>526.00</v>
      </c>
      <c r="D14350" s="4"/>
    </row>
    <row collapsed="" customFormat="false" customHeight="1" hidden="" ht="14" outlineLevel="0" r="14351">
      <c r="A14351" s="3" t="inlineStr">
        <is>
          <t>14307</t>
        </is>
      </c>
      <c r="B14351" s="4" t="s">
        <f>=HYPERLINK("http://anyluxury.ru/shop/odezhda/futbolki/futbolka-zhenskaya-regent-fit-women-svetloseraya-02758342/" , "02758342 Футболка женская REGENT FIT WOMEN светло-серая, размер M")</f>
      </c>
      <c r="C14351" s="4" t="n">
        <v>526.00</v>
      </c>
      <c r="D14351" s="4"/>
    </row>
    <row collapsed="" customFormat="false" customHeight="1" hidden="" ht="14" outlineLevel="0" r="14352">
      <c r="A14352" s="3" t="inlineStr">
        <is>
          <t>14308</t>
        </is>
      </c>
      <c r="B14352" s="4" t="s">
        <f>=HYPERLINK("http://anyluxury.ru/shop/odezhda/futbolki/futbolka-zhenskaya-regent-fit-women-svetloseraya-02758342/" , "02758342 Футболка женская REGENT FIT WOMEN светло-серая, размер L")</f>
      </c>
      <c r="C14352" s="4" t="n">
        <v>526.00</v>
      </c>
      <c r="D14352" s="4"/>
    </row>
    <row collapsed="" customFormat="false" customHeight="1" hidden="" ht="14" outlineLevel="0" r="14353">
      <c r="A14353" s="3" t="inlineStr">
        <is>
          <t>14309</t>
        </is>
      </c>
      <c r="B14353" s="4" t="s">
        <f>=HYPERLINK("http://anyluxury.ru/shop/odezhda/futbolki/futbolka-zhenskaya-regent-fit-women-svetloseraya-02758342/" , "02758342 Футболка женская REGENT FIT WOMEN светло-серая, размер XL")</f>
      </c>
      <c r="C14353" s="4" t="n">
        <v>526.00</v>
      </c>
      <c r="D14353" s="4"/>
    </row>
    <row collapsed="" customFormat="false" customHeight="1" hidden="" ht="14" outlineLevel="0" r="14354">
      <c r="A14354" s="3" t="inlineStr">
        <is>
          <t>14310</t>
        </is>
      </c>
      <c r="B14354" s="4" t="s">
        <f>=HYPERLINK("http://anyluxury.ru/shop/odezhda/futbolki/futbolka-zhenskaya-regent-fit-women-svetloseraya-02758342/" , "02758342 Футболка женская REGENT FIT WOMEN светло-серая, размер XXL")</f>
      </c>
      <c r="C14354" s="4" t="n">
        <v>526.00</v>
      </c>
      <c r="D14354" s="4"/>
    </row>
    <row collapsed="" customFormat="false" customHeight="1" hidden="" ht="14" outlineLevel="0" r="14355">
      <c r="A14355" s="3" t="inlineStr">
        <is>
          <t>14311</t>
        </is>
      </c>
      <c r="B14355" s="4" t="s">
        <f>=HYPERLINK("http://anyluxury.ru/shop/odezhda/futbolki/futbolka-zhenskaya-regent-fit-women-krasnaya-02758145/" , "02758145 Футболка женская REGENT FIT WOMEN красная, размер S")</f>
      </c>
      <c r="C14355" s="4" t="n">
        <v>628.00</v>
      </c>
      <c r="D14355" s="4"/>
    </row>
    <row collapsed="" customFormat="false" customHeight="1" hidden="" ht="14" outlineLevel="0" r="14356">
      <c r="A14356" s="3" t="inlineStr">
        <is>
          <t>14312</t>
        </is>
      </c>
      <c r="B14356" s="4" t="s">
        <f>=HYPERLINK("http://anyluxury.ru/shop/odezhda/futbolki/futbolka-zhenskaya-regent-fit-women-krasnaya-02758145/" , "02758145 Футболка женская REGENT FIT WOMEN красная, размер M")</f>
      </c>
      <c r="C14356" s="4" t="n">
        <v>628.00</v>
      </c>
      <c r="D14356" s="4"/>
    </row>
    <row collapsed="" customFormat="false" customHeight="1" hidden="" ht="14" outlineLevel="0" r="14357">
      <c r="A14357" s="3" t="inlineStr">
        <is>
          <t>14313</t>
        </is>
      </c>
      <c r="B14357" s="4" t="s">
        <f>=HYPERLINK("http://anyluxury.ru/shop/odezhda/futbolki/futbolka-zhenskaya-regent-fit-women-krasnaya-02758145/" , "02758145 Футболка женская REGENT FIT WOMEN красная, размер L")</f>
      </c>
      <c r="C14357" s="4" t="n">
        <v>628.00</v>
      </c>
      <c r="D14357" s="4"/>
    </row>
    <row collapsed="" customFormat="false" customHeight="1" hidden="" ht="14" outlineLevel="0" r="14358">
      <c r="A14358" s="3" t="inlineStr">
        <is>
          <t>14314</t>
        </is>
      </c>
      <c r="B14358" s="4" t="s">
        <f>=HYPERLINK("http://anyluxury.ru/shop/odezhda/futbolki/futbolka-zhenskaya-regent-fit-women-krasnaya-02758145/" , "02758145 Футболка женская REGENT FIT WOMEN красная, размер XL")</f>
      </c>
      <c r="C14358" s="4" t="n">
        <v>628.00</v>
      </c>
      <c r="D14358" s="4"/>
    </row>
    <row collapsed="" customFormat="false" customHeight="1" hidden="" ht="14" outlineLevel="0" r="14359">
      <c r="A14359" s="3" t="inlineStr">
        <is>
          <t>14315</t>
        </is>
      </c>
      <c r="B14359" s="4" t="s">
        <f>=HYPERLINK("http://anyluxury.ru/shop/odezhda/futbolki/futbolka-zhenskaya-regent-fit-women-krasnaya-02758145/" , "02758145 Футболка женская REGENT FIT WOMEN красная, размер XXL")</f>
      </c>
      <c r="C14359" s="4" t="n">
        <v>628.00</v>
      </c>
      <c r="D14359" s="4"/>
    </row>
    <row collapsed="" customFormat="false" customHeight="1" hidden="" ht="14" outlineLevel="0" r="14360">
      <c r="A14360" s="3" t="inlineStr">
        <is>
          <t>14316</t>
        </is>
      </c>
      <c r="B14360" s="4" t="s">
        <f>=HYPERLINK("http://anyluxury.ru/shop/odezhda/futbolki/futbolka-zhenskaya-regent-fit-women-yarkosinyaya-02758241/" , "02758241 Футболка женская REGENT FIT WOMEN ярко-синяя, размер S")</f>
      </c>
      <c r="C14360" s="4" t="n">
        <v>628.00</v>
      </c>
      <c r="D14360" s="4"/>
    </row>
    <row collapsed="" customFormat="false" customHeight="1" hidden="" ht="14" outlineLevel="0" r="14361">
      <c r="A14361" s="3" t="inlineStr">
        <is>
          <t>14317</t>
        </is>
      </c>
      <c r="B14361" s="4" t="s">
        <f>=HYPERLINK("http://anyluxury.ru/shop/odezhda/futbolki/futbolka-zhenskaya-regent-fit-women-yarkosinyaya-02758241/" , "02758241 Футболка женская REGENT FIT WOMEN ярко-синяя, размер M")</f>
      </c>
      <c r="C14361" s="4" t="n">
        <v>628.00</v>
      </c>
      <c r="D14361" s="4"/>
    </row>
    <row collapsed="" customFormat="false" customHeight="1" hidden="" ht="14" outlineLevel="0" r="14362">
      <c r="A14362" s="3" t="inlineStr">
        <is>
          <t>14318</t>
        </is>
      </c>
      <c r="B14362" s="4" t="s">
        <f>=HYPERLINK("http://anyluxury.ru/shop/odezhda/futbolki/futbolka-zhenskaya-regent-fit-women-yarkosinyaya-02758241/" , "02758241 Футболка женская REGENT FIT WOMEN ярко-синяя, размер L")</f>
      </c>
      <c r="C14362" s="4" t="n">
        <v>628.00</v>
      </c>
      <c r="D14362" s="4"/>
    </row>
    <row collapsed="" customFormat="false" customHeight="1" hidden="" ht="14" outlineLevel="0" r="14363">
      <c r="A14363" s="3" t="inlineStr">
        <is>
          <t>14319</t>
        </is>
      </c>
      <c r="B14363" s="4" t="s">
        <f>=HYPERLINK("http://anyluxury.ru/shop/odezhda/futbolki/futbolka-zhenskaya-regent-fit-women-yarkosinyaya-02758241/" , "02758241 Футболка женская REGENT FIT WOMEN ярко-синяя, размер XL")</f>
      </c>
      <c r="C14363" s="4" t="n">
        <v>628.00</v>
      </c>
      <c r="D14363" s="4"/>
    </row>
    <row collapsed="" customFormat="false" customHeight="1" hidden="" ht="14" outlineLevel="0" r="14364">
      <c r="A14364" s="3" t="inlineStr">
        <is>
          <t>14320</t>
        </is>
      </c>
      <c r="B14364" s="4" t="s">
        <f>=HYPERLINK("http://anyluxury.ru/shop/odezhda/futbolki/futbolka-zhenskaya-regent-fit-women-yarkosinyaya-02758241/" , "02758241 Футболка женская REGENT FIT WOMEN ярко-синяя, размер XXL")</f>
      </c>
      <c r="C14364" s="4" t="n">
        <v>628.00</v>
      </c>
      <c r="D14364" s="4"/>
    </row>
    <row collapsed="" customFormat="false" customHeight="1" hidden="" ht="14" outlineLevel="0" r="14365">
      <c r="A14365" s="3" t="inlineStr">
        <is>
          <t>14321</t>
        </is>
      </c>
      <c r="B14365" s="4" t="s">
        <f>=HYPERLINK("http://anyluxury.ru/shop/odezhda/futbolki/mayka-muzhskaya-sporty-tt-men-zeleniy-neon-02073286/" , "02073286 Майка мужская SPORTY TT MEN зеленый неон, размер S")</f>
      </c>
      <c r="C14365" s="4" t="n">
        <v>577.00</v>
      </c>
      <c r="D14365" s="4"/>
    </row>
    <row collapsed="" customFormat="false" customHeight="1" hidden="" ht="14" outlineLevel="0" r="14366">
      <c r="A14366" s="3" t="inlineStr">
        <is>
          <t>14322</t>
        </is>
      </c>
      <c r="B14366" s="4" t="s">
        <f>=HYPERLINK("http://anyluxury.ru/shop/odezhda/futbolki/mayka-muzhskaya-sporty-tt-men-zeleniy-neon-02073286/" , "02073286 Майка мужская SPORTY TT MEN зеленый неон, размер M")</f>
      </c>
      <c r="C14366" s="4" t="n">
        <v>577.00</v>
      </c>
      <c r="D14366" s="4"/>
    </row>
    <row collapsed="" customFormat="false" customHeight="1" hidden="" ht="14" outlineLevel="0" r="14367">
      <c r="A14367" s="3" t="inlineStr">
        <is>
          <t>14323</t>
        </is>
      </c>
      <c r="B14367" s="4" t="s">
        <f>=HYPERLINK("http://anyluxury.ru/shop/odezhda/futbolki/mayka-muzhskaya-sporty-tt-men-zeleniy-neon-02073286/" , "02073286 Майка мужская SPORTY TT MEN зеленый неон, размер L")</f>
      </c>
      <c r="C14367" s="4" t="n">
        <v>577.00</v>
      </c>
      <c r="D14367" s="4"/>
    </row>
    <row collapsed="" customFormat="false" customHeight="1" hidden="" ht="14" outlineLevel="0" r="14368">
      <c r="A14368" s="3" t="inlineStr">
        <is>
          <t>14324</t>
        </is>
      </c>
      <c r="B14368" s="4" t="s">
        <f>=HYPERLINK("http://anyluxury.ru/shop/odezhda/futbolki/mayka-muzhskaya-sporty-tt-men-zeleniy-neon-02073286/" , "02073286 Майка мужская SPORTY TT MEN зеленый неон, размер XL")</f>
      </c>
      <c r="C14368" s="4" t="n">
        <v>577.00</v>
      </c>
      <c r="D14368" s="4"/>
    </row>
    <row collapsed="" customFormat="false" customHeight="1" hidden="" ht="14" outlineLevel="0" r="14369">
      <c r="A14369" s="3" t="inlineStr">
        <is>
          <t>14325</t>
        </is>
      </c>
      <c r="B14369" s="4" t="s">
        <f>=HYPERLINK("http://anyluxury.ru/shop/odezhda/futbolki/mayka-muzhskaya-sporty-tt-men-zeleniy-neon-02073286/" , "02073286 Майка мужская SPORTY TT MEN зеленый неон, размер XXL")</f>
      </c>
      <c r="C14369" s="4" t="n">
        <v>577.00</v>
      </c>
      <c r="D14369" s="4"/>
    </row>
    <row collapsed="" customFormat="false" customHeight="1" hidden="" ht="14" outlineLevel="0" r="14370">
      <c r="A14370" s="3" t="inlineStr">
        <is>
          <t>14326</t>
        </is>
      </c>
      <c r="B14370" s="4" t="s">
        <f>=HYPERLINK("http://anyluxury.ru/shop/odezhda/futbolki/mayka-muzhskaya-sporty-tt-men-zeleniy-neon-02073286/" , "02073286 Майка мужская SPORTY TT MEN зеленый неон, размер 3XL")</f>
      </c>
      <c r="C14370" s="4" t="n">
        <v>663.00</v>
      </c>
      <c r="D14370" s="4"/>
    </row>
    <row collapsed="" customFormat="false" customHeight="1" hidden="" ht="14" outlineLevel="0" r="14371">
      <c r="A14371" s="3" t="inlineStr">
        <is>
          <t>14327</t>
        </is>
      </c>
      <c r="B14371" s="4" t="s">
        <f>=HYPERLINK("http://anyluxury.ru/shop/odezhda/futbolki/mayka-muzhskaya-sporty-tt-men-oranzheviy-neon-02073404/" , "02073404 Майка мужская SPORTY TT MEN оранжевый неон, размер S")</f>
      </c>
      <c r="C14371" s="4" t="n">
        <v>577.00</v>
      </c>
      <c r="D14371" s="4"/>
    </row>
    <row collapsed="" customFormat="false" customHeight="1" hidden="" ht="14" outlineLevel="0" r="14372">
      <c r="A14372" s="3" t="inlineStr">
        <is>
          <t>14328</t>
        </is>
      </c>
      <c r="B14372" s="4" t="s">
        <f>=HYPERLINK("http://anyluxury.ru/shop/odezhda/futbolki/mayka-muzhskaya-sporty-tt-men-oranzheviy-neon-02073404/" , "02073404 Майка мужская SPORTY TT MEN оранжевый неон, размер M")</f>
      </c>
      <c r="C14372" s="4" t="n">
        <v>577.00</v>
      </c>
      <c r="D14372" s="4"/>
    </row>
    <row collapsed="" customFormat="false" customHeight="1" hidden="" ht="14" outlineLevel="0" r="14373">
      <c r="A14373" s="3" t="inlineStr">
        <is>
          <t>14329</t>
        </is>
      </c>
      <c r="B14373" s="4" t="s">
        <f>=HYPERLINK("http://anyluxury.ru/shop/odezhda/futbolki/mayka-muzhskaya-sporty-tt-men-oranzheviy-neon-02073404/" , "02073404 Майка мужская SPORTY TT MEN оранжевый неон, размер L")</f>
      </c>
      <c r="C14373" s="4" t="n">
        <v>577.00</v>
      </c>
      <c r="D14373" s="4"/>
    </row>
    <row collapsed="" customFormat="false" customHeight="1" hidden="" ht="14" outlineLevel="0" r="14374">
      <c r="A14374" s="3" t="inlineStr">
        <is>
          <t>14330</t>
        </is>
      </c>
      <c r="B14374" s="4" t="s">
        <f>=HYPERLINK("http://anyluxury.ru/shop/odezhda/futbolki/mayka-muzhskaya-sporty-tt-men-oranzheviy-neon-02073404/" , "02073404 Майка мужская SPORTY TT MEN оранжевый неон, размер XL")</f>
      </c>
      <c r="C14374" s="4" t="n">
        <v>577.00</v>
      </c>
      <c r="D14374" s="4"/>
    </row>
    <row collapsed="" customFormat="false" customHeight="1" hidden="" ht="14" outlineLevel="0" r="14375">
      <c r="A14375" s="3" t="inlineStr">
        <is>
          <t>14331</t>
        </is>
      </c>
      <c r="B14375" s="4" t="s">
        <f>=HYPERLINK("http://anyluxury.ru/shop/odezhda/futbolki/mayka-muzhskaya-sporty-tt-men-oranzheviy-neon-02073404/" , "02073404 Майка мужская SPORTY TT MEN оранжевый неон, размер XXL")</f>
      </c>
      <c r="C14375" s="4" t="n">
        <v>577.00</v>
      </c>
      <c r="D14375" s="4"/>
    </row>
    <row collapsed="" customFormat="false" customHeight="1" hidden="" ht="14" outlineLevel="0" r="14376">
      <c r="A14376" s="3" t="inlineStr">
        <is>
          <t>14332</t>
        </is>
      </c>
      <c r="B14376" s="4" t="s">
        <f>=HYPERLINK("http://anyluxury.ru/shop/odezhda/futbolki/mayka-muzhskaya-sporty-tt-men-oranzheviy-neon-02073404/" , "02073404 Майка мужская SPORTY TT MEN оранжевый неон, размер 3XL")</f>
      </c>
      <c r="C14376" s="4" t="n">
        <v>663.00</v>
      </c>
      <c r="D14376" s="4"/>
    </row>
    <row collapsed="" customFormat="false" customHeight="1" hidden="" ht="14" outlineLevel="0" r="14377">
      <c r="A14377" s="3" t="inlineStr">
        <is>
          <t>14333</t>
        </is>
      </c>
      <c r="B14377" s="4" t="s">
        <f>=HYPERLINK("http://anyluxury.ru/shop/odezhda/futbolki/mayka-muzhskaya-sporty-tt-men-zheltiy-neon-02073306/" , "02073306 Майка мужская SPORTY TT MEN желтый неон, размер S")</f>
      </c>
      <c r="C14377" s="4" t="n">
        <v>577.00</v>
      </c>
      <c r="D14377" s="4"/>
    </row>
    <row collapsed="" customFormat="false" customHeight="1" hidden="" ht="14" outlineLevel="0" r="14378">
      <c r="A14378" s="3" t="inlineStr">
        <is>
          <t>14334</t>
        </is>
      </c>
      <c r="B14378" s="4" t="s">
        <f>=HYPERLINK("http://anyluxury.ru/shop/odezhda/futbolki/mayka-muzhskaya-sporty-tt-men-zheltiy-neon-02073306/" , "02073306 Майка мужская SPORTY TT MEN желтый неон, размер M")</f>
      </c>
      <c r="C14378" s="4" t="n">
        <v>577.00</v>
      </c>
      <c r="D14378" s="4"/>
    </row>
    <row collapsed="" customFormat="false" customHeight="1" hidden="" ht="14" outlineLevel="0" r="14379">
      <c r="A14379" s="3" t="inlineStr">
        <is>
          <t>14335</t>
        </is>
      </c>
      <c r="B14379" s="4" t="s">
        <f>=HYPERLINK("http://anyluxury.ru/shop/odezhda/futbolki/mayka-muzhskaya-sporty-tt-men-zheltiy-neon-02073306/" , "02073306 Майка мужская SPORTY TT MEN желтый неон, размер L")</f>
      </c>
      <c r="C14379" s="4" t="n">
        <v>577.00</v>
      </c>
      <c r="D14379" s="4"/>
    </row>
    <row collapsed="" customFormat="false" customHeight="1" hidden="" ht="14" outlineLevel="0" r="14380">
      <c r="A14380" s="3" t="inlineStr">
        <is>
          <t>14336</t>
        </is>
      </c>
      <c r="B14380" s="4" t="s">
        <f>=HYPERLINK("http://anyluxury.ru/shop/odezhda/futbolki/mayka-muzhskaya-sporty-tt-men-zheltiy-neon-02073306/" , "02073306 Майка мужская SPORTY TT MEN желтый неон, размер XL")</f>
      </c>
      <c r="C14380" s="4" t="n">
        <v>577.00</v>
      </c>
      <c r="D14380" s="4"/>
    </row>
    <row collapsed="" customFormat="false" customHeight="1" hidden="" ht="14" outlineLevel="0" r="14381">
      <c r="A14381" s="3" t="inlineStr">
        <is>
          <t>14337</t>
        </is>
      </c>
      <c r="B14381" s="4" t="s">
        <f>=HYPERLINK("http://anyluxury.ru/shop/odezhda/futbolki/mayka-muzhskaya-sporty-tt-men-zheltiy-neon-02073306/" , "02073306 Майка мужская SPORTY TT MEN желтый неон, размер XXL")</f>
      </c>
      <c r="C14381" s="4" t="n">
        <v>577.00</v>
      </c>
      <c r="D14381" s="4"/>
    </row>
    <row collapsed="" customFormat="false" customHeight="1" hidden="" ht="14" outlineLevel="0" r="14382">
      <c r="A14382" s="3" t="inlineStr">
        <is>
          <t>14338</t>
        </is>
      </c>
      <c r="B14382" s="4" t="s">
        <f>=HYPERLINK("http://anyluxury.ru/shop/odezhda/futbolki/mayka-muzhskaya-sporty-tt-men-zheltiy-neon-02073306/" , "02073306 Майка мужская SPORTY TT MEN желтый неон, размер 3XL")</f>
      </c>
      <c r="C14382" s="4" t="n">
        <v>663.00</v>
      </c>
      <c r="D14382" s="4"/>
    </row>
    <row collapsed="" customFormat="false" customHeight="1" hidden="" ht="14" outlineLevel="0" r="14383">
      <c r="A14383" s="3" t="inlineStr">
        <is>
          <t>14339</t>
        </is>
      </c>
      <c r="B14383" s="4" t="s">
        <f>=HYPERLINK("http://anyluxury.ru/shop/odezhda/futbolki/mayka-zhenskaya-sporty-tt-women-yarkobiryuzovaya-02117321/" , "02117321 Майка женская SPORTY TT WOMEN ярко-бирюзовая, размер XS")</f>
      </c>
      <c r="C14383" s="4" t="n">
        <v>558.00</v>
      </c>
      <c r="D14383" s="4"/>
    </row>
    <row collapsed="" customFormat="false" customHeight="1" hidden="" ht="14" outlineLevel="0" r="14384">
      <c r="A14384" s="3" t="inlineStr">
        <is>
          <t>14340</t>
        </is>
      </c>
      <c r="B14384" s="4" t="s">
        <f>=HYPERLINK("http://anyluxury.ru/shop/odezhda/futbolki/mayka-zhenskaya-sporty-tt-women-yarkobiryuzovaya-02117321/" , "02117321 Майка женская SPORTY TT WOMEN ярко-бирюзовая, размер S")</f>
      </c>
      <c r="C14384" s="4" t="n">
        <v>558.00</v>
      </c>
      <c r="D14384" s="4"/>
    </row>
    <row collapsed="" customFormat="false" customHeight="1" hidden="" ht="14" outlineLevel="0" r="14385">
      <c r="A14385" s="3" t="inlineStr">
        <is>
          <t>14341</t>
        </is>
      </c>
      <c r="B14385" s="4" t="s">
        <f>=HYPERLINK("http://anyluxury.ru/shop/odezhda/futbolki/mayka-zhenskaya-sporty-tt-women-yarkobiryuzovaya-02117321/" , "02117321 Майка женская SPORTY TT WOMEN ярко-бирюзовая, размер M")</f>
      </c>
      <c r="C14385" s="4" t="n">
        <v>558.00</v>
      </c>
      <c r="D14385" s="4"/>
    </row>
    <row collapsed="" customFormat="false" customHeight="1" hidden="" ht="14" outlineLevel="0" r="14386">
      <c r="A14386" s="3" t="inlineStr">
        <is>
          <t>14342</t>
        </is>
      </c>
      <c r="B14386" s="4" t="s">
        <f>=HYPERLINK("http://anyluxury.ru/shop/odezhda/futbolki/mayka-zhenskaya-sporty-tt-women-yarkobiryuzovaya-02117321/" , "02117321 Майка женская SPORTY TT WOMEN ярко-бирюзовая, размер L")</f>
      </c>
      <c r="C14386" s="4" t="n">
        <v>558.00</v>
      </c>
      <c r="D14386" s="4"/>
    </row>
    <row collapsed="" customFormat="false" customHeight="1" hidden="" ht="14" outlineLevel="0" r="14387">
      <c r="A14387" s="3" t="inlineStr">
        <is>
          <t>14343</t>
        </is>
      </c>
      <c r="B14387" s="4" t="s">
        <f>=HYPERLINK("http://anyluxury.ru/shop/odezhda/futbolki/mayka-zhenskaya-sporty-tt-women-yarkobiryuzovaya-02117321/" , "02117321 Майка женская SPORTY TT WOMEN ярко-бирюзовая, размер XL")</f>
      </c>
      <c r="C14387" s="4" t="n">
        <v>558.00</v>
      </c>
      <c r="D14387" s="4"/>
    </row>
    <row collapsed="" customFormat="false" customHeight="1" hidden="" ht="14" outlineLevel="0" r="14388">
      <c r="A14388" s="3" t="inlineStr">
        <is>
          <t>14344</t>
        </is>
      </c>
      <c r="B14388" s="4" t="s">
        <f>=HYPERLINK("http://anyluxury.ru/shop/odezhda/futbolki/mayka-zhenskaya-sporty-tt-women-yarkobiryuzovaya-02117321/" , "02117321 Майка женская SPORTY TT WOMEN ярко-бирюзовая, размер XXL")</f>
      </c>
      <c r="C14388" s="4" t="n">
        <v>558.00</v>
      </c>
      <c r="D14388" s="4"/>
    </row>
    <row collapsed="" customFormat="false" customHeight="1" hidden="" ht="14" outlineLevel="0" r="14389">
      <c r="A14389" s="3" t="inlineStr">
        <is>
          <t>14345</t>
        </is>
      </c>
      <c r="B14389" s="4" t="s">
        <f>=HYPERLINK("http://anyluxury.ru/shop/odezhda/futbolki/mayka-zhenskaya-sporty-tt-women-oranzheviy-neon-02117404/" , "02117404 Майка женская SPORTY TT WOMEN оранжевый неон, размер XS")</f>
      </c>
      <c r="C14389" s="4" t="n">
        <v>558.00</v>
      </c>
      <c r="D14389" s="4"/>
    </row>
    <row collapsed="" customFormat="false" customHeight="1" hidden="" ht="14" outlineLevel="0" r="14390">
      <c r="A14390" s="3" t="inlineStr">
        <is>
          <t>14346</t>
        </is>
      </c>
      <c r="B14390" s="4" t="s">
        <f>=HYPERLINK("http://anyluxury.ru/shop/odezhda/futbolki/mayka-zhenskaya-sporty-tt-women-oranzheviy-neon-02117404/" , "02117404 Майка женская SPORTY TT WOMEN оранжевый неон, размер S")</f>
      </c>
      <c r="C14390" s="4" t="n">
        <v>558.00</v>
      </c>
      <c r="D14390" s="4"/>
    </row>
    <row collapsed="" customFormat="false" customHeight="1" hidden="" ht="14" outlineLevel="0" r="14391">
      <c r="A14391" s="3" t="inlineStr">
        <is>
          <t>14347</t>
        </is>
      </c>
      <c r="B14391" s="4" t="s">
        <f>=HYPERLINK("http://anyluxury.ru/shop/odezhda/futbolki/mayka-zhenskaya-sporty-tt-women-oranzheviy-neon-02117404/" , "02117404 Майка женская SPORTY TT WOMEN оранжевый неон, размер M")</f>
      </c>
      <c r="C14391" s="4" t="n">
        <v>558.00</v>
      </c>
      <c r="D14391" s="4"/>
    </row>
    <row collapsed="" customFormat="false" customHeight="1" hidden="" ht="14" outlineLevel="0" r="14392">
      <c r="A14392" s="3" t="inlineStr">
        <is>
          <t>14348</t>
        </is>
      </c>
      <c r="B14392" s="4" t="s">
        <f>=HYPERLINK("http://anyluxury.ru/shop/odezhda/futbolki/mayka-zhenskaya-sporty-tt-women-oranzheviy-neon-02117404/" , "02117404 Майка женская SPORTY TT WOMEN оранжевый неон, размер L")</f>
      </c>
      <c r="C14392" s="4" t="n">
        <v>558.00</v>
      </c>
      <c r="D14392" s="4"/>
    </row>
    <row collapsed="" customFormat="false" customHeight="1" hidden="" ht="14" outlineLevel="0" r="14393">
      <c r="A14393" s="3" t="inlineStr">
        <is>
          <t>14349</t>
        </is>
      </c>
      <c r="B14393" s="4" t="s">
        <f>=HYPERLINK("http://anyluxury.ru/shop/odezhda/futbolki/mayka-zhenskaya-sporty-tt-women-oranzheviy-neon-02117404/" , "02117404 Майка женская SPORTY TT WOMEN оранжевый неон, размер XL")</f>
      </c>
      <c r="C14393" s="4" t="n">
        <v>558.00</v>
      </c>
      <c r="D14393" s="4"/>
    </row>
    <row collapsed="" customFormat="false" customHeight="1" hidden="" ht="14" outlineLevel="0" r="14394">
      <c r="A14394" s="3" t="inlineStr">
        <is>
          <t>14350</t>
        </is>
      </c>
      <c r="B14394" s="4" t="s">
        <f>=HYPERLINK("http://anyluxury.ru/shop/odezhda/futbolki/mayka-zhenskaya-sporty-tt-women-oranzheviy-neon-02117404/" , "02117404 Майка женская SPORTY TT WOMEN оранжевый неон, размер XXL")</f>
      </c>
      <c r="C14394" s="4" t="n">
        <v>558.00</v>
      </c>
      <c r="D14394" s="4"/>
    </row>
    <row collapsed="" customFormat="false" customHeight="1" hidden="" ht="14" outlineLevel="0" r="14395">
      <c r="A14395" s="3" t="inlineStr">
        <is>
          <t>14351</t>
        </is>
      </c>
      <c r="B14395" s="4" t="s">
        <f>=HYPERLINK("http://anyluxury.ru/shop/odezhda/futbolki/futbolka-muzhskaya-rainbow-men-yarkosinyaya-s-yarkozelenim-03108877/" , "03108877 Футболка мужская Rainbow Men, ярко-синяя с ярко-зеленым, размер S")</f>
      </c>
      <c r="C14395" s="4" t="n">
        <v>1508.00</v>
      </c>
      <c r="D14395" s="4"/>
    </row>
    <row collapsed="" customFormat="false" customHeight="1" hidden="" ht="14" outlineLevel="0" r="14396">
      <c r="A14396" s="3" t="inlineStr">
        <is>
          <t>14352</t>
        </is>
      </c>
      <c r="B14396" s="4" t="s">
        <f>=HYPERLINK("http://anyluxury.ru/shop/odezhda/futbolki/futbolka-muzhskaya-rainbow-men-yarkosinyaya-s-yarkozelenim-03108877/" , "03108877 Футболка мужская Rainbow Men, ярко-синяя с ярко-зеленым, размер M")</f>
      </c>
      <c r="C14396" s="4" t="n">
        <v>1508.00</v>
      </c>
      <c r="D14396" s="4"/>
    </row>
    <row collapsed="" customFormat="false" customHeight="1" hidden="" ht="14" outlineLevel="0" r="14397">
      <c r="A14397" s="3" t="inlineStr">
        <is>
          <t>14353</t>
        </is>
      </c>
      <c r="B14397" s="4" t="s">
        <f>=HYPERLINK("http://anyluxury.ru/shop/odezhda/futbolki/futbolka-muzhskaya-rainbow-men-yarkosinyaya-s-yarkozelenim-03108877/" , "03108877 Футболка мужская Rainbow Men, ярко-синяя с ярко-зеленым, размер L")</f>
      </c>
      <c r="C14397" s="4" t="n">
        <v>1508.00</v>
      </c>
      <c r="D14397" s="4"/>
    </row>
    <row collapsed="" customFormat="false" customHeight="1" hidden="" ht="14" outlineLevel="0" r="14398">
      <c r="A14398" s="3" t="inlineStr">
        <is>
          <t>14354</t>
        </is>
      </c>
      <c r="B14398" s="4" t="s">
        <f>=HYPERLINK("http://anyluxury.ru/shop/odezhda/futbolki/futbolka-muzhskaya-rainbow-men-yarkosinyaya-s-yarkozelenim-03108877/" , "03108877 Футболка мужская Rainbow Men, ярко-синяя с ярко-зеленым, размер XL")</f>
      </c>
      <c r="C14398" s="4" t="n">
        <v>1508.00</v>
      </c>
      <c r="D14398" s="4"/>
    </row>
    <row collapsed="" customFormat="false" customHeight="1" hidden="" ht="14" outlineLevel="0" r="14399">
      <c r="A14399" s="3" t="inlineStr">
        <is>
          <t>14355</t>
        </is>
      </c>
      <c r="B14399" s="4" t="s">
        <f>=HYPERLINK("http://anyluxury.ru/shop/odezhda/futbolki/futbolka-muzhskaya-rainbow-men-yarkosinyaya-s-yarkozelenim-03108877/" , "03108877 Футболка мужская Rainbow Men, ярко-синяя с ярко-зеленым, размер XXL")</f>
      </c>
      <c r="C14399" s="4" t="n">
        <v>1508.00</v>
      </c>
      <c r="D14399" s="4"/>
    </row>
    <row collapsed="" customFormat="false" customHeight="1" hidden="" ht="14" outlineLevel="0" r="14400">
      <c r="A14400" s="3" t="inlineStr">
        <is>
          <t>14356</t>
        </is>
      </c>
      <c r="B14400" s="4" t="s">
        <f>=HYPERLINK("http://anyluxury.ru/shop/odezhda/futbolki/futbolka-muzhskaya-rainbow-men-yarkosinyaya-s-yarkozelenim-03108877/" , "03108877 Футболка мужская Rainbow Men, ярко-синяя с ярко-зеленым, размер 3XL")</f>
      </c>
      <c r="C14400" s="4" t="n">
        <v>1634.00</v>
      </c>
      <c r="D14400" s="4"/>
    </row>
    <row collapsed="" customFormat="false" customHeight="1" hidden="" ht="14" outlineLevel="0" r="14401">
      <c r="A14401" s="3" t="inlineStr">
        <is>
          <t>14357</t>
        </is>
      </c>
      <c r="B14401" s="4" t="s">
        <f>=HYPERLINK("http://anyluxury.ru/shop/odezhda/futbolki/futbolka-muzhskaya-rainbow-men-yarkosinyaya-s-yarkozelenim-03108877/" , "03108877 Футболка мужская Rainbow Men, ярко-синяя с ярко-зеленым, размер 4XL")</f>
      </c>
      <c r="C14401" s="4" t="n">
        <v>1634.00</v>
      </c>
      <c r="D14401" s="4"/>
    </row>
    <row collapsed="" customFormat="false" customHeight="1" hidden="" ht="14" outlineLevel="0" r="14402">
      <c r="A14402" s="3" t="inlineStr">
        <is>
          <t>14358</t>
        </is>
      </c>
      <c r="B14402" s="4" t="s">
        <f>=HYPERLINK("http://anyluxury.ru/shop/odezhda/futbolki/futbolka-muzhskaya-rainbow-men-chernaya-s-mnogocvetnim-03108878/" , "03108878 Футболка мужская Rainbow Men, черная с многоцветным, размер S")</f>
      </c>
      <c r="C14402" s="4" t="n">
        <v>1508.00</v>
      </c>
      <c r="D14402" s="4"/>
    </row>
    <row collapsed="" customFormat="false" customHeight="1" hidden="" ht="14" outlineLevel="0" r="14403">
      <c r="A14403" s="3" t="inlineStr">
        <is>
          <t>14359</t>
        </is>
      </c>
      <c r="B14403" s="4" t="s">
        <f>=HYPERLINK("http://anyluxury.ru/shop/odezhda/futbolki/futbolka-muzhskaya-rainbow-men-chernaya-s-mnogocvetnim-03108878/" , "03108878 Футболка мужская Rainbow Men, черная с многоцветным, размер M")</f>
      </c>
      <c r="C14403" s="4" t="n">
        <v>1508.00</v>
      </c>
      <c r="D14403" s="4"/>
    </row>
    <row collapsed="" customFormat="false" customHeight="1" hidden="" ht="14" outlineLevel="0" r="14404">
      <c r="A14404" s="3" t="inlineStr">
        <is>
          <t>14360</t>
        </is>
      </c>
      <c r="B14404" s="4" t="s">
        <f>=HYPERLINK("http://anyluxury.ru/shop/odezhda/futbolki/futbolka-muzhskaya-rainbow-men-chernaya-s-mnogocvetnim-03108878/" , "03108878 Футболка мужская Rainbow Men, черная с многоцветным, размер L")</f>
      </c>
      <c r="C14404" s="4" t="n">
        <v>1508.00</v>
      </c>
      <c r="D14404" s="4"/>
    </row>
    <row collapsed="" customFormat="false" customHeight="1" hidden="" ht="14" outlineLevel="0" r="14405">
      <c r="A14405" s="3" t="inlineStr">
        <is>
          <t>14361</t>
        </is>
      </c>
      <c r="B14405" s="4" t="s">
        <f>=HYPERLINK("http://anyluxury.ru/shop/odezhda/futbolki/futbolka-muzhskaya-rainbow-men-chernaya-s-mnogocvetnim-03108878/" , "03108878 Футболка мужская Rainbow Men, черная с многоцветным, размер XL")</f>
      </c>
      <c r="C14405" s="4" t="n">
        <v>1508.00</v>
      </c>
      <c r="D14405" s="4"/>
    </row>
    <row collapsed="" customFormat="false" customHeight="1" hidden="" ht="14" outlineLevel="0" r="14406">
      <c r="A14406" s="3" t="inlineStr">
        <is>
          <t>14362</t>
        </is>
      </c>
      <c r="B14406" s="4" t="s">
        <f>=HYPERLINK("http://anyluxury.ru/shop/odezhda/futbolki/futbolka-muzhskaya-rainbow-men-chernaya-s-mnogocvetnim-03108878/" , "03108878 Футболка мужская Rainbow Men, черная с многоцветным, размер XXL")</f>
      </c>
      <c r="C14406" s="4" t="n">
        <v>1508.00</v>
      </c>
      <c r="D14406" s="4"/>
    </row>
    <row collapsed="" customFormat="false" customHeight="1" hidden="" ht="14" outlineLevel="0" r="14407">
      <c r="A14407" s="3" t="inlineStr">
        <is>
          <t>14363</t>
        </is>
      </c>
      <c r="B14407" s="4" t="s">
        <f>=HYPERLINK("http://anyluxury.ru/shop/odezhda/futbolki/futbolka-muzhskaya-rainbow-men-chernaya-s-mnogocvetnim-03108878/" , "03108878 Футболка мужская Rainbow Men, черная с многоцветным, размер 3XL")</f>
      </c>
      <c r="C14407" s="4" t="n">
        <v>1634.00</v>
      </c>
      <c r="D14407" s="4"/>
    </row>
    <row collapsed="" customFormat="false" customHeight="1" hidden="" ht="14" outlineLevel="0" r="14408">
      <c r="A14408" s="3" t="inlineStr">
        <is>
          <t>14364</t>
        </is>
      </c>
      <c r="B14408" s="4" t="s">
        <f>=HYPERLINK("http://anyluxury.ru/shop/odezhda/futbolki/futbolka-muzhskaya-rainbow-men-chernaya-s-mnogocvetnim-03108878/" , "03108878 Футболка мужская Rainbow Men, черная с многоцветным, размер 4XL")</f>
      </c>
      <c r="C14408" s="4" t="n">
        <v>1634.00</v>
      </c>
      <c r="D14408" s="4"/>
    </row>
    <row collapsed="" customFormat="false" customHeight="1" hidden="" ht="14" outlineLevel="0" r="14409">
      <c r="A14409" s="3" t="inlineStr">
        <is>
          <t>14365</t>
        </is>
      </c>
      <c r="B14409" s="4" t="s">
        <f>=HYPERLINK("http://anyluxury.ru/shop/odezhda/futbolki/futbolka-imperial-190-sinyaya-lavandovaya-11500205/" , "11500205 Футболка IMPERIAL 190, синяя (лавандовая), размер S")</f>
      </c>
      <c r="C14409" s="4" t="n">
        <v>697.00</v>
      </c>
      <c r="D14409" s="4"/>
    </row>
    <row collapsed="" customFormat="false" customHeight="1" hidden="" ht="14" outlineLevel="0" r="14410">
      <c r="A14410" s="3" t="inlineStr">
        <is>
          <t>14366</t>
        </is>
      </c>
      <c r="B14410" s="4" t="s">
        <f>=HYPERLINK("http://anyluxury.ru/shop/odezhda/futbolki/futbolka-imperial-190-sinyaya-lavandovaya-11500205/" , "11500205 Футболка IMPERIAL 190, синяя (лавандовая), размер M")</f>
      </c>
      <c r="C14410" s="4" t="n">
        <v>697.00</v>
      </c>
      <c r="D14410" s="4"/>
    </row>
    <row collapsed="" customFormat="false" customHeight="1" hidden="" ht="14" outlineLevel="0" r="14411">
      <c r="A14411" s="3" t="inlineStr">
        <is>
          <t>14367</t>
        </is>
      </c>
      <c r="B14411" s="4" t="s">
        <f>=HYPERLINK("http://anyluxury.ru/shop/odezhda/futbolki/futbolka-imperial-190-sinyaya-lavandovaya-11500205/" , "11500205 Футболка IMPERIAL 190, синяя (лавандовая), размер L")</f>
      </c>
      <c r="C14411" s="4" t="n">
        <v>697.00</v>
      </c>
      <c r="D14411" s="4"/>
    </row>
    <row collapsed="" customFormat="false" customHeight="1" hidden="" ht="14" outlineLevel="0" r="14412">
      <c r="A14412" s="3" t="inlineStr">
        <is>
          <t>14368</t>
        </is>
      </c>
      <c r="B14412" s="4" t="s">
        <f>=HYPERLINK("http://anyluxury.ru/shop/odezhda/futbolki/futbolka-imperial-190-sinyaya-lavandovaya-11500205/" , "11500205 Футболка IMPERIAL 190, синяя (лавандовая), размер XL")</f>
      </c>
      <c r="C14412" s="4" t="n">
        <v>697.00</v>
      </c>
      <c r="D14412" s="4"/>
    </row>
    <row collapsed="" customFormat="false" customHeight="1" hidden="" ht="14" outlineLevel="0" r="14413">
      <c r="A14413" s="3" t="inlineStr">
        <is>
          <t>14369</t>
        </is>
      </c>
      <c r="B14413" s="4" t="s">
        <f>=HYPERLINK("http://anyluxury.ru/shop/odezhda/futbolki/futbolka-imperial-190-sinyaya-lavandovaya-11500205/" , "11500205 Футболка IMPERIAL 190, синяя (лавандовая), размер XXL")</f>
      </c>
      <c r="C14413" s="4" t="n">
        <v>697.00</v>
      </c>
      <c r="D14413" s="4"/>
    </row>
    <row collapsed="" customFormat="false" customHeight="1" hidden="" ht="14" outlineLevel="0" r="14414">
      <c r="A14414" s="3" t="inlineStr">
        <is>
          <t>14370</t>
        </is>
      </c>
      <c r="B14414" s="4" t="s">
        <f>=HYPERLINK("http://anyluxury.ru/shop/odezhda/futbolki/futbolka-imperial-190-sinyaya-lavandovaya-11500205/" , "11500205 Футболка IMPERIAL 190, синяя (лавандовая), размер 3XL")</f>
      </c>
      <c r="C14414" s="4" t="n">
        <v>820.00</v>
      </c>
      <c r="D14414" s="4"/>
    </row>
    <row collapsed="" customFormat="false" customHeight="1" hidden="" ht="14" outlineLevel="0" r="14415">
      <c r="A14415" s="3" t="inlineStr">
        <is>
          <t>14371</t>
        </is>
      </c>
      <c r="B14415" s="4" t="s">
        <f>=HYPERLINK("http://anyluxury.ru/shop/odezhda/futbolki/futbolka-imperial-190-korichnevaya-terrakotovaya-11500407/" , "11500407 Футболка IMPERIAL 190, коричневая (терракотовая), размер S")</f>
      </c>
      <c r="C14415" s="4" t="n">
        <v>697.00</v>
      </c>
      <c r="D14415" s="4"/>
    </row>
    <row collapsed="" customFormat="false" customHeight="1" hidden="" ht="14" outlineLevel="0" r="14416">
      <c r="A14416" s="3" t="inlineStr">
        <is>
          <t>14372</t>
        </is>
      </c>
      <c r="B14416" s="4" t="s">
        <f>=HYPERLINK("http://anyluxury.ru/shop/odezhda/futbolki/futbolka-imperial-190-korichnevaya-terrakotovaya-11500407/" , "11500407 Футболка IMPERIAL 190, коричневая (терракотовая), размер M")</f>
      </c>
      <c r="C14416" s="4" t="n">
        <v>697.00</v>
      </c>
      <c r="D14416" s="4"/>
    </row>
    <row collapsed="" customFormat="false" customHeight="1" hidden="" ht="14" outlineLevel="0" r="14417">
      <c r="A14417" s="3" t="inlineStr">
        <is>
          <t>14373</t>
        </is>
      </c>
      <c r="B14417" s="4" t="s">
        <f>=HYPERLINK("http://anyluxury.ru/shop/odezhda/futbolki/futbolka-imperial-190-korichnevaya-terrakotovaya-11500407/" , "11500407 Футболка IMPERIAL 190, коричневая (терракотовая), размер L")</f>
      </c>
      <c r="C14417" s="4" t="n">
        <v>697.00</v>
      </c>
      <c r="D14417" s="4"/>
    </row>
    <row collapsed="" customFormat="false" customHeight="1" hidden="" ht="14" outlineLevel="0" r="14418">
      <c r="A14418" s="3" t="inlineStr">
        <is>
          <t>14374</t>
        </is>
      </c>
      <c r="B14418" s="4" t="s">
        <f>=HYPERLINK("http://anyluxury.ru/shop/odezhda/futbolki/futbolka-imperial-190-korichnevaya-terrakotovaya-11500407/" , "11500407 Футболка IMPERIAL 190, коричневая (терракотовая), размер XL")</f>
      </c>
      <c r="C14418" s="4" t="n">
        <v>697.00</v>
      </c>
      <c r="D14418" s="4"/>
    </row>
    <row collapsed="" customFormat="false" customHeight="1" hidden="" ht="14" outlineLevel="0" r="14419">
      <c r="A14419" s="3" t="inlineStr">
        <is>
          <t>14375</t>
        </is>
      </c>
      <c r="B14419" s="4" t="s">
        <f>=HYPERLINK("http://anyluxury.ru/shop/odezhda/futbolki/futbolka-imperial-190-korichnevaya-terrakotovaya-11500407/" , "11500407 Футболка IMPERIAL 190, коричневая (терракотовая), размер XXL")</f>
      </c>
      <c r="C14419" s="4" t="n">
        <v>697.00</v>
      </c>
      <c r="D14419" s="4"/>
    </row>
    <row collapsed="" customFormat="false" customHeight="1" hidden="" ht="14" outlineLevel="0" r="14420">
      <c r="A14420" s="3" t="inlineStr">
        <is>
          <t>14376</t>
        </is>
      </c>
      <c r="B14420" s="4" t="s">
        <f>=HYPERLINK("http://anyluxury.ru/shop/odezhda/futbolki/futbolka-regent-150-temnoseraya-11380384/" , "11380384 Футболка REGENT 150, темно-серая, размер XS")</f>
      </c>
      <c r="C14420" s="4" t="n">
        <v>531.00</v>
      </c>
      <c r="D14420" s="4"/>
    </row>
    <row collapsed="" customFormat="false" customHeight="1" hidden="" ht="14" outlineLevel="0" r="14421">
      <c r="A14421" s="3" t="inlineStr">
        <is>
          <t>14377</t>
        </is>
      </c>
      <c r="B14421" s="4" t="s">
        <f>=HYPERLINK("http://anyluxury.ru/shop/odezhda/futbolki/futbolka-regent-150-temnoseraya-11380384/" , "11380384 Футболка REGENT 150, темно-серая, размер S")</f>
      </c>
      <c r="C14421" s="4" t="n">
        <v>531.00</v>
      </c>
      <c r="D14421" s="4"/>
    </row>
    <row collapsed="" customFormat="false" customHeight="1" hidden="" ht="14" outlineLevel="0" r="14422">
      <c r="A14422" s="3" t="inlineStr">
        <is>
          <t>14378</t>
        </is>
      </c>
      <c r="B14422" s="4" t="s">
        <f>=HYPERLINK("http://anyluxury.ru/shop/odezhda/futbolki/futbolka-regent-150-temnoseraya-11380384/" , "11380384 Футболка REGENT 150, темно-серая, размер XL")</f>
      </c>
      <c r="C14422" s="4" t="n">
        <v>531.00</v>
      </c>
      <c r="D14422" s="4"/>
    </row>
    <row collapsed="" customFormat="false" customHeight="1" hidden="" ht="14" outlineLevel="0" r="14423">
      <c r="A14423" s="3" t="inlineStr">
        <is>
          <t>14379</t>
        </is>
      </c>
      <c r="B14423" s="4" t="s">
        <f>=HYPERLINK("http://anyluxury.ru/shop/odezhda/futbolki/futbolka-regent-150-temnoseraya-11380384/" , "11380384 Футболка REGENT 150, темно-серая, размер 3XL")</f>
      </c>
      <c r="C14423" s="4" t="n">
        <v>630.00</v>
      </c>
      <c r="D14423" s="4"/>
    </row>
    <row collapsed="" customFormat="false" customHeight="1" hidden="" ht="14" outlineLevel="0" r="14424">
      <c r="A14424" s="3" t="inlineStr">
        <is>
          <t>14380</t>
        </is>
      </c>
      <c r="B14424" s="4" t="s">
        <f>=HYPERLINK("http://anyluxury.ru/shop/odezhda/futbolki/futbolka-zhenskaya-metropolitan-svetlorozovaya-02079143/" , "02079143 Футболка женская METROPOLITAN, розовая, размер S")</f>
      </c>
      <c r="C14424" s="4" t="n">
        <v>620.00</v>
      </c>
      <c r="D14424" s="4"/>
    </row>
    <row collapsed="" customFormat="false" customHeight="1" hidden="" ht="14" outlineLevel="0" r="14425">
      <c r="A14425" s="3" t="inlineStr">
        <is>
          <t>14381</t>
        </is>
      </c>
      <c r="B14425" s="4" t="s">
        <f>=HYPERLINK("http://anyluxury.ru/shop/odezhda/futbolki/futbolka-zhenskaya-metropolitan-svetlorozovaya-02079143/" , "02079143 Футболка женская METROPOLITAN, розовая, размер L")</f>
      </c>
      <c r="C14425" s="4" t="n">
        <v>620.00</v>
      </c>
      <c r="D14425" s="4"/>
    </row>
    <row collapsed="" customFormat="false" customHeight="1" hidden="" ht="14" outlineLevel="0" r="14426">
      <c r="A14426" s="3" t="inlineStr">
        <is>
          <t>14382</t>
        </is>
      </c>
      <c r="B14426" s="4" t="s">
        <f>=HYPERLINK("http://anyluxury.ru/shop/odezhda/futbolki/futbolka-zhenskaya-metropolitan-svetlorozovaya-02079143/" , "02079143 Футболка женская METROPOLITAN, розовая, размер XL")</f>
      </c>
      <c r="C14426" s="4" t="n">
        <v>620.00</v>
      </c>
      <c r="D14426" s="4"/>
    </row>
    <row collapsed="" customFormat="false" customHeight="1" hidden="" ht="14" outlineLevel="0" r="14427">
      <c r="A14427" s="3" t="inlineStr">
        <is>
          <t>14383</t>
        </is>
      </c>
      <c r="B14427" s="4" t="s">
        <f>=HYPERLINK("http://anyluxury.ru/shop/odezhda/futbolki/futbolka-zhenskaya-metropolitan-svetlorozovaya-02079143/" , "02079143 Футболка женская METROPOLITAN, розовая, размер XXL")</f>
      </c>
      <c r="C14427" s="4" t="n">
        <v>620.00</v>
      </c>
      <c r="D14427" s="4"/>
    </row>
    <row collapsed="" customFormat="false" customHeight="1" hidden="" ht="14" outlineLevel="0" r="14428">
      <c r="A14428" s="3" t="inlineStr">
        <is>
          <t>14384</t>
        </is>
      </c>
      <c r="B14428" s="4" t="s">
        <f>=HYPERLINK("http://anyluxury.ru/shop/odezhda/futbolki/futbolka-zhenskaya-metropolitan-yarkosinyaya-02079241/" , "02079241 Футболка женская METROPOLITAN, ярко-синяя, размер S")</f>
      </c>
      <c r="C14428" s="4" t="n">
        <v>620.00</v>
      </c>
      <c r="D14428" s="4"/>
    </row>
    <row collapsed="" customFormat="false" customHeight="1" hidden="" ht="14" outlineLevel="0" r="14429">
      <c r="A14429" s="3" t="inlineStr">
        <is>
          <t>14385</t>
        </is>
      </c>
      <c r="B14429" s="4" t="s">
        <f>=HYPERLINK("http://anyluxury.ru/shop/odezhda/futbolki/futbolka-zhenskaya-metropolitan-yarkosinyaya-02079241/" , "02079241 Футболка женская METROPOLITAN, ярко-синяя, размер M")</f>
      </c>
      <c r="C14429" s="4" t="n">
        <v>620.00</v>
      </c>
      <c r="D14429" s="4"/>
    </row>
    <row collapsed="" customFormat="false" customHeight="1" hidden="" ht="14" outlineLevel="0" r="14430">
      <c r="A14430" s="3" t="inlineStr">
        <is>
          <t>14386</t>
        </is>
      </c>
      <c r="B14430" s="4" t="s">
        <f>=HYPERLINK("http://anyluxury.ru/shop/odezhda/futbolki/futbolka-zhenskaya-metropolitan-yarkosinyaya-02079241/" , "02079241 Футболка женская METROPOLITAN, ярко-синяя, размер L")</f>
      </c>
      <c r="C14430" s="4" t="n">
        <v>620.00</v>
      </c>
      <c r="D14430" s="4"/>
    </row>
    <row collapsed="" customFormat="false" customHeight="1" hidden="" ht="14" outlineLevel="0" r="14431">
      <c r="A14431" s="3" t="inlineStr">
        <is>
          <t>14387</t>
        </is>
      </c>
      <c r="B14431" s="4" t="s">
        <f>=HYPERLINK("http://anyluxury.ru/shop/odezhda/futbolki/futbolka-zhenskaya-metropolitan-yarkosinyaya-02079241/" , "02079241 Футболка женская METROPOLITAN, ярко-синяя, размер XL")</f>
      </c>
      <c r="C14431" s="4" t="n">
        <v>620.00</v>
      </c>
      <c r="D14431" s="4"/>
    </row>
    <row collapsed="" customFormat="false" customHeight="1" hidden="" ht="14" outlineLevel="0" r="14432">
      <c r="A14432" s="3" t="inlineStr">
        <is>
          <t>14388</t>
        </is>
      </c>
      <c r="B14432" s="4" t="s">
        <f>=HYPERLINK("http://anyluxury.ru/shop/odezhda/futbolki/futbolka-zhenskaya-metropolitan-yarkosinyaya-02079241/" , "02079241 Футболка женская METROPOLITAN, ярко-синяя, размер XXL")</f>
      </c>
      <c r="C14432" s="4" t="n">
        <v>620.00</v>
      </c>
      <c r="D14432" s="4"/>
    </row>
    <row collapsed="" customFormat="false" customHeight="1" hidden="" ht="14" outlineLevel="0" r="14433">
      <c r="A14433" s="3" t="inlineStr">
        <is>
          <t>14389</t>
        </is>
      </c>
      <c r="B14433" s="4" t="s">
        <f>=HYPERLINK("http://anyluxury.ru/shop/odezhda/futbolki/futbolka-zhenskaya-metropolitan-izumrudnozelenaya-02079270/" , "02079270 Футболка женская METROPOLITAN, изумрудно-зеленая, размер S")</f>
      </c>
      <c r="C14433" s="4" t="n">
        <v>620.00</v>
      </c>
      <c r="D14433" s="4"/>
    </row>
    <row collapsed="" customFormat="false" customHeight="1" hidden="" ht="14" outlineLevel="0" r="14434">
      <c r="A14434" s="3" t="inlineStr">
        <is>
          <t>14390</t>
        </is>
      </c>
      <c r="B14434" s="4" t="s">
        <f>=HYPERLINK("http://anyluxury.ru/shop/odezhda/futbolki/futbolka-zhenskaya-metropolitan-izumrudnozelenaya-02079270/" , "02079270 Футболка женская METROPOLITAN, изумрудно-зеленая, размер M")</f>
      </c>
      <c r="C14434" s="4" t="n">
        <v>620.00</v>
      </c>
      <c r="D14434" s="4"/>
    </row>
    <row collapsed="" customFormat="false" customHeight="1" hidden="" ht="14" outlineLevel="0" r="14435">
      <c r="A14435" s="3" t="inlineStr">
        <is>
          <t>14391</t>
        </is>
      </c>
      <c r="B14435" s="4" t="s">
        <f>=HYPERLINK("http://anyluxury.ru/shop/odezhda/futbolki/futbolka-zhenskaya-metropolitan-izumrudnozelenaya-02079270/" , "02079270 Футболка женская METROPOLITAN, изумрудно-зеленая, размер L")</f>
      </c>
      <c r="C14435" s="4" t="n">
        <v>620.00</v>
      </c>
      <c r="D14435" s="4"/>
    </row>
    <row collapsed="" customFormat="false" customHeight="1" hidden="" ht="14" outlineLevel="0" r="14436">
      <c r="A14436" s="3" t="inlineStr">
        <is>
          <t>14392</t>
        </is>
      </c>
      <c r="B14436" s="4" t="s">
        <f>=HYPERLINK("http://anyluxury.ru/shop/odezhda/futbolki/futbolka-zhenskaya-metropolitan-izumrudnozelenaya-02079270/" , "02079270 Футболка женская METROPOLITAN, изумрудно-зеленая, размер XL")</f>
      </c>
      <c r="C14436" s="4" t="n">
        <v>620.00</v>
      </c>
      <c r="D14436" s="4"/>
    </row>
    <row collapsed="" customFormat="false" customHeight="1" hidden="" ht="14" outlineLevel="0" r="14437">
      <c r="A14437" s="3" t="inlineStr">
        <is>
          <t>14393</t>
        </is>
      </c>
      <c r="B14437" s="4" t="s">
        <f>=HYPERLINK("http://anyluxury.ru/shop/odezhda/futbolki/futbolka-zhenskaya-metropolitan-izumrudnozelenaya-02079270/" , "02079270 Футболка женская METROPOLITAN, изумрудно-зеленая, размер XXL")</f>
      </c>
      <c r="C14437" s="4" t="n">
        <v>620.00</v>
      </c>
      <c r="D14437" s="4"/>
    </row>
    <row collapsed="" customFormat="false" customHeight="1" hidden="" ht="14" outlineLevel="0" r="14438">
      <c r="A14438" s="3" t="inlineStr">
        <is>
          <t>14394</t>
        </is>
      </c>
      <c r="B14438" s="4" t="s">
        <f>=HYPERLINK("http://anyluxury.ru/shop/odezhda/futbolki/futbolka-zhenskaya-metropolitan-svetlozelenaya-02079323/" , "02079323 Футболка женская METROPOLITAN, зеленая, размер S")</f>
      </c>
      <c r="C14438" s="4" t="n">
        <v>620.00</v>
      </c>
      <c r="D14438" s="4"/>
    </row>
    <row collapsed="" customFormat="false" customHeight="1" hidden="" ht="14" outlineLevel="0" r="14439">
      <c r="A14439" s="3" t="inlineStr">
        <is>
          <t>14395</t>
        </is>
      </c>
      <c r="B14439" s="4" t="s">
        <f>=HYPERLINK("http://anyluxury.ru/shop/odezhda/futbolki/futbolka-zhenskaya-metropolitan-svetlozelenaya-02079323/" , "02079323 Футболка женская METROPOLITAN, зеленая, размер M")</f>
      </c>
      <c r="C14439" s="4" t="n">
        <v>620.00</v>
      </c>
      <c r="D14439" s="4"/>
    </row>
    <row collapsed="" customFormat="false" customHeight="1" hidden="" ht="14" outlineLevel="0" r="14440">
      <c r="A14440" s="3" t="inlineStr">
        <is>
          <t>14396</t>
        </is>
      </c>
      <c r="B14440" s="4" t="s">
        <f>=HYPERLINK("http://anyluxury.ru/shop/odezhda/futbolki/futbolka-zhenskaya-metropolitan-svetlozelenaya-02079323/" , "02079323 Футболка женская METROPOLITAN, зеленая, размер L")</f>
      </c>
      <c r="C14440" s="4" t="n">
        <v>620.00</v>
      </c>
      <c r="D14440" s="4"/>
    </row>
    <row collapsed="" customFormat="false" customHeight="1" hidden="" ht="14" outlineLevel="0" r="14441">
      <c r="A14441" s="3" t="inlineStr">
        <is>
          <t>14397</t>
        </is>
      </c>
      <c r="B14441" s="4" t="s">
        <f>=HYPERLINK("http://anyluxury.ru/shop/odezhda/futbolki/futbolka-zhenskaya-metropolitan-svetlozelenaya-02079323/" , "02079323 Футболка женская METROPOLITAN, зеленая, размер XL")</f>
      </c>
      <c r="C14441" s="4" t="n">
        <v>620.00</v>
      </c>
      <c r="D14441" s="4"/>
    </row>
    <row collapsed="" customFormat="false" customHeight="1" hidden="" ht="14" outlineLevel="0" r="14442">
      <c r="A14442" s="3" t="inlineStr">
        <is>
          <t>14398</t>
        </is>
      </c>
      <c r="B14442" s="4" t="s">
        <f>=HYPERLINK("http://anyluxury.ru/shop/odezhda/futbolki/futbolka-zhenskaya-metropolitan-svetlozelenaya-02079323/" , "02079323 Футболка женская METROPOLITAN, зеленая, размер XXL")</f>
      </c>
      <c r="C14442" s="4" t="n">
        <v>620.00</v>
      </c>
      <c r="D14442" s="4"/>
    </row>
    <row collapsed="" customFormat="false" customHeight="1" hidden="" ht="14" outlineLevel="0" r="14443">
      <c r="A14443" s="3" t="inlineStr">
        <is>
          <t>14399</t>
        </is>
      </c>
      <c r="B14443" s="4" t="s">
        <f>=HYPERLINK("http://anyluxury.ru/shop/odezhda/futbolki/futbolka-muzhskaya-millenium-men-belaya-02945102/" , "02945102 Футболка мужская Millenium Men, белая, размер L")</f>
      </c>
      <c r="C14443" s="4" t="n">
        <v>1407.00</v>
      </c>
      <c r="D14443" s="4"/>
    </row>
    <row collapsed="" customFormat="false" customHeight="1" hidden="" ht="14" outlineLevel="0" r="14444">
      <c r="A14444" s="3" t="inlineStr">
        <is>
          <t>14400</t>
        </is>
      </c>
      <c r="B14444" s="4" t="s">
        <f>=HYPERLINK("http://anyluxury.ru/shop/odezhda/futbolki/futbolka-muzhskaya-millenium-men-belaya-02945102/" , "02945102 Футболка мужская Millenium Men, белая, размер XXL")</f>
      </c>
      <c r="C14444" s="4" t="n">
        <v>1407.00</v>
      </c>
      <c r="D14444" s="4"/>
    </row>
    <row collapsed="" customFormat="false" customHeight="1" hidden="" ht="14" outlineLevel="0" r="14445">
      <c r="A14445" s="3" t="inlineStr">
        <is>
          <t>14401</t>
        </is>
      </c>
      <c r="B14445" s="4" t="s">
        <f>=HYPERLINK("http://anyluxury.ru/shop/odezhda/futbolki/futbolka-muzhskaya-millenium-men-belaya-02945102/" , "02945102 Футболка мужская Millenium Men, белая, размер 3XL")</f>
      </c>
      <c r="C14445" s="4" t="n">
        <v>1526.00</v>
      </c>
      <c r="D14445" s="4"/>
    </row>
    <row collapsed="" customFormat="false" customHeight="1" hidden="" ht="14" outlineLevel="0" r="14446">
      <c r="A14446" s="3" t="inlineStr">
        <is>
          <t>14402</t>
        </is>
      </c>
      <c r="B14446" s="4" t="s">
        <f>=HYPERLINK("http://anyluxury.ru/shop/odezhda/futbolki/futbolka-zhenskaya-millenium-women-belaya-02946102/" , "02946102 Футболка женская Millenium Women, белая, размер XL")</f>
      </c>
      <c r="C14446" s="4" t="n">
        <v>1379.00</v>
      </c>
      <c r="D14446" s="4"/>
    </row>
    <row collapsed="" customFormat="false" customHeight="1" hidden="" ht="14" outlineLevel="0" r="14447">
      <c r="A14447" s="3" t="inlineStr">
        <is>
          <t>14403</t>
        </is>
      </c>
      <c r="B14447" s="4" t="s">
        <f>=HYPERLINK("http://anyluxury.ru/shop/odezhda/futbolki/futbolka-zhenskaya-millenium-women-belaya-02946102/" , "02946102 Футболка женская Millenium Women, белая, размер XXL")</f>
      </c>
      <c r="C14447" s="4" t="n">
        <v>1379.00</v>
      </c>
      <c r="D14447" s="4"/>
    </row>
    <row collapsed="" customFormat="false" customHeight="1" hidden="" ht="14" outlineLevel="0" r="14448">
      <c r="A14448" s="3" t="inlineStr">
        <is>
          <t>14404</t>
        </is>
      </c>
      <c r="B14448" s="4" t="s">
        <f>=HYPERLINK("http://anyluxury.ru/shop/odezhda/futbolki/futbolka-muzhskaya-pioneer-men-chernaya-03565309/" , "03565309 Футболка мужская Pioneer Men, черная, размер XS")</f>
      </c>
      <c r="C14448" s="4" t="n">
        <v>836.00</v>
      </c>
      <c r="D14448" s="4"/>
    </row>
    <row collapsed="" customFormat="false" customHeight="1" hidden="" ht="14" outlineLevel="0" r="14449">
      <c r="A14449" s="3" t="inlineStr">
        <is>
          <t>14405</t>
        </is>
      </c>
      <c r="B14449" s="4" t="s">
        <f>=HYPERLINK("http://anyluxury.ru/shop/odezhda/futbolki/futbolka-muzhskaya-pioneer-men-chernaya-03565309/" , "03565309 Футболка мужская Pioneer Men, черная, размер S")</f>
      </c>
      <c r="C14449" s="4" t="n">
        <v>836.00</v>
      </c>
      <c r="D14449" s="4"/>
    </row>
    <row collapsed="" customFormat="false" customHeight="1" hidden="" ht="14" outlineLevel="0" r="14450">
      <c r="A14450" s="3" t="inlineStr">
        <is>
          <t>14406</t>
        </is>
      </c>
      <c r="B14450" s="4" t="s">
        <f>=HYPERLINK("http://anyluxury.ru/shop/odezhda/futbolki/futbolka-muzhskaya-pioneer-men-chernaya-03565309/" , "03565309 Футболка мужская Pioneer Men, черная, размер M")</f>
      </c>
      <c r="C14450" s="4" t="n">
        <v>836.00</v>
      </c>
      <c r="D14450" s="4"/>
    </row>
    <row collapsed="" customFormat="false" customHeight="1" hidden="" ht="14" outlineLevel="0" r="14451">
      <c r="A14451" s="3" t="inlineStr">
        <is>
          <t>14407</t>
        </is>
      </c>
      <c r="B14451" s="4" t="s">
        <f>=HYPERLINK("http://anyluxury.ru/shop/odezhda/futbolki/futbolka-muzhskaya-pioneer-men-chernaya-03565309/" , "03565309 Футболка мужская Pioneer Men, черная, размер L")</f>
      </c>
      <c r="C14451" s="4" t="n">
        <v>836.00</v>
      </c>
      <c r="D14451" s="4"/>
    </row>
    <row collapsed="" customFormat="false" customHeight="1" hidden="" ht="14" outlineLevel="0" r="14452">
      <c r="A14452" s="3" t="inlineStr">
        <is>
          <t>14408</t>
        </is>
      </c>
      <c r="B14452" s="4" t="s">
        <f>=HYPERLINK("http://anyluxury.ru/shop/odezhda/futbolki/futbolka-muzhskaya-pioneer-men-chernaya-03565309/" , "03565309 Футболка мужская Pioneer Men, черная, размер XL")</f>
      </c>
      <c r="C14452" s="4" t="n">
        <v>836.00</v>
      </c>
      <c r="D14452" s="4"/>
    </row>
    <row collapsed="" customFormat="false" customHeight="1" hidden="" ht="14" outlineLevel="0" r="14453">
      <c r="A14453" s="3" t="inlineStr">
        <is>
          <t>14409</t>
        </is>
      </c>
      <c r="B14453" s="4" t="s">
        <f>=HYPERLINK("http://anyluxury.ru/shop/odezhda/futbolki/futbolka-muzhskaya-pioneer-men-chernaya-03565309/" , "03565309 Футболка мужская Pioneer Men, черная, размер XXL")</f>
      </c>
      <c r="C14453" s="4" t="n">
        <v>836.00</v>
      </c>
      <c r="D14453" s="4"/>
    </row>
    <row collapsed="" customFormat="false" customHeight="1" hidden="" ht="14" outlineLevel="0" r="14454">
      <c r="A14454" s="3" t="inlineStr">
        <is>
          <t>14410</t>
        </is>
      </c>
      <c r="B14454" s="4" t="s">
        <f>=HYPERLINK("http://anyluxury.ru/shop/odezhda/futbolki/futbolka-muzhskaya-pioneer-men-chernaya-03565309/" , "03565309 Футболка мужская Pioneer Men, черная, размер 3XL")</f>
      </c>
      <c r="C14454" s="4" t="n">
        <v>1031.00</v>
      </c>
      <c r="D14454" s="4"/>
    </row>
    <row collapsed="" customFormat="false" customHeight="1" hidden="" ht="14" outlineLevel="0" r="14455">
      <c r="A14455" s="3" t="inlineStr">
        <is>
          <t>14411</t>
        </is>
      </c>
      <c r="B14455" s="4" t="s">
        <f>=HYPERLINK("http://anyluxury.ru/shop/odezhda/futbolki/futbolka-muzhskaya-pioneer-men-chernaya-03565309/" , "03565309 Футболка мужская Pioneer Men, черная, размер 4XL")</f>
      </c>
      <c r="C14455" s="4" t="n">
        <v>1212.00</v>
      </c>
      <c r="D14455" s="4"/>
    </row>
    <row collapsed="" customFormat="false" customHeight="1" hidden="" ht="14" outlineLevel="0" r="14456">
      <c r="A14456" s="3" t="inlineStr">
        <is>
          <t>14412</t>
        </is>
      </c>
      <c r="B14456" s="4" t="s">
        <f>=HYPERLINK("http://anyluxury.ru/shop/odezhda/futbolki/futbolka-muzhskaya-pioneer-men-temnosinyaya-03565319/" , "03565319 Футболка мужская Pioneer Men, темно-синяя, размер XS")</f>
      </c>
      <c r="C14456" s="4" t="n">
        <v>836.00</v>
      </c>
      <c r="D14456" s="4"/>
    </row>
    <row collapsed="" customFormat="false" customHeight="1" hidden="" ht="14" outlineLevel="0" r="14457">
      <c r="A14457" s="3" t="inlineStr">
        <is>
          <t>14413</t>
        </is>
      </c>
      <c r="B14457" s="4" t="s">
        <f>=HYPERLINK("http://anyluxury.ru/shop/odezhda/futbolki/futbolka-muzhskaya-pioneer-men-temnosinyaya-03565319/" , "03565319 Футболка мужская Pioneer Men, темно-синяя, размер S")</f>
      </c>
      <c r="C14457" s="4" t="n">
        <v>836.00</v>
      </c>
      <c r="D14457" s="4"/>
    </row>
    <row collapsed="" customFormat="false" customHeight="1" hidden="" ht="14" outlineLevel="0" r="14458">
      <c r="A14458" s="3" t="inlineStr">
        <is>
          <t>14414</t>
        </is>
      </c>
      <c r="B14458" s="4" t="s">
        <f>=HYPERLINK("http://anyluxury.ru/shop/odezhda/futbolki/futbolka-muzhskaya-pioneer-men-temnosinyaya-03565319/" , "03565319 Футболка мужская Pioneer Men, темно-синяя, размер M")</f>
      </c>
      <c r="C14458" s="4" t="n">
        <v>836.00</v>
      </c>
      <c r="D14458" s="4"/>
    </row>
    <row collapsed="" customFormat="false" customHeight="1" hidden="" ht="14" outlineLevel="0" r="14459">
      <c r="A14459" s="3" t="inlineStr">
        <is>
          <t>14415</t>
        </is>
      </c>
      <c r="B14459" s="4" t="s">
        <f>=HYPERLINK("http://anyluxury.ru/shop/odezhda/futbolki/futbolka-muzhskaya-pioneer-men-temnosinyaya-03565319/" , "03565319 Футболка мужская Pioneer Men, темно-синяя, размер L")</f>
      </c>
      <c r="C14459" s="4" t="n">
        <v>836.00</v>
      </c>
      <c r="D14459" s="4"/>
    </row>
    <row collapsed="" customFormat="false" customHeight="1" hidden="" ht="14" outlineLevel="0" r="14460">
      <c r="A14460" s="3" t="inlineStr">
        <is>
          <t>14416</t>
        </is>
      </c>
      <c r="B14460" s="4" t="s">
        <f>=HYPERLINK("http://anyluxury.ru/shop/odezhda/futbolki/futbolka-muzhskaya-pioneer-men-temnosinyaya-03565319/" , "03565319 Футболка мужская Pioneer Men, темно-синяя, размер XL")</f>
      </c>
      <c r="C14460" s="4" t="n">
        <v>836.00</v>
      </c>
      <c r="D14460" s="4"/>
    </row>
    <row collapsed="" customFormat="false" customHeight="1" hidden="" ht="14" outlineLevel="0" r="14461">
      <c r="A14461" s="3" t="inlineStr">
        <is>
          <t>14417</t>
        </is>
      </c>
      <c r="B14461" s="4" t="s">
        <f>=HYPERLINK("http://anyluxury.ru/shop/odezhda/futbolki/futbolka-muzhskaya-pioneer-men-temnosinyaya-03565319/" , "03565319 Футболка мужская Pioneer Men, темно-синяя, размер XXL")</f>
      </c>
      <c r="C14461" s="4" t="n">
        <v>836.00</v>
      </c>
      <c r="D14461" s="4"/>
    </row>
    <row collapsed="" customFormat="false" customHeight="1" hidden="" ht="14" outlineLevel="0" r="14462">
      <c r="A14462" s="3" t="inlineStr">
        <is>
          <t>14418</t>
        </is>
      </c>
      <c r="B14462" s="4" t="s">
        <f>=HYPERLINK("http://anyluxury.ru/shop/odezhda/futbolki/futbolka-muzhskaya-pioneer-men-temnosinyaya-03565319/" , "03565319 Футболка мужская Pioneer Men, темно-синяя, размер 3XL")</f>
      </c>
      <c r="C14462" s="4" t="n">
        <v>1031.00</v>
      </c>
      <c r="D14462" s="4"/>
    </row>
    <row collapsed="" customFormat="false" customHeight="1" hidden="" ht="14" outlineLevel="0" r="14463">
      <c r="A14463" s="3" t="inlineStr">
        <is>
          <t>14419</t>
        </is>
      </c>
      <c r="B14463" s="4" t="s">
        <f>=HYPERLINK("http://anyluxury.ru/shop/odezhda/futbolki/futbolka-muzhskaya-pioneer-men-temnosinyaya-03565319/" , "03565319 Футболка мужская Pioneer Men, темно-синяя, размер 4XL")</f>
      </c>
      <c r="C14463" s="4" t="n">
        <v>1212.00</v>
      </c>
      <c r="D14463" s="4"/>
    </row>
    <row collapsed="" customFormat="false" customHeight="1" hidden="" ht="14" outlineLevel="0" r="14464">
      <c r="A14464" s="3" t="inlineStr">
        <is>
          <t>14420</t>
        </is>
      </c>
      <c r="B14464" s="4" t="s">
        <f>=HYPERLINK("http://anyluxury.ru/shop/odezhda/futbolki/futbolka-muzhskaya-pioneer-men-seriy-melanzh-03565350/" , "03565350 Футболка мужская Pioneer Men, серый меланж, размер XS")</f>
      </c>
      <c r="C14464" s="4" t="n">
        <v>836.00</v>
      </c>
      <c r="D14464" s="4"/>
    </row>
    <row collapsed="" customFormat="false" customHeight="1" hidden="" ht="14" outlineLevel="0" r="14465">
      <c r="A14465" s="3" t="inlineStr">
        <is>
          <t>14421</t>
        </is>
      </c>
      <c r="B14465" s="4" t="s">
        <f>=HYPERLINK("http://anyluxury.ru/shop/odezhda/futbolki/futbolka-muzhskaya-pioneer-men-seriy-melanzh-03565350/" , "03565350 Футболка мужская Pioneer Men, серый меланж, размер S")</f>
      </c>
      <c r="C14465" s="4" t="n">
        <v>836.00</v>
      </c>
      <c r="D14465" s="4"/>
    </row>
    <row collapsed="" customFormat="false" customHeight="1" hidden="" ht="14" outlineLevel="0" r="14466">
      <c r="A14466" s="3" t="inlineStr">
        <is>
          <t>14422</t>
        </is>
      </c>
      <c r="B14466" s="4" t="s">
        <f>=HYPERLINK("http://anyluxury.ru/shop/odezhda/futbolki/futbolka-muzhskaya-pioneer-men-seriy-melanzh-03565350/" , "03565350 Футболка мужская Pioneer Men, серый меланж, размер M")</f>
      </c>
      <c r="C14466" s="4" t="n">
        <v>836.00</v>
      </c>
      <c r="D14466" s="4"/>
    </row>
    <row collapsed="" customFormat="false" customHeight="1" hidden="" ht="14" outlineLevel="0" r="14467">
      <c r="A14467" s="3" t="inlineStr">
        <is>
          <t>14423</t>
        </is>
      </c>
      <c r="B14467" s="4" t="s">
        <f>=HYPERLINK("http://anyluxury.ru/shop/odezhda/futbolki/futbolka-muzhskaya-pioneer-men-seriy-melanzh-03565350/" , "03565350 Футболка мужская Pioneer Men, серый меланж, размер L")</f>
      </c>
      <c r="C14467" s="4" t="n">
        <v>836.00</v>
      </c>
      <c r="D14467" s="4"/>
    </row>
    <row collapsed="" customFormat="false" customHeight="1" hidden="" ht="14" outlineLevel="0" r="14468">
      <c r="A14468" s="3" t="inlineStr">
        <is>
          <t>14424</t>
        </is>
      </c>
      <c r="B14468" s="4" t="s">
        <f>=HYPERLINK("http://anyluxury.ru/shop/odezhda/futbolki/futbolka-muzhskaya-pioneer-men-seriy-melanzh-03565350/" , "03565350 Футболка мужская Pioneer Men, серый меланж, размер XL")</f>
      </c>
      <c r="C14468" s="4" t="n">
        <v>836.00</v>
      </c>
      <c r="D14468" s="4"/>
    </row>
    <row collapsed="" customFormat="false" customHeight="1" hidden="" ht="14" outlineLevel="0" r="14469">
      <c r="A14469" s="3" t="inlineStr">
        <is>
          <t>14425</t>
        </is>
      </c>
      <c r="B14469" s="4" t="s">
        <f>=HYPERLINK("http://anyluxury.ru/shop/odezhda/futbolki/futbolka-muzhskaya-pioneer-men-seriy-melanzh-03565350/" , "03565350 Футболка мужская Pioneer Men, серый меланж, размер XXL")</f>
      </c>
      <c r="C14469" s="4" t="n">
        <v>836.00</v>
      </c>
      <c r="D14469" s="4"/>
    </row>
    <row collapsed="" customFormat="false" customHeight="1" hidden="" ht="14" outlineLevel="0" r="14470">
      <c r="A14470" s="3" t="inlineStr">
        <is>
          <t>14426</t>
        </is>
      </c>
      <c r="B14470" s="4" t="s">
        <f>=HYPERLINK("http://anyluxury.ru/shop/odezhda/futbolki/futbolka-muzhskaya-pioneer-men-seriy-melanzh-03565350/" , "03565350 Футболка мужская Pioneer Men, серый меланж, размер 3XL")</f>
      </c>
      <c r="C14470" s="4" t="n">
        <v>1031.00</v>
      </c>
      <c r="D14470" s="4"/>
    </row>
    <row collapsed="" customFormat="false" customHeight="1" hidden="" ht="14" outlineLevel="0" r="14471">
      <c r="A14471" s="3" t="inlineStr">
        <is>
          <t>14427</t>
        </is>
      </c>
      <c r="B14471" s="4" t="s">
        <f>=HYPERLINK("http://anyluxury.ru/shop/odezhda/futbolki/futbolka-muzhskaya-pioneer-men-seriy-melanzh-03565350/" , "03565350 Футболка мужская Pioneer Men, серый меланж, размер 4XL")</f>
      </c>
      <c r="C14471" s="4" t="n">
        <v>1212.00</v>
      </c>
      <c r="D14471" s="4"/>
    </row>
    <row collapsed="" customFormat="false" customHeight="1" hidden="" ht="14" outlineLevel="0" r="14472">
      <c r="A14472" s="3" t="inlineStr">
        <is>
          <t>14428</t>
        </is>
      </c>
      <c r="B14472" s="4" t="s">
        <f>=HYPERLINK("http://anyluxury.ru/shop/odezhda/futbolki/futbolka-muzhskaya-pioneer-men-belaya-03565102/" , "03565102 Футболка мужская Pioneer Men, белая, размер XS")</f>
      </c>
      <c r="C14472" s="4" t="n">
        <v>721.00</v>
      </c>
      <c r="D14472" s="4"/>
    </row>
    <row collapsed="" customFormat="false" customHeight="1" hidden="" ht="14" outlineLevel="0" r="14473">
      <c r="A14473" s="3" t="inlineStr">
        <is>
          <t>14429</t>
        </is>
      </c>
      <c r="B14473" s="4" t="s">
        <f>=HYPERLINK("http://anyluxury.ru/shop/odezhda/futbolki/futbolka-muzhskaya-pioneer-men-belaya-03565102/" , "03565102 Футболка мужская Pioneer Men, белая, размер S")</f>
      </c>
      <c r="C14473" s="4" t="n">
        <v>721.00</v>
      </c>
      <c r="D14473" s="4"/>
    </row>
    <row collapsed="" customFormat="false" customHeight="1" hidden="" ht="14" outlineLevel="0" r="14474">
      <c r="A14474" s="3" t="inlineStr">
        <is>
          <t>14430</t>
        </is>
      </c>
      <c r="B14474" s="4" t="s">
        <f>=HYPERLINK("http://anyluxury.ru/shop/odezhda/futbolki/futbolka-muzhskaya-pioneer-men-belaya-03565102/" , "03565102 Футболка мужская Pioneer Men, белая, размер M")</f>
      </c>
      <c r="C14474" s="4" t="n">
        <v>721.00</v>
      </c>
      <c r="D14474" s="4"/>
    </row>
    <row collapsed="" customFormat="false" customHeight="1" hidden="" ht="14" outlineLevel="0" r="14475">
      <c r="A14475" s="3" t="inlineStr">
        <is>
          <t>14431</t>
        </is>
      </c>
      <c r="B14475" s="4" t="s">
        <f>=HYPERLINK("http://anyluxury.ru/shop/odezhda/futbolki/futbolka-muzhskaya-pioneer-men-belaya-03565102/" , "03565102 Футболка мужская Pioneer Men, белая, размер L")</f>
      </c>
      <c r="C14475" s="4" t="n">
        <v>721.00</v>
      </c>
      <c r="D14475" s="4"/>
    </row>
    <row collapsed="" customFormat="false" customHeight="1" hidden="" ht="14" outlineLevel="0" r="14476">
      <c r="A14476" s="3" t="inlineStr">
        <is>
          <t>14432</t>
        </is>
      </c>
      <c r="B14476" s="4" t="s">
        <f>=HYPERLINK("http://anyluxury.ru/shop/odezhda/futbolki/futbolka-muzhskaya-pioneer-men-belaya-03565102/" , "03565102 Футболка мужская Pioneer Men, белая, размер XL")</f>
      </c>
      <c r="C14476" s="4" t="n">
        <v>721.00</v>
      </c>
      <c r="D14476" s="4"/>
    </row>
    <row collapsed="" customFormat="false" customHeight="1" hidden="" ht="14" outlineLevel="0" r="14477">
      <c r="A14477" s="3" t="inlineStr">
        <is>
          <t>14433</t>
        </is>
      </c>
      <c r="B14477" s="4" t="s">
        <f>=HYPERLINK("http://anyluxury.ru/shop/odezhda/futbolki/futbolka-muzhskaya-pioneer-men-belaya-03565102/" , "03565102 Футболка мужская Pioneer Men, белая, размер XXL")</f>
      </c>
      <c r="C14477" s="4" t="n">
        <v>721.00</v>
      </c>
      <c r="D14477" s="4"/>
    </row>
    <row collapsed="" customFormat="false" customHeight="1" hidden="" ht="14" outlineLevel="0" r="14478">
      <c r="A14478" s="3" t="inlineStr">
        <is>
          <t>14434</t>
        </is>
      </c>
      <c r="B14478" s="4" t="s">
        <f>=HYPERLINK("http://anyluxury.ru/shop/odezhda/futbolki/futbolka-muzhskaya-pioneer-men-belaya-03565102/" , "03565102 Футболка мужская Pioneer Men, белая, размер 3XL")</f>
      </c>
      <c r="C14478" s="4" t="n">
        <v>888.00</v>
      </c>
      <c r="D14478" s="4"/>
    </row>
    <row collapsed="" customFormat="false" customHeight="1" hidden="" ht="14" outlineLevel="0" r="14479">
      <c r="A14479" s="3" t="inlineStr">
        <is>
          <t>14435</t>
        </is>
      </c>
      <c r="B14479" s="4" t="s">
        <f>=HYPERLINK("http://anyluxury.ru/shop/odezhda/futbolki/futbolka-muzhskaya-pioneer-men-belaya-03565102/" , "03565102 Футболка мужская Pioneer Men, белая, размер 3XL")</f>
      </c>
      <c r="C14479" s="4" t="n">
        <v>1046.00</v>
      </c>
      <c r="D14479" s="4"/>
    </row>
    <row collapsed="" customFormat="false" customHeight="1" hidden="" ht="14" outlineLevel="0" r="14480">
      <c r="A14480" s="3" t="inlineStr">
        <is>
          <t>14436</t>
        </is>
      </c>
      <c r="B14480" s="4" t="s">
        <f>=HYPERLINK("http://anyluxury.ru/shop/odezhda/futbolki/futbolka-muzhskaya-pioneer-men-zelenoe-yabloko-03565280/" , "03565280 Футболка мужская Pioneer Men, зеленое яблоко, размер XS")</f>
      </c>
      <c r="C14480" s="4" t="n">
        <v>836.00</v>
      </c>
      <c r="D14480" s="4"/>
    </row>
    <row collapsed="" customFormat="false" customHeight="1" hidden="" ht="14" outlineLevel="0" r="14481">
      <c r="A14481" s="3" t="inlineStr">
        <is>
          <t>14437</t>
        </is>
      </c>
      <c r="B14481" s="4" t="s">
        <f>=HYPERLINK("http://anyluxury.ru/shop/odezhda/futbolki/futbolka-muzhskaya-pioneer-men-zelenoe-yabloko-03565280/" , "03565280 Футболка мужская Pioneer Men, зеленое яблоко, размер S")</f>
      </c>
      <c r="C14481" s="4" t="n">
        <v>836.00</v>
      </c>
      <c r="D14481" s="4"/>
    </row>
    <row collapsed="" customFormat="false" customHeight="1" hidden="" ht="14" outlineLevel="0" r="14482">
      <c r="A14482" s="3" t="inlineStr">
        <is>
          <t>14438</t>
        </is>
      </c>
      <c r="B14482" s="4" t="s">
        <f>=HYPERLINK("http://anyluxury.ru/shop/odezhda/futbolki/futbolka-muzhskaya-pioneer-men-zelenoe-yabloko-03565280/" , "03565280 Футболка мужская Pioneer Men, зеленое яблоко, размер M")</f>
      </c>
      <c r="C14482" s="4" t="n">
        <v>836.00</v>
      </c>
      <c r="D14482" s="4"/>
    </row>
    <row collapsed="" customFormat="false" customHeight="1" hidden="" ht="14" outlineLevel="0" r="14483">
      <c r="A14483" s="3" t="inlineStr">
        <is>
          <t>14439</t>
        </is>
      </c>
      <c r="B14483" s="4" t="s">
        <f>=HYPERLINK("http://anyluxury.ru/shop/odezhda/futbolki/futbolka-muzhskaya-pioneer-men-zelenoe-yabloko-03565280/" , "03565280 Футболка мужская Pioneer Men, зеленое яблоко, размер L")</f>
      </c>
      <c r="C14483" s="4" t="n">
        <v>836.00</v>
      </c>
      <c r="D14483" s="4"/>
    </row>
    <row collapsed="" customFormat="false" customHeight="1" hidden="" ht="14" outlineLevel="0" r="14484">
      <c r="A14484" s="3" t="inlineStr">
        <is>
          <t>14440</t>
        </is>
      </c>
      <c r="B14484" s="4" t="s">
        <f>=HYPERLINK("http://anyluxury.ru/shop/odezhda/futbolki/futbolka-muzhskaya-pioneer-men-zelenoe-yabloko-03565280/" , "03565280 Футболка мужская Pioneer Men, зеленое яблоко, размер XL")</f>
      </c>
      <c r="C14484" s="4" t="n">
        <v>836.00</v>
      </c>
      <c r="D14484" s="4"/>
    </row>
    <row collapsed="" customFormat="false" customHeight="1" hidden="" ht="14" outlineLevel="0" r="14485">
      <c r="A14485" s="3" t="inlineStr">
        <is>
          <t>14441</t>
        </is>
      </c>
      <c r="B14485" s="4" t="s">
        <f>=HYPERLINK("http://anyluxury.ru/shop/odezhda/futbolki/futbolka-muzhskaya-pioneer-men-zelenoe-yabloko-03565280/" , "03565280 Футболка мужская Pioneer Men, зеленое яблоко, размер XXL")</f>
      </c>
      <c r="C14485" s="4" t="n">
        <v>836.00</v>
      </c>
      <c r="D14485" s="4"/>
    </row>
    <row collapsed="" customFormat="false" customHeight="1" hidden="" ht="14" outlineLevel="0" r="14486">
      <c r="A14486" s="3" t="inlineStr">
        <is>
          <t>14442</t>
        </is>
      </c>
      <c r="B14486" s="4" t="s">
        <f>=HYPERLINK("http://anyluxury.ru/shop/odezhda/futbolki/futbolka-muzhskaya-pioneer-men-zelenoe-yabloko-03565280/" , "03565280 Футболка мужская Pioneer Men, зеленое яблоко, размер 3XL")</f>
      </c>
      <c r="C14486" s="4" t="n">
        <v>1031.00</v>
      </c>
      <c r="D14486" s="4"/>
    </row>
    <row collapsed="" customFormat="false" customHeight="1" hidden="" ht="14" outlineLevel="0" r="14487">
      <c r="A14487" s="3" t="inlineStr">
        <is>
          <t>14443</t>
        </is>
      </c>
      <c r="B14487" s="4" t="s">
        <f>=HYPERLINK("http://anyluxury.ru/shop/odezhda/futbolki/futbolka-muzhskaya-pioneer-men-biryuzovaya-03565321/" , "03565321 Футболка мужская Pioneer Men, бирюзовая, размер XS")</f>
      </c>
      <c r="C14487" s="4" t="n">
        <v>836.00</v>
      </c>
      <c r="D14487" s="4"/>
    </row>
    <row collapsed="" customFormat="false" customHeight="1" hidden="" ht="14" outlineLevel="0" r="14488">
      <c r="A14488" s="3" t="inlineStr">
        <is>
          <t>14444</t>
        </is>
      </c>
      <c r="B14488" s="4" t="s">
        <f>=HYPERLINK("http://anyluxury.ru/shop/odezhda/futbolki/futbolka-muzhskaya-pioneer-men-biryuzovaya-03565321/" , "03565321 Футболка мужская Pioneer Men, бирюзовая, размер S")</f>
      </c>
      <c r="C14488" s="4" t="n">
        <v>836.00</v>
      </c>
      <c r="D14488" s="4"/>
    </row>
    <row collapsed="" customFormat="false" customHeight="1" hidden="" ht="14" outlineLevel="0" r="14489">
      <c r="A14489" s="3" t="inlineStr">
        <is>
          <t>14445</t>
        </is>
      </c>
      <c r="B14489" s="4" t="s">
        <f>=HYPERLINK("http://anyluxury.ru/shop/odezhda/futbolki/futbolka-muzhskaya-pioneer-men-biryuzovaya-03565321/" , "03565321 Футболка мужская Pioneer Men, бирюзовая, размер M")</f>
      </c>
      <c r="C14489" s="4" t="n">
        <v>836.00</v>
      </c>
      <c r="D14489" s="4"/>
    </row>
    <row collapsed="" customFormat="false" customHeight="1" hidden="" ht="14" outlineLevel="0" r="14490">
      <c r="A14490" s="3" t="inlineStr">
        <is>
          <t>14446</t>
        </is>
      </c>
      <c r="B14490" s="4" t="s">
        <f>=HYPERLINK("http://anyluxury.ru/shop/odezhda/futbolki/futbolka-muzhskaya-pioneer-men-biryuzovaya-03565321/" , "03565321 Футболка мужская Pioneer Men, бирюзовая, размер L")</f>
      </c>
      <c r="C14490" s="4" t="n">
        <v>836.00</v>
      </c>
      <c r="D14490" s="4"/>
    </row>
    <row collapsed="" customFormat="false" customHeight="1" hidden="" ht="14" outlineLevel="0" r="14491">
      <c r="A14491" s="3" t="inlineStr">
        <is>
          <t>14447</t>
        </is>
      </c>
      <c r="B14491" s="4" t="s">
        <f>=HYPERLINK("http://anyluxury.ru/shop/odezhda/futbolki/futbolka-muzhskaya-pioneer-men-biryuzovaya-03565321/" , "03565321 Футболка мужская Pioneer Men, бирюзовая, размер XL")</f>
      </c>
      <c r="C14491" s="4" t="n">
        <v>836.00</v>
      </c>
      <c r="D14491" s="4"/>
    </row>
    <row collapsed="" customFormat="false" customHeight="1" hidden="" ht="14" outlineLevel="0" r="14492">
      <c r="A14492" s="3" t="inlineStr">
        <is>
          <t>14448</t>
        </is>
      </c>
      <c r="B14492" s="4" t="s">
        <f>=HYPERLINK("http://anyluxury.ru/shop/odezhda/futbolki/futbolka-muzhskaya-pioneer-men-biryuzovaya-03565321/" , "03565321 Футболка мужская Pioneer Men, бирюзовая, размер XXL")</f>
      </c>
      <c r="C14492" s="4" t="n">
        <v>836.00</v>
      </c>
      <c r="D14492" s="4"/>
    </row>
    <row collapsed="" customFormat="false" customHeight="1" hidden="" ht="14" outlineLevel="0" r="14493">
      <c r="A14493" s="3" t="inlineStr">
        <is>
          <t>14449</t>
        </is>
      </c>
      <c r="B14493" s="4" t="s">
        <f>=HYPERLINK("http://anyluxury.ru/shop/odezhda/futbolki/futbolka-muzhskaya-pioneer-men-biryuzovaya-03565321/" , "03565321 Футболка мужская Pioneer Men, бирюзовая, размер 3XL")</f>
      </c>
      <c r="C14493" s="4" t="n">
        <v>1031.00</v>
      </c>
      <c r="D14493" s="4"/>
    </row>
    <row collapsed="" customFormat="false" customHeight="1" hidden="" ht="14" outlineLevel="0" r="14494">
      <c r="A14494" s="3" t="inlineStr">
        <is>
          <t>14450</t>
        </is>
      </c>
      <c r="B14494" s="4" t="s">
        <f>=HYPERLINK("http://anyluxury.ru/shop/odezhda/futbolki/futbolka-muzhskaya-pioneer-men-svetloseriy-melanzh-03565300/" , "03565300 Футболка мужская Pioneer Men, светло-серый меланж, размер XS")</f>
      </c>
      <c r="C14494" s="4" t="n">
        <v>836.00</v>
      </c>
      <c r="D14494" s="4"/>
    </row>
    <row collapsed="" customFormat="false" customHeight="1" hidden="" ht="14" outlineLevel="0" r="14495">
      <c r="A14495" s="3" t="inlineStr">
        <is>
          <t>14451</t>
        </is>
      </c>
      <c r="B14495" s="4" t="s">
        <f>=HYPERLINK("http://anyluxury.ru/shop/odezhda/futbolki/futbolka-muzhskaya-pioneer-men-svetloseriy-melanzh-03565300/" , "03565300 Футболка мужская Pioneer Men, светло-серый меланж, размер S")</f>
      </c>
      <c r="C14495" s="4" t="n">
        <v>836.00</v>
      </c>
      <c r="D14495" s="4"/>
    </row>
    <row collapsed="" customFormat="false" customHeight="1" hidden="" ht="14" outlineLevel="0" r="14496">
      <c r="A14496" s="3" t="inlineStr">
        <is>
          <t>14452</t>
        </is>
      </c>
      <c r="B14496" s="4" t="s">
        <f>=HYPERLINK("http://anyluxury.ru/shop/odezhda/futbolki/futbolka-muzhskaya-pioneer-men-svetloseriy-melanzh-03565300/" , "03565300 Футболка мужская Pioneer Men, светло-серый меланж, размер M")</f>
      </c>
      <c r="C14496" s="4" t="n">
        <v>836.00</v>
      </c>
      <c r="D14496" s="4"/>
    </row>
    <row collapsed="" customFormat="false" customHeight="1" hidden="" ht="14" outlineLevel="0" r="14497">
      <c r="A14497" s="3" t="inlineStr">
        <is>
          <t>14453</t>
        </is>
      </c>
      <c r="B14497" s="4" t="s">
        <f>=HYPERLINK("http://anyluxury.ru/shop/odezhda/futbolki/futbolka-muzhskaya-pioneer-men-svetloseriy-melanzh-03565300/" , "03565300 Футболка мужская Pioneer Men, светло-серый меланж, размер L")</f>
      </c>
      <c r="C14497" s="4" t="n">
        <v>836.00</v>
      </c>
      <c r="D14497" s="4"/>
    </row>
    <row collapsed="" customFormat="false" customHeight="1" hidden="" ht="14" outlineLevel="0" r="14498">
      <c r="A14498" s="3" t="inlineStr">
        <is>
          <t>14454</t>
        </is>
      </c>
      <c r="B14498" s="4" t="s">
        <f>=HYPERLINK("http://anyluxury.ru/shop/odezhda/futbolki/futbolka-muzhskaya-pioneer-men-svetloseriy-melanzh-03565300/" , "03565300 Футболка мужская Pioneer Men, светло-серый меланж, размер XL")</f>
      </c>
      <c r="C14498" s="4" t="n">
        <v>836.00</v>
      </c>
      <c r="D14498" s="4"/>
    </row>
    <row collapsed="" customFormat="false" customHeight="1" hidden="" ht="14" outlineLevel="0" r="14499">
      <c r="A14499" s="3" t="inlineStr">
        <is>
          <t>14455</t>
        </is>
      </c>
      <c r="B14499" s="4" t="s">
        <f>=HYPERLINK("http://anyluxury.ru/shop/odezhda/futbolki/futbolka-muzhskaya-pioneer-men-svetloseriy-melanzh-03565300/" , "03565300 Футболка мужская Pioneer Men, светло-серый меланж, размер XXL")</f>
      </c>
      <c r="C14499" s="4" t="n">
        <v>836.00</v>
      </c>
      <c r="D14499" s="4"/>
    </row>
    <row collapsed="" customFormat="false" customHeight="1" hidden="" ht="14" outlineLevel="0" r="14500">
      <c r="A14500" s="3" t="inlineStr">
        <is>
          <t>14456</t>
        </is>
      </c>
      <c r="B14500" s="4" t="s">
        <f>=HYPERLINK("http://anyluxury.ru/shop/odezhda/futbolki/futbolka-muzhskaya-pioneer-men-svetloseriy-melanzh-03565300/" , "03565300 Футболка мужская Pioneer Men, светло-серый меланж, размер 3XL")</f>
      </c>
      <c r="C14500" s="4" t="n">
        <v>1031.00</v>
      </c>
      <c r="D14500" s="4"/>
    </row>
    <row collapsed="" customFormat="false" customHeight="1" hidden="" ht="14" outlineLevel="0" r="14501">
      <c r="A14501" s="3" t="inlineStr">
        <is>
          <t>14457</t>
        </is>
      </c>
      <c r="B14501" s="4" t="s">
        <f>=HYPERLINK("http://anyluxury.ru/shop/odezhda/futbolki/futbolka-muzhskaya-pioneer-men-svetloseriy-melanzh-03565300/" , "03565300 Футболка мужская Pioneer Men, светло-серый меланж, размер 4XL")</f>
      </c>
      <c r="C14501" s="4" t="n">
        <v>1212.00</v>
      </c>
      <c r="D14501" s="4"/>
    </row>
    <row collapsed="" customFormat="false" customHeight="1" hidden="" ht="14" outlineLevel="0" r="14502">
      <c r="A14502" s="3" t="inlineStr">
        <is>
          <t>14458</t>
        </is>
      </c>
      <c r="B14502" s="4" t="s">
        <f>=HYPERLINK("http://anyluxury.ru/shop/odezhda/futbolki/futbolka-muzhskaya-pioneer-men-temnozelenaya-03565264/" , "03565264 Футболка мужская Pioneer Men, темно-зеленая, размер XS")</f>
      </c>
      <c r="C14502" s="4" t="n">
        <v>836.00</v>
      </c>
      <c r="D14502" s="4"/>
    </row>
    <row collapsed="" customFormat="false" customHeight="1" hidden="" ht="14" outlineLevel="0" r="14503">
      <c r="A14503" s="3" t="inlineStr">
        <is>
          <t>14459</t>
        </is>
      </c>
      <c r="B14503" s="4" t="s">
        <f>=HYPERLINK("http://anyluxury.ru/shop/odezhda/futbolki/futbolka-muzhskaya-pioneer-men-temnozelenaya-03565264/" , "03565264 Футболка мужская Pioneer Men, темно-зеленая, размер S")</f>
      </c>
      <c r="C14503" s="4" t="n">
        <v>836.00</v>
      </c>
      <c r="D14503" s="4"/>
    </row>
    <row collapsed="" customFormat="false" customHeight="1" hidden="" ht="14" outlineLevel="0" r="14504">
      <c r="A14504" s="3" t="inlineStr">
        <is>
          <t>14460</t>
        </is>
      </c>
      <c r="B14504" s="4" t="s">
        <f>=HYPERLINK("http://anyluxury.ru/shop/odezhda/futbolki/futbolka-muzhskaya-pioneer-men-temnozelenaya-03565264/" , "03565264 Футболка мужская Pioneer Men, темно-зеленая, размер M")</f>
      </c>
      <c r="C14504" s="4" t="n">
        <v>836.00</v>
      </c>
      <c r="D14504" s="4"/>
    </row>
    <row collapsed="" customFormat="false" customHeight="1" hidden="" ht="14" outlineLevel="0" r="14505">
      <c r="A14505" s="3" t="inlineStr">
        <is>
          <t>14461</t>
        </is>
      </c>
      <c r="B14505" s="4" t="s">
        <f>=HYPERLINK("http://anyluxury.ru/shop/odezhda/futbolki/futbolka-muzhskaya-pioneer-men-temnozelenaya-03565264/" , "03565264 Футболка мужская Pioneer Men, темно-зеленая, размер L")</f>
      </c>
      <c r="C14505" s="4" t="n">
        <v>836.00</v>
      </c>
      <c r="D14505" s="4"/>
    </row>
    <row collapsed="" customFormat="false" customHeight="1" hidden="" ht="14" outlineLevel="0" r="14506">
      <c r="A14506" s="3" t="inlineStr">
        <is>
          <t>14462</t>
        </is>
      </c>
      <c r="B14506" s="4" t="s">
        <f>=HYPERLINK("http://anyluxury.ru/shop/odezhda/futbolki/futbolka-muzhskaya-pioneer-men-temnozelenaya-03565264/" , "03565264 Футболка мужская Pioneer Men, темно-зеленая, размер XL")</f>
      </c>
      <c r="C14506" s="4" t="n">
        <v>836.00</v>
      </c>
      <c r="D14506" s="4"/>
    </row>
    <row collapsed="" customFormat="false" customHeight="1" hidden="" ht="14" outlineLevel="0" r="14507">
      <c r="A14507" s="3" t="inlineStr">
        <is>
          <t>14463</t>
        </is>
      </c>
      <c r="B14507" s="4" t="s">
        <f>=HYPERLINK("http://anyluxury.ru/shop/odezhda/futbolki/futbolka-muzhskaya-pioneer-men-temnozelenaya-03565264/" , "03565264 Футболка мужская Pioneer Men, темно-зеленая, размер XXL")</f>
      </c>
      <c r="C14507" s="4" t="n">
        <v>836.00</v>
      </c>
      <c r="D14507" s="4"/>
    </row>
    <row collapsed="" customFormat="false" customHeight="1" hidden="" ht="14" outlineLevel="0" r="14508">
      <c r="A14508" s="3" t="inlineStr">
        <is>
          <t>14464</t>
        </is>
      </c>
      <c r="B14508" s="4" t="s">
        <f>=HYPERLINK("http://anyluxury.ru/shop/odezhda/futbolki/futbolka-muzhskaya-pioneer-men-temnozelenaya-03565264/" , "03565264 Футболка мужская Pioneer Men, темно-зеленая, размер 3XL")</f>
      </c>
      <c r="C14508" s="4" t="n">
        <v>1031.00</v>
      </c>
      <c r="D14508" s="4"/>
    </row>
    <row collapsed="" customFormat="false" customHeight="1" hidden="" ht="14" outlineLevel="0" r="14509">
      <c r="A14509" s="3" t="inlineStr">
        <is>
          <t>14465</t>
        </is>
      </c>
      <c r="B14509" s="4" t="s">
        <f>=HYPERLINK("http://anyluxury.ru/shop/odezhda/futbolki/futbolka-muzhskaya-pioneer-men-temnozelenaya-03565264/" , "03565264 Футболка мужская Pioneer Men, темно-зеленая, размер 4XL")</f>
      </c>
      <c r="C14509" s="4" t="n">
        <v>1212.00</v>
      </c>
      <c r="D14509" s="4"/>
    </row>
    <row collapsed="" customFormat="false" customHeight="1" hidden="" ht="14" outlineLevel="0" r="14510">
      <c r="A14510" s="3" t="inlineStr">
        <is>
          <t>14466</t>
        </is>
      </c>
      <c r="B14510" s="4" t="s">
        <f>=HYPERLINK("http://anyluxury.ru/shop/odezhda/futbolki/futbolka-muzhskaya-pioneer-men-bordovaya-03565146/" , "03565146 Футболка мужская Pioneer Men, бордовая, размер XS")</f>
      </c>
      <c r="C14510" s="4" t="n">
        <v>836.00</v>
      </c>
      <c r="D14510" s="4"/>
    </row>
    <row collapsed="" customFormat="false" customHeight="1" hidden="" ht="14" outlineLevel="0" r="14511">
      <c r="A14511" s="3" t="inlineStr">
        <is>
          <t>14467</t>
        </is>
      </c>
      <c r="B14511" s="4" t="s">
        <f>=HYPERLINK("http://anyluxury.ru/shop/odezhda/futbolki/futbolka-muzhskaya-pioneer-men-bordovaya-03565146/" , "03565146 Футболка мужская Pioneer Men, бордовая, размер S")</f>
      </c>
      <c r="C14511" s="4" t="n">
        <v>836.00</v>
      </c>
      <c r="D14511" s="4"/>
    </row>
    <row collapsed="" customFormat="false" customHeight="1" hidden="" ht="14" outlineLevel="0" r="14512">
      <c r="A14512" s="3" t="inlineStr">
        <is>
          <t>14468</t>
        </is>
      </c>
      <c r="B14512" s="4" t="s">
        <f>=HYPERLINK("http://anyluxury.ru/shop/odezhda/futbolki/futbolka-muzhskaya-pioneer-men-bordovaya-03565146/" , "03565146 Футболка мужская Pioneer Men, бордовая, размер M")</f>
      </c>
      <c r="C14512" s="4" t="n">
        <v>836.00</v>
      </c>
      <c r="D14512" s="4"/>
    </row>
    <row collapsed="" customFormat="false" customHeight="1" hidden="" ht="14" outlineLevel="0" r="14513">
      <c r="A14513" s="3" t="inlineStr">
        <is>
          <t>14469</t>
        </is>
      </c>
      <c r="B14513" s="4" t="s">
        <f>=HYPERLINK("http://anyluxury.ru/shop/odezhda/futbolki/futbolka-muzhskaya-pioneer-men-bordovaya-03565146/" , "03565146 Футболка мужская Pioneer Men, бордовая, размер L")</f>
      </c>
      <c r="C14513" s="4" t="n">
        <v>836.00</v>
      </c>
      <c r="D14513" s="4"/>
    </row>
    <row collapsed="" customFormat="false" customHeight="1" hidden="" ht="14" outlineLevel="0" r="14514">
      <c r="A14514" s="3" t="inlineStr">
        <is>
          <t>14470</t>
        </is>
      </c>
      <c r="B14514" s="4" t="s">
        <f>=HYPERLINK("http://anyluxury.ru/shop/odezhda/futbolki/futbolka-muzhskaya-pioneer-men-bordovaya-03565146/" , "03565146 Футболка мужская Pioneer Men, бордовая, размер XL")</f>
      </c>
      <c r="C14514" s="4" t="n">
        <v>836.00</v>
      </c>
      <c r="D14514" s="4"/>
    </row>
    <row collapsed="" customFormat="false" customHeight="1" hidden="" ht="14" outlineLevel="0" r="14515">
      <c r="A14515" s="3" t="inlineStr">
        <is>
          <t>14471</t>
        </is>
      </c>
      <c r="B14515" s="4" t="s">
        <f>=HYPERLINK("http://anyluxury.ru/shop/odezhda/futbolki/futbolka-muzhskaya-pioneer-men-bordovaya-03565146/" , "03565146 Футболка мужская Pioneer Men, бордовая, размер XXL")</f>
      </c>
      <c r="C14515" s="4" t="n">
        <v>836.00</v>
      </c>
      <c r="D14515" s="4"/>
    </row>
    <row collapsed="" customFormat="false" customHeight="1" hidden="" ht="14" outlineLevel="0" r="14516">
      <c r="A14516" s="3" t="inlineStr">
        <is>
          <t>14472</t>
        </is>
      </c>
      <c r="B14516" s="4" t="s">
        <f>=HYPERLINK("http://anyluxury.ru/shop/odezhda/futbolki/futbolka-muzhskaya-pioneer-men-bordovaya-03565146/" , "03565146 Футболка мужская Pioneer Men, бордовая, размер 3XL")</f>
      </c>
      <c r="C14516" s="4" t="n">
        <v>1031.00</v>
      </c>
      <c r="D14516" s="4"/>
    </row>
    <row collapsed="" customFormat="false" customHeight="1" hidden="" ht="14" outlineLevel="0" r="14517">
      <c r="A14517" s="3" t="inlineStr">
        <is>
          <t>14473</t>
        </is>
      </c>
      <c r="B14517" s="4" t="s">
        <f>=HYPERLINK("http://anyluxury.ru/shop/odezhda/futbolki/futbolka-muzhskaya-pioneer-men-sinyaya-dzhins-03565244/" , "03565244 Футболка мужская Pioneer Men, синяя (джинс), размер XS")</f>
      </c>
      <c r="C14517" s="4" t="n">
        <v>836.00</v>
      </c>
      <c r="D14517" s="4"/>
    </row>
    <row collapsed="" customFormat="false" customHeight="1" hidden="" ht="14" outlineLevel="0" r="14518">
      <c r="A14518" s="3" t="inlineStr">
        <is>
          <t>14474</t>
        </is>
      </c>
      <c r="B14518" s="4" t="s">
        <f>=HYPERLINK("http://anyluxury.ru/shop/odezhda/futbolki/futbolka-muzhskaya-pioneer-men-sinyaya-dzhins-03565244/" , "03565244 Футболка мужская Pioneer Men, синяя (джинс), размер S")</f>
      </c>
      <c r="C14518" s="4" t="n">
        <v>836.00</v>
      </c>
      <c r="D14518" s="4"/>
    </row>
    <row collapsed="" customFormat="false" customHeight="1" hidden="" ht="14" outlineLevel="0" r="14519">
      <c r="A14519" s="3" t="inlineStr">
        <is>
          <t>14475</t>
        </is>
      </c>
      <c r="B14519" s="4" t="s">
        <f>=HYPERLINK("http://anyluxury.ru/shop/odezhda/futbolki/futbolka-muzhskaya-pioneer-men-sinyaya-dzhins-03565244/" , "03565244 Футболка мужская Pioneer Men, синяя (джинс), размер M")</f>
      </c>
      <c r="C14519" s="4" t="n">
        <v>836.00</v>
      </c>
      <c r="D14519" s="4"/>
    </row>
    <row collapsed="" customFormat="false" customHeight="1" hidden="" ht="14" outlineLevel="0" r="14520">
      <c r="A14520" s="3" t="inlineStr">
        <is>
          <t>14476</t>
        </is>
      </c>
      <c r="B14520" s="4" t="s">
        <f>=HYPERLINK("http://anyluxury.ru/shop/odezhda/futbolki/futbolka-muzhskaya-pioneer-men-sinyaya-dzhins-03565244/" , "03565244 Футболка мужская Pioneer Men, синяя (джинс), размер L")</f>
      </c>
      <c r="C14520" s="4" t="n">
        <v>836.00</v>
      </c>
      <c r="D14520" s="4"/>
    </row>
    <row collapsed="" customFormat="false" customHeight="1" hidden="" ht="14" outlineLevel="0" r="14521">
      <c r="A14521" s="3" t="inlineStr">
        <is>
          <t>14477</t>
        </is>
      </c>
      <c r="B14521" s="4" t="s">
        <f>=HYPERLINK("http://anyluxury.ru/shop/odezhda/futbolki/futbolka-muzhskaya-pioneer-men-sinyaya-dzhins-03565244/" , "03565244 Футболка мужская Pioneer Men, синяя (джинс), размер XL")</f>
      </c>
      <c r="C14521" s="4" t="n">
        <v>836.00</v>
      </c>
      <c r="D14521" s="4"/>
    </row>
    <row collapsed="" customFormat="false" customHeight="1" hidden="" ht="14" outlineLevel="0" r="14522">
      <c r="A14522" s="3" t="inlineStr">
        <is>
          <t>14478</t>
        </is>
      </c>
      <c r="B14522" s="4" t="s">
        <f>=HYPERLINK("http://anyluxury.ru/shop/odezhda/futbolki/futbolka-muzhskaya-pioneer-men-sinyaya-dzhins-03565244/" , "03565244 Футболка мужская Pioneer Men, синяя (джинс), размер XXL")</f>
      </c>
      <c r="C14522" s="4" t="n">
        <v>836.00</v>
      </c>
      <c r="D14522" s="4"/>
    </row>
    <row collapsed="" customFormat="false" customHeight="1" hidden="" ht="14" outlineLevel="0" r="14523">
      <c r="A14523" s="3" t="inlineStr">
        <is>
          <t>14479</t>
        </is>
      </c>
      <c r="B14523" s="4" t="s">
        <f>=HYPERLINK("http://anyluxury.ru/shop/odezhda/futbolki/futbolka-muzhskaya-pioneer-men-sinyaya-dzhins-03565244/" , "03565244 Футболка мужская Pioneer Men, синяя (джинс), размер 3XL")</f>
      </c>
      <c r="C14523" s="4" t="n">
        <v>1031.00</v>
      </c>
      <c r="D14523" s="4"/>
    </row>
    <row collapsed="" customFormat="false" customHeight="1" hidden="" ht="14" outlineLevel="0" r="14524">
      <c r="A14524" s="3" t="inlineStr">
        <is>
          <t>14480</t>
        </is>
      </c>
      <c r="B14524" s="4" t="s">
        <f>=HYPERLINK("http://anyluxury.ru/shop/odezhda/futbolki/futbolka-muzhskaya-pioneer-men-yarkorozovaya-fuksiya-03565140/" , "03565140 Футболка мужская Pioneer Men, ярко-розовая (фуксия), размер XS")</f>
      </c>
      <c r="C14524" s="4" t="n">
        <v>836.00</v>
      </c>
      <c r="D14524" s="4"/>
    </row>
    <row collapsed="" customFormat="false" customHeight="1" hidden="" ht="14" outlineLevel="0" r="14525">
      <c r="A14525" s="3" t="inlineStr">
        <is>
          <t>14481</t>
        </is>
      </c>
      <c r="B14525" s="4" t="s">
        <f>=HYPERLINK("http://anyluxury.ru/shop/odezhda/futbolki/futbolka-muzhskaya-pioneer-men-yarkorozovaya-fuksiya-03565140/" , "03565140 Футболка мужская Pioneer Men, ярко-розовая (фуксия), размер S")</f>
      </c>
      <c r="C14525" s="4" t="n">
        <v>836.00</v>
      </c>
      <c r="D14525" s="4"/>
    </row>
    <row collapsed="" customFormat="false" customHeight="1" hidden="" ht="14" outlineLevel="0" r="14526">
      <c r="A14526" s="3" t="inlineStr">
        <is>
          <t>14482</t>
        </is>
      </c>
      <c r="B14526" s="4" t="s">
        <f>=HYPERLINK("http://anyluxury.ru/shop/odezhda/futbolki/futbolka-muzhskaya-pioneer-men-yarkorozovaya-fuksiya-03565140/" , "03565140 Футболка мужская Pioneer Men, ярко-розовая (фуксия), размер M")</f>
      </c>
      <c r="C14526" s="4" t="n">
        <v>836.00</v>
      </c>
      <c r="D14526" s="4"/>
    </row>
    <row collapsed="" customFormat="false" customHeight="1" hidden="" ht="14" outlineLevel="0" r="14527">
      <c r="A14527" s="3" t="inlineStr">
        <is>
          <t>14483</t>
        </is>
      </c>
      <c r="B14527" s="4" t="s">
        <f>=HYPERLINK("http://anyluxury.ru/shop/odezhda/futbolki/futbolka-muzhskaya-pioneer-men-yarkorozovaya-fuksiya-03565140/" , "03565140 Футболка мужская Pioneer Men, ярко-розовая (фуксия), размер L")</f>
      </c>
      <c r="C14527" s="4" t="n">
        <v>836.00</v>
      </c>
      <c r="D14527" s="4"/>
    </row>
    <row collapsed="" customFormat="false" customHeight="1" hidden="" ht="14" outlineLevel="0" r="14528">
      <c r="A14528" s="3" t="inlineStr">
        <is>
          <t>14484</t>
        </is>
      </c>
      <c r="B14528" s="4" t="s">
        <f>=HYPERLINK("http://anyluxury.ru/shop/odezhda/futbolki/futbolka-muzhskaya-pioneer-men-yarkorozovaya-fuksiya-03565140/" , "03565140 Футболка мужская Pioneer Men, ярко-розовая (фуксия), размер XL")</f>
      </c>
      <c r="C14528" s="4" t="n">
        <v>836.00</v>
      </c>
      <c r="D14528" s="4"/>
    </row>
    <row collapsed="" customFormat="false" customHeight="1" hidden="" ht="14" outlineLevel="0" r="14529">
      <c r="A14529" s="3" t="inlineStr">
        <is>
          <t>14485</t>
        </is>
      </c>
      <c r="B14529" s="4" t="s">
        <f>=HYPERLINK("http://anyluxury.ru/shop/odezhda/futbolki/futbolka-muzhskaya-pioneer-men-yarkorozovaya-fuksiya-03565140/" , "03565140 Футболка мужская Pioneer Men, ярко-розовая (фуксия), размер XXL")</f>
      </c>
      <c r="C14529" s="4" t="n">
        <v>836.00</v>
      </c>
      <c r="D14529" s="4"/>
    </row>
    <row collapsed="" customFormat="false" customHeight="1" hidden="" ht="14" outlineLevel="0" r="14530">
      <c r="A14530" s="3" t="inlineStr">
        <is>
          <t>14486</t>
        </is>
      </c>
      <c r="B14530" s="4" t="s">
        <f>=HYPERLINK("http://anyluxury.ru/shop/odezhda/futbolki/futbolka-muzhskaya-pioneer-men-yarkorozovaya-fuksiya-03565140/" , "03565140 Футболка мужская Pioneer Men, ярко-розовая (фуксия), размер 3XL")</f>
      </c>
      <c r="C14530" s="4" t="n">
        <v>1031.00</v>
      </c>
      <c r="D14530" s="4"/>
    </row>
    <row collapsed="" customFormat="false" customHeight="1" hidden="" ht="14" outlineLevel="0" r="14531">
      <c r="A14531" s="3" t="inlineStr">
        <is>
          <t>14487</t>
        </is>
      </c>
      <c r="B14531" s="4" t="s">
        <f>=HYPERLINK("http://anyluxury.ru/shop/odezhda/futbolki/futbolka-muzhskaya-pioneer-men-zheltaya-03565301/" , "03565301 Футболка мужская Pioneer Men, желтая, размер XS")</f>
      </c>
      <c r="C14531" s="4" t="n">
        <v>836.00</v>
      </c>
      <c r="D14531" s="4"/>
    </row>
    <row collapsed="" customFormat="false" customHeight="1" hidden="" ht="14" outlineLevel="0" r="14532">
      <c r="A14532" s="3" t="inlineStr">
        <is>
          <t>14488</t>
        </is>
      </c>
      <c r="B14532" s="4" t="s">
        <f>=HYPERLINK("http://anyluxury.ru/shop/odezhda/futbolki/futbolka-muzhskaya-pioneer-men-zheltaya-03565301/" , "03565301 Футболка мужская Pioneer Men, желтая, размер S")</f>
      </c>
      <c r="C14532" s="4" t="n">
        <v>836.00</v>
      </c>
      <c r="D14532" s="4"/>
    </row>
    <row collapsed="" customFormat="false" customHeight="1" hidden="" ht="14" outlineLevel="0" r="14533">
      <c r="A14533" s="3" t="inlineStr">
        <is>
          <t>14489</t>
        </is>
      </c>
      <c r="B14533" s="4" t="s">
        <f>=HYPERLINK("http://anyluxury.ru/shop/odezhda/futbolki/futbolka-muzhskaya-pioneer-men-zheltaya-03565301/" , "03565301 Футболка мужская Pioneer Men, желтая, размер M")</f>
      </c>
      <c r="C14533" s="4" t="n">
        <v>836.00</v>
      </c>
      <c r="D14533" s="4"/>
    </row>
    <row collapsed="" customFormat="false" customHeight="1" hidden="" ht="14" outlineLevel="0" r="14534">
      <c r="A14534" s="3" t="inlineStr">
        <is>
          <t>14490</t>
        </is>
      </c>
      <c r="B14534" s="4" t="s">
        <f>=HYPERLINK("http://anyluxury.ru/shop/odezhda/futbolki/futbolka-muzhskaya-pioneer-men-zheltaya-03565301/" , "03565301 Футболка мужская Pioneer Men, желтая, размер L")</f>
      </c>
      <c r="C14534" s="4" t="n">
        <v>836.00</v>
      </c>
      <c r="D14534" s="4"/>
    </row>
    <row collapsed="" customFormat="false" customHeight="1" hidden="" ht="14" outlineLevel="0" r="14535">
      <c r="A14535" s="3" t="inlineStr">
        <is>
          <t>14491</t>
        </is>
      </c>
      <c r="B14535" s="4" t="s">
        <f>=HYPERLINK("http://anyluxury.ru/shop/odezhda/futbolki/futbolka-muzhskaya-pioneer-men-zheltaya-03565301/" , "03565301 Футболка мужская Pioneer Men, желтая, размер XL")</f>
      </c>
      <c r="C14535" s="4" t="n">
        <v>836.00</v>
      </c>
      <c r="D14535" s="4"/>
    </row>
    <row collapsed="" customFormat="false" customHeight="1" hidden="" ht="14" outlineLevel="0" r="14536">
      <c r="A14536" s="3" t="inlineStr">
        <is>
          <t>14492</t>
        </is>
      </c>
      <c r="B14536" s="4" t="s">
        <f>=HYPERLINK("http://anyluxury.ru/shop/odezhda/futbolki/futbolka-muzhskaya-pioneer-men-zheltaya-03565301/" , "03565301 Футболка мужская Pioneer Men, желтая, размер XXL")</f>
      </c>
      <c r="C14536" s="4" t="n">
        <v>836.00</v>
      </c>
      <c r="D14536" s="4"/>
    </row>
    <row collapsed="" customFormat="false" customHeight="1" hidden="" ht="14" outlineLevel="0" r="14537">
      <c r="A14537" s="3" t="inlineStr">
        <is>
          <t>14493</t>
        </is>
      </c>
      <c r="B14537" s="4" t="s">
        <f>=HYPERLINK("http://anyluxury.ru/shop/odezhda/futbolki/futbolka-muzhskaya-pioneer-men-zheltaya-03565301/" , "03565301 Футболка мужская Pioneer Men, желтая, размер 3XL")</f>
      </c>
      <c r="C14537" s="4" t="n">
        <v>1031.00</v>
      </c>
      <c r="D14537" s="4"/>
    </row>
    <row collapsed="" customFormat="false" customHeight="1" hidden="" ht="14" outlineLevel="0" r="14538">
      <c r="A14538" s="3" t="inlineStr">
        <is>
          <t>14494</t>
        </is>
      </c>
      <c r="B14538" s="4" t="s">
        <f>=HYPERLINK("http://anyluxury.ru/shop/odezhda/futbolki/futbolka-muzhskaya-pioneer-men-haki-03565268/" , "03565268 Футболка мужская Pioneer Men, хаки, размер XS")</f>
      </c>
      <c r="C14538" s="4" t="n">
        <v>836.00</v>
      </c>
      <c r="D14538" s="4"/>
    </row>
    <row collapsed="" customFormat="false" customHeight="1" hidden="" ht="14" outlineLevel="0" r="14539">
      <c r="A14539" s="3" t="inlineStr">
        <is>
          <t>14495</t>
        </is>
      </c>
      <c r="B14539" s="4" t="s">
        <f>=HYPERLINK("http://anyluxury.ru/shop/odezhda/futbolki/futbolka-muzhskaya-pioneer-men-haki-03565268/" , "03565268 Футболка мужская Pioneer Men, хаки, размер S")</f>
      </c>
      <c r="C14539" s="4" t="n">
        <v>836.00</v>
      </c>
      <c r="D14539" s="4"/>
    </row>
    <row collapsed="" customFormat="false" customHeight="1" hidden="" ht="14" outlineLevel="0" r="14540">
      <c r="A14540" s="3" t="inlineStr">
        <is>
          <t>14496</t>
        </is>
      </c>
      <c r="B14540" s="4" t="s">
        <f>=HYPERLINK("http://anyluxury.ru/shop/odezhda/futbolki/futbolka-muzhskaya-pioneer-men-haki-03565268/" , "03565268 Футболка мужская Pioneer Men, хаки, размер M")</f>
      </c>
      <c r="C14540" s="4" t="n">
        <v>836.00</v>
      </c>
      <c r="D14540" s="4"/>
    </row>
    <row collapsed="" customFormat="false" customHeight="1" hidden="" ht="14" outlineLevel="0" r="14541">
      <c r="A14541" s="3" t="inlineStr">
        <is>
          <t>14497</t>
        </is>
      </c>
      <c r="B14541" s="4" t="s">
        <f>=HYPERLINK("http://anyluxury.ru/shop/odezhda/futbolki/futbolka-muzhskaya-pioneer-men-haki-03565268/" , "03565268 Футболка мужская Pioneer Men, хаки, размер L")</f>
      </c>
      <c r="C14541" s="4" t="n">
        <v>836.00</v>
      </c>
      <c r="D14541" s="4"/>
    </row>
    <row collapsed="" customFormat="false" customHeight="1" hidden="" ht="14" outlineLevel="0" r="14542">
      <c r="A14542" s="3" t="inlineStr">
        <is>
          <t>14498</t>
        </is>
      </c>
      <c r="B14542" s="4" t="s">
        <f>=HYPERLINK("http://anyluxury.ru/shop/odezhda/futbolki/futbolka-muzhskaya-pioneer-men-haki-03565268/" , "03565268 Футболка мужская Pioneer Men, хаки, размер XL")</f>
      </c>
      <c r="C14542" s="4" t="n">
        <v>836.00</v>
      </c>
      <c r="D14542" s="4"/>
    </row>
    <row collapsed="" customFormat="false" customHeight="1" hidden="" ht="14" outlineLevel="0" r="14543">
      <c r="A14543" s="3" t="inlineStr">
        <is>
          <t>14499</t>
        </is>
      </c>
      <c r="B14543" s="4" t="s">
        <f>=HYPERLINK("http://anyluxury.ru/shop/odezhda/futbolki/futbolka-muzhskaya-pioneer-men-haki-03565268/" , "03565268 Футболка мужская Pioneer Men, хаки, размер XXL")</f>
      </c>
      <c r="C14543" s="4" t="n">
        <v>836.00</v>
      </c>
      <c r="D14543" s="4"/>
    </row>
    <row collapsed="" customFormat="false" customHeight="1" hidden="" ht="14" outlineLevel="0" r="14544">
      <c r="A14544" s="3" t="inlineStr">
        <is>
          <t>14500</t>
        </is>
      </c>
      <c r="B14544" s="4" t="s">
        <f>=HYPERLINK("http://anyluxury.ru/shop/odezhda/futbolki/futbolka-muzhskaya-pioneer-men-haki-03565268/" , "03565268 Футболка мужская Pioneer Men, хаки, размер 3XL")</f>
      </c>
      <c r="C14544" s="4" t="n">
        <v>1031.00</v>
      </c>
      <c r="D14544" s="4"/>
    </row>
    <row collapsed="" customFormat="false" customHeight="1" hidden="" ht="14" outlineLevel="0" r="14545">
      <c r="A14545" s="3" t="inlineStr">
        <is>
          <t>14501</t>
        </is>
      </c>
      <c r="B14545" s="4" t="s">
        <f>=HYPERLINK("http://anyluxury.ru/shop/odezhda/futbolki/futbolka-muzhskaya-pioneer-men-yarkozelenaya-03565272/" , "03565272 Футболка мужская Pioneer Men, ярко-зеленая, размер XS")</f>
      </c>
      <c r="C14545" s="4" t="n">
        <v>836.00</v>
      </c>
      <c r="D14545" s="4"/>
    </row>
    <row collapsed="" customFormat="false" customHeight="1" hidden="" ht="14" outlineLevel="0" r="14546">
      <c r="A14546" s="3" t="inlineStr">
        <is>
          <t>14502</t>
        </is>
      </c>
      <c r="B14546" s="4" t="s">
        <f>=HYPERLINK("http://anyluxury.ru/shop/odezhda/futbolki/futbolka-muzhskaya-pioneer-men-yarkozelenaya-03565272/" , "03565272 Футболка мужская Pioneer Men, ярко-зеленая, размер S")</f>
      </c>
      <c r="C14546" s="4" t="n">
        <v>836.00</v>
      </c>
      <c r="D14546" s="4"/>
    </row>
    <row collapsed="" customFormat="false" customHeight="1" hidden="" ht="14" outlineLevel="0" r="14547">
      <c r="A14547" s="3" t="inlineStr">
        <is>
          <t>14503</t>
        </is>
      </c>
      <c r="B14547" s="4" t="s">
        <f>=HYPERLINK("http://anyluxury.ru/shop/odezhda/futbolki/futbolka-muzhskaya-pioneer-men-yarkozelenaya-03565272/" , "03565272 Футболка мужская Pioneer Men, ярко-зеленая, размер M")</f>
      </c>
      <c r="C14547" s="4" t="n">
        <v>836.00</v>
      </c>
      <c r="D14547" s="4"/>
    </row>
    <row collapsed="" customFormat="false" customHeight="1" hidden="" ht="14" outlineLevel="0" r="14548">
      <c r="A14548" s="3" t="inlineStr">
        <is>
          <t>14504</t>
        </is>
      </c>
      <c r="B14548" s="4" t="s">
        <f>=HYPERLINK("http://anyluxury.ru/shop/odezhda/futbolki/futbolka-muzhskaya-pioneer-men-yarkozelenaya-03565272/" , "03565272 Футболка мужская Pioneer Men, ярко-зеленая, размер L")</f>
      </c>
      <c r="C14548" s="4" t="n">
        <v>836.00</v>
      </c>
      <c r="D14548" s="4"/>
    </row>
    <row collapsed="" customFormat="false" customHeight="1" hidden="" ht="14" outlineLevel="0" r="14549">
      <c r="A14549" s="3" t="inlineStr">
        <is>
          <t>14505</t>
        </is>
      </c>
      <c r="B14549" s="4" t="s">
        <f>=HYPERLINK("http://anyluxury.ru/shop/odezhda/futbolki/futbolka-muzhskaya-pioneer-men-yarkozelenaya-03565272/" , "03565272 Футболка мужская Pioneer Men, ярко-зеленая, размер XL")</f>
      </c>
      <c r="C14549" s="4" t="n">
        <v>836.00</v>
      </c>
      <c r="D14549" s="4"/>
    </row>
    <row collapsed="" customFormat="false" customHeight="1" hidden="" ht="14" outlineLevel="0" r="14550">
      <c r="A14550" s="3" t="inlineStr">
        <is>
          <t>14506</t>
        </is>
      </c>
      <c r="B14550" s="4" t="s">
        <f>=HYPERLINK("http://anyluxury.ru/shop/odezhda/futbolki/futbolka-muzhskaya-pioneer-men-yarkozelenaya-03565272/" , "03565272 Футболка мужская Pioneer Men, ярко-зеленая, размер XXL")</f>
      </c>
      <c r="C14550" s="4" t="n">
        <v>836.00</v>
      </c>
      <c r="D14550" s="4"/>
    </row>
    <row collapsed="" customFormat="false" customHeight="1" hidden="" ht="14" outlineLevel="0" r="14551">
      <c r="A14551" s="3" t="inlineStr">
        <is>
          <t>14507</t>
        </is>
      </c>
      <c r="B14551" s="4" t="s">
        <f>=HYPERLINK("http://anyluxury.ru/shop/odezhda/futbolki/futbolka-muzhskaya-pioneer-men-yarkozelenaya-03565272/" , "03565272 Футболка мужская Pioneer Men, ярко-зеленая, размер 3XL")</f>
      </c>
      <c r="C14551" s="4" t="n">
        <v>1031.00</v>
      </c>
      <c r="D14551" s="4"/>
    </row>
    <row collapsed="" customFormat="false" customHeight="1" hidden="" ht="14" outlineLevel="0" r="14552">
      <c r="A14552" s="3" t="inlineStr">
        <is>
          <t>14508</t>
        </is>
      </c>
      <c r="B14552" s="4" t="s">
        <f>=HYPERLINK("http://anyluxury.ru/shop/odezhda/futbolki/futbolka-muzhskaya-pioneer-men-temnoseraya-grafit-03565381/" , "03565381 Футболка мужская Pioneer Men, темно-серая (графит), размер XS")</f>
      </c>
      <c r="C14552" s="4" t="n">
        <v>836.00</v>
      </c>
      <c r="D14552" s="4"/>
    </row>
    <row collapsed="" customFormat="false" customHeight="1" hidden="" ht="14" outlineLevel="0" r="14553">
      <c r="A14553" s="3" t="inlineStr">
        <is>
          <t>14509</t>
        </is>
      </c>
      <c r="B14553" s="4" t="s">
        <f>=HYPERLINK("http://anyluxury.ru/shop/odezhda/futbolki/futbolka-muzhskaya-pioneer-men-temnoseraya-grafit-03565381/" , "03565381 Футболка мужская Pioneer Men, темно-серая (графит), размер S")</f>
      </c>
      <c r="C14553" s="4" t="n">
        <v>836.00</v>
      </c>
      <c r="D14553" s="4"/>
    </row>
    <row collapsed="" customFormat="false" customHeight="1" hidden="" ht="14" outlineLevel="0" r="14554">
      <c r="A14554" s="3" t="inlineStr">
        <is>
          <t>14510</t>
        </is>
      </c>
      <c r="B14554" s="4" t="s">
        <f>=HYPERLINK("http://anyluxury.ru/shop/odezhda/futbolki/futbolka-muzhskaya-pioneer-men-temnoseraya-grafit-03565381/" , "03565381 Футболка мужская Pioneer Men, темно-серая (графит), размер M")</f>
      </c>
      <c r="C14554" s="4" t="n">
        <v>836.00</v>
      </c>
      <c r="D14554" s="4"/>
    </row>
    <row collapsed="" customFormat="false" customHeight="1" hidden="" ht="14" outlineLevel="0" r="14555">
      <c r="A14555" s="3" t="inlineStr">
        <is>
          <t>14511</t>
        </is>
      </c>
      <c r="B14555" s="4" t="s">
        <f>=HYPERLINK("http://anyluxury.ru/shop/odezhda/futbolki/futbolka-muzhskaya-pioneer-men-temnoseraya-grafit-03565381/" , "03565381 Футболка мужская Pioneer Men, темно-серая (графит), размер L")</f>
      </c>
      <c r="C14555" s="4" t="n">
        <v>836.00</v>
      </c>
      <c r="D14555" s="4"/>
    </row>
    <row collapsed="" customFormat="false" customHeight="1" hidden="" ht="14" outlineLevel="0" r="14556">
      <c r="A14556" s="3" t="inlineStr">
        <is>
          <t>14512</t>
        </is>
      </c>
      <c r="B14556" s="4" t="s">
        <f>=HYPERLINK("http://anyluxury.ru/shop/odezhda/futbolki/futbolka-muzhskaya-pioneer-men-temnoseraya-grafit-03565381/" , "03565381 Футболка мужская Pioneer Men, темно-серая (графит), размер XL")</f>
      </c>
      <c r="C14556" s="4" t="n">
        <v>836.00</v>
      </c>
      <c r="D14556" s="4"/>
    </row>
    <row collapsed="" customFormat="false" customHeight="1" hidden="" ht="14" outlineLevel="0" r="14557">
      <c r="A14557" s="3" t="inlineStr">
        <is>
          <t>14513</t>
        </is>
      </c>
      <c r="B14557" s="4" t="s">
        <f>=HYPERLINK("http://anyluxury.ru/shop/odezhda/futbolki/futbolka-muzhskaya-pioneer-men-temnoseraya-grafit-03565381/" , "03565381 Футболка мужская Pioneer Men, темно-серая (графит), размер XXL")</f>
      </c>
      <c r="C14557" s="4" t="n">
        <v>836.00</v>
      </c>
      <c r="D14557" s="4"/>
    </row>
    <row collapsed="" customFormat="false" customHeight="1" hidden="" ht="14" outlineLevel="0" r="14558">
      <c r="A14558" s="3" t="inlineStr">
        <is>
          <t>14514</t>
        </is>
      </c>
      <c r="B14558" s="4" t="s">
        <f>=HYPERLINK("http://anyluxury.ru/shop/odezhda/futbolki/futbolka-muzhskaya-pioneer-men-temnoseraya-grafit-03565381/" , "03565381 Футболка мужская Pioneer Men, темно-серая (графит), размер 3XL")</f>
      </c>
      <c r="C14558" s="4" t="n">
        <v>1031.00</v>
      </c>
      <c r="D14558" s="4"/>
    </row>
    <row collapsed="" customFormat="false" customHeight="1" hidden="" ht="14" outlineLevel="0" r="14559">
      <c r="A14559" s="3" t="inlineStr">
        <is>
          <t>14515</t>
        </is>
      </c>
      <c r="B14559" s="4" t="s">
        <f>=HYPERLINK("http://anyluxury.ru/shop/odezhda/futbolki/futbolka-muzhskaya-pioneer-men-svetlobezhevaya-03565101/" , "03565101 Футболка мужская Pioneer Men, светло-бежевая, размер XS")</f>
      </c>
      <c r="C14559" s="4" t="n">
        <v>557.00</v>
      </c>
      <c r="D14559" s="4"/>
    </row>
    <row collapsed="" customFormat="false" customHeight="1" hidden="" ht="14" outlineLevel="0" r="14560">
      <c r="A14560" s="3" t="inlineStr">
        <is>
          <t>14516</t>
        </is>
      </c>
      <c r="B14560" s="4" t="s">
        <f>=HYPERLINK("http://anyluxury.ru/shop/odezhda/futbolki/futbolka-muzhskaya-pioneer-men-svetlobezhevaya-03565101/" , "03565101 Футболка мужская Pioneer Men, светло-бежевая, размер S")</f>
      </c>
      <c r="C14560" s="4" t="n">
        <v>557.00</v>
      </c>
      <c r="D14560" s="4"/>
    </row>
    <row collapsed="" customFormat="false" customHeight="1" hidden="" ht="14" outlineLevel="0" r="14561">
      <c r="A14561" s="3" t="inlineStr">
        <is>
          <t>14517</t>
        </is>
      </c>
      <c r="B14561" s="4" t="s">
        <f>=HYPERLINK("http://anyluxury.ru/shop/odezhda/futbolki/futbolka-muzhskaya-pioneer-men-svetlobezhevaya-03565101/" , "03565101 Футболка мужская Pioneer Men, светло-бежевая, размер M")</f>
      </c>
      <c r="C14561" s="4" t="n">
        <v>557.00</v>
      </c>
      <c r="D14561" s="4"/>
    </row>
    <row collapsed="" customFormat="false" customHeight="1" hidden="" ht="14" outlineLevel="0" r="14562">
      <c r="A14562" s="3" t="inlineStr">
        <is>
          <t>14518</t>
        </is>
      </c>
      <c r="B14562" s="4" t="s">
        <f>=HYPERLINK("http://anyluxury.ru/shop/odezhda/futbolki/futbolka-muzhskaya-pioneer-men-svetlobezhevaya-03565101/" , "03565101 Футболка мужская Pioneer Men, светло-бежевая, размер L")</f>
      </c>
      <c r="C14562" s="4" t="n">
        <v>557.00</v>
      </c>
      <c r="D14562" s="4"/>
    </row>
    <row collapsed="" customFormat="false" customHeight="1" hidden="" ht="14" outlineLevel="0" r="14563">
      <c r="A14563" s="3" t="inlineStr">
        <is>
          <t>14519</t>
        </is>
      </c>
      <c r="B14563" s="4" t="s">
        <f>=HYPERLINK("http://anyluxury.ru/shop/odezhda/futbolki/futbolka-muzhskaya-pioneer-men-svetlobezhevaya-03565101/" , "03565101 Футболка мужская Pioneer Men, светло-бежевая, размер XL")</f>
      </c>
      <c r="C14563" s="4" t="n">
        <v>557.00</v>
      </c>
      <c r="D14563" s="4"/>
    </row>
    <row collapsed="" customFormat="false" customHeight="1" hidden="" ht="14" outlineLevel="0" r="14564">
      <c r="A14564" s="3" t="inlineStr">
        <is>
          <t>14520</t>
        </is>
      </c>
      <c r="B14564" s="4" t="s">
        <f>=HYPERLINK("http://anyluxury.ru/shop/odezhda/futbolki/futbolka-muzhskaya-pioneer-men-svetlobezhevaya-03565101/" , "03565101 Футболка мужская Pioneer Men, светло-бежевая, размер XXL")</f>
      </c>
      <c r="C14564" s="4" t="n">
        <v>557.00</v>
      </c>
      <c r="D14564" s="4"/>
    </row>
    <row collapsed="" customFormat="false" customHeight="1" hidden="" ht="14" outlineLevel="0" r="14565">
      <c r="A14565" s="3" t="inlineStr">
        <is>
          <t>14521</t>
        </is>
      </c>
      <c r="B14565" s="4" t="s">
        <f>=HYPERLINK("http://anyluxury.ru/shop/odezhda/futbolki/futbolka-muzhskaya-pioneer-men-svetlobezhevaya-03565101/" , "03565101 Футболка мужская Pioneer Men, светло-бежевая, размер 3XL")</f>
      </c>
      <c r="C14565" s="4" t="n">
        <v>656.00</v>
      </c>
      <c r="D14565" s="4"/>
    </row>
    <row collapsed="" customFormat="false" customHeight="1" hidden="" ht="14" outlineLevel="0" r="14566">
      <c r="A14566" s="3" t="inlineStr">
        <is>
          <t>14522</t>
        </is>
      </c>
      <c r="B14566" s="4" t="s">
        <f>=HYPERLINK("http://anyluxury.ru/shop/odezhda/futbolki/futbolka-muzhskaya-pioneer-men-oranzhevaya-03565400/" , "03565400 Футболка мужская Pioneer Men, оранжевая, размер XS")</f>
      </c>
      <c r="C14566" s="4" t="n">
        <v>836.00</v>
      </c>
      <c r="D14566" s="4"/>
    </row>
    <row collapsed="" customFormat="false" customHeight="1" hidden="" ht="14" outlineLevel="0" r="14567">
      <c r="A14567" s="3" t="inlineStr">
        <is>
          <t>14523</t>
        </is>
      </c>
      <c r="B14567" s="4" t="s">
        <f>=HYPERLINK("http://anyluxury.ru/shop/odezhda/futbolki/futbolka-muzhskaya-pioneer-men-oranzhevaya-03565400/" , "03565400 Футболка мужская Pioneer Men, оранжевая, размер S")</f>
      </c>
      <c r="C14567" s="4" t="n">
        <v>836.00</v>
      </c>
      <c r="D14567" s="4"/>
    </row>
    <row collapsed="" customFormat="false" customHeight="1" hidden="" ht="14" outlineLevel="0" r="14568">
      <c r="A14568" s="3" t="inlineStr">
        <is>
          <t>14524</t>
        </is>
      </c>
      <c r="B14568" s="4" t="s">
        <f>=HYPERLINK("http://anyluxury.ru/shop/odezhda/futbolki/futbolka-muzhskaya-pioneer-men-oranzhevaya-03565400/" , "03565400 Футболка мужская Pioneer Men, оранжевая, размер M")</f>
      </c>
      <c r="C14568" s="4" t="n">
        <v>836.00</v>
      </c>
      <c r="D14568" s="4"/>
    </row>
    <row collapsed="" customFormat="false" customHeight="1" hidden="" ht="14" outlineLevel="0" r="14569">
      <c r="A14569" s="3" t="inlineStr">
        <is>
          <t>14525</t>
        </is>
      </c>
      <c r="B14569" s="4" t="s">
        <f>=HYPERLINK("http://anyluxury.ru/shop/odezhda/futbolki/futbolka-muzhskaya-pioneer-men-oranzhevaya-03565400/" , "03565400 Футболка мужская Pioneer Men, оранжевая, размер L")</f>
      </c>
      <c r="C14569" s="4" t="n">
        <v>836.00</v>
      </c>
      <c r="D14569" s="4"/>
    </row>
    <row collapsed="" customFormat="false" customHeight="1" hidden="" ht="14" outlineLevel="0" r="14570">
      <c r="A14570" s="3" t="inlineStr">
        <is>
          <t>14526</t>
        </is>
      </c>
      <c r="B14570" s="4" t="s">
        <f>=HYPERLINK("http://anyluxury.ru/shop/odezhda/futbolki/futbolka-muzhskaya-pioneer-men-oranzhevaya-03565400/" , "03565400 Футболка мужская Pioneer Men, оранжевая, размер XL")</f>
      </c>
      <c r="C14570" s="4" t="n">
        <v>836.00</v>
      </c>
      <c r="D14570" s="4"/>
    </row>
    <row collapsed="" customFormat="false" customHeight="1" hidden="" ht="14" outlineLevel="0" r="14571">
      <c r="A14571" s="3" t="inlineStr">
        <is>
          <t>14527</t>
        </is>
      </c>
      <c r="B14571" s="4" t="s">
        <f>=HYPERLINK("http://anyluxury.ru/shop/odezhda/futbolki/futbolka-muzhskaya-pioneer-men-oranzhevaya-03565400/" , "03565400 Футболка мужская Pioneer Men, оранжевая, размер XXL")</f>
      </c>
      <c r="C14571" s="4" t="n">
        <v>836.00</v>
      </c>
      <c r="D14571" s="4"/>
    </row>
    <row collapsed="" customFormat="false" customHeight="1" hidden="" ht="14" outlineLevel="0" r="14572">
      <c r="A14572" s="3" t="inlineStr">
        <is>
          <t>14528</t>
        </is>
      </c>
      <c r="B14572" s="4" t="s">
        <f>=HYPERLINK("http://anyluxury.ru/shop/odezhda/futbolki/futbolka-muzhskaya-pioneer-men-oranzhevaya-03565400/" , "03565400 Футболка мужская Pioneer Men, оранжевая, размер 3XL")</f>
      </c>
      <c r="C14572" s="4" t="n">
        <v>1031.00</v>
      </c>
      <c r="D14572" s="4"/>
    </row>
    <row collapsed="" customFormat="false" customHeight="1" hidden="" ht="14" outlineLevel="0" r="14573">
      <c r="A14573" s="3" t="inlineStr">
        <is>
          <t>14529</t>
        </is>
      </c>
      <c r="B14573" s="4" t="s">
        <f>=HYPERLINK("http://anyluxury.ru/shop/odezhda/futbolki/futbolka-muzhskaya-pioneer-men-rozovaya-03565141/" , "03565141 Футболка мужская Pioneer Men, розовая, размер XS")</f>
      </c>
      <c r="C14573" s="4" t="n">
        <v>836.00</v>
      </c>
      <c r="D14573" s="4"/>
    </row>
    <row collapsed="" customFormat="false" customHeight="1" hidden="" ht="14" outlineLevel="0" r="14574">
      <c r="A14574" s="3" t="inlineStr">
        <is>
          <t>14530</t>
        </is>
      </c>
      <c r="B14574" s="4" t="s">
        <f>=HYPERLINK("http://anyluxury.ru/shop/odezhda/futbolki/futbolka-muzhskaya-pioneer-men-rozovaya-03565141/" , "03565141 Футболка мужская Pioneer Men, розовая, размер S")</f>
      </c>
      <c r="C14574" s="4" t="n">
        <v>836.00</v>
      </c>
      <c r="D14574" s="4"/>
    </row>
    <row collapsed="" customFormat="false" customHeight="1" hidden="" ht="14" outlineLevel="0" r="14575">
      <c r="A14575" s="3" t="inlineStr">
        <is>
          <t>14531</t>
        </is>
      </c>
      <c r="B14575" s="4" t="s">
        <f>=HYPERLINK("http://anyluxury.ru/shop/odezhda/futbolki/futbolka-muzhskaya-pioneer-men-rozovaya-03565141/" , "03565141 Футболка мужская Pioneer Men, розовая, размер M")</f>
      </c>
      <c r="C14575" s="4" t="n">
        <v>836.00</v>
      </c>
      <c r="D14575" s="4"/>
    </row>
    <row collapsed="" customFormat="false" customHeight="1" hidden="" ht="14" outlineLevel="0" r="14576">
      <c r="A14576" s="3" t="inlineStr">
        <is>
          <t>14532</t>
        </is>
      </c>
      <c r="B14576" s="4" t="s">
        <f>=HYPERLINK("http://anyluxury.ru/shop/odezhda/futbolki/futbolka-muzhskaya-pioneer-men-rozovaya-03565141/" , "03565141 Футболка мужская Pioneer Men, розовая, размер L")</f>
      </c>
      <c r="C14576" s="4" t="n">
        <v>836.00</v>
      </c>
      <c r="D14576" s="4"/>
    </row>
    <row collapsed="" customFormat="false" customHeight="1" hidden="" ht="14" outlineLevel="0" r="14577">
      <c r="A14577" s="3" t="inlineStr">
        <is>
          <t>14533</t>
        </is>
      </c>
      <c r="B14577" s="4" t="s">
        <f>=HYPERLINK("http://anyluxury.ru/shop/odezhda/futbolki/futbolka-muzhskaya-pioneer-men-rozovaya-03565141/" , "03565141 Футболка мужская Pioneer Men, розовая, размер XL")</f>
      </c>
      <c r="C14577" s="4" t="n">
        <v>836.00</v>
      </c>
      <c r="D14577" s="4"/>
    </row>
    <row collapsed="" customFormat="false" customHeight="1" hidden="" ht="14" outlineLevel="0" r="14578">
      <c r="A14578" s="3" t="inlineStr">
        <is>
          <t>14534</t>
        </is>
      </c>
      <c r="B14578" s="4" t="s">
        <f>=HYPERLINK("http://anyluxury.ru/shop/odezhda/futbolki/futbolka-muzhskaya-pioneer-men-rozovaya-03565141/" , "03565141 Футболка мужская Pioneer Men, розовая, размер XXL")</f>
      </c>
      <c r="C14578" s="4" t="n">
        <v>836.00</v>
      </c>
      <c r="D14578" s="4"/>
    </row>
    <row collapsed="" customFormat="false" customHeight="1" hidden="" ht="14" outlineLevel="0" r="14579">
      <c r="A14579" s="3" t="inlineStr">
        <is>
          <t>14535</t>
        </is>
      </c>
      <c r="B14579" s="4" t="s">
        <f>=HYPERLINK("http://anyluxury.ru/shop/odezhda/futbolki/futbolka-muzhskaya-pioneer-men-rozovaya-03565141/" , "03565141 Футболка мужская Pioneer Men, розовая, размер 3XL")</f>
      </c>
      <c r="C14579" s="4" t="n">
        <v>1031.00</v>
      </c>
      <c r="D14579" s="4"/>
    </row>
    <row collapsed="" customFormat="false" customHeight="1" hidden="" ht="14" outlineLevel="0" r="14580">
      <c r="A14580" s="3" t="inlineStr">
        <is>
          <t>14536</t>
        </is>
      </c>
      <c r="B14580" s="4" t="s">
        <f>=HYPERLINK("http://anyluxury.ru/shop/odezhda/futbolki/futbolka-muzhskaya-pioneer-men-krasnaya-03565145/" , "03565145 Футболка мужская Pioneer Men, красная, размер XS")</f>
      </c>
      <c r="C14580" s="4" t="n">
        <v>836.00</v>
      </c>
      <c r="D14580" s="4"/>
    </row>
    <row collapsed="" customFormat="false" customHeight="1" hidden="" ht="14" outlineLevel="0" r="14581">
      <c r="A14581" s="3" t="inlineStr">
        <is>
          <t>14537</t>
        </is>
      </c>
      <c r="B14581" s="4" t="s">
        <f>=HYPERLINK("http://anyluxury.ru/shop/odezhda/futbolki/futbolka-muzhskaya-pioneer-men-krasnaya-03565145/" , "03565145 Футболка мужская Pioneer Men, красная, размер S")</f>
      </c>
      <c r="C14581" s="4" t="n">
        <v>836.00</v>
      </c>
      <c r="D14581" s="4"/>
    </row>
    <row collapsed="" customFormat="false" customHeight="1" hidden="" ht="14" outlineLevel="0" r="14582">
      <c r="A14582" s="3" t="inlineStr">
        <is>
          <t>14538</t>
        </is>
      </c>
      <c r="B14582" s="4" t="s">
        <f>=HYPERLINK("http://anyluxury.ru/shop/odezhda/futbolki/futbolka-muzhskaya-pioneer-men-krasnaya-03565145/" , "03565145 Футболка мужская Pioneer Men, красная, размер M")</f>
      </c>
      <c r="C14582" s="4" t="n">
        <v>836.00</v>
      </c>
      <c r="D14582" s="4"/>
    </row>
    <row collapsed="" customFormat="false" customHeight="1" hidden="" ht="14" outlineLevel="0" r="14583">
      <c r="A14583" s="3" t="inlineStr">
        <is>
          <t>14539</t>
        </is>
      </c>
      <c r="B14583" s="4" t="s">
        <f>=HYPERLINK("http://anyluxury.ru/shop/odezhda/futbolki/futbolka-muzhskaya-pioneer-men-krasnaya-03565145/" , "03565145 Футболка мужская Pioneer Men, красная, размер L")</f>
      </c>
      <c r="C14583" s="4" t="n">
        <v>836.00</v>
      </c>
      <c r="D14583" s="4"/>
    </row>
    <row collapsed="" customFormat="false" customHeight="1" hidden="" ht="14" outlineLevel="0" r="14584">
      <c r="A14584" s="3" t="inlineStr">
        <is>
          <t>14540</t>
        </is>
      </c>
      <c r="B14584" s="4" t="s">
        <f>=HYPERLINK("http://anyluxury.ru/shop/odezhda/futbolki/futbolka-muzhskaya-pioneer-men-krasnaya-03565145/" , "03565145 Футболка мужская Pioneer Men, красная, размер XL")</f>
      </c>
      <c r="C14584" s="4" t="n">
        <v>836.00</v>
      </c>
      <c r="D14584" s="4"/>
    </row>
    <row collapsed="" customFormat="false" customHeight="1" hidden="" ht="14" outlineLevel="0" r="14585">
      <c r="A14585" s="3" t="inlineStr">
        <is>
          <t>14541</t>
        </is>
      </c>
      <c r="B14585" s="4" t="s">
        <f>=HYPERLINK("http://anyluxury.ru/shop/odezhda/futbolki/futbolka-muzhskaya-pioneer-men-krasnaya-03565145/" , "03565145 Футболка мужская Pioneer Men, красная, размер XXL")</f>
      </c>
      <c r="C14585" s="4" t="n">
        <v>836.00</v>
      </c>
      <c r="D14585" s="4"/>
    </row>
    <row collapsed="" customFormat="false" customHeight="1" hidden="" ht="14" outlineLevel="0" r="14586">
      <c r="A14586" s="3" t="inlineStr">
        <is>
          <t>14542</t>
        </is>
      </c>
      <c r="B14586" s="4" t="s">
        <f>=HYPERLINK("http://anyluxury.ru/shop/odezhda/futbolki/futbolka-muzhskaya-pioneer-men-krasnaya-03565145/" , "03565145 Футболка мужская Pioneer Men, красная, размер 3XL")</f>
      </c>
      <c r="C14586" s="4" t="n">
        <v>1031.00</v>
      </c>
      <c r="D14586" s="4"/>
    </row>
    <row collapsed="" customFormat="false" customHeight="1" hidden="" ht="14" outlineLevel="0" r="14587">
      <c r="A14587" s="3" t="inlineStr">
        <is>
          <t>14543</t>
        </is>
      </c>
      <c r="B14587" s="4" t="s">
        <f>=HYPERLINK("http://anyluxury.ru/shop/odezhda/futbolki/futbolka-muzhskaya-pioneer-men-krasnaya-03565145/" , "03565145 Футболка мужская Pioneer Men, красная, размер 4XL")</f>
      </c>
      <c r="C14587" s="4" t="n">
        <v>1212.00</v>
      </c>
      <c r="D14587" s="4"/>
    </row>
    <row collapsed="" customFormat="false" customHeight="1" hidden="" ht="14" outlineLevel="0" r="14588">
      <c r="A14588" s="3" t="inlineStr">
        <is>
          <t>14544</t>
        </is>
      </c>
      <c r="B14588" s="4" t="s">
        <f>=HYPERLINK("http://anyluxury.ru/shop/odezhda/futbolki/futbolka-muzhskaya-pioneer-men-yarkosinyaya-03565241/" , "03565241 Футболка мужская Pioneer Men, ярко-синяя, размер XS")</f>
      </c>
      <c r="C14588" s="4" t="n">
        <v>836.00</v>
      </c>
      <c r="D14588" s="4"/>
    </row>
    <row collapsed="" customFormat="false" customHeight="1" hidden="" ht="14" outlineLevel="0" r="14589">
      <c r="A14589" s="3" t="inlineStr">
        <is>
          <t>14545</t>
        </is>
      </c>
      <c r="B14589" s="4" t="s">
        <f>=HYPERLINK("http://anyluxury.ru/shop/odezhda/futbolki/futbolka-muzhskaya-pioneer-men-yarkosinyaya-03565241/" , "03565241 Футболка мужская Pioneer Men, ярко-синяя, размер S")</f>
      </c>
      <c r="C14589" s="4" t="n">
        <v>836.00</v>
      </c>
      <c r="D14589" s="4"/>
    </row>
    <row collapsed="" customFormat="false" customHeight="1" hidden="" ht="14" outlineLevel="0" r="14590">
      <c r="A14590" s="3" t="inlineStr">
        <is>
          <t>14546</t>
        </is>
      </c>
      <c r="B14590" s="4" t="s">
        <f>=HYPERLINK("http://anyluxury.ru/shop/odezhda/futbolki/futbolka-muzhskaya-pioneer-men-yarkosinyaya-03565241/" , "03565241 Футболка мужская Pioneer Men, ярко-синяя, размер M")</f>
      </c>
      <c r="C14590" s="4" t="n">
        <v>836.00</v>
      </c>
      <c r="D14590" s="4"/>
    </row>
    <row collapsed="" customFormat="false" customHeight="1" hidden="" ht="14" outlineLevel="0" r="14591">
      <c r="A14591" s="3" t="inlineStr">
        <is>
          <t>14547</t>
        </is>
      </c>
      <c r="B14591" s="4" t="s">
        <f>=HYPERLINK("http://anyluxury.ru/shop/odezhda/futbolki/futbolka-muzhskaya-pioneer-men-yarkosinyaya-03565241/" , "03565241 Футболка мужская Pioneer Men, ярко-синяя, размер L")</f>
      </c>
      <c r="C14591" s="4" t="n">
        <v>836.00</v>
      </c>
      <c r="D14591" s="4"/>
    </row>
    <row collapsed="" customFormat="false" customHeight="1" hidden="" ht="14" outlineLevel="0" r="14592">
      <c r="A14592" s="3" t="inlineStr">
        <is>
          <t>14548</t>
        </is>
      </c>
      <c r="B14592" s="4" t="s">
        <f>=HYPERLINK("http://anyluxury.ru/shop/odezhda/futbolki/futbolka-muzhskaya-pioneer-men-yarkosinyaya-03565241/" , "03565241 Футболка мужская Pioneer Men, ярко-синяя, размер XL")</f>
      </c>
      <c r="C14592" s="4" t="n">
        <v>836.00</v>
      </c>
      <c r="D14592" s="4"/>
    </row>
    <row collapsed="" customFormat="false" customHeight="1" hidden="" ht="14" outlineLevel="0" r="14593">
      <c r="A14593" s="3" t="inlineStr">
        <is>
          <t>14549</t>
        </is>
      </c>
      <c r="B14593" s="4" t="s">
        <f>=HYPERLINK("http://anyluxury.ru/shop/odezhda/futbolki/futbolka-muzhskaya-pioneer-men-yarkosinyaya-03565241/" , "03565241 Футболка мужская Pioneer Men, ярко-синяя, размер XXL")</f>
      </c>
      <c r="C14593" s="4" t="n">
        <v>836.00</v>
      </c>
      <c r="D14593" s="4"/>
    </row>
    <row collapsed="" customFormat="false" customHeight="1" hidden="" ht="14" outlineLevel="0" r="14594">
      <c r="A14594" s="3" t="inlineStr">
        <is>
          <t>14550</t>
        </is>
      </c>
      <c r="B14594" s="4" t="s">
        <f>=HYPERLINK("http://anyluxury.ru/shop/odezhda/futbolki/futbolka-muzhskaya-pioneer-men-yarkosinyaya-03565241/" , "03565241 Футболка мужская Pioneer Men, ярко-синяя, размер 3XL")</f>
      </c>
      <c r="C14594" s="4" t="n">
        <v>1031.00</v>
      </c>
      <c r="D14594" s="4"/>
    </row>
    <row collapsed="" customFormat="false" customHeight="1" hidden="" ht="14" outlineLevel="0" r="14595">
      <c r="A14595" s="3" t="inlineStr">
        <is>
          <t>14551</t>
        </is>
      </c>
      <c r="B14595" s="4" t="s">
        <f>=HYPERLINK("http://anyluxury.ru/shop/odezhda/futbolki/futbolka-muzhskaya-pioneer-men-yarkosinyaya-03565241/" , "03565241 Футболка мужская Pioneer Men, ярко-синяя, размер 4XL")</f>
      </c>
      <c r="C14595" s="4" t="n">
        <v>1212.00</v>
      </c>
      <c r="D14595" s="4"/>
    </row>
    <row collapsed="" customFormat="false" customHeight="1" hidden="" ht="14" outlineLevel="0" r="14596">
      <c r="A14596" s="3" t="inlineStr">
        <is>
          <t>14552</t>
        </is>
      </c>
      <c r="B14596" s="4" t="s">
        <f>=HYPERLINK("http://anyluxury.ru/shop/odezhda/futbolki/futbolka-zhenskaya-pioneer-women-chernaya-03579309/" , "03579309 Футболка женская Pioneer Women, черная, размер S")</f>
      </c>
      <c r="C14596" s="4" t="n">
        <v>814.00</v>
      </c>
      <c r="D14596" s="4"/>
    </row>
    <row collapsed="" customFormat="false" customHeight="1" hidden="" ht="14" outlineLevel="0" r="14597">
      <c r="A14597" s="3" t="inlineStr">
        <is>
          <t>14553</t>
        </is>
      </c>
      <c r="B14597" s="4" t="s">
        <f>=HYPERLINK("http://anyluxury.ru/shop/odezhda/futbolki/futbolka-zhenskaya-pioneer-women-chernaya-03579309/" , "03579309 Футболка женская Pioneer Women, черная, размер M")</f>
      </c>
      <c r="C14597" s="4" t="n">
        <v>814.00</v>
      </c>
      <c r="D14597" s="4"/>
    </row>
    <row collapsed="" customFormat="false" customHeight="1" hidden="" ht="14" outlineLevel="0" r="14598">
      <c r="A14598" s="3" t="inlineStr">
        <is>
          <t>14554</t>
        </is>
      </c>
      <c r="B14598" s="4" t="s">
        <f>=HYPERLINK("http://anyluxury.ru/shop/odezhda/futbolki/futbolka-zhenskaya-pioneer-women-chernaya-03579309/" , "03579309 Футболка женская Pioneer Women, черная, размер L")</f>
      </c>
      <c r="C14598" s="4" t="n">
        <v>814.00</v>
      </c>
      <c r="D14598" s="4"/>
    </row>
    <row collapsed="" customFormat="false" customHeight="1" hidden="" ht="14" outlineLevel="0" r="14599">
      <c r="A14599" s="3" t="inlineStr">
        <is>
          <t>14555</t>
        </is>
      </c>
      <c r="B14599" s="4" t="s">
        <f>=HYPERLINK("http://anyluxury.ru/shop/odezhda/futbolki/futbolka-zhenskaya-pioneer-women-chernaya-03579309/" , "03579309 Футболка женская Pioneer Women, черная, размер XL")</f>
      </c>
      <c r="C14599" s="4" t="n">
        <v>814.00</v>
      </c>
      <c r="D14599" s="4"/>
    </row>
    <row collapsed="" customFormat="false" customHeight="1" hidden="" ht="14" outlineLevel="0" r="14600">
      <c r="A14600" s="3" t="inlineStr">
        <is>
          <t>14556</t>
        </is>
      </c>
      <c r="B14600" s="4" t="s">
        <f>=HYPERLINK("http://anyluxury.ru/shop/odezhda/futbolki/futbolka-zhenskaya-pioneer-women-chernaya-03579309/" , "03579309 Футболка женская Pioneer Women, черная, размер XXL")</f>
      </c>
      <c r="C14600" s="4" t="n">
        <v>814.00</v>
      </c>
      <c r="D14600" s="4"/>
    </row>
    <row collapsed="" customFormat="false" customHeight="1" hidden="" ht="14" outlineLevel="0" r="14601">
      <c r="A14601" s="3" t="inlineStr">
        <is>
          <t>14557</t>
        </is>
      </c>
      <c r="B14601" s="4" t="s">
        <f>=HYPERLINK("http://anyluxury.ru/shop/odezhda/futbolki/futbolka-zhenskaya-pioneer-women-chernaya-03579309/" , "03579309 Футболка женская Pioneer Women, черная, размер 3XL")</f>
      </c>
      <c r="C14601" s="4" t="n">
        <v>1005.00</v>
      </c>
      <c r="D14601" s="4"/>
    </row>
    <row collapsed="" customFormat="false" customHeight="1" hidden="" ht="14" outlineLevel="0" r="14602">
      <c r="A14602" s="3" t="inlineStr">
        <is>
          <t>14558</t>
        </is>
      </c>
      <c r="B14602" s="4" t="s">
        <f>=HYPERLINK("http://anyluxury.ru/shop/odezhda/futbolki/futbolka-zhenskaya-pioneer-women-temnosinyaya-03579319/" , "03579319 Футболка женская Pioneer Women, темно-синяя, размер S")</f>
      </c>
      <c r="C14602" s="4" t="n">
        <v>814.00</v>
      </c>
      <c r="D14602" s="4"/>
    </row>
    <row collapsed="" customFormat="false" customHeight="1" hidden="" ht="14" outlineLevel="0" r="14603">
      <c r="A14603" s="3" t="inlineStr">
        <is>
          <t>14559</t>
        </is>
      </c>
      <c r="B14603" s="4" t="s">
        <f>=HYPERLINK("http://anyluxury.ru/shop/odezhda/futbolki/futbolka-zhenskaya-pioneer-women-temnosinyaya-03579319/" , "03579319 Футболка женская Pioneer Women, темно-синяя, размер M")</f>
      </c>
      <c r="C14603" s="4" t="n">
        <v>814.00</v>
      </c>
      <c r="D14603" s="4"/>
    </row>
    <row collapsed="" customFormat="false" customHeight="1" hidden="" ht="14" outlineLevel="0" r="14604">
      <c r="A14604" s="3" t="inlineStr">
        <is>
          <t>14560</t>
        </is>
      </c>
      <c r="B14604" s="4" t="s">
        <f>=HYPERLINK("http://anyluxury.ru/shop/odezhda/futbolki/futbolka-zhenskaya-pioneer-women-temnosinyaya-03579319/" , "03579319 Футболка женская Pioneer Women, темно-синяя, размер L")</f>
      </c>
      <c r="C14604" s="4" t="n">
        <v>814.00</v>
      </c>
      <c r="D14604" s="4"/>
    </row>
    <row collapsed="" customFormat="false" customHeight="1" hidden="" ht="14" outlineLevel="0" r="14605">
      <c r="A14605" s="3" t="inlineStr">
        <is>
          <t>14561</t>
        </is>
      </c>
      <c r="B14605" s="4" t="s">
        <f>=HYPERLINK("http://anyluxury.ru/shop/odezhda/futbolki/futbolka-zhenskaya-pioneer-women-temnosinyaya-03579319/" , "03579319 Футболка женская Pioneer Women, темно-синяя, размер XL")</f>
      </c>
      <c r="C14605" s="4" t="n">
        <v>814.00</v>
      </c>
      <c r="D14605" s="4"/>
    </row>
    <row collapsed="" customFormat="false" customHeight="1" hidden="" ht="14" outlineLevel="0" r="14606">
      <c r="A14606" s="3" t="inlineStr">
        <is>
          <t>14562</t>
        </is>
      </c>
      <c r="B14606" s="4" t="s">
        <f>=HYPERLINK("http://anyluxury.ru/shop/odezhda/futbolki/futbolka-zhenskaya-pioneer-women-temnosinyaya-03579319/" , "03579319 Футболка женская Pioneer Women, темно-синяя, размер XXL")</f>
      </c>
      <c r="C14606" s="4" t="n">
        <v>814.00</v>
      </c>
      <c r="D14606" s="4"/>
    </row>
    <row collapsed="" customFormat="false" customHeight="1" hidden="" ht="14" outlineLevel="0" r="14607">
      <c r="A14607" s="3" t="inlineStr">
        <is>
          <t>14563</t>
        </is>
      </c>
      <c r="B14607" s="4" t="s">
        <f>=HYPERLINK("http://anyluxury.ru/shop/odezhda/futbolki/futbolka-zhenskaya-pioneer-women-temnosinyaya-03579319/" , "03579319 Футболка женская Pioneer Women, темно-синяя, размер 3XL")</f>
      </c>
      <c r="C14607" s="4" t="n">
        <v>1005.00</v>
      </c>
      <c r="D14607" s="4"/>
    </row>
    <row collapsed="" customFormat="false" customHeight="1" hidden="" ht="14" outlineLevel="0" r="14608">
      <c r="A14608" s="3" t="inlineStr">
        <is>
          <t>14564</t>
        </is>
      </c>
      <c r="B14608" s="4" t="s">
        <f>=HYPERLINK("http://anyluxury.ru/shop/odezhda/futbolki/futbolka-zhenskaya-pioneer-women-seriy-melanzh-03579350/" , "03579350 Футболка женская Pioneer Women, серый меланж, размер S")</f>
      </c>
      <c r="C14608" s="4" t="n">
        <v>814.00</v>
      </c>
      <c r="D14608" s="4"/>
    </row>
    <row collapsed="" customFormat="false" customHeight="1" hidden="" ht="14" outlineLevel="0" r="14609">
      <c r="A14609" s="3" t="inlineStr">
        <is>
          <t>14565</t>
        </is>
      </c>
      <c r="B14609" s="4" t="s">
        <f>=HYPERLINK("http://anyluxury.ru/shop/odezhda/futbolki/futbolka-zhenskaya-pioneer-women-seriy-melanzh-03579350/" , "03579350 Футболка женская Pioneer Women, серый меланж, размер M")</f>
      </c>
      <c r="C14609" s="4" t="n">
        <v>814.00</v>
      </c>
      <c r="D14609" s="4"/>
    </row>
    <row collapsed="" customFormat="false" customHeight="1" hidden="" ht="14" outlineLevel="0" r="14610">
      <c r="A14610" s="3" t="inlineStr">
        <is>
          <t>14566</t>
        </is>
      </c>
      <c r="B14610" s="4" t="s">
        <f>=HYPERLINK("http://anyluxury.ru/shop/odezhda/futbolki/futbolka-zhenskaya-pioneer-women-seriy-melanzh-03579350/" , "03579350 Футболка женская Pioneer Women, серый меланж, размер L")</f>
      </c>
      <c r="C14610" s="4" t="n">
        <v>814.00</v>
      </c>
      <c r="D14610" s="4"/>
    </row>
    <row collapsed="" customFormat="false" customHeight="1" hidden="" ht="14" outlineLevel="0" r="14611">
      <c r="A14611" s="3" t="inlineStr">
        <is>
          <t>14567</t>
        </is>
      </c>
      <c r="B14611" s="4" t="s">
        <f>=HYPERLINK("http://anyluxury.ru/shop/odezhda/futbolki/futbolka-zhenskaya-pioneer-women-seriy-melanzh-03579350/" , "03579350 Футболка женская Pioneer Women, серый меланж, размер XL")</f>
      </c>
      <c r="C14611" s="4" t="n">
        <v>814.00</v>
      </c>
      <c r="D14611" s="4"/>
    </row>
    <row collapsed="" customFormat="false" customHeight="1" hidden="" ht="14" outlineLevel="0" r="14612">
      <c r="A14612" s="3" t="inlineStr">
        <is>
          <t>14568</t>
        </is>
      </c>
      <c r="B14612" s="4" t="s">
        <f>=HYPERLINK("http://anyluxury.ru/shop/odezhda/futbolki/futbolka-zhenskaya-pioneer-women-seriy-melanzh-03579350/" , "03579350 Футболка женская Pioneer Women, серый меланж, размер XXL")</f>
      </c>
      <c r="C14612" s="4" t="n">
        <v>814.00</v>
      </c>
      <c r="D14612" s="4"/>
    </row>
    <row collapsed="" customFormat="false" customHeight="1" hidden="" ht="14" outlineLevel="0" r="14613">
      <c r="A14613" s="3" t="inlineStr">
        <is>
          <t>14569</t>
        </is>
      </c>
      <c r="B14613" s="4" t="s">
        <f>=HYPERLINK("http://anyluxury.ru/shop/odezhda/futbolki/futbolka-zhenskaya-pioneer-women-seriy-melanzh-03579350/" , "03579350 Футболка женская Pioneer Women, серый меланж, размер 3XL")</f>
      </c>
      <c r="C14613" s="4" t="n">
        <v>1005.00</v>
      </c>
      <c r="D14613" s="4"/>
    </row>
    <row collapsed="" customFormat="false" customHeight="1" hidden="" ht="14" outlineLevel="0" r="14614">
      <c r="A14614" s="3" t="inlineStr">
        <is>
          <t>14570</t>
        </is>
      </c>
      <c r="B14614" s="4" t="s">
        <f>=HYPERLINK("http://anyluxury.ru/shop/odezhda/futbolki/futbolka-zhenskaya-pioneer-women-belaya-03579102/" , "03579102 Футболка женская Pioneer Women, белая, размер S")</f>
      </c>
      <c r="C14614" s="4" t="n">
        <v>699.00</v>
      </c>
      <c r="D14614" s="4"/>
    </row>
    <row collapsed="" customFormat="false" customHeight="1" hidden="" ht="14" outlineLevel="0" r="14615">
      <c r="A14615" s="3" t="inlineStr">
        <is>
          <t>14571</t>
        </is>
      </c>
      <c r="B14615" s="4" t="s">
        <f>=HYPERLINK("http://anyluxury.ru/shop/odezhda/futbolki/futbolka-zhenskaya-pioneer-women-belaya-03579102/" , "03579102 Футболка женская Pioneer Women, белая, размер M")</f>
      </c>
      <c r="C14615" s="4" t="n">
        <v>699.00</v>
      </c>
      <c r="D14615" s="4"/>
    </row>
    <row collapsed="" customFormat="false" customHeight="1" hidden="" ht="14" outlineLevel="0" r="14616">
      <c r="A14616" s="3" t="inlineStr">
        <is>
          <t>14572</t>
        </is>
      </c>
      <c r="B14616" s="4" t="s">
        <f>=HYPERLINK("http://anyluxury.ru/shop/odezhda/futbolki/futbolka-zhenskaya-pioneer-women-belaya-03579102/" , "03579102 Футболка женская Pioneer Women, белая, размер L")</f>
      </c>
      <c r="C14616" s="4" t="n">
        <v>699.00</v>
      </c>
      <c r="D14616" s="4"/>
    </row>
    <row collapsed="" customFormat="false" customHeight="1" hidden="" ht="14" outlineLevel="0" r="14617">
      <c r="A14617" s="3" t="inlineStr">
        <is>
          <t>14573</t>
        </is>
      </c>
      <c r="B14617" s="4" t="s">
        <f>=HYPERLINK("http://anyluxury.ru/shop/odezhda/futbolki/futbolka-zhenskaya-pioneer-women-belaya-03579102/" , "03579102 Футболка женская Pioneer Women, белая, размер XL")</f>
      </c>
      <c r="C14617" s="4" t="n">
        <v>699.00</v>
      </c>
      <c r="D14617" s="4"/>
    </row>
    <row collapsed="" customFormat="false" customHeight="1" hidden="" ht="14" outlineLevel="0" r="14618">
      <c r="A14618" s="3" t="inlineStr">
        <is>
          <t>14574</t>
        </is>
      </c>
      <c r="B14618" s="4" t="s">
        <f>=HYPERLINK("http://anyluxury.ru/shop/odezhda/futbolki/futbolka-zhenskaya-pioneer-women-belaya-03579102/" , "03579102 Футболка женская Pioneer Women, белая, размер XXL")</f>
      </c>
      <c r="C14618" s="4" t="n">
        <v>699.00</v>
      </c>
      <c r="D14618" s="4"/>
    </row>
    <row collapsed="" customFormat="false" customHeight="1" hidden="" ht="14" outlineLevel="0" r="14619">
      <c r="A14619" s="3" t="inlineStr">
        <is>
          <t>14575</t>
        </is>
      </c>
      <c r="B14619" s="4" t="s">
        <f>=HYPERLINK("http://anyluxury.ru/shop/odezhda/futbolki/futbolka-zhenskaya-pioneer-women-belaya-03579102/" , "03579102 Футболка женская Pioneer Women, белая, размер 3XL")</f>
      </c>
      <c r="C14619" s="4" t="n">
        <v>862.00</v>
      </c>
      <c r="D14619" s="4"/>
    </row>
    <row collapsed="" customFormat="false" customHeight="1" hidden="" ht="14" outlineLevel="0" r="14620">
      <c r="A14620" s="3" t="inlineStr">
        <is>
          <t>14576</t>
        </is>
      </c>
      <c r="B14620" s="4" t="s">
        <f>=HYPERLINK("http://anyluxury.ru/shop/odezhda/futbolki/futbolka-zhenskaya-pioneer-women-zelenoe-yabloko-03579280/" , "03579280 Футболка женская Pioneer Women, зеленое яблоко, размер S")</f>
      </c>
      <c r="C14620" s="4" t="n">
        <v>814.00</v>
      </c>
      <c r="D14620" s="4"/>
    </row>
    <row collapsed="" customFormat="false" customHeight="1" hidden="" ht="14" outlineLevel="0" r="14621">
      <c r="A14621" s="3" t="inlineStr">
        <is>
          <t>14577</t>
        </is>
      </c>
      <c r="B14621" s="4" t="s">
        <f>=HYPERLINK("http://anyluxury.ru/shop/odezhda/futbolki/futbolka-zhenskaya-pioneer-women-zelenoe-yabloko-03579280/" , "03579280 Футболка женская Pioneer Women, зеленое яблоко, размер M")</f>
      </c>
      <c r="C14621" s="4" t="n">
        <v>814.00</v>
      </c>
      <c r="D14621" s="4"/>
    </row>
    <row collapsed="" customFormat="false" customHeight="1" hidden="" ht="14" outlineLevel="0" r="14622">
      <c r="A14622" s="3" t="inlineStr">
        <is>
          <t>14578</t>
        </is>
      </c>
      <c r="B14622" s="4" t="s">
        <f>=HYPERLINK("http://anyluxury.ru/shop/odezhda/futbolki/futbolka-zhenskaya-pioneer-women-zelenoe-yabloko-03579280/" , "03579280 Футболка женская Pioneer Women, зеленое яблоко, размер L")</f>
      </c>
      <c r="C14622" s="4" t="n">
        <v>814.00</v>
      </c>
      <c r="D14622" s="4"/>
    </row>
    <row collapsed="" customFormat="false" customHeight="1" hidden="" ht="14" outlineLevel="0" r="14623">
      <c r="A14623" s="3" t="inlineStr">
        <is>
          <t>14579</t>
        </is>
      </c>
      <c r="B14623" s="4" t="s">
        <f>=HYPERLINK("http://anyluxury.ru/shop/odezhda/futbolki/futbolka-zhenskaya-pioneer-women-zelenoe-yabloko-03579280/" , "03579280 Футболка женская Pioneer Women, зеленое яблоко, размер XL")</f>
      </c>
      <c r="C14623" s="4" t="n">
        <v>814.00</v>
      </c>
      <c r="D14623" s="4"/>
    </row>
    <row collapsed="" customFormat="false" customHeight="1" hidden="" ht="14" outlineLevel="0" r="14624">
      <c r="A14624" s="3" t="inlineStr">
        <is>
          <t>14580</t>
        </is>
      </c>
      <c r="B14624" s="4" t="s">
        <f>=HYPERLINK("http://anyluxury.ru/shop/odezhda/futbolki/futbolka-zhenskaya-pioneer-women-zelenoe-yabloko-03579280/" , "03579280 Футболка женская Pioneer Women, зеленое яблоко, размер XXL")</f>
      </c>
      <c r="C14624" s="4" t="n">
        <v>814.00</v>
      </c>
      <c r="D14624" s="4"/>
    </row>
    <row collapsed="" customFormat="false" customHeight="1" hidden="" ht="14" outlineLevel="0" r="14625">
      <c r="A14625" s="3" t="inlineStr">
        <is>
          <t>14581</t>
        </is>
      </c>
      <c r="B14625" s="4" t="s">
        <f>=HYPERLINK("http://anyluxury.ru/shop/odezhda/futbolki/futbolka-zhenskaya-pioneer-women-biryuzovaya-03579321/" , "03579321 Футболка женская Pioneer Women, бирюзовая, размер S")</f>
      </c>
      <c r="C14625" s="4" t="n">
        <v>814.00</v>
      </c>
      <c r="D14625" s="4"/>
    </row>
    <row collapsed="" customFormat="false" customHeight="1" hidden="" ht="14" outlineLevel="0" r="14626">
      <c r="A14626" s="3" t="inlineStr">
        <is>
          <t>14582</t>
        </is>
      </c>
      <c r="B14626" s="4" t="s">
        <f>=HYPERLINK("http://anyluxury.ru/shop/odezhda/futbolki/futbolka-zhenskaya-pioneer-women-biryuzovaya-03579321/" , "03579321 Футболка женская Pioneer Women, бирюзовая, размер M")</f>
      </c>
      <c r="C14626" s="4" t="n">
        <v>814.00</v>
      </c>
      <c r="D14626" s="4"/>
    </row>
    <row collapsed="" customFormat="false" customHeight="1" hidden="" ht="14" outlineLevel="0" r="14627">
      <c r="A14627" s="3" t="inlineStr">
        <is>
          <t>14583</t>
        </is>
      </c>
      <c r="B14627" s="4" t="s">
        <f>=HYPERLINK("http://anyluxury.ru/shop/odezhda/futbolki/futbolka-zhenskaya-pioneer-women-biryuzovaya-03579321/" , "03579321 Футболка женская Pioneer Women, бирюзовая, размер L")</f>
      </c>
      <c r="C14627" s="4" t="n">
        <v>814.00</v>
      </c>
      <c r="D14627" s="4"/>
    </row>
    <row collapsed="" customFormat="false" customHeight="1" hidden="" ht="14" outlineLevel="0" r="14628">
      <c r="A14628" s="3" t="inlineStr">
        <is>
          <t>14584</t>
        </is>
      </c>
      <c r="B14628" s="4" t="s">
        <f>=HYPERLINK("http://anyluxury.ru/shop/odezhda/futbolki/futbolka-zhenskaya-pioneer-women-biryuzovaya-03579321/" , "03579321 Футболка женская Pioneer Women, бирюзовая, размер XL")</f>
      </c>
      <c r="C14628" s="4" t="n">
        <v>814.00</v>
      </c>
      <c r="D14628" s="4"/>
    </row>
    <row collapsed="" customFormat="false" customHeight="1" hidden="" ht="14" outlineLevel="0" r="14629">
      <c r="A14629" s="3" t="inlineStr">
        <is>
          <t>14585</t>
        </is>
      </c>
      <c r="B14629" s="4" t="s">
        <f>=HYPERLINK("http://anyluxury.ru/shop/odezhda/futbolki/futbolka-zhenskaya-pioneer-women-biryuzovaya-03579321/" , "03579321 Футболка женская Pioneer Women, бирюзовая, размер XXL")</f>
      </c>
      <c r="C14629" s="4" t="n">
        <v>814.00</v>
      </c>
      <c r="D14629" s="4"/>
    </row>
    <row collapsed="" customFormat="false" customHeight="1" hidden="" ht="14" outlineLevel="0" r="14630">
      <c r="A14630" s="3" t="inlineStr">
        <is>
          <t>14586</t>
        </is>
      </c>
      <c r="B14630" s="4" t="s">
        <f>=HYPERLINK("http://anyluxury.ru/shop/odezhda/futbolki/futbolka-zhenskaya-pioneer-women-svetloseriy-melanzh-03579300/" , "03579300 Футболка женская Pioneer Women, светло-серый меланж, размер S")</f>
      </c>
      <c r="C14630" s="4" t="n">
        <v>814.00</v>
      </c>
      <c r="D14630" s="4"/>
    </row>
    <row collapsed="" customFormat="false" customHeight="1" hidden="" ht="14" outlineLevel="0" r="14631">
      <c r="A14631" s="3" t="inlineStr">
        <is>
          <t>14587</t>
        </is>
      </c>
      <c r="B14631" s="4" t="s">
        <f>=HYPERLINK("http://anyluxury.ru/shop/odezhda/futbolki/futbolka-zhenskaya-pioneer-women-svetloseriy-melanzh-03579300/" , "03579300 Футболка женская Pioneer Women, светло-серый меланж, размер M")</f>
      </c>
      <c r="C14631" s="4" t="n">
        <v>814.00</v>
      </c>
      <c r="D14631" s="4"/>
    </row>
    <row collapsed="" customFormat="false" customHeight="1" hidden="" ht="14" outlineLevel="0" r="14632">
      <c r="A14632" s="3" t="inlineStr">
        <is>
          <t>14588</t>
        </is>
      </c>
      <c r="B14632" s="4" t="s">
        <f>=HYPERLINK("http://anyluxury.ru/shop/odezhda/futbolki/futbolka-zhenskaya-pioneer-women-svetloseriy-melanzh-03579300/" , "03579300 Футболка женская Pioneer Women, светло-серый меланж, размер L")</f>
      </c>
      <c r="C14632" s="4" t="n">
        <v>814.00</v>
      </c>
      <c r="D14632" s="4"/>
    </row>
    <row collapsed="" customFormat="false" customHeight="1" hidden="" ht="14" outlineLevel="0" r="14633">
      <c r="A14633" s="3" t="inlineStr">
        <is>
          <t>14589</t>
        </is>
      </c>
      <c r="B14633" s="4" t="s">
        <f>=HYPERLINK("http://anyluxury.ru/shop/odezhda/futbolki/futbolka-zhenskaya-pioneer-women-svetloseriy-melanzh-03579300/" , "03579300 Футболка женская Pioneer Women, светло-серый меланж, размер XL")</f>
      </c>
      <c r="C14633" s="4" t="n">
        <v>814.00</v>
      </c>
      <c r="D14633" s="4"/>
    </row>
    <row collapsed="" customFormat="false" customHeight="1" hidden="" ht="14" outlineLevel="0" r="14634">
      <c r="A14634" s="3" t="inlineStr">
        <is>
          <t>14590</t>
        </is>
      </c>
      <c r="B14634" s="4" t="s">
        <f>=HYPERLINK("http://anyluxury.ru/shop/odezhda/futbolki/futbolka-zhenskaya-pioneer-women-svetloseriy-melanzh-03579300/" , "03579300 Футболка женская Pioneer Women, светло-серый меланж, размер XXL")</f>
      </c>
      <c r="C14634" s="4" t="n">
        <v>814.00</v>
      </c>
      <c r="D14634" s="4"/>
    </row>
    <row collapsed="" customFormat="false" customHeight="1" hidden="" ht="14" outlineLevel="0" r="14635">
      <c r="A14635" s="3" t="inlineStr">
        <is>
          <t>14591</t>
        </is>
      </c>
      <c r="B14635" s="4" t="s">
        <f>=HYPERLINK("http://anyluxury.ru/shop/odezhda/futbolki/futbolka-zhenskaya-pioneer-women-svetloseriy-melanzh-03579300/" , "03579300 Футболка женская Pioneer Women, светло-серый меланж, размер 3XL")</f>
      </c>
      <c r="C14635" s="4" t="n">
        <v>1005.00</v>
      </c>
      <c r="D14635" s="4"/>
    </row>
    <row collapsed="" customFormat="false" customHeight="1" hidden="" ht="14" outlineLevel="0" r="14636">
      <c r="A14636" s="3" t="inlineStr">
        <is>
          <t>14592</t>
        </is>
      </c>
      <c r="B14636" s="4" t="s">
        <f>=HYPERLINK("http://anyluxury.ru/shop/odezhda/futbolki/futbolka-zhenskaya-pioneer-women-temnozelenaya-03579264/" , "03579264 Футболка женская Pioneer Women, темно-зеленая, размер S")</f>
      </c>
      <c r="C14636" s="4" t="n">
        <v>814.00</v>
      </c>
      <c r="D14636" s="4"/>
    </row>
    <row collapsed="" customFormat="false" customHeight="1" hidden="" ht="14" outlineLevel="0" r="14637">
      <c r="A14637" s="3" t="inlineStr">
        <is>
          <t>14593</t>
        </is>
      </c>
      <c r="B14637" s="4" t="s">
        <f>=HYPERLINK("http://anyluxury.ru/shop/odezhda/futbolki/futbolka-zhenskaya-pioneer-women-temnozelenaya-03579264/" , "03579264 Футболка женская Pioneer Women, темно-зеленая, размер M")</f>
      </c>
      <c r="C14637" s="4" t="n">
        <v>814.00</v>
      </c>
      <c r="D14637" s="4"/>
    </row>
    <row collapsed="" customFormat="false" customHeight="1" hidden="" ht="14" outlineLevel="0" r="14638">
      <c r="A14638" s="3" t="inlineStr">
        <is>
          <t>14594</t>
        </is>
      </c>
      <c r="B14638" s="4" t="s">
        <f>=HYPERLINK("http://anyluxury.ru/shop/odezhda/futbolki/futbolka-zhenskaya-pioneer-women-temnozelenaya-03579264/" , "03579264 Футболка женская Pioneer Women, темно-зеленая, размер L")</f>
      </c>
      <c r="C14638" s="4" t="n">
        <v>814.00</v>
      </c>
      <c r="D14638" s="4"/>
    </row>
    <row collapsed="" customFormat="false" customHeight="1" hidden="" ht="14" outlineLevel="0" r="14639">
      <c r="A14639" s="3" t="inlineStr">
        <is>
          <t>14595</t>
        </is>
      </c>
      <c r="B14639" s="4" t="s">
        <f>=HYPERLINK("http://anyluxury.ru/shop/odezhda/futbolki/futbolka-zhenskaya-pioneer-women-temnozelenaya-03579264/" , "03579264 Футболка женская Pioneer Women, темно-зеленая, размер XL")</f>
      </c>
      <c r="C14639" s="4" t="n">
        <v>814.00</v>
      </c>
      <c r="D14639" s="4"/>
    </row>
    <row collapsed="" customFormat="false" customHeight="1" hidden="" ht="14" outlineLevel="0" r="14640">
      <c r="A14640" s="3" t="inlineStr">
        <is>
          <t>14596</t>
        </is>
      </c>
      <c r="B14640" s="4" t="s">
        <f>=HYPERLINK("http://anyluxury.ru/shop/odezhda/futbolki/futbolka-zhenskaya-pioneer-women-temnozelenaya-03579264/" , "03579264 Футболка женская Pioneer Women, темно-зеленая, размер XXL")</f>
      </c>
      <c r="C14640" s="4" t="n">
        <v>814.00</v>
      </c>
      <c r="D14640" s="4"/>
    </row>
    <row collapsed="" customFormat="false" customHeight="1" hidden="" ht="14" outlineLevel="0" r="14641">
      <c r="A14641" s="3" t="inlineStr">
        <is>
          <t>14597</t>
        </is>
      </c>
      <c r="B14641" s="4" t="s">
        <f>=HYPERLINK("http://anyluxury.ru/shop/odezhda/futbolki/futbolka-zhenskaya-pioneer-women-temnozelenaya-03579264/" , "03579264 Футболка женская Pioneer Women, темно-зеленая, размер 3XL")</f>
      </c>
      <c r="C14641" s="4" t="n">
        <v>1005.00</v>
      </c>
      <c r="D14641" s="4"/>
    </row>
    <row collapsed="" customFormat="false" customHeight="1" hidden="" ht="14" outlineLevel="0" r="14642">
      <c r="A14642" s="3" t="inlineStr">
        <is>
          <t>14598</t>
        </is>
      </c>
      <c r="B14642" s="4" t="s">
        <f>=HYPERLINK("http://anyluxury.ru/shop/odezhda/futbolki/futbolka-zhenskaya-pioneer-women-bordovaya-03579146/" , "03579146 Футболка женская Pioneer Women, бордовая, размер S")</f>
      </c>
      <c r="C14642" s="4" t="n">
        <v>814.00</v>
      </c>
      <c r="D14642" s="4"/>
    </row>
    <row collapsed="" customFormat="false" customHeight="1" hidden="" ht="14" outlineLevel="0" r="14643">
      <c r="A14643" s="3" t="inlineStr">
        <is>
          <t>14599</t>
        </is>
      </c>
      <c r="B14643" s="4" t="s">
        <f>=HYPERLINK("http://anyluxury.ru/shop/odezhda/futbolki/futbolka-zhenskaya-pioneer-women-bordovaya-03579146/" , "03579146 Футболка женская Pioneer Women, бордовая, размер M")</f>
      </c>
      <c r="C14643" s="4" t="n">
        <v>814.00</v>
      </c>
      <c r="D14643" s="4"/>
    </row>
    <row collapsed="" customFormat="false" customHeight="1" hidden="" ht="14" outlineLevel="0" r="14644">
      <c r="A14644" s="3" t="inlineStr">
        <is>
          <t>14600</t>
        </is>
      </c>
      <c r="B14644" s="4" t="s">
        <f>=HYPERLINK("http://anyluxury.ru/shop/odezhda/futbolki/futbolka-zhenskaya-pioneer-women-bordovaya-03579146/" , "03579146 Футболка женская Pioneer Women, бордовая, размер L")</f>
      </c>
      <c r="C14644" s="4" t="n">
        <v>814.00</v>
      </c>
      <c r="D14644" s="4"/>
    </row>
    <row collapsed="" customFormat="false" customHeight="1" hidden="" ht="14" outlineLevel="0" r="14645">
      <c r="A14645" s="3" t="inlineStr">
        <is>
          <t>14601</t>
        </is>
      </c>
      <c r="B14645" s="4" t="s">
        <f>=HYPERLINK("http://anyluxury.ru/shop/odezhda/futbolki/futbolka-zhenskaya-pioneer-women-bordovaya-03579146/" , "03579146 Футболка женская Pioneer Women, бордовая, размер XL")</f>
      </c>
      <c r="C14645" s="4" t="n">
        <v>814.00</v>
      </c>
      <c r="D14645" s="4"/>
    </row>
    <row collapsed="" customFormat="false" customHeight="1" hidden="" ht="14" outlineLevel="0" r="14646">
      <c r="A14646" s="3" t="inlineStr">
        <is>
          <t>14602</t>
        </is>
      </c>
      <c r="B14646" s="4" t="s">
        <f>=HYPERLINK("http://anyluxury.ru/shop/odezhda/futbolki/futbolka-zhenskaya-pioneer-women-bordovaya-03579146/" , "03579146 Футболка женская Pioneer Women, бордовая, размер XXL")</f>
      </c>
      <c r="C14646" s="4" t="n">
        <v>814.00</v>
      </c>
      <c r="D14646" s="4"/>
    </row>
    <row collapsed="" customFormat="false" customHeight="1" hidden="" ht="14" outlineLevel="0" r="14647">
      <c r="A14647" s="3" t="inlineStr">
        <is>
          <t>14603</t>
        </is>
      </c>
      <c r="B14647" s="4" t="s">
        <f>=HYPERLINK("http://anyluxury.ru/shop/odezhda/futbolki/futbolka-zhenskaya-pioneer-women-sinyaya-dzhins-03579244/" , "03579244 Футболка женская Pioneer Women, синяя (джинс), размер S")</f>
      </c>
      <c r="C14647" s="4" t="n">
        <v>814.00</v>
      </c>
      <c r="D14647" s="4"/>
    </row>
    <row collapsed="" customFormat="false" customHeight="1" hidden="" ht="14" outlineLevel="0" r="14648">
      <c r="A14648" s="3" t="inlineStr">
        <is>
          <t>14604</t>
        </is>
      </c>
      <c r="B14648" s="4" t="s">
        <f>=HYPERLINK("http://anyluxury.ru/shop/odezhda/futbolki/futbolka-zhenskaya-pioneer-women-sinyaya-dzhins-03579244/" , "03579244 Футболка женская Pioneer Women, синяя (джинс), размер M")</f>
      </c>
      <c r="C14648" s="4" t="n">
        <v>814.00</v>
      </c>
      <c r="D14648" s="4"/>
    </row>
    <row collapsed="" customFormat="false" customHeight="1" hidden="" ht="14" outlineLevel="0" r="14649">
      <c r="A14649" s="3" t="inlineStr">
        <is>
          <t>14605</t>
        </is>
      </c>
      <c r="B14649" s="4" t="s">
        <f>=HYPERLINK("http://anyluxury.ru/shop/odezhda/futbolki/futbolka-zhenskaya-pioneer-women-sinyaya-dzhins-03579244/" , "03579244 Футболка женская Pioneer Women, синяя (джинс), размер L")</f>
      </c>
      <c r="C14649" s="4" t="n">
        <v>814.00</v>
      </c>
      <c r="D14649" s="4"/>
    </row>
    <row collapsed="" customFormat="false" customHeight="1" hidden="" ht="14" outlineLevel="0" r="14650">
      <c r="A14650" s="3" t="inlineStr">
        <is>
          <t>14606</t>
        </is>
      </c>
      <c r="B14650" s="4" t="s">
        <f>=HYPERLINK("http://anyluxury.ru/shop/odezhda/futbolki/futbolka-zhenskaya-pioneer-women-sinyaya-dzhins-03579244/" , "03579244 Футболка женская Pioneer Women, синяя (джинс), размер XL")</f>
      </c>
      <c r="C14650" s="4" t="n">
        <v>814.00</v>
      </c>
      <c r="D14650" s="4"/>
    </row>
    <row collapsed="" customFormat="false" customHeight="1" hidden="" ht="14" outlineLevel="0" r="14651">
      <c r="A14651" s="3" t="inlineStr">
        <is>
          <t>14607</t>
        </is>
      </c>
      <c r="B14651" s="4" t="s">
        <f>=HYPERLINK("http://anyluxury.ru/shop/odezhda/futbolki/futbolka-zhenskaya-pioneer-women-sinyaya-dzhins-03579244/" , "03579244 Футболка женская Pioneer Women, синяя (джинс), размер XXL")</f>
      </c>
      <c r="C14651" s="4" t="n">
        <v>814.00</v>
      </c>
      <c r="D14651" s="4"/>
    </row>
    <row collapsed="" customFormat="false" customHeight="1" hidden="" ht="14" outlineLevel="0" r="14652">
      <c r="A14652" s="3" t="inlineStr">
        <is>
          <t>14608</t>
        </is>
      </c>
      <c r="B14652" s="4" t="s">
        <f>=HYPERLINK("http://anyluxury.ru/shop/odezhda/futbolki/futbolka-zhenskaya-pioneer-women-yarkorozovaya-fuksiya-03579140/" , "03579140 Футболка женская Pioneer Women, ярко-розовая (фуксия), размер S")</f>
      </c>
      <c r="C14652" s="4" t="n">
        <v>814.00</v>
      </c>
      <c r="D14652" s="4"/>
    </row>
    <row collapsed="" customFormat="false" customHeight="1" hidden="" ht="14" outlineLevel="0" r="14653">
      <c r="A14653" s="3" t="inlineStr">
        <is>
          <t>14609</t>
        </is>
      </c>
      <c r="B14653" s="4" t="s">
        <f>=HYPERLINK("http://anyluxury.ru/shop/odezhda/futbolki/futbolka-zhenskaya-pioneer-women-yarkorozovaya-fuksiya-03579140/" , "03579140 Футболка женская Pioneer Women, ярко-розовая (фуксия), размер M")</f>
      </c>
      <c r="C14653" s="4" t="n">
        <v>814.00</v>
      </c>
      <c r="D14653" s="4"/>
    </row>
    <row collapsed="" customFormat="false" customHeight="1" hidden="" ht="14" outlineLevel="0" r="14654">
      <c r="A14654" s="3" t="inlineStr">
        <is>
          <t>14610</t>
        </is>
      </c>
      <c r="B14654" s="4" t="s">
        <f>=HYPERLINK("http://anyluxury.ru/shop/odezhda/futbolki/futbolka-zhenskaya-pioneer-women-yarkorozovaya-fuksiya-03579140/" , "03579140 Футболка женская Pioneer Women, ярко-розовая (фуксия), размер L")</f>
      </c>
      <c r="C14654" s="4" t="n">
        <v>814.00</v>
      </c>
      <c r="D14654" s="4"/>
    </row>
    <row collapsed="" customFormat="false" customHeight="1" hidden="" ht="14" outlineLevel="0" r="14655">
      <c r="A14655" s="3" t="inlineStr">
        <is>
          <t>14611</t>
        </is>
      </c>
      <c r="B14655" s="4" t="s">
        <f>=HYPERLINK("http://anyluxury.ru/shop/odezhda/futbolki/futbolka-zhenskaya-pioneer-women-yarkorozovaya-fuksiya-03579140/" , "03579140 Футболка женская Pioneer Women, ярко-розовая (фуксия), размер XL")</f>
      </c>
      <c r="C14655" s="4" t="n">
        <v>814.00</v>
      </c>
      <c r="D14655" s="4"/>
    </row>
    <row collapsed="" customFormat="false" customHeight="1" hidden="" ht="14" outlineLevel="0" r="14656">
      <c r="A14656" s="3" t="inlineStr">
        <is>
          <t>14612</t>
        </is>
      </c>
      <c r="B14656" s="4" t="s">
        <f>=HYPERLINK("http://anyluxury.ru/shop/odezhda/futbolki/futbolka-zhenskaya-pioneer-women-yarkorozovaya-fuksiya-03579140/" , "03579140 Футболка женская Pioneer Women, ярко-розовая (фуксия), размер XXL")</f>
      </c>
      <c r="C14656" s="4" t="n">
        <v>814.00</v>
      </c>
      <c r="D14656" s="4"/>
    </row>
    <row collapsed="" customFormat="false" customHeight="1" hidden="" ht="14" outlineLevel="0" r="14657">
      <c r="A14657" s="3" t="inlineStr">
        <is>
          <t>14613</t>
        </is>
      </c>
      <c r="B14657" s="4" t="s">
        <f>=HYPERLINK("http://anyluxury.ru/shop/odezhda/futbolki/futbolka-zhenskaya-pioneer-women-zheltaya-03579301/" , "03579301 Футболка женская Pioneer Women, желтая, размер S")</f>
      </c>
      <c r="C14657" s="4" t="n">
        <v>814.00</v>
      </c>
      <c r="D14657" s="4"/>
    </row>
    <row collapsed="" customFormat="false" customHeight="1" hidden="" ht="14" outlineLevel="0" r="14658">
      <c r="A14658" s="3" t="inlineStr">
        <is>
          <t>14614</t>
        </is>
      </c>
      <c r="B14658" s="4" t="s">
        <f>=HYPERLINK("http://anyluxury.ru/shop/odezhda/futbolki/futbolka-zhenskaya-pioneer-women-zheltaya-03579301/" , "03579301 Футболка женская Pioneer Women, желтая, размер M")</f>
      </c>
      <c r="C14658" s="4" t="n">
        <v>814.00</v>
      </c>
      <c r="D14658" s="4"/>
    </row>
    <row collapsed="" customFormat="false" customHeight="1" hidden="" ht="14" outlineLevel="0" r="14659">
      <c r="A14659" s="3" t="inlineStr">
        <is>
          <t>14615</t>
        </is>
      </c>
      <c r="B14659" s="4" t="s">
        <f>=HYPERLINK("http://anyluxury.ru/shop/odezhda/futbolki/futbolka-zhenskaya-pioneer-women-zheltaya-03579301/" , "03579301 Футболка женская Pioneer Women, желтая, размер L")</f>
      </c>
      <c r="C14659" s="4" t="n">
        <v>814.00</v>
      </c>
      <c r="D14659" s="4"/>
    </row>
    <row collapsed="" customFormat="false" customHeight="1" hidden="" ht="14" outlineLevel="0" r="14660">
      <c r="A14660" s="3" t="inlineStr">
        <is>
          <t>14616</t>
        </is>
      </c>
      <c r="B14660" s="4" t="s">
        <f>=HYPERLINK("http://anyluxury.ru/shop/odezhda/futbolki/futbolka-zhenskaya-pioneer-women-zheltaya-03579301/" , "03579301 Футболка женская Pioneer Women, желтая, размер XL")</f>
      </c>
      <c r="C14660" s="4" t="n">
        <v>814.00</v>
      </c>
      <c r="D14660" s="4"/>
    </row>
    <row collapsed="" customFormat="false" customHeight="1" hidden="" ht="14" outlineLevel="0" r="14661">
      <c r="A14661" s="3" t="inlineStr">
        <is>
          <t>14617</t>
        </is>
      </c>
      <c r="B14661" s="4" t="s">
        <f>=HYPERLINK("http://anyluxury.ru/shop/odezhda/futbolki/futbolka-zhenskaya-pioneer-women-zheltaya-03579301/" , "03579301 Футболка женская Pioneer Women, желтая, размер XXL")</f>
      </c>
      <c r="C14661" s="4" t="n">
        <v>814.00</v>
      </c>
      <c r="D14661" s="4"/>
    </row>
    <row collapsed="" customFormat="false" customHeight="1" hidden="" ht="14" outlineLevel="0" r="14662">
      <c r="A14662" s="3" t="inlineStr">
        <is>
          <t>14618</t>
        </is>
      </c>
      <c r="B14662" s="4" t="s">
        <f>=HYPERLINK("http://anyluxury.ru/shop/odezhda/futbolki/futbolka-zhenskaya-pioneer-women-haki-03579268/" , "03579268 Футболка женская Pioneer Women, хаки, размер S")</f>
      </c>
      <c r="C14662" s="4" t="n">
        <v>814.00</v>
      </c>
      <c r="D14662" s="4"/>
    </row>
    <row collapsed="" customFormat="false" customHeight="1" hidden="" ht="14" outlineLevel="0" r="14663">
      <c r="A14663" s="3" t="inlineStr">
        <is>
          <t>14619</t>
        </is>
      </c>
      <c r="B14663" s="4" t="s">
        <f>=HYPERLINK("http://anyluxury.ru/shop/odezhda/futbolki/futbolka-zhenskaya-pioneer-women-haki-03579268/" , "03579268 Футболка женская Pioneer Women, хаки, размер M")</f>
      </c>
      <c r="C14663" s="4" t="n">
        <v>814.00</v>
      </c>
      <c r="D14663" s="4"/>
    </row>
    <row collapsed="" customFormat="false" customHeight="1" hidden="" ht="14" outlineLevel="0" r="14664">
      <c r="A14664" s="3" t="inlineStr">
        <is>
          <t>14620</t>
        </is>
      </c>
      <c r="B14664" s="4" t="s">
        <f>=HYPERLINK("http://anyluxury.ru/shop/odezhda/futbolki/futbolka-zhenskaya-pioneer-women-haki-03579268/" , "03579268 Футболка женская Pioneer Women, хаки, размер L")</f>
      </c>
      <c r="C14664" s="4" t="n">
        <v>814.00</v>
      </c>
      <c r="D14664" s="4"/>
    </row>
    <row collapsed="" customFormat="false" customHeight="1" hidden="" ht="14" outlineLevel="0" r="14665">
      <c r="A14665" s="3" t="inlineStr">
        <is>
          <t>14621</t>
        </is>
      </c>
      <c r="B14665" s="4" t="s">
        <f>=HYPERLINK("http://anyluxury.ru/shop/odezhda/futbolki/futbolka-zhenskaya-pioneer-women-haki-03579268/" , "03579268 Футболка женская Pioneer Women, хаки, размер XL")</f>
      </c>
      <c r="C14665" s="4" t="n">
        <v>814.00</v>
      </c>
      <c r="D14665" s="4"/>
    </row>
    <row collapsed="" customFormat="false" customHeight="1" hidden="" ht="14" outlineLevel="0" r="14666">
      <c r="A14666" s="3" t="inlineStr">
        <is>
          <t>14622</t>
        </is>
      </c>
      <c r="B14666" s="4" t="s">
        <f>=HYPERLINK("http://anyluxury.ru/shop/odezhda/futbolki/futbolka-zhenskaya-pioneer-women-haki-03579268/" , "03579268 Футболка женская Pioneer Women, хаки, размер XXL")</f>
      </c>
      <c r="C14666" s="4" t="n">
        <v>814.00</v>
      </c>
      <c r="D14666" s="4"/>
    </row>
    <row collapsed="" customFormat="false" customHeight="1" hidden="" ht="14" outlineLevel="0" r="14667">
      <c r="A14667" s="3" t="inlineStr">
        <is>
          <t>14623</t>
        </is>
      </c>
      <c r="B14667" s="4" t="s">
        <f>=HYPERLINK("http://anyluxury.ru/shop/odezhda/futbolki/futbolka-zhenskaya-pioneer-women-yarkozelenaya-03579272/" , "03579272 Футболка женская Pioneer Women, ярко-зеленая, размер S")</f>
      </c>
      <c r="C14667" s="4" t="n">
        <v>814.00</v>
      </c>
      <c r="D14667" s="4"/>
    </row>
    <row collapsed="" customFormat="false" customHeight="1" hidden="" ht="14" outlineLevel="0" r="14668">
      <c r="A14668" s="3" t="inlineStr">
        <is>
          <t>14624</t>
        </is>
      </c>
      <c r="B14668" s="4" t="s">
        <f>=HYPERLINK("http://anyluxury.ru/shop/odezhda/futbolki/futbolka-zhenskaya-pioneer-women-yarkozelenaya-03579272/" , "03579272 Футболка женская Pioneer Women, ярко-зеленая, размер M")</f>
      </c>
      <c r="C14668" s="4" t="n">
        <v>814.00</v>
      </c>
      <c r="D14668" s="4"/>
    </row>
    <row collapsed="" customFormat="false" customHeight="1" hidden="" ht="14" outlineLevel="0" r="14669">
      <c r="A14669" s="3" t="inlineStr">
        <is>
          <t>14625</t>
        </is>
      </c>
      <c r="B14669" s="4" t="s">
        <f>=HYPERLINK("http://anyluxury.ru/shop/odezhda/futbolki/futbolka-zhenskaya-pioneer-women-yarkozelenaya-03579272/" , "03579272 Футболка женская Pioneer Women, ярко-зеленая, размер L")</f>
      </c>
      <c r="C14669" s="4" t="n">
        <v>814.00</v>
      </c>
      <c r="D14669" s="4"/>
    </row>
    <row collapsed="" customFormat="false" customHeight="1" hidden="" ht="14" outlineLevel="0" r="14670">
      <c r="A14670" s="3" t="inlineStr">
        <is>
          <t>14626</t>
        </is>
      </c>
      <c r="B14670" s="4" t="s">
        <f>=HYPERLINK("http://anyluxury.ru/shop/odezhda/futbolki/futbolka-zhenskaya-pioneer-women-yarkozelenaya-03579272/" , "03579272 Футболка женская Pioneer Women, ярко-зеленая, размер XL")</f>
      </c>
      <c r="C14670" s="4" t="n">
        <v>814.00</v>
      </c>
      <c r="D14670" s="4"/>
    </row>
    <row collapsed="" customFormat="false" customHeight="1" hidden="" ht="14" outlineLevel="0" r="14671">
      <c r="A14671" s="3" t="inlineStr">
        <is>
          <t>14627</t>
        </is>
      </c>
      <c r="B14671" s="4" t="s">
        <f>=HYPERLINK("http://anyluxury.ru/shop/odezhda/futbolki/futbolka-zhenskaya-pioneer-women-yarkozelenaya-03579272/" , "03579272 Футболка женская Pioneer Women, ярко-зеленая, размер XXL")</f>
      </c>
      <c r="C14671" s="4" t="n">
        <v>814.00</v>
      </c>
      <c r="D14671" s="4"/>
    </row>
    <row collapsed="" customFormat="false" customHeight="1" hidden="" ht="14" outlineLevel="0" r="14672">
      <c r="A14672" s="3" t="inlineStr">
        <is>
          <t>14628</t>
        </is>
      </c>
      <c r="B14672" s="4" t="s">
        <f>=HYPERLINK("http://anyluxury.ru/shop/odezhda/futbolki/futbolka-zhenskaya-pioneer-women-temnoseraya-grafit-03579381/" , "03579381 Футболка женская Pioneer Women, темно-серая (графит), размер S")</f>
      </c>
      <c r="C14672" s="4" t="n">
        <v>814.00</v>
      </c>
      <c r="D14672" s="4"/>
    </row>
    <row collapsed="" customFormat="false" customHeight="1" hidden="" ht="14" outlineLevel="0" r="14673">
      <c r="A14673" s="3" t="inlineStr">
        <is>
          <t>14629</t>
        </is>
      </c>
      <c r="B14673" s="4" t="s">
        <f>=HYPERLINK("http://anyluxury.ru/shop/odezhda/futbolki/futbolka-zhenskaya-pioneer-women-temnoseraya-grafit-03579381/" , "03579381 Футболка женская Pioneer Women, темно-серая (графит), размер M")</f>
      </c>
      <c r="C14673" s="4" t="n">
        <v>814.00</v>
      </c>
      <c r="D14673" s="4"/>
    </row>
    <row collapsed="" customFormat="false" customHeight="1" hidden="" ht="14" outlineLevel="0" r="14674">
      <c r="A14674" s="3" t="inlineStr">
        <is>
          <t>14630</t>
        </is>
      </c>
      <c r="B14674" s="4" t="s">
        <f>=HYPERLINK("http://anyluxury.ru/shop/odezhda/futbolki/futbolka-zhenskaya-pioneer-women-temnoseraya-grafit-03579381/" , "03579381 Футболка женская Pioneer Women, темно-серая (графит), размер L")</f>
      </c>
      <c r="C14674" s="4" t="n">
        <v>814.00</v>
      </c>
      <c r="D14674" s="4"/>
    </row>
    <row collapsed="" customFormat="false" customHeight="1" hidden="" ht="14" outlineLevel="0" r="14675">
      <c r="A14675" s="3" t="inlineStr">
        <is>
          <t>14631</t>
        </is>
      </c>
      <c r="B14675" s="4" t="s">
        <f>=HYPERLINK("http://anyluxury.ru/shop/odezhda/futbolki/futbolka-zhenskaya-pioneer-women-temnoseraya-grafit-03579381/" , "03579381 Футболка женская Pioneer Women, темно-серая (графит), размер XL")</f>
      </c>
      <c r="C14675" s="4" t="n">
        <v>814.00</v>
      </c>
      <c r="D14675" s="4"/>
    </row>
    <row collapsed="" customFormat="false" customHeight="1" hidden="" ht="14" outlineLevel="0" r="14676">
      <c r="A14676" s="3" t="inlineStr">
        <is>
          <t>14632</t>
        </is>
      </c>
      <c r="B14676" s="4" t="s">
        <f>=HYPERLINK("http://anyluxury.ru/shop/odezhda/futbolki/futbolka-zhenskaya-pioneer-women-temnoseraya-grafit-03579381/" , "03579381 Футболка женская Pioneer Women, темно-серая (графит), размер XXL")</f>
      </c>
      <c r="C14676" s="4" t="n">
        <v>814.00</v>
      </c>
      <c r="D14676" s="4"/>
    </row>
    <row collapsed="" customFormat="false" customHeight="1" hidden="" ht="14" outlineLevel="0" r="14677">
      <c r="A14677" s="3" t="inlineStr">
        <is>
          <t>14633</t>
        </is>
      </c>
      <c r="B14677" s="4" t="s">
        <f>=HYPERLINK("http://anyluxury.ru/shop/odezhda/futbolki/futbolka-zhenskaya-pioneer-women-svetlobezhevaya-03579101/" , "03579101 Футболка женская Pioneer Women, светло-бежевая, размер S")</f>
      </c>
      <c r="C14677" s="4" t="n">
        <v>539.00</v>
      </c>
      <c r="D14677" s="4"/>
    </row>
    <row collapsed="" customFormat="false" customHeight="1" hidden="" ht="14" outlineLevel="0" r="14678">
      <c r="A14678" s="3" t="inlineStr">
        <is>
          <t>14634</t>
        </is>
      </c>
      <c r="B14678" s="4" t="s">
        <f>=HYPERLINK("http://anyluxury.ru/shop/odezhda/futbolki/futbolka-zhenskaya-pioneer-women-svetlobezhevaya-03579101/" , "03579101 Футболка женская Pioneer Women, светло-бежевая, размер M")</f>
      </c>
      <c r="C14678" s="4" t="n">
        <v>539.00</v>
      </c>
      <c r="D14678" s="4"/>
    </row>
    <row collapsed="" customFormat="false" customHeight="1" hidden="" ht="14" outlineLevel="0" r="14679">
      <c r="A14679" s="3" t="inlineStr">
        <is>
          <t>14635</t>
        </is>
      </c>
      <c r="B14679" s="4" t="s">
        <f>=HYPERLINK("http://anyluxury.ru/shop/odezhda/futbolki/futbolka-zhenskaya-pioneer-women-svetlobezhevaya-03579101/" , "03579101 Футболка женская Pioneer Women, светло-бежевая, размер L")</f>
      </c>
      <c r="C14679" s="4" t="n">
        <v>539.00</v>
      </c>
      <c r="D14679" s="4"/>
    </row>
    <row collapsed="" customFormat="false" customHeight="1" hidden="" ht="14" outlineLevel="0" r="14680">
      <c r="A14680" s="3" t="inlineStr">
        <is>
          <t>14636</t>
        </is>
      </c>
      <c r="B14680" s="4" t="s">
        <f>=HYPERLINK("http://anyluxury.ru/shop/odezhda/futbolki/futbolka-zhenskaya-pioneer-women-svetlobezhevaya-03579101/" , "03579101 Футболка женская Pioneer Women, светло-бежевая, размер XL")</f>
      </c>
      <c r="C14680" s="4" t="n">
        <v>539.00</v>
      </c>
      <c r="D14680" s="4"/>
    </row>
    <row collapsed="" customFormat="false" customHeight="1" hidden="" ht="14" outlineLevel="0" r="14681">
      <c r="A14681" s="3" t="inlineStr">
        <is>
          <t>14637</t>
        </is>
      </c>
      <c r="B14681" s="4" t="s">
        <f>=HYPERLINK("http://anyluxury.ru/shop/odezhda/futbolki/futbolka-zhenskaya-pioneer-women-svetlobezhevaya-03579101/" , "03579101 Футболка женская Pioneer Women, светло-бежевая, размер XXL")</f>
      </c>
      <c r="C14681" s="4" t="n">
        <v>539.00</v>
      </c>
      <c r="D14681" s="4"/>
    </row>
    <row collapsed="" customFormat="false" customHeight="1" hidden="" ht="14" outlineLevel="0" r="14682">
      <c r="A14682" s="3" t="inlineStr">
        <is>
          <t>14638</t>
        </is>
      </c>
      <c r="B14682" s="4" t="s">
        <f>=HYPERLINK("http://anyluxury.ru/shop/odezhda/futbolki/futbolka-zhenskaya-pioneer-women-oranzhevaya-03579400/" , "03579400 Футболка женская Pioneer Women, оранжевая, размер S")</f>
      </c>
      <c r="C14682" s="4" t="n">
        <v>814.00</v>
      </c>
      <c r="D14682" s="4"/>
    </row>
    <row collapsed="" customFormat="false" customHeight="1" hidden="" ht="14" outlineLevel="0" r="14683">
      <c r="A14683" s="3" t="inlineStr">
        <is>
          <t>14639</t>
        </is>
      </c>
      <c r="B14683" s="4" t="s">
        <f>=HYPERLINK("http://anyluxury.ru/shop/odezhda/futbolki/futbolka-zhenskaya-pioneer-women-oranzhevaya-03579400/" , "03579400 Футболка женская Pioneer Women, оранжевая, размер M")</f>
      </c>
      <c r="C14683" s="4" t="n">
        <v>814.00</v>
      </c>
      <c r="D14683" s="4"/>
    </row>
    <row collapsed="" customFormat="false" customHeight="1" hidden="" ht="14" outlineLevel="0" r="14684">
      <c r="A14684" s="3" t="inlineStr">
        <is>
          <t>14640</t>
        </is>
      </c>
      <c r="B14684" s="4" t="s">
        <f>=HYPERLINK("http://anyluxury.ru/shop/odezhda/futbolki/futbolka-zhenskaya-pioneer-women-oranzhevaya-03579400/" , "03579400 Футболка женская Pioneer Women, оранжевая, размер L")</f>
      </c>
      <c r="C14684" s="4" t="n">
        <v>814.00</v>
      </c>
      <c r="D14684" s="4"/>
    </row>
    <row collapsed="" customFormat="false" customHeight="1" hidden="" ht="14" outlineLevel="0" r="14685">
      <c r="A14685" s="3" t="inlineStr">
        <is>
          <t>14641</t>
        </is>
      </c>
      <c r="B14685" s="4" t="s">
        <f>=HYPERLINK("http://anyluxury.ru/shop/odezhda/futbolki/futbolka-zhenskaya-pioneer-women-oranzhevaya-03579400/" , "03579400 Футболка женская Pioneer Women, оранжевая, размер XL")</f>
      </c>
      <c r="C14685" s="4" t="n">
        <v>814.00</v>
      </c>
      <c r="D14685" s="4"/>
    </row>
    <row collapsed="" customFormat="false" customHeight="1" hidden="" ht="14" outlineLevel="0" r="14686">
      <c r="A14686" s="3" t="inlineStr">
        <is>
          <t>14642</t>
        </is>
      </c>
      <c r="B14686" s="4" t="s">
        <f>=HYPERLINK("http://anyluxury.ru/shop/odezhda/futbolki/futbolka-zhenskaya-pioneer-women-oranzhevaya-03579400/" , "03579400 Футболка женская Pioneer Women, оранжевая, размер XXL")</f>
      </c>
      <c r="C14686" s="4" t="n">
        <v>814.00</v>
      </c>
      <c r="D14686" s="4"/>
    </row>
    <row collapsed="" customFormat="false" customHeight="1" hidden="" ht="14" outlineLevel="0" r="14687">
      <c r="A14687" s="3" t="inlineStr">
        <is>
          <t>14643</t>
        </is>
      </c>
      <c r="B14687" s="4" t="s">
        <f>=HYPERLINK("http://anyluxury.ru/shop/odezhda/futbolki/futbolka-zhenskaya-pioneer-women-rozovaya-03579141/" , "03579141 Футболка женская Pioneer Women, розовая, размер S")</f>
      </c>
      <c r="C14687" s="4" t="n">
        <v>814.00</v>
      </c>
      <c r="D14687" s="4"/>
    </row>
    <row collapsed="" customFormat="false" customHeight="1" hidden="" ht="14" outlineLevel="0" r="14688">
      <c r="A14688" s="3" t="inlineStr">
        <is>
          <t>14644</t>
        </is>
      </c>
      <c r="B14688" s="4" t="s">
        <f>=HYPERLINK("http://anyluxury.ru/shop/odezhda/futbolki/futbolka-zhenskaya-pioneer-women-rozovaya-03579141/" , "03579141 Футболка женская Pioneer Women, розовая, размер M")</f>
      </c>
      <c r="C14688" s="4" t="n">
        <v>814.00</v>
      </c>
      <c r="D14688" s="4"/>
    </row>
    <row collapsed="" customFormat="false" customHeight="1" hidden="" ht="14" outlineLevel="0" r="14689">
      <c r="A14689" s="3" t="inlineStr">
        <is>
          <t>14645</t>
        </is>
      </c>
      <c r="B14689" s="4" t="s">
        <f>=HYPERLINK("http://anyluxury.ru/shop/odezhda/futbolki/futbolka-zhenskaya-pioneer-women-rozovaya-03579141/" , "03579141 Футболка женская Pioneer Women, розовая, размер L")</f>
      </c>
      <c r="C14689" s="4" t="n">
        <v>814.00</v>
      </c>
      <c r="D14689" s="4"/>
    </row>
    <row collapsed="" customFormat="false" customHeight="1" hidden="" ht="14" outlineLevel="0" r="14690">
      <c r="A14690" s="3" t="inlineStr">
        <is>
          <t>14646</t>
        </is>
      </c>
      <c r="B14690" s="4" t="s">
        <f>=HYPERLINK("http://anyluxury.ru/shop/odezhda/futbolki/futbolka-zhenskaya-pioneer-women-rozovaya-03579141/" , "03579141 Футболка женская Pioneer Women, розовая, размер XL")</f>
      </c>
      <c r="C14690" s="4" t="n">
        <v>814.00</v>
      </c>
      <c r="D14690" s="4"/>
    </row>
    <row collapsed="" customFormat="false" customHeight="1" hidden="" ht="14" outlineLevel="0" r="14691">
      <c r="A14691" s="3" t="inlineStr">
        <is>
          <t>14647</t>
        </is>
      </c>
      <c r="B14691" s="4" t="s">
        <f>=HYPERLINK("http://anyluxury.ru/shop/odezhda/futbolki/futbolka-zhenskaya-pioneer-women-rozovaya-03579141/" , "03579141 Футболка женская Pioneer Women, розовая, размер XXL")</f>
      </c>
      <c r="C14691" s="4" t="n">
        <v>814.00</v>
      </c>
      <c r="D14691" s="4"/>
    </row>
    <row collapsed="" customFormat="false" customHeight="1" hidden="" ht="14" outlineLevel="0" r="14692">
      <c r="A14692" s="3" t="inlineStr">
        <is>
          <t>14648</t>
        </is>
      </c>
      <c r="B14692" s="4" t="s">
        <f>=HYPERLINK("http://anyluxury.ru/shop/odezhda/futbolki/futbolka-zhenskaya-pioneer-women-krasnaya-03579145/" , "03579145 Футболка женская Pioneer Women, красная, размер S")</f>
      </c>
      <c r="C14692" s="4" t="n">
        <v>814.00</v>
      </c>
      <c r="D14692" s="4"/>
    </row>
    <row collapsed="" customFormat="false" customHeight="1" hidden="" ht="14" outlineLevel="0" r="14693">
      <c r="A14693" s="3" t="inlineStr">
        <is>
          <t>14649</t>
        </is>
      </c>
      <c r="B14693" s="4" t="s">
        <f>=HYPERLINK("http://anyluxury.ru/shop/odezhda/futbolki/futbolka-zhenskaya-pioneer-women-krasnaya-03579145/" , "03579145 Футболка женская Pioneer Women, красная, размер M")</f>
      </c>
      <c r="C14693" s="4" t="n">
        <v>814.00</v>
      </c>
      <c r="D14693" s="4"/>
    </row>
    <row collapsed="" customFormat="false" customHeight="1" hidden="" ht="14" outlineLevel="0" r="14694">
      <c r="A14694" s="3" t="inlineStr">
        <is>
          <t>14650</t>
        </is>
      </c>
      <c r="B14694" s="4" t="s">
        <f>=HYPERLINK("http://anyluxury.ru/shop/odezhda/futbolki/futbolka-zhenskaya-pioneer-women-krasnaya-03579145/" , "03579145 Футболка женская Pioneer Women, красная, размер L")</f>
      </c>
      <c r="C14694" s="4" t="n">
        <v>814.00</v>
      </c>
      <c r="D14694" s="4"/>
    </row>
    <row collapsed="" customFormat="false" customHeight="1" hidden="" ht="14" outlineLevel="0" r="14695">
      <c r="A14695" s="3" t="inlineStr">
        <is>
          <t>14651</t>
        </is>
      </c>
      <c r="B14695" s="4" t="s">
        <f>=HYPERLINK("http://anyluxury.ru/shop/odezhda/futbolki/futbolka-zhenskaya-pioneer-women-krasnaya-03579145/" , "03579145 Футболка женская Pioneer Women, красная, размер XL")</f>
      </c>
      <c r="C14695" s="4" t="n">
        <v>814.00</v>
      </c>
      <c r="D14695" s="4"/>
    </row>
    <row collapsed="" customFormat="false" customHeight="1" hidden="" ht="14" outlineLevel="0" r="14696">
      <c r="A14696" s="3" t="inlineStr">
        <is>
          <t>14652</t>
        </is>
      </c>
      <c r="B14696" s="4" t="s">
        <f>=HYPERLINK("http://anyluxury.ru/shop/odezhda/futbolki/futbolka-zhenskaya-pioneer-women-krasnaya-03579145/" , "03579145 Футболка женская Pioneer Women, красная, размер XXL")</f>
      </c>
      <c r="C14696" s="4" t="n">
        <v>814.00</v>
      </c>
      <c r="D14696" s="4"/>
    </row>
    <row collapsed="" customFormat="false" customHeight="1" hidden="" ht="14" outlineLevel="0" r="14697">
      <c r="A14697" s="3" t="inlineStr">
        <is>
          <t>14653</t>
        </is>
      </c>
      <c r="B14697" s="4" t="s">
        <f>=HYPERLINK("http://anyluxury.ru/shop/odezhda/futbolki/futbolka-zhenskaya-pioneer-women-krasnaya-03579145/" , "03579145 Футболка женская Pioneer Women, красная, размер 3XL")</f>
      </c>
      <c r="C14697" s="4" t="n">
        <v>1005.00</v>
      </c>
      <c r="D14697" s="4"/>
    </row>
    <row collapsed="" customFormat="false" customHeight="1" hidden="" ht="14" outlineLevel="0" r="14698">
      <c r="A14698" s="3" t="inlineStr">
        <is>
          <t>14654</t>
        </is>
      </c>
      <c r="B14698" s="4" t="s">
        <f>=HYPERLINK("http://anyluxury.ru/shop/odezhda/futbolki/futbolka-zhenskaya-pioneer-women-yarkosinyaya-03579241/" , "03579241 Футболка женская Pioneer Women, ярко-синяя, размер S")</f>
      </c>
      <c r="C14698" s="4" t="n">
        <v>814.00</v>
      </c>
      <c r="D14698" s="4"/>
    </row>
    <row collapsed="" customFormat="false" customHeight="1" hidden="" ht="14" outlineLevel="0" r="14699">
      <c r="A14699" s="3" t="inlineStr">
        <is>
          <t>14655</t>
        </is>
      </c>
      <c r="B14699" s="4" t="s">
        <f>=HYPERLINK("http://anyluxury.ru/shop/odezhda/futbolki/futbolka-zhenskaya-pioneer-women-yarkosinyaya-03579241/" , "03579241 Футболка женская Pioneer Women, ярко-синяя, размер M")</f>
      </c>
      <c r="C14699" s="4" t="n">
        <v>814.00</v>
      </c>
      <c r="D14699" s="4"/>
    </row>
    <row collapsed="" customFormat="false" customHeight="1" hidden="" ht="14" outlineLevel="0" r="14700">
      <c r="A14700" s="3" t="inlineStr">
        <is>
          <t>14656</t>
        </is>
      </c>
      <c r="B14700" s="4" t="s">
        <f>=HYPERLINK("http://anyluxury.ru/shop/odezhda/futbolki/futbolka-zhenskaya-pioneer-women-yarkosinyaya-03579241/" , "03579241 Футболка женская Pioneer Women, ярко-синяя, размер L")</f>
      </c>
      <c r="C14700" s="4" t="n">
        <v>814.00</v>
      </c>
      <c r="D14700" s="4"/>
    </row>
    <row collapsed="" customFormat="false" customHeight="1" hidden="" ht="14" outlineLevel="0" r="14701">
      <c r="A14701" s="3" t="inlineStr">
        <is>
          <t>14657</t>
        </is>
      </c>
      <c r="B14701" s="4" t="s">
        <f>=HYPERLINK("http://anyluxury.ru/shop/odezhda/futbolki/futbolka-zhenskaya-pioneer-women-yarkosinyaya-03579241/" , "03579241 Футболка женская Pioneer Women, ярко-синяя, размер XL")</f>
      </c>
      <c r="C14701" s="4" t="n">
        <v>814.00</v>
      </c>
      <c r="D14701" s="4"/>
    </row>
    <row collapsed="" customFormat="false" customHeight="1" hidden="" ht="14" outlineLevel="0" r="14702">
      <c r="A14702" s="3" t="inlineStr">
        <is>
          <t>14658</t>
        </is>
      </c>
      <c r="B14702" s="4" t="s">
        <f>=HYPERLINK("http://anyluxury.ru/shop/odezhda/futbolki/futbolka-zhenskaya-pioneer-women-yarkosinyaya-03579241/" , "03579241 Футболка женская Pioneer Women, ярко-синяя, размер XXL")</f>
      </c>
      <c r="C14702" s="4" t="n">
        <v>814.00</v>
      </c>
      <c r="D14702" s="4"/>
    </row>
    <row collapsed="" customFormat="false" customHeight="1" hidden="" ht="14" outlineLevel="0" r="14703">
      <c r="A14703" s="3" t="inlineStr">
        <is>
          <t>14659</t>
        </is>
      </c>
      <c r="B14703" s="4" t="s">
        <f>=HYPERLINK("http://anyluxury.ru/shop/odezhda/futbolki/futbolka-zhenskaya-pioneer-women-yarkosinyaya-03579241/" , "03579241 Футболка женская Pioneer Women, ярко-синяя, размер 3XL")</f>
      </c>
      <c r="C14703" s="4" t="n">
        <v>1005.00</v>
      </c>
      <c r="D14703" s="4"/>
    </row>
    <row collapsed="" customFormat="false" customHeight="1" hidden="" ht="14" outlineLevel="0" r="14704">
      <c r="A14704" s="3" t="inlineStr">
        <is>
          <t>14660</t>
        </is>
      </c>
      <c r="B14704" s="4" t="s">
        <f>=HYPERLINK("http://anyluxury.ru/shop/odezhda/futbolki/futbolka-muzhskaya-crusader-men-zelenoe-yabloko-03582280/" , "03582280 Футболка мужская Crusader Men, зеленое яблоко, размер XS")</f>
      </c>
      <c r="C14704" s="4" t="n">
        <v>655.00</v>
      </c>
      <c r="D14704" s="4"/>
    </row>
    <row collapsed="" customFormat="false" customHeight="1" hidden="" ht="14" outlineLevel="0" r="14705">
      <c r="A14705" s="3" t="inlineStr">
        <is>
          <t>14661</t>
        </is>
      </c>
      <c r="B14705" s="4" t="s">
        <f>=HYPERLINK("http://anyluxury.ru/shop/odezhda/futbolki/futbolka-muzhskaya-crusader-men-zelenoe-yabloko-03582280/" , "03582280 Футболка мужская Crusader Men, зеленое яблоко, размер S")</f>
      </c>
      <c r="C14705" s="4" t="n">
        <v>655.00</v>
      </c>
      <c r="D14705" s="4"/>
    </row>
    <row collapsed="" customFormat="false" customHeight="1" hidden="" ht="14" outlineLevel="0" r="14706">
      <c r="A14706" s="3" t="inlineStr">
        <is>
          <t>14662</t>
        </is>
      </c>
      <c r="B14706" s="4" t="s">
        <f>=HYPERLINK("http://anyluxury.ru/shop/odezhda/futbolki/futbolka-muzhskaya-crusader-men-zelenoe-yabloko-03582280/" , "03582280 Футболка мужская Crusader Men, зеленое яблоко, размер M")</f>
      </c>
      <c r="C14706" s="4" t="n">
        <v>655.00</v>
      </c>
      <c r="D14706" s="4"/>
    </row>
    <row collapsed="" customFormat="false" customHeight="1" hidden="" ht="14" outlineLevel="0" r="14707">
      <c r="A14707" s="3" t="inlineStr">
        <is>
          <t>14663</t>
        </is>
      </c>
      <c r="B14707" s="4" t="s">
        <f>=HYPERLINK("http://anyluxury.ru/shop/odezhda/futbolki/futbolka-muzhskaya-crusader-men-zelenoe-yabloko-03582280/" , "03582280 Футболка мужская Crusader Men, зеленое яблоко, размер L")</f>
      </c>
      <c r="C14707" s="4" t="n">
        <v>655.00</v>
      </c>
      <c r="D14707" s="4"/>
    </row>
    <row collapsed="" customFormat="false" customHeight="1" hidden="" ht="14" outlineLevel="0" r="14708">
      <c r="A14708" s="3" t="inlineStr">
        <is>
          <t>14664</t>
        </is>
      </c>
      <c r="B14708" s="4" t="s">
        <f>=HYPERLINK("http://anyluxury.ru/shop/odezhda/futbolki/futbolka-muzhskaya-crusader-men-zelenoe-yabloko-03582280/" , "03582280 Футболка мужская Crusader Men, зеленое яблоко, размер XL")</f>
      </c>
      <c r="C14708" s="4" t="n">
        <v>655.00</v>
      </c>
      <c r="D14708" s="4"/>
    </row>
    <row collapsed="" customFormat="false" customHeight="1" hidden="" ht="14" outlineLevel="0" r="14709">
      <c r="A14709" s="3" t="inlineStr">
        <is>
          <t>14665</t>
        </is>
      </c>
      <c r="B14709" s="4" t="s">
        <f>=HYPERLINK("http://anyluxury.ru/shop/odezhda/futbolki/futbolka-muzhskaya-crusader-men-zelenoe-yabloko-03582280/" , "03582280 Футболка мужская Crusader Men, зеленое яблоко, размер XXL")</f>
      </c>
      <c r="C14709" s="4" t="n">
        <v>655.00</v>
      </c>
      <c r="D14709" s="4"/>
    </row>
    <row collapsed="" customFormat="false" customHeight="1" hidden="" ht="14" outlineLevel="0" r="14710">
      <c r="A14710" s="3" t="inlineStr">
        <is>
          <t>14666</t>
        </is>
      </c>
      <c r="B14710" s="4" t="s">
        <f>=HYPERLINK("http://anyluxury.ru/shop/odezhda/futbolki/futbolka-muzhskaya-crusader-men-zelenoe-yabloko-03582280/" , "03582280 Футболка мужская Crusader Men, зеленое яблоко, размер 3XL")</f>
      </c>
      <c r="C14710" s="4" t="n">
        <v>776.00</v>
      </c>
      <c r="D14710" s="4"/>
    </row>
    <row collapsed="" customFormat="false" customHeight="1" hidden="" ht="14" outlineLevel="0" r="14711">
      <c r="A14711" s="3" t="inlineStr">
        <is>
          <t>14667</t>
        </is>
      </c>
      <c r="B14711" s="4" t="s">
        <f>=HYPERLINK("http://anyluxury.ru/shop/odezhda/futbolki/futbolka-muzhskaya-crusader-men-biryuzovaya-03582321/" , "03582321 Футболка мужская Crusader Men, бирюзовая, размер XS")</f>
      </c>
      <c r="C14711" s="4" t="n">
        <v>655.00</v>
      </c>
      <c r="D14711" s="4"/>
    </row>
    <row collapsed="" customFormat="false" customHeight="1" hidden="" ht="14" outlineLevel="0" r="14712">
      <c r="A14712" s="3" t="inlineStr">
        <is>
          <t>14668</t>
        </is>
      </c>
      <c r="B14712" s="4" t="s">
        <f>=HYPERLINK("http://anyluxury.ru/shop/odezhda/futbolki/futbolka-muzhskaya-crusader-men-biryuzovaya-03582321/" , "03582321 Футболка мужская Crusader Men, бирюзовая, размер S")</f>
      </c>
      <c r="C14712" s="4" t="n">
        <v>655.00</v>
      </c>
      <c r="D14712" s="4"/>
    </row>
    <row collapsed="" customFormat="false" customHeight="1" hidden="" ht="14" outlineLevel="0" r="14713">
      <c r="A14713" s="3" t="inlineStr">
        <is>
          <t>14669</t>
        </is>
      </c>
      <c r="B14713" s="4" t="s">
        <f>=HYPERLINK("http://anyluxury.ru/shop/odezhda/futbolki/futbolka-muzhskaya-crusader-men-biryuzovaya-03582321/" , "03582321 Футболка мужская Crusader Men, бирюзовая, размер M")</f>
      </c>
      <c r="C14713" s="4" t="n">
        <v>655.00</v>
      </c>
      <c r="D14713" s="4"/>
    </row>
    <row collapsed="" customFormat="false" customHeight="1" hidden="" ht="14" outlineLevel="0" r="14714">
      <c r="A14714" s="3" t="inlineStr">
        <is>
          <t>14670</t>
        </is>
      </c>
      <c r="B14714" s="4" t="s">
        <f>=HYPERLINK("http://anyluxury.ru/shop/odezhda/futbolki/futbolka-muzhskaya-crusader-men-biryuzovaya-03582321/" , "03582321 Футболка мужская Crusader Men, бирюзовая, размер L")</f>
      </c>
      <c r="C14714" s="4" t="n">
        <v>655.00</v>
      </c>
      <c r="D14714" s="4"/>
    </row>
    <row collapsed="" customFormat="false" customHeight="1" hidden="" ht="14" outlineLevel="0" r="14715">
      <c r="A14715" s="3" t="inlineStr">
        <is>
          <t>14671</t>
        </is>
      </c>
      <c r="B14715" s="4" t="s">
        <f>=HYPERLINK("http://anyluxury.ru/shop/odezhda/futbolki/futbolka-muzhskaya-crusader-men-biryuzovaya-03582321/" , "03582321 Футболка мужская Crusader Men, бирюзовая, размер XL")</f>
      </c>
      <c r="C14715" s="4" t="n">
        <v>655.00</v>
      </c>
      <c r="D14715" s="4"/>
    </row>
    <row collapsed="" customFormat="false" customHeight="1" hidden="" ht="14" outlineLevel="0" r="14716">
      <c r="A14716" s="3" t="inlineStr">
        <is>
          <t>14672</t>
        </is>
      </c>
      <c r="B14716" s="4" t="s">
        <f>=HYPERLINK("http://anyluxury.ru/shop/odezhda/futbolki/futbolka-muzhskaya-crusader-men-biryuzovaya-03582321/" , "03582321 Футболка мужская Crusader Men, бирюзовая, размер XXL")</f>
      </c>
      <c r="C14716" s="4" t="n">
        <v>655.00</v>
      </c>
      <c r="D14716" s="4"/>
    </row>
    <row collapsed="" customFormat="false" customHeight="1" hidden="" ht="14" outlineLevel="0" r="14717">
      <c r="A14717" s="3" t="inlineStr">
        <is>
          <t>14673</t>
        </is>
      </c>
      <c r="B14717" s="4" t="s">
        <f>=HYPERLINK("http://anyluxury.ru/shop/odezhda/futbolki/futbolka-muzhskaya-crusader-men-biryuzovaya-03582321/" , "03582321 Футболка мужская Crusader Men, бирюзовая, размер 3XL")</f>
      </c>
      <c r="C14717" s="4" t="n">
        <v>776.00</v>
      </c>
      <c r="D14717" s="4"/>
    </row>
    <row collapsed="" customFormat="false" customHeight="1" hidden="" ht="14" outlineLevel="0" r="14718">
      <c r="A14718" s="3" t="inlineStr">
        <is>
          <t>14674</t>
        </is>
      </c>
      <c r="B14718" s="4" t="s">
        <f>=HYPERLINK("http://anyluxury.ru/shop/odezhda/futbolki/futbolka-muzhskaya-crusader-men-svetloseriy-melanzh-03582300/" , "03582300 Футболка мужская Crusader Men, светло-серый меланж, размер XS")</f>
      </c>
      <c r="C14718" s="4" t="n">
        <v>655.00</v>
      </c>
      <c r="D14718" s="4"/>
    </row>
    <row collapsed="" customFormat="false" customHeight="1" hidden="" ht="14" outlineLevel="0" r="14719">
      <c r="A14719" s="3" t="inlineStr">
        <is>
          <t>14675</t>
        </is>
      </c>
      <c r="B14719" s="4" t="s">
        <f>=HYPERLINK("http://anyluxury.ru/shop/odezhda/futbolki/futbolka-muzhskaya-crusader-men-svetloseriy-melanzh-03582300/" , "03582300 Футболка мужская Crusader Men, светло-серый меланж, размер S")</f>
      </c>
      <c r="C14719" s="4" t="n">
        <v>655.00</v>
      </c>
      <c r="D14719" s="4"/>
    </row>
    <row collapsed="" customFormat="false" customHeight="1" hidden="" ht="14" outlineLevel="0" r="14720">
      <c r="A14720" s="3" t="inlineStr">
        <is>
          <t>14676</t>
        </is>
      </c>
      <c r="B14720" s="4" t="s">
        <f>=HYPERLINK("http://anyluxury.ru/shop/odezhda/futbolki/futbolka-muzhskaya-crusader-men-svetloseriy-melanzh-03582300/" , "03582300 Футболка мужская Crusader Men, светло-серый меланж, размер M")</f>
      </c>
      <c r="C14720" s="4" t="n">
        <v>655.00</v>
      </c>
      <c r="D14720" s="4"/>
    </row>
    <row collapsed="" customFormat="false" customHeight="1" hidden="" ht="14" outlineLevel="0" r="14721">
      <c r="A14721" s="3" t="inlineStr">
        <is>
          <t>14677</t>
        </is>
      </c>
      <c r="B14721" s="4" t="s">
        <f>=HYPERLINK("http://anyluxury.ru/shop/odezhda/futbolki/futbolka-muzhskaya-crusader-men-svetloseriy-melanzh-03582300/" , "03582300 Футболка мужская Crusader Men, светло-серый меланж, размер L")</f>
      </c>
      <c r="C14721" s="4" t="n">
        <v>655.00</v>
      </c>
      <c r="D14721" s="4"/>
    </row>
    <row collapsed="" customFormat="false" customHeight="1" hidden="" ht="14" outlineLevel="0" r="14722">
      <c r="A14722" s="3" t="inlineStr">
        <is>
          <t>14678</t>
        </is>
      </c>
      <c r="B14722" s="4" t="s">
        <f>=HYPERLINK("http://anyluxury.ru/shop/odezhda/futbolki/futbolka-muzhskaya-crusader-men-svetloseriy-melanzh-03582300/" , "03582300 Футболка мужская Crusader Men, светло-серый меланж, размер XL")</f>
      </c>
      <c r="C14722" s="4" t="n">
        <v>655.00</v>
      </c>
      <c r="D14722" s="4"/>
    </row>
    <row collapsed="" customFormat="false" customHeight="1" hidden="" ht="14" outlineLevel="0" r="14723">
      <c r="A14723" s="3" t="inlineStr">
        <is>
          <t>14679</t>
        </is>
      </c>
      <c r="B14723" s="4" t="s">
        <f>=HYPERLINK("http://anyluxury.ru/shop/odezhda/futbolki/futbolka-muzhskaya-crusader-men-svetloseriy-melanzh-03582300/" , "03582300 Футболка мужская Crusader Men, светло-серый меланж, размер XXL")</f>
      </c>
      <c r="C14723" s="4" t="n">
        <v>655.00</v>
      </c>
      <c r="D14723" s="4"/>
    </row>
    <row collapsed="" customFormat="false" customHeight="1" hidden="" ht="14" outlineLevel="0" r="14724">
      <c r="A14724" s="3" t="inlineStr">
        <is>
          <t>14680</t>
        </is>
      </c>
      <c r="B14724" s="4" t="s">
        <f>=HYPERLINK("http://anyluxury.ru/shop/odezhda/futbolki/futbolka-muzhskaya-crusader-men-svetloseriy-melanzh-03582300/" , "03582300 Футболка мужская Crusader Men, светло-серый меланж, размер 3XL")</f>
      </c>
      <c r="C14724" s="4" t="n">
        <v>776.00</v>
      </c>
      <c r="D14724" s="4"/>
    </row>
    <row collapsed="" customFormat="false" customHeight="1" hidden="" ht="14" outlineLevel="0" r="14725">
      <c r="A14725" s="3" t="inlineStr">
        <is>
          <t>14681</t>
        </is>
      </c>
      <c r="B14725" s="4" t="s">
        <f>=HYPERLINK("http://anyluxury.ru/shop/odezhda/futbolki/futbolka-muzhskaya-crusader-men-svetloseriy-melanzh-03582300/" , "03582300 Футболка мужская Crusader Men, светло-серый меланж, размер 4XL")</f>
      </c>
      <c r="C14725" s="4" t="n">
        <v>903.00</v>
      </c>
      <c r="D14725" s="4"/>
    </row>
    <row collapsed="" customFormat="false" customHeight="1" hidden="" ht="14" outlineLevel="0" r="14726">
      <c r="A14726" s="3" t="inlineStr">
        <is>
          <t>14682</t>
        </is>
      </c>
      <c r="B14726" s="4" t="s">
        <f>=HYPERLINK("http://anyluxury.ru/shop/odezhda/futbolki/futbolka-muzhskaya-crusader-men-temnozelenaya-03582264/" , "03582264 Футболка мужская Crusader Men, темно-зеленая, размер XS")</f>
      </c>
      <c r="C14726" s="4" t="n">
        <v>655.00</v>
      </c>
      <c r="D14726" s="4"/>
    </row>
    <row collapsed="" customFormat="false" customHeight="1" hidden="" ht="14" outlineLevel="0" r="14727">
      <c r="A14727" s="3" t="inlineStr">
        <is>
          <t>14683</t>
        </is>
      </c>
      <c r="B14727" s="4" t="s">
        <f>=HYPERLINK("http://anyluxury.ru/shop/odezhda/futbolki/futbolka-muzhskaya-crusader-men-temnozelenaya-03582264/" , "03582264 Футболка мужская Crusader Men, темно-зеленая, размер S")</f>
      </c>
      <c r="C14727" s="4" t="n">
        <v>655.00</v>
      </c>
      <c r="D14727" s="4"/>
    </row>
    <row collapsed="" customFormat="false" customHeight="1" hidden="" ht="14" outlineLevel="0" r="14728">
      <c r="A14728" s="3" t="inlineStr">
        <is>
          <t>14684</t>
        </is>
      </c>
      <c r="B14728" s="4" t="s">
        <f>=HYPERLINK("http://anyluxury.ru/shop/odezhda/futbolki/futbolka-muzhskaya-crusader-men-temnozelenaya-03582264/" , "03582264 Футболка мужская Crusader Men, темно-зеленая, размер M")</f>
      </c>
      <c r="C14728" s="4" t="n">
        <v>655.00</v>
      </c>
      <c r="D14728" s="4"/>
    </row>
    <row collapsed="" customFormat="false" customHeight="1" hidden="" ht="14" outlineLevel="0" r="14729">
      <c r="A14729" s="3" t="inlineStr">
        <is>
          <t>14685</t>
        </is>
      </c>
      <c r="B14729" s="4" t="s">
        <f>=HYPERLINK("http://anyluxury.ru/shop/odezhda/futbolki/futbolka-muzhskaya-crusader-men-temnozelenaya-03582264/" , "03582264 Футболка мужская Crusader Men, темно-зеленая, размер L")</f>
      </c>
      <c r="C14729" s="4" t="n">
        <v>655.00</v>
      </c>
      <c r="D14729" s="4"/>
    </row>
    <row collapsed="" customFormat="false" customHeight="1" hidden="" ht="14" outlineLevel="0" r="14730">
      <c r="A14730" s="3" t="inlineStr">
        <is>
          <t>14686</t>
        </is>
      </c>
      <c r="B14730" s="4" t="s">
        <f>=HYPERLINK("http://anyluxury.ru/shop/odezhda/futbolki/futbolka-muzhskaya-crusader-men-temnozelenaya-03582264/" , "03582264 Футболка мужская Crusader Men, темно-зеленая, размер XL")</f>
      </c>
      <c r="C14730" s="4" t="n">
        <v>655.00</v>
      </c>
      <c r="D14730" s="4"/>
    </row>
    <row collapsed="" customFormat="false" customHeight="1" hidden="" ht="14" outlineLevel="0" r="14731">
      <c r="A14731" s="3" t="inlineStr">
        <is>
          <t>14687</t>
        </is>
      </c>
      <c r="B14731" s="4" t="s">
        <f>=HYPERLINK("http://anyluxury.ru/shop/odezhda/futbolki/futbolka-muzhskaya-crusader-men-temnozelenaya-03582264/" , "03582264 Футболка мужская Crusader Men, темно-зеленая, размер XXL")</f>
      </c>
      <c r="C14731" s="4" t="n">
        <v>655.00</v>
      </c>
      <c r="D14731" s="4"/>
    </row>
    <row collapsed="" customFormat="false" customHeight="1" hidden="" ht="14" outlineLevel="0" r="14732">
      <c r="A14732" s="3" t="inlineStr">
        <is>
          <t>14688</t>
        </is>
      </c>
      <c r="B14732" s="4" t="s">
        <f>=HYPERLINK("http://anyluxury.ru/shop/odezhda/futbolki/futbolka-muzhskaya-crusader-men-temnozelenaya-03582264/" , "03582264 Футболка мужская Crusader Men, темно-зеленая, размер 3XL")</f>
      </c>
      <c r="C14732" s="4" t="n">
        <v>776.00</v>
      </c>
      <c r="D14732" s="4"/>
    </row>
    <row collapsed="" customFormat="false" customHeight="1" hidden="" ht="14" outlineLevel="0" r="14733">
      <c r="A14733" s="3" t="inlineStr">
        <is>
          <t>14689</t>
        </is>
      </c>
      <c r="B14733" s="4" t="s">
        <f>=HYPERLINK("http://anyluxury.ru/shop/odezhda/futbolki/futbolka-muzhskaya-crusader-men-temnozelenaya-03582264/" , "03582264 Футболка мужская Crusader Men, темно-зеленая, размер 4XL")</f>
      </c>
      <c r="C14733" s="4" t="n">
        <v>903.00</v>
      </c>
      <c r="D14733" s="4"/>
    </row>
    <row collapsed="" customFormat="false" customHeight="1" hidden="" ht="14" outlineLevel="0" r="14734">
      <c r="A14734" s="3" t="inlineStr">
        <is>
          <t>14690</t>
        </is>
      </c>
      <c r="B14734" s="4" t="s">
        <f>=HYPERLINK("http://anyluxury.ru/shop/odezhda/futbolki/futbolka-muzhskaya-crusader-men-bordovaya-03582146/" , "03582146 Футболка мужская Crusader Men, бордовая, размер XS")</f>
      </c>
      <c r="C14734" s="4" t="n">
        <v>655.00</v>
      </c>
      <c r="D14734" s="4"/>
    </row>
    <row collapsed="" customFormat="false" customHeight="1" hidden="" ht="14" outlineLevel="0" r="14735">
      <c r="A14735" s="3" t="inlineStr">
        <is>
          <t>14691</t>
        </is>
      </c>
      <c r="B14735" s="4" t="s">
        <f>=HYPERLINK("http://anyluxury.ru/shop/odezhda/futbolki/futbolka-muzhskaya-crusader-men-bordovaya-03582146/" , "03582146 Футболка мужская Crusader Men, бордовая, размер S")</f>
      </c>
      <c r="C14735" s="4" t="n">
        <v>655.00</v>
      </c>
      <c r="D14735" s="4"/>
    </row>
    <row collapsed="" customFormat="false" customHeight="1" hidden="" ht="14" outlineLevel="0" r="14736">
      <c r="A14736" s="3" t="inlineStr">
        <is>
          <t>14692</t>
        </is>
      </c>
      <c r="B14736" s="4" t="s">
        <f>=HYPERLINK("http://anyluxury.ru/shop/odezhda/futbolki/futbolka-muzhskaya-crusader-men-bordovaya-03582146/" , "03582146 Футболка мужская Crusader Men, бордовая, размер M")</f>
      </c>
      <c r="C14736" s="4" t="n">
        <v>655.00</v>
      </c>
      <c r="D14736" s="4"/>
    </row>
    <row collapsed="" customFormat="false" customHeight="1" hidden="" ht="14" outlineLevel="0" r="14737">
      <c r="A14737" s="3" t="inlineStr">
        <is>
          <t>14693</t>
        </is>
      </c>
      <c r="B14737" s="4" t="s">
        <f>=HYPERLINK("http://anyluxury.ru/shop/odezhda/futbolki/futbolka-muzhskaya-crusader-men-bordovaya-03582146/" , "03582146 Футболка мужская Crusader Men, бордовая, размер L")</f>
      </c>
      <c r="C14737" s="4" t="n">
        <v>655.00</v>
      </c>
      <c r="D14737" s="4"/>
    </row>
    <row collapsed="" customFormat="false" customHeight="1" hidden="" ht="14" outlineLevel="0" r="14738">
      <c r="A14738" s="3" t="inlineStr">
        <is>
          <t>14694</t>
        </is>
      </c>
      <c r="B14738" s="4" t="s">
        <f>=HYPERLINK("http://anyluxury.ru/shop/odezhda/futbolki/futbolka-muzhskaya-crusader-men-bordovaya-03582146/" , "03582146 Футболка мужская Crusader Men, бордовая, размер XL")</f>
      </c>
      <c r="C14738" s="4" t="n">
        <v>655.00</v>
      </c>
      <c r="D14738" s="4"/>
    </row>
    <row collapsed="" customFormat="false" customHeight="1" hidden="" ht="14" outlineLevel="0" r="14739">
      <c r="A14739" s="3" t="inlineStr">
        <is>
          <t>14695</t>
        </is>
      </c>
      <c r="B14739" s="4" t="s">
        <f>=HYPERLINK("http://anyluxury.ru/shop/odezhda/futbolki/futbolka-muzhskaya-crusader-men-bordovaya-03582146/" , "03582146 Футболка мужская Crusader Men, бордовая, размер XXL")</f>
      </c>
      <c r="C14739" s="4" t="n">
        <v>655.00</v>
      </c>
      <c r="D14739" s="4"/>
    </row>
    <row collapsed="" customFormat="false" customHeight="1" hidden="" ht="14" outlineLevel="0" r="14740">
      <c r="A14740" s="3" t="inlineStr">
        <is>
          <t>14696</t>
        </is>
      </c>
      <c r="B14740" s="4" t="s">
        <f>=HYPERLINK("http://anyluxury.ru/shop/odezhda/futbolki/futbolka-muzhskaya-crusader-men-bordovaya-03582146/" , "03582146 Футболка мужская Crusader Men, бордовая, размер 3XL")</f>
      </c>
      <c r="C14740" s="4" t="n">
        <v>776.00</v>
      </c>
      <c r="D14740" s="4"/>
    </row>
    <row collapsed="" customFormat="false" customHeight="1" hidden="" ht="14" outlineLevel="0" r="14741">
      <c r="A14741" s="3" t="inlineStr">
        <is>
          <t>14697</t>
        </is>
      </c>
      <c r="B14741" s="4" t="s">
        <f>=HYPERLINK("http://anyluxury.ru/shop/odezhda/futbolki/futbolka-muzhskaya-crusader-men-chernaya-03582309/" , "03582309 Футболка мужская Crusader Men, черная, размер XS")</f>
      </c>
      <c r="C14741" s="4" t="n">
        <v>655.00</v>
      </c>
      <c r="D14741" s="4"/>
    </row>
    <row collapsed="" customFormat="false" customHeight="1" hidden="" ht="14" outlineLevel="0" r="14742">
      <c r="A14742" s="3" t="inlineStr">
        <is>
          <t>14698</t>
        </is>
      </c>
      <c r="B14742" s="4" t="s">
        <f>=HYPERLINK("http://anyluxury.ru/shop/odezhda/futbolki/futbolka-muzhskaya-crusader-men-chernaya-03582309/" , "03582309 Футболка мужская Crusader Men, черная, размер S")</f>
      </c>
      <c r="C14742" s="4" t="n">
        <v>655.00</v>
      </c>
      <c r="D14742" s="4"/>
    </row>
    <row collapsed="" customFormat="false" customHeight="1" hidden="" ht="14" outlineLevel="0" r="14743">
      <c r="A14743" s="3" t="inlineStr">
        <is>
          <t>14699</t>
        </is>
      </c>
      <c r="B14743" s="4" t="s">
        <f>=HYPERLINK("http://anyluxury.ru/shop/odezhda/futbolki/futbolka-muzhskaya-crusader-men-chernaya-03582309/" , "03582309 Футболка мужская Crusader Men, черная, размер M")</f>
      </c>
      <c r="C14743" s="4" t="n">
        <v>655.00</v>
      </c>
      <c r="D14743" s="4"/>
    </row>
    <row collapsed="" customFormat="false" customHeight="1" hidden="" ht="14" outlineLevel="0" r="14744">
      <c r="A14744" s="3" t="inlineStr">
        <is>
          <t>14700</t>
        </is>
      </c>
      <c r="B14744" s="4" t="s">
        <f>=HYPERLINK("http://anyluxury.ru/shop/odezhda/futbolki/futbolka-muzhskaya-crusader-men-chernaya-03582309/" , "03582309 Футболка мужская Crusader Men, черная, размер L")</f>
      </c>
      <c r="C14744" s="4" t="n">
        <v>655.00</v>
      </c>
      <c r="D14744" s="4"/>
    </row>
    <row collapsed="" customFormat="false" customHeight="1" hidden="" ht="14" outlineLevel="0" r="14745">
      <c r="A14745" s="3" t="inlineStr">
        <is>
          <t>14701</t>
        </is>
      </c>
      <c r="B14745" s="4" t="s">
        <f>=HYPERLINK("http://anyluxury.ru/shop/odezhda/futbolki/futbolka-muzhskaya-crusader-men-chernaya-03582309/" , "03582309 Футболка мужская Crusader Men, черная, размер XL")</f>
      </c>
      <c r="C14745" s="4" t="n">
        <v>655.00</v>
      </c>
      <c r="D14745" s="4"/>
    </row>
    <row collapsed="" customFormat="false" customHeight="1" hidden="" ht="14" outlineLevel="0" r="14746">
      <c r="A14746" s="3" t="inlineStr">
        <is>
          <t>14702</t>
        </is>
      </c>
      <c r="B14746" s="4" t="s">
        <f>=HYPERLINK("http://anyluxury.ru/shop/odezhda/futbolki/futbolka-muzhskaya-crusader-men-chernaya-03582309/" , "03582309 Футболка мужская Crusader Men, черная, размер XXL")</f>
      </c>
      <c r="C14746" s="4" t="n">
        <v>655.00</v>
      </c>
      <c r="D14746" s="4"/>
    </row>
    <row collapsed="" customFormat="false" customHeight="1" hidden="" ht="14" outlineLevel="0" r="14747">
      <c r="A14747" s="3" t="inlineStr">
        <is>
          <t>14703</t>
        </is>
      </c>
      <c r="B14747" s="4" t="s">
        <f>=HYPERLINK("http://anyluxury.ru/shop/odezhda/futbolki/futbolka-muzhskaya-crusader-men-chernaya-03582309/" , "03582309 Футболка мужская Crusader Men, черная, размер 3XL")</f>
      </c>
      <c r="C14747" s="4" t="n">
        <v>776.00</v>
      </c>
      <c r="D14747" s="4"/>
    </row>
    <row collapsed="" customFormat="false" customHeight="1" hidden="" ht="14" outlineLevel="0" r="14748">
      <c r="A14748" s="3" t="inlineStr">
        <is>
          <t>14704</t>
        </is>
      </c>
      <c r="B14748" s="4" t="s">
        <f>=HYPERLINK("http://anyluxury.ru/shop/odezhda/futbolki/futbolka-muzhskaya-crusader-men-chernaya-03582309/" , "03582309 Футболка мужская Crusader Men, черная, размер 4XL")</f>
      </c>
      <c r="C14748" s="4" t="n">
        <v>903.00</v>
      </c>
      <c r="D14748" s="4"/>
    </row>
    <row collapsed="" customFormat="false" customHeight="1" hidden="" ht="14" outlineLevel="0" r="14749">
      <c r="A14749" s="3" t="inlineStr">
        <is>
          <t>14705</t>
        </is>
      </c>
      <c r="B14749" s="4" t="s">
        <f>=HYPERLINK("http://anyluxury.ru/shop/odezhda/futbolki/futbolka-muzhskaya-crusader-men-sinyaya-dzhins-03582244/" , "03582244 Футболка мужская Crusader Men, синяя (джинс), размер XS")</f>
      </c>
      <c r="C14749" s="4" t="n">
        <v>655.00</v>
      </c>
      <c r="D14749" s="4"/>
    </row>
    <row collapsed="" customFormat="false" customHeight="1" hidden="" ht="14" outlineLevel="0" r="14750">
      <c r="A14750" s="3" t="inlineStr">
        <is>
          <t>14706</t>
        </is>
      </c>
      <c r="B14750" s="4" t="s">
        <f>=HYPERLINK("http://anyluxury.ru/shop/odezhda/futbolki/futbolka-muzhskaya-crusader-men-sinyaya-dzhins-03582244/" , "03582244 Футболка мужская Crusader Men, синяя (джинс), размер S")</f>
      </c>
      <c r="C14750" s="4" t="n">
        <v>655.00</v>
      </c>
      <c r="D14750" s="4"/>
    </row>
    <row collapsed="" customFormat="false" customHeight="1" hidden="" ht="14" outlineLevel="0" r="14751">
      <c r="A14751" s="3" t="inlineStr">
        <is>
          <t>14707</t>
        </is>
      </c>
      <c r="B14751" s="4" t="s">
        <f>=HYPERLINK("http://anyluxury.ru/shop/odezhda/futbolki/futbolka-muzhskaya-crusader-men-sinyaya-dzhins-03582244/" , "03582244 Футболка мужская Crusader Men, синяя (джинс), размер M")</f>
      </c>
      <c r="C14751" s="4" t="n">
        <v>655.00</v>
      </c>
      <c r="D14751" s="4"/>
    </row>
    <row collapsed="" customFormat="false" customHeight="1" hidden="" ht="14" outlineLevel="0" r="14752">
      <c r="A14752" s="3" t="inlineStr">
        <is>
          <t>14708</t>
        </is>
      </c>
      <c r="B14752" s="4" t="s">
        <f>=HYPERLINK("http://anyluxury.ru/shop/odezhda/futbolki/futbolka-muzhskaya-crusader-men-sinyaya-dzhins-03582244/" , "03582244 Футболка мужская Crusader Men, синяя (джинс), размер L")</f>
      </c>
      <c r="C14752" s="4" t="n">
        <v>655.00</v>
      </c>
      <c r="D14752" s="4"/>
    </row>
    <row collapsed="" customFormat="false" customHeight="1" hidden="" ht="14" outlineLevel="0" r="14753">
      <c r="A14753" s="3" t="inlineStr">
        <is>
          <t>14709</t>
        </is>
      </c>
      <c r="B14753" s="4" t="s">
        <f>=HYPERLINK("http://anyluxury.ru/shop/odezhda/futbolki/futbolka-muzhskaya-crusader-men-sinyaya-dzhins-03582244/" , "03582244 Футболка мужская Crusader Men, синяя (джинс), размер XL")</f>
      </c>
      <c r="C14753" s="4" t="n">
        <v>655.00</v>
      </c>
      <c r="D14753" s="4"/>
    </row>
    <row collapsed="" customFormat="false" customHeight="1" hidden="" ht="14" outlineLevel="0" r="14754">
      <c r="A14754" s="3" t="inlineStr">
        <is>
          <t>14710</t>
        </is>
      </c>
      <c r="B14754" s="4" t="s">
        <f>=HYPERLINK("http://anyluxury.ru/shop/odezhda/futbolki/futbolka-muzhskaya-crusader-men-sinyaya-dzhins-03582244/" , "03582244 Футболка мужская Crusader Men, синяя (джинс), размер XXL")</f>
      </c>
      <c r="C14754" s="4" t="n">
        <v>655.00</v>
      </c>
      <c r="D14754" s="4"/>
    </row>
    <row collapsed="" customFormat="false" customHeight="1" hidden="" ht="14" outlineLevel="0" r="14755">
      <c r="A14755" s="3" t="inlineStr">
        <is>
          <t>14711</t>
        </is>
      </c>
      <c r="B14755" s="4" t="s">
        <f>=HYPERLINK("http://anyluxury.ru/shop/odezhda/futbolki/futbolka-muzhskaya-crusader-men-sinyaya-dzhins-03582244/" , "03582244 Футболка мужская Crusader Men, синяя (джинс), размер 3XL")</f>
      </c>
      <c r="C14755" s="4" t="n">
        <v>776.00</v>
      </c>
      <c r="D14755" s="4"/>
    </row>
    <row collapsed="" customFormat="false" customHeight="1" hidden="" ht="14" outlineLevel="0" r="14756">
      <c r="A14756" s="3" t="inlineStr">
        <is>
          <t>14712</t>
        </is>
      </c>
      <c r="B14756" s="4" t="s">
        <f>=HYPERLINK("http://anyluxury.ru/shop/odezhda/futbolki/futbolka-muzhskaya-crusader-men-temnosinyaya-03582319/" , "03582319 Футболка мужская Crusader Men, темно-синяя, размер XS")</f>
      </c>
      <c r="C14756" s="4" t="n">
        <v>655.00</v>
      </c>
      <c r="D14756" s="4"/>
    </row>
    <row collapsed="" customFormat="false" customHeight="1" hidden="" ht="14" outlineLevel="0" r="14757">
      <c r="A14757" s="3" t="inlineStr">
        <is>
          <t>14713</t>
        </is>
      </c>
      <c r="B14757" s="4" t="s">
        <f>=HYPERLINK("http://anyluxury.ru/shop/odezhda/futbolki/futbolka-muzhskaya-crusader-men-temnosinyaya-03582319/" , "03582319 Футболка мужская Crusader Men, темно-синяя, размер S")</f>
      </c>
      <c r="C14757" s="4" t="n">
        <v>655.00</v>
      </c>
      <c r="D14757" s="4"/>
    </row>
    <row collapsed="" customFormat="false" customHeight="1" hidden="" ht="14" outlineLevel="0" r="14758">
      <c r="A14758" s="3" t="inlineStr">
        <is>
          <t>14714</t>
        </is>
      </c>
      <c r="B14758" s="4" t="s">
        <f>=HYPERLINK("http://anyluxury.ru/shop/odezhda/futbolki/futbolka-muzhskaya-crusader-men-temnosinyaya-03582319/" , "03582319 Футболка мужская Crusader Men, темно-синяя, размер M")</f>
      </c>
      <c r="C14758" s="4" t="n">
        <v>655.00</v>
      </c>
      <c r="D14758" s="4"/>
    </row>
    <row collapsed="" customFormat="false" customHeight="1" hidden="" ht="14" outlineLevel="0" r="14759">
      <c r="A14759" s="3" t="inlineStr">
        <is>
          <t>14715</t>
        </is>
      </c>
      <c r="B14759" s="4" t="s">
        <f>=HYPERLINK("http://anyluxury.ru/shop/odezhda/futbolki/futbolka-muzhskaya-crusader-men-temnosinyaya-03582319/" , "03582319 Футболка мужская Crusader Men, темно-синяя, размер L")</f>
      </c>
      <c r="C14759" s="4" t="n">
        <v>655.00</v>
      </c>
      <c r="D14759" s="4"/>
    </row>
    <row collapsed="" customFormat="false" customHeight="1" hidden="" ht="14" outlineLevel="0" r="14760">
      <c r="A14760" s="3" t="inlineStr">
        <is>
          <t>14716</t>
        </is>
      </c>
      <c r="B14760" s="4" t="s">
        <f>=HYPERLINK("http://anyluxury.ru/shop/odezhda/futbolki/futbolka-muzhskaya-crusader-men-temnosinyaya-03582319/" , "03582319 Футболка мужская Crusader Men, темно-синяя, размер XL")</f>
      </c>
      <c r="C14760" s="4" t="n">
        <v>655.00</v>
      </c>
      <c r="D14760" s="4"/>
    </row>
    <row collapsed="" customFormat="false" customHeight="1" hidden="" ht="14" outlineLevel="0" r="14761">
      <c r="A14761" s="3" t="inlineStr">
        <is>
          <t>14717</t>
        </is>
      </c>
      <c r="B14761" s="4" t="s">
        <f>=HYPERLINK("http://anyluxury.ru/shop/odezhda/futbolki/futbolka-muzhskaya-crusader-men-temnosinyaya-03582319/" , "03582319 Футболка мужская Crusader Men, темно-синяя, размер XXL")</f>
      </c>
      <c r="C14761" s="4" t="n">
        <v>655.00</v>
      </c>
      <c r="D14761" s="4"/>
    </row>
    <row collapsed="" customFormat="false" customHeight="1" hidden="" ht="14" outlineLevel="0" r="14762">
      <c r="A14762" s="3" t="inlineStr">
        <is>
          <t>14718</t>
        </is>
      </c>
      <c r="B14762" s="4" t="s">
        <f>=HYPERLINK("http://anyluxury.ru/shop/odezhda/futbolki/futbolka-muzhskaya-crusader-men-temnosinyaya-03582319/" , "03582319 Футболка мужская Crusader Men, темно-синяя, размер 3XL")</f>
      </c>
      <c r="C14762" s="4" t="n">
        <v>776.00</v>
      </c>
      <c r="D14762" s="4"/>
    </row>
    <row collapsed="" customFormat="false" customHeight="1" hidden="" ht="14" outlineLevel="0" r="14763">
      <c r="A14763" s="3" t="inlineStr">
        <is>
          <t>14719</t>
        </is>
      </c>
      <c r="B14763" s="4" t="s">
        <f>=HYPERLINK("http://anyluxury.ru/shop/odezhda/futbolki/futbolka-muzhskaya-crusader-men-temnosinyaya-03582319/" , "03582319 Футболка мужская Crusader Men, темно-синяя, размер 4XL")</f>
      </c>
      <c r="C14763" s="4" t="n">
        <v>903.00</v>
      </c>
      <c r="D14763" s="4"/>
    </row>
    <row collapsed="" customFormat="false" customHeight="1" hidden="" ht="14" outlineLevel="0" r="14764">
      <c r="A14764" s="3" t="inlineStr">
        <is>
          <t>14720</t>
        </is>
      </c>
      <c r="B14764" s="4" t="s">
        <f>=HYPERLINK("http://anyluxury.ru/shop/odezhda/futbolki/futbolka-muzhskaya-crusader-men-zheltaya-03582301/" , "03582301 Футболка мужская Crusader Men, желтая, размер XS")</f>
      </c>
      <c r="C14764" s="4" t="n">
        <v>655.00</v>
      </c>
      <c r="D14764" s="4"/>
    </row>
    <row collapsed="" customFormat="false" customHeight="1" hidden="" ht="14" outlineLevel="0" r="14765">
      <c r="A14765" s="3" t="inlineStr">
        <is>
          <t>14721</t>
        </is>
      </c>
      <c r="B14765" s="4" t="s">
        <f>=HYPERLINK("http://anyluxury.ru/shop/odezhda/futbolki/futbolka-muzhskaya-crusader-men-zheltaya-03582301/" , "03582301 Футболка мужская Crusader Men, желтая, размер S")</f>
      </c>
      <c r="C14765" s="4" t="n">
        <v>655.00</v>
      </c>
      <c r="D14765" s="4"/>
    </row>
    <row collapsed="" customFormat="false" customHeight="1" hidden="" ht="14" outlineLevel="0" r="14766">
      <c r="A14766" s="3" t="inlineStr">
        <is>
          <t>14722</t>
        </is>
      </c>
      <c r="B14766" s="4" t="s">
        <f>=HYPERLINK("http://anyluxury.ru/shop/odezhda/futbolki/futbolka-muzhskaya-crusader-men-zheltaya-03582301/" , "03582301 Футболка мужская Crusader Men, желтая, размер M")</f>
      </c>
      <c r="C14766" s="4" t="n">
        <v>655.00</v>
      </c>
      <c r="D14766" s="4"/>
    </row>
    <row collapsed="" customFormat="false" customHeight="1" hidden="" ht="14" outlineLevel="0" r="14767">
      <c r="A14767" s="3" t="inlineStr">
        <is>
          <t>14723</t>
        </is>
      </c>
      <c r="B14767" s="4" t="s">
        <f>=HYPERLINK("http://anyluxury.ru/shop/odezhda/futbolki/futbolka-muzhskaya-crusader-men-zheltaya-03582301/" , "03582301 Футболка мужская Crusader Men, желтая, размер L")</f>
      </c>
      <c r="C14767" s="4" t="n">
        <v>655.00</v>
      </c>
      <c r="D14767" s="4"/>
    </row>
    <row collapsed="" customFormat="false" customHeight="1" hidden="" ht="14" outlineLevel="0" r="14768">
      <c r="A14768" s="3" t="inlineStr">
        <is>
          <t>14724</t>
        </is>
      </c>
      <c r="B14768" s="4" t="s">
        <f>=HYPERLINK("http://anyluxury.ru/shop/odezhda/futbolki/futbolka-muzhskaya-crusader-men-zheltaya-03582301/" , "03582301 Футболка мужская Crusader Men, желтая, размер XL")</f>
      </c>
      <c r="C14768" s="4" t="n">
        <v>655.00</v>
      </c>
      <c r="D14768" s="4"/>
    </row>
    <row collapsed="" customFormat="false" customHeight="1" hidden="" ht="14" outlineLevel="0" r="14769">
      <c r="A14769" s="3" t="inlineStr">
        <is>
          <t>14725</t>
        </is>
      </c>
      <c r="B14769" s="4" t="s">
        <f>=HYPERLINK("http://anyluxury.ru/shop/odezhda/futbolki/futbolka-muzhskaya-crusader-men-zheltaya-03582301/" , "03582301 Футболка мужская Crusader Men, желтая, размер XXL")</f>
      </c>
      <c r="C14769" s="4" t="n">
        <v>655.00</v>
      </c>
      <c r="D14769" s="4"/>
    </row>
    <row collapsed="" customFormat="false" customHeight="1" hidden="" ht="14" outlineLevel="0" r="14770">
      <c r="A14770" s="3" t="inlineStr">
        <is>
          <t>14726</t>
        </is>
      </c>
      <c r="B14770" s="4" t="s">
        <f>=HYPERLINK("http://anyluxury.ru/shop/odezhda/futbolki/futbolka-muzhskaya-crusader-men-zheltaya-03582301/" , "03582301 Футболка мужская Crusader Men, желтая, размер 3XL")</f>
      </c>
      <c r="C14770" s="4" t="n">
        <v>776.00</v>
      </c>
      <c r="D14770" s="4"/>
    </row>
    <row collapsed="" customFormat="false" customHeight="1" hidden="" ht="14" outlineLevel="0" r="14771">
      <c r="A14771" s="3" t="inlineStr">
        <is>
          <t>14727</t>
        </is>
      </c>
      <c r="B14771" s="4" t="s">
        <f>=HYPERLINK("http://anyluxury.ru/shop/odezhda/futbolki/futbolka-muzhskaya-crusader-men-seriy-melanzh-03582350/" , "03582350 Футболка мужская Crusader Men, серый меланж, размер XS")</f>
      </c>
      <c r="C14771" s="4" t="n">
        <v>655.00</v>
      </c>
      <c r="D14771" s="4"/>
    </row>
    <row collapsed="" customFormat="false" customHeight="1" hidden="" ht="14" outlineLevel="0" r="14772">
      <c r="A14772" s="3" t="inlineStr">
        <is>
          <t>14728</t>
        </is>
      </c>
      <c r="B14772" s="4" t="s">
        <f>=HYPERLINK("http://anyluxury.ru/shop/odezhda/futbolki/futbolka-muzhskaya-crusader-men-seriy-melanzh-03582350/" , "03582350 Футболка мужская Crusader Men, серый меланж, размер S")</f>
      </c>
      <c r="C14772" s="4" t="n">
        <v>655.00</v>
      </c>
      <c r="D14772" s="4"/>
    </row>
    <row collapsed="" customFormat="false" customHeight="1" hidden="" ht="14" outlineLevel="0" r="14773">
      <c r="A14773" s="3" t="inlineStr">
        <is>
          <t>14729</t>
        </is>
      </c>
      <c r="B14773" s="4" t="s">
        <f>=HYPERLINK("http://anyluxury.ru/shop/odezhda/futbolki/futbolka-muzhskaya-crusader-men-seriy-melanzh-03582350/" , "03582350 Футболка мужская Crusader Men, серый меланж, размер M")</f>
      </c>
      <c r="C14773" s="4" t="n">
        <v>655.00</v>
      </c>
      <c r="D14773" s="4"/>
    </row>
    <row collapsed="" customFormat="false" customHeight="1" hidden="" ht="14" outlineLevel="0" r="14774">
      <c r="A14774" s="3" t="inlineStr">
        <is>
          <t>14730</t>
        </is>
      </c>
      <c r="B14774" s="4" t="s">
        <f>=HYPERLINK("http://anyluxury.ru/shop/odezhda/futbolki/futbolka-muzhskaya-crusader-men-seriy-melanzh-03582350/" , "03582350 Футболка мужская Crusader Men, серый меланж, размер L")</f>
      </c>
      <c r="C14774" s="4" t="n">
        <v>655.00</v>
      </c>
      <c r="D14774" s="4"/>
    </row>
    <row collapsed="" customFormat="false" customHeight="1" hidden="" ht="14" outlineLevel="0" r="14775">
      <c r="A14775" s="3" t="inlineStr">
        <is>
          <t>14731</t>
        </is>
      </c>
      <c r="B14775" s="4" t="s">
        <f>=HYPERLINK("http://anyluxury.ru/shop/odezhda/futbolki/futbolka-muzhskaya-crusader-men-seriy-melanzh-03582350/" , "03582350 Футболка мужская Crusader Men, серый меланж, размер XL")</f>
      </c>
      <c r="C14775" s="4" t="n">
        <v>655.00</v>
      </c>
      <c r="D14775" s="4"/>
    </row>
    <row collapsed="" customFormat="false" customHeight="1" hidden="" ht="14" outlineLevel="0" r="14776">
      <c r="A14776" s="3" t="inlineStr">
        <is>
          <t>14732</t>
        </is>
      </c>
      <c r="B14776" s="4" t="s">
        <f>=HYPERLINK("http://anyluxury.ru/shop/odezhda/futbolki/futbolka-muzhskaya-crusader-men-seriy-melanzh-03582350/" , "03582350 Футболка мужская Crusader Men, серый меланж, размер XXL")</f>
      </c>
      <c r="C14776" s="4" t="n">
        <v>655.00</v>
      </c>
      <c r="D14776" s="4"/>
    </row>
    <row collapsed="" customFormat="false" customHeight="1" hidden="" ht="14" outlineLevel="0" r="14777">
      <c r="A14777" s="3" t="inlineStr">
        <is>
          <t>14733</t>
        </is>
      </c>
      <c r="B14777" s="4" t="s">
        <f>=HYPERLINK("http://anyluxury.ru/shop/odezhda/futbolki/futbolka-muzhskaya-crusader-men-seriy-melanzh-03582350/" , "03582350 Футболка мужская Crusader Men, серый меланж, размер 3XL")</f>
      </c>
      <c r="C14777" s="4" t="n">
        <v>776.00</v>
      </c>
      <c r="D14777" s="4"/>
    </row>
    <row collapsed="" customFormat="false" customHeight="1" hidden="" ht="14" outlineLevel="0" r="14778">
      <c r="A14778" s="3" t="inlineStr">
        <is>
          <t>14734</t>
        </is>
      </c>
      <c r="B14778" s="4" t="s">
        <f>=HYPERLINK("http://anyluxury.ru/shop/odezhda/futbolki/futbolka-muzhskaya-crusader-men-seriy-melanzh-03582350/" , "03582350 Футболка мужская Crusader Men, серый меланж, размер 4XL")</f>
      </c>
      <c r="C14778" s="4" t="n">
        <v>903.00</v>
      </c>
      <c r="D14778" s="4"/>
    </row>
    <row collapsed="" customFormat="false" customHeight="1" hidden="" ht="14" outlineLevel="0" r="14779">
      <c r="A14779" s="3" t="inlineStr">
        <is>
          <t>14735</t>
        </is>
      </c>
      <c r="B14779" s="4" t="s">
        <f>=HYPERLINK("http://anyluxury.ru/shop/odezhda/futbolki/futbolka-muzhskaya-crusader-men-haki-03582268/" , "03582268 Футболка мужская Crusader Men, хаки, размер XS")</f>
      </c>
      <c r="C14779" s="4" t="n">
        <v>655.00</v>
      </c>
      <c r="D14779" s="4"/>
    </row>
    <row collapsed="" customFormat="false" customHeight="1" hidden="" ht="14" outlineLevel="0" r="14780">
      <c r="A14780" s="3" t="inlineStr">
        <is>
          <t>14736</t>
        </is>
      </c>
      <c r="B14780" s="4" t="s">
        <f>=HYPERLINK("http://anyluxury.ru/shop/odezhda/futbolki/futbolka-muzhskaya-crusader-men-haki-03582268/" , "03582268 Футболка мужская Crusader Men, хаки, размер S")</f>
      </c>
      <c r="C14780" s="4" t="n">
        <v>655.00</v>
      </c>
      <c r="D14780" s="4"/>
    </row>
    <row collapsed="" customFormat="false" customHeight="1" hidden="" ht="14" outlineLevel="0" r="14781">
      <c r="A14781" s="3" t="inlineStr">
        <is>
          <t>14737</t>
        </is>
      </c>
      <c r="B14781" s="4" t="s">
        <f>=HYPERLINK("http://anyluxury.ru/shop/odezhda/futbolki/futbolka-muzhskaya-crusader-men-haki-03582268/" , "03582268 Футболка мужская Crusader Men, хаки, размер M")</f>
      </c>
      <c r="C14781" s="4" t="n">
        <v>655.00</v>
      </c>
      <c r="D14781" s="4"/>
    </row>
    <row collapsed="" customFormat="false" customHeight="1" hidden="" ht="14" outlineLevel="0" r="14782">
      <c r="A14782" s="3" t="inlineStr">
        <is>
          <t>14738</t>
        </is>
      </c>
      <c r="B14782" s="4" t="s">
        <f>=HYPERLINK("http://anyluxury.ru/shop/odezhda/futbolki/futbolka-muzhskaya-crusader-men-haki-03582268/" , "03582268 Футболка мужская Crusader Men, хаки, размер L")</f>
      </c>
      <c r="C14782" s="4" t="n">
        <v>655.00</v>
      </c>
      <c r="D14782" s="4"/>
    </row>
    <row collapsed="" customFormat="false" customHeight="1" hidden="" ht="14" outlineLevel="0" r="14783">
      <c r="A14783" s="3" t="inlineStr">
        <is>
          <t>14739</t>
        </is>
      </c>
      <c r="B14783" s="4" t="s">
        <f>=HYPERLINK("http://anyluxury.ru/shop/odezhda/futbolki/futbolka-muzhskaya-crusader-men-haki-03582268/" , "03582268 Футболка мужская Crusader Men, хаки, размер XL")</f>
      </c>
      <c r="C14783" s="4" t="n">
        <v>655.00</v>
      </c>
      <c r="D14783" s="4"/>
    </row>
    <row collapsed="" customFormat="false" customHeight="1" hidden="" ht="14" outlineLevel="0" r="14784">
      <c r="A14784" s="3" t="inlineStr">
        <is>
          <t>14740</t>
        </is>
      </c>
      <c r="B14784" s="4" t="s">
        <f>=HYPERLINK("http://anyluxury.ru/shop/odezhda/futbolki/futbolka-muzhskaya-crusader-men-haki-03582268/" , "03582268 Футболка мужская Crusader Men, хаки, размер XXL")</f>
      </c>
      <c r="C14784" s="4" t="n">
        <v>655.00</v>
      </c>
      <c r="D14784" s="4"/>
    </row>
    <row collapsed="" customFormat="false" customHeight="1" hidden="" ht="14" outlineLevel="0" r="14785">
      <c r="A14785" s="3" t="inlineStr">
        <is>
          <t>14741</t>
        </is>
      </c>
      <c r="B14785" s="4" t="s">
        <f>=HYPERLINK("http://anyluxury.ru/shop/odezhda/futbolki/futbolka-muzhskaya-crusader-men-haki-03582268/" , "03582268 Футболка мужская Crusader Men, хаки, размер 3XL")</f>
      </c>
      <c r="C14785" s="4" t="n">
        <v>776.00</v>
      </c>
      <c r="D14785" s="4"/>
    </row>
    <row collapsed="" customFormat="false" customHeight="1" hidden="" ht="14" outlineLevel="0" r="14786">
      <c r="A14786" s="3" t="inlineStr">
        <is>
          <t>14742</t>
        </is>
      </c>
      <c r="B14786" s="4" t="s">
        <f>=HYPERLINK("http://anyluxury.ru/shop/odezhda/futbolki/futbolka-muzhskaya-crusader-men-yarkozelenaya-03582272/" , "03582272 Футболка мужская Crusader Men, ярко-зеленая, размер XS")</f>
      </c>
      <c r="C14786" s="4" t="n">
        <v>655.00</v>
      </c>
      <c r="D14786" s="4"/>
    </row>
    <row collapsed="" customFormat="false" customHeight="1" hidden="" ht="14" outlineLevel="0" r="14787">
      <c r="A14787" s="3" t="inlineStr">
        <is>
          <t>14743</t>
        </is>
      </c>
      <c r="B14787" s="4" t="s">
        <f>=HYPERLINK("http://anyluxury.ru/shop/odezhda/futbolki/futbolka-muzhskaya-crusader-men-yarkozelenaya-03582272/" , "03582272 Футболка мужская Crusader Men, ярко-зеленая, размер S")</f>
      </c>
      <c r="C14787" s="4" t="n">
        <v>655.00</v>
      </c>
      <c r="D14787" s="4"/>
    </row>
    <row collapsed="" customFormat="false" customHeight="1" hidden="" ht="14" outlineLevel="0" r="14788">
      <c r="A14788" s="3" t="inlineStr">
        <is>
          <t>14744</t>
        </is>
      </c>
      <c r="B14788" s="4" t="s">
        <f>=HYPERLINK("http://anyluxury.ru/shop/odezhda/futbolki/futbolka-muzhskaya-crusader-men-yarkozelenaya-03582272/" , "03582272 Футболка мужская Crusader Men, ярко-зеленая, размер M")</f>
      </c>
      <c r="C14788" s="4" t="n">
        <v>655.00</v>
      </c>
      <c r="D14788" s="4"/>
    </row>
    <row collapsed="" customFormat="false" customHeight="1" hidden="" ht="14" outlineLevel="0" r="14789">
      <c r="A14789" s="3" t="inlineStr">
        <is>
          <t>14745</t>
        </is>
      </c>
      <c r="B14789" s="4" t="s">
        <f>=HYPERLINK("http://anyluxury.ru/shop/odezhda/futbolki/futbolka-muzhskaya-crusader-men-yarkozelenaya-03582272/" , "03582272 Футболка мужская Crusader Men, ярко-зеленая, размер L")</f>
      </c>
      <c r="C14789" s="4" t="n">
        <v>655.00</v>
      </c>
      <c r="D14789" s="4"/>
    </row>
    <row collapsed="" customFormat="false" customHeight="1" hidden="" ht="14" outlineLevel="0" r="14790">
      <c r="A14790" s="3" t="inlineStr">
        <is>
          <t>14746</t>
        </is>
      </c>
      <c r="B14790" s="4" t="s">
        <f>=HYPERLINK("http://anyluxury.ru/shop/odezhda/futbolki/futbolka-muzhskaya-crusader-men-yarkozelenaya-03582272/" , "03582272 Футболка мужская Crusader Men, ярко-зеленая, размер XL")</f>
      </c>
      <c r="C14790" s="4" t="n">
        <v>655.00</v>
      </c>
      <c r="D14790" s="4"/>
    </row>
    <row collapsed="" customFormat="false" customHeight="1" hidden="" ht="14" outlineLevel="0" r="14791">
      <c r="A14791" s="3" t="inlineStr">
        <is>
          <t>14747</t>
        </is>
      </c>
      <c r="B14791" s="4" t="s">
        <f>=HYPERLINK("http://anyluxury.ru/shop/odezhda/futbolki/futbolka-muzhskaya-crusader-men-yarkozelenaya-03582272/" , "03582272 Футболка мужская Crusader Men, ярко-зеленая, размер XXL")</f>
      </c>
      <c r="C14791" s="4" t="n">
        <v>655.00</v>
      </c>
      <c r="D14791" s="4"/>
    </row>
    <row collapsed="" customFormat="false" customHeight="1" hidden="" ht="14" outlineLevel="0" r="14792">
      <c r="A14792" s="3" t="inlineStr">
        <is>
          <t>14748</t>
        </is>
      </c>
      <c r="B14792" s="4" t="s">
        <f>=HYPERLINK("http://anyluxury.ru/shop/odezhda/futbolki/futbolka-muzhskaya-crusader-men-yarkozelenaya-03582272/" , "03582272 Футболка мужская Crusader Men, ярко-зеленая, размер 3XL")</f>
      </c>
      <c r="C14792" s="4" t="n">
        <v>776.00</v>
      </c>
      <c r="D14792" s="4"/>
    </row>
    <row collapsed="" customFormat="false" customHeight="1" hidden="" ht="14" outlineLevel="0" r="14793">
      <c r="A14793" s="3" t="inlineStr">
        <is>
          <t>14749</t>
        </is>
      </c>
      <c r="B14793" s="4" t="s">
        <f>=HYPERLINK("http://anyluxury.ru/shop/odezhda/futbolki/futbolka-muzhskaya-crusader-men-temnoseraya-grafit-03582381/" , "03582381 Футболка мужская Crusader Men, темно-серая (графит), размер XS")</f>
      </c>
      <c r="C14793" s="4" t="n">
        <v>655.00</v>
      </c>
      <c r="D14793" s="4"/>
    </row>
    <row collapsed="" customFormat="false" customHeight="1" hidden="" ht="14" outlineLevel="0" r="14794">
      <c r="A14794" s="3" t="inlineStr">
        <is>
          <t>14750</t>
        </is>
      </c>
      <c r="B14794" s="4" t="s">
        <f>=HYPERLINK("http://anyluxury.ru/shop/odezhda/futbolki/futbolka-muzhskaya-crusader-men-temnoseraya-grafit-03582381/" , "03582381 Футболка мужская Crusader Men, темно-серая (графит), размер S")</f>
      </c>
      <c r="C14794" s="4" t="n">
        <v>655.00</v>
      </c>
      <c r="D14794" s="4"/>
    </row>
    <row collapsed="" customFormat="false" customHeight="1" hidden="" ht="14" outlineLevel="0" r="14795">
      <c r="A14795" s="3" t="inlineStr">
        <is>
          <t>14751</t>
        </is>
      </c>
      <c r="B14795" s="4" t="s">
        <f>=HYPERLINK("http://anyluxury.ru/shop/odezhda/futbolki/futbolka-muzhskaya-crusader-men-temnoseraya-grafit-03582381/" , "03582381 Футболка мужская Crusader Men, темно-серая (графит), размер M")</f>
      </c>
      <c r="C14795" s="4" t="n">
        <v>655.00</v>
      </c>
      <c r="D14795" s="4"/>
    </row>
    <row collapsed="" customFormat="false" customHeight="1" hidden="" ht="14" outlineLevel="0" r="14796">
      <c r="A14796" s="3" t="inlineStr">
        <is>
          <t>14752</t>
        </is>
      </c>
      <c r="B14796" s="4" t="s">
        <f>=HYPERLINK("http://anyluxury.ru/shop/odezhda/futbolki/futbolka-muzhskaya-crusader-men-temnoseraya-grafit-03582381/" , "03582381 Футболка мужская Crusader Men, темно-серая (графит), размер XXL")</f>
      </c>
      <c r="C14796" s="4" t="n">
        <v>655.00</v>
      </c>
      <c r="D14796" s="4"/>
    </row>
    <row collapsed="" customFormat="false" customHeight="1" hidden="" ht="14" outlineLevel="0" r="14797">
      <c r="A14797" s="3" t="inlineStr">
        <is>
          <t>14753</t>
        </is>
      </c>
      <c r="B14797" s="4" t="s">
        <f>=HYPERLINK("http://anyluxury.ru/shop/odezhda/futbolki/futbolka-muzhskaya-crusader-men-temnoseraya-grafit-03582381/" , "03582381 Футболка мужская Crusader Men, темно-серая (графит), размер 3XL")</f>
      </c>
      <c r="C14797" s="4" t="n">
        <v>776.00</v>
      </c>
      <c r="D14797" s="4"/>
    </row>
    <row collapsed="" customFormat="false" customHeight="1" hidden="" ht="14" outlineLevel="0" r="14798">
      <c r="A14798" s="3" t="inlineStr">
        <is>
          <t>14754</t>
        </is>
      </c>
      <c r="B14798" s="4" t="s">
        <f>=HYPERLINK("http://anyluxury.ru/shop/odezhda/futbolki/futbolka-muzhskaya-crusader-men-svetlobezhevaya-03582101/" , "03582101 Футболка мужская Crusader Men, светло-бежевая, размер XS")</f>
      </c>
      <c r="C14798" s="4" t="n">
        <v>627.00</v>
      </c>
      <c r="D14798" s="4"/>
    </row>
    <row collapsed="" customFormat="false" customHeight="1" hidden="" ht="14" outlineLevel="0" r="14799">
      <c r="A14799" s="3" t="inlineStr">
        <is>
          <t>14755</t>
        </is>
      </c>
      <c r="B14799" s="4" t="s">
        <f>=HYPERLINK("http://anyluxury.ru/shop/odezhda/futbolki/futbolka-muzhskaya-crusader-men-svetlobezhevaya-03582101/" , "03582101 Футболка мужская Crusader Men, светло-бежевая, размер S")</f>
      </c>
      <c r="C14799" s="4" t="n">
        <v>627.00</v>
      </c>
      <c r="D14799" s="4"/>
    </row>
    <row collapsed="" customFormat="false" customHeight="1" hidden="" ht="14" outlineLevel="0" r="14800">
      <c r="A14800" s="3" t="inlineStr">
        <is>
          <t>14756</t>
        </is>
      </c>
      <c r="B14800" s="4" t="s">
        <f>=HYPERLINK("http://anyluxury.ru/shop/odezhda/futbolki/futbolka-muzhskaya-crusader-men-svetlobezhevaya-03582101/" , "03582101 Футболка мужская Crusader Men, светло-бежевая, размер M")</f>
      </c>
      <c r="C14800" s="4" t="n">
        <v>627.00</v>
      </c>
      <c r="D14800" s="4"/>
    </row>
    <row collapsed="" customFormat="false" customHeight="1" hidden="" ht="14" outlineLevel="0" r="14801">
      <c r="A14801" s="3" t="inlineStr">
        <is>
          <t>14757</t>
        </is>
      </c>
      <c r="B14801" s="4" t="s">
        <f>=HYPERLINK("http://anyluxury.ru/shop/odezhda/futbolki/futbolka-muzhskaya-crusader-men-svetlobezhevaya-03582101/" , "03582101 Футболка мужская Crusader Men, светло-бежевая, размер L")</f>
      </c>
      <c r="C14801" s="4" t="n">
        <v>447.00</v>
      </c>
      <c r="D14801" s="4"/>
    </row>
    <row collapsed="" customFormat="false" customHeight="1" hidden="" ht="14" outlineLevel="0" r="14802">
      <c r="A14802" s="3" t="inlineStr">
        <is>
          <t>14758</t>
        </is>
      </c>
      <c r="B14802" s="4" t="s">
        <f>=HYPERLINK("http://anyluxury.ru/shop/odezhda/futbolki/futbolka-muzhskaya-crusader-men-svetlobezhevaya-03582101/" , "03582101 Футболка мужская Crusader Men, светло-бежевая, размер XL")</f>
      </c>
      <c r="C14802" s="4" t="n">
        <v>627.00</v>
      </c>
      <c r="D14802" s="4"/>
    </row>
    <row collapsed="" customFormat="false" customHeight="1" hidden="" ht="14" outlineLevel="0" r="14803">
      <c r="A14803" s="3" t="inlineStr">
        <is>
          <t>14759</t>
        </is>
      </c>
      <c r="B14803" s="4" t="s">
        <f>=HYPERLINK("http://anyluxury.ru/shop/odezhda/futbolki/futbolka-muzhskaya-crusader-men-svetlobezhevaya-03582101/" , "03582101 Футболка мужская Crusader Men, светло-бежевая, размер XXL")</f>
      </c>
      <c r="C14803" s="4" t="n">
        <v>447.00</v>
      </c>
      <c r="D14803" s="4"/>
    </row>
    <row collapsed="" customFormat="false" customHeight="1" hidden="" ht="14" outlineLevel="0" r="14804">
      <c r="A14804" s="3" t="inlineStr">
        <is>
          <t>14760</t>
        </is>
      </c>
      <c r="B14804" s="4" t="s">
        <f>=HYPERLINK("http://anyluxury.ru/shop/odezhda/futbolki/futbolka-muzhskaya-crusader-men-svetlobezhevaya-03582101/" , "03582101 Футболка мужская Crusader Men, светло-бежевая, размер 3XL")</f>
      </c>
      <c r="C14804" s="4" t="n">
        <v>745.00</v>
      </c>
      <c r="D14804" s="4"/>
    </row>
    <row collapsed="" customFormat="false" customHeight="1" hidden="" ht="14" outlineLevel="0" r="14805">
      <c r="A14805" s="3" t="inlineStr">
        <is>
          <t>14761</t>
        </is>
      </c>
      <c r="B14805" s="4" t="s">
        <f>=HYPERLINK("http://anyluxury.ru/shop/odezhda/futbolki/futbolka-muzhskaya-crusader-men-oranzhevaya-03582400/" , "03582400 Футболка мужская Crusader Men, оранжевая, размер XS")</f>
      </c>
      <c r="C14805" s="4" t="n">
        <v>655.00</v>
      </c>
      <c r="D14805" s="4"/>
    </row>
    <row collapsed="" customFormat="false" customHeight="1" hidden="" ht="14" outlineLevel="0" r="14806">
      <c r="A14806" s="3" t="inlineStr">
        <is>
          <t>14762</t>
        </is>
      </c>
      <c r="B14806" s="4" t="s">
        <f>=HYPERLINK("http://anyluxury.ru/shop/odezhda/futbolki/futbolka-muzhskaya-crusader-men-oranzhevaya-03582400/" , "03582400 Футболка мужская Crusader Men, оранжевая, размер S")</f>
      </c>
      <c r="C14806" s="4" t="n">
        <v>655.00</v>
      </c>
      <c r="D14806" s="4"/>
    </row>
    <row collapsed="" customFormat="false" customHeight="1" hidden="" ht="14" outlineLevel="0" r="14807">
      <c r="A14807" s="3" t="inlineStr">
        <is>
          <t>14763</t>
        </is>
      </c>
      <c r="B14807" s="4" t="s">
        <f>=HYPERLINK("http://anyluxury.ru/shop/odezhda/futbolki/futbolka-muzhskaya-crusader-men-oranzhevaya-03582400/" , "03582400 Футболка мужская Crusader Men, оранжевая, размер M")</f>
      </c>
      <c r="C14807" s="4" t="n">
        <v>655.00</v>
      </c>
      <c r="D14807" s="4"/>
    </row>
    <row collapsed="" customFormat="false" customHeight="1" hidden="" ht="14" outlineLevel="0" r="14808">
      <c r="A14808" s="3" t="inlineStr">
        <is>
          <t>14764</t>
        </is>
      </c>
      <c r="B14808" s="4" t="s">
        <f>=HYPERLINK("http://anyluxury.ru/shop/odezhda/futbolki/futbolka-muzhskaya-crusader-men-oranzhevaya-03582400/" , "03582400 Футболка мужская Crusader Men, оранжевая, размер L")</f>
      </c>
      <c r="C14808" s="4" t="n">
        <v>655.00</v>
      </c>
      <c r="D14808" s="4"/>
    </row>
    <row collapsed="" customFormat="false" customHeight="1" hidden="" ht="14" outlineLevel="0" r="14809">
      <c r="A14809" s="3" t="inlineStr">
        <is>
          <t>14765</t>
        </is>
      </c>
      <c r="B14809" s="4" t="s">
        <f>=HYPERLINK("http://anyluxury.ru/shop/odezhda/futbolki/futbolka-muzhskaya-crusader-men-oranzhevaya-03582400/" , "03582400 Футболка мужская Crusader Men, оранжевая, размер XL")</f>
      </c>
      <c r="C14809" s="4" t="n">
        <v>655.00</v>
      </c>
      <c r="D14809" s="4"/>
    </row>
    <row collapsed="" customFormat="false" customHeight="1" hidden="" ht="14" outlineLevel="0" r="14810">
      <c r="A14810" s="3" t="inlineStr">
        <is>
          <t>14766</t>
        </is>
      </c>
      <c r="B14810" s="4" t="s">
        <f>=HYPERLINK("http://anyluxury.ru/shop/odezhda/futbolki/futbolka-muzhskaya-crusader-men-oranzhevaya-03582400/" , "03582400 Футболка мужская Crusader Men, оранжевая, размер XXL")</f>
      </c>
      <c r="C14810" s="4" t="n">
        <v>655.00</v>
      </c>
      <c r="D14810" s="4"/>
    </row>
    <row collapsed="" customFormat="false" customHeight="1" hidden="" ht="14" outlineLevel="0" r="14811">
      <c r="A14811" s="3" t="inlineStr">
        <is>
          <t>14767</t>
        </is>
      </c>
      <c r="B14811" s="4" t="s">
        <f>=HYPERLINK("http://anyluxury.ru/shop/odezhda/futbolki/futbolka-muzhskaya-crusader-men-oranzhevaya-03582400/" , "03582400 Футболка мужская Crusader Men, оранжевая, размер 3XL")</f>
      </c>
      <c r="C14811" s="4" t="n">
        <v>776.00</v>
      </c>
      <c r="D14811" s="4"/>
    </row>
    <row collapsed="" customFormat="false" customHeight="1" hidden="" ht="14" outlineLevel="0" r="14812">
      <c r="A14812" s="3" t="inlineStr">
        <is>
          <t>14768</t>
        </is>
      </c>
      <c r="B14812" s="4" t="s">
        <f>=HYPERLINK("http://anyluxury.ru/shop/odezhda/futbolki/futbolka-muzhskaya-crusader-men-rozovaya-03582141/" , "03582141 Футболка мужская Crusader Men, розовая, размер XS")</f>
      </c>
      <c r="C14812" s="4" t="n">
        <v>655.00</v>
      </c>
      <c r="D14812" s="4"/>
    </row>
    <row collapsed="" customFormat="false" customHeight="1" hidden="" ht="14" outlineLevel="0" r="14813">
      <c r="A14813" s="3" t="inlineStr">
        <is>
          <t>14769</t>
        </is>
      </c>
      <c r="B14813" s="4" t="s">
        <f>=HYPERLINK("http://anyluxury.ru/shop/odezhda/futbolki/futbolka-muzhskaya-crusader-men-rozovaya-03582141/" , "03582141 Футболка мужская Crusader Men, розовая, размер S")</f>
      </c>
      <c r="C14813" s="4" t="n">
        <v>655.00</v>
      </c>
      <c r="D14813" s="4"/>
    </row>
    <row collapsed="" customFormat="false" customHeight="1" hidden="" ht="14" outlineLevel="0" r="14814">
      <c r="A14814" s="3" t="inlineStr">
        <is>
          <t>14770</t>
        </is>
      </c>
      <c r="B14814" s="4" t="s">
        <f>=HYPERLINK("http://anyluxury.ru/shop/odezhda/futbolki/futbolka-muzhskaya-crusader-men-rozovaya-03582141/" , "03582141 Футболка мужская Crusader Men, розовая, размер M")</f>
      </c>
      <c r="C14814" s="4" t="n">
        <v>655.00</v>
      </c>
      <c r="D14814" s="4"/>
    </row>
    <row collapsed="" customFormat="false" customHeight="1" hidden="" ht="14" outlineLevel="0" r="14815">
      <c r="A14815" s="3" t="inlineStr">
        <is>
          <t>14771</t>
        </is>
      </c>
      <c r="B14815" s="4" t="s">
        <f>=HYPERLINK("http://anyluxury.ru/shop/odezhda/futbolki/futbolka-muzhskaya-crusader-men-rozovaya-03582141/" , "03582141 Футболка мужская Crusader Men, розовая, размер L")</f>
      </c>
      <c r="C14815" s="4" t="n">
        <v>655.00</v>
      </c>
      <c r="D14815" s="4"/>
    </row>
    <row collapsed="" customFormat="false" customHeight="1" hidden="" ht="14" outlineLevel="0" r="14816">
      <c r="A14816" s="3" t="inlineStr">
        <is>
          <t>14772</t>
        </is>
      </c>
      <c r="B14816" s="4" t="s">
        <f>=HYPERLINK("http://anyluxury.ru/shop/odezhda/futbolki/futbolka-muzhskaya-crusader-men-rozovaya-03582141/" , "03582141 Футболка мужская Crusader Men, розовая, размер XL")</f>
      </c>
      <c r="C14816" s="4" t="n">
        <v>655.00</v>
      </c>
      <c r="D14816" s="4"/>
    </row>
    <row collapsed="" customFormat="false" customHeight="1" hidden="" ht="14" outlineLevel="0" r="14817">
      <c r="A14817" s="3" t="inlineStr">
        <is>
          <t>14773</t>
        </is>
      </c>
      <c r="B14817" s="4" t="s">
        <f>=HYPERLINK("http://anyluxury.ru/shop/odezhda/futbolki/futbolka-muzhskaya-crusader-men-rozovaya-03582141/" , "03582141 Футболка мужская Crusader Men, розовая, размер XXL")</f>
      </c>
      <c r="C14817" s="4" t="n">
        <v>655.00</v>
      </c>
      <c r="D14817" s="4"/>
    </row>
    <row collapsed="" customFormat="false" customHeight="1" hidden="" ht="14" outlineLevel="0" r="14818">
      <c r="A14818" s="3" t="inlineStr">
        <is>
          <t>14774</t>
        </is>
      </c>
      <c r="B14818" s="4" t="s">
        <f>=HYPERLINK("http://anyluxury.ru/shop/odezhda/futbolki/futbolka-muzhskaya-crusader-men-rozovaya-03582141/" , "03582141 Футболка мужская Crusader Men, розовая, размер 3XL")</f>
      </c>
      <c r="C14818" s="4" t="n">
        <v>776.00</v>
      </c>
      <c r="D14818" s="4"/>
    </row>
    <row collapsed="" customFormat="false" customHeight="1" hidden="" ht="14" outlineLevel="0" r="14819">
      <c r="A14819" s="3" t="inlineStr">
        <is>
          <t>14775</t>
        </is>
      </c>
      <c r="B14819" s="4" t="s">
        <f>=HYPERLINK("http://anyluxury.ru/shop/odezhda/futbolki/futbolka-muzhskaya-crusader-men-krasnaya-03582145/" , "03582145 Футболка мужская Crusader Men, красная, размер XS")</f>
      </c>
      <c r="C14819" s="4" t="n">
        <v>655.00</v>
      </c>
      <c r="D14819" s="4"/>
    </row>
    <row collapsed="" customFormat="false" customHeight="1" hidden="" ht="14" outlineLevel="0" r="14820">
      <c r="A14820" s="3" t="inlineStr">
        <is>
          <t>14776</t>
        </is>
      </c>
      <c r="B14820" s="4" t="s">
        <f>=HYPERLINK("http://anyluxury.ru/shop/odezhda/futbolki/futbolka-muzhskaya-crusader-men-krasnaya-03582145/" , "03582145 Футболка мужская Crusader Men, красная, размер S")</f>
      </c>
      <c r="C14820" s="4" t="n">
        <v>655.00</v>
      </c>
      <c r="D14820" s="4"/>
    </row>
    <row collapsed="" customFormat="false" customHeight="1" hidden="" ht="14" outlineLevel="0" r="14821">
      <c r="A14821" s="3" t="inlineStr">
        <is>
          <t>14777</t>
        </is>
      </c>
      <c r="B14821" s="4" t="s">
        <f>=HYPERLINK("http://anyluxury.ru/shop/odezhda/futbolki/futbolka-muzhskaya-crusader-men-krasnaya-03582145/" , "03582145 Футболка мужская Crusader Men, красная, размер M")</f>
      </c>
      <c r="C14821" s="4" t="n">
        <v>655.00</v>
      </c>
      <c r="D14821" s="4"/>
    </row>
    <row collapsed="" customFormat="false" customHeight="1" hidden="" ht="14" outlineLevel="0" r="14822">
      <c r="A14822" s="3" t="inlineStr">
        <is>
          <t>14778</t>
        </is>
      </c>
      <c r="B14822" s="4" t="s">
        <f>=HYPERLINK("http://anyluxury.ru/shop/odezhda/futbolki/futbolka-muzhskaya-crusader-men-krasnaya-03582145/" , "03582145 Футболка мужская Crusader Men, красная, размер L")</f>
      </c>
      <c r="C14822" s="4" t="n">
        <v>655.00</v>
      </c>
      <c r="D14822" s="4"/>
    </row>
    <row collapsed="" customFormat="false" customHeight="1" hidden="" ht="14" outlineLevel="0" r="14823">
      <c r="A14823" s="3" t="inlineStr">
        <is>
          <t>14779</t>
        </is>
      </c>
      <c r="B14823" s="4" t="s">
        <f>=HYPERLINK("http://anyluxury.ru/shop/odezhda/futbolki/futbolka-muzhskaya-crusader-men-krasnaya-03582145/" , "03582145 Футболка мужская Crusader Men, красная, размер XL")</f>
      </c>
      <c r="C14823" s="4" t="n">
        <v>655.00</v>
      </c>
      <c r="D14823" s="4"/>
    </row>
    <row collapsed="" customFormat="false" customHeight="1" hidden="" ht="14" outlineLevel="0" r="14824">
      <c r="A14824" s="3" t="inlineStr">
        <is>
          <t>14780</t>
        </is>
      </c>
      <c r="B14824" s="4" t="s">
        <f>=HYPERLINK("http://anyluxury.ru/shop/odezhda/futbolki/futbolka-muzhskaya-crusader-men-krasnaya-03582145/" , "03582145 Футболка мужская Crusader Men, красная, размер XXL")</f>
      </c>
      <c r="C14824" s="4" t="n">
        <v>655.00</v>
      </c>
      <c r="D14824" s="4"/>
    </row>
    <row collapsed="" customFormat="false" customHeight="1" hidden="" ht="14" outlineLevel="0" r="14825">
      <c r="A14825" s="3" t="inlineStr">
        <is>
          <t>14781</t>
        </is>
      </c>
      <c r="B14825" s="4" t="s">
        <f>=HYPERLINK("http://anyluxury.ru/shop/odezhda/futbolki/futbolka-muzhskaya-crusader-men-krasnaya-03582145/" , "03582145 Футболка мужская Crusader Men, красная, размер 3XL")</f>
      </c>
      <c r="C14825" s="4" t="n">
        <v>776.00</v>
      </c>
      <c r="D14825" s="4"/>
    </row>
    <row collapsed="" customFormat="false" customHeight="1" hidden="" ht="14" outlineLevel="0" r="14826">
      <c r="A14826" s="3" t="inlineStr">
        <is>
          <t>14782</t>
        </is>
      </c>
      <c r="B14826" s="4" t="s">
        <f>=HYPERLINK("http://anyluxury.ru/shop/odezhda/futbolki/futbolka-muzhskaya-crusader-men-krasnaya-03582145/" , "03582145 Футболка мужская Crusader Men, красная, размер 4XL")</f>
      </c>
      <c r="C14826" s="4" t="n">
        <v>903.00</v>
      </c>
      <c r="D14826" s="4"/>
    </row>
    <row collapsed="" customFormat="false" customHeight="1" hidden="" ht="14" outlineLevel="0" r="14827">
      <c r="A14827" s="3" t="inlineStr">
        <is>
          <t>14783</t>
        </is>
      </c>
      <c r="B14827" s="4" t="s">
        <f>=HYPERLINK("http://anyluxury.ru/shop/odezhda/futbolki/futbolka-muzhskaya-crusader-men-yarkosinyaya-03582241/" , "03582241 Футболка мужская Crusader Men, ярко-синяя, размер XS")</f>
      </c>
      <c r="C14827" s="4" t="n">
        <v>655.00</v>
      </c>
      <c r="D14827" s="4"/>
    </row>
    <row collapsed="" customFormat="false" customHeight="1" hidden="" ht="14" outlineLevel="0" r="14828">
      <c r="A14828" s="3" t="inlineStr">
        <is>
          <t>14784</t>
        </is>
      </c>
      <c r="B14828" s="4" t="s">
        <f>=HYPERLINK("http://anyluxury.ru/shop/odezhda/futbolki/futbolka-muzhskaya-crusader-men-yarkosinyaya-03582241/" , "03582241 Футболка мужская Crusader Men, ярко-синяя, размер S")</f>
      </c>
      <c r="C14828" s="4" t="n">
        <v>655.00</v>
      </c>
      <c r="D14828" s="4"/>
    </row>
    <row collapsed="" customFormat="false" customHeight="1" hidden="" ht="14" outlineLevel="0" r="14829">
      <c r="A14829" s="3" t="inlineStr">
        <is>
          <t>14785</t>
        </is>
      </c>
      <c r="B14829" s="4" t="s">
        <f>=HYPERLINK("http://anyluxury.ru/shop/odezhda/futbolki/futbolka-muzhskaya-crusader-men-yarkosinyaya-03582241/" , "03582241 Футболка мужская Crusader Men, ярко-синяя, размер M")</f>
      </c>
      <c r="C14829" s="4" t="n">
        <v>655.00</v>
      </c>
      <c r="D14829" s="4"/>
    </row>
    <row collapsed="" customFormat="false" customHeight="1" hidden="" ht="14" outlineLevel="0" r="14830">
      <c r="A14830" s="3" t="inlineStr">
        <is>
          <t>14786</t>
        </is>
      </c>
      <c r="B14830" s="4" t="s">
        <f>=HYPERLINK("http://anyluxury.ru/shop/odezhda/futbolki/futbolka-muzhskaya-crusader-men-yarkosinyaya-03582241/" , "03582241 Футболка мужская Crusader Men, ярко-синяя, размер XL")</f>
      </c>
      <c r="C14830" s="4" t="n">
        <v>655.00</v>
      </c>
      <c r="D14830" s="4"/>
    </row>
    <row collapsed="" customFormat="false" customHeight="1" hidden="" ht="14" outlineLevel="0" r="14831">
      <c r="A14831" s="3" t="inlineStr">
        <is>
          <t>14787</t>
        </is>
      </c>
      <c r="B14831" s="4" t="s">
        <f>=HYPERLINK("http://anyluxury.ru/shop/odezhda/futbolki/futbolka-muzhskaya-crusader-men-yarkosinyaya-03582241/" , "03582241 Футболка мужская Crusader Men, ярко-синяя, размер XXL")</f>
      </c>
      <c r="C14831" s="4" t="n">
        <v>655.00</v>
      </c>
      <c r="D14831" s="4"/>
    </row>
    <row collapsed="" customFormat="false" customHeight="1" hidden="" ht="14" outlineLevel="0" r="14832">
      <c r="A14832" s="3" t="inlineStr">
        <is>
          <t>14788</t>
        </is>
      </c>
      <c r="B14832" s="4" t="s">
        <f>=HYPERLINK("http://anyluxury.ru/shop/odezhda/futbolki/futbolka-muzhskaya-crusader-men-yarkosinyaya-03582241/" , "03582241 Футболка мужская Crusader Men, ярко-синяя, размер 3XL")</f>
      </c>
      <c r="C14832" s="4" t="n">
        <v>776.00</v>
      </c>
      <c r="D14832" s="4"/>
    </row>
    <row collapsed="" customFormat="false" customHeight="1" hidden="" ht="14" outlineLevel="0" r="14833">
      <c r="A14833" s="3" t="inlineStr">
        <is>
          <t>14789</t>
        </is>
      </c>
      <c r="B14833" s="4" t="s">
        <f>=HYPERLINK("http://anyluxury.ru/shop/odezhda/futbolki/futbolka-muzhskaya-crusader-men-yarkosinyaya-03582241/" , "03582241 Футболка мужская Crusader Men, ярко-синяя, размер 4XL")</f>
      </c>
      <c r="C14833" s="4" t="n">
        <v>903.00</v>
      </c>
      <c r="D14833" s="4"/>
    </row>
    <row collapsed="" customFormat="false" customHeight="1" hidden="" ht="14" outlineLevel="0" r="14834">
      <c r="A14834" s="3" t="inlineStr">
        <is>
          <t>14790</t>
        </is>
      </c>
      <c r="B14834" s="4" t="s">
        <f>=HYPERLINK("http://anyluxury.ru/shop/odezhda/futbolki/futbolka-muzhskaya-crusader-men-belaya-03582102/" , "03582102 Футболка мужская Crusader Men, белая, размер XS")</f>
      </c>
      <c r="C14834" s="4" t="n">
        <v>582.00</v>
      </c>
      <c r="D14834" s="4"/>
    </row>
    <row collapsed="" customFormat="false" customHeight="1" hidden="" ht="14" outlineLevel="0" r="14835">
      <c r="A14835" s="3" t="inlineStr">
        <is>
          <t>14791</t>
        </is>
      </c>
      <c r="B14835" s="4" t="s">
        <f>=HYPERLINK("http://anyluxury.ru/shop/odezhda/futbolki/futbolka-muzhskaya-crusader-men-belaya-03582102/" , "03582102 Футболка мужская Crusader Men, белая, размер S")</f>
      </c>
      <c r="C14835" s="4" t="n">
        <v>582.00</v>
      </c>
      <c r="D14835" s="4"/>
    </row>
    <row collapsed="" customFormat="false" customHeight="1" hidden="" ht="14" outlineLevel="0" r="14836">
      <c r="A14836" s="3" t="inlineStr">
        <is>
          <t>14792</t>
        </is>
      </c>
      <c r="B14836" s="4" t="s">
        <f>=HYPERLINK("http://anyluxury.ru/shop/odezhda/futbolki/futbolka-muzhskaya-crusader-men-belaya-03582102/" , "03582102 Футболка мужская Crusader Men, белая, размер M")</f>
      </c>
      <c r="C14836" s="4" t="n">
        <v>582.00</v>
      </c>
      <c r="D14836" s="4"/>
    </row>
    <row collapsed="" customFormat="false" customHeight="1" hidden="" ht="14" outlineLevel="0" r="14837">
      <c r="A14837" s="3" t="inlineStr">
        <is>
          <t>14793</t>
        </is>
      </c>
      <c r="B14837" s="4" t="s">
        <f>=HYPERLINK("http://anyluxury.ru/shop/odezhda/futbolki/futbolka-muzhskaya-crusader-men-belaya-03582102/" , "03582102 Футболка мужская Crusader Men, белая, размер L")</f>
      </c>
      <c r="C14837" s="4" t="n">
        <v>582.00</v>
      </c>
      <c r="D14837" s="4"/>
    </row>
    <row collapsed="" customFormat="false" customHeight="1" hidden="" ht="14" outlineLevel="0" r="14838">
      <c r="A14838" s="3" t="inlineStr">
        <is>
          <t>14794</t>
        </is>
      </c>
      <c r="B14838" s="4" t="s">
        <f>=HYPERLINK("http://anyluxury.ru/shop/odezhda/futbolki/futbolka-muzhskaya-crusader-men-belaya-03582102/" , "03582102 Футболка мужская Crusader Men, белая, размер XL")</f>
      </c>
      <c r="C14838" s="4" t="n">
        <v>582.00</v>
      </c>
      <c r="D14838" s="4"/>
    </row>
    <row collapsed="" customFormat="false" customHeight="1" hidden="" ht="14" outlineLevel="0" r="14839">
      <c r="A14839" s="3" t="inlineStr">
        <is>
          <t>14795</t>
        </is>
      </c>
      <c r="B14839" s="4" t="s">
        <f>=HYPERLINK("http://anyluxury.ru/shop/odezhda/futbolki/futbolka-muzhskaya-crusader-men-belaya-03582102/" , "03582102 Футболка мужская Crusader Men, белая, размер XXL")</f>
      </c>
      <c r="C14839" s="4" t="n">
        <v>582.00</v>
      </c>
      <c r="D14839" s="4"/>
    </row>
    <row collapsed="" customFormat="false" customHeight="1" hidden="" ht="14" outlineLevel="0" r="14840">
      <c r="A14840" s="3" t="inlineStr">
        <is>
          <t>14796</t>
        </is>
      </c>
      <c r="B14840" s="4" t="s">
        <f>=HYPERLINK("http://anyluxury.ru/shop/odezhda/futbolki/futbolka-muzhskaya-crusader-men-belaya-03582102/" , "03582102 Футболка мужская Crusader Men, белая, размер 3XL")</f>
      </c>
      <c r="C14840" s="4" t="n">
        <v>690.00</v>
      </c>
      <c r="D14840" s="4"/>
    </row>
    <row collapsed="" customFormat="false" customHeight="1" hidden="" ht="14" outlineLevel="0" r="14841">
      <c r="A14841" s="3" t="inlineStr">
        <is>
          <t>14797</t>
        </is>
      </c>
      <c r="B14841" s="4" t="s">
        <f>=HYPERLINK("http://anyluxury.ru/shop/odezhda/futbolki/futbolka-muzhskaya-crusader-men-belaya-03582102/" , "03582102 Футболка мужская Crusader Men, белая, размер 4XL")</f>
      </c>
      <c r="C14841" s="4" t="n">
        <v>806.00</v>
      </c>
      <c r="D14841" s="4"/>
    </row>
    <row collapsed="" customFormat="false" customHeight="1" hidden="" ht="14" outlineLevel="0" r="14842">
      <c r="A14842" s="3" t="inlineStr">
        <is>
          <t>14798</t>
        </is>
      </c>
      <c r="B14842" s="4" t="s">
        <f>=HYPERLINK("http://anyluxury.ru/shop/odezhda/futbolki/futbolka-zhenskaya-crusader-women-zelenoe-yabloko-03581280/" , "03581280 Футболка женская Crusader Women, зеленое яблоко, размер S")</f>
      </c>
      <c r="C14842" s="4" t="n">
        <v>635.00</v>
      </c>
      <c r="D14842" s="4"/>
    </row>
    <row collapsed="" customFormat="false" customHeight="1" hidden="" ht="14" outlineLevel="0" r="14843">
      <c r="A14843" s="3" t="inlineStr">
        <is>
          <t>14799</t>
        </is>
      </c>
      <c r="B14843" s="4" t="s">
        <f>=HYPERLINK("http://anyluxury.ru/shop/odezhda/futbolki/futbolka-zhenskaya-crusader-women-zelenoe-yabloko-03581280/" , "03581280 Футболка женская Crusader Women, зеленое яблоко, размер M")</f>
      </c>
      <c r="C14843" s="4" t="n">
        <v>635.00</v>
      </c>
      <c r="D14843" s="4"/>
    </row>
    <row collapsed="" customFormat="false" customHeight="1" hidden="" ht="14" outlineLevel="0" r="14844">
      <c r="A14844" s="3" t="inlineStr">
        <is>
          <t>14800</t>
        </is>
      </c>
      <c r="B14844" s="4" t="s">
        <f>=HYPERLINK("http://anyluxury.ru/shop/odezhda/futbolki/futbolka-zhenskaya-crusader-women-zelenoe-yabloko-03581280/" , "03581280 Футболка женская Crusader Women, зеленое яблоко, размер L")</f>
      </c>
      <c r="C14844" s="4" t="n">
        <v>635.00</v>
      </c>
      <c r="D14844" s="4"/>
    </row>
    <row collapsed="" customFormat="false" customHeight="1" hidden="" ht="14" outlineLevel="0" r="14845">
      <c r="A14845" s="3" t="inlineStr">
        <is>
          <t>14801</t>
        </is>
      </c>
      <c r="B14845" s="4" t="s">
        <f>=HYPERLINK("http://anyluxury.ru/shop/odezhda/futbolki/futbolka-zhenskaya-crusader-women-zelenoe-yabloko-03581280/" , "03581280 Футболка женская Crusader Women, зеленое яблоко, размер XL")</f>
      </c>
      <c r="C14845" s="4" t="n">
        <v>635.00</v>
      </c>
      <c r="D14845" s="4"/>
    </row>
    <row collapsed="" customFormat="false" customHeight="1" hidden="" ht="14" outlineLevel="0" r="14846">
      <c r="A14846" s="3" t="inlineStr">
        <is>
          <t>14802</t>
        </is>
      </c>
      <c r="B14846" s="4" t="s">
        <f>=HYPERLINK("http://anyluxury.ru/shop/odezhda/futbolki/futbolka-zhenskaya-crusader-women-zelenoe-yabloko-03581280/" , "03581280 Футболка женская Crusader Women, зеленое яблоко, размер XXL")</f>
      </c>
      <c r="C14846" s="4" t="n">
        <v>635.00</v>
      </c>
      <c r="D14846" s="4"/>
    </row>
    <row collapsed="" customFormat="false" customHeight="1" hidden="" ht="14" outlineLevel="0" r="14847">
      <c r="A14847" s="3" t="inlineStr">
        <is>
          <t>14803</t>
        </is>
      </c>
      <c r="B14847" s="4" t="s">
        <f>=HYPERLINK("http://anyluxury.ru/shop/odezhda/futbolki/futbolka-zhenskaya-crusader-women-biryuzovaya-03581321/" , "03581321 Футболка женская Crusader Women, бирюзовая, размер S")</f>
      </c>
      <c r="C14847" s="4" t="n">
        <v>635.00</v>
      </c>
      <c r="D14847" s="4"/>
    </row>
    <row collapsed="" customFormat="false" customHeight="1" hidden="" ht="14" outlineLevel="0" r="14848">
      <c r="A14848" s="3" t="inlineStr">
        <is>
          <t>14804</t>
        </is>
      </c>
      <c r="B14848" s="4" t="s">
        <f>=HYPERLINK("http://anyluxury.ru/shop/odezhda/futbolki/futbolka-zhenskaya-crusader-women-biryuzovaya-03581321/" , "03581321 Футболка женская Crusader Women, бирюзовая, размер M")</f>
      </c>
      <c r="C14848" s="4" t="n">
        <v>635.00</v>
      </c>
      <c r="D14848" s="4"/>
    </row>
    <row collapsed="" customFormat="false" customHeight="1" hidden="" ht="14" outlineLevel="0" r="14849">
      <c r="A14849" s="3" t="inlineStr">
        <is>
          <t>14805</t>
        </is>
      </c>
      <c r="B14849" s="4" t="s">
        <f>=HYPERLINK("http://anyluxury.ru/shop/odezhda/futbolki/futbolka-zhenskaya-crusader-women-biryuzovaya-03581321/" , "03581321 Футболка женская Crusader Women, бирюзовая, размер L")</f>
      </c>
      <c r="C14849" s="4" t="n">
        <v>635.00</v>
      </c>
      <c r="D14849" s="4"/>
    </row>
    <row collapsed="" customFormat="false" customHeight="1" hidden="" ht="14" outlineLevel="0" r="14850">
      <c r="A14850" s="3" t="inlineStr">
        <is>
          <t>14806</t>
        </is>
      </c>
      <c r="B14850" s="4" t="s">
        <f>=HYPERLINK("http://anyluxury.ru/shop/odezhda/futbolki/futbolka-zhenskaya-crusader-women-biryuzovaya-03581321/" , "03581321 Футболка женская Crusader Women, бирюзовая, размер XL")</f>
      </c>
      <c r="C14850" s="4" t="n">
        <v>635.00</v>
      </c>
      <c r="D14850" s="4"/>
    </row>
    <row collapsed="" customFormat="false" customHeight="1" hidden="" ht="14" outlineLevel="0" r="14851">
      <c r="A14851" s="3" t="inlineStr">
        <is>
          <t>14807</t>
        </is>
      </c>
      <c r="B14851" s="4" t="s">
        <f>=HYPERLINK("http://anyluxury.ru/shop/odezhda/futbolki/futbolka-zhenskaya-crusader-women-biryuzovaya-03581321/" , "03581321 Футболка женская Crusader Women, бирюзовая, размер XXL")</f>
      </c>
      <c r="C14851" s="4" t="n">
        <v>635.00</v>
      </c>
      <c r="D14851" s="4"/>
    </row>
    <row collapsed="" customFormat="false" customHeight="1" hidden="" ht="14" outlineLevel="0" r="14852">
      <c r="A14852" s="3" t="inlineStr">
        <is>
          <t>14808</t>
        </is>
      </c>
      <c r="B14852" s="4" t="s">
        <f>=HYPERLINK("http://anyluxury.ru/shop/odezhda/futbolki/futbolka-zhenskaya-crusader-women-svetloseriy-melanzh-03581300/" , "03581300 Футболка женская Crusader Women, светло-серый меланж, размер S")</f>
      </c>
      <c r="C14852" s="4" t="n">
        <v>635.00</v>
      </c>
      <c r="D14852" s="4"/>
    </row>
    <row collapsed="" customFormat="false" customHeight="1" hidden="" ht="14" outlineLevel="0" r="14853">
      <c r="A14853" s="3" t="inlineStr">
        <is>
          <t>14809</t>
        </is>
      </c>
      <c r="B14853" s="4" t="s">
        <f>=HYPERLINK("http://anyluxury.ru/shop/odezhda/futbolki/futbolka-zhenskaya-crusader-women-svetloseriy-melanzh-03581300/" , "03581300 Футболка женская Crusader Women, светло-серый меланж, размер M")</f>
      </c>
      <c r="C14853" s="4" t="n">
        <v>635.00</v>
      </c>
      <c r="D14853" s="4"/>
    </row>
    <row collapsed="" customFormat="false" customHeight="1" hidden="" ht="14" outlineLevel="0" r="14854">
      <c r="A14854" s="3" t="inlineStr">
        <is>
          <t>14810</t>
        </is>
      </c>
      <c r="B14854" s="4" t="s">
        <f>=HYPERLINK("http://anyluxury.ru/shop/odezhda/futbolki/futbolka-zhenskaya-crusader-women-svetloseriy-melanzh-03581300/" , "03581300 Футболка женская Crusader Women, светло-серый меланж, размер L")</f>
      </c>
      <c r="C14854" s="4" t="n">
        <v>635.00</v>
      </c>
      <c r="D14854" s="4"/>
    </row>
    <row collapsed="" customFormat="false" customHeight="1" hidden="" ht="14" outlineLevel="0" r="14855">
      <c r="A14855" s="3" t="inlineStr">
        <is>
          <t>14811</t>
        </is>
      </c>
      <c r="B14855" s="4" t="s">
        <f>=HYPERLINK("http://anyluxury.ru/shop/odezhda/futbolki/futbolka-zhenskaya-crusader-women-svetloseriy-melanzh-03581300/" , "03581300 Футболка женская Crusader Women, светло-серый меланж, размер XL")</f>
      </c>
      <c r="C14855" s="4" t="n">
        <v>635.00</v>
      </c>
      <c r="D14855" s="4"/>
    </row>
    <row collapsed="" customFormat="false" customHeight="1" hidden="" ht="14" outlineLevel="0" r="14856">
      <c r="A14856" s="3" t="inlineStr">
        <is>
          <t>14812</t>
        </is>
      </c>
      <c r="B14856" s="4" t="s">
        <f>=HYPERLINK("http://anyluxury.ru/shop/odezhda/futbolki/futbolka-zhenskaya-crusader-women-svetloseriy-melanzh-03581300/" , "03581300 Футболка женская Crusader Women, светло-серый меланж, размер XXL")</f>
      </c>
      <c r="C14856" s="4" t="n">
        <v>635.00</v>
      </c>
      <c r="D14856" s="4"/>
    </row>
    <row collapsed="" customFormat="false" customHeight="1" hidden="" ht="14" outlineLevel="0" r="14857">
      <c r="A14857" s="3" t="inlineStr">
        <is>
          <t>14813</t>
        </is>
      </c>
      <c r="B14857" s="4" t="s">
        <f>=HYPERLINK("http://anyluxury.ru/shop/odezhda/futbolki/futbolka-zhenskaya-crusader-women-svetloseriy-melanzh-03581300/" , "03581300 Футболка женская Crusader Women, светло-серый меланж, размер 3XL")</f>
      </c>
      <c r="C14857" s="4" t="n">
        <v>754.00</v>
      </c>
      <c r="D14857" s="4"/>
    </row>
    <row collapsed="" customFormat="false" customHeight="1" hidden="" ht="14" outlineLevel="0" r="14858">
      <c r="A14858" s="3" t="inlineStr">
        <is>
          <t>14814</t>
        </is>
      </c>
      <c r="B14858" s="4" t="s">
        <f>=HYPERLINK("http://anyluxury.ru/shop/odezhda/futbolki/futbolka-zhenskaya-crusader-women-temnozelenaya-03581264/" , "03581264 Футболка женская Crusader Women, темно-зеленая, размер S")</f>
      </c>
      <c r="C14858" s="4" t="n">
        <v>635.00</v>
      </c>
      <c r="D14858" s="4"/>
    </row>
    <row collapsed="" customFormat="false" customHeight="1" hidden="" ht="14" outlineLevel="0" r="14859">
      <c r="A14859" s="3" t="inlineStr">
        <is>
          <t>14815</t>
        </is>
      </c>
      <c r="B14859" s="4" t="s">
        <f>=HYPERLINK("http://anyluxury.ru/shop/odezhda/futbolki/futbolka-zhenskaya-crusader-women-temnozelenaya-03581264/" , "03581264 Футболка женская Crusader Women, темно-зеленая, размер M")</f>
      </c>
      <c r="C14859" s="4" t="n">
        <v>635.00</v>
      </c>
      <c r="D14859" s="4"/>
    </row>
    <row collapsed="" customFormat="false" customHeight="1" hidden="" ht="14" outlineLevel="0" r="14860">
      <c r="A14860" s="3" t="inlineStr">
        <is>
          <t>14816</t>
        </is>
      </c>
      <c r="B14860" s="4" t="s">
        <f>=HYPERLINK("http://anyluxury.ru/shop/odezhda/futbolki/futbolka-zhenskaya-crusader-women-temnozelenaya-03581264/" , "03581264 Футболка женская Crusader Women, темно-зеленая, размер L")</f>
      </c>
      <c r="C14860" s="4" t="n">
        <v>635.00</v>
      </c>
      <c r="D14860" s="4"/>
    </row>
    <row collapsed="" customFormat="false" customHeight="1" hidden="" ht="14" outlineLevel="0" r="14861">
      <c r="A14861" s="3" t="inlineStr">
        <is>
          <t>14817</t>
        </is>
      </c>
      <c r="B14861" s="4" t="s">
        <f>=HYPERLINK("http://anyluxury.ru/shop/odezhda/futbolki/futbolka-zhenskaya-crusader-women-temnozelenaya-03581264/" , "03581264 Футболка женская Crusader Women, темно-зеленая, размер XL")</f>
      </c>
      <c r="C14861" s="4" t="n">
        <v>635.00</v>
      </c>
      <c r="D14861" s="4"/>
    </row>
    <row collapsed="" customFormat="false" customHeight="1" hidden="" ht="14" outlineLevel="0" r="14862">
      <c r="A14862" s="3" t="inlineStr">
        <is>
          <t>14818</t>
        </is>
      </c>
      <c r="B14862" s="4" t="s">
        <f>=HYPERLINK("http://anyluxury.ru/shop/odezhda/futbolki/futbolka-zhenskaya-crusader-women-temnozelenaya-03581264/" , "03581264 Футболка женская Crusader Women, темно-зеленая, размер XXL")</f>
      </c>
      <c r="C14862" s="4" t="n">
        <v>635.00</v>
      </c>
      <c r="D14862" s="4"/>
    </row>
    <row collapsed="" customFormat="false" customHeight="1" hidden="" ht="14" outlineLevel="0" r="14863">
      <c r="A14863" s="3" t="inlineStr">
        <is>
          <t>14819</t>
        </is>
      </c>
      <c r="B14863" s="4" t="s">
        <f>=HYPERLINK("http://anyluxury.ru/shop/odezhda/futbolki/futbolka-zhenskaya-crusader-women-temnozelenaya-03581264/" , "03581264 Футболка женская Crusader Women, темно-зеленая, размер 3XL")</f>
      </c>
      <c r="C14863" s="4" t="n">
        <v>754.00</v>
      </c>
      <c r="D14863" s="4"/>
    </row>
    <row collapsed="" customFormat="false" customHeight="1" hidden="" ht="14" outlineLevel="0" r="14864">
      <c r="A14864" s="3" t="inlineStr">
        <is>
          <t>14820</t>
        </is>
      </c>
      <c r="B14864" s="4" t="s">
        <f>=HYPERLINK("http://anyluxury.ru/shop/odezhda/futbolki/futbolka-zhenskaya-crusader-women-bordovaya-03581146/" , "03581146 Футболка женская Crusader Women, бордовая, размер S")</f>
      </c>
      <c r="C14864" s="4" t="n">
        <v>635.00</v>
      </c>
      <c r="D14864" s="4"/>
    </row>
    <row collapsed="" customFormat="false" customHeight="1" hidden="" ht="14" outlineLevel="0" r="14865">
      <c r="A14865" s="3" t="inlineStr">
        <is>
          <t>14821</t>
        </is>
      </c>
      <c r="B14865" s="4" t="s">
        <f>=HYPERLINK("http://anyluxury.ru/shop/odezhda/futbolki/futbolka-zhenskaya-crusader-women-bordovaya-03581146/" , "03581146 Футболка женская Crusader Women, бордовая, размер M")</f>
      </c>
      <c r="C14865" s="4" t="n">
        <v>635.00</v>
      </c>
      <c r="D14865" s="4"/>
    </row>
    <row collapsed="" customFormat="false" customHeight="1" hidden="" ht="14" outlineLevel="0" r="14866">
      <c r="A14866" s="3" t="inlineStr">
        <is>
          <t>14822</t>
        </is>
      </c>
      <c r="B14866" s="4" t="s">
        <f>=HYPERLINK("http://anyluxury.ru/shop/odezhda/futbolki/futbolka-zhenskaya-crusader-women-bordovaya-03581146/" , "03581146 Футболка женская Crusader Women, бордовая, размер L")</f>
      </c>
      <c r="C14866" s="4" t="n">
        <v>635.00</v>
      </c>
      <c r="D14866" s="4"/>
    </row>
    <row collapsed="" customFormat="false" customHeight="1" hidden="" ht="14" outlineLevel="0" r="14867">
      <c r="A14867" s="3" t="inlineStr">
        <is>
          <t>14823</t>
        </is>
      </c>
      <c r="B14867" s="4" t="s">
        <f>=HYPERLINK("http://anyluxury.ru/shop/odezhda/futbolki/futbolka-zhenskaya-crusader-women-bordovaya-03581146/" , "03581146 Футболка женская Crusader Women, бордовая, размер XL")</f>
      </c>
      <c r="C14867" s="4" t="n">
        <v>635.00</v>
      </c>
      <c r="D14867" s="4"/>
    </row>
    <row collapsed="" customFormat="false" customHeight="1" hidden="" ht="14" outlineLevel="0" r="14868">
      <c r="A14868" s="3" t="inlineStr">
        <is>
          <t>14824</t>
        </is>
      </c>
      <c r="B14868" s="4" t="s">
        <f>=HYPERLINK("http://anyluxury.ru/shop/odezhda/futbolki/futbolka-zhenskaya-crusader-women-bordovaya-03581146/" , "03581146 Футболка женская Crusader Women, бордовая, размер XXL")</f>
      </c>
      <c r="C14868" s="4" t="n">
        <v>635.00</v>
      </c>
      <c r="D14868" s="4"/>
    </row>
    <row collapsed="" customFormat="false" customHeight="1" hidden="" ht="14" outlineLevel="0" r="14869">
      <c r="A14869" s="3" t="inlineStr">
        <is>
          <t>14825</t>
        </is>
      </c>
      <c r="B14869" s="4" t="s">
        <f>=HYPERLINK("http://anyluxury.ru/shop/odezhda/futbolki/futbolka-zhenskaya-crusader-women-chernaya-03581309/" , "03581309 Футболка женская Crusader Women, черная, размер S")</f>
      </c>
      <c r="C14869" s="4" t="n">
        <v>635.00</v>
      </c>
      <c r="D14869" s="4"/>
    </row>
    <row collapsed="" customFormat="false" customHeight="1" hidden="" ht="14" outlineLevel="0" r="14870">
      <c r="A14870" s="3" t="inlineStr">
        <is>
          <t>14826</t>
        </is>
      </c>
      <c r="B14870" s="4" t="s">
        <f>=HYPERLINK("http://anyluxury.ru/shop/odezhda/futbolki/futbolka-zhenskaya-crusader-women-chernaya-03581309/" , "03581309 Футболка женская Crusader Women, черная, размер M")</f>
      </c>
      <c r="C14870" s="4" t="n">
        <v>635.00</v>
      </c>
      <c r="D14870" s="4"/>
    </row>
    <row collapsed="" customFormat="false" customHeight="1" hidden="" ht="14" outlineLevel="0" r="14871">
      <c r="A14871" s="3" t="inlineStr">
        <is>
          <t>14827</t>
        </is>
      </c>
      <c r="B14871" s="4" t="s">
        <f>=HYPERLINK("http://anyluxury.ru/shop/odezhda/futbolki/futbolka-zhenskaya-crusader-women-chernaya-03581309/" , "03581309 Футболка женская Crusader Women, черная, размер L")</f>
      </c>
      <c r="C14871" s="4" t="n">
        <v>635.00</v>
      </c>
      <c r="D14871" s="4"/>
    </row>
    <row collapsed="" customFormat="false" customHeight="1" hidden="" ht="14" outlineLevel="0" r="14872">
      <c r="A14872" s="3" t="inlineStr">
        <is>
          <t>14828</t>
        </is>
      </c>
      <c r="B14872" s="4" t="s">
        <f>=HYPERLINK("http://anyluxury.ru/shop/odezhda/futbolki/futbolka-zhenskaya-crusader-women-chernaya-03581309/" , "03581309 Футболка женская Crusader Women, черная, размер XL")</f>
      </c>
      <c r="C14872" s="4" t="n">
        <v>635.00</v>
      </c>
      <c r="D14872" s="4"/>
    </row>
    <row collapsed="" customFormat="false" customHeight="1" hidden="" ht="14" outlineLevel="0" r="14873">
      <c r="A14873" s="3" t="inlineStr">
        <is>
          <t>14829</t>
        </is>
      </c>
      <c r="B14873" s="4" t="s">
        <f>=HYPERLINK("http://anyluxury.ru/shop/odezhda/futbolki/futbolka-zhenskaya-crusader-women-chernaya-03581309/" , "03581309 Футболка женская Crusader Women, черная, размер XXL")</f>
      </c>
      <c r="C14873" s="4" t="n">
        <v>635.00</v>
      </c>
      <c r="D14873" s="4"/>
    </row>
    <row collapsed="" customFormat="false" customHeight="1" hidden="" ht="14" outlineLevel="0" r="14874">
      <c r="A14874" s="3" t="inlineStr">
        <is>
          <t>14830</t>
        </is>
      </c>
      <c r="B14874" s="4" t="s">
        <f>=HYPERLINK("http://anyluxury.ru/shop/odezhda/futbolki/futbolka-zhenskaya-crusader-women-chernaya-03581309/" , "03581309 Футболка женская Crusader Women, черная, размер 3XL")</f>
      </c>
      <c r="C14874" s="4" t="n">
        <v>754.00</v>
      </c>
      <c r="D14874" s="4"/>
    </row>
    <row collapsed="" customFormat="false" customHeight="1" hidden="" ht="14" outlineLevel="0" r="14875">
      <c r="A14875" s="3" t="inlineStr">
        <is>
          <t>14831</t>
        </is>
      </c>
      <c r="B14875" s="4" t="s">
        <f>=HYPERLINK("http://anyluxury.ru/shop/odezhda/futbolki/futbolka-zhenskaya-crusader-women-sinyaya-dzhins-03581244/" , "03581244 Футболка женская Crusader Women, синяя (джинс), размер S")</f>
      </c>
      <c r="C14875" s="4" t="n">
        <v>635.00</v>
      </c>
      <c r="D14875" s="4"/>
    </row>
    <row collapsed="" customFormat="false" customHeight="1" hidden="" ht="14" outlineLevel="0" r="14876">
      <c r="A14876" s="3" t="inlineStr">
        <is>
          <t>14832</t>
        </is>
      </c>
      <c r="B14876" s="4" t="s">
        <f>=HYPERLINK("http://anyluxury.ru/shop/odezhda/futbolki/futbolka-zhenskaya-crusader-women-sinyaya-dzhins-03581244/" , "03581244 Футболка женская Crusader Women, синяя (джинс), размер M")</f>
      </c>
      <c r="C14876" s="4" t="n">
        <v>635.00</v>
      </c>
      <c r="D14876" s="4"/>
    </row>
    <row collapsed="" customFormat="false" customHeight="1" hidden="" ht="14" outlineLevel="0" r="14877">
      <c r="A14877" s="3" t="inlineStr">
        <is>
          <t>14833</t>
        </is>
      </c>
      <c r="B14877" s="4" t="s">
        <f>=HYPERLINK("http://anyluxury.ru/shop/odezhda/futbolki/futbolka-zhenskaya-crusader-women-sinyaya-dzhins-03581244/" , "03581244 Футболка женская Crusader Women, синяя (джинс), размер L")</f>
      </c>
      <c r="C14877" s="4" t="n">
        <v>635.00</v>
      </c>
      <c r="D14877" s="4"/>
    </row>
    <row collapsed="" customFormat="false" customHeight="1" hidden="" ht="14" outlineLevel="0" r="14878">
      <c r="A14878" s="3" t="inlineStr">
        <is>
          <t>14834</t>
        </is>
      </c>
      <c r="B14878" s="4" t="s">
        <f>=HYPERLINK("http://anyluxury.ru/shop/odezhda/futbolki/futbolka-zhenskaya-crusader-women-sinyaya-dzhins-03581244/" , "03581244 Футболка женская Crusader Women, синяя (джинс), размер XL")</f>
      </c>
      <c r="C14878" s="4" t="n">
        <v>635.00</v>
      </c>
      <c r="D14878" s="4"/>
    </row>
    <row collapsed="" customFormat="false" customHeight="1" hidden="" ht="14" outlineLevel="0" r="14879">
      <c r="A14879" s="3" t="inlineStr">
        <is>
          <t>14835</t>
        </is>
      </c>
      <c r="B14879" s="4" t="s">
        <f>=HYPERLINK("http://anyluxury.ru/shop/odezhda/futbolki/futbolka-zhenskaya-crusader-women-sinyaya-dzhins-03581244/" , "03581244 Футболка женская Crusader Women, синяя (джинс), размер XXL")</f>
      </c>
      <c r="C14879" s="4" t="n">
        <v>635.00</v>
      </c>
      <c r="D14879" s="4"/>
    </row>
    <row collapsed="" customFormat="false" customHeight="1" hidden="" ht="14" outlineLevel="0" r="14880">
      <c r="A14880" s="3" t="inlineStr">
        <is>
          <t>14836</t>
        </is>
      </c>
      <c r="B14880" s="4" t="s">
        <f>=HYPERLINK("http://anyluxury.ru/shop/odezhda/futbolki/futbolka-zhenskaya-crusader-women-temnosinyaya-03581319/" , "03581319 Футболка женская Crusader Women, темно-синяя, размер S")</f>
      </c>
      <c r="C14880" s="4" t="n">
        <v>635.00</v>
      </c>
      <c r="D14880" s="4"/>
    </row>
    <row collapsed="" customFormat="false" customHeight="1" hidden="" ht="14" outlineLevel="0" r="14881">
      <c r="A14881" s="3" t="inlineStr">
        <is>
          <t>14837</t>
        </is>
      </c>
      <c r="B14881" s="4" t="s">
        <f>=HYPERLINK("http://anyluxury.ru/shop/odezhda/futbolki/futbolka-zhenskaya-crusader-women-temnosinyaya-03581319/" , "03581319 Футболка женская Crusader Women, темно-синяя, размер M")</f>
      </c>
      <c r="C14881" s="4" t="n">
        <v>635.00</v>
      </c>
      <c r="D14881" s="4"/>
    </row>
    <row collapsed="" customFormat="false" customHeight="1" hidden="" ht="14" outlineLevel="0" r="14882">
      <c r="A14882" s="3" t="inlineStr">
        <is>
          <t>14838</t>
        </is>
      </c>
      <c r="B14882" s="4" t="s">
        <f>=HYPERLINK("http://anyluxury.ru/shop/odezhda/futbolki/futbolka-zhenskaya-crusader-women-temnosinyaya-03581319/" , "03581319 Футболка женская Crusader Women, темно-синяя, размер L")</f>
      </c>
      <c r="C14882" s="4" t="n">
        <v>635.00</v>
      </c>
      <c r="D14882" s="4"/>
    </row>
    <row collapsed="" customFormat="false" customHeight="1" hidden="" ht="14" outlineLevel="0" r="14883">
      <c r="A14883" s="3" t="inlineStr">
        <is>
          <t>14839</t>
        </is>
      </c>
      <c r="B14883" s="4" t="s">
        <f>=HYPERLINK("http://anyluxury.ru/shop/odezhda/futbolki/futbolka-zhenskaya-crusader-women-temnosinyaya-03581319/" , "03581319 Футболка женская Crusader Women, темно-синяя, размер XL")</f>
      </c>
      <c r="C14883" s="4" t="n">
        <v>635.00</v>
      </c>
      <c r="D14883" s="4"/>
    </row>
    <row collapsed="" customFormat="false" customHeight="1" hidden="" ht="14" outlineLevel="0" r="14884">
      <c r="A14884" s="3" t="inlineStr">
        <is>
          <t>14840</t>
        </is>
      </c>
      <c r="B14884" s="4" t="s">
        <f>=HYPERLINK("http://anyluxury.ru/shop/odezhda/futbolki/futbolka-zhenskaya-crusader-women-temnosinyaya-03581319/" , "03581319 Футболка женская Crusader Women, темно-синяя, размер XXL")</f>
      </c>
      <c r="C14884" s="4" t="n">
        <v>635.00</v>
      </c>
      <c r="D14884" s="4"/>
    </row>
    <row collapsed="" customFormat="false" customHeight="1" hidden="" ht="14" outlineLevel="0" r="14885">
      <c r="A14885" s="3" t="inlineStr">
        <is>
          <t>14841</t>
        </is>
      </c>
      <c r="B14885" s="4" t="s">
        <f>=HYPERLINK("http://anyluxury.ru/shop/odezhda/futbolki/futbolka-zhenskaya-crusader-women-temnosinyaya-03581319/" , "03581319 Футболка женская Crusader Women, темно-синяя, размер 3XL")</f>
      </c>
      <c r="C14885" s="4" t="n">
        <v>754.00</v>
      </c>
      <c r="D14885" s="4"/>
    </row>
    <row collapsed="" customFormat="false" customHeight="1" hidden="" ht="14" outlineLevel="0" r="14886">
      <c r="A14886" s="3" t="inlineStr">
        <is>
          <t>14842</t>
        </is>
      </c>
      <c r="B14886" s="4" t="s">
        <f>=HYPERLINK("http://anyluxury.ru/shop/odezhda/futbolki/futbolka-zhenskaya-crusader-women-yarkorozovaya-fuksiya-03581140/" , "03581140 Футболка женская Crusader Women, ярко-розовая (фуксия), размер S")</f>
      </c>
      <c r="C14886" s="4" t="n">
        <v>635.00</v>
      </c>
      <c r="D14886" s="4"/>
    </row>
    <row collapsed="" customFormat="false" customHeight="1" hidden="" ht="14" outlineLevel="0" r="14887">
      <c r="A14887" s="3" t="inlineStr">
        <is>
          <t>14843</t>
        </is>
      </c>
      <c r="B14887" s="4" t="s">
        <f>=HYPERLINK("http://anyluxury.ru/shop/odezhda/futbolki/futbolka-zhenskaya-crusader-women-yarkorozovaya-fuksiya-03581140/" , "03581140 Футболка женская Crusader Women, ярко-розовая (фуксия), размер M")</f>
      </c>
      <c r="C14887" s="4" t="n">
        <v>635.00</v>
      </c>
      <c r="D14887" s="4"/>
    </row>
    <row collapsed="" customFormat="false" customHeight="1" hidden="" ht="14" outlineLevel="0" r="14888">
      <c r="A14888" s="3" t="inlineStr">
        <is>
          <t>14844</t>
        </is>
      </c>
      <c r="B14888" s="4" t="s">
        <f>=HYPERLINK("http://anyluxury.ru/shop/odezhda/futbolki/futbolka-zhenskaya-crusader-women-yarkorozovaya-fuksiya-03581140/" , "03581140 Футболка женская Crusader Women, ярко-розовая (фуксия), размер L")</f>
      </c>
      <c r="C14888" s="4" t="n">
        <v>635.00</v>
      </c>
      <c r="D14888" s="4"/>
    </row>
    <row collapsed="" customFormat="false" customHeight="1" hidden="" ht="14" outlineLevel="0" r="14889">
      <c r="A14889" s="3" t="inlineStr">
        <is>
          <t>14845</t>
        </is>
      </c>
      <c r="B14889" s="4" t="s">
        <f>=HYPERLINK("http://anyluxury.ru/shop/odezhda/futbolki/futbolka-zhenskaya-crusader-women-yarkorozovaya-fuksiya-03581140/" , "03581140 Футболка женская Crusader Women, ярко-розовая (фуксия), размер XL")</f>
      </c>
      <c r="C14889" s="4" t="n">
        <v>635.00</v>
      </c>
      <c r="D14889" s="4"/>
    </row>
    <row collapsed="" customFormat="false" customHeight="1" hidden="" ht="14" outlineLevel="0" r="14890">
      <c r="A14890" s="3" t="inlineStr">
        <is>
          <t>14846</t>
        </is>
      </c>
      <c r="B14890" s="4" t="s">
        <f>=HYPERLINK("http://anyluxury.ru/shop/odezhda/futbolki/futbolka-zhenskaya-crusader-women-yarkorozovaya-fuksiya-03581140/" , "03581140 Футболка женская Crusader Women, ярко-розовая (фуксия), размер XXL")</f>
      </c>
      <c r="C14890" s="4" t="n">
        <v>635.00</v>
      </c>
      <c r="D14890" s="4"/>
    </row>
    <row collapsed="" customFormat="false" customHeight="1" hidden="" ht="14" outlineLevel="0" r="14891">
      <c r="A14891" s="3" t="inlineStr">
        <is>
          <t>14847</t>
        </is>
      </c>
      <c r="B14891" s="4" t="s">
        <f>=HYPERLINK("http://anyluxury.ru/shop/odezhda/futbolki/futbolka-zhenskaya-crusader-women-zheltaya-03581301/" , "03581301 Футболка женская Crusader Women, желтая, размер S")</f>
      </c>
      <c r="C14891" s="4" t="n">
        <v>635.00</v>
      </c>
      <c r="D14891" s="4"/>
    </row>
    <row collapsed="" customFormat="false" customHeight="1" hidden="" ht="14" outlineLevel="0" r="14892">
      <c r="A14892" s="3" t="inlineStr">
        <is>
          <t>14848</t>
        </is>
      </c>
      <c r="B14892" s="4" t="s">
        <f>=HYPERLINK("http://anyluxury.ru/shop/odezhda/futbolki/futbolka-zhenskaya-crusader-women-zheltaya-03581301/" , "03581301 Футболка женская Crusader Women, желтая, размер M")</f>
      </c>
      <c r="C14892" s="4" t="n">
        <v>635.00</v>
      </c>
      <c r="D14892" s="4"/>
    </row>
    <row collapsed="" customFormat="false" customHeight="1" hidden="" ht="14" outlineLevel="0" r="14893">
      <c r="A14893" s="3" t="inlineStr">
        <is>
          <t>14849</t>
        </is>
      </c>
      <c r="B14893" s="4" t="s">
        <f>=HYPERLINK("http://anyluxury.ru/shop/odezhda/futbolki/futbolka-zhenskaya-crusader-women-zheltaya-03581301/" , "03581301 Футболка женская Crusader Women, желтая, размер L")</f>
      </c>
      <c r="C14893" s="4" t="n">
        <v>635.00</v>
      </c>
      <c r="D14893" s="4"/>
    </row>
    <row collapsed="" customFormat="false" customHeight="1" hidden="" ht="14" outlineLevel="0" r="14894">
      <c r="A14894" s="3" t="inlineStr">
        <is>
          <t>14850</t>
        </is>
      </c>
      <c r="B14894" s="4" t="s">
        <f>=HYPERLINK("http://anyluxury.ru/shop/odezhda/futbolki/futbolka-zhenskaya-crusader-women-zheltaya-03581301/" , "03581301 Футболка женская Crusader Women, желтая, размер XL")</f>
      </c>
      <c r="C14894" s="4" t="n">
        <v>635.00</v>
      </c>
      <c r="D14894" s="4"/>
    </row>
    <row collapsed="" customFormat="false" customHeight="1" hidden="" ht="14" outlineLevel="0" r="14895">
      <c r="A14895" s="3" t="inlineStr">
        <is>
          <t>14851</t>
        </is>
      </c>
      <c r="B14895" s="4" t="s">
        <f>=HYPERLINK("http://anyluxury.ru/shop/odezhda/futbolki/futbolka-zhenskaya-crusader-women-zheltaya-03581301/" , "03581301 Футболка женская Crusader Women, желтая, размер XXL")</f>
      </c>
      <c r="C14895" s="4" t="n">
        <v>635.00</v>
      </c>
      <c r="D14895" s="4"/>
    </row>
    <row collapsed="" customFormat="false" customHeight="1" hidden="" ht="14" outlineLevel="0" r="14896">
      <c r="A14896" s="3" t="inlineStr">
        <is>
          <t>14852</t>
        </is>
      </c>
      <c r="B14896" s="4" t="s">
        <f>=HYPERLINK("http://anyluxury.ru/shop/odezhda/futbolki/futbolka-zhenskaya-crusader-women-seriy-melanzh-03581350/" , "03581350 Футболка женская Crusader Women, серый меланж, размер S")</f>
      </c>
      <c r="C14896" s="4" t="n">
        <v>635.00</v>
      </c>
      <c r="D14896" s="4"/>
    </row>
    <row collapsed="" customFormat="false" customHeight="1" hidden="" ht="14" outlineLevel="0" r="14897">
      <c r="A14897" s="3" t="inlineStr">
        <is>
          <t>14853</t>
        </is>
      </c>
      <c r="B14897" s="4" t="s">
        <f>=HYPERLINK("http://anyluxury.ru/shop/odezhda/futbolki/futbolka-zhenskaya-crusader-women-seriy-melanzh-03581350/" , "03581350 Футболка женская Crusader Women, серый меланж, размер M")</f>
      </c>
      <c r="C14897" s="4" t="n">
        <v>635.00</v>
      </c>
      <c r="D14897" s="4"/>
    </row>
    <row collapsed="" customFormat="false" customHeight="1" hidden="" ht="14" outlineLevel="0" r="14898">
      <c r="A14898" s="3" t="inlineStr">
        <is>
          <t>14854</t>
        </is>
      </c>
      <c r="B14898" s="4" t="s">
        <f>=HYPERLINK("http://anyluxury.ru/shop/odezhda/futbolki/futbolka-zhenskaya-crusader-women-seriy-melanzh-03581350/" , "03581350 Футболка женская Crusader Women, серый меланж, размер L")</f>
      </c>
      <c r="C14898" s="4" t="n">
        <v>635.00</v>
      </c>
      <c r="D14898" s="4"/>
    </row>
    <row collapsed="" customFormat="false" customHeight="1" hidden="" ht="14" outlineLevel="0" r="14899">
      <c r="A14899" s="3" t="inlineStr">
        <is>
          <t>14855</t>
        </is>
      </c>
      <c r="B14899" s="4" t="s">
        <f>=HYPERLINK("http://anyluxury.ru/shop/odezhda/futbolki/futbolka-zhenskaya-crusader-women-seriy-melanzh-03581350/" , "03581350 Футболка женская Crusader Women, серый меланж, размер XL")</f>
      </c>
      <c r="C14899" s="4" t="n">
        <v>635.00</v>
      </c>
      <c r="D14899" s="4"/>
    </row>
    <row collapsed="" customFormat="false" customHeight="1" hidden="" ht="14" outlineLevel="0" r="14900">
      <c r="A14900" s="3" t="inlineStr">
        <is>
          <t>14856</t>
        </is>
      </c>
      <c r="B14900" s="4" t="s">
        <f>=HYPERLINK("http://anyluxury.ru/shop/odezhda/futbolki/futbolka-zhenskaya-crusader-women-seriy-melanzh-03581350/" , "03581350 Футболка женская Crusader Women, серый меланж, размер XXL")</f>
      </c>
      <c r="C14900" s="4" t="n">
        <v>635.00</v>
      </c>
      <c r="D14900" s="4"/>
    </row>
    <row collapsed="" customFormat="false" customHeight="1" hidden="" ht="14" outlineLevel="0" r="14901">
      <c r="A14901" s="3" t="inlineStr">
        <is>
          <t>14857</t>
        </is>
      </c>
      <c r="B14901" s="4" t="s">
        <f>=HYPERLINK("http://anyluxury.ru/shop/odezhda/futbolki/futbolka-zhenskaya-crusader-women-seriy-melanzh-03581350/" , "03581350 Футболка женская Crusader Women, серый меланж, размер 3XL")</f>
      </c>
      <c r="C14901" s="4" t="n">
        <v>754.00</v>
      </c>
      <c r="D14901" s="4"/>
    </row>
    <row collapsed="" customFormat="false" customHeight="1" hidden="" ht="14" outlineLevel="0" r="14902">
      <c r="A14902" s="3" t="inlineStr">
        <is>
          <t>14858</t>
        </is>
      </c>
      <c r="B14902" s="4" t="s">
        <f>=HYPERLINK("http://anyluxury.ru/shop/odezhda/futbolki/futbolka-zhenskaya-crusader-women-haki-03581268/" , "03581268 Футболка женская Crusader Women, хаки, размер S")</f>
      </c>
      <c r="C14902" s="4" t="n">
        <v>635.00</v>
      </c>
      <c r="D14902" s="4"/>
    </row>
    <row collapsed="" customFormat="false" customHeight="1" hidden="" ht="14" outlineLevel="0" r="14903">
      <c r="A14903" s="3" t="inlineStr">
        <is>
          <t>14859</t>
        </is>
      </c>
      <c r="B14903" s="4" t="s">
        <f>=HYPERLINK("http://anyluxury.ru/shop/odezhda/futbolki/futbolka-zhenskaya-crusader-women-haki-03581268/" , "03581268 Футболка женская Crusader Women, хаки, размер M")</f>
      </c>
      <c r="C14903" s="4" t="n">
        <v>635.00</v>
      </c>
      <c r="D14903" s="4"/>
    </row>
    <row collapsed="" customFormat="false" customHeight="1" hidden="" ht="14" outlineLevel="0" r="14904">
      <c r="A14904" s="3" t="inlineStr">
        <is>
          <t>14860</t>
        </is>
      </c>
      <c r="B14904" s="4" t="s">
        <f>=HYPERLINK("http://anyluxury.ru/shop/odezhda/futbolki/futbolka-zhenskaya-crusader-women-haki-03581268/" , "03581268 Футболка женская Crusader Women, хаки, размер L")</f>
      </c>
      <c r="C14904" s="4" t="n">
        <v>635.00</v>
      </c>
      <c r="D14904" s="4"/>
    </row>
    <row collapsed="" customFormat="false" customHeight="1" hidden="" ht="14" outlineLevel="0" r="14905">
      <c r="A14905" s="3" t="inlineStr">
        <is>
          <t>14861</t>
        </is>
      </c>
      <c r="B14905" s="4" t="s">
        <f>=HYPERLINK("http://anyluxury.ru/shop/odezhda/futbolki/futbolka-zhenskaya-crusader-women-haki-03581268/" , "03581268 Футболка женская Crusader Women, хаки, размер XL")</f>
      </c>
      <c r="C14905" s="4" t="n">
        <v>635.00</v>
      </c>
      <c r="D14905" s="4"/>
    </row>
    <row collapsed="" customFormat="false" customHeight="1" hidden="" ht="14" outlineLevel="0" r="14906">
      <c r="A14906" s="3" t="inlineStr">
        <is>
          <t>14862</t>
        </is>
      </c>
      <c r="B14906" s="4" t="s">
        <f>=HYPERLINK("http://anyluxury.ru/shop/odezhda/futbolki/futbolka-zhenskaya-crusader-women-haki-03581268/" , "03581268 Футболка женская Crusader Women, хаки, размер XXL")</f>
      </c>
      <c r="C14906" s="4" t="n">
        <v>635.00</v>
      </c>
      <c r="D14906" s="4"/>
    </row>
    <row collapsed="" customFormat="false" customHeight="1" hidden="" ht="14" outlineLevel="0" r="14907">
      <c r="A14907" s="3" t="inlineStr">
        <is>
          <t>14863</t>
        </is>
      </c>
      <c r="B14907" s="4" t="s">
        <f>=HYPERLINK("http://anyluxury.ru/shop/odezhda/futbolki/futbolka-zhenskaya-crusader-women-yarkozelenaya-03581272/" , "03581272 Футболка женская Crusader Women, ярко-зеленая, размер S")</f>
      </c>
      <c r="C14907" s="4" t="n">
        <v>635.00</v>
      </c>
      <c r="D14907" s="4"/>
    </row>
    <row collapsed="" customFormat="false" customHeight="1" hidden="" ht="14" outlineLevel="0" r="14908">
      <c r="A14908" s="3" t="inlineStr">
        <is>
          <t>14864</t>
        </is>
      </c>
      <c r="B14908" s="4" t="s">
        <f>=HYPERLINK("http://anyluxury.ru/shop/odezhda/futbolki/futbolka-zhenskaya-crusader-women-yarkozelenaya-03581272/" , "03581272 Футболка женская Crusader Women, ярко-зеленая, размер M")</f>
      </c>
      <c r="C14908" s="4" t="n">
        <v>635.00</v>
      </c>
      <c r="D14908" s="4"/>
    </row>
    <row collapsed="" customFormat="false" customHeight="1" hidden="" ht="14" outlineLevel="0" r="14909">
      <c r="A14909" s="3" t="inlineStr">
        <is>
          <t>14865</t>
        </is>
      </c>
      <c r="B14909" s="4" t="s">
        <f>=HYPERLINK("http://anyluxury.ru/shop/odezhda/futbolki/futbolka-zhenskaya-crusader-women-yarkozelenaya-03581272/" , "03581272 Футболка женская Crusader Women, ярко-зеленая, размер L")</f>
      </c>
      <c r="C14909" s="4" t="n">
        <v>635.00</v>
      </c>
      <c r="D14909" s="4"/>
    </row>
    <row collapsed="" customFormat="false" customHeight="1" hidden="" ht="14" outlineLevel="0" r="14910">
      <c r="A14910" s="3" t="inlineStr">
        <is>
          <t>14866</t>
        </is>
      </c>
      <c r="B14910" s="4" t="s">
        <f>=HYPERLINK("http://anyluxury.ru/shop/odezhda/futbolki/futbolka-zhenskaya-crusader-women-yarkozelenaya-03581272/" , "03581272 Футболка женская Crusader Women, ярко-зеленая, размер XL")</f>
      </c>
      <c r="C14910" s="4" t="n">
        <v>635.00</v>
      </c>
      <c r="D14910" s="4"/>
    </row>
    <row collapsed="" customFormat="false" customHeight="1" hidden="" ht="14" outlineLevel="0" r="14911">
      <c r="A14911" s="3" t="inlineStr">
        <is>
          <t>14867</t>
        </is>
      </c>
      <c r="B14911" s="4" t="s">
        <f>=HYPERLINK("http://anyluxury.ru/shop/odezhda/futbolki/futbolka-zhenskaya-crusader-women-yarkozelenaya-03581272/" , "03581272 Футболка женская Crusader Women, ярко-зеленая, размер XXL")</f>
      </c>
      <c r="C14911" s="4" t="n">
        <v>635.00</v>
      </c>
      <c r="D14911" s="4"/>
    </row>
    <row collapsed="" customFormat="false" customHeight="1" hidden="" ht="14" outlineLevel="0" r="14912">
      <c r="A14912" s="3" t="inlineStr">
        <is>
          <t>14868</t>
        </is>
      </c>
      <c r="B14912" s="4" t="s">
        <f>=HYPERLINK("http://anyluxury.ru/shop/odezhda/futbolki/futbolka-zhenskaya-crusader-women-temnoseraya-grafit-03581381/" , "03581381 Футболка женская Crusader Women, темно-серая (графит), размер S")</f>
      </c>
      <c r="C14912" s="4" t="n">
        <v>635.00</v>
      </c>
      <c r="D14912" s="4"/>
    </row>
    <row collapsed="" customFormat="false" customHeight="1" hidden="" ht="14" outlineLevel="0" r="14913">
      <c r="A14913" s="3" t="inlineStr">
        <is>
          <t>14869</t>
        </is>
      </c>
      <c r="B14913" s="4" t="s">
        <f>=HYPERLINK("http://anyluxury.ru/shop/odezhda/futbolki/futbolka-zhenskaya-crusader-women-temnoseraya-grafit-03581381/" , "03581381 Футболка женская Crusader Women, темно-серая (графит), размер M")</f>
      </c>
      <c r="C14913" s="4" t="n">
        <v>635.00</v>
      </c>
      <c r="D14913" s="4"/>
    </row>
    <row collapsed="" customFormat="false" customHeight="1" hidden="" ht="14" outlineLevel="0" r="14914">
      <c r="A14914" s="3" t="inlineStr">
        <is>
          <t>14870</t>
        </is>
      </c>
      <c r="B14914" s="4" t="s">
        <f>=HYPERLINK("http://anyluxury.ru/shop/odezhda/futbolki/futbolka-zhenskaya-crusader-women-temnoseraya-grafit-03581381/" , "03581381 Футболка женская Crusader Women, темно-серая (графит), размер L")</f>
      </c>
      <c r="C14914" s="4" t="n">
        <v>635.00</v>
      </c>
      <c r="D14914" s="4"/>
    </row>
    <row collapsed="" customFormat="false" customHeight="1" hidden="" ht="14" outlineLevel="0" r="14915">
      <c r="A14915" s="3" t="inlineStr">
        <is>
          <t>14871</t>
        </is>
      </c>
      <c r="B14915" s="4" t="s">
        <f>=HYPERLINK("http://anyluxury.ru/shop/odezhda/futbolki/futbolka-zhenskaya-crusader-women-temnoseraya-grafit-03581381/" , "03581381 Футболка женская Crusader Women, темно-серая (графит), размер XL")</f>
      </c>
      <c r="C14915" s="4" t="n">
        <v>635.00</v>
      </c>
      <c r="D14915" s="4"/>
    </row>
    <row collapsed="" customFormat="false" customHeight="1" hidden="" ht="14" outlineLevel="0" r="14916">
      <c r="A14916" s="3" t="inlineStr">
        <is>
          <t>14872</t>
        </is>
      </c>
      <c r="B14916" s="4" t="s">
        <f>=HYPERLINK("http://anyluxury.ru/shop/odezhda/futbolki/futbolka-zhenskaya-crusader-women-temnoseraya-grafit-03581381/" , "03581381 Футболка женская Crusader Women, темно-серая (графит), размер XXL")</f>
      </c>
      <c r="C14916" s="4" t="n">
        <v>635.00</v>
      </c>
      <c r="D14916" s="4"/>
    </row>
    <row collapsed="" customFormat="false" customHeight="1" hidden="" ht="14" outlineLevel="0" r="14917">
      <c r="A14917" s="3" t="inlineStr">
        <is>
          <t>14873</t>
        </is>
      </c>
      <c r="B14917" s="4" t="s">
        <f>=HYPERLINK("http://anyluxury.ru/shop/odezhda/futbolki/futbolka-zhenskaya-crusader-women-svetlobezhevaya-03581101/" , "03581101 Футболка женская Crusader Women, светло-бежевая, размер S")</f>
      </c>
      <c r="C14917" s="4" t="n">
        <v>432.00</v>
      </c>
      <c r="D14917" s="4"/>
    </row>
    <row collapsed="" customFormat="false" customHeight="1" hidden="" ht="14" outlineLevel="0" r="14918">
      <c r="A14918" s="3" t="inlineStr">
        <is>
          <t>14874</t>
        </is>
      </c>
      <c r="B14918" s="4" t="s">
        <f>=HYPERLINK("http://anyluxury.ru/shop/odezhda/futbolki/futbolka-zhenskaya-crusader-women-svetlobezhevaya-03581101/" , "03581101 Футболка женская Crusader Women, светло-бежевая, размер M")</f>
      </c>
      <c r="C14918" s="4" t="n">
        <v>432.00</v>
      </c>
      <c r="D14918" s="4"/>
    </row>
    <row collapsed="" customFormat="false" customHeight="1" hidden="" ht="14" outlineLevel="0" r="14919">
      <c r="A14919" s="3" t="inlineStr">
        <is>
          <t>14875</t>
        </is>
      </c>
      <c r="B14919" s="4" t="s">
        <f>=HYPERLINK("http://anyluxury.ru/shop/odezhda/futbolki/futbolka-zhenskaya-crusader-women-svetlobezhevaya-03581101/" , "03581101 Футболка женская Crusader Women, светло-бежевая, размер L")</f>
      </c>
      <c r="C14919" s="4" t="n">
        <v>432.00</v>
      </c>
      <c r="D14919" s="4"/>
    </row>
    <row collapsed="" customFormat="false" customHeight="1" hidden="" ht="14" outlineLevel="0" r="14920">
      <c r="A14920" s="3" t="inlineStr">
        <is>
          <t>14876</t>
        </is>
      </c>
      <c r="B14920" s="4" t="s">
        <f>=HYPERLINK("http://anyluxury.ru/shop/odezhda/futbolki/futbolka-zhenskaya-crusader-women-svetlobezhevaya-03581101/" , "03581101 Футболка женская Crusader Women, светло-бежевая, размер XL")</f>
      </c>
      <c r="C14920" s="4" t="n">
        <v>432.00</v>
      </c>
      <c r="D14920" s="4"/>
    </row>
    <row collapsed="" customFormat="false" customHeight="1" hidden="" ht="14" outlineLevel="0" r="14921">
      <c r="A14921" s="3" t="inlineStr">
        <is>
          <t>14877</t>
        </is>
      </c>
      <c r="B14921" s="4" t="s">
        <f>=HYPERLINK("http://anyluxury.ru/shop/odezhda/futbolki/futbolka-zhenskaya-crusader-women-svetlobezhevaya-03581101/" , "03581101 Футболка женская Crusader Women, светло-бежевая, размер XXL")</f>
      </c>
      <c r="C14921" s="4" t="n">
        <v>432.00</v>
      </c>
      <c r="D14921" s="4"/>
    </row>
    <row collapsed="" customFormat="false" customHeight="1" hidden="" ht="14" outlineLevel="0" r="14922">
      <c r="A14922" s="3" t="inlineStr">
        <is>
          <t>14878</t>
        </is>
      </c>
      <c r="B14922" s="4" t="s">
        <f>=HYPERLINK("http://anyluxury.ru/shop/odezhda/futbolki/futbolka-zhenskaya-crusader-women-oranzhevaya-03581400/" , "03581400 Футболка женская Crusader Women, оранжевая, размер S")</f>
      </c>
      <c r="C14922" s="4" t="n">
        <v>635.00</v>
      </c>
      <c r="D14922" s="4"/>
    </row>
    <row collapsed="" customFormat="false" customHeight="1" hidden="" ht="14" outlineLevel="0" r="14923">
      <c r="A14923" s="3" t="inlineStr">
        <is>
          <t>14879</t>
        </is>
      </c>
      <c r="B14923" s="4" t="s">
        <f>=HYPERLINK("http://anyluxury.ru/shop/odezhda/futbolki/futbolka-zhenskaya-crusader-women-oranzhevaya-03581400/" , "03581400 Футболка женская Crusader Women, оранжевая, размер M")</f>
      </c>
      <c r="C14923" s="4" t="n">
        <v>635.00</v>
      </c>
      <c r="D14923" s="4"/>
    </row>
    <row collapsed="" customFormat="false" customHeight="1" hidden="" ht="14" outlineLevel="0" r="14924">
      <c r="A14924" s="3" t="inlineStr">
        <is>
          <t>14880</t>
        </is>
      </c>
      <c r="B14924" s="4" t="s">
        <f>=HYPERLINK("http://anyluxury.ru/shop/odezhda/futbolki/futbolka-zhenskaya-crusader-women-oranzhevaya-03581400/" , "03581400 Футболка женская Crusader Women, оранжевая, размер L")</f>
      </c>
      <c r="C14924" s="4" t="n">
        <v>635.00</v>
      </c>
      <c r="D14924" s="4"/>
    </row>
    <row collapsed="" customFormat="false" customHeight="1" hidden="" ht="14" outlineLevel="0" r="14925">
      <c r="A14925" s="3" t="inlineStr">
        <is>
          <t>14881</t>
        </is>
      </c>
      <c r="B14925" s="4" t="s">
        <f>=HYPERLINK("http://anyluxury.ru/shop/odezhda/futbolki/futbolka-zhenskaya-crusader-women-oranzhevaya-03581400/" , "03581400 Футболка женская Crusader Women, оранжевая, размер XL")</f>
      </c>
      <c r="C14925" s="4" t="n">
        <v>635.00</v>
      </c>
      <c r="D14925" s="4"/>
    </row>
    <row collapsed="" customFormat="false" customHeight="1" hidden="" ht="14" outlineLevel="0" r="14926">
      <c r="A14926" s="3" t="inlineStr">
        <is>
          <t>14882</t>
        </is>
      </c>
      <c r="B14926" s="4" t="s">
        <f>=HYPERLINK("http://anyluxury.ru/shop/odezhda/futbolki/futbolka-zhenskaya-crusader-women-oranzhevaya-03581400/" , "03581400 Футболка женская Crusader Women, оранжевая, размер XXL")</f>
      </c>
      <c r="C14926" s="4" t="n">
        <v>635.00</v>
      </c>
      <c r="D14926" s="4"/>
    </row>
    <row collapsed="" customFormat="false" customHeight="1" hidden="" ht="14" outlineLevel="0" r="14927">
      <c r="A14927" s="3" t="inlineStr">
        <is>
          <t>14883</t>
        </is>
      </c>
      <c r="B14927" s="4" t="s">
        <f>=HYPERLINK("http://anyluxury.ru/shop/odezhda/futbolki/futbolka-zhenskaya-crusader-women-rozovaya-03581141/" , "03581141 Футболка женская Crusader Women, розовая, размер S")</f>
      </c>
      <c r="C14927" s="4" t="n">
        <v>635.00</v>
      </c>
      <c r="D14927" s="4"/>
    </row>
    <row collapsed="" customFormat="false" customHeight="1" hidden="" ht="14" outlineLevel="0" r="14928">
      <c r="A14928" s="3" t="inlineStr">
        <is>
          <t>14884</t>
        </is>
      </c>
      <c r="B14928" s="4" t="s">
        <f>=HYPERLINK("http://anyluxury.ru/shop/odezhda/futbolki/futbolka-zhenskaya-crusader-women-rozovaya-03581141/" , "03581141 Футболка женская Crusader Women, розовая, размер M")</f>
      </c>
      <c r="C14928" s="4" t="n">
        <v>635.00</v>
      </c>
      <c r="D14928" s="4"/>
    </row>
    <row collapsed="" customFormat="false" customHeight="1" hidden="" ht="14" outlineLevel="0" r="14929">
      <c r="A14929" s="3" t="inlineStr">
        <is>
          <t>14885</t>
        </is>
      </c>
      <c r="B14929" s="4" t="s">
        <f>=HYPERLINK("http://anyluxury.ru/shop/odezhda/futbolki/futbolka-zhenskaya-crusader-women-rozovaya-03581141/" , "03581141 Футболка женская Crusader Women, розовая, размер L")</f>
      </c>
      <c r="C14929" s="4" t="n">
        <v>635.00</v>
      </c>
      <c r="D14929" s="4"/>
    </row>
    <row collapsed="" customFormat="false" customHeight="1" hidden="" ht="14" outlineLevel="0" r="14930">
      <c r="A14930" s="3" t="inlineStr">
        <is>
          <t>14886</t>
        </is>
      </c>
      <c r="B14930" s="4" t="s">
        <f>=HYPERLINK("http://anyluxury.ru/shop/odezhda/futbolki/futbolka-zhenskaya-crusader-women-rozovaya-03581141/" , "03581141 Футболка женская Crusader Women, розовая, размер XL")</f>
      </c>
      <c r="C14930" s="4" t="n">
        <v>635.00</v>
      </c>
      <c r="D14930" s="4"/>
    </row>
    <row collapsed="" customFormat="false" customHeight="1" hidden="" ht="14" outlineLevel="0" r="14931">
      <c r="A14931" s="3" t="inlineStr">
        <is>
          <t>14887</t>
        </is>
      </c>
      <c r="B14931" s="4" t="s">
        <f>=HYPERLINK("http://anyluxury.ru/shop/odezhda/futbolki/futbolka-zhenskaya-crusader-women-rozovaya-03581141/" , "03581141 Футболка женская Crusader Women, розовая, размер XXL")</f>
      </c>
      <c r="C14931" s="4" t="n">
        <v>635.00</v>
      </c>
      <c r="D14931" s="4"/>
    </row>
    <row collapsed="" customFormat="false" customHeight="1" hidden="" ht="14" outlineLevel="0" r="14932">
      <c r="A14932" s="3" t="inlineStr">
        <is>
          <t>14888</t>
        </is>
      </c>
      <c r="B14932" s="4" t="s">
        <f>=HYPERLINK("http://anyluxury.ru/shop/odezhda/futbolki/futbolka-zhenskaya-crusader-women-krasnaya-03581145/" , "03581145 Футболка женская Crusader Women, красная, размер S")</f>
      </c>
      <c r="C14932" s="4" t="n">
        <v>635.00</v>
      </c>
      <c r="D14932" s="4"/>
    </row>
    <row collapsed="" customFormat="false" customHeight="1" hidden="" ht="14" outlineLevel="0" r="14933">
      <c r="A14933" s="3" t="inlineStr">
        <is>
          <t>14889</t>
        </is>
      </c>
      <c r="B14933" s="4" t="s">
        <f>=HYPERLINK("http://anyluxury.ru/shop/odezhda/futbolki/futbolka-zhenskaya-crusader-women-krasnaya-03581145/" , "03581145 Футболка женская Crusader Women, красная, размер M")</f>
      </c>
      <c r="C14933" s="4" t="n">
        <v>635.00</v>
      </c>
      <c r="D14933" s="4"/>
    </row>
    <row collapsed="" customFormat="false" customHeight="1" hidden="" ht="14" outlineLevel="0" r="14934">
      <c r="A14934" s="3" t="inlineStr">
        <is>
          <t>14890</t>
        </is>
      </c>
      <c r="B14934" s="4" t="s">
        <f>=HYPERLINK("http://anyluxury.ru/shop/odezhda/futbolki/futbolka-zhenskaya-crusader-women-krasnaya-03581145/" , "03581145 Футболка женская Crusader Women, красная, размер L")</f>
      </c>
      <c r="C14934" s="4" t="n">
        <v>635.00</v>
      </c>
      <c r="D14934" s="4"/>
    </row>
    <row collapsed="" customFormat="false" customHeight="1" hidden="" ht="14" outlineLevel="0" r="14935">
      <c r="A14935" s="3" t="inlineStr">
        <is>
          <t>14891</t>
        </is>
      </c>
      <c r="B14935" s="4" t="s">
        <f>=HYPERLINK("http://anyluxury.ru/shop/odezhda/futbolki/futbolka-zhenskaya-crusader-women-krasnaya-03581145/" , "03581145 Футболка женская Crusader Women, красная, размер XL")</f>
      </c>
      <c r="C14935" s="4" t="n">
        <v>635.00</v>
      </c>
      <c r="D14935" s="4"/>
    </row>
    <row collapsed="" customFormat="false" customHeight="1" hidden="" ht="14" outlineLevel="0" r="14936">
      <c r="A14936" s="3" t="inlineStr">
        <is>
          <t>14892</t>
        </is>
      </c>
      <c r="B14936" s="4" t="s">
        <f>=HYPERLINK("http://anyluxury.ru/shop/odezhda/futbolki/futbolka-zhenskaya-crusader-women-krasnaya-03581145/" , "03581145 Футболка женская Crusader Women, красная, размер XXL")</f>
      </c>
      <c r="C14936" s="4" t="n">
        <v>635.00</v>
      </c>
      <c r="D14936" s="4"/>
    </row>
    <row collapsed="" customFormat="false" customHeight="1" hidden="" ht="14" outlineLevel="0" r="14937">
      <c r="A14937" s="3" t="inlineStr">
        <is>
          <t>14893</t>
        </is>
      </c>
      <c r="B14937" s="4" t="s">
        <f>=HYPERLINK("http://anyluxury.ru/shop/odezhda/futbolki/futbolka-zhenskaya-crusader-women-krasnaya-03581145/" , "03581145 Футболка женская Crusader Women, красная, размер 3XL")</f>
      </c>
      <c r="C14937" s="4" t="n">
        <v>754.00</v>
      </c>
      <c r="D14937" s="4"/>
    </row>
    <row collapsed="" customFormat="false" customHeight="1" hidden="" ht="14" outlineLevel="0" r="14938">
      <c r="A14938" s="3" t="inlineStr">
        <is>
          <t>14894</t>
        </is>
      </c>
      <c r="B14938" s="4" t="s">
        <f>=HYPERLINK("http://anyluxury.ru/shop/odezhda/futbolki/futbolka-zhenskaya-crusader-women-yarkosinyaya-03581241/" , "03581241 Футболка женская Crusader Women, ярко-синяя, размер S")</f>
      </c>
      <c r="C14938" s="4" t="n">
        <v>635.00</v>
      </c>
      <c r="D14938" s="4"/>
    </row>
    <row collapsed="" customFormat="false" customHeight="1" hidden="" ht="14" outlineLevel="0" r="14939">
      <c r="A14939" s="3" t="inlineStr">
        <is>
          <t>14895</t>
        </is>
      </c>
      <c r="B14939" s="4" t="s">
        <f>=HYPERLINK("http://anyluxury.ru/shop/odezhda/futbolki/futbolka-zhenskaya-crusader-women-yarkosinyaya-03581241/" , "03581241 Футболка женская Crusader Women, ярко-синяя, размер M")</f>
      </c>
      <c r="C14939" s="4" t="n">
        <v>635.00</v>
      </c>
      <c r="D14939" s="4"/>
    </row>
    <row collapsed="" customFormat="false" customHeight="1" hidden="" ht="14" outlineLevel="0" r="14940">
      <c r="A14940" s="3" t="inlineStr">
        <is>
          <t>14896</t>
        </is>
      </c>
      <c r="B14940" s="4" t="s">
        <f>=HYPERLINK("http://anyluxury.ru/shop/odezhda/futbolki/futbolka-zhenskaya-crusader-women-yarkosinyaya-03581241/" , "03581241 Футболка женская Crusader Women, ярко-синяя, размер L")</f>
      </c>
      <c r="C14940" s="4" t="n">
        <v>635.00</v>
      </c>
      <c r="D14940" s="4"/>
    </row>
    <row collapsed="" customFormat="false" customHeight="1" hidden="" ht="14" outlineLevel="0" r="14941">
      <c r="A14941" s="3" t="inlineStr">
        <is>
          <t>14897</t>
        </is>
      </c>
      <c r="B14941" s="4" t="s">
        <f>=HYPERLINK("http://anyluxury.ru/shop/odezhda/futbolki/futbolka-zhenskaya-crusader-women-yarkosinyaya-03581241/" , "03581241 Футболка женская Crusader Women, ярко-синяя, размер XL")</f>
      </c>
      <c r="C14941" s="4" t="n">
        <v>635.00</v>
      </c>
      <c r="D14941" s="4"/>
    </row>
    <row collapsed="" customFormat="false" customHeight="1" hidden="" ht="14" outlineLevel="0" r="14942">
      <c r="A14942" s="3" t="inlineStr">
        <is>
          <t>14898</t>
        </is>
      </c>
      <c r="B14942" s="4" t="s">
        <f>=HYPERLINK("http://anyluxury.ru/shop/odezhda/futbolki/futbolka-zhenskaya-crusader-women-yarkosinyaya-03581241/" , "03581241 Футболка женская Crusader Women, ярко-синяя, размер XXL")</f>
      </c>
      <c r="C14942" s="4" t="n">
        <v>635.00</v>
      </c>
      <c r="D14942" s="4"/>
    </row>
    <row collapsed="" customFormat="false" customHeight="1" hidden="" ht="14" outlineLevel="0" r="14943">
      <c r="A14943" s="3" t="inlineStr">
        <is>
          <t>14899</t>
        </is>
      </c>
      <c r="B14943" s="4" t="s">
        <f>=HYPERLINK("http://anyluxury.ru/shop/odezhda/futbolki/futbolka-zhenskaya-crusader-women-yarkosinyaya-03581241/" , "03581241 Футболка женская Crusader Women, ярко-синяя, размер 3XL")</f>
      </c>
      <c r="C14943" s="4" t="n">
        <v>754.00</v>
      </c>
      <c r="D14943" s="4"/>
    </row>
    <row collapsed="" customFormat="false" customHeight="1" hidden="" ht="14" outlineLevel="0" r="14944">
      <c r="A14944" s="3" t="inlineStr">
        <is>
          <t>14900</t>
        </is>
      </c>
      <c r="B14944" s="4" t="s">
        <f>=HYPERLINK("http://anyluxury.ru/shop/odezhda/futbolki/futbolka-zhenskaya-crusader-women-belaya-03581102/" , "03581102 Футболка женская Crusader Women, белая, размер S")</f>
      </c>
      <c r="C14944" s="4" t="n">
        <v>563.00</v>
      </c>
      <c r="D14944" s="4"/>
    </row>
    <row collapsed="" customFormat="false" customHeight="1" hidden="" ht="14" outlineLevel="0" r="14945">
      <c r="A14945" s="3" t="inlineStr">
        <is>
          <t>14901</t>
        </is>
      </c>
      <c r="B14945" s="4" t="s">
        <f>=HYPERLINK("http://anyluxury.ru/shop/odezhda/futbolki/futbolka-zhenskaya-crusader-women-belaya-03581102/" , "03581102 Футболка женская Crusader Women, белая, размер M")</f>
      </c>
      <c r="C14945" s="4" t="n">
        <v>563.00</v>
      </c>
      <c r="D14945" s="4"/>
    </row>
    <row collapsed="" customFormat="false" customHeight="1" hidden="" ht="14" outlineLevel="0" r="14946">
      <c r="A14946" s="3" t="inlineStr">
        <is>
          <t>14902</t>
        </is>
      </c>
      <c r="B14946" s="4" t="s">
        <f>=HYPERLINK("http://anyluxury.ru/shop/odezhda/futbolki/futbolka-zhenskaya-crusader-women-belaya-03581102/" , "03581102 Футболка женская Crusader Women, белая, размер L")</f>
      </c>
      <c r="C14946" s="4" t="n">
        <v>563.00</v>
      </c>
      <c r="D14946" s="4"/>
    </row>
    <row collapsed="" customFormat="false" customHeight="1" hidden="" ht="14" outlineLevel="0" r="14947">
      <c r="A14947" s="3" t="inlineStr">
        <is>
          <t>14903</t>
        </is>
      </c>
      <c r="B14947" s="4" t="s">
        <f>=HYPERLINK("http://anyluxury.ru/shop/odezhda/futbolki/futbolka-zhenskaya-crusader-women-belaya-03581102/" , "03581102 Футболка женская Crusader Women, белая, размер XL")</f>
      </c>
      <c r="C14947" s="4" t="n">
        <v>563.00</v>
      </c>
      <c r="D14947" s="4"/>
    </row>
    <row collapsed="" customFormat="false" customHeight="1" hidden="" ht="14" outlineLevel="0" r="14948">
      <c r="A14948" s="3" t="inlineStr">
        <is>
          <t>14904</t>
        </is>
      </c>
      <c r="B14948" s="4" t="s">
        <f>=HYPERLINK("http://anyluxury.ru/shop/odezhda/futbolki/futbolka-zhenskaya-crusader-women-belaya-03581102/" , "03581102 Футболка женская Crusader Women, белая, размер XXL")</f>
      </c>
      <c r="C14948" s="4" t="n">
        <v>563.00</v>
      </c>
      <c r="D14948" s="4"/>
    </row>
    <row collapsed="" customFormat="false" customHeight="1" hidden="" ht="14" outlineLevel="0" r="14949">
      <c r="A14949" s="3" t="inlineStr">
        <is>
          <t>14905</t>
        </is>
      </c>
      <c r="B14949" s="4" t="s">
        <f>=HYPERLINK("http://anyluxury.ru/shop/odezhda/futbolki/futbolka-zhenskaya-crusader-women-belaya-03581102/" , "03581102 Футболка женская Crusader Women, белая, размер 3XL")</f>
      </c>
      <c r="C14949" s="4" t="n">
        <v>668.00</v>
      </c>
      <c r="D14949" s="4"/>
    </row>
    <row collapsed="" customFormat="false" customHeight="1" hidden="" ht="14" outlineLevel="0" r="14950">
      <c r="A14950" s="3" t="inlineStr">
        <is>
          <t>14906</t>
        </is>
      </c>
      <c r="B14950" s="4" t="s">
        <f>=HYPERLINK("http://anyluxury.ru/shop/odezhda/futbolki/futbolka-epic-chernaya-03564309/" , "03564309 Футболка Epic, черная, размер XS")</f>
      </c>
      <c r="C14950" s="4" t="n">
        <v>614.00</v>
      </c>
      <c r="D14950" s="4"/>
    </row>
    <row collapsed="" customFormat="false" customHeight="1" hidden="" ht="14" outlineLevel="0" r="14951">
      <c r="A14951" s="3" t="inlineStr">
        <is>
          <t>14907</t>
        </is>
      </c>
      <c r="B14951" s="4" t="s">
        <f>=HYPERLINK("http://anyluxury.ru/shop/odezhda/futbolki/futbolka-epic-chernaya-03564309/" , "03564309 Футболка Epic, черная, размер S")</f>
      </c>
      <c r="C14951" s="4" t="n">
        <v>614.00</v>
      </c>
      <c r="D14951" s="4"/>
    </row>
    <row collapsed="" customFormat="false" customHeight="1" hidden="" ht="14" outlineLevel="0" r="14952">
      <c r="A14952" s="3" t="inlineStr">
        <is>
          <t>14908</t>
        </is>
      </c>
      <c r="B14952" s="4" t="s">
        <f>=HYPERLINK("http://anyluxury.ru/shop/odezhda/futbolki/futbolka-epic-chernaya-03564309/" , "03564309 Футболка Epic, черная, размер M")</f>
      </c>
      <c r="C14952" s="4" t="n">
        <v>614.00</v>
      </c>
      <c r="D14952" s="4"/>
    </row>
    <row collapsed="" customFormat="false" customHeight="1" hidden="" ht="14" outlineLevel="0" r="14953">
      <c r="A14953" s="3" t="inlineStr">
        <is>
          <t>14909</t>
        </is>
      </c>
      <c r="B14953" s="4" t="s">
        <f>=HYPERLINK("http://anyluxury.ru/shop/odezhda/futbolki/futbolka-epic-chernaya-03564309/" , "03564309 Футболка Epic, черная, размер L")</f>
      </c>
      <c r="C14953" s="4" t="n">
        <v>614.00</v>
      </c>
      <c r="D14953" s="4"/>
    </row>
    <row collapsed="" customFormat="false" customHeight="1" hidden="" ht="14" outlineLevel="0" r="14954">
      <c r="A14954" s="3" t="inlineStr">
        <is>
          <t>14910</t>
        </is>
      </c>
      <c r="B14954" s="4" t="s">
        <f>=HYPERLINK("http://anyluxury.ru/shop/odezhda/futbolki/futbolka-epic-chernaya-03564309/" , "03564309 Футболка Epic, черная, размер XL")</f>
      </c>
      <c r="C14954" s="4" t="n">
        <v>614.00</v>
      </c>
      <c r="D14954" s="4"/>
    </row>
    <row collapsed="" customFormat="false" customHeight="1" hidden="" ht="14" outlineLevel="0" r="14955">
      <c r="A14955" s="3" t="inlineStr">
        <is>
          <t>14911</t>
        </is>
      </c>
      <c r="B14955" s="4" t="s">
        <f>=HYPERLINK("http://anyluxury.ru/shop/odezhda/futbolki/futbolka-epic-chernaya-03564309/" , "03564309 Футболка Epic, черная, размер XXL")</f>
      </c>
      <c r="C14955" s="4" t="n">
        <v>614.00</v>
      </c>
      <c r="D14955" s="4"/>
    </row>
    <row collapsed="" customFormat="false" customHeight="1" hidden="" ht="14" outlineLevel="0" r="14956">
      <c r="A14956" s="3" t="inlineStr">
        <is>
          <t>14912</t>
        </is>
      </c>
      <c r="B14956" s="4" t="s">
        <f>=HYPERLINK("http://anyluxury.ru/shop/odezhda/futbolki/futbolka-epic-chernaya-03564309/" , "03564309 Футболка Epic, черная, размер 3XL")</f>
      </c>
      <c r="C14956" s="4" t="n">
        <v>724.00</v>
      </c>
      <c r="D14956" s="4"/>
    </row>
    <row collapsed="" customFormat="false" customHeight="1" hidden="" ht="14" outlineLevel="0" r="14957">
      <c r="A14957" s="3" t="inlineStr">
        <is>
          <t>14913</t>
        </is>
      </c>
      <c r="B14957" s="4" t="s">
        <f>=HYPERLINK("http://anyluxury.ru/shop/odezhda/futbolki/futbolka-epic-chernaya-03564309/" , "03564309 Футболка Epic, черная, размер 4XL")</f>
      </c>
      <c r="C14957" s="4" t="n">
        <v>849.00</v>
      </c>
      <c r="D14957" s="4"/>
    </row>
    <row collapsed="" customFormat="false" customHeight="1" hidden="" ht="14" outlineLevel="0" r="14958">
      <c r="A14958" s="3" t="inlineStr">
        <is>
          <t>14914</t>
        </is>
      </c>
      <c r="B14958" s="4" t="s">
        <f>=HYPERLINK("http://anyluxury.ru/shop/odezhda/futbolki/futbolka-epic-temnosinyaya-03564319/" , "03564319 Футболка Epic, темно-синяя, размер XS")</f>
      </c>
      <c r="C14958" s="4" t="n">
        <v>614.00</v>
      </c>
      <c r="D14958" s="4"/>
    </row>
    <row collapsed="" customFormat="false" customHeight="1" hidden="" ht="14" outlineLevel="0" r="14959">
      <c r="A14959" s="3" t="inlineStr">
        <is>
          <t>14915</t>
        </is>
      </c>
      <c r="B14959" s="4" t="s">
        <f>=HYPERLINK("http://anyluxury.ru/shop/odezhda/futbolki/futbolka-epic-temnosinyaya-03564319/" , "03564319 Футболка Epic, темно-синяя, размер S")</f>
      </c>
      <c r="C14959" s="4" t="n">
        <v>614.00</v>
      </c>
      <c r="D14959" s="4"/>
    </row>
    <row collapsed="" customFormat="false" customHeight="1" hidden="" ht="14" outlineLevel="0" r="14960">
      <c r="A14960" s="3" t="inlineStr">
        <is>
          <t>14916</t>
        </is>
      </c>
      <c r="B14960" s="4" t="s">
        <f>=HYPERLINK("http://anyluxury.ru/shop/odezhda/futbolki/futbolka-epic-temnosinyaya-03564319/" , "03564319 Футболка Epic, темно-синяя, размер M")</f>
      </c>
      <c r="C14960" s="4" t="n">
        <v>614.00</v>
      </c>
      <c r="D14960" s="4"/>
    </row>
    <row collapsed="" customFormat="false" customHeight="1" hidden="" ht="14" outlineLevel="0" r="14961">
      <c r="A14961" s="3" t="inlineStr">
        <is>
          <t>14917</t>
        </is>
      </c>
      <c r="B14961" s="4" t="s">
        <f>=HYPERLINK("http://anyluxury.ru/shop/odezhda/futbolki/futbolka-epic-temnosinyaya-03564319/" , "03564319 Футболка Epic, темно-синяя, размер L")</f>
      </c>
      <c r="C14961" s="4" t="n">
        <v>614.00</v>
      </c>
      <c r="D14961" s="4"/>
    </row>
    <row collapsed="" customFormat="false" customHeight="1" hidden="" ht="14" outlineLevel="0" r="14962">
      <c r="A14962" s="3" t="inlineStr">
        <is>
          <t>14918</t>
        </is>
      </c>
      <c r="B14962" s="4" t="s">
        <f>=HYPERLINK("http://anyluxury.ru/shop/odezhda/futbolki/futbolka-epic-temnosinyaya-03564319/" , "03564319 Футболка Epic, темно-синяя, размер XL")</f>
      </c>
      <c r="C14962" s="4" t="n">
        <v>614.00</v>
      </c>
      <c r="D14962" s="4"/>
    </row>
    <row collapsed="" customFormat="false" customHeight="1" hidden="" ht="14" outlineLevel="0" r="14963">
      <c r="A14963" s="3" t="inlineStr">
        <is>
          <t>14919</t>
        </is>
      </c>
      <c r="B14963" s="4" t="s">
        <f>=HYPERLINK("http://anyluxury.ru/shop/odezhda/futbolki/futbolka-epic-temnosinyaya-03564319/" , "03564319 Футболка Epic, темно-синяя, размер XXL")</f>
      </c>
      <c r="C14963" s="4" t="n">
        <v>614.00</v>
      </c>
      <c r="D14963" s="4"/>
    </row>
    <row collapsed="" customFormat="false" customHeight="1" hidden="" ht="14" outlineLevel="0" r="14964">
      <c r="A14964" s="3" t="inlineStr">
        <is>
          <t>14920</t>
        </is>
      </c>
      <c r="B14964" s="4" t="s">
        <f>=HYPERLINK("http://anyluxury.ru/shop/odezhda/futbolki/futbolka-epic-temnosinyaya-03564319/" , "03564319 Футболка Epic, темно-синяя, размер 3XL")</f>
      </c>
      <c r="C14964" s="4" t="n">
        <v>724.00</v>
      </c>
      <c r="D14964" s="4"/>
    </row>
    <row collapsed="" customFormat="false" customHeight="1" hidden="" ht="14" outlineLevel="0" r="14965">
      <c r="A14965" s="3" t="inlineStr">
        <is>
          <t>14921</t>
        </is>
      </c>
      <c r="B14965" s="4" t="s">
        <f>=HYPERLINK("http://anyluxury.ru/shop/odezhda/futbolki/futbolka-epic-temnosinyaya-03564319/" , "03564319 Футболка Epic, темно-синяя, размер 4XL")</f>
      </c>
      <c r="C14965" s="4" t="n">
        <v>849.00</v>
      </c>
      <c r="D14965" s="4"/>
    </row>
    <row collapsed="" customFormat="false" customHeight="1" hidden="" ht="14" outlineLevel="0" r="14966">
      <c r="A14966" s="3" t="inlineStr">
        <is>
          <t>14922</t>
        </is>
      </c>
      <c r="B14966" s="4" t="s">
        <f>=HYPERLINK("http://anyluxury.ru/shop/odezhda/futbolki/futbolka-epic-seriy-melanzh-03564350/" , "03564350 Футболка Epic, серый меланж, размер XS")</f>
      </c>
      <c r="C14966" s="4" t="n">
        <v>614.00</v>
      </c>
      <c r="D14966" s="4"/>
    </row>
    <row collapsed="" customFormat="false" customHeight="1" hidden="" ht="14" outlineLevel="0" r="14967">
      <c r="A14967" s="3" t="inlineStr">
        <is>
          <t>14923</t>
        </is>
      </c>
      <c r="B14967" s="4" t="s">
        <f>=HYPERLINK("http://anyluxury.ru/shop/odezhda/futbolki/futbolka-epic-seriy-melanzh-03564350/" , "03564350 Футболка Epic, серый меланж, размер S")</f>
      </c>
      <c r="C14967" s="4" t="n">
        <v>614.00</v>
      </c>
      <c r="D14967" s="4"/>
    </row>
    <row collapsed="" customFormat="false" customHeight="1" hidden="" ht="14" outlineLevel="0" r="14968">
      <c r="A14968" s="3" t="inlineStr">
        <is>
          <t>14924</t>
        </is>
      </c>
      <c r="B14968" s="4" t="s">
        <f>=HYPERLINK("http://anyluxury.ru/shop/odezhda/futbolki/futbolka-epic-seriy-melanzh-03564350/" , "03564350 Футболка Epic, серый меланж, размер M")</f>
      </c>
      <c r="C14968" s="4" t="n">
        <v>614.00</v>
      </c>
      <c r="D14968" s="4"/>
    </row>
    <row collapsed="" customFormat="false" customHeight="1" hidden="" ht="14" outlineLevel="0" r="14969">
      <c r="A14969" s="3" t="inlineStr">
        <is>
          <t>14925</t>
        </is>
      </c>
      <c r="B14969" s="4" t="s">
        <f>=HYPERLINK("http://anyluxury.ru/shop/odezhda/futbolki/futbolka-epic-seriy-melanzh-03564350/" , "03564350 Футболка Epic, серый меланж, размер L")</f>
      </c>
      <c r="C14969" s="4" t="n">
        <v>614.00</v>
      </c>
      <c r="D14969" s="4"/>
    </row>
    <row collapsed="" customFormat="false" customHeight="1" hidden="" ht="14" outlineLevel="0" r="14970">
      <c r="A14970" s="3" t="inlineStr">
        <is>
          <t>14926</t>
        </is>
      </c>
      <c r="B14970" s="4" t="s">
        <f>=HYPERLINK("http://anyluxury.ru/shop/odezhda/futbolki/futbolka-epic-seriy-melanzh-03564350/" , "03564350 Футболка Epic, серый меланж, размер XL")</f>
      </c>
      <c r="C14970" s="4" t="n">
        <v>614.00</v>
      </c>
      <c r="D14970" s="4"/>
    </row>
    <row collapsed="" customFormat="false" customHeight="1" hidden="" ht="14" outlineLevel="0" r="14971">
      <c r="A14971" s="3" t="inlineStr">
        <is>
          <t>14927</t>
        </is>
      </c>
      <c r="B14971" s="4" t="s">
        <f>=HYPERLINK("http://anyluxury.ru/shop/odezhda/futbolki/futbolka-epic-seriy-melanzh-03564350/" , "03564350 Футболка Epic, серый меланж, размер XXL")</f>
      </c>
      <c r="C14971" s="4" t="n">
        <v>614.00</v>
      </c>
      <c r="D14971" s="4"/>
    </row>
    <row collapsed="" customFormat="false" customHeight="1" hidden="" ht="14" outlineLevel="0" r="14972">
      <c r="A14972" s="3" t="inlineStr">
        <is>
          <t>14928</t>
        </is>
      </c>
      <c r="B14972" s="4" t="s">
        <f>=HYPERLINK("http://anyluxury.ru/shop/odezhda/futbolki/futbolka-epic-seriy-melanzh-03564350/" , "03564350 Футболка Epic, серый меланж, размер 3XL")</f>
      </c>
      <c r="C14972" s="4" t="n">
        <v>724.00</v>
      </c>
      <c r="D14972" s="4"/>
    </row>
    <row collapsed="" customFormat="false" customHeight="1" hidden="" ht="14" outlineLevel="0" r="14973">
      <c r="A14973" s="3" t="inlineStr">
        <is>
          <t>14929</t>
        </is>
      </c>
      <c r="B14973" s="4" t="s">
        <f>=HYPERLINK("http://anyluxury.ru/shop/odezhda/futbolki/futbolka-epic-seriy-melanzh-03564350/" , "03564350 Футболка Epic, серый меланж, размер 4XL")</f>
      </c>
      <c r="C14973" s="4" t="n">
        <v>849.00</v>
      </c>
      <c r="D14973" s="4"/>
    </row>
    <row collapsed="" customFormat="false" customHeight="1" hidden="" ht="14" outlineLevel="0" r="14974">
      <c r="A14974" s="3" t="inlineStr">
        <is>
          <t>14930</t>
        </is>
      </c>
      <c r="B14974" s="4" t="s">
        <f>=HYPERLINK("http://anyluxury.ru/shop/odezhda/futbolki/futbolka-epic-krasnaya-03564145/" , "03564145 Футболка Epic, красная, размер XS")</f>
      </c>
      <c r="C14974" s="4" t="n">
        <v>614.00</v>
      </c>
      <c r="D14974" s="4"/>
    </row>
    <row collapsed="" customFormat="false" customHeight="1" hidden="" ht="14" outlineLevel="0" r="14975">
      <c r="A14975" s="3" t="inlineStr">
        <is>
          <t>14931</t>
        </is>
      </c>
      <c r="B14975" s="4" t="s">
        <f>=HYPERLINK("http://anyluxury.ru/shop/odezhda/futbolki/futbolka-epic-krasnaya-03564145/" , "03564145 Футболка Epic, красная, размер S")</f>
      </c>
      <c r="C14975" s="4" t="n">
        <v>614.00</v>
      </c>
      <c r="D14975" s="4"/>
    </row>
    <row collapsed="" customFormat="false" customHeight="1" hidden="" ht="14" outlineLevel="0" r="14976">
      <c r="A14976" s="3" t="inlineStr">
        <is>
          <t>14932</t>
        </is>
      </c>
      <c r="B14976" s="4" t="s">
        <f>=HYPERLINK("http://anyluxury.ru/shop/odezhda/futbolki/futbolka-epic-krasnaya-03564145/" , "03564145 Футболка Epic, красная, размер M")</f>
      </c>
      <c r="C14976" s="4" t="n">
        <v>614.00</v>
      </c>
      <c r="D14976" s="4"/>
    </row>
    <row collapsed="" customFormat="false" customHeight="1" hidden="" ht="14" outlineLevel="0" r="14977">
      <c r="A14977" s="3" t="inlineStr">
        <is>
          <t>14933</t>
        </is>
      </c>
      <c r="B14977" s="4" t="s">
        <f>=HYPERLINK("http://anyluxury.ru/shop/odezhda/futbolki/futbolka-epic-krasnaya-03564145/" , "03564145 Футболка Epic, красная, размер L")</f>
      </c>
      <c r="C14977" s="4" t="n">
        <v>614.00</v>
      </c>
      <c r="D14977" s="4"/>
    </row>
    <row collapsed="" customFormat="false" customHeight="1" hidden="" ht="14" outlineLevel="0" r="14978">
      <c r="A14978" s="3" t="inlineStr">
        <is>
          <t>14934</t>
        </is>
      </c>
      <c r="B14978" s="4" t="s">
        <f>=HYPERLINK("http://anyluxury.ru/shop/odezhda/futbolki/futbolka-epic-krasnaya-03564145/" , "03564145 Футболка Epic, красная, размер XL")</f>
      </c>
      <c r="C14978" s="4" t="n">
        <v>614.00</v>
      </c>
      <c r="D14978" s="4"/>
    </row>
    <row collapsed="" customFormat="false" customHeight="1" hidden="" ht="14" outlineLevel="0" r="14979">
      <c r="A14979" s="3" t="inlineStr">
        <is>
          <t>14935</t>
        </is>
      </c>
      <c r="B14979" s="4" t="s">
        <f>=HYPERLINK("http://anyluxury.ru/shop/odezhda/futbolki/futbolka-epic-krasnaya-03564145/" , "03564145 Футболка Epic, красная, размер XXL")</f>
      </c>
      <c r="C14979" s="4" t="n">
        <v>614.00</v>
      </c>
      <c r="D14979" s="4"/>
    </row>
    <row collapsed="" customFormat="false" customHeight="1" hidden="" ht="14" outlineLevel="0" r="14980">
      <c r="A14980" s="3" t="inlineStr">
        <is>
          <t>14936</t>
        </is>
      </c>
      <c r="B14980" s="4" t="s">
        <f>=HYPERLINK("http://anyluxury.ru/shop/odezhda/futbolki/futbolka-epic-krasnaya-03564145/" , "03564145 Футболка Epic, красная, размер 3XL")</f>
      </c>
      <c r="C14980" s="4" t="n">
        <v>724.00</v>
      </c>
      <c r="D14980" s="4"/>
    </row>
    <row collapsed="" customFormat="false" customHeight="1" hidden="" ht="14" outlineLevel="0" r="14981">
      <c r="A14981" s="3" t="inlineStr">
        <is>
          <t>14937</t>
        </is>
      </c>
      <c r="B14981" s="4" t="s">
        <f>=HYPERLINK("http://anyluxury.ru/shop/odezhda/futbolki/futbolka-epic-krasnaya-03564145/" , "03564145 Футболка Epic, красная, размер 4XL")</f>
      </c>
      <c r="C14981" s="4" t="n">
        <v>849.00</v>
      </c>
      <c r="D14981" s="4"/>
    </row>
    <row collapsed="" customFormat="false" customHeight="1" hidden="" ht="14" outlineLevel="0" r="14982">
      <c r="A14982" s="3" t="inlineStr">
        <is>
          <t>14938</t>
        </is>
      </c>
      <c r="B14982" s="4" t="s">
        <f>=HYPERLINK("http://anyluxury.ru/shop/odezhda/futbolki/futbolka-epic-yarkosinyaya-03564241/" , "03564241 Футболка Epic, ярко-синяя, размер XS")</f>
      </c>
      <c r="C14982" s="4" t="n">
        <v>614.00</v>
      </c>
      <c r="D14982" s="4"/>
    </row>
    <row collapsed="" customFormat="false" customHeight="1" hidden="" ht="14" outlineLevel="0" r="14983">
      <c r="A14983" s="3" t="inlineStr">
        <is>
          <t>14939</t>
        </is>
      </c>
      <c r="B14983" s="4" t="s">
        <f>=HYPERLINK("http://anyluxury.ru/shop/odezhda/futbolki/futbolka-epic-yarkosinyaya-03564241/" , "03564241 Футболка Epic, ярко-синяя, размер S")</f>
      </c>
      <c r="C14983" s="4" t="n">
        <v>614.00</v>
      </c>
      <c r="D14983" s="4"/>
    </row>
    <row collapsed="" customFormat="false" customHeight="1" hidden="" ht="14" outlineLevel="0" r="14984">
      <c r="A14984" s="3" t="inlineStr">
        <is>
          <t>14940</t>
        </is>
      </c>
      <c r="B14984" s="4" t="s">
        <f>=HYPERLINK("http://anyluxury.ru/shop/odezhda/futbolki/futbolka-epic-yarkosinyaya-03564241/" , "03564241 Футболка Epic, ярко-синяя, размер M")</f>
      </c>
      <c r="C14984" s="4" t="n">
        <v>614.00</v>
      </c>
      <c r="D14984" s="4"/>
    </row>
    <row collapsed="" customFormat="false" customHeight="1" hidden="" ht="14" outlineLevel="0" r="14985">
      <c r="A14985" s="3" t="inlineStr">
        <is>
          <t>14941</t>
        </is>
      </c>
      <c r="B14985" s="4" t="s">
        <f>=HYPERLINK("http://anyluxury.ru/shop/odezhda/futbolki/futbolka-epic-yarkosinyaya-03564241/" , "03564241 Футболка Epic, ярко-синяя, размер L")</f>
      </c>
      <c r="C14985" s="4" t="n">
        <v>614.00</v>
      </c>
      <c r="D14985" s="4"/>
    </row>
    <row collapsed="" customFormat="false" customHeight="1" hidden="" ht="14" outlineLevel="0" r="14986">
      <c r="A14986" s="3" t="inlineStr">
        <is>
          <t>14942</t>
        </is>
      </c>
      <c r="B14986" s="4" t="s">
        <f>=HYPERLINK("http://anyluxury.ru/shop/odezhda/futbolki/futbolka-epic-yarkosinyaya-03564241/" , "03564241 Футболка Epic, ярко-синяя, размер XL")</f>
      </c>
      <c r="C14986" s="4" t="n">
        <v>614.00</v>
      </c>
      <c r="D14986" s="4"/>
    </row>
    <row collapsed="" customFormat="false" customHeight="1" hidden="" ht="14" outlineLevel="0" r="14987">
      <c r="A14987" s="3" t="inlineStr">
        <is>
          <t>14943</t>
        </is>
      </c>
      <c r="B14987" s="4" t="s">
        <f>=HYPERLINK("http://anyluxury.ru/shop/odezhda/futbolki/futbolka-epic-yarkosinyaya-03564241/" , "03564241 Футболка Epic, ярко-синяя, размер XXL")</f>
      </c>
      <c r="C14987" s="4" t="n">
        <v>614.00</v>
      </c>
      <c r="D14987" s="4"/>
    </row>
    <row collapsed="" customFormat="false" customHeight="1" hidden="" ht="14" outlineLevel="0" r="14988">
      <c r="A14988" s="3" t="inlineStr">
        <is>
          <t>14944</t>
        </is>
      </c>
      <c r="B14988" s="4" t="s">
        <f>=HYPERLINK("http://anyluxury.ru/shop/odezhda/futbolki/futbolka-epic-yarkosinyaya-03564241/" , "03564241 Футболка Epic, ярко-синяя, размер 3XL")</f>
      </c>
      <c r="C14988" s="4" t="n">
        <v>724.00</v>
      </c>
      <c r="D14988" s="4"/>
    </row>
    <row collapsed="" customFormat="false" customHeight="1" hidden="" ht="14" outlineLevel="0" r="14989">
      <c r="A14989" s="3" t="inlineStr">
        <is>
          <t>14945</t>
        </is>
      </c>
      <c r="B14989" s="4" t="s">
        <f>=HYPERLINK("http://anyluxury.ru/shop/odezhda/futbolki/futbolka-epic-yarkosinyaya-03564241/" , "03564241 Футболка Epic, ярко-синяя, размер 4XL")</f>
      </c>
      <c r="C14989" s="4" t="n">
        <v>849.00</v>
      </c>
      <c r="D14989" s="4"/>
    </row>
    <row collapsed="" customFormat="false" customHeight="1" hidden="" ht="14" outlineLevel="0" r="14990">
      <c r="A14990" s="3" t="inlineStr">
        <is>
          <t>14946</t>
        </is>
      </c>
      <c r="B14990" s="4" t="s">
        <f>=HYPERLINK("http://anyluxury.ru/shop/odezhda/futbolki/futbolka-epic-belaya-03564102/" , "03564102 Футболка Epic, белая, размер XS")</f>
      </c>
      <c r="C14990" s="4" t="n">
        <v>529.00</v>
      </c>
      <c r="D14990" s="4"/>
    </row>
    <row collapsed="" customFormat="false" customHeight="1" hidden="" ht="14" outlineLevel="0" r="14991">
      <c r="A14991" s="3" t="inlineStr">
        <is>
          <t>14947</t>
        </is>
      </c>
      <c r="B14991" s="4" t="s">
        <f>=HYPERLINK("http://anyluxury.ru/shop/odezhda/futbolki/futbolka-epic-belaya-03564102/" , "03564102 Футболка Epic, белая, размер S")</f>
      </c>
      <c r="C14991" s="4" t="n">
        <v>529.00</v>
      </c>
      <c r="D14991" s="4"/>
    </row>
    <row collapsed="" customFormat="false" customHeight="1" hidden="" ht="14" outlineLevel="0" r="14992">
      <c r="A14992" s="3" t="inlineStr">
        <is>
          <t>14948</t>
        </is>
      </c>
      <c r="B14992" s="4" t="s">
        <f>=HYPERLINK("http://anyluxury.ru/shop/odezhda/futbolki/futbolka-epic-belaya-03564102/" , "03564102 Футболка Epic, белая, размер M")</f>
      </c>
      <c r="C14992" s="4" t="n">
        <v>529.00</v>
      </c>
      <c r="D14992" s="4"/>
    </row>
    <row collapsed="" customFormat="false" customHeight="1" hidden="" ht="14" outlineLevel="0" r="14993">
      <c r="A14993" s="3" t="inlineStr">
        <is>
          <t>14949</t>
        </is>
      </c>
      <c r="B14993" s="4" t="s">
        <f>=HYPERLINK("http://anyluxury.ru/shop/odezhda/futbolki/futbolka-epic-belaya-03564102/" , "03564102 Футболка Epic, белая, размер L")</f>
      </c>
      <c r="C14993" s="4" t="n">
        <v>529.00</v>
      </c>
      <c r="D14993" s="4"/>
    </row>
    <row collapsed="" customFormat="false" customHeight="1" hidden="" ht="14" outlineLevel="0" r="14994">
      <c r="A14994" s="3" t="inlineStr">
        <is>
          <t>14950</t>
        </is>
      </c>
      <c r="B14994" s="4" t="s">
        <f>=HYPERLINK("http://anyluxury.ru/shop/odezhda/futbolki/futbolka-epic-belaya-03564102/" , "03564102 Футболка Epic, белая, размер XL")</f>
      </c>
      <c r="C14994" s="4" t="n">
        <v>529.00</v>
      </c>
      <c r="D14994" s="4"/>
    </row>
    <row collapsed="" customFormat="false" customHeight="1" hidden="" ht="14" outlineLevel="0" r="14995">
      <c r="A14995" s="3" t="inlineStr">
        <is>
          <t>14951</t>
        </is>
      </c>
      <c r="B14995" s="4" t="s">
        <f>=HYPERLINK("http://anyluxury.ru/shop/odezhda/futbolki/futbolka-epic-belaya-03564102/" , "03564102 Футболка Epic, белая, размер XXL")</f>
      </c>
      <c r="C14995" s="4" t="n">
        <v>529.00</v>
      </c>
      <c r="D14995" s="4"/>
    </row>
    <row collapsed="" customFormat="false" customHeight="1" hidden="" ht="14" outlineLevel="0" r="14996">
      <c r="A14996" s="3" t="inlineStr">
        <is>
          <t>14952</t>
        </is>
      </c>
      <c r="B14996" s="4" t="s">
        <f>=HYPERLINK("http://anyluxury.ru/shop/odezhda/futbolki/futbolka-epic-belaya-03564102/" , "03564102 Футболка Epic, белая, размер 3XL")</f>
      </c>
      <c r="C14996" s="4" t="n">
        <v>627.00</v>
      </c>
      <c r="D14996" s="4"/>
    </row>
    <row collapsed="" customFormat="false" customHeight="1" hidden="" ht="14" outlineLevel="0" r="14997">
      <c r="A14997" s="3" t="inlineStr">
        <is>
          <t>14953</t>
        </is>
      </c>
      <c r="B14997" s="4" t="s">
        <f>=HYPERLINK("http://anyluxury.ru/shop/odezhda/futbolki/futbolka-epic-belaya-03564102/" , "03564102 Футболка Epic, белая, размер 4XL")</f>
      </c>
      <c r="C14997" s="4" t="n">
        <v>731.00</v>
      </c>
      <c r="D14997" s="4"/>
    </row>
    <row collapsed="" customFormat="false" customHeight="1" hidden="" ht="14" outlineLevel="0" r="14998">
      <c r="A14998" s="3" t="inlineStr">
        <is>
          <t>14954</t>
        </is>
      </c>
      <c r="B14998" s="4" t="s">
        <f>=HYPERLINK("http://anyluxury.ru/shop/odezhda/futbolki/futbolka-kosmos-sinyaya-1218044/" , "12180.44 Футболка Kosmos, синяя, размер S")</f>
      </c>
      <c r="C14998" s="4" t="n">
        <v>900.00</v>
      </c>
      <c r="D14998" s="4"/>
    </row>
    <row collapsed="" customFormat="false" customHeight="1" hidden="" ht="14" outlineLevel="0" r="14999">
      <c r="A14999" s="3" t="inlineStr">
        <is>
          <t>14955</t>
        </is>
      </c>
      <c r="B14999" s="4" t="s">
        <f>=HYPERLINK("http://anyluxury.ru/shop/odezhda/futbolki/futbolka-kosmos-sinyaya-1218044/" , "12180.44 Футболка Kosmos, синяя, размер M")</f>
      </c>
      <c r="C14999" s="4" t="n">
        <v>900.00</v>
      </c>
      <c r="D14999" s="4"/>
    </row>
    <row collapsed="" customFormat="false" customHeight="1" hidden="" ht="14" outlineLevel="0" r="15000">
      <c r="A15000" s="3" t="inlineStr">
        <is>
          <t>14956</t>
        </is>
      </c>
      <c r="B15000" s="4" t="s">
        <f>=HYPERLINK("http://anyluxury.ru/shop/odezhda/futbolki/futbolka-kosmos-temnosinyaya-1218040/" , "12180.40 Футболка Kosmos, темно-синяя, размер S")</f>
      </c>
      <c r="C15000" s="4" t="n">
        <v>900.00</v>
      </c>
      <c r="D15000" s="4"/>
    </row>
    <row collapsed="" customFormat="false" customHeight="1" hidden="" ht="14" outlineLevel="0" r="15001">
      <c r="A15001" s="3" t="inlineStr">
        <is>
          <t>14957</t>
        </is>
      </c>
      <c r="B15001" s="4" t="s">
        <f>=HYPERLINK("http://anyluxury.ru/shop/odezhda/futbolki/futbolka-kosmos-temnosinyaya-1218040/" , "12180.40 Футболка Kosmos, темно-синяя, размер M")</f>
      </c>
      <c r="C15001" s="4" t="n">
        <v>900.00</v>
      </c>
      <c r="D15001" s="4"/>
    </row>
    <row collapsed="" customFormat="false" customHeight="1" hidden="" ht="14" outlineLevel="0" r="15002">
      <c r="A15002" s="3" t="inlineStr">
        <is>
          <t>14958</t>
        </is>
      </c>
      <c r="B15002" s="4" t="s">
        <f>=HYPERLINK("http://anyluxury.ru/shop/odezhda/futbolki/futbolka-kosmos-seraya-1218010/" , "12180.10 Футболка Kosmos, серая, размер S")</f>
      </c>
      <c r="C15002" s="4" t="n">
        <v>900.00</v>
      </c>
      <c r="D15002" s="4"/>
    </row>
    <row collapsed="" customFormat="false" customHeight="1" hidden="" ht="14" outlineLevel="0" r="15003">
      <c r="A15003" s="3" t="inlineStr">
        <is>
          <t>14959</t>
        </is>
      </c>
      <c r="B15003" s="4" t="s">
        <f>=HYPERLINK("http://anyluxury.ru/shop/odezhda/futbolki/futbolka-kosmos-seraya-1218010/" , "12180.10 Футболка Kosmos, серая, размер M")</f>
      </c>
      <c r="C15003" s="4" t="n">
        <v>900.00</v>
      </c>
      <c r="D15003" s="4"/>
    </row>
    <row collapsed="" customFormat="false" customHeight="1" hidden="" ht="14" outlineLevel="0" r="15004">
      <c r="A15004" s="3" t="inlineStr">
        <is>
          <t>14960</t>
        </is>
      </c>
      <c r="B15004" s="4" t="s">
        <f>=HYPERLINK("http://anyluxury.ru/shop/odezhda/futbolki/futbolka-kosmos-krasnaya-1218055/" , "12180.55 Футболка Kosmos, красная, размер S")</f>
      </c>
      <c r="C15004" s="4" t="n">
        <v>900.00</v>
      </c>
      <c r="D15004" s="4"/>
    </row>
    <row collapsed="" customFormat="false" customHeight="1" hidden="" ht="14" outlineLevel="0" r="15005">
      <c r="A15005" s="3" t="inlineStr">
        <is>
          <t>14961</t>
        </is>
      </c>
      <c r="B15005" s="4" t="s">
        <f>=HYPERLINK("http://anyluxury.ru/shop/odezhda/futbolki/futbolka-kosmos-krasnaya-1218055/" , "12180.55 Футболка Kosmos, красная, размер M")</f>
      </c>
      <c r="C15005" s="4" t="n">
        <v>900.00</v>
      </c>
      <c r="D15005" s="4"/>
    </row>
    <row collapsed="" customFormat="false" customHeight="1" hidden="" ht="14" outlineLevel="0" r="15006">
      <c r="A15006" s="3" t="inlineStr">
        <is>
          <t>14962</t>
        </is>
      </c>
      <c r="B15006" s="4" t="s">
        <f>=HYPERLINK("http://anyluxury.ru/shop/odezhda/futbolki/futbolka-kosmos-krasnaya-1218055/" , "12180.55 Футболка Kosmos, красная, размер XL")</f>
      </c>
      <c r="C15006" s="4" t="n">
        <v>900.00</v>
      </c>
      <c r="D15006" s="4"/>
    </row>
    <row collapsed="" customFormat="false" customHeight="1" hidden="" ht="14" outlineLevel="0" r="15007">
      <c r="A15007" s="3" t="inlineStr">
        <is>
          <t>14963</t>
        </is>
      </c>
      <c r="B15007" s="4" t="s">
        <f>=HYPERLINK("http://anyluxury.ru/shop/odezhda/futbolki/futbolka-vozduh-sinyaya-1218444/" , "12184.44 Футболка Vozduh, синяя, размер S")</f>
      </c>
      <c r="C15007" s="4" t="n">
        <v>900.00</v>
      </c>
      <c r="D15007" s="4"/>
    </row>
    <row collapsed="" customFormat="false" customHeight="1" hidden="" ht="14" outlineLevel="0" r="15008">
      <c r="A15008" s="3" t="inlineStr">
        <is>
          <t>14964</t>
        </is>
      </c>
      <c r="B15008" s="4" t="s">
        <f>=HYPERLINK("http://anyluxury.ru/shop/odezhda/futbolki/futbolka-vozduh-sinyaya-1218444/" , "12184.44 Футболка Vozduh, синяя, размер M")</f>
      </c>
      <c r="C15008" s="4" t="n">
        <v>900.00</v>
      </c>
      <c r="D15008" s="4"/>
    </row>
    <row collapsed="" customFormat="false" customHeight="1" hidden="" ht="14" outlineLevel="0" r="15009">
      <c r="A15009" s="3" t="inlineStr">
        <is>
          <t>14965</t>
        </is>
      </c>
      <c r="B15009" s="4" t="s">
        <f>=HYPERLINK("http://anyluxury.ru/shop/odezhda/futbolki/futbolka-vozduh-sinyaya-1218444/" , "12184.44 Футболка Vozduh, синяя, размер XL")</f>
      </c>
      <c r="C15009" s="4" t="n">
        <v>900.00</v>
      </c>
      <c r="D15009" s="4"/>
    </row>
    <row collapsed="" customFormat="false" customHeight="1" hidden="" ht="14" outlineLevel="0" r="15010">
      <c r="A15010" s="3" t="inlineStr">
        <is>
          <t>14966</t>
        </is>
      </c>
      <c r="B15010" s="4" t="s">
        <f>=HYPERLINK("http://anyluxury.ru/shop/odezhda/futbolki/futbolka-vozduh-temnosinyaya-1218440/" , "12184.40 Футболка Vozduh, темно-синяя, размер S")</f>
      </c>
      <c r="C15010" s="4" t="n">
        <v>900.00</v>
      </c>
      <c r="D15010" s="4"/>
    </row>
    <row collapsed="" customFormat="false" customHeight="1" hidden="" ht="14" outlineLevel="0" r="15011">
      <c r="A15011" s="3" t="inlineStr">
        <is>
          <t>14967</t>
        </is>
      </c>
      <c r="B15011" s="4" t="s">
        <f>=HYPERLINK("http://anyluxury.ru/shop/odezhda/futbolki/futbolka-vozduh-temnosinyaya-1218440/" , "12184.40 Футболка Vozduh, темно-синяя, размер M")</f>
      </c>
      <c r="C15011" s="4" t="n">
        <v>900.00</v>
      </c>
      <c r="D15011" s="4"/>
    </row>
    <row collapsed="" customFormat="false" customHeight="1" hidden="" ht="14" outlineLevel="0" r="15012">
      <c r="A15012" s="3" t="inlineStr">
        <is>
          <t>14968</t>
        </is>
      </c>
      <c r="B15012" s="4" t="s">
        <f>=HYPERLINK("http://anyluxury.ru/shop/odezhda/futbolki/futbolka-vozduh-temnosinyaya-1218440/" , "12184.40 Футболка Vozduh, темно-синяя, размер XL")</f>
      </c>
      <c r="C15012" s="4" t="n">
        <v>900.00</v>
      </c>
      <c r="D15012" s="4"/>
    </row>
    <row collapsed="" customFormat="false" customHeight="1" hidden="" ht="14" outlineLevel="0" r="15013">
      <c r="A15013" s="3" t="inlineStr">
        <is>
          <t>14969</t>
        </is>
      </c>
      <c r="B15013" s="4" t="s">
        <f>=HYPERLINK("http://anyluxury.ru/shop/odezhda/futbolki/futbolka-vozduh-temnobiryuzovaya-1218442/" , "12184.42 Футболка Vozduh, темно-бирюзовая, размер S")</f>
      </c>
      <c r="C15013" s="4" t="n">
        <v>900.00</v>
      </c>
      <c r="D15013" s="4"/>
    </row>
    <row collapsed="" customFormat="false" customHeight="1" hidden="" ht="14" outlineLevel="0" r="15014">
      <c r="A15014" s="3" t="inlineStr">
        <is>
          <t>14970</t>
        </is>
      </c>
      <c r="B15014" s="4" t="s">
        <f>=HYPERLINK("http://anyluxury.ru/shop/odezhda/futbolki/futbolka-vozduh-temnobiryuzovaya-1218442/" , "12184.42 Футболка Vozduh, темно-бирюзовая, размер M")</f>
      </c>
      <c r="C15014" s="4" t="n">
        <v>900.00</v>
      </c>
      <c r="D15014" s="4"/>
    </row>
    <row collapsed="" customFormat="false" customHeight="1" hidden="" ht="14" outlineLevel="0" r="15015">
      <c r="A15015" s="3" t="inlineStr">
        <is>
          <t>14971</t>
        </is>
      </c>
      <c r="B15015" s="4" t="s">
        <f>=HYPERLINK("http://anyluxury.ru/shop/odezhda/futbolki/futbolka-vozduh-seraya-1218410/" , "12184.10 Футболка Vozduh, серая, размер S")</f>
      </c>
      <c r="C15015" s="4" t="n">
        <v>900.00</v>
      </c>
      <c r="D15015" s="4"/>
    </row>
    <row collapsed="" customFormat="false" customHeight="1" hidden="" ht="14" outlineLevel="0" r="15016">
      <c r="A15016" s="3" t="inlineStr">
        <is>
          <t>14972</t>
        </is>
      </c>
      <c r="B15016" s="4" t="s">
        <f>=HYPERLINK("http://anyluxury.ru/shop/odezhda/futbolki/futbolka-vozduh-seraya-1218410/" , "12184.10 Футболка Vozduh, серая, размер M")</f>
      </c>
      <c r="C15016" s="4" t="n">
        <v>900.00</v>
      </c>
      <c r="D15016" s="4"/>
    </row>
    <row collapsed="" customFormat="false" customHeight="1" hidden="" ht="14" outlineLevel="0" r="15017">
      <c r="A15017" s="3" t="inlineStr">
        <is>
          <t>14973</t>
        </is>
      </c>
      <c r="B15017" s="4" t="s">
        <f>=HYPERLINK("http://anyluxury.ru/shop/odezhda/futbolki/futbolka-vozduh-krasnaya-1218455/" , "12184.55 Футболка Vozduh, красная, размер S")</f>
      </c>
      <c r="C15017" s="4" t="n">
        <v>900.00</v>
      </c>
      <c r="D15017" s="4"/>
    </row>
    <row collapsed="" customFormat="false" customHeight="1" hidden="" ht="14" outlineLevel="0" r="15018">
      <c r="A15018" s="3" t="inlineStr">
        <is>
          <t>14974</t>
        </is>
      </c>
      <c r="B15018" s="4" t="s">
        <f>=HYPERLINK("http://anyluxury.ru/shop/odezhda/futbolki/futbolka-vozduh-krasnaya-1218455/" , "12184.55 Футболка Vozduh, красная, размер M")</f>
      </c>
      <c r="C15018" s="4" t="n">
        <v>900.00</v>
      </c>
      <c r="D15018" s="4"/>
    </row>
    <row collapsed="" customFormat="false" customHeight="1" hidden="" ht="14" outlineLevel="0" r="15019">
      <c r="A15019" s="3" t="inlineStr">
        <is>
          <t>14975</t>
        </is>
      </c>
      <c r="B15019" s="4" t="s">
        <f>=HYPERLINK("http://anyluxury.ru/shop/odezhda/futbolki/futbolka-vozduh-krasnaya-1218455/" , "12184.55 Футболка Vozduh, красная, размер L")</f>
      </c>
      <c r="C15019" s="4" t="n">
        <v>900.00</v>
      </c>
      <c r="D15019" s="4"/>
    </row>
    <row collapsed="" customFormat="false" customHeight="1" hidden="" ht="14" outlineLevel="0" r="15020">
      <c r="A15020" s="3" t="inlineStr">
        <is>
          <t>14976</t>
        </is>
      </c>
      <c r="B15020" s="4" t="s">
        <f>=HYPERLINK("http://anyluxury.ru/shop/odezhda/futbolki/futbolka-vozduh-krasnaya-1218455/" , "12184.55 Футболка Vozduh, красная, размер XL")</f>
      </c>
      <c r="C15020" s="4" t="n">
        <v>900.00</v>
      </c>
      <c r="D15020" s="4"/>
    </row>
    <row collapsed="" customFormat="false" customHeight="1" hidden="" ht="14" outlineLevel="0" r="15021">
      <c r="A15021" s="3" t="inlineStr">
        <is>
          <t>14977</t>
        </is>
      </c>
      <c r="B15021" s="4" t="s">
        <f>=HYPERLINK("http://anyluxury.ru/shop/odezhda/futbolki/futbolka-oversayz-slope-chernaya-1396130/" , "13961.30 Футболка оверсайз Slope, черная, размер ХS/S")</f>
      </c>
      <c r="C15021" s="4" t="n">
        <v>1300.00</v>
      </c>
      <c r="D15021" s="4"/>
    </row>
    <row collapsed="" customFormat="false" customHeight="1" hidden="" ht="14" outlineLevel="0" r="15022">
      <c r="A15022" s="3" t="inlineStr">
        <is>
          <t>14978</t>
        </is>
      </c>
      <c r="B15022" s="4" t="s">
        <f>=HYPERLINK("http://anyluxury.ru/shop/odezhda/futbolki/futbolka-oversayz-slope-chernaya-1396130/" , "13961.30 Футболка оверсайз Slope, черная, размер ХL/ХХL")</f>
      </c>
      <c r="C15022" s="4" t="n">
        <v>1300.00</v>
      </c>
      <c r="D15022" s="4"/>
    </row>
    <row collapsed="" customFormat="false" customHeight="1" hidden="" ht="14" outlineLevel="0" r="15023">
      <c r="A15023" s="3" t="inlineStr">
        <is>
          <t>14979</t>
        </is>
      </c>
      <c r="B15023" s="4" t="s">
        <f>=HYPERLINK("http://anyluxury.ru/shop/odezhda/futbolki/futbolka-oversayz-slope-temnosinyaya-1396140/" , "13961.40 Футболка оверсайз Slope, темно-синяя, размер ХS/S")</f>
      </c>
      <c r="C15023" s="4" t="n">
        <v>1300.00</v>
      </c>
      <c r="D15023" s="4"/>
    </row>
    <row collapsed="" customFormat="false" customHeight="1" hidden="" ht="14" outlineLevel="0" r="15024">
      <c r="A15024" s="3" t="inlineStr">
        <is>
          <t>14980</t>
        </is>
      </c>
      <c r="B15024" s="4" t="s">
        <f>=HYPERLINK("http://anyluxury.ru/shop/odezhda/futbolki/futbolka-oversayz-slope-temnosinyaya-1396140/" , "13961.40 Футболка оверсайз Slope, темно-синяя, размер M/L")</f>
      </c>
      <c r="C15024" s="4" t="n">
        <v>1300.00</v>
      </c>
      <c r="D15024" s="4"/>
    </row>
    <row collapsed="" customFormat="false" customHeight="1" hidden="" ht="14" outlineLevel="0" r="15025">
      <c r="A15025" s="3" t="inlineStr">
        <is>
          <t>14981</t>
        </is>
      </c>
      <c r="B15025" s="4" t="s">
        <f>=HYPERLINK("http://anyluxury.ru/shop/odezhda/futbolki/futbolka-oversayz-slope-temnosinyaya-1396140/" , "13961.40 Футболка оверсайз Slope, темно-синяя, размер ХL/ХХL")</f>
      </c>
      <c r="C15025" s="4" t="n">
        <v>1300.00</v>
      </c>
      <c r="D15025" s="4"/>
    </row>
    <row collapsed="" customFormat="false" customHeight="1" hidden="" ht="14" outlineLevel="0" r="15026">
      <c r="A15026" s="3" t="inlineStr">
        <is>
          <t>14982</t>
        </is>
      </c>
      <c r="B15026" s="4" t="s">
        <f>=HYPERLINK("http://anyluxury.ru/shop/odezhda/futbolki/futbolka-oversayz-slope-temnoseraya-1396111/" , "13961.11 Футболка оверсайз Slope, темно-серая, размер ХS/S")</f>
      </c>
      <c r="C15026" s="4" t="n">
        <v>1300.00</v>
      </c>
      <c r="D15026" s="4"/>
    </row>
    <row collapsed="" customFormat="false" customHeight="1" hidden="" ht="14" outlineLevel="0" r="15027">
      <c r="A15027" s="3" t="inlineStr">
        <is>
          <t>14983</t>
        </is>
      </c>
      <c r="B15027" s="4" t="s">
        <f>=HYPERLINK("http://anyluxury.ru/shop/odezhda/futbolki/futbolka-oversayz-slope-temnoseraya-1396111/" , "13961.11 Футболка оверсайз Slope, темно-серая, размер M/L")</f>
      </c>
      <c r="C15027" s="4" t="n">
        <v>1300.00</v>
      </c>
      <c r="D15027" s="4"/>
    </row>
    <row collapsed="" customFormat="false" customHeight="1" hidden="" ht="14" outlineLevel="0" r="15028">
      <c r="A15028" s="3" t="inlineStr">
        <is>
          <t>14984</t>
        </is>
      </c>
      <c r="B15028" s="4" t="s">
        <f>=HYPERLINK("http://anyluxury.ru/shop/odezhda/futbolki/futbolka-oversayz-slope-belaya-1396161/" , "13961.61 Футболка оверсайз Slope, белая, размер ХS/S")</f>
      </c>
      <c r="C15028" s="4" t="n">
        <v>1300.00</v>
      </c>
      <c r="D15028" s="4"/>
    </row>
    <row collapsed="" customFormat="false" customHeight="1" hidden="" ht="14" outlineLevel="0" r="15029">
      <c r="A15029" s="3" t="inlineStr">
        <is>
          <t>14985</t>
        </is>
      </c>
      <c r="B15029" s="4" t="s">
        <f>=HYPERLINK("http://anyluxury.ru/shop/odezhda/futbolki/futbolka-oversayz-slope-belaya-1396161/" , "13961.61 Футболка оверсайз Slope, белая, размер ХL/ХХL")</f>
      </c>
      <c r="C15029" s="4" t="n">
        <v>1300.00</v>
      </c>
      <c r="D15029" s="4"/>
    </row>
    <row collapsed="" customFormat="false" customHeight="1" hidden="" ht="14" outlineLevel="0" r="15030">
      <c r="A15030" s="3" t="inlineStr">
        <is>
          <t>14986</t>
        </is>
      </c>
      <c r="B15030" s="4" t="s">
        <f>=HYPERLINK("http://anyluxury.ru/shop/odezhda/futbolki/futbolka-oversayz-slope-rozovaya-1396115/" , "13961.15 Футболка оверсайз Slope, розовая, размер ХL/ХХL")</f>
      </c>
      <c r="C15030" s="4" t="n">
        <v>1300.00</v>
      </c>
      <c r="D15030" s="4"/>
    </row>
    <row collapsed="" customFormat="false" customHeight="1" hidden="" ht="14" outlineLevel="0" r="15031">
      <c r="A15031" s="3" t="inlineStr">
        <is>
          <t>14987</t>
        </is>
      </c>
      <c r="B15031" s="4" t="s">
        <f>=HYPERLINK("http://anyluxury.ru/shop/odezhda/futbolki/futbolka-oversayz-slope-biryuzovaya-morskaya-volna-1396149/" , "13961.49 Футболка оверсайз Slope, бирюзовая (морская волна), размер ХS/S")</f>
      </c>
      <c r="C15031" s="4" t="n">
        <v>1300.00</v>
      </c>
      <c r="D15031" s="4"/>
    </row>
    <row collapsed="" customFormat="false" customHeight="1" hidden="" ht="14" outlineLevel="0" r="15032">
      <c r="A15032" s="3" t="inlineStr">
        <is>
          <t>14988</t>
        </is>
      </c>
      <c r="B15032" s="4" t="s">
        <f>=HYPERLINK("http://anyluxury.ru/shop/odezhda/futbolki/futbolka-oversayz-chistaya-sol-chernaya-7117030/" , "71170.30 Футболка оверсайз «Чистая Соль», черная, размер XS/S")</f>
      </c>
      <c r="C15032" s="4" t="n">
        <v>1260.00</v>
      </c>
      <c r="D15032" s="4"/>
    </row>
    <row collapsed="" customFormat="false" customHeight="1" hidden="" ht="14" outlineLevel="0" r="15033">
      <c r="A15033" s="3" t="inlineStr">
        <is>
          <t>14989</t>
        </is>
      </c>
      <c r="B15033" s="4" t="s">
        <f>=HYPERLINK("http://anyluxury.ru/shop/odezhda/futbolki/futbolka-oversayz-chistaya-sol-chernaya-7117030/" , "71170.30 Футболка оверсайз «Чистая Соль», черная, размер M/L")</f>
      </c>
      <c r="C15033" s="4" t="n">
        <v>1260.00</v>
      </c>
      <c r="D15033" s="4"/>
    </row>
    <row collapsed="" customFormat="false" customHeight="1" hidden="" ht="14" outlineLevel="0" r="15034">
      <c r="A15034" s="3" t="inlineStr">
        <is>
          <t>14990</t>
        </is>
      </c>
      <c r="B15034" s="4" t="s">
        <f>=HYPERLINK("http://anyluxury.ru/shop/odezhda/futbolki/futbolka-oversayz-chistaya-sol-chernaya-7117030/" , "71170.30 Футболка оверсайз «Чистая Соль», черная, размер XL/XXL")</f>
      </c>
      <c r="C15034" s="4" t="n">
        <v>1260.00</v>
      </c>
      <c r="D15034" s="4"/>
    </row>
    <row collapsed="" customFormat="false" customHeight="1" hidden="" ht="14" outlineLevel="0" r="15035">
      <c r="A15035" s="3" t="inlineStr">
        <is>
          <t>14991</t>
        </is>
      </c>
      <c r="B15035" s="4" t="s">
        <f>=HYPERLINK("http://anyluxury.ru/shop/odezhda/futbolki/futbolka-oversayz-chistaya-sol-molochnobelaya-7117061/" , "71170.61 Футболка оверсайз «Чистая Соль», молочно-белая, размер XS/S")</f>
      </c>
      <c r="C15035" s="4" t="n">
        <v>1260.00</v>
      </c>
      <c r="D15035" s="4"/>
    </row>
    <row collapsed="" customFormat="false" customHeight="1" hidden="" ht="14" outlineLevel="0" r="15036">
      <c r="A15036" s="3" t="inlineStr">
        <is>
          <t>14992</t>
        </is>
      </c>
      <c r="B15036" s="4" t="s">
        <f>=HYPERLINK("http://anyluxury.ru/shop/odezhda/futbolki/futbolka-oversayz-chistaya-sol-molochnobelaya-7117061/" , "71170.61 Футболка оверсайз «Чистая Соль», молочно-белая, размер M/L")</f>
      </c>
      <c r="C15036" s="4" t="n">
        <v>1260.00</v>
      </c>
      <c r="D15036" s="4"/>
    </row>
    <row collapsed="" customFormat="false" customHeight="1" hidden="" ht="14" outlineLevel="0" r="15037">
      <c r="A15037" s="3" t="inlineStr">
        <is>
          <t>14993</t>
        </is>
      </c>
      <c r="B15037" s="4" t="s">
        <f>=HYPERLINK("http://anyluxury.ru/shop/odezhda/futbolki/futbolka-oversayz-chistaya-sol-molochnobelaya-7117061/" , "71170.61 Футболка оверсайз «Чистая Соль», молочно-белая, размер XL/XXL")</f>
      </c>
      <c r="C15037" s="4" t="n">
        <v>1260.00</v>
      </c>
      <c r="D15037" s="4"/>
    </row>
    <row collapsed="" customFormat="false" customHeight="1" hidden="" ht="14" outlineLevel="0" r="15038">
      <c r="A15038" s="3" t="inlineStr">
        <is>
          <t>14994</t>
        </is>
      </c>
      <c r="B15038" s="4" t="s">
        <f>=HYPERLINK("http://anyluxury.ru/shop/odezhda/futbolki/futbolka-oversayz-muzhskaya-boxy-men-chernaya-03806309/" , "03806309 Футболка оверсайз мужская Boxy Men, черная, размер S")</f>
      </c>
      <c r="C15038" s="4" t="n">
        <v>1524.00</v>
      </c>
      <c r="D15038" s="4"/>
    </row>
    <row collapsed="" customFormat="false" customHeight="1" hidden="" ht="14" outlineLevel="0" r="15039">
      <c r="A15039" s="3" t="inlineStr">
        <is>
          <t>14995</t>
        </is>
      </c>
      <c r="B15039" s="4" t="s">
        <f>=HYPERLINK("http://anyluxury.ru/shop/odezhda/futbolki/futbolka-oversayz-muzhskaya-boxy-men-chernaya-03806309/" , "03806309 Футболка оверсайз мужская Boxy Men, черная, размер M")</f>
      </c>
      <c r="C15039" s="4" t="n">
        <v>1524.00</v>
      </c>
      <c r="D15039" s="4"/>
    </row>
    <row collapsed="" customFormat="false" customHeight="1" hidden="" ht="14" outlineLevel="0" r="15040">
      <c r="A15040" s="3" t="inlineStr">
        <is>
          <t>14996</t>
        </is>
      </c>
      <c r="B15040" s="4" t="s">
        <f>=HYPERLINK("http://anyluxury.ru/shop/odezhda/futbolki/futbolka-oversayz-muzhskaya-boxy-men-chernaya-03806309/" , "03806309 Футболка оверсайз мужская Boxy Men, черная, размер L")</f>
      </c>
      <c r="C15040" s="4" t="n">
        <v>1524.00</v>
      </c>
      <c r="D15040" s="4"/>
    </row>
    <row collapsed="" customFormat="false" customHeight="1" hidden="" ht="14" outlineLevel="0" r="15041">
      <c r="A15041" s="3" t="inlineStr">
        <is>
          <t>14997</t>
        </is>
      </c>
      <c r="B15041" s="4" t="s">
        <f>=HYPERLINK("http://anyluxury.ru/shop/odezhda/futbolki/futbolka-oversayz-muzhskaya-boxy-men-chernaya-03806309/" , "03806309 Футболка оверсайз мужская Boxy Men, черная, размер XL")</f>
      </c>
      <c r="C15041" s="4" t="n">
        <v>1524.00</v>
      </c>
      <c r="D15041" s="4"/>
    </row>
    <row collapsed="" customFormat="false" customHeight="1" hidden="" ht="14" outlineLevel="0" r="15042">
      <c r="A15042" s="3" t="inlineStr">
        <is>
          <t>14998</t>
        </is>
      </c>
      <c r="B15042" s="4" t="s">
        <f>=HYPERLINK("http://anyluxury.ru/shop/odezhda/futbolki/futbolka-oversayz-muzhskaya-boxy-men-chernaya-03806309/" , "03806309 Футболка оверсайз мужская Boxy Men, черная, размер XXL")</f>
      </c>
      <c r="C15042" s="4" t="n">
        <v>1524.00</v>
      </c>
      <c r="D15042" s="4"/>
    </row>
    <row collapsed="" customFormat="false" customHeight="1" hidden="" ht="14" outlineLevel="0" r="15043">
      <c r="A15043" s="3" t="inlineStr">
        <is>
          <t>14999</t>
        </is>
      </c>
      <c r="B15043" s="4" t="s">
        <f>=HYPERLINK("http://anyluxury.ru/shop/odezhda/futbolki/futbolka-oversayz-muzhskaya-boxy-men-temnosinyaya-03806319/" , "03806319 Футболка оверсайз мужская Boxy Men, темно-синяя, размер S")</f>
      </c>
      <c r="C15043" s="4" t="n">
        <v>1524.00</v>
      </c>
      <c r="D15043" s="4"/>
    </row>
    <row collapsed="" customFormat="false" customHeight="1" hidden="" ht="14" outlineLevel="0" r="15044">
      <c r="A15044" s="3" t="inlineStr">
        <is>
          <t>15000</t>
        </is>
      </c>
      <c r="B15044" s="4" t="s">
        <f>=HYPERLINK("http://anyluxury.ru/shop/odezhda/futbolki/futbolka-oversayz-muzhskaya-boxy-men-temnosinyaya-03806319/" , "03806319 Футболка оверсайз мужская Boxy Men, темно-синяя, размер M")</f>
      </c>
      <c r="C15044" s="4" t="n">
        <v>1524.00</v>
      </c>
      <c r="D15044" s="4"/>
    </row>
    <row collapsed="" customFormat="false" customHeight="1" hidden="" ht="14" outlineLevel="0" r="15045">
      <c r="A15045" s="3" t="inlineStr">
        <is>
          <t>15001</t>
        </is>
      </c>
      <c r="B15045" s="4" t="s">
        <f>=HYPERLINK("http://anyluxury.ru/shop/odezhda/futbolki/futbolka-oversayz-muzhskaya-boxy-men-temnosinyaya-03806319/" , "03806319 Футболка оверсайз мужская Boxy Men, темно-синяя, размер L")</f>
      </c>
      <c r="C15045" s="4" t="n">
        <v>1524.00</v>
      </c>
      <c r="D15045" s="4"/>
    </row>
    <row collapsed="" customFormat="false" customHeight="1" hidden="" ht="14" outlineLevel="0" r="15046">
      <c r="A15046" s="3" t="inlineStr">
        <is>
          <t>15002</t>
        </is>
      </c>
      <c r="B15046" s="4" t="s">
        <f>=HYPERLINK("http://anyluxury.ru/shop/odezhda/futbolki/futbolka-oversayz-muzhskaya-boxy-men-temnosinyaya-03806319/" , "03806319 Футболка оверсайз мужская Boxy Men, темно-синяя, размер XL")</f>
      </c>
      <c r="C15046" s="4" t="n">
        <v>1524.00</v>
      </c>
      <c r="D15046" s="4"/>
    </row>
    <row collapsed="" customFormat="false" customHeight="1" hidden="" ht="14" outlineLevel="0" r="15047">
      <c r="A15047" s="3" t="inlineStr">
        <is>
          <t>15003</t>
        </is>
      </c>
      <c r="B15047" s="4" t="s">
        <f>=HYPERLINK("http://anyluxury.ru/shop/odezhda/futbolki/futbolka-oversayz-muzhskaya-boxy-men-temnosinyaya-03806319/" , "03806319 Футболка оверсайз мужская Boxy Men, темно-синяя, размер XXL")</f>
      </c>
      <c r="C15047" s="4" t="n">
        <v>1524.00</v>
      </c>
      <c r="D15047" s="4"/>
    </row>
    <row collapsed="" customFormat="false" customHeight="1" hidden="" ht="14" outlineLevel="0" r="15048">
      <c r="A15048" s="3" t="inlineStr">
        <is>
          <t>15004</t>
        </is>
      </c>
      <c r="B15048" s="4" t="s">
        <f>=HYPERLINK("http://anyluxury.ru/shop/odezhda/futbolki/futbolka-oversayz-muzhskaya-boxy-men-svetlozheltaya-03806260/" , "03806260 Футболка оверсайз мужская Boxy Men, светло-желтая, размер S")</f>
      </c>
      <c r="C15048" s="4" t="n">
        <v>1524.00</v>
      </c>
      <c r="D15048" s="4"/>
    </row>
    <row collapsed="" customFormat="false" customHeight="1" hidden="" ht="14" outlineLevel="0" r="15049">
      <c r="A15049" s="3" t="inlineStr">
        <is>
          <t>15005</t>
        </is>
      </c>
      <c r="B15049" s="4" t="s">
        <f>=HYPERLINK("http://anyluxury.ru/shop/odezhda/futbolki/futbolka-oversayz-muzhskaya-boxy-men-svetlozheltaya-03806260/" , "03806260 Футболка оверсайз мужская Boxy Men, светло-желтая, размер M")</f>
      </c>
      <c r="C15049" s="4" t="n">
        <v>1524.00</v>
      </c>
      <c r="D15049" s="4"/>
    </row>
    <row collapsed="" customFormat="false" customHeight="1" hidden="" ht="14" outlineLevel="0" r="15050">
      <c r="A15050" s="3" t="inlineStr">
        <is>
          <t>15006</t>
        </is>
      </c>
      <c r="B15050" s="4" t="s">
        <f>=HYPERLINK("http://anyluxury.ru/shop/odezhda/futbolki/futbolka-oversayz-muzhskaya-boxy-men-svetlozheltaya-03806260/" , "03806260 Футболка оверсайз мужская Boxy Men, светло-желтая, размер L")</f>
      </c>
      <c r="C15050" s="4" t="n">
        <v>1524.00</v>
      </c>
      <c r="D15050" s="4"/>
    </row>
    <row collapsed="" customFormat="false" customHeight="1" hidden="" ht="14" outlineLevel="0" r="15051">
      <c r="A15051" s="3" t="inlineStr">
        <is>
          <t>15007</t>
        </is>
      </c>
      <c r="B15051" s="4" t="s">
        <f>=HYPERLINK("http://anyluxury.ru/shop/odezhda/futbolki/futbolka-oversayz-muzhskaya-boxy-men-svetlozheltaya-03806260/" , "03806260 Футболка оверсайз мужская Boxy Men, светло-желтая, размер XL")</f>
      </c>
      <c r="C15051" s="4" t="n">
        <v>1524.00</v>
      </c>
      <c r="D15051" s="4"/>
    </row>
    <row collapsed="" customFormat="false" customHeight="1" hidden="" ht="14" outlineLevel="0" r="15052">
      <c r="A15052" s="3" t="inlineStr">
        <is>
          <t>15008</t>
        </is>
      </c>
      <c r="B15052" s="4" t="s">
        <f>=HYPERLINK("http://anyluxury.ru/shop/odezhda/futbolki/futbolka-oversayz-muzhskaya-boxy-men-svetlozheltaya-03806260/" , "03806260 Футболка оверсайз мужская Boxy Men, светло-желтая, размер XXL")</f>
      </c>
      <c r="C15052" s="4" t="n">
        <v>1524.00</v>
      </c>
      <c r="D15052" s="4"/>
    </row>
    <row collapsed="" customFormat="false" customHeight="1" hidden="" ht="14" outlineLevel="0" r="15053">
      <c r="A15053" s="3" t="inlineStr">
        <is>
          <t>15009</t>
        </is>
      </c>
      <c r="B15053" s="4" t="s">
        <f>=HYPERLINK("http://anyluxury.ru/shop/odezhda/futbolki/futbolka-oversayz-muzhskaya-boxy-men-sirenevaya-03806701/" , "03806701 Футболка оверсайз мужская Boxy Men, сиреневая, размер S")</f>
      </c>
      <c r="C15053" s="4" t="n">
        <v>1524.00</v>
      </c>
      <c r="D15053" s="4"/>
    </row>
    <row collapsed="" customFormat="false" customHeight="1" hidden="" ht="14" outlineLevel="0" r="15054">
      <c r="A15054" s="3" t="inlineStr">
        <is>
          <t>15010</t>
        </is>
      </c>
      <c r="B15054" s="4" t="s">
        <f>=HYPERLINK("http://anyluxury.ru/shop/odezhda/futbolki/futbolka-oversayz-muzhskaya-boxy-men-sirenevaya-03806701/" , "03806701 Футболка оверсайз мужская Boxy Men, сиреневая, размер M")</f>
      </c>
      <c r="C15054" s="4" t="n">
        <v>1524.00</v>
      </c>
      <c r="D15054" s="4"/>
    </row>
    <row collapsed="" customFormat="false" customHeight="1" hidden="" ht="14" outlineLevel="0" r="15055">
      <c r="A15055" s="3" t="inlineStr">
        <is>
          <t>15011</t>
        </is>
      </c>
      <c r="B15055" s="4" t="s">
        <f>=HYPERLINK("http://anyluxury.ru/shop/odezhda/futbolki/futbolka-oversayz-muzhskaya-boxy-men-sirenevaya-03806701/" , "03806701 Футболка оверсайз мужская Boxy Men, сиреневая, размер L")</f>
      </c>
      <c r="C15055" s="4" t="n">
        <v>1524.00</v>
      </c>
      <c r="D15055" s="4"/>
    </row>
    <row collapsed="" customFormat="false" customHeight="1" hidden="" ht="14" outlineLevel="0" r="15056">
      <c r="A15056" s="3" t="inlineStr">
        <is>
          <t>15012</t>
        </is>
      </c>
      <c r="B15056" s="4" t="s">
        <f>=HYPERLINK("http://anyluxury.ru/shop/odezhda/futbolki/futbolka-oversayz-muzhskaya-boxy-men-sirenevaya-03806701/" , "03806701 Футболка оверсайз мужская Boxy Men, сиреневая, размер XL")</f>
      </c>
      <c r="C15056" s="4" t="n">
        <v>1524.00</v>
      </c>
      <c r="D15056" s="4"/>
    </row>
    <row collapsed="" customFormat="false" customHeight="1" hidden="" ht="14" outlineLevel="0" r="15057">
      <c r="A15057" s="3" t="inlineStr">
        <is>
          <t>15013</t>
        </is>
      </c>
      <c r="B15057" s="4" t="s">
        <f>=HYPERLINK("http://anyluxury.ru/shop/odezhda/futbolki/futbolka-oversayz-muzhskaya-boxy-men-sirenevaya-03806701/" , "03806701 Футболка оверсайз мужская Boxy Men, сиреневая, размер XXL")</f>
      </c>
      <c r="C15057" s="4" t="n">
        <v>1524.00</v>
      </c>
      <c r="D15057" s="4"/>
    </row>
    <row collapsed="" customFormat="false" customHeight="1" hidden="" ht="14" outlineLevel="0" r="15058">
      <c r="A15058" s="3" t="inlineStr">
        <is>
          <t>15014</t>
        </is>
      </c>
      <c r="B15058" s="4" t="s">
        <f>=HYPERLINK("http://anyluxury.ru/shop/odezhda/futbolki/futbolka-oversayz-muzhskaya-boxy-men-molochnobelaya-03806104/" , "03806104 Футболка оверсайз мужская Boxy Men, молочно-белая, размер S")</f>
      </c>
      <c r="C15058" s="4" t="n">
        <v>1524.00</v>
      </c>
      <c r="D15058" s="4"/>
    </row>
    <row collapsed="" customFormat="false" customHeight="1" hidden="" ht="14" outlineLevel="0" r="15059">
      <c r="A15059" s="3" t="inlineStr">
        <is>
          <t>15015</t>
        </is>
      </c>
      <c r="B15059" s="4" t="s">
        <f>=HYPERLINK("http://anyluxury.ru/shop/odezhda/futbolki/futbolka-oversayz-muzhskaya-boxy-men-molochnobelaya-03806104/" , "03806104 Футболка оверсайз мужская Boxy Men, молочно-белая, размер M")</f>
      </c>
      <c r="C15059" s="4" t="n">
        <v>1524.00</v>
      </c>
      <c r="D15059" s="4"/>
    </row>
    <row collapsed="" customFormat="false" customHeight="1" hidden="" ht="14" outlineLevel="0" r="15060">
      <c r="A15060" s="3" t="inlineStr">
        <is>
          <t>15016</t>
        </is>
      </c>
      <c r="B15060" s="4" t="s">
        <f>=HYPERLINK("http://anyluxury.ru/shop/odezhda/futbolki/futbolka-oversayz-muzhskaya-boxy-men-molochnobelaya-03806104/" , "03806104 Футболка оверсайз мужская Boxy Men, молочно-белая, размер L")</f>
      </c>
      <c r="C15060" s="4" t="n">
        <v>1524.00</v>
      </c>
      <c r="D15060" s="4"/>
    </row>
    <row collapsed="" customFormat="false" customHeight="1" hidden="" ht="14" outlineLevel="0" r="15061">
      <c r="A15061" s="3" t="inlineStr">
        <is>
          <t>15017</t>
        </is>
      </c>
      <c r="B15061" s="4" t="s">
        <f>=HYPERLINK("http://anyluxury.ru/shop/odezhda/futbolki/futbolka-oversayz-muzhskaya-boxy-men-molochnobelaya-03806104/" , "03806104 Футболка оверсайз мужская Boxy Men, молочно-белая, размер XL")</f>
      </c>
      <c r="C15061" s="4" t="n">
        <v>1524.00</v>
      </c>
      <c r="D15061" s="4"/>
    </row>
    <row collapsed="" customFormat="false" customHeight="1" hidden="" ht="14" outlineLevel="0" r="15062">
      <c r="A15062" s="3" t="inlineStr">
        <is>
          <t>15018</t>
        </is>
      </c>
      <c r="B15062" s="4" t="s">
        <f>=HYPERLINK("http://anyluxury.ru/shop/odezhda/futbolki/futbolka-oversayz-muzhskaya-boxy-men-molochnobelaya-03806104/" , "03806104 Футболка оверсайз мужская Boxy Men, молочно-белая, размер XXL")</f>
      </c>
      <c r="C15062" s="4" t="n">
        <v>1524.00</v>
      </c>
      <c r="D15062" s="4"/>
    </row>
    <row collapsed="" customFormat="false" customHeight="1" hidden="" ht="14" outlineLevel="0" r="15063">
      <c r="A15063" s="3" t="inlineStr">
        <is>
          <t>15019</t>
        </is>
      </c>
      <c r="B15063" s="4" t="s">
        <f>=HYPERLINK("http://anyluxury.ru/shop/odezhda/futbolki/futbolka-oversayz-muzhskaya-boxy-men-belaya-03806102/" , "03806102 Футболка оверсайз мужская Boxy Men, белая, размер S")</f>
      </c>
      <c r="C15063" s="4" t="n">
        <v>1379.00</v>
      </c>
      <c r="D15063" s="4"/>
    </row>
    <row collapsed="" customFormat="false" customHeight="1" hidden="" ht="14" outlineLevel="0" r="15064">
      <c r="A15064" s="3" t="inlineStr">
        <is>
          <t>15020</t>
        </is>
      </c>
      <c r="B15064" s="4" t="s">
        <f>=HYPERLINK("http://anyluxury.ru/shop/odezhda/futbolki/futbolka-oversayz-muzhskaya-boxy-men-belaya-03806102/" , "03806102 Футболка оверсайз мужская Boxy Men, белая, размер M")</f>
      </c>
      <c r="C15064" s="4" t="n">
        <v>1379.00</v>
      </c>
      <c r="D15064" s="4"/>
    </row>
    <row collapsed="" customFormat="false" customHeight="1" hidden="" ht="14" outlineLevel="0" r="15065">
      <c r="A15065" s="3" t="inlineStr">
        <is>
          <t>15021</t>
        </is>
      </c>
      <c r="B15065" s="4" t="s">
        <f>=HYPERLINK("http://anyluxury.ru/shop/odezhda/futbolki/futbolka-oversayz-muzhskaya-boxy-men-belaya-03806102/" , "03806102 Футболка оверсайз мужская Boxy Men, белая, размер L")</f>
      </c>
      <c r="C15065" s="4" t="n">
        <v>1379.00</v>
      </c>
      <c r="D15065" s="4"/>
    </row>
    <row collapsed="" customFormat="false" customHeight="1" hidden="" ht="14" outlineLevel="0" r="15066">
      <c r="A15066" s="3" t="inlineStr">
        <is>
          <t>15022</t>
        </is>
      </c>
      <c r="B15066" s="4" t="s">
        <f>=HYPERLINK("http://anyluxury.ru/shop/odezhda/futbolki/futbolka-oversayz-muzhskaya-boxy-men-belaya-03806102/" , "03806102 Футболка оверсайз мужская Boxy Men, белая, размер XL")</f>
      </c>
      <c r="C15066" s="4" t="n">
        <v>1379.00</v>
      </c>
      <c r="D15066" s="4"/>
    </row>
    <row collapsed="" customFormat="false" customHeight="1" hidden="" ht="14" outlineLevel="0" r="15067">
      <c r="A15067" s="3" t="inlineStr">
        <is>
          <t>15023</t>
        </is>
      </c>
      <c r="B15067" s="4" t="s">
        <f>=HYPERLINK("http://anyluxury.ru/shop/odezhda/futbolki/futbolka-oversayz-muzhskaya-boxy-men-belaya-03806102/" , "03806102 Футболка оверсайз мужская Boxy Men, белая, размер XXL")</f>
      </c>
      <c r="C15067" s="4" t="n">
        <v>1379.00</v>
      </c>
      <c r="D15067" s="4"/>
    </row>
    <row collapsed="" customFormat="false" customHeight="1" hidden="" ht="14" outlineLevel="0" r="15068">
      <c r="A15068" s="3" t="inlineStr">
        <is>
          <t>15024</t>
        </is>
      </c>
      <c r="B15068" s="4" t="s">
        <f>=HYPERLINK("http://anyluxury.ru/shop/odezhda/futbolki/futbolka-oversayz-zhenskaya-boxy-women-chernaya-03807309/" , "03807309 Футболка оверсайз женская Boxy Women, черная, размер XS")</f>
      </c>
      <c r="C15068" s="4" t="n">
        <v>1538.00</v>
      </c>
      <c r="D15068" s="4"/>
    </row>
    <row collapsed="" customFormat="false" customHeight="1" hidden="" ht="14" outlineLevel="0" r="15069">
      <c r="A15069" s="3" t="inlineStr">
        <is>
          <t>15025</t>
        </is>
      </c>
      <c r="B15069" s="4" t="s">
        <f>=HYPERLINK("http://anyluxury.ru/shop/odezhda/futbolki/futbolka-oversayz-zhenskaya-boxy-women-chernaya-03807309/" , "03807309 Футболка оверсайз женская Boxy Women, черная, размер S")</f>
      </c>
      <c r="C15069" s="4" t="n">
        <v>1538.00</v>
      </c>
      <c r="D15069" s="4"/>
    </row>
    <row collapsed="" customFormat="false" customHeight="1" hidden="" ht="14" outlineLevel="0" r="15070">
      <c r="A15070" s="3" t="inlineStr">
        <is>
          <t>15026</t>
        </is>
      </c>
      <c r="B15070" s="4" t="s">
        <f>=HYPERLINK("http://anyluxury.ru/shop/odezhda/futbolki/futbolka-oversayz-zhenskaya-boxy-women-chernaya-03807309/" , "03807309 Футболка оверсайз женская Boxy Women, черная, размер M")</f>
      </c>
      <c r="C15070" s="4" t="n">
        <v>1538.00</v>
      </c>
      <c r="D15070" s="4"/>
    </row>
    <row collapsed="" customFormat="false" customHeight="1" hidden="" ht="14" outlineLevel="0" r="15071">
      <c r="A15071" s="3" t="inlineStr">
        <is>
          <t>15027</t>
        </is>
      </c>
      <c r="B15071" s="4" t="s">
        <f>=HYPERLINK("http://anyluxury.ru/shop/odezhda/futbolki/futbolka-oversayz-zhenskaya-boxy-women-chernaya-03807309/" , "03807309 Футболка оверсайз женская Boxy Women, черная, размер L")</f>
      </c>
      <c r="C15071" s="4" t="n">
        <v>1538.00</v>
      </c>
      <c r="D15071" s="4"/>
    </row>
    <row collapsed="" customFormat="false" customHeight="1" hidden="" ht="14" outlineLevel="0" r="15072">
      <c r="A15072" s="3" t="inlineStr">
        <is>
          <t>15028</t>
        </is>
      </c>
      <c r="B15072" s="4" t="s">
        <f>=HYPERLINK("http://anyluxury.ru/shop/odezhda/futbolki/futbolka-oversayz-zhenskaya-boxy-women-chernaya-03807309/" , "03807309 Футболка оверсайз женская Boxy Women, черная, размер XL")</f>
      </c>
      <c r="C15072" s="4" t="n">
        <v>1538.00</v>
      </c>
      <c r="D15072" s="4"/>
    </row>
    <row collapsed="" customFormat="false" customHeight="1" hidden="" ht="14" outlineLevel="0" r="15073">
      <c r="A15073" s="3" t="inlineStr">
        <is>
          <t>15029</t>
        </is>
      </c>
      <c r="B15073" s="4" t="s">
        <f>=HYPERLINK("http://anyluxury.ru/shop/odezhda/futbolki/futbolka-oversayz-zhenskaya-boxy-women-temnosinyaya-03807319/" , "03807319 Футболка оверсайз женская Boxy Women, темно-синяя, размерXS")</f>
      </c>
      <c r="C15073" s="4" t="n">
        <v>1538.00</v>
      </c>
      <c r="D15073" s="4"/>
    </row>
    <row collapsed="" customFormat="false" customHeight="1" hidden="" ht="14" outlineLevel="0" r="15074">
      <c r="A15074" s="3" t="inlineStr">
        <is>
          <t>15030</t>
        </is>
      </c>
      <c r="B15074" s="4" t="s">
        <f>=HYPERLINK("http://anyluxury.ru/shop/odezhda/futbolki/futbolka-oversayz-zhenskaya-boxy-women-temnosinyaya-03807319/" , "03807319 Футболка оверсайз женская Boxy Women, темно-синяя, размерS")</f>
      </c>
      <c r="C15074" s="4" t="n">
        <v>1538.00</v>
      </c>
      <c r="D15074" s="4"/>
    </row>
    <row collapsed="" customFormat="false" customHeight="1" hidden="" ht="14" outlineLevel="0" r="15075">
      <c r="A15075" s="3" t="inlineStr">
        <is>
          <t>15031</t>
        </is>
      </c>
      <c r="B15075" s="4" t="s">
        <f>=HYPERLINK("http://anyluxury.ru/shop/odezhda/futbolki/futbolka-oversayz-zhenskaya-boxy-women-temnosinyaya-03807319/" , "03807319 Футболка оверсайз женская Boxy Women, темно-синяя, размерM")</f>
      </c>
      <c r="C15075" s="4" t="n">
        <v>1538.00</v>
      </c>
      <c r="D15075" s="4"/>
    </row>
    <row collapsed="" customFormat="false" customHeight="1" hidden="" ht="14" outlineLevel="0" r="15076">
      <c r="A15076" s="3" t="inlineStr">
        <is>
          <t>15032</t>
        </is>
      </c>
      <c r="B15076" s="4" t="s">
        <f>=HYPERLINK("http://anyluxury.ru/shop/odezhda/futbolki/futbolka-oversayz-zhenskaya-boxy-women-temnosinyaya-03807319/" , "03807319 Футболка оверсайз женская Boxy Women, темно-синяя, размер L")</f>
      </c>
      <c r="C15076" s="4" t="n">
        <v>1538.00</v>
      </c>
      <c r="D15076" s="4"/>
    </row>
    <row collapsed="" customFormat="false" customHeight="1" hidden="" ht="14" outlineLevel="0" r="15077">
      <c r="A15077" s="3" t="inlineStr">
        <is>
          <t>15033</t>
        </is>
      </c>
      <c r="B15077" s="4" t="s">
        <f>=HYPERLINK("http://anyluxury.ru/shop/odezhda/futbolki/futbolka-oversayz-zhenskaya-boxy-women-temnosinyaya-03807319/" , "03807319 Футболка оверсайз женская Boxy Women, темно-синяя, размерXL")</f>
      </c>
      <c r="C15077" s="4" t="n">
        <v>1538.00</v>
      </c>
      <c r="D15077" s="4"/>
    </row>
    <row collapsed="" customFormat="false" customHeight="1" hidden="" ht="14" outlineLevel="0" r="15078">
      <c r="A15078" s="3" t="inlineStr">
        <is>
          <t>15034</t>
        </is>
      </c>
      <c r="B15078" s="4" t="s">
        <f>=HYPERLINK("http://anyluxury.ru/shop/odezhda/futbolki/futbolka-oversayz-zhenskaya-boxy-women-svetlozheltaya-03807260/" , "03807260 Футболка оверсайз женская Boxy Women, светло-желтая, размер XS")</f>
      </c>
      <c r="C15078" s="4" t="n">
        <v>1538.00</v>
      </c>
      <c r="D15078" s="4"/>
    </row>
    <row collapsed="" customFormat="false" customHeight="1" hidden="" ht="14" outlineLevel="0" r="15079">
      <c r="A15079" s="3" t="inlineStr">
        <is>
          <t>15035</t>
        </is>
      </c>
      <c r="B15079" s="4" t="s">
        <f>=HYPERLINK("http://anyluxury.ru/shop/odezhda/futbolki/futbolka-oversayz-zhenskaya-boxy-women-svetlozheltaya-03807260/" , "03807260 Футболка оверсайз женская Boxy Women, светло-желтая, размер S")</f>
      </c>
      <c r="C15079" s="4" t="n">
        <v>1538.00</v>
      </c>
      <c r="D15079" s="4"/>
    </row>
    <row collapsed="" customFormat="false" customHeight="1" hidden="" ht="14" outlineLevel="0" r="15080">
      <c r="A15080" s="3" t="inlineStr">
        <is>
          <t>15036</t>
        </is>
      </c>
      <c r="B15080" s="4" t="s">
        <f>=HYPERLINK("http://anyluxury.ru/shop/odezhda/futbolki/futbolka-oversayz-zhenskaya-boxy-women-svetlozheltaya-03807260/" , "03807260 Футболка оверсайз женская Boxy Women, светло-желтая, размер M")</f>
      </c>
      <c r="C15080" s="4" t="n">
        <v>1538.00</v>
      </c>
      <c r="D15080" s="4"/>
    </row>
    <row collapsed="" customFormat="false" customHeight="1" hidden="" ht="14" outlineLevel="0" r="15081">
      <c r="A15081" s="3" t="inlineStr">
        <is>
          <t>15037</t>
        </is>
      </c>
      <c r="B15081" s="4" t="s">
        <f>=HYPERLINK("http://anyluxury.ru/shop/odezhda/futbolki/futbolka-oversayz-zhenskaya-boxy-women-svetlozheltaya-03807260/" , "03807260 Футболка оверсайз женская Boxy Women, светло-желтая, размер L")</f>
      </c>
      <c r="C15081" s="4" t="n">
        <v>1538.00</v>
      </c>
      <c r="D15081" s="4"/>
    </row>
    <row collapsed="" customFormat="false" customHeight="1" hidden="" ht="14" outlineLevel="0" r="15082">
      <c r="A15082" s="3" t="inlineStr">
        <is>
          <t>15038</t>
        </is>
      </c>
      <c r="B15082" s="4" t="s">
        <f>=HYPERLINK("http://anyluxury.ru/shop/odezhda/futbolki/futbolka-oversayz-zhenskaya-boxy-women-svetlozheltaya-03807260/" , "03807260 Футболка оверсайз женская Boxy Women, светло-желтая, размер XL")</f>
      </c>
      <c r="C15082" s="4" t="n">
        <v>1538.00</v>
      </c>
      <c r="D15082" s="4"/>
    </row>
    <row collapsed="" customFormat="false" customHeight="1" hidden="" ht="14" outlineLevel="0" r="15083">
      <c r="A15083" s="3" t="inlineStr">
        <is>
          <t>15039</t>
        </is>
      </c>
      <c r="B15083" s="4" t="s">
        <f>=HYPERLINK("http://anyluxury.ru/shop/odezhda/futbolki/futbolka-oversayz-zhenskaya-boxy-women-sirenevaya-03807701/" , "03807701 Футболка оверсайз женская Boxy Women, сиреневая, размер XS")</f>
      </c>
      <c r="C15083" s="4" t="n">
        <v>1538.00</v>
      </c>
      <c r="D15083" s="4"/>
    </row>
    <row collapsed="" customFormat="false" customHeight="1" hidden="" ht="14" outlineLevel="0" r="15084">
      <c r="A15084" s="3" t="inlineStr">
        <is>
          <t>15040</t>
        </is>
      </c>
      <c r="B15084" s="4" t="s">
        <f>=HYPERLINK("http://anyluxury.ru/shop/odezhda/futbolki/futbolka-oversayz-zhenskaya-boxy-women-sirenevaya-03807701/" , "03807701 Футболка оверсайз женская Boxy Women, сиреневая, размер S")</f>
      </c>
      <c r="C15084" s="4" t="n">
        <v>1538.00</v>
      </c>
      <c r="D15084" s="4"/>
    </row>
    <row collapsed="" customFormat="false" customHeight="1" hidden="" ht="14" outlineLevel="0" r="15085">
      <c r="A15085" s="3" t="inlineStr">
        <is>
          <t>15041</t>
        </is>
      </c>
      <c r="B15085" s="4" t="s">
        <f>=HYPERLINK("http://anyluxury.ru/shop/odezhda/futbolki/futbolka-oversayz-zhenskaya-boxy-women-sirenevaya-03807701/" , "03807701 Футболка оверсайз женская Boxy Women, сиреневая, размер M")</f>
      </c>
      <c r="C15085" s="4" t="n">
        <v>1538.00</v>
      </c>
      <c r="D15085" s="4"/>
    </row>
    <row collapsed="" customFormat="false" customHeight="1" hidden="" ht="14" outlineLevel="0" r="15086">
      <c r="A15086" s="3" t="inlineStr">
        <is>
          <t>15042</t>
        </is>
      </c>
      <c r="B15086" s="4" t="s">
        <f>=HYPERLINK("http://anyluxury.ru/shop/odezhda/futbolki/futbolka-oversayz-zhenskaya-boxy-women-sirenevaya-03807701/" , "03807701 Футболка оверсайз женская Boxy Women, сиреневая, размер L")</f>
      </c>
      <c r="C15086" s="4" t="n">
        <v>1538.00</v>
      </c>
      <c r="D15086" s="4"/>
    </row>
    <row collapsed="" customFormat="false" customHeight="1" hidden="" ht="14" outlineLevel="0" r="15087">
      <c r="A15087" s="3" t="inlineStr">
        <is>
          <t>15043</t>
        </is>
      </c>
      <c r="B15087" s="4" t="s">
        <f>=HYPERLINK("http://anyluxury.ru/shop/odezhda/futbolki/futbolka-oversayz-zhenskaya-boxy-women-sirenevaya-03807701/" , "03807701 Футболка оверсайз женская Boxy Women, сиреневая, размер XL")</f>
      </c>
      <c r="C15087" s="4" t="n">
        <v>1538.00</v>
      </c>
      <c r="D15087" s="4"/>
    </row>
    <row collapsed="" customFormat="false" customHeight="1" hidden="" ht="14" outlineLevel="0" r="15088">
      <c r="A15088" s="3" t="inlineStr">
        <is>
          <t>15044</t>
        </is>
      </c>
      <c r="B15088" s="4" t="s">
        <f>=HYPERLINK("http://anyluxury.ru/shop/odezhda/futbolki/futbolka-oversayz-zhenskaya-boxy-women-molochnobelaya-03807104/" , "03807104 Футболка оверсайз женская Boxy Women, молочно-белая, размер XS")</f>
      </c>
      <c r="C15088" s="4" t="n">
        <v>1538.00</v>
      </c>
      <c r="D15088" s="4"/>
    </row>
    <row collapsed="" customFormat="false" customHeight="1" hidden="" ht="14" outlineLevel="0" r="15089">
      <c r="A15089" s="3" t="inlineStr">
        <is>
          <t>15045</t>
        </is>
      </c>
      <c r="B15089" s="4" t="s">
        <f>=HYPERLINK("http://anyluxury.ru/shop/odezhda/futbolki/futbolka-oversayz-zhenskaya-boxy-women-molochnobelaya-03807104/" , "03807104 Футболка оверсайз женская Boxy Women, молочно-белая, размер S")</f>
      </c>
      <c r="C15089" s="4" t="n">
        <v>1538.00</v>
      </c>
      <c r="D15089" s="4"/>
    </row>
    <row collapsed="" customFormat="false" customHeight="1" hidden="" ht="14" outlineLevel="0" r="15090">
      <c r="A15090" s="3" t="inlineStr">
        <is>
          <t>15046</t>
        </is>
      </c>
      <c r="B15090" s="4" t="s">
        <f>=HYPERLINK("http://anyluxury.ru/shop/odezhda/futbolki/futbolka-oversayz-zhenskaya-boxy-women-molochnobelaya-03807104/" , "03807104 Футболка оверсайз женская Boxy Women, молочно-белая, размер M")</f>
      </c>
      <c r="C15090" s="4" t="n">
        <v>1538.00</v>
      </c>
      <c r="D15090" s="4"/>
    </row>
    <row collapsed="" customFormat="false" customHeight="1" hidden="" ht="14" outlineLevel="0" r="15091">
      <c r="A15091" s="3" t="inlineStr">
        <is>
          <t>15047</t>
        </is>
      </c>
      <c r="B15091" s="4" t="s">
        <f>=HYPERLINK("http://anyluxury.ru/shop/odezhda/futbolki/futbolka-oversayz-zhenskaya-boxy-women-molochnobelaya-03807104/" , "03807104 Футболка оверсайз женская Boxy Women, молочно-белая, размер L")</f>
      </c>
      <c r="C15091" s="4" t="n">
        <v>1538.00</v>
      </c>
      <c r="D15091" s="4"/>
    </row>
    <row collapsed="" customFormat="false" customHeight="1" hidden="" ht="14" outlineLevel="0" r="15092">
      <c r="A15092" s="3" t="inlineStr">
        <is>
          <t>15048</t>
        </is>
      </c>
      <c r="B15092" s="4" t="s">
        <f>=HYPERLINK("http://anyluxury.ru/shop/odezhda/futbolki/futbolka-oversayz-zhenskaya-boxy-women-molochnobelaya-03807104/" , "03807104 Футболка оверсайз женская Boxy Women, молочно-белая, размер XL")</f>
      </c>
      <c r="C15092" s="4" t="n">
        <v>1538.00</v>
      </c>
      <c r="D15092" s="4"/>
    </row>
    <row collapsed="" customFormat="false" customHeight="1" hidden="" ht="14" outlineLevel="0" r="15093">
      <c r="A15093" s="3" t="inlineStr">
        <is>
          <t>15049</t>
        </is>
      </c>
      <c r="B15093" s="4" t="s">
        <f>=HYPERLINK("http://anyluxury.ru/shop/odezhda/futbolki/futbolka-oversayz-zhenskaya-boxy-women-belaya-03807102/" , "03807102 Футболка оверсайз женская Boxy Women, белая, размер XS")</f>
      </c>
      <c r="C15093" s="4" t="n">
        <v>1393.00</v>
      </c>
      <c r="D15093" s="4"/>
    </row>
    <row collapsed="" customFormat="false" customHeight="1" hidden="" ht="14" outlineLevel="0" r="15094">
      <c r="A15094" s="3" t="inlineStr">
        <is>
          <t>15050</t>
        </is>
      </c>
      <c r="B15094" s="4" t="s">
        <f>=HYPERLINK("http://anyluxury.ru/shop/odezhda/futbolki/futbolka-oversayz-zhenskaya-boxy-women-belaya-03807102/" , "03807102 Футболка оверсайз женская Boxy Women, белая, размер S")</f>
      </c>
      <c r="C15094" s="4" t="n">
        <v>1393.00</v>
      </c>
      <c r="D15094" s="4"/>
    </row>
    <row collapsed="" customFormat="false" customHeight="1" hidden="" ht="14" outlineLevel="0" r="15095">
      <c r="A15095" s="3" t="inlineStr">
        <is>
          <t>15051</t>
        </is>
      </c>
      <c r="B15095" s="4" t="s">
        <f>=HYPERLINK("http://anyluxury.ru/shop/odezhda/futbolki/futbolka-oversayz-zhenskaya-boxy-women-belaya-03807102/" , "03807102 Футболка оверсайз женская Boxy Women, белая, размер M")</f>
      </c>
      <c r="C15095" s="4" t="n">
        <v>1393.00</v>
      </c>
      <c r="D15095" s="4"/>
    </row>
    <row collapsed="" customFormat="false" customHeight="1" hidden="" ht="14" outlineLevel="0" r="15096">
      <c r="A15096" s="3" t="inlineStr">
        <is>
          <t>15052</t>
        </is>
      </c>
      <c r="B15096" s="4" t="s">
        <f>=HYPERLINK("http://anyluxury.ru/shop/odezhda/futbolki/futbolka-oversayz-zhenskaya-boxy-women-belaya-03807102/" , "03807102 Футболка оверсайз женская Boxy Women, белая, размер L")</f>
      </c>
      <c r="C15096" s="4" t="n">
        <v>1393.00</v>
      </c>
      <c r="D15096" s="4"/>
    </row>
    <row collapsed="" customFormat="false" customHeight="1" hidden="" ht="14" outlineLevel="0" r="15097">
      <c r="A15097" s="3" t="inlineStr">
        <is>
          <t>15053</t>
        </is>
      </c>
      <c r="B15097" s="4" t="s">
        <f>=HYPERLINK("http://anyluxury.ru/shop/odezhda/futbolki/futbolka-oversayz-zhenskaya-boxy-women-belaya-03807102/" , "03807102 Футболка оверсайз женская Boxy Women, белая, размер XL")</f>
      </c>
      <c r="C15097" s="4" t="n">
        <v>1393.00</v>
      </c>
      <c r="D15097" s="4"/>
    </row>
    <row collapsed="" customFormat="false" customHeight="1" hidden="" ht="14" outlineLevel="0" r="15098">
      <c r="A15098" s="3" t="inlineStr">
        <is>
          <t>15054</t>
        </is>
      </c>
      <c r="B15098" s="4" t="s">
        <f>=HYPERLINK("http://anyluxury.ru/shop/odezhda/futbolki/futbolka-odyssey-chernaya-03805324/" , "03805324 Футболка Odyssey, черная, размер XS")</f>
      </c>
      <c r="C15098" s="4" t="n">
        <v>952.00</v>
      </c>
      <c r="D15098" s="4"/>
    </row>
    <row collapsed="" customFormat="false" customHeight="1" hidden="" ht="14" outlineLevel="0" r="15099">
      <c r="A15099" s="3" t="inlineStr">
        <is>
          <t>15055</t>
        </is>
      </c>
      <c r="B15099" s="4" t="s">
        <f>=HYPERLINK("http://anyluxury.ru/shop/odezhda/futbolki/futbolka-odyssey-chernaya-03805324/" , "03805324 Футболка Odyssey, черная, размер S")</f>
      </c>
      <c r="C15099" s="4" t="n">
        <v>952.00</v>
      </c>
      <c r="D15099" s="4"/>
    </row>
    <row collapsed="" customFormat="false" customHeight="1" hidden="" ht="14" outlineLevel="0" r="15100">
      <c r="A15100" s="3" t="inlineStr">
        <is>
          <t>15056</t>
        </is>
      </c>
      <c r="B15100" s="4" t="s">
        <f>=HYPERLINK("http://anyluxury.ru/shop/odezhda/futbolki/futbolka-odyssey-chernaya-03805324/" , "03805324 Футболка Odyssey, черная, размер L")</f>
      </c>
      <c r="C15100" s="4" t="n">
        <v>952.00</v>
      </c>
      <c r="D15100" s="4"/>
    </row>
    <row collapsed="" customFormat="false" customHeight="1" hidden="" ht="14" outlineLevel="0" r="15101">
      <c r="A15101" s="3" t="inlineStr">
        <is>
          <t>15057</t>
        </is>
      </c>
      <c r="B15101" s="4" t="s">
        <f>=HYPERLINK("http://anyluxury.ru/shop/odezhda/futbolki/futbolka-odyssey-chernaya-03805324/" , "03805324 Футболка Odyssey, черная, размер XL")</f>
      </c>
      <c r="C15101" s="4" t="n">
        <v>952.00</v>
      </c>
      <c r="D15101" s="4"/>
    </row>
    <row collapsed="" customFormat="false" customHeight="1" hidden="" ht="14" outlineLevel="0" r="15102">
      <c r="A15102" s="3" t="inlineStr">
        <is>
          <t>15058</t>
        </is>
      </c>
      <c r="B15102" s="4" t="s">
        <f>=HYPERLINK("http://anyluxury.ru/shop/odezhda/futbolki/futbolka-odyssey-chernaya-03805324/" , "03805324 Футболка Odyssey, черная, размер XXL")</f>
      </c>
      <c r="C15102" s="4" t="n">
        <v>952.00</v>
      </c>
      <c r="D15102" s="4"/>
    </row>
    <row collapsed="" customFormat="false" customHeight="1" hidden="" ht="14" outlineLevel="0" r="15103">
      <c r="A15103" s="3" t="inlineStr">
        <is>
          <t>15059</t>
        </is>
      </c>
      <c r="B15103" s="4" t="s">
        <f>=HYPERLINK("http://anyluxury.ru/shop/odezhda/futbolki/futbolka-odyssey-chernaya-03805324/" , "03805324 Футболка Odyssey, черная, размер 3XL")</f>
      </c>
      <c r="C15103" s="4" t="n">
        <v>1073.00</v>
      </c>
      <c r="D15103" s="4"/>
    </row>
    <row collapsed="" customFormat="false" customHeight="1" hidden="" ht="14" outlineLevel="0" r="15104">
      <c r="A15104" s="3" t="inlineStr">
        <is>
          <t>15060</t>
        </is>
      </c>
      <c r="B15104" s="4" t="s">
        <f>=HYPERLINK("http://anyluxury.ru/shop/odezhda/futbolki/futbolka-odyssey-chernaya-03805324/" , "03805324 Футболка Odyssey, черная, размер 4XL")</f>
      </c>
      <c r="C15104" s="4" t="n">
        <v>1073.00</v>
      </c>
      <c r="D15104" s="4"/>
    </row>
    <row collapsed="" customFormat="false" customHeight="1" hidden="" ht="14" outlineLevel="0" r="15105">
      <c r="A15105" s="3" t="inlineStr">
        <is>
          <t>15061</t>
        </is>
      </c>
      <c r="B15105" s="4" t="s">
        <f>=HYPERLINK("http://anyluxury.ru/shop/odezhda/futbolki/futbolka-odyssey-temnosinyaya-03805326/" , "03805326 Футболка Odyssey, темно-синяя, размер XS")</f>
      </c>
      <c r="C15105" s="4" t="n">
        <v>952.00</v>
      </c>
      <c r="D15105" s="4"/>
    </row>
    <row collapsed="" customFormat="false" customHeight="1" hidden="" ht="14" outlineLevel="0" r="15106">
      <c r="A15106" s="3" t="inlineStr">
        <is>
          <t>15062</t>
        </is>
      </c>
      <c r="B15106" s="4" t="s">
        <f>=HYPERLINK("http://anyluxury.ru/shop/odezhda/futbolki/futbolka-odyssey-temnosinyaya-03805326/" , "03805326 Футболка Odyssey, темно-синяя, размер S")</f>
      </c>
      <c r="C15106" s="4" t="n">
        <v>952.00</v>
      </c>
      <c r="D15106" s="4"/>
    </row>
    <row collapsed="" customFormat="false" customHeight="1" hidden="" ht="14" outlineLevel="0" r="15107">
      <c r="A15107" s="3" t="inlineStr">
        <is>
          <t>15063</t>
        </is>
      </c>
      <c r="B15107" s="4" t="s">
        <f>=HYPERLINK("http://anyluxury.ru/shop/odezhda/futbolki/futbolka-odyssey-temnosinyaya-03805326/" , "03805326 Футболка Odyssey, темно-синяя, размер M")</f>
      </c>
      <c r="C15107" s="4" t="n">
        <v>952.00</v>
      </c>
      <c r="D15107" s="4"/>
    </row>
    <row collapsed="" customFormat="false" customHeight="1" hidden="" ht="14" outlineLevel="0" r="15108">
      <c r="A15108" s="3" t="inlineStr">
        <is>
          <t>15064</t>
        </is>
      </c>
      <c r="B15108" s="4" t="s">
        <f>=HYPERLINK("http://anyluxury.ru/shop/odezhda/futbolki/futbolka-odyssey-temnosinyaya-03805326/" , "03805326 Футболка Odyssey, темно-синяя, размер L")</f>
      </c>
      <c r="C15108" s="4" t="n">
        <v>952.00</v>
      </c>
      <c r="D15108" s="4"/>
    </row>
    <row collapsed="" customFormat="false" customHeight="1" hidden="" ht="14" outlineLevel="0" r="15109">
      <c r="A15109" s="3" t="inlineStr">
        <is>
          <t>15065</t>
        </is>
      </c>
      <c r="B15109" s="4" t="s">
        <f>=HYPERLINK("http://anyluxury.ru/shop/odezhda/futbolki/futbolka-odyssey-temnosinyaya-03805326/" , "03805326 Футболка Odyssey, темно-синяя, размер XL")</f>
      </c>
      <c r="C15109" s="4" t="n">
        <v>952.00</v>
      </c>
      <c r="D15109" s="4"/>
    </row>
    <row collapsed="" customFormat="false" customHeight="1" hidden="" ht="14" outlineLevel="0" r="15110">
      <c r="A15110" s="3" t="inlineStr">
        <is>
          <t>15066</t>
        </is>
      </c>
      <c r="B15110" s="4" t="s">
        <f>=HYPERLINK("http://anyluxury.ru/shop/odezhda/futbolki/futbolka-odyssey-temnosinyaya-03805326/" , "03805326 Футболка Odyssey, темно-синяя, размер XXL")</f>
      </c>
      <c r="C15110" s="4" t="n">
        <v>952.00</v>
      </c>
      <c r="D15110" s="4"/>
    </row>
    <row collapsed="" customFormat="false" customHeight="1" hidden="" ht="14" outlineLevel="0" r="15111">
      <c r="A15111" s="3" t="inlineStr">
        <is>
          <t>15067</t>
        </is>
      </c>
      <c r="B15111" s="4" t="s">
        <f>=HYPERLINK("http://anyluxury.ru/shop/odezhda/futbolki/futbolka-odyssey-temnosinyaya-03805326/" , "03805326 Футболка Odyssey, темно-синяя, размер 3XL")</f>
      </c>
      <c r="C15111" s="4" t="n">
        <v>1073.00</v>
      </c>
      <c r="D15111" s="4"/>
    </row>
    <row collapsed="" customFormat="false" customHeight="1" hidden="" ht="14" outlineLevel="0" r="15112">
      <c r="A15112" s="3" t="inlineStr">
        <is>
          <t>15068</t>
        </is>
      </c>
      <c r="B15112" s="4" t="s">
        <f>=HYPERLINK("http://anyluxury.ru/shop/odezhda/futbolki/futbolka-odyssey-temnosinyaya-03805326/" , "03805326 Футболка Odyssey, темно-синяя, размер 4XL")</f>
      </c>
      <c r="C15112" s="4" t="n">
        <v>1073.00</v>
      </c>
      <c r="D15112" s="4"/>
    </row>
    <row collapsed="" customFormat="false" customHeight="1" hidden="" ht="14" outlineLevel="0" r="15113">
      <c r="A15113" s="3" t="inlineStr">
        <is>
          <t>15069</t>
        </is>
      </c>
      <c r="B15113" s="4" t="s">
        <f>=HYPERLINK("http://anyluxury.ru/shop/odezhda/futbolki/futbolka-odyssey-belaya-03805325/" , "03805325 Футболка Odyssey, белая, размер XS")</f>
      </c>
      <c r="C15113" s="4" t="n">
        <v>952.00</v>
      </c>
      <c r="D15113" s="4"/>
    </row>
    <row collapsed="" customFormat="false" customHeight="1" hidden="" ht="14" outlineLevel="0" r="15114">
      <c r="A15114" s="3" t="inlineStr">
        <is>
          <t>15070</t>
        </is>
      </c>
      <c r="B15114" s="4" t="s">
        <f>=HYPERLINK("http://anyluxury.ru/shop/odezhda/futbolki/futbolka-odyssey-belaya-03805325/" , "03805325 Футболка Odyssey, белая, размер S")</f>
      </c>
      <c r="C15114" s="4" t="n">
        <v>952.00</v>
      </c>
      <c r="D15114" s="4"/>
    </row>
    <row collapsed="" customFormat="false" customHeight="1" hidden="" ht="14" outlineLevel="0" r="15115">
      <c r="A15115" s="3" t="inlineStr">
        <is>
          <t>15071</t>
        </is>
      </c>
      <c r="B15115" s="4" t="s">
        <f>=HYPERLINK("http://anyluxury.ru/shop/odezhda/futbolki/futbolka-odyssey-belaya-03805325/" , "03805325 Футболка Odyssey, белая, размер M")</f>
      </c>
      <c r="C15115" s="4" t="n">
        <v>952.00</v>
      </c>
      <c r="D15115" s="4"/>
    </row>
    <row collapsed="" customFormat="false" customHeight="1" hidden="" ht="14" outlineLevel="0" r="15116">
      <c r="A15116" s="3" t="inlineStr">
        <is>
          <t>15072</t>
        </is>
      </c>
      <c r="B15116" s="4" t="s">
        <f>=HYPERLINK("http://anyluxury.ru/shop/odezhda/futbolki/futbolka-odyssey-belaya-03805325/" , "03805325 Футболка Odyssey, белая, размер L")</f>
      </c>
      <c r="C15116" s="4" t="n">
        <v>952.00</v>
      </c>
      <c r="D15116" s="4"/>
    </row>
    <row collapsed="" customFormat="false" customHeight="1" hidden="" ht="14" outlineLevel="0" r="15117">
      <c r="A15117" s="3" t="inlineStr">
        <is>
          <t>15073</t>
        </is>
      </c>
      <c r="B15117" s="4" t="s">
        <f>=HYPERLINK("http://anyluxury.ru/shop/odezhda/futbolki/futbolka-odyssey-belaya-03805325/" , "03805325 Футболка Odyssey, белая, размер XL")</f>
      </c>
      <c r="C15117" s="4" t="n">
        <v>952.00</v>
      </c>
      <c r="D15117" s="4"/>
    </row>
    <row collapsed="" customFormat="false" customHeight="1" hidden="" ht="14" outlineLevel="0" r="15118">
      <c r="A15118" s="3" t="inlineStr">
        <is>
          <t>15074</t>
        </is>
      </c>
      <c r="B15118" s="4" t="s">
        <f>=HYPERLINK("http://anyluxury.ru/shop/odezhda/futbolki/futbolka-odyssey-belaya-03805325/" , "03805325 Футболка Odyssey, белая, размер XXL")</f>
      </c>
      <c r="C15118" s="4" t="n">
        <v>952.00</v>
      </c>
      <c r="D15118" s="4"/>
    </row>
    <row collapsed="" customFormat="false" customHeight="1" hidden="" ht="14" outlineLevel="0" r="15119">
      <c r="A15119" s="3" t="inlineStr">
        <is>
          <t>15075</t>
        </is>
      </c>
      <c r="B15119" s="4" t="s">
        <f>=HYPERLINK("http://anyluxury.ru/shop/odezhda/futbolki/futbolka-odyssey-belaya-03805325/" , "03805325 Футболка Odyssey, белая, размер 3XL")</f>
      </c>
      <c r="C15119" s="4" t="n">
        <v>1073.00</v>
      </c>
      <c r="D15119" s="4"/>
    </row>
    <row collapsed="" customFormat="false" customHeight="1" hidden="" ht="14" outlineLevel="0" r="15120">
      <c r="A15120" s="3" t="inlineStr">
        <is>
          <t>15076</t>
        </is>
      </c>
      <c r="B15120" s="4" t="s">
        <f>=HYPERLINK("http://anyluxury.ru/shop/odezhda/futbolki/futbolka-odyssey-belaya-03805325/" , "03805325 Футболка Odyssey, белая, размер 4XL")</f>
      </c>
      <c r="C15120" s="4" t="n">
        <v>1073.00</v>
      </c>
      <c r="D15120" s="4"/>
    </row>
    <row collapsed="" customFormat="false" customHeight="1" hidden="" ht="14" outlineLevel="0" r="15121">
      <c r="A15121" s="3" t="inlineStr">
        <is>
          <t>15077</t>
        </is>
      </c>
      <c r="B15121" s="4" t="s">
        <f>=HYPERLINK("http://anyluxury.ru/shop/odezhda/futbolki/futbolka-uniseks-kosmos-20-svetloseraya-1461010/" , "14610.10 Футболка унисекс Kosmos 2.0, светло-серая, размер XS/S")</f>
      </c>
      <c r="C15121" s="4" t="n">
        <v>1760.00</v>
      </c>
      <c r="D15121" s="4"/>
    </row>
    <row collapsed="" customFormat="false" customHeight="1" hidden="" ht="14" outlineLevel="0" r="15122">
      <c r="A15122" s="3" t="inlineStr">
        <is>
          <t>15078</t>
        </is>
      </c>
      <c r="B15122" s="4" t="s">
        <f>=HYPERLINK("http://anyluxury.ru/shop/odezhda/futbolki/futbolka-uniseks-kosmos-20-svetloseraya-1461010/" , "14610.10 Футболка унисекс Kosmos 2.0, светло-серая, размер M/L")</f>
      </c>
      <c r="C15122" s="4" t="n">
        <v>1760.00</v>
      </c>
      <c r="D15122" s="4"/>
    </row>
    <row collapsed="" customFormat="false" customHeight="1" hidden="" ht="14" outlineLevel="0" r="15123">
      <c r="A15123" s="3" t="inlineStr">
        <is>
          <t>15079</t>
        </is>
      </c>
      <c r="B15123" s="4" t="s">
        <f>=HYPERLINK("http://anyluxury.ru/shop/odezhda/futbolki/futbolka-uniseks-kosmos-20-svetloseraya-1461010/" , "14610.10 Футболка унисекс Kosmos 2.0, светло-серая, размер XL/XXL")</f>
      </c>
      <c r="C15123" s="4" t="n">
        <v>1760.00</v>
      </c>
      <c r="D15123" s="4"/>
    </row>
    <row collapsed="" customFormat="false" customHeight="1" hidden="" ht="14" outlineLevel="0" r="15124">
      <c r="A15124" s="3" t="inlineStr">
        <is>
          <t>15080</t>
        </is>
      </c>
      <c r="B15124" s="4" t="s">
        <f>=HYPERLINK("http://anyluxury.ru/shop/odezhda/futbolki/futbolka-uniseks-kosmos-20-kremovaya-1461060/" , "14610.60 Футболка унисекс Kosmos 2.0, кремовая, размер XS/S")</f>
      </c>
      <c r="C15124" s="4" t="n">
        <v>1760.00</v>
      </c>
      <c r="D15124" s="4"/>
    </row>
    <row collapsed="" customFormat="false" customHeight="1" hidden="" ht="14" outlineLevel="0" r="15125">
      <c r="A15125" s="3" t="inlineStr">
        <is>
          <t>15081</t>
        </is>
      </c>
      <c r="B15125" s="4" t="s">
        <f>=HYPERLINK("http://anyluxury.ru/shop/odezhda/futbolki/futbolka-uniseks-kosmos-20-kremovaya-1461060/" , "14610.60 Футболка унисекс Kosmos 2.0, кремовая, размер M/L")</f>
      </c>
      <c r="C15125" s="4" t="n">
        <v>1760.00</v>
      </c>
      <c r="D15125" s="4"/>
    </row>
    <row collapsed="" customFormat="false" customHeight="1" hidden="" ht="14" outlineLevel="0" r="15126">
      <c r="A15126" s="3" t="inlineStr">
        <is>
          <t>15082</t>
        </is>
      </c>
      <c r="B15126" s="4" t="s">
        <f>=HYPERLINK("http://anyluxury.ru/shop/odezhda/futbolki/futbolka-uniseks-kosmos-20-kremovaya-1461060/" , "14610.60 Футболка унисекс Kosmos 2.0, кремовая, размер XL/ XXL")</f>
      </c>
      <c r="C15126" s="4" t="n">
        <v>1760.00</v>
      </c>
      <c r="D15126" s="4"/>
    </row>
    <row collapsed="" customFormat="false" customHeight="1" hidden="" ht="14" outlineLevel="0" r="15127">
      <c r="A15127" s="3" t="inlineStr">
        <is>
          <t>15083</t>
        </is>
      </c>
      <c r="B15127" s="4" t="s">
        <f>=HYPERLINK("http://anyluxury.ru/shop/odezhda/futbolki/futbolka-uniseks-kosmos-20-temnosinyaya-1461040/" , "14610.40 Футболка унисекс Kosmos 2.0, темно-синяя, размер XS/S")</f>
      </c>
      <c r="C15127" s="4" t="n">
        <v>1760.00</v>
      </c>
      <c r="D15127" s="4"/>
    </row>
    <row collapsed="" customFormat="false" customHeight="1" hidden="" ht="14" outlineLevel="0" r="15128">
      <c r="A15128" s="3" t="inlineStr">
        <is>
          <t>15084</t>
        </is>
      </c>
      <c r="B15128" s="4" t="s">
        <f>=HYPERLINK("http://anyluxury.ru/shop/odezhda/futbolki/futbolka-uniseks-kosmos-20-temnosinyaya-1461040/" , "14610.40 Футболка унисекс Kosmos 2.0, темно-синяя, размер M/L")</f>
      </c>
      <c r="C15128" s="4" t="n">
        <v>1760.00</v>
      </c>
      <c r="D15128" s="4"/>
    </row>
    <row collapsed="" customFormat="false" customHeight="1" hidden="" ht="14" outlineLevel="0" r="15129">
      <c r="A15129" s="3" t="inlineStr">
        <is>
          <t>15085</t>
        </is>
      </c>
      <c r="B15129" s="4" t="s">
        <f>=HYPERLINK("http://anyluxury.ru/shop/odezhda/futbolki/futbolka-uniseks-kosmos-20-temnosinyaya-1461040/" , "14610.40 Футболка унисекс Kosmos 2.0, темно-синяя, размер XL/ XXL")</f>
      </c>
      <c r="C15129" s="4" t="n">
        <v>1760.00</v>
      </c>
      <c r="D15129" s="4"/>
    </row>
    <row collapsed="" customFormat="false" customHeight="1" hidden="" ht="14" outlineLevel="0" r="15130">
      <c r="A15130" s="3" t="inlineStr">
        <is>
          <t>15086</t>
        </is>
      </c>
      <c r="B15130" s="4" t="s">
        <f>=HYPERLINK("http://anyluxury.ru/shop/odezhda/futbolki/futbolka-uniseks-kosmos-20-sinyaya-1461044/" , "14610.44 Футболка унисекс Kosmos 2.0, синяя, размер XS/S")</f>
      </c>
      <c r="C15130" s="4" t="n">
        <v>1760.00</v>
      </c>
      <c r="D15130" s="4"/>
    </row>
    <row collapsed="" customFormat="false" customHeight="1" hidden="" ht="14" outlineLevel="0" r="15131">
      <c r="A15131" s="3" t="inlineStr">
        <is>
          <t>15087</t>
        </is>
      </c>
      <c r="B15131" s="4" t="s">
        <f>=HYPERLINK("http://anyluxury.ru/shop/odezhda/futbolki/futbolka-uniseks-kosmos-20-sinyaya-1461044/" , "14610.44 Футболка унисекс Kosmos 2.0, синяя, размер M/L")</f>
      </c>
      <c r="C15131" s="4" t="n">
        <v>1760.00</v>
      </c>
      <c r="D15131" s="4"/>
    </row>
    <row collapsed="" customFormat="false" customHeight="1" hidden="" ht="14" outlineLevel="0" r="15132">
      <c r="A15132" s="3" t="inlineStr">
        <is>
          <t>15088</t>
        </is>
      </c>
      <c r="B15132" s="4" t="s">
        <f>=HYPERLINK("http://anyluxury.ru/shop/odezhda/futbolki/futbolka-uniseks-kosmos-20-sinyaya-1461044/" , "14610.44 Футболка унисекс Kosmos 2.0, синяя, размер XL/ XXL")</f>
      </c>
      <c r="C15132" s="4" t="n">
        <v>1760.00</v>
      </c>
      <c r="D15132" s="4"/>
    </row>
    <row collapsed="" customFormat="false" customHeight="1" hidden="" ht="14" outlineLevel="0" r="15133">
      <c r="A15133" s="3" t="inlineStr">
        <is>
          <t>15089</t>
        </is>
      </c>
      <c r="B15133" s="4" t="s">
        <f>=HYPERLINK("http://anyluxury.ru/shop/odezhda/futbolki/futbolka-oversayz-vozduh-20-sinyaya-1461144/" , "14611.44 Футболка оверсайз Vozduh 2.0, синяя, размер XS/S")</f>
      </c>
      <c r="C15133" s="4" t="n">
        <v>1333.00</v>
      </c>
      <c r="D15133" s="4"/>
    </row>
    <row collapsed="" customFormat="false" customHeight="1" hidden="" ht="14" outlineLevel="0" r="15134">
      <c r="A15134" s="3" t="inlineStr">
        <is>
          <t>15090</t>
        </is>
      </c>
      <c r="B15134" s="4" t="s">
        <f>=HYPERLINK("http://anyluxury.ru/shop/odezhda/futbolki/futbolka-oversayz-vozduh-20-sinyaya-1461144/" , "14611.44 Футболка оверсайз Vozduh 2.0, синяя, размер M/L")</f>
      </c>
      <c r="C15134" s="4" t="n">
        <v>1333.00</v>
      </c>
      <c r="D15134" s="4"/>
    </row>
    <row collapsed="" customFormat="false" customHeight="1" hidden="" ht="14" outlineLevel="0" r="15135">
      <c r="A15135" s="3" t="inlineStr">
        <is>
          <t>15091</t>
        </is>
      </c>
      <c r="B15135" s="4" t="s">
        <f>=HYPERLINK("http://anyluxury.ru/shop/odezhda/futbolki/futbolka-oversayz-vozduh-20-sinyaya-1461144/" , "14611.44 Футболка оверсайз Vozduh 2.0, синяя, размер XL/ XXL")</f>
      </c>
      <c r="C15135" s="4" t="n">
        <v>1333.00</v>
      </c>
      <c r="D15135" s="4"/>
    </row>
    <row collapsed="" customFormat="false" customHeight="1" hidden="" ht="14" outlineLevel="0" r="15136">
      <c r="A15136" s="3" t="inlineStr">
        <is>
          <t>15092</t>
        </is>
      </c>
      <c r="B15136" s="4" t="s">
        <f>=HYPERLINK("http://anyluxury.ru/shop/odezhda/futbolki/futbolka-oversayz-vozduh-20-kremovaya-1461160/" , "14611.60 Футболка оверсайз Vozduh 2.0, кремовая, размер XS/S")</f>
      </c>
      <c r="C15136" s="4" t="n">
        <v>1333.00</v>
      </c>
      <c r="D15136" s="4"/>
    </row>
    <row collapsed="" customFormat="false" customHeight="1" hidden="" ht="14" outlineLevel="0" r="15137">
      <c r="A15137" s="3" t="inlineStr">
        <is>
          <t>15093</t>
        </is>
      </c>
      <c r="B15137" s="4" t="s">
        <f>=HYPERLINK("http://anyluxury.ru/shop/odezhda/futbolki/futbolka-oversayz-vozduh-20-kremovaya-1461160/" , "14611.60 Футболка оверсайз Vozduh 2.0, кремовая, размер M/L")</f>
      </c>
      <c r="C15137" s="4" t="n">
        <v>1333.00</v>
      </c>
      <c r="D15137" s="4"/>
    </row>
    <row collapsed="" customFormat="false" customHeight="1" hidden="" ht="14" outlineLevel="0" r="15138">
      <c r="A15138" s="3" t="inlineStr">
        <is>
          <t>15094</t>
        </is>
      </c>
      <c r="B15138" s="4" t="s">
        <f>=HYPERLINK("http://anyluxury.ru/shop/odezhda/futbolki/futbolka-oversayz-vozduh-20-kremovaya-1461160/" , "14611.60 Футболка оверсайз Vozduh 2.0, кремовая, размер XL/ XXL")</f>
      </c>
      <c r="C15138" s="4" t="n">
        <v>1333.00</v>
      </c>
      <c r="D15138" s="4"/>
    </row>
    <row collapsed="" customFormat="false" customHeight="1" hidden="" ht="14" outlineLevel="0" r="15139">
      <c r="A15139" s="3" t="inlineStr">
        <is>
          <t>15095</t>
        </is>
      </c>
      <c r="B15139" s="4" t="s">
        <f>=HYPERLINK("http://anyluxury.ru/shop/odezhda/futbolki/futbolka-oversayz-vozduh-20-temnosinyaya-1461140/" , "14611.40 Футболка оверсайз Vozduh 2.0, темно-синяя, размер XS/S")</f>
      </c>
      <c r="C15139" s="4" t="n">
        <v>1333.00</v>
      </c>
      <c r="D15139" s="4"/>
    </row>
    <row collapsed="" customFormat="false" customHeight="1" hidden="" ht="14" outlineLevel="0" r="15140">
      <c r="A15140" s="3" t="inlineStr">
        <is>
          <t>15096</t>
        </is>
      </c>
      <c r="B15140" s="4" t="s">
        <f>=HYPERLINK("http://anyluxury.ru/shop/odezhda/futbolki/futbolka-oversayz-vozduh-20-temnosinyaya-1461140/" , "14611.40 Футболка оверсайз Vozduh 2.0, темно-синяя, размер M/L")</f>
      </c>
      <c r="C15140" s="4" t="n">
        <v>1333.00</v>
      </c>
      <c r="D15140" s="4"/>
    </row>
    <row collapsed="" customFormat="false" customHeight="1" hidden="" ht="14" outlineLevel="0" r="15141">
      <c r="A15141" s="3" t="inlineStr">
        <is>
          <t>15097</t>
        </is>
      </c>
      <c r="B15141" s="4" t="s">
        <f>=HYPERLINK("http://anyluxury.ru/shop/odezhda/futbolki/futbolka-oversayz-vozduh-20-temnosinyaya-1461140/" , "14611.40 Футболка оверсайз Vozduh 2.0, темно-синяя, размер XL/ XXL")</f>
      </c>
      <c r="C15141" s="4" t="n">
        <v>1333.00</v>
      </c>
      <c r="D15141" s="4"/>
    </row>
    <row collapsed="" customFormat="false" customHeight="1" hidden="" ht="14" outlineLevel="0" r="15142">
      <c r="A15142" s="3" t="inlineStr">
        <is>
          <t>15098</t>
        </is>
      </c>
      <c r="B15142" s="4" t="s">
        <f>=HYPERLINK("http://anyluxury.ru/shop/odezhda/futbolki/futbolka-oversayz-vozduh-20-krasnaya-1461155/" , "14611.55 Футболка оверсайз Vozduh 2.0, красная, размер XS/S")</f>
      </c>
      <c r="C15142" s="4" t="n">
        <v>1333.00</v>
      </c>
      <c r="D15142" s="4"/>
    </row>
    <row collapsed="" customFormat="false" customHeight="1" hidden="" ht="14" outlineLevel="0" r="15143">
      <c r="A15143" s="3" t="inlineStr">
        <is>
          <t>15099</t>
        </is>
      </c>
      <c r="B15143" s="4" t="s">
        <f>=HYPERLINK("http://anyluxury.ru/shop/odezhda/futbolki/futbolka-oversayz-vozduh-20-krasnaya-1461155/" , "14611.55 Футболка оверсайз Vozduh 2.0, красная, размер M/L")</f>
      </c>
      <c r="C15143" s="4" t="n">
        <v>1333.00</v>
      </c>
      <c r="D15143" s="4"/>
    </row>
    <row collapsed="" customFormat="false" customHeight="1" hidden="" ht="14" outlineLevel="0" r="15144">
      <c r="A15144" s="3" t="inlineStr">
        <is>
          <t>15100</t>
        </is>
      </c>
      <c r="B15144" s="4" t="s">
        <f>=HYPERLINK("http://anyluxury.ru/shop/odezhda/futbolki/futbolka-oversayz-vozduh-20-krasnaya-1461155/" , "14611.55 Футболка оверсайз Vozduh 2.0, красная, размер XL/ XXL")</f>
      </c>
      <c r="C15144" s="4" t="n">
        <v>1333.00</v>
      </c>
      <c r="D15144" s="4"/>
    </row>
    <row collapsed="" customFormat="false" customHeight="1" hidden="" ht="14" outlineLevel="0" r="15145">
      <c r="A15145" s="3" t="inlineStr">
        <is>
          <t>15101</t>
        </is>
      </c>
      <c r="B15145" s="4" t="s">
        <f>=HYPERLINK("http://anyluxury.ru/shop/odezhda/futbolki/futbolka-uniseks-neofit-kremovaya-1461560/" , "14615.60 Футболка унисекс Neofit, кремовая, размер XS/S")</f>
      </c>
      <c r="C15145" s="4" t="n">
        <v>1650.00</v>
      </c>
      <c r="D15145" s="4"/>
    </row>
    <row collapsed="" customFormat="false" customHeight="1" hidden="" ht="14" outlineLevel="0" r="15146">
      <c r="A15146" s="3" t="inlineStr">
        <is>
          <t>15102</t>
        </is>
      </c>
      <c r="B15146" s="4" t="s">
        <f>=HYPERLINK("http://anyluxury.ru/shop/odezhda/futbolki/futbolka-uniseks-neofit-sinyaya-1461544/" , "14615.44 Футболка унисекс Neofit, синяя, размер XS/S")</f>
      </c>
      <c r="C15146" s="4" t="n">
        <v>1650.00</v>
      </c>
      <c r="D15146" s="4"/>
    </row>
    <row collapsed="" customFormat="false" customHeight="1" hidden="" ht="14" outlineLevel="0" r="15147">
      <c r="A15147" s="3" t="inlineStr">
        <is>
          <t>15103</t>
        </is>
      </c>
      <c r="B15147" s="4" t="s">
        <f>=HYPERLINK("http://anyluxury.ru/shop/odezhda/futbolki/futbolka-uniseks-neofit-sinyaya-1461544/" , "14615.44 Футболка унисекс Neofit, синяя, размер M/L")</f>
      </c>
      <c r="C15147" s="4" t="n">
        <v>1650.00</v>
      </c>
      <c r="D15147" s="4"/>
    </row>
    <row collapsed="" customFormat="false" customHeight="1" hidden="" ht="14" outlineLevel="0" r="15148">
      <c r="A15148" s="3" t="inlineStr">
        <is>
          <t>15104</t>
        </is>
      </c>
      <c r="B15148" s="4" t="s">
        <f>=HYPERLINK("http://anyluxury.ru/shop/odezhda/futbolki/futbolka-uniseks-neofit-sinyaya-1461544/" , "14615.44 Футболка унисекс Neofit, синяя, размер XL/ XXL")</f>
      </c>
      <c r="C15148" s="4" t="n">
        <v>1650.00</v>
      </c>
      <c r="D15148" s="4"/>
    </row>
    <row collapsed="" customFormat="false" customHeight="1" hidden="" ht="14" outlineLevel="0" r="15149">
      <c r="A15149" s="3" t="inlineStr">
        <is>
          <t>15105</t>
        </is>
      </c>
      <c r="B15149" s="4" t="s">
        <f>=HYPERLINK("http://anyluxury.ru/shop/odezhda/futbolki/futbolka-uniseks-neofit-temnosinyaya-1461540/" , "14615.40 Футболка унисекс Neofit, темно-синяя, размер XS/S")</f>
      </c>
      <c r="C15149" s="4" t="n">
        <v>1650.00</v>
      </c>
      <c r="D15149" s="4"/>
    </row>
    <row collapsed="" customFormat="false" customHeight="1" hidden="" ht="14" outlineLevel="0" r="15150">
      <c r="A15150" s="3" t="inlineStr">
        <is>
          <t>15106</t>
        </is>
      </c>
      <c r="B15150" s="4" t="s">
        <f>=HYPERLINK("http://anyluxury.ru/shop/odezhda/futbolki/futbolka-uniseks-neofit-temnosinyaya-1461540/" , "14615.40 Футболка унисекс Neofit, темно-синяя, размер M/L")</f>
      </c>
      <c r="C15150" s="4" t="n">
        <v>1650.00</v>
      </c>
      <c r="D15150" s="4"/>
    </row>
    <row collapsed="" customFormat="false" customHeight="1" hidden="" ht="14" outlineLevel="0" r="15151">
      <c r="A15151" s="3" t="inlineStr">
        <is>
          <t>15107</t>
        </is>
      </c>
      <c r="B15151" s="4" t="s">
        <f>=HYPERLINK("http://anyluxury.ru/shop/odezhda/futbolki/futbolka-uniseks-neofit-temnosinyaya-1461540/" , "14615.40 Футболка унисекс Neofit, темно-синяя, размер XL/ XXL")</f>
      </c>
      <c r="C15151" s="4" t="n">
        <v>1650.00</v>
      </c>
      <c r="D15151" s="4"/>
    </row>
    <row collapsed="" customFormat="false" customHeight="1" hidden="" ht="14" outlineLevel="0" r="15152">
      <c r="A15152" s="3" t="inlineStr">
        <is>
          <t>15108</t>
        </is>
      </c>
      <c r="B15152" s="4" t="s">
        <f>=HYPERLINK("http://anyluxury.ru/shop/odezhda/futbolki/futbolka-oversayz-slope-kobalt-temnosinyaya-1396144/" , "13961.44 Футболка оверсайз Slope, кобальт (темно-синяя), размер ХS/S")</f>
      </c>
      <c r="C15152" s="4" t="n">
        <v>1300.00</v>
      </c>
      <c r="D15152" s="4"/>
    </row>
    <row collapsed="" customFormat="false" customHeight="1" hidden="" ht="14" outlineLevel="0" r="15153">
      <c r="A15153" s="3" t="inlineStr">
        <is>
          <t>15109</t>
        </is>
      </c>
      <c r="B15153" s="4" t="s">
        <f>=HYPERLINK("http://anyluxury.ru/shop/odezhda/futbolki/futbolka-oversayz-slope-kobalt-temnosinyaya-1396144/" , "13961.44 Футболка оверсайз Slope, кобальт (темно-синяя), размер M/L")</f>
      </c>
      <c r="C15153" s="4" t="n">
        <v>1300.00</v>
      </c>
      <c r="D15153" s="4"/>
    </row>
    <row collapsed="" customFormat="false" customHeight="1" hidden="" ht="14" outlineLevel="0" r="15154">
      <c r="A15154" s="3" t="inlineStr">
        <is>
          <t>15110</t>
        </is>
      </c>
      <c r="B15154" s="4" t="s">
        <f>=HYPERLINK("http://anyluxury.ru/shop/odezhda/futbolki/futbolka-oversayz-slope-kobalt-temnosinyaya-1396144/" , "13961.44 Футболка оверсайз Slope, кобальт (темно-синяя), размер XL/XXL")</f>
      </c>
      <c r="C15154" s="4" t="n">
        <v>1300.00</v>
      </c>
      <c r="D15154" s="4"/>
    </row>
    <row collapsed="" customFormat="false" customHeight="1" hidden="" ht="14" outlineLevel="0" r="15155">
      <c r="A15155" s="3" t="inlineStr">
        <is>
          <t>15111</t>
        </is>
      </c>
      <c r="B15155" s="4" t="s">
        <f>=HYPERLINK("http://anyluxury.ru/shop/odezhda/futbolki/futbolka-uniseks-paint-tee-belaya-1466760/" , "14667.60 Футболка унисекс Paint Tee, белая, размер 46")</f>
      </c>
      <c r="C15155" s="4" t="n">
        <v>430.00</v>
      </c>
      <c r="D15155" s="4"/>
    </row>
    <row collapsed="" customFormat="false" customHeight="1" hidden="" ht="14" outlineLevel="0" r="15156">
      <c r="A15156" s="3" t="inlineStr">
        <is>
          <t>15112</t>
        </is>
      </c>
      <c r="B15156" s="4" t="s">
        <f>=HYPERLINK("http://anyluxury.ru/shop/odezhda/futbolki/futbolka-uniseks-paint-tee-belaya-1466760/" , "14667.60 Футболка унисекс Paint Tee, белая, размер 48")</f>
      </c>
      <c r="C15156" s="4" t="n">
        <v>430.00</v>
      </c>
      <c r="D15156" s="4"/>
    </row>
    <row collapsed="" customFormat="false" customHeight="1" hidden="" ht="14" outlineLevel="0" r="15157">
      <c r="A15157" s="3" t="inlineStr">
        <is>
          <t>15113</t>
        </is>
      </c>
      <c r="B15157" s="4" t="s">
        <f>=HYPERLINK("http://anyluxury.ru/shop/odezhda/futbolki/futbolka-uniseks-paint-tee-belaya-1466760/" , "14667.60 Футболка унисекс Paint Tee, белая, размер 50")</f>
      </c>
      <c r="C15157" s="4" t="n">
        <v>430.00</v>
      </c>
      <c r="D15157" s="4"/>
    </row>
    <row collapsed="" customFormat="false" customHeight="1" hidden="" ht="14" outlineLevel="0" r="15158">
      <c r="A15158" s="3" t="inlineStr">
        <is>
          <t>15114</t>
        </is>
      </c>
      <c r="B15158" s="4" t="s">
        <f>=HYPERLINK("http://anyluxury.ru/shop/odezhda/futbolki/futbolka-uniseks-paint-tee-belaya-1466760/" , "14667.60 Футболка унисекс Paint Tee, белая, размер 52")</f>
      </c>
      <c r="C15158" s="4" t="n">
        <v>430.00</v>
      </c>
      <c r="D15158" s="4"/>
    </row>
    <row collapsed="" customFormat="false" customHeight="1" hidden="" ht="14" outlineLevel="0" r="15159">
      <c r="A15159" s="3" t="inlineStr">
        <is>
          <t>15115</t>
        </is>
      </c>
      <c r="B15159" s="4" t="s">
        <f>=HYPERLINK("http://anyluxury.ru/shop/odezhda/futbolki/futbolka-uniseks-paint-tee-belaya-1466760/" , "14667.60 Футболка унисекс Paint Tee, белая, размер 54")</f>
      </c>
      <c r="C15159" s="4" t="n">
        <v>430.00</v>
      </c>
      <c r="D15159" s="4"/>
    </row>
    <row collapsed="" customFormat="false" customHeight="1" hidden="" ht="14" outlineLevel="0" r="15160">
      <c r="A15160" s="3" t="inlineStr">
        <is>
          <t>15116</t>
        </is>
      </c>
      <c r="B15160" s="4" t="s">
        <f>=HYPERLINK("http://anyluxury.ru/shop/odezhda/futbolki/futbolka-uniseks-paint-tee-belaya-1466760/" , "14667.60 Футболка унисекс Paint Tee, белая, размер 56")</f>
      </c>
      <c r="C15160" s="4" t="n">
        <v>430.00</v>
      </c>
      <c r="D15160" s="4"/>
    </row>
    <row collapsed="" customFormat="false" customHeight="1" hidden="" ht="14" outlineLevel="0" r="15161">
      <c r="A15161" s="3" t="inlineStr">
        <is>
          <t>15117</t>
        </is>
      </c>
      <c r="B15161" s="4" t="s">
        <f>=HYPERLINK("http://anyluxury.ru/shop/odezhda/futbolki/futbolka-uniseks-tervu-belaya-1521460/" , "15214.60 Футболка унисекс Tervu, белая, размер S")</f>
      </c>
      <c r="C15161" s="4" t="n">
        <v>780.00</v>
      </c>
      <c r="D15161" s="4"/>
    </row>
    <row collapsed="" customFormat="false" customHeight="1" hidden="" ht="14" outlineLevel="0" r="15162">
      <c r="A15162" s="3" t="inlineStr">
        <is>
          <t>15118</t>
        </is>
      </c>
      <c r="B15162" s="4" t="s">
        <f>=HYPERLINK("http://anyluxury.ru/shop/odezhda/futbolki/futbolka-uniseks-tervu-belaya-1521460/" , "15214.60 Футболка унисекс Tervu, белая, размер M")</f>
      </c>
      <c r="C15162" s="4" t="n">
        <v>780.00</v>
      </c>
      <c r="D15162" s="4"/>
    </row>
    <row collapsed="" customFormat="false" customHeight="1" hidden="" ht="14" outlineLevel="0" r="15163">
      <c r="A15163" s="3" t="inlineStr">
        <is>
          <t>15119</t>
        </is>
      </c>
      <c r="B15163" s="4" t="s">
        <f>=HYPERLINK("http://anyluxury.ru/shop/odezhda/futbolki/futbolka-uniseks-tervu-belaya-1521460/" , "15214.60 Футболка унисекс Tervu, белая, размер L")</f>
      </c>
      <c r="C15163" s="4" t="n">
        <v>780.00</v>
      </c>
      <c r="D15163" s="4"/>
    </row>
    <row collapsed="" customFormat="false" customHeight="1" hidden="" ht="14" outlineLevel="0" r="15164">
      <c r="A15164" s="3" t="inlineStr">
        <is>
          <t>15120</t>
        </is>
      </c>
      <c r="B15164" s="4" t="s">
        <f>=HYPERLINK("http://anyluxury.ru/shop/odezhda/futbolki/futbolka-uniseks-tervu-belaya-1521460/" , "15214.60 Футболка унисекс Tervu, белая, размер XL")</f>
      </c>
      <c r="C15164" s="4" t="n">
        <v>780.00</v>
      </c>
      <c r="D15164" s="4"/>
    </row>
    <row collapsed="" customFormat="false" customHeight="1" hidden="" ht="14" outlineLevel="0" r="15165">
      <c r="A15165" s="3" t="inlineStr">
        <is>
          <t>15121</t>
        </is>
      </c>
      <c r="B15165" s="4" t="s">
        <f>=HYPERLINK("http://anyluxury.ru/shop/odezhda/futbolki/futbolka-uniseks-tervu-belaya-1521460/" , "15214.60 Футболка унисекс Tervu, белая, размер XXL")</f>
      </c>
      <c r="C15165" s="4" t="n">
        <v>780.00</v>
      </c>
      <c r="D15165" s="4"/>
    </row>
    <row collapsed="" customFormat="false" customHeight="1" hidden="" ht="14" outlineLevel="0" r="15166">
      <c r="A15166" s="3" t="inlineStr">
        <is>
          <t>15122</t>
        </is>
      </c>
      <c r="B15166" s="4" t="s">
        <f>=HYPERLINK("http://anyluxury.ru/shop/odezhda/futbolki/futbolka-uniseks-tervu-belaya-1521460/" , "15214.60 Футболка унисекс Tervu, белая, размер 3XL")</f>
      </c>
      <c r="C15166" s="4" t="n">
        <v>780.00</v>
      </c>
      <c r="D15166" s="4"/>
    </row>
    <row collapsed="" customFormat="false" customHeight="1" hidden="" ht="14" outlineLevel="0" r="15167">
      <c r="A15167" s="3" t="inlineStr">
        <is>
          <t>15123</t>
        </is>
      </c>
      <c r="B15167" s="4" t="s">
        <f>=HYPERLINK("http://anyluxury.ru/shop/odezhda/futbolki/futbolka-uniseks-tervu-chernaya-1521430/" , "15214.30 Футболка унисекс Tervu, черная, размер S")</f>
      </c>
      <c r="C15167" s="4" t="n">
        <v>780.00</v>
      </c>
      <c r="D15167" s="4"/>
    </row>
    <row collapsed="" customFormat="false" customHeight="1" hidden="" ht="14" outlineLevel="0" r="15168">
      <c r="A15168" s="3" t="inlineStr">
        <is>
          <t>15124</t>
        </is>
      </c>
      <c r="B15168" s="4" t="s">
        <f>=HYPERLINK("http://anyluxury.ru/shop/odezhda/futbolki/futbolka-uniseks-tervu-chernaya-1521430/" , "15214.30 Футболка унисекс Tervu, черная, размер XL")</f>
      </c>
      <c r="C15168" s="4" t="n">
        <v>780.00</v>
      </c>
      <c r="D15168" s="4"/>
    </row>
    <row collapsed="" customFormat="false" customHeight="1" hidden="" ht="14" outlineLevel="0" r="15169">
      <c r="A15169" s="3" t="inlineStr">
        <is>
          <t>15125</t>
        </is>
      </c>
      <c r="B15169" s="4" t="s">
        <f>=HYPERLINK("http://anyluxury.ru/shop/odezhda/futbolki/futbolka-uniseks-tervu-chernaya-1521430/" , "15214.30 Футболка унисекс Tervu, черная, размер XXL")</f>
      </c>
      <c r="C15169" s="4" t="n">
        <v>780.00</v>
      </c>
      <c r="D15169" s="4"/>
    </row>
    <row collapsed="" customFormat="false" customHeight="1" hidden="" ht="14" outlineLevel="0" r="15170">
      <c r="A15170" s="3" t="inlineStr">
        <is>
          <t>15126</t>
        </is>
      </c>
      <c r="B15170" s="4" t="s">
        <f>=HYPERLINK("http://anyluxury.ru/shop/odezhda/futbolki/futbolka-uniseks-tervu-chernaya-1521430/" , "15214.30 Футболка унисекс Tervu, черная, размер 3XL")</f>
      </c>
      <c r="C15170" s="4" t="n">
        <v>780.00</v>
      </c>
      <c r="D15170" s="4"/>
    </row>
    <row collapsed="" customFormat="false" customHeight="1" hidden="" ht="14" outlineLevel="0" r="15171">
      <c r="A15171" s="3" t="inlineStr">
        <is>
          <t>15127</t>
        </is>
      </c>
      <c r="B15171" s="4" t="s">
        <f>=HYPERLINK("http://anyluxury.ru/shop/odezhda/futbolki/futbolka-uniseks-oversayz-crosstown-belaya-1521360/" , "15213.60 Футболка унисекс оверсайз Crosstown, белая, размер S")</f>
      </c>
      <c r="C15171" s="4" t="n">
        <v>1040.00</v>
      </c>
      <c r="D15171" s="4"/>
    </row>
    <row collapsed="" customFormat="false" customHeight="1" hidden="" ht="14" outlineLevel="0" r="15172">
      <c r="A15172" s="3" t="inlineStr">
        <is>
          <t>15128</t>
        </is>
      </c>
      <c r="B15172" s="4" t="s">
        <f>=HYPERLINK("http://anyluxury.ru/shop/odezhda/futbolki/futbolka-uniseks-oversayz-crosstown-belaya-1521360/" , "15213.60 Футболка унисекс оверсайз Crosstown, белая, размер M")</f>
      </c>
      <c r="C15172" s="4" t="n">
        <v>1040.00</v>
      </c>
      <c r="D15172" s="4"/>
    </row>
    <row collapsed="" customFormat="false" customHeight="1" hidden="" ht="14" outlineLevel="0" r="15173">
      <c r="A15173" s="3" t="inlineStr">
        <is>
          <t>15129</t>
        </is>
      </c>
      <c r="B15173" s="4" t="s">
        <f>=HYPERLINK("http://anyluxury.ru/shop/odezhda/futbolki/futbolka-uniseks-oversayz-crosstown-belaya-1521360/" , "15213.60 Футболка унисекс оверсайз Crosstown, белая, размер L")</f>
      </c>
      <c r="C15173" s="4" t="n">
        <v>1040.00</v>
      </c>
      <c r="D15173" s="4"/>
    </row>
    <row collapsed="" customFormat="false" customHeight="1" hidden="" ht="14" outlineLevel="0" r="15174">
      <c r="A15174" s="3" t="inlineStr">
        <is>
          <t>15130</t>
        </is>
      </c>
      <c r="B15174" s="4" t="s">
        <f>=HYPERLINK("http://anyluxury.ru/shop/odezhda/futbolki/futbolka-uniseks-oversayz-crosstown-belaya-1521360/" , "15213.60 Футболка унисекс оверсайз Crosstown, белая, размер XL")</f>
      </c>
      <c r="C15174" s="4" t="n">
        <v>1040.00</v>
      </c>
      <c r="D15174" s="4"/>
    </row>
    <row collapsed="" customFormat="false" customHeight="1" hidden="" ht="14" outlineLevel="0" r="15175">
      <c r="A15175" s="3" t="inlineStr">
        <is>
          <t>15131</t>
        </is>
      </c>
      <c r="B15175" s="4" t="s">
        <f>=HYPERLINK("http://anyluxury.ru/shop/odezhda/futbolki/futbolka-uniseks-oversayz-crosstown-belaya-1521360/" , "15213.60 Футболка унисекс оверсайз Crosstown, белая, размер XXL")</f>
      </c>
      <c r="C15175" s="4" t="n">
        <v>1040.00</v>
      </c>
      <c r="D15175" s="4"/>
    </row>
    <row collapsed="" customFormat="false" customHeight="1" hidden="" ht="14" outlineLevel="0" r="15176">
      <c r="A15176" s="3" t="inlineStr">
        <is>
          <t>15132</t>
        </is>
      </c>
      <c r="B15176" s="4" t="s">
        <f>=HYPERLINK("http://anyluxury.ru/shop/odezhda/futbolki/futbolka-uniseks-oversayz-crosstown-chernaya-1521330/" , "15213.30 Футболка унисекс оверсайз Crosstown, черная, размер S")</f>
      </c>
      <c r="C15176" s="4" t="n">
        <v>1040.00</v>
      </c>
      <c r="D15176" s="4"/>
    </row>
    <row collapsed="" customFormat="false" customHeight="1" hidden="" ht="14" outlineLevel="0" r="15177">
      <c r="A15177" s="3" t="inlineStr">
        <is>
          <t>15133</t>
        </is>
      </c>
      <c r="B15177" s="4" t="s">
        <f>=HYPERLINK("http://anyluxury.ru/shop/odezhda/futbolki/futbolka-uniseks-oversayz-crosstown-chernaya-1521330/" , "15213.30 Футболка унисекс оверсайз Crosstown, черная, размер L")</f>
      </c>
      <c r="C15177" s="4" t="n">
        <v>1040.00</v>
      </c>
      <c r="D15177" s="4"/>
    </row>
    <row collapsed="" customFormat="false" customHeight="1" hidden="" ht="14" outlineLevel="0" r="15178">
      <c r="A15178" s="3" t="inlineStr">
        <is>
          <t>15134</t>
        </is>
      </c>
      <c r="B15178" s="4" t="s">
        <f>=HYPERLINK("http://anyluxury.ru/shop/odezhda/futbolki/futbolka-uniseks-oversayz-crosstown-chernaya-1521330/" , "15213.30 Футболка унисекс оверсайз Crosstown, черная, размер XXL")</f>
      </c>
      <c r="C15178" s="4" t="n">
        <v>1040.00</v>
      </c>
      <c r="D15178" s="4"/>
    </row>
    <row collapsed="" customFormat="false" customHeight="1" hidden="" ht="14" outlineLevel="0" r="15179">
      <c r="A15179" s="3" t="inlineStr">
        <is>
          <t>15135</t>
        </is>
      </c>
      <c r="B15179" s="4" t="s">
        <f>=HYPERLINK("http://anyluxury.ru/shop/odezhda/futbolki/futbolka-uniseks-oversayz-street-vibes-chernaya-1690030/" , "16900.30 Футболка унисекс оверсайз Street Vibes, черная, размер XS/S")</f>
      </c>
      <c r="C15179" s="4" t="n">
        <v>1395.00</v>
      </c>
      <c r="D15179" s="4"/>
    </row>
    <row collapsed="" customFormat="false" customHeight="1" hidden="" ht="14" outlineLevel="0" r="15180">
      <c r="A15180" s="3" t="inlineStr">
        <is>
          <t>15136</t>
        </is>
      </c>
      <c r="B15180" s="4" t="s">
        <f>=HYPERLINK("http://anyluxury.ru/shop/odezhda/futbolki/futbolka-uniseks-oversayz-street-vibes-chernaya-1690030/" , "16900.30 Футболка унисекс оверсайз Street Vibes, черная, размер M/L")</f>
      </c>
      <c r="C15180" s="4" t="n">
        <v>1395.00</v>
      </c>
      <c r="D15180" s="4"/>
    </row>
    <row collapsed="" customFormat="false" customHeight="1" hidden="" ht="14" outlineLevel="0" r="15181">
      <c r="A15181" s="3" t="inlineStr">
        <is>
          <t>15137</t>
        </is>
      </c>
      <c r="B15181" s="4" t="s">
        <f>=HYPERLINK("http://anyluxury.ru/shop/odezhda/futbolki/futbolka-uniseks-oversayz-street-vibes-chernaya-1690030/" , "16900.30 Футболка унисекс оверсайз Street Vibes, черная, размер XL/XXL")</f>
      </c>
      <c r="C15181" s="4" t="n">
        <v>1395.00</v>
      </c>
      <c r="D15181" s="4"/>
    </row>
    <row collapsed="" customFormat="false" customHeight="1" hidden="" ht="14" outlineLevel="0" r="15182">
      <c r="A15182" s="3" t="inlineStr">
        <is>
          <t>15138</t>
        </is>
      </c>
      <c r="B15182" s="4" t="s">
        <f>=HYPERLINK("http://anyluxury.ru/shop/odezhda/futbolki/futbolka-uniseks-oversayz-street-vibes-molochnobelaya-1690060/" , "16900.60 Футболка унисекс оверсайз Street Vibes, молочно-белая, размер XS/S")</f>
      </c>
      <c r="C15182" s="4" t="n">
        <v>1395.00</v>
      </c>
      <c r="D15182" s="4"/>
    </row>
    <row collapsed="" customFormat="false" customHeight="1" hidden="" ht="14" outlineLevel="0" r="15183">
      <c r="A15183" s="3" t="inlineStr">
        <is>
          <t>15139</t>
        </is>
      </c>
      <c r="B15183" s="4" t="s">
        <f>=HYPERLINK("http://anyluxury.ru/shop/odezhda/futbolki/futbolka-uniseks-oversayz-street-vibes-molochnobelaya-1690060/" , "16900.60 Футболка унисекс оверсайз Street Vibes, молочно-белая, размер M/L")</f>
      </c>
      <c r="C15183" s="4" t="n">
        <v>1395.00</v>
      </c>
      <c r="D15183" s="4"/>
    </row>
    <row collapsed="" customFormat="false" customHeight="1" hidden="" ht="14" outlineLevel="0" r="15184">
      <c r="A15184" s="3" t="inlineStr">
        <is>
          <t>15140</t>
        </is>
      </c>
      <c r="B15184" s="4" t="s">
        <f>=HYPERLINK("http://anyluxury.ru/shop/odezhda/futbolki/futbolka-uniseks-oversayz-street-vibes-molochnobelaya-1690060/" , "16900.60 Футболка унисекс оверсайз Street Vibes, молочно-белая, размер XL/XXL")</f>
      </c>
      <c r="C15184" s="4" t="n">
        <v>1395.00</v>
      </c>
      <c r="D15184" s="4"/>
    </row>
    <row collapsed="" customFormat="false" customHeight="1" hidden="" ht="14" outlineLevel="0" r="15185">
      <c r="A15185" s="3" t="inlineStr">
        <is>
          <t>15141</t>
        </is>
      </c>
      <c r="B15185" s="4" t="s">
        <f>=HYPERLINK("http://anyluxury.ru/shop/odezhda/futbolki/futbolka-uniseks-oversayz-street-vibes-yarkosinyaya-1690044/" , "16900.44 Футболка унисекс оверсайз Street Vibes, ярко-синяя, размер XS/S")</f>
      </c>
      <c r="C15185" s="4" t="n">
        <v>1395.00</v>
      </c>
      <c r="D15185" s="4"/>
    </row>
    <row collapsed="" customFormat="false" customHeight="1" hidden="" ht="14" outlineLevel="0" r="15186">
      <c r="A15186" s="3" t="inlineStr">
        <is>
          <t>15142</t>
        </is>
      </c>
      <c r="B15186" s="4" t="s">
        <f>=HYPERLINK("http://anyluxury.ru/shop/odezhda/futbolki/futbolka-uniseks-oversayz-street-vibes-yarkosinyaya-1690044/" , "16900.44 Футболка унисекс оверсайз Street Vibes, ярко-синяя, размер M/L")</f>
      </c>
      <c r="C15186" s="4" t="n">
        <v>1395.00</v>
      </c>
      <c r="D15186" s="4"/>
    </row>
    <row collapsed="" customFormat="false" customHeight="1" hidden="" ht="14" outlineLevel="0" r="15187">
      <c r="A15187" s="3" t="inlineStr">
        <is>
          <t>15143</t>
        </is>
      </c>
      <c r="B15187" s="4" t="s">
        <f>=HYPERLINK("http://anyluxury.ru/shop/odezhda/futbolki/futbolka-uniseks-oversayz-street-vibes-yarkosinyaya-1690044/" , "16900.44 Футболка унисекс оверсайз Street Vibes, ярко-синяя, размер XL/XXL")</f>
      </c>
      <c r="C15187" s="4" t="n">
        <v>1395.00</v>
      </c>
      <c r="D15187" s="4"/>
    </row>
    <row collapsed="" customFormat="false" customHeight="1" hidden="" ht="14" outlineLevel="0" r="15188">
      <c r="A15188" s="3" t="inlineStr">
        <is>
          <t>15144</t>
        </is>
      </c>
      <c r="B15188" s="4" t="s">
        <f>=HYPERLINK("http://anyluxury.ru/shop/odezhda/futbolki/futbolka-uniseks-oversayz-street-vibes-bezhevaya-1690010/" , "16900.10 Футболка унисекс оверсайз Street Vibes, бежевая, размер XS/S")</f>
      </c>
      <c r="C15188" s="4" t="n">
        <v>1395.00</v>
      </c>
      <c r="D15188" s="4"/>
    </row>
    <row collapsed="" customFormat="false" customHeight="1" hidden="" ht="14" outlineLevel="0" r="15189">
      <c r="A15189" s="3" t="inlineStr">
        <is>
          <t>15145</t>
        </is>
      </c>
      <c r="B15189" s="4" t="s">
        <f>=HYPERLINK("http://anyluxury.ru/shop/odezhda/futbolki/futbolka-uniseks-oversayz-street-vibes-bezhevaya-1690010/" , "16900.10 Футболка унисекс оверсайз Street Vibes, бежевая, размер M/L")</f>
      </c>
      <c r="C15189" s="4" t="n">
        <v>1395.00</v>
      </c>
      <c r="D15189" s="4"/>
    </row>
    <row collapsed="" customFormat="false" customHeight="1" hidden="" ht="14" outlineLevel="0" r="15190">
      <c r="A15190" s="3" t="inlineStr">
        <is>
          <t>15146</t>
        </is>
      </c>
      <c r="B15190" s="4" t="s">
        <f>=HYPERLINK("http://anyluxury.ru/shop/odezhda/futbolki/futbolka-uniseks-oversayz-street-vibes-bezhevaya-1690010/" , "16900.10 Футболка унисекс оверсайз Street Vibes, бежевая, размер XL/XXL")</f>
      </c>
      <c r="C15190" s="4" t="n">
        <v>1395.00</v>
      </c>
      <c r="D15190" s="4"/>
    </row>
    <row collapsed="" customFormat="false" customHeight="1" hidden="" ht="14" outlineLevel="0" r="15191">
      <c r="A15191" s="3" t="inlineStr">
        <is>
          <t>15147</t>
        </is>
      </c>
      <c r="B15191" s="4" t="s">
        <f>=HYPERLINK("http://anyluxury.ru/shop/odezhda/futbolki/futbolka-oversayz-uniseks-legacy-chernaya-03996309/" , "03996309 Футболка оверсайз унисекс Legacy, черная, размер XS")</f>
      </c>
      <c r="C15191" s="4" t="n">
        <v>1403.00</v>
      </c>
      <c r="D15191" s="4"/>
    </row>
    <row collapsed="" customFormat="false" customHeight="1" hidden="" ht="14" outlineLevel="0" r="15192">
      <c r="A15192" s="3" t="inlineStr">
        <is>
          <t>15148</t>
        </is>
      </c>
      <c r="B15192" s="4" t="s">
        <f>=HYPERLINK("http://anyluxury.ru/shop/odezhda/futbolki/futbolka-oversayz-uniseks-legacy-chernaya-03996309/" , "03996309 Футболка оверсайз унисекс Legacy, черная, размер S")</f>
      </c>
      <c r="C15192" s="4" t="n">
        <v>1403.00</v>
      </c>
      <c r="D15192" s="4"/>
    </row>
    <row collapsed="" customFormat="false" customHeight="1" hidden="" ht="14" outlineLevel="0" r="15193">
      <c r="A15193" s="3" t="inlineStr">
        <is>
          <t>15149</t>
        </is>
      </c>
      <c r="B15193" s="4" t="s">
        <f>=HYPERLINK("http://anyluxury.ru/shop/odezhda/futbolki/futbolka-oversayz-uniseks-legacy-chernaya-03996309/" , "03996309 Футболка оверсайз унисекс Legacy, черная, размер M")</f>
      </c>
      <c r="C15193" s="4" t="n">
        <v>1403.00</v>
      </c>
      <c r="D15193" s="4"/>
    </row>
    <row collapsed="" customFormat="false" customHeight="1" hidden="" ht="14" outlineLevel="0" r="15194">
      <c r="A15194" s="3" t="inlineStr">
        <is>
          <t>15150</t>
        </is>
      </c>
      <c r="B15194" s="4" t="s">
        <f>=HYPERLINK("http://anyluxury.ru/shop/odezhda/futbolki/futbolka-oversayz-uniseks-legacy-chernaya-03996309/" , "03996309 Футболка оверсайз унисекс Legacy, черная, размер L")</f>
      </c>
      <c r="C15194" s="4" t="n">
        <v>1403.00</v>
      </c>
      <c r="D15194" s="4"/>
    </row>
    <row collapsed="" customFormat="false" customHeight="1" hidden="" ht="14" outlineLevel="0" r="15195">
      <c r="A15195" s="3" t="inlineStr">
        <is>
          <t>15151</t>
        </is>
      </c>
      <c r="B15195" s="4" t="s">
        <f>=HYPERLINK("http://anyluxury.ru/shop/odezhda/futbolki/futbolka-oversayz-uniseks-legacy-chernaya-03996309/" , "03996309 Футболка оверсайз унисекс Legacy, черная, размер XL")</f>
      </c>
      <c r="C15195" s="4" t="n">
        <v>1403.00</v>
      </c>
      <c r="D15195" s="4"/>
    </row>
    <row collapsed="" customFormat="false" customHeight="1" hidden="" ht="14" outlineLevel="0" r="15196">
      <c r="A15196" s="3" t="inlineStr">
        <is>
          <t>15152</t>
        </is>
      </c>
      <c r="B15196" s="4" t="s">
        <f>=HYPERLINK("http://anyluxury.ru/shop/odezhda/futbolki/futbolka-oversayz-uniseks-legacy-chernaya-03996309/" , "03996309 Футболка оверсайз унисекс Legacy, черная, размер XXL")</f>
      </c>
      <c r="C15196" s="4" t="n">
        <v>1403.00</v>
      </c>
      <c r="D15196" s="4"/>
    </row>
    <row collapsed="" customFormat="false" customHeight="1" hidden="" ht="14" outlineLevel="0" r="15197">
      <c r="A15197" s="3" t="inlineStr">
        <is>
          <t>15153</t>
        </is>
      </c>
      <c r="B15197" s="4" t="s">
        <f>=HYPERLINK("http://anyluxury.ru/shop/odezhda/futbolki/futbolka-oversayz-uniseks-legacy-chernaya-03996309/" , "03996309 Футболка оверсайз унисекс Legacy, черная, размер 3XL")</f>
      </c>
      <c r="C15197" s="4" t="n">
        <v>1620.00</v>
      </c>
      <c r="D15197" s="4"/>
    </row>
    <row collapsed="" customFormat="false" customHeight="1" hidden="" ht="14" outlineLevel="0" r="15198">
      <c r="A15198" s="3" t="inlineStr">
        <is>
          <t>15154</t>
        </is>
      </c>
      <c r="B15198" s="4" t="s">
        <f>=HYPERLINK("http://anyluxury.ru/shop/odezhda/futbolki/futbolka-oversayz-uniseks-legacy-belaya-03996102/" , "03996102 Футболка оверсайз унисекс Legacy, белая, размер XS")</f>
      </c>
      <c r="C15198" s="4" t="n">
        <v>1263.00</v>
      </c>
      <c r="D15198" s="4"/>
    </row>
    <row collapsed="" customFormat="false" customHeight="1" hidden="" ht="14" outlineLevel="0" r="15199">
      <c r="A15199" s="3" t="inlineStr">
        <is>
          <t>15155</t>
        </is>
      </c>
      <c r="B15199" s="4" t="s">
        <f>=HYPERLINK("http://anyluxury.ru/shop/odezhda/futbolki/futbolka-oversayz-uniseks-legacy-belaya-03996102/" , "03996102 Футболка оверсайз унисекс Legacy, белая, размер S")</f>
      </c>
      <c r="C15199" s="4" t="n">
        <v>1263.00</v>
      </c>
      <c r="D15199" s="4"/>
    </row>
    <row collapsed="" customFormat="false" customHeight="1" hidden="" ht="14" outlineLevel="0" r="15200">
      <c r="A15200" s="3" t="inlineStr">
        <is>
          <t>15156</t>
        </is>
      </c>
      <c r="B15200" s="4" t="s">
        <f>=HYPERLINK("http://anyluxury.ru/shop/odezhda/futbolki/futbolka-oversayz-uniseks-legacy-belaya-03996102/" , "03996102 Футболка оверсайз унисекс Legacy, белая, размер M")</f>
      </c>
      <c r="C15200" s="4" t="n">
        <v>1263.00</v>
      </c>
      <c r="D15200" s="4"/>
    </row>
    <row collapsed="" customFormat="false" customHeight="1" hidden="" ht="14" outlineLevel="0" r="15201">
      <c r="A15201" s="3" t="inlineStr">
        <is>
          <t>15157</t>
        </is>
      </c>
      <c r="B15201" s="4" t="s">
        <f>=HYPERLINK("http://anyluxury.ru/shop/odezhda/futbolki/futbolka-oversayz-uniseks-legacy-belaya-03996102/" , "03996102 Футболка оверсайз унисекс Legacy, белая, размер L")</f>
      </c>
      <c r="C15201" s="4" t="n">
        <v>1263.00</v>
      </c>
      <c r="D15201" s="4"/>
    </row>
    <row collapsed="" customFormat="false" customHeight="1" hidden="" ht="14" outlineLevel="0" r="15202">
      <c r="A15202" s="3" t="inlineStr">
        <is>
          <t>15158</t>
        </is>
      </c>
      <c r="B15202" s="4" t="s">
        <f>=HYPERLINK("http://anyluxury.ru/shop/odezhda/futbolki/futbolka-oversayz-uniseks-legacy-belaya-03996102/" , "03996102 Футболка оверсайз унисекс Legacy, белая, размер XL")</f>
      </c>
      <c r="C15202" s="4" t="n">
        <v>1263.00</v>
      </c>
      <c r="D15202" s="4"/>
    </row>
    <row collapsed="" customFormat="false" customHeight="1" hidden="" ht="14" outlineLevel="0" r="15203">
      <c r="A15203" s="3" t="inlineStr">
        <is>
          <t>15159</t>
        </is>
      </c>
      <c r="B15203" s="4" t="s">
        <f>=HYPERLINK("http://anyluxury.ru/shop/odezhda/futbolki/futbolka-oversayz-uniseks-legacy-belaya-03996102/" , "03996102 Футболка оверсайз унисекс Legacy, белая, размер XXL")</f>
      </c>
      <c r="C15203" s="4" t="n">
        <v>1263.00</v>
      </c>
      <c r="D15203" s="4"/>
    </row>
    <row collapsed="" customFormat="false" customHeight="1" hidden="" ht="14" outlineLevel="0" r="15204">
      <c r="A15204" s="3" t="inlineStr">
        <is>
          <t>15160</t>
        </is>
      </c>
      <c r="B15204" s="4" t="s">
        <f>=HYPERLINK("http://anyluxury.ru/shop/odezhda/futbolki/futbolka-oversayz-uniseks-legacy-belaya-03996102/" , "03996102 Футболка оверсайз унисекс Legacy, белая, размер 3XL")</f>
      </c>
      <c r="C15204" s="4" t="n">
        <v>1456.00</v>
      </c>
      <c r="D15204" s="4"/>
    </row>
    <row collapsed="" customFormat="false" customHeight="1" hidden="" ht="14" outlineLevel="0" r="15205">
      <c r="A15205" s="3" t="inlineStr">
        <is>
          <t>15161</t>
        </is>
      </c>
      <c r="B15205" s="4" t="s">
        <f>=HYPERLINK("http://anyluxury.ru/shop/odezhda/futbolki/mayka-uniseks-crusader-tt-golubaya-03980199/" , "03980199 Майка унисекс Crusader TT, голубая, размер XS")</f>
      </c>
      <c r="C15205" s="4" t="n">
        <v>901.00</v>
      </c>
      <c r="D15205" s="4"/>
    </row>
    <row collapsed="" customFormat="false" customHeight="1" hidden="" ht="14" outlineLevel="0" r="15206">
      <c r="A15206" s="3" t="inlineStr">
        <is>
          <t>15162</t>
        </is>
      </c>
      <c r="B15206" s="4" t="s">
        <f>=HYPERLINK("http://anyluxury.ru/shop/odezhda/futbolki/mayka-uniseks-crusader-tt-golubaya-03980199/" , "03980199 Майка унисекс Crusader TT, голубая, размер S")</f>
      </c>
      <c r="C15206" s="4" t="n">
        <v>901.00</v>
      </c>
      <c r="D15206" s="4"/>
    </row>
    <row collapsed="" customFormat="false" customHeight="1" hidden="" ht="14" outlineLevel="0" r="15207">
      <c r="A15207" s="3" t="inlineStr">
        <is>
          <t>15163</t>
        </is>
      </c>
      <c r="B15207" s="4" t="s">
        <f>=HYPERLINK("http://anyluxury.ru/shop/odezhda/futbolki/mayka-uniseks-crusader-tt-golubaya-03980199/" , "03980199 Майка унисекс Crusader TT, голубая, размер M")</f>
      </c>
      <c r="C15207" s="4" t="n">
        <v>901.00</v>
      </c>
      <c r="D15207" s="4"/>
    </row>
    <row collapsed="" customFormat="false" customHeight="1" hidden="" ht="14" outlineLevel="0" r="15208">
      <c r="A15208" s="3" t="inlineStr">
        <is>
          <t>15164</t>
        </is>
      </c>
      <c r="B15208" s="4" t="s">
        <f>=HYPERLINK("http://anyluxury.ru/shop/odezhda/futbolki/mayka-uniseks-crusader-tt-golubaya-03980199/" , "03980199 Майка унисекс Crusader TT, голубая, размер L")</f>
      </c>
      <c r="C15208" s="4" t="n">
        <v>901.00</v>
      </c>
      <c r="D15208" s="4"/>
    </row>
    <row collapsed="" customFormat="false" customHeight="1" hidden="" ht="14" outlineLevel="0" r="15209">
      <c r="A15209" s="3" t="inlineStr">
        <is>
          <t>15165</t>
        </is>
      </c>
      <c r="B15209" s="4" t="s">
        <f>=HYPERLINK("http://anyluxury.ru/shop/odezhda/futbolki/mayka-uniseks-crusader-tt-golubaya-03980199/" , "03980199 Майка унисекс Crusader TT, голубая, размер XL")</f>
      </c>
      <c r="C15209" s="4" t="n">
        <v>901.00</v>
      </c>
      <c r="D15209" s="4"/>
    </row>
    <row collapsed="" customFormat="false" customHeight="1" hidden="" ht="14" outlineLevel="0" r="15210">
      <c r="A15210" s="3" t="inlineStr">
        <is>
          <t>15166</t>
        </is>
      </c>
      <c r="B15210" s="4" t="s">
        <f>=HYPERLINK("http://anyluxury.ru/shop/odezhda/futbolki/mayka-uniseks-crusader-tt-golubaya-03980199/" , "03980199 Майка унисекс Crusader TT, голубая, размер XXL")</f>
      </c>
      <c r="C15210" s="4" t="n">
        <v>901.00</v>
      </c>
      <c r="D15210" s="4"/>
    </row>
    <row collapsed="" customFormat="false" customHeight="1" hidden="" ht="14" outlineLevel="0" r="15211">
      <c r="A15211" s="3" t="inlineStr">
        <is>
          <t>15167</t>
        </is>
      </c>
      <c r="B15211" s="4" t="s">
        <f>=HYPERLINK("http://anyluxury.ru/shop/odezhda/futbolki/mayka-uniseks-crusader-tt-golubaya-03980199/" , "03980199 Майка унисекс Crusader TT, голубая, размер 3XL")</f>
      </c>
      <c r="C15211" s="4" t="n">
        <v>1043.00</v>
      </c>
      <c r="D15211" s="4"/>
    </row>
    <row collapsed="" customFormat="false" customHeight="1" hidden="" ht="14" outlineLevel="0" r="15212">
      <c r="A15212" s="3" t="inlineStr">
        <is>
          <t>15168</t>
        </is>
      </c>
      <c r="B15212" s="4" t="s">
        <f>=HYPERLINK("http://anyluxury.ru/shop/odezhda/futbolki/mayka-uniseks-crusader-tt-oranzhevaya-abrikosovaya-03980409/" , "03980409 Майка унисекс Crusader TT, оранжевая (абрикосовая), размер XS")</f>
      </c>
      <c r="C15212" s="4" t="n">
        <v>901.00</v>
      </c>
      <c r="D15212" s="4"/>
    </row>
    <row collapsed="" customFormat="false" customHeight="1" hidden="" ht="14" outlineLevel="0" r="15213">
      <c r="A15213" s="3" t="inlineStr">
        <is>
          <t>15169</t>
        </is>
      </c>
      <c r="B15213" s="4" t="s">
        <f>=HYPERLINK("http://anyluxury.ru/shop/odezhda/futbolki/mayka-uniseks-crusader-tt-oranzhevaya-abrikosovaya-03980409/" , "03980409 Майка унисекс Crusader TT, оранжевая (абрикосовая), размер S")</f>
      </c>
      <c r="C15213" s="4" t="n">
        <v>901.00</v>
      </c>
      <c r="D15213" s="4"/>
    </row>
    <row collapsed="" customFormat="false" customHeight="1" hidden="" ht="14" outlineLevel="0" r="15214">
      <c r="A15214" s="3" t="inlineStr">
        <is>
          <t>15170</t>
        </is>
      </c>
      <c r="B15214" s="4" t="s">
        <f>=HYPERLINK("http://anyluxury.ru/shop/odezhda/futbolki/mayka-uniseks-crusader-tt-oranzhevaya-abrikosovaya-03980409/" , "03980409 Майка унисекс Crusader TT, оранжевая (абрикосовая), размер M")</f>
      </c>
      <c r="C15214" s="4" t="n">
        <v>901.00</v>
      </c>
      <c r="D15214" s="4"/>
    </row>
    <row collapsed="" customFormat="false" customHeight="1" hidden="" ht="14" outlineLevel="0" r="15215">
      <c r="A15215" s="3" t="inlineStr">
        <is>
          <t>15171</t>
        </is>
      </c>
      <c r="B15215" s="4" t="s">
        <f>=HYPERLINK("http://anyluxury.ru/shop/odezhda/futbolki/mayka-uniseks-crusader-tt-oranzhevaya-abrikosovaya-03980409/" , "03980409 Майка унисекс Crusader TT, оранжевая (абрикосовая), размер L")</f>
      </c>
      <c r="C15215" s="4" t="n">
        <v>901.00</v>
      </c>
      <c r="D15215" s="4"/>
    </row>
    <row collapsed="" customFormat="false" customHeight="1" hidden="" ht="14" outlineLevel="0" r="15216">
      <c r="A15216" s="3" t="inlineStr">
        <is>
          <t>15172</t>
        </is>
      </c>
      <c r="B15216" s="4" t="s">
        <f>=HYPERLINK("http://anyluxury.ru/shop/odezhda/futbolki/mayka-uniseks-crusader-tt-oranzhevaya-abrikosovaya-03980409/" , "03980409 Майка унисекс Crusader TT, оранжевая (абрикосовая), размер XL")</f>
      </c>
      <c r="C15216" s="4" t="n">
        <v>901.00</v>
      </c>
      <c r="D15216" s="4"/>
    </row>
    <row collapsed="" customFormat="false" customHeight="1" hidden="" ht="14" outlineLevel="0" r="15217">
      <c r="A15217" s="3" t="inlineStr">
        <is>
          <t>15173</t>
        </is>
      </c>
      <c r="B15217" s="4" t="s">
        <f>=HYPERLINK("http://anyluxury.ru/shop/odezhda/futbolki/mayka-uniseks-crusader-tt-oranzhevaya-abrikosovaya-03980409/" , "03980409 Майка унисекс Crusader TT, оранжевая (абрикосовая), размер XXL")</f>
      </c>
      <c r="C15217" s="4" t="n">
        <v>901.00</v>
      </c>
      <c r="D15217" s="4"/>
    </row>
    <row collapsed="" customFormat="false" customHeight="1" hidden="" ht="14" outlineLevel="0" r="15218">
      <c r="A15218" s="3" t="inlineStr">
        <is>
          <t>15174</t>
        </is>
      </c>
      <c r="B15218" s="4" t="s">
        <f>=HYPERLINK("http://anyluxury.ru/shop/odezhda/futbolki/mayka-uniseks-crusader-tt-oranzhevaya-abrikosovaya-03980409/" , "03980409 Майка унисекс Crusader TT, оранжевая (абрикосовая), размер 3XL")</f>
      </c>
      <c r="C15218" s="4" t="n">
        <v>1043.00</v>
      </c>
      <c r="D15218" s="4"/>
    </row>
    <row collapsed="" customFormat="false" customHeight="1" hidden="" ht="14" outlineLevel="0" r="15219">
      <c r="A15219" s="3" t="inlineStr">
        <is>
          <t>15175</t>
        </is>
      </c>
      <c r="B15219" s="4" t="s">
        <f>=HYPERLINK("http://anyluxury.ru/shop/odezhda/futbolki/futbolka-uniseks-kosmos-20-chernaya-1461030/" , "14610.30 Футболка унисекс Kosmos 2.0, черная, размер XS/S")</f>
      </c>
      <c r="C15219" s="4" t="n">
        <v>1760.00</v>
      </c>
      <c r="D15219" s="4"/>
    </row>
    <row collapsed="" customFormat="false" customHeight="1" hidden="" ht="14" outlineLevel="0" r="15220">
      <c r="A15220" s="3" t="inlineStr">
        <is>
          <t>15176</t>
        </is>
      </c>
      <c r="B15220" s="4" t="s">
        <f>=HYPERLINK("http://anyluxury.ru/shop/odezhda/futbolki/futbolka-uniseks-kosmos-20-chernaya-1461030/" , "14610.30 Футболка унисекс Kosmos 2.0, черная, размер M/L")</f>
      </c>
      <c r="C15220" s="4" t="n">
        <v>1760.00</v>
      </c>
      <c r="D15220" s="4"/>
    </row>
    <row collapsed="" customFormat="false" customHeight="1" hidden="" ht="14" outlineLevel="0" r="15221">
      <c r="A15221" s="3" t="inlineStr">
        <is>
          <t>15177</t>
        </is>
      </c>
      <c r="B15221" s="4" t="s">
        <f>=HYPERLINK("http://anyluxury.ru/shop/odezhda/futbolki/futbolka-uniseks-kosmos-20-chernaya-1461030/" , "14610.30 Футболка унисекс Kosmos 2.0, черная, размер XL/XXL")</f>
      </c>
      <c r="C15221" s="4" t="n">
        <v>1760.00</v>
      </c>
      <c r="D15221" s="4"/>
    </row>
    <row collapsed="" customFormat="false" customHeight="1" hidden="" ht="14" outlineLevel="0" r="15222">
      <c r="A15222" s="3" t="inlineStr">
        <is>
          <t>15178</t>
        </is>
      </c>
      <c r="B15222" s="4" t="s">
        <f>=HYPERLINK("http://anyluxury.ru/shop/odezhda/futbolki/futbolka-oversayz-slope-belaya-belosnezhnaya-1396162/" , "13961.62 Футболка оверсайз Slope, белая (белоснежная), размер XL/XXL")</f>
      </c>
      <c r="C15222" s="4" t="n">
        <v>1300.00</v>
      </c>
      <c r="D15222" s="4"/>
    </row>
    <row collapsed="" customFormat="false" customHeight="1" hidden="" ht="14" outlineLevel="0" r="15223">
      <c r="A15223" s="3" t="inlineStr">
        <is>
          <t>15179</t>
        </is>
      </c>
      <c r="B15223" s="4" t="s">
        <f>=HYPERLINK("http://anyluxury.ru/shop/odezhda/futbolki/futbolka-muzhskaya-ankara-belaya-1627760/" , "16277.60 Футболка мужская Ankara, белая, размер XS")</f>
      </c>
      <c r="C15223" s="4" t="n">
        <v>898.00</v>
      </c>
      <c r="D15223" s="4"/>
    </row>
    <row collapsed="" customFormat="false" customHeight="1" hidden="" ht="14" outlineLevel="0" r="15224">
      <c r="A15224" s="3" t="inlineStr">
        <is>
          <t>15180</t>
        </is>
      </c>
      <c r="B15224" s="4" t="s">
        <f>=HYPERLINK("http://anyluxury.ru/shop/odezhda/futbolki/futbolka-muzhskaya-ankara-belaya-1627760/" , "16277.60 Футболка мужская Ankara, белая, размер S")</f>
      </c>
      <c r="C15224" s="4" t="n">
        <v>898.00</v>
      </c>
      <c r="D15224" s="4"/>
    </row>
    <row collapsed="" customFormat="false" customHeight="1" hidden="" ht="14" outlineLevel="0" r="15225">
      <c r="A15225" s="3" t="inlineStr">
        <is>
          <t>15181</t>
        </is>
      </c>
      <c r="B15225" s="4" t="s">
        <f>=HYPERLINK("http://anyluxury.ru/shop/odezhda/futbolki/futbolka-muzhskaya-ankara-belaya-1627760/" , "16277.60 Футболка мужская Ankara, белая, размер M")</f>
      </c>
      <c r="C15225" s="4" t="n">
        <v>898.00</v>
      </c>
      <c r="D15225" s="4"/>
    </row>
    <row collapsed="" customFormat="false" customHeight="1" hidden="" ht="14" outlineLevel="0" r="15226">
      <c r="A15226" s="3" t="inlineStr">
        <is>
          <t>15182</t>
        </is>
      </c>
      <c r="B15226" s="4" t="s">
        <f>=HYPERLINK("http://anyluxury.ru/shop/odezhda/futbolki/futbolka-muzhskaya-ankara-belaya-1627760/" , "16277.60 Футболка мужская Ankara, белая, размер L")</f>
      </c>
      <c r="C15226" s="4" t="n">
        <v>898.00</v>
      </c>
      <c r="D15226" s="4"/>
    </row>
    <row collapsed="" customFormat="false" customHeight="1" hidden="" ht="14" outlineLevel="0" r="15227">
      <c r="A15227" s="3" t="inlineStr">
        <is>
          <t>15183</t>
        </is>
      </c>
      <c r="B15227" s="4" t="s">
        <f>=HYPERLINK("http://anyluxury.ru/shop/odezhda/futbolki/futbolka-muzhskaya-ankara-belaya-1627760/" , "16277.60 Футболка мужская Ankara, белая, размер XL")</f>
      </c>
      <c r="C15227" s="4" t="n">
        <v>898.00</v>
      </c>
      <c r="D15227" s="4"/>
    </row>
    <row collapsed="" customFormat="false" customHeight="1" hidden="" ht="14" outlineLevel="0" r="15228">
      <c r="A15228" s="3" t="inlineStr">
        <is>
          <t>15184</t>
        </is>
      </c>
      <c r="B15228" s="4" t="s">
        <f>=HYPERLINK("http://anyluxury.ru/shop/odezhda/futbolki/futbolka-muzhskaya-ankara-belaya-1627760/" , "16277.60 Футболка мужская Ankara, белая, размер XXL")</f>
      </c>
      <c r="C15228" s="4" t="n">
        <v>898.00</v>
      </c>
      <c r="D15228" s="4"/>
    </row>
    <row collapsed="" customFormat="false" customHeight="1" hidden="" ht="14" outlineLevel="0" r="15229">
      <c r="A15229" s="3" t="inlineStr">
        <is>
          <t>15185</t>
        </is>
      </c>
      <c r="B15229" s="4" t="s">
        <f>=HYPERLINK("http://anyluxury.ru/shop/odezhda/futbolki/futbolka-muzhskaya-ankara-belaya-1627760/" , "16277.60 Футболка мужская Ankara, белая, размер 3XL")</f>
      </c>
      <c r="C15229" s="4" t="n">
        <v>1042.00</v>
      </c>
      <c r="D15229" s="4"/>
    </row>
    <row collapsed="" customFormat="false" customHeight="1" hidden="" ht="14" outlineLevel="0" r="15230">
      <c r="A15230" s="3" t="inlineStr">
        <is>
          <t>15186</t>
        </is>
      </c>
      <c r="B15230" s="4" t="s">
        <f>=HYPERLINK("http://anyluxury.ru/shop/odezhda/futbolki/futbolka-muzhskaya-ankara-chernaya-1627730/" , "16277.30 Футболка мужская Ankara, черная, размер XS")</f>
      </c>
      <c r="C15230" s="4" t="n">
        <v>1042.00</v>
      </c>
      <c r="D15230" s="4"/>
    </row>
    <row collapsed="" customFormat="false" customHeight="1" hidden="" ht="14" outlineLevel="0" r="15231">
      <c r="A15231" s="3" t="inlineStr">
        <is>
          <t>15187</t>
        </is>
      </c>
      <c r="B15231" s="4" t="s">
        <f>=HYPERLINK("http://anyluxury.ru/shop/odezhda/futbolki/futbolka-muzhskaya-ankara-chernaya-1627730/" , "16277.30 Футболка мужская Ankara, черная, размер S")</f>
      </c>
      <c r="C15231" s="4" t="n">
        <v>1042.00</v>
      </c>
      <c r="D15231" s="4"/>
    </row>
    <row collapsed="" customFormat="false" customHeight="1" hidden="" ht="14" outlineLevel="0" r="15232">
      <c r="A15232" s="3" t="inlineStr">
        <is>
          <t>15188</t>
        </is>
      </c>
      <c r="B15232" s="4" t="s">
        <f>=HYPERLINK("http://anyluxury.ru/shop/odezhda/futbolki/futbolka-muzhskaya-ankara-chernaya-1627730/" , "16277.30 Футболка мужская Ankara, черная, размер M")</f>
      </c>
      <c r="C15232" s="4" t="n">
        <v>1042.00</v>
      </c>
      <c r="D15232" s="4"/>
    </row>
    <row collapsed="" customFormat="false" customHeight="1" hidden="" ht="14" outlineLevel="0" r="15233">
      <c r="A15233" s="3" t="inlineStr">
        <is>
          <t>15189</t>
        </is>
      </c>
      <c r="B15233" s="4" t="s">
        <f>=HYPERLINK("http://anyluxury.ru/shop/odezhda/futbolki/futbolka-muzhskaya-ankara-chernaya-1627730/" , "16277.30 Футболка мужская Ankara, черная, размер L")</f>
      </c>
      <c r="C15233" s="4" t="n">
        <v>1042.00</v>
      </c>
      <c r="D15233" s="4"/>
    </row>
    <row collapsed="" customFormat="false" customHeight="1" hidden="" ht="14" outlineLevel="0" r="15234">
      <c r="A15234" s="3" t="inlineStr">
        <is>
          <t>15190</t>
        </is>
      </c>
      <c r="B15234" s="4" t="s">
        <f>=HYPERLINK("http://anyluxury.ru/shop/odezhda/futbolki/futbolka-muzhskaya-ankara-chernaya-1627730/" , "16277.30 Футболка мужская Ankara, черная, размер XL")</f>
      </c>
      <c r="C15234" s="4" t="n">
        <v>1042.00</v>
      </c>
      <c r="D15234" s="4"/>
    </row>
    <row collapsed="" customFormat="false" customHeight="1" hidden="" ht="14" outlineLevel="0" r="15235">
      <c r="A15235" s="3" t="inlineStr">
        <is>
          <t>15191</t>
        </is>
      </c>
      <c r="B15235" s="4" t="s">
        <f>=HYPERLINK("http://anyluxury.ru/shop/odezhda/futbolki/futbolka-muzhskaya-ankara-chernaya-1627730/" , "16277.30 Футболка мужская Ankara, черная, размер XXL")</f>
      </c>
      <c r="C15235" s="4" t="n">
        <v>1042.00</v>
      </c>
      <c r="D15235" s="4"/>
    </row>
    <row collapsed="" customFormat="false" customHeight="1" hidden="" ht="14" outlineLevel="0" r="15236">
      <c r="A15236" s="3" t="inlineStr">
        <is>
          <t>15192</t>
        </is>
      </c>
      <c r="B15236" s="4" t="s">
        <f>=HYPERLINK("http://anyluxury.ru/shop/odezhda/futbolki/futbolka-muzhskaya-ankara-yarkosinyaya-1627744/" , "16277.44 Футболка мужская Ankara, ярко-синяя, размер XS")</f>
      </c>
      <c r="C15236" s="4" t="n">
        <v>1042.00</v>
      </c>
      <c r="D15236" s="4"/>
    </row>
    <row collapsed="" customFormat="false" customHeight="1" hidden="" ht="14" outlineLevel="0" r="15237">
      <c r="A15237" s="3" t="inlineStr">
        <is>
          <t>15193</t>
        </is>
      </c>
      <c r="B15237" s="4" t="s">
        <f>=HYPERLINK("http://anyluxury.ru/shop/odezhda/futbolki/futbolka-muzhskaya-ankara-yarkosinyaya-1627744/" , "16277.44 Футболка мужская Ankara, ярко-синяя, размер S")</f>
      </c>
      <c r="C15237" s="4" t="n">
        <v>1042.00</v>
      </c>
      <c r="D15237" s="4"/>
    </row>
    <row collapsed="" customFormat="false" customHeight="1" hidden="" ht="14" outlineLevel="0" r="15238">
      <c r="A15238" s="3" t="inlineStr">
        <is>
          <t>15194</t>
        </is>
      </c>
      <c r="B15238" s="4" t="s">
        <f>=HYPERLINK("http://anyluxury.ru/shop/odezhda/futbolki/futbolka-muzhskaya-ankara-yarkosinyaya-1627744/" , "16277.44 Футболка мужская Ankara, ярко-синяя, размер M")</f>
      </c>
      <c r="C15238" s="4" t="n">
        <v>1042.00</v>
      </c>
      <c r="D15238" s="4"/>
    </row>
    <row collapsed="" customFormat="false" customHeight="1" hidden="" ht="14" outlineLevel="0" r="15239">
      <c r="A15239" s="3" t="inlineStr">
        <is>
          <t>15195</t>
        </is>
      </c>
      <c r="B15239" s="4" t="s">
        <f>=HYPERLINK("http://anyluxury.ru/shop/odezhda/futbolki/futbolka-muzhskaya-ankara-yarkosinyaya-1627744/" , "16277.44 Футболка мужская Ankara, ярко-синяя, размер L")</f>
      </c>
      <c r="C15239" s="4" t="n">
        <v>1042.00</v>
      </c>
      <c r="D15239" s="4"/>
    </row>
    <row collapsed="" customFormat="false" customHeight="1" hidden="" ht="14" outlineLevel="0" r="15240">
      <c r="A15240" s="3" t="inlineStr">
        <is>
          <t>15196</t>
        </is>
      </c>
      <c r="B15240" s="4" t="s">
        <f>=HYPERLINK("http://anyluxury.ru/shop/odezhda/futbolki/futbolka-muzhskaya-ankara-yarkosinyaya-1627744/" , "16277.44 Футболка мужская Ankara, ярко-синяя, размер XXL")</f>
      </c>
      <c r="C15240" s="4" t="n">
        <v>1042.00</v>
      </c>
      <c r="D15240" s="4"/>
    </row>
    <row collapsed="" customFormat="false" customHeight="1" hidden="" ht="14" outlineLevel="0" r="15241">
      <c r="A15241" s="3" t="inlineStr">
        <is>
          <t>15197</t>
        </is>
      </c>
      <c r="B15241" s="4" t="s">
        <f>=HYPERLINK("http://anyluxury.ru/shop/odezhda/futbolki/futbolka-uniseks-oversayz-street-vibes-temnosinyaya-1690040/" , "16900.40 Футболка унисекс оверсайз Street Vibes, темно-синяя, размер XS/S")</f>
      </c>
      <c r="C15241" s="4" t="n">
        <v>1395.00</v>
      </c>
      <c r="D15241" s="4"/>
    </row>
    <row collapsed="" customFormat="false" customHeight="1" hidden="" ht="14" outlineLevel="0" r="15242">
      <c r="A15242" s="3" t="inlineStr">
        <is>
          <t>15198</t>
        </is>
      </c>
      <c r="B15242" s="4" t="s">
        <f>=HYPERLINK("http://anyluxury.ru/shop/odezhda/futbolki/futbolka-uniseks-oversayz-street-vibes-temnosinyaya-1690040/" , "16900.40 Футболка унисекс оверсайз Street Vibes, темно-синяя, размер M/L")</f>
      </c>
      <c r="C15242" s="4" t="n">
        <v>1395.00</v>
      </c>
      <c r="D15242" s="4"/>
    </row>
    <row collapsed="" customFormat="false" customHeight="1" hidden="" ht="14" outlineLevel="0" r="15243">
      <c r="A15243" s="3" t="inlineStr">
        <is>
          <t>15199</t>
        </is>
      </c>
      <c r="B15243" s="4" t="s">
        <f>=HYPERLINK("http://anyluxury.ru/shop/odezhda/futbolki/futbolka-uniseks-oversayz-street-vibes-temnosinyaya-1690040/" , "16900.40 Футболка унисекс оверсайз Street Vibes, темно-синяя, размер XL/XXL")</f>
      </c>
      <c r="C15243" s="4" t="n">
        <v>1395.00</v>
      </c>
      <c r="D15243" s="4"/>
    </row>
    <row collapsed="" customFormat="false" customHeight="1" hidden="" ht="14" outlineLevel="0" r="15244">
      <c r="A15244" s="3" t="inlineStr">
        <is>
          <t>15200</t>
        </is>
      </c>
      <c r="B15244" s="4" t="s">
        <f>=HYPERLINK("http://anyluxury.ru/shop/odezhda/futbolki/futbolka-uniseks-oversayz-street-vibes-seraya-1690011/" , "16900.11 Футболка унисекс оверсайз Street Vibes, серая, размер XS/S")</f>
      </c>
      <c r="C15244" s="4" t="n">
        <v>1395.00</v>
      </c>
      <c r="D15244" s="4"/>
    </row>
    <row collapsed="" customFormat="false" customHeight="1" hidden="" ht="14" outlineLevel="0" r="15245">
      <c r="A15245" s="3" t="inlineStr">
        <is>
          <t>15201</t>
        </is>
      </c>
      <c r="B15245" s="4" t="s">
        <f>=HYPERLINK("http://anyluxury.ru/shop/odezhda/futbolki/futbolka-uniseks-oversayz-street-vibes-seraya-1690011/" , "16900.11 Футболка унисекс оверсайз Street Vibes, серая, размер M/L")</f>
      </c>
      <c r="C15245" s="4" t="n">
        <v>1395.00</v>
      </c>
      <c r="D15245" s="4"/>
    </row>
    <row collapsed="" customFormat="false" customHeight="1" hidden="" ht="14" outlineLevel="0" r="15246">
      <c r="A15246" s="3" t="inlineStr">
        <is>
          <t>15202</t>
        </is>
      </c>
      <c r="B15246" s="4" t="s">
        <f>=HYPERLINK("http://anyluxury.ru/shop/odezhda/futbolki/futbolka-uniseks-oversayz-street-vibes-seraya-1690011/" , "16900.11 Футболка унисекс оверсайз Street Vibes, серая, размер XL/XXL")</f>
      </c>
      <c r="C15246" s="4" t="n">
        <v>1395.00</v>
      </c>
      <c r="D15246" s="4"/>
    </row>
    <row collapsed="" customFormat="false" customHeight="1" hidden="" ht="14" outlineLevel="0" r="15247">
      <c r="A15247" s="3" t="inlineStr">
        <is>
          <t>15203</t>
        </is>
      </c>
      <c r="B15247" s="4" t="s">
        <f>=HYPERLINK("http://anyluxury.ru/shop/odezhda/futbolki/futbolka-uniseks-oversayz-street-vibes-oranzhevaya-1690020/" , "16900.20 Футболка унисекс оверсайз Street Vibes, оранжевая, размер XS/S")</f>
      </c>
      <c r="C15247" s="4" t="n">
        <v>1395.00</v>
      </c>
      <c r="D15247" s="4"/>
    </row>
    <row collapsed="" customFormat="false" customHeight="1" hidden="" ht="14" outlineLevel="0" r="15248">
      <c r="A15248" s="3" t="inlineStr">
        <is>
          <t>15204</t>
        </is>
      </c>
      <c r="B15248" s="4" t="s">
        <f>=HYPERLINK("http://anyluxury.ru/shop/odezhda/futbolki/futbolka-uniseks-oversayz-street-vibes-oranzhevaya-1690020/" , "16900.20 Футболка унисекс оверсайз Street Vibes, оранжевая, размер M/L")</f>
      </c>
      <c r="C15248" s="4" t="n">
        <v>1395.00</v>
      </c>
      <c r="D15248" s="4"/>
    </row>
    <row collapsed="" customFormat="false" customHeight="1" hidden="" ht="14" outlineLevel="0" r="15249">
      <c r="A15249" s="3" t="inlineStr">
        <is>
          <t>15205</t>
        </is>
      </c>
      <c r="B15249" s="4" t="s">
        <f>=HYPERLINK("http://anyluxury.ru/shop/odezhda/futbolki/futbolka-uniseks-oversayz-street-vibes-oranzhevaya-1690020/" , "16900.20 Футболка унисекс оверсайз Street Vibes, оранжевая, размер XL/XXL")</f>
      </c>
      <c r="C15249" s="4" t="n">
        <v>1395.00</v>
      </c>
      <c r="D15249" s="4"/>
    </row>
    <row collapsed="" customFormat="false" customHeight="1" hidden="" ht="14" outlineLevel="0" r="15250">
      <c r="A15250" s="3" t="inlineStr">
        <is>
          <t>15206</t>
        </is>
      </c>
      <c r="B15250" s="4" t="s">
        <f>=HYPERLINK("http://anyluxury.ru/shop/odezhda/futbolki/futbolka-uniseks-oversayz-street-vibes-fioletovaya-1690077/" , "16900.77 Футболка унисекс оверсайз Street Vibes, фиолетовая, размер XS/S")</f>
      </c>
      <c r="C15250" s="4" t="n">
        <v>1395.00</v>
      </c>
      <c r="D15250" s="4"/>
    </row>
    <row collapsed="" customFormat="false" customHeight="1" hidden="" ht="14" outlineLevel="0" r="15251">
      <c r="A15251" s="3" t="inlineStr">
        <is>
          <t>15207</t>
        </is>
      </c>
      <c r="B15251" s="4" t="s">
        <f>=HYPERLINK("http://anyluxury.ru/shop/odezhda/futbolki/futbolka-uniseks-oversayz-street-vibes-fioletovaya-1690077/" , "16900.77 Футболка унисекс оверсайз Street Vibes, фиолетовая, размер M/L")</f>
      </c>
      <c r="C15251" s="4" t="n">
        <v>1395.00</v>
      </c>
      <c r="D15251" s="4"/>
    </row>
    <row collapsed="" customFormat="false" customHeight="1" hidden="" ht="14" outlineLevel="0" r="15252">
      <c r="A15252" s="3" t="inlineStr">
        <is>
          <t>15208</t>
        </is>
      </c>
      <c r="B15252" s="4" t="s">
        <f>=HYPERLINK("http://anyluxury.ru/shop/odezhda/futbolki/futbolka-uniseks-oversayz-street-vibes-fioletovaya-1690077/" , "16900.77 Футболка унисекс оверсайз Street Vibes, фиолетовая, размер XL/XXL")</f>
      </c>
      <c r="C15252" s="4" t="n">
        <v>1395.00</v>
      </c>
      <c r="D15252" s="4"/>
    </row>
    <row collapsed="" customFormat="false" customHeight="1" hidden="" ht="14" outlineLevel="0" r="15253">
      <c r="A15253" s="3" t="inlineStr">
        <is>
          <t>15209</t>
        </is>
      </c>
      <c r="B15253" s="4" t="s">
        <f>=HYPERLINK("http://anyluxury.ru/shop/odezhda/futbolki/futbolka-uniseks-oversayz-street-vibes-sinyaya-lavandovaya-1690014/" , "16900.14 Футболка унисекс оверсайз Street Vibes, синяя (лавандовая), размер XS/S")</f>
      </c>
      <c r="C15253" s="4" t="n">
        <v>1395.00</v>
      </c>
      <c r="D15253" s="4"/>
    </row>
    <row collapsed="" customFormat="false" customHeight="1" hidden="" ht="14" outlineLevel="0" r="15254">
      <c r="A15254" s="3" t="inlineStr">
        <is>
          <t>15210</t>
        </is>
      </c>
      <c r="B15254" s="4" t="s">
        <f>=HYPERLINK("http://anyluxury.ru/shop/odezhda/futbolki/futbolka-uniseks-oversayz-street-vibes-sinyaya-lavandovaya-1690014/" , "16900.14 Футболка унисекс оверсайз Street Vibes, синяя (лавандовая), размер M/L")</f>
      </c>
      <c r="C15254" s="4" t="n">
        <v>1395.00</v>
      </c>
      <c r="D15254" s="4"/>
    </row>
    <row collapsed="" customFormat="false" customHeight="1" hidden="" ht="14" outlineLevel="0" r="15255">
      <c r="A15255" s="3" t="inlineStr">
        <is>
          <t>15211</t>
        </is>
      </c>
      <c r="B15255" s="4" t="s">
        <f>=HYPERLINK("http://anyluxury.ru/shop/odezhda/futbolki/futbolka-uniseks-oversayz-street-vibes-sinyaya-lavandovaya-1690014/" , "16900.14 Футболка унисекс оверсайз Street Vibes, синяя (лавандовая), размер XL/XXL")</f>
      </c>
      <c r="C15255" s="4" t="n">
        <v>1395.00</v>
      </c>
      <c r="D15255" s="4"/>
    </row>
    <row collapsed="" customFormat="false" customHeight="1" hidden="" ht="14" outlineLevel="0" r="15256">
      <c r="A15256" s="3" t="inlineStr">
        <is>
          <t>15212</t>
        </is>
      </c>
      <c r="B15256" s="4" t="s">
        <f>=HYPERLINK("http://anyluxury.ru/shop/odezhda/futbolki/futbolka-muzhskaya-ankara-temnosinyaya-1627740/" , "16277.40 Футболка мужская Ankara, темно-синяя, размер XS")</f>
      </c>
      <c r="C15256" s="4" t="n">
        <v>1042.00</v>
      </c>
      <c r="D15256" s="4"/>
    </row>
    <row collapsed="" customFormat="false" customHeight="1" hidden="" ht="14" outlineLevel="0" r="15257">
      <c r="A15257" s="3" t="inlineStr">
        <is>
          <t>15213</t>
        </is>
      </c>
      <c r="B15257" s="4" t="s">
        <f>=HYPERLINK("http://anyluxury.ru/shop/odezhda/futbolki/futbolka-muzhskaya-ankara-temnosinyaya-1627740/" , "16277.40 Футболка мужская Ankara, темно-синяя, размер S")</f>
      </c>
      <c r="C15257" s="4" t="n">
        <v>1042.00</v>
      </c>
      <c r="D15257" s="4"/>
    </row>
    <row collapsed="" customFormat="false" customHeight="1" hidden="" ht="14" outlineLevel="0" r="15258">
      <c r="A15258" s="3" t="inlineStr">
        <is>
          <t>15214</t>
        </is>
      </c>
      <c r="B15258" s="4" t="s">
        <f>=HYPERLINK("http://anyluxury.ru/shop/odezhda/futbolki/futbolka-muzhskaya-ankara-temnosinyaya-1627740/" , "16277.40 Футболка мужская Ankara, темно-синяя, размер M")</f>
      </c>
      <c r="C15258" s="4" t="n">
        <v>1042.00</v>
      </c>
      <c r="D15258" s="4"/>
    </row>
    <row collapsed="" customFormat="false" customHeight="1" hidden="" ht="14" outlineLevel="0" r="15259">
      <c r="A15259" s="3" t="inlineStr">
        <is>
          <t>15215</t>
        </is>
      </c>
      <c r="B15259" s="4" t="s">
        <f>=HYPERLINK("http://anyluxury.ru/shop/odezhda/futbolki/futbolka-muzhskaya-ankara-temnosinyaya-1627740/" , "16277.40 Футболка мужская Ankara, темно-синяя, размер L")</f>
      </c>
      <c r="C15259" s="4" t="n">
        <v>1042.00</v>
      </c>
      <c r="D15259" s="4"/>
    </row>
    <row collapsed="" customFormat="false" customHeight="1" hidden="" ht="14" outlineLevel="0" r="15260">
      <c r="A15260" s="3" t="inlineStr">
        <is>
          <t>15216</t>
        </is>
      </c>
      <c r="B15260" s="4" t="s">
        <f>=HYPERLINK("http://anyluxury.ru/shop/odezhda/futbolki/futbolka-muzhskaya-ankara-temnosinyaya-1627740/" , "16277.40 Футболка мужская Ankara, темно-синяя, размер XXL")</f>
      </c>
      <c r="C15260" s="4" t="n">
        <v>1042.00</v>
      </c>
      <c r="D15260" s="4"/>
    </row>
    <row collapsed="" customFormat="false" customHeight="1" hidden="" ht="14" outlineLevel="0" r="15261">
      <c r="A15261" s="3" t="inlineStr">
        <is>
          <t>15217</t>
        </is>
      </c>
      <c r="B15261" s="4" t="s">
        <f>=HYPERLINK("http://anyluxury.ru/shop/odezhda/futbolki/futbolka-muzhskaya-ankara-seriy-melanzh-1627711/" , "16277.11 Футболка мужская Ankara, серый меланж, размер XS")</f>
      </c>
      <c r="C15261" s="4" t="n">
        <v>1042.00</v>
      </c>
      <c r="D15261" s="4"/>
    </row>
    <row collapsed="" customFormat="false" customHeight="1" hidden="" ht="14" outlineLevel="0" r="15262">
      <c r="A15262" s="3" t="inlineStr">
        <is>
          <t>15218</t>
        </is>
      </c>
      <c r="B15262" s="4" t="s">
        <f>=HYPERLINK("http://anyluxury.ru/shop/odezhda/futbolki/futbolka-muzhskaya-ankara-seriy-melanzh-1627711/" , "16277.11 Футболка мужская Ankara, серый меланж, размер S")</f>
      </c>
      <c r="C15262" s="4" t="n">
        <v>1042.00</v>
      </c>
      <c r="D15262" s="4"/>
    </row>
    <row collapsed="" customFormat="false" customHeight="1" hidden="" ht="14" outlineLevel="0" r="15263">
      <c r="A15263" s="3" t="inlineStr">
        <is>
          <t>15219</t>
        </is>
      </c>
      <c r="B15263" s="4" t="s">
        <f>=HYPERLINK("http://anyluxury.ru/shop/odezhda/futbolki/futbolka-muzhskaya-ankara-seriy-melanzh-1627711/" , "16277.11 Футболка мужская Ankara, серый меланж, размер M")</f>
      </c>
      <c r="C15263" s="4" t="n">
        <v>1042.00</v>
      </c>
      <c r="D15263" s="4"/>
    </row>
    <row collapsed="" customFormat="false" customHeight="1" hidden="" ht="14" outlineLevel="0" r="15264">
      <c r="A15264" s="3" t="inlineStr">
        <is>
          <t>15220</t>
        </is>
      </c>
      <c r="B15264" s="4" t="s">
        <f>=HYPERLINK("http://anyluxury.ru/shop/odezhda/futbolki/futbolka-muzhskaya-ankara-seriy-melanzh-1627711/" , "16277.11 Футболка мужская Ankara, серый меланж, размер L")</f>
      </c>
      <c r="C15264" s="4" t="n">
        <v>1042.00</v>
      </c>
      <c r="D15264" s="4"/>
    </row>
    <row collapsed="" customFormat="false" customHeight="1" hidden="" ht="14" outlineLevel="0" r="15265">
      <c r="A15265" s="3" t="inlineStr">
        <is>
          <t>15221</t>
        </is>
      </c>
      <c r="B15265" s="4" t="s">
        <f>=HYPERLINK("http://anyluxury.ru/shop/odezhda/futbolki/futbolka-muzhskaya-ankara-seriy-melanzh-1627711/" , "16277.11 Футболка мужская Ankara, серый меланж, размер XL")</f>
      </c>
      <c r="C15265" s="4" t="n">
        <v>1042.00</v>
      </c>
      <c r="D15265" s="4"/>
    </row>
    <row collapsed="" customFormat="false" customHeight="1" hidden="" ht="14" outlineLevel="0" r="15266">
      <c r="A15266" s="3" t="inlineStr">
        <is>
          <t>15222</t>
        </is>
      </c>
      <c r="B15266" s="4" t="s">
        <f>=HYPERLINK("http://anyluxury.ru/shop/odezhda/futbolki/futbolka-muzhskaya-ankara-seriy-melanzh-1627711/" , "16277.11 Футболка мужская Ankara, серый меланж, размер XXL")</f>
      </c>
      <c r="C15266" s="4" t="n">
        <v>1042.00</v>
      </c>
      <c r="D15266" s="4"/>
    </row>
    <row collapsed="" customFormat="false" customHeight="1" hidden="" ht="14" outlineLevel="0" r="15267">
      <c r="A15267" s="3" t="inlineStr">
        <is>
          <t>15223</t>
        </is>
      </c>
      <c r="B15267" s="4" t="s">
        <f>=HYPERLINK("http://anyluxury.ru/shop/odezhda/futbolki/futbolka-muzhskaya-ankara-krasnaya-1627750/" , "16277.50 Футболка мужская Ankara, красная, размер XS")</f>
      </c>
      <c r="C15267" s="4" t="n">
        <v>1042.00</v>
      </c>
      <c r="D15267" s="4"/>
    </row>
    <row collapsed="" customFormat="false" customHeight="1" hidden="" ht="14" outlineLevel="0" r="15268">
      <c r="A15268" s="3" t="inlineStr">
        <is>
          <t>15224</t>
        </is>
      </c>
      <c r="B15268" s="4" t="s">
        <f>=HYPERLINK("http://anyluxury.ru/shop/odezhda/futbolki/futbolka-muzhskaya-ankara-krasnaya-1627750/" , "16277.50 Футболка мужская Ankara, красная, размер S")</f>
      </c>
      <c r="C15268" s="4" t="n">
        <v>1042.00</v>
      </c>
      <c r="D15268" s="4"/>
    </row>
    <row collapsed="" customFormat="false" customHeight="1" hidden="" ht="14" outlineLevel="0" r="15269">
      <c r="A15269" s="3" t="inlineStr">
        <is>
          <t>15225</t>
        </is>
      </c>
      <c r="B15269" s="4" t="s">
        <f>=HYPERLINK("http://anyluxury.ru/shop/odezhda/futbolki/futbolka-muzhskaya-ankara-krasnaya-1627750/" , "16277.50 Футболка мужская Ankara, красная, размер M")</f>
      </c>
      <c r="C15269" s="4" t="n">
        <v>1042.00</v>
      </c>
      <c r="D15269" s="4"/>
    </row>
    <row collapsed="" customFormat="false" customHeight="1" hidden="" ht="14" outlineLevel="0" r="15270">
      <c r="A15270" s="3" t="inlineStr">
        <is>
          <t>15226</t>
        </is>
      </c>
      <c r="B15270" s="4" t="s">
        <f>=HYPERLINK("http://anyluxury.ru/shop/odezhda/futbolki/futbolka-muzhskaya-ankara-krasnaya-1627750/" , "16277.50 Футболка мужская Ankara, красная, размер L")</f>
      </c>
      <c r="C15270" s="4" t="n">
        <v>1042.00</v>
      </c>
      <c r="D15270" s="4"/>
    </row>
    <row collapsed="" customFormat="false" customHeight="1" hidden="" ht="14" outlineLevel="0" r="15271">
      <c r="A15271" s="3" t="inlineStr">
        <is>
          <t>15227</t>
        </is>
      </c>
      <c r="B15271" s="4" t="s">
        <f>=HYPERLINK("http://anyluxury.ru/shop/odezhda/futbolki/futbolka-muzhskaya-ankara-krasnaya-1627750/" , "16277.50 Футболка мужская Ankara, красная, размер XL")</f>
      </c>
      <c r="C15271" s="4" t="n">
        <v>1042.00</v>
      </c>
      <c r="D15271" s="4"/>
    </row>
    <row collapsed="" customFormat="false" customHeight="1" hidden="" ht="14" outlineLevel="0" r="15272">
      <c r="A15272" s="3" t="inlineStr">
        <is>
          <t>15228</t>
        </is>
      </c>
      <c r="B15272" s="4" t="s">
        <f>=HYPERLINK("http://anyluxury.ru/shop/odezhda/futbolki/futbolka-muzhskaya-ankara-krasnaya-1627750/" , "16277.50 Футболка мужская Ankara, красная, размер XXL")</f>
      </c>
      <c r="C15272" s="4" t="n">
        <v>1042.00</v>
      </c>
      <c r="D15272" s="4"/>
    </row>
    <row collapsed="" customFormat="false" customHeight="1" hidden="" ht="14" outlineLevel="0" r="15273">
      <c r="A15273" s="3" t="inlineStr">
        <is>
          <t>15229</t>
        </is>
      </c>
      <c r="B15273" s="4" t="s">
        <f>=HYPERLINK("http://anyluxury.ru/shop/odezhda/futbolki/futbolka-uniseks-sublimatism-belaya-1564060/" , "15640.60 Футболка унисекс Sublimatism, белая, размер S")</f>
      </c>
      <c r="C15273" s="4" t="n">
        <v>740.00</v>
      </c>
      <c r="D15273" s="4"/>
    </row>
    <row collapsed="" customFormat="false" customHeight="1" hidden="" ht="14" outlineLevel="0" r="15274">
      <c r="A15274" s="3" t="inlineStr">
        <is>
          <t>15230</t>
        </is>
      </c>
      <c r="B15274" s="4" t="s">
        <f>=HYPERLINK("http://anyluxury.ru/shop/odezhda/futbolki/futbolka-uniseks-sublimatism-belaya-1564060/" , "15640.60 Футболка унисекс Sublimatism, белая, размер M")</f>
      </c>
      <c r="C15274" s="4" t="n">
        <v>740.00</v>
      </c>
      <c r="D15274" s="4"/>
    </row>
    <row collapsed="" customFormat="false" customHeight="1" hidden="" ht="14" outlineLevel="0" r="15275">
      <c r="A15275" s="3" t="inlineStr">
        <is>
          <t>15231</t>
        </is>
      </c>
      <c r="B15275" s="4" t="s">
        <f>=HYPERLINK("http://anyluxury.ru/shop/odezhda/futbolki/futbolka-uniseks-sublimatism-belaya-1564060/" , "15640.60 Футболка унисекс Sublimatism, белая, размер L")</f>
      </c>
      <c r="C15275" s="4" t="n">
        <v>740.00</v>
      </c>
      <c r="D15275" s="4"/>
    </row>
    <row collapsed="" customFormat="false" customHeight="1" hidden="" ht="14" outlineLevel="0" r="15276">
      <c r="A15276" s="3" t="inlineStr">
        <is>
          <t>15232</t>
        </is>
      </c>
      <c r="B15276" s="4" t="s">
        <f>=HYPERLINK("http://anyluxury.ru/shop/odezhda/futbolki/futbolka-uniseks-sublimatism-belaya-1564060/" , "15640.60 Футболка унисекс Sublimatism, белая, размер XL")</f>
      </c>
      <c r="C15276" s="4" t="n">
        <v>740.00</v>
      </c>
      <c r="D15276" s="4"/>
    </row>
    <row collapsed="" customFormat="false" customHeight="1" hidden="" ht="14" outlineLevel="0" r="15277">
      <c r="A15277" s="3" t="inlineStr">
        <is>
          <t>15233</t>
        </is>
      </c>
      <c r="B15277" s="4" t="s">
        <f>=HYPERLINK("http://anyluxury.ru/shop/odezhda/futbolki/futbolka-uniseks-sublimatism-belaya-1564060/" , "15640.60 Футболка унисекс Sublimatism, белая, размер XXL")</f>
      </c>
      <c r="C15277" s="4" t="n">
        <v>740.00</v>
      </c>
      <c r="D15277" s="4"/>
    </row>
    <row collapsed="" customFormat="false" customHeight="1" hidden="" ht="14" outlineLevel="0" r="15278">
      <c r="A15278" s="3" t="inlineStr">
        <is>
          <t>15234</t>
        </is>
      </c>
      <c r="B15278" s="4" t="s">
        <f>=HYPERLINK("http://anyluxury.ru/shop/odezhda/futbolki/futbolka-uniseks-tbolka-160-belaya-tepliy-ottenok-614061/" , "6140.61 Футболка T-Bolka 160, белая (теплый оттенок), размер 5XL")</f>
      </c>
      <c r="C15278" s="4" t="n">
        <v>580.00</v>
      </c>
      <c r="D15278" s="4"/>
    </row>
    <row collapsed="" customFormat="false" customHeight="1" hidden="" ht="14" outlineLevel="0" r="15279">
      <c r="A15279" s="3" t="inlineStr">
        <is>
          <t>15235</t>
        </is>
      </c>
      <c r="B15279" s="4" t="s">
        <f>=HYPERLINK("http://anyluxury.ru/shop/odezhda/futbolki/futbolka-uniseks-tbolka-160-belaya-tepliy-ottenok-614061/" , "6140.61 Футболка T-Bolka 160, белая (теплый оттенок), размер XS")</f>
      </c>
      <c r="C15279" s="4" t="n">
        <v>580.00</v>
      </c>
      <c r="D15279" s="4"/>
    </row>
    <row collapsed="" customFormat="false" customHeight="1" hidden="" ht="14" outlineLevel="0" r="15280">
      <c r="A15280" s="3" t="inlineStr">
        <is>
          <t>15236</t>
        </is>
      </c>
      <c r="B15280" s="4" t="s">
        <f>=HYPERLINK("http://anyluxury.ru/shop/odezhda/futbolki/futbolka-uniseks-tbolka-160-belaya-tepliy-ottenok-614061/" , "6140.61 Футболка T-Bolka 160, белая (теплый оттенок), размер S")</f>
      </c>
      <c r="C15280" s="4" t="n">
        <v>580.00</v>
      </c>
      <c r="D15280" s="4"/>
    </row>
    <row collapsed="" customFormat="false" customHeight="1" hidden="" ht="14" outlineLevel="0" r="15281">
      <c r="A15281" s="3" t="inlineStr">
        <is>
          <t>15237</t>
        </is>
      </c>
      <c r="B15281" s="4" t="s">
        <f>=HYPERLINK("http://anyluxury.ru/shop/odezhda/futbolki/futbolka-uniseks-tbolka-160-belaya-tepliy-ottenok-614061/" , "6140.61 Футболка T-Bolka 160, белая (теплый оттенок), размер M")</f>
      </c>
      <c r="C15281" s="4" t="n">
        <v>580.00</v>
      </c>
      <c r="D15281" s="4"/>
    </row>
    <row collapsed="" customFormat="false" customHeight="1" hidden="" ht="14" outlineLevel="0" r="15282">
      <c r="A15282" s="3" t="inlineStr">
        <is>
          <t>15238</t>
        </is>
      </c>
      <c r="B15282" s="4" t="s">
        <f>=HYPERLINK("http://anyluxury.ru/shop/odezhda/futbolki/futbolka-uniseks-tbolka-160-belaya-tepliy-ottenok-614061/" , "6140.61 Футболка T-Bolka 160, белая (теплый оттенок), размер L")</f>
      </c>
      <c r="C15282" s="4" t="n">
        <v>580.00</v>
      </c>
      <c r="D15282" s="4"/>
    </row>
    <row collapsed="" customFormat="false" customHeight="1" hidden="" ht="14" outlineLevel="0" r="15283">
      <c r="A15283" s="3" t="inlineStr">
        <is>
          <t>15239</t>
        </is>
      </c>
      <c r="B15283" s="4" t="s">
        <f>=HYPERLINK("http://anyluxury.ru/shop/odezhda/futbolki/futbolka-uniseks-tbolka-160-belaya-tepliy-ottenok-614061/" , "6140.61 Футболка T-Bolka 160, белая (теплый оттенок), размер XL")</f>
      </c>
      <c r="C15283" s="4" t="n">
        <v>580.00</v>
      </c>
      <c r="D15283" s="4"/>
    </row>
    <row collapsed="" customFormat="false" customHeight="1" hidden="" ht="14" outlineLevel="0" r="15284">
      <c r="A15284" s="3" t="inlineStr">
        <is>
          <t>15240</t>
        </is>
      </c>
      <c r="B15284" s="4" t="s">
        <f>=HYPERLINK("http://anyluxury.ru/shop/odezhda/futbolki/futbolka-uniseks-tbolka-160-belaya-tepliy-ottenok-614061/" , "6140.61 Футболка T-Bolka 160, белая (теплый оттенок), размер XXL")</f>
      </c>
      <c r="C15284" s="4" t="n">
        <v>580.00</v>
      </c>
      <c r="D15284" s="4"/>
    </row>
    <row collapsed="" customFormat="false" customHeight="1" hidden="" ht="14" outlineLevel="0" r="15285">
      <c r="A15285" s="3" t="inlineStr">
        <is>
          <t>15241</t>
        </is>
      </c>
      <c r="B15285" s="4" t="s">
        <f>=HYPERLINK("http://anyluxury.ru/shop/odezhda/futbolki/futbolka-uniseks-tbolka-160-belaya-tepliy-ottenok-614061/" , "6140.61 Футболка T-Bolka 160, белая (теплый оттенок), размер 3XL")</f>
      </c>
      <c r="C15285" s="4" t="n">
        <v>580.00</v>
      </c>
      <c r="D15285" s="4"/>
    </row>
    <row collapsed="" customFormat="false" customHeight="1" hidden="" ht="14" outlineLevel="0" r="15286">
      <c r="A15286" s="3" t="inlineStr">
        <is>
          <t>15242</t>
        </is>
      </c>
      <c r="B15286" s="4" t="s">
        <f>=HYPERLINK("http://anyluxury.ru/shop/odezhda/futbolki/futbolka-uniseks-tbolka-160-belaya-tepliy-ottenok-614061/" , "6140.61 Футболка T-Bolka 160, белая (теплый оттенок), размер 4XL")</f>
      </c>
      <c r="C15286" s="4" t="n">
        <v>580.00</v>
      </c>
      <c r="D15286" s="4"/>
    </row>
    <row collapsed="" customFormat="false" customHeight="1" hidden="" ht="14" outlineLevel="0" r="15287">
      <c r="A15287" s="3" t="inlineStr">
        <is>
          <t>15243</t>
        </is>
      </c>
      <c r="B15287" s="4" t="s">
        <f>=HYPERLINK("http://anyluxury.ru/shop/odezhda/futbolki/futbolka-uniseks-tbolka-160-biryuzovaya-614042/" , "6140.42 Футболка унисекс T-Bolka 160, бирюзовая, размер XS")</f>
      </c>
      <c r="C15287" s="4" t="n">
        <v>660.00</v>
      </c>
      <c r="D15287" s="4"/>
    </row>
    <row collapsed="" customFormat="false" customHeight="1" hidden="" ht="14" outlineLevel="0" r="15288">
      <c r="A15288" s="3" t="inlineStr">
        <is>
          <t>15244</t>
        </is>
      </c>
      <c r="B15288" s="4" t="s">
        <f>=HYPERLINK("http://anyluxury.ru/shop/odezhda/futbolki/futbolka-uniseks-tbolka-160-biryuzovaya-614042/" , "6140.42 Футболка унисекс T-Bolka 160, бирюзовая, размер S")</f>
      </c>
      <c r="C15288" s="4" t="n">
        <v>660.00</v>
      </c>
      <c r="D15288" s="4"/>
    </row>
    <row collapsed="" customFormat="false" customHeight="1" hidden="" ht="14" outlineLevel="0" r="15289">
      <c r="A15289" s="3" t="inlineStr">
        <is>
          <t>15245</t>
        </is>
      </c>
      <c r="B15289" s="4" t="s">
        <f>=HYPERLINK("http://anyluxury.ru/shop/odezhda/futbolki/futbolka-uniseks-tbolka-160-biryuzovaya-614042/" , "6140.42 Футболка унисекс T-Bolka 160, бирюзовая, размер M")</f>
      </c>
      <c r="C15289" s="4" t="n">
        <v>660.00</v>
      </c>
      <c r="D15289" s="4"/>
    </row>
    <row collapsed="" customFormat="false" customHeight="1" hidden="" ht="14" outlineLevel="0" r="15290">
      <c r="A15290" s="3" t="inlineStr">
        <is>
          <t>15246</t>
        </is>
      </c>
      <c r="B15290" s="4" t="s">
        <f>=HYPERLINK("http://anyluxury.ru/shop/odezhda/futbolki/futbolka-uniseks-tbolka-160-biryuzovaya-614042/" , "6140.42 Футболка унисекс T-Bolka 160, бирюзовая, размер L")</f>
      </c>
      <c r="C15290" s="4" t="n">
        <v>660.00</v>
      </c>
      <c r="D15290" s="4"/>
    </row>
    <row collapsed="" customFormat="false" customHeight="1" hidden="" ht="14" outlineLevel="0" r="15291">
      <c r="A15291" s="3" t="inlineStr">
        <is>
          <t>15247</t>
        </is>
      </c>
      <c r="B15291" s="4" t="s">
        <f>=HYPERLINK("http://anyluxury.ru/shop/odezhda/futbolki/futbolka-uniseks-tbolka-160-biryuzovaya-614042/" , "6140.42 Футболка унисекс T-Bolka 160, бирюзовая, размер XL")</f>
      </c>
      <c r="C15291" s="4" t="n">
        <v>660.00</v>
      </c>
      <c r="D15291" s="4"/>
    </row>
    <row collapsed="" customFormat="false" customHeight="1" hidden="" ht="14" outlineLevel="0" r="15292">
      <c r="A15292" s="3" t="inlineStr">
        <is>
          <t>15248</t>
        </is>
      </c>
      <c r="B15292" s="4" t="s">
        <f>=HYPERLINK("http://anyluxury.ru/shop/odezhda/futbolki/futbolka-uniseks-tbolka-160-biryuzovaya-614042/" , "6140.42 Футболка унисекс T-Bolka 160, бирюзовая, размер XXL")</f>
      </c>
      <c r="C15292" s="4" t="n">
        <v>660.00</v>
      </c>
      <c r="D15292" s="4"/>
    </row>
    <row collapsed="" customFormat="false" customHeight="1" hidden="" ht="14" outlineLevel="0" r="15293">
      <c r="A15293" s="3" t="inlineStr">
        <is>
          <t>15249</t>
        </is>
      </c>
      <c r="B15293" s="4" t="s">
        <f>=HYPERLINK("http://anyluxury.ru/shop/odezhda/futbolki/futbolka-uniseks-tbolka-160-biryuzovaya-614042/" , "6140.42 Футболка унисекс T-Bolka 160, бирюзовая, размер 3XL")</f>
      </c>
      <c r="C15293" s="4" t="n">
        <v>660.00</v>
      </c>
      <c r="D15293" s="4"/>
    </row>
    <row collapsed="" customFormat="false" customHeight="1" hidden="" ht="14" outlineLevel="0" r="15294">
      <c r="A15294" s="3" t="inlineStr">
        <is>
          <t>15250</t>
        </is>
      </c>
      <c r="B15294" s="4" t="s">
        <f>=HYPERLINK("http://anyluxury.ru/shop/odezhda/futbolki/futbolka-uniseks-tbolka-160-biryuzovaya-614042/" , "6140.42 Футболка унисекс T-Bolka 160, бирюзовая, размер 4XL")</f>
      </c>
      <c r="C15294" s="4" t="n">
        <v>660.00</v>
      </c>
      <c r="D15294" s="4"/>
    </row>
    <row collapsed="" customFormat="false" customHeight="1" hidden="" ht="14" outlineLevel="0" r="15295">
      <c r="A15295" s="3" t="inlineStr">
        <is>
          <t>15251</t>
        </is>
      </c>
      <c r="B15295" s="4" t="s">
        <f>=HYPERLINK("http://anyluxury.ru/shop/odezhda/futbolki/futbolka-uniseks-tbolka-160-biryuzovaya-614042/" , "6140.42 Футболка унисекс T-Bolka 160, бирюзовая, размер 5XL")</f>
      </c>
      <c r="C15295" s="4" t="n">
        <v>660.00</v>
      </c>
      <c r="D15295" s="4"/>
    </row>
    <row collapsed="" customFormat="false" customHeight="1" hidden="" ht="14" outlineLevel="0" r="15296">
      <c r="A15296" s="3" t="inlineStr">
        <is>
          <t>15252</t>
        </is>
      </c>
      <c r="B15296" s="4" t="s">
        <f>=HYPERLINK("http://anyluxury.ru/shop/odezhda/futbolki/futbolka-uniseks-tbolka-160-temnoseraya-grafit-614010/" , "6140.10 Футболка унисекс T-Bolka 160, темно-серая (графит), размер XS")</f>
      </c>
      <c r="C15296" s="4" t="n">
        <v>660.00</v>
      </c>
      <c r="D15296" s="4"/>
    </row>
    <row collapsed="" customFormat="false" customHeight="1" hidden="" ht="14" outlineLevel="0" r="15297">
      <c r="A15297" s="3" t="inlineStr">
        <is>
          <t>15253</t>
        </is>
      </c>
      <c r="B15297" s="4" t="s">
        <f>=HYPERLINK("http://anyluxury.ru/shop/odezhda/futbolki/futbolka-uniseks-tbolka-160-temnoseraya-grafit-614010/" , "6140.10 Футболка унисекс T-Bolka 160, темно-серая (графит), размер S")</f>
      </c>
      <c r="C15297" s="4" t="n">
        <v>660.00</v>
      </c>
      <c r="D15297" s="4"/>
    </row>
    <row collapsed="" customFormat="false" customHeight="1" hidden="" ht="14" outlineLevel="0" r="15298">
      <c r="A15298" s="3" t="inlineStr">
        <is>
          <t>15254</t>
        </is>
      </c>
      <c r="B15298" s="4" t="s">
        <f>=HYPERLINK("http://anyluxury.ru/shop/odezhda/futbolki/futbolka-uniseks-tbolka-160-temnoseraya-grafit-614010/" , "6140.10 Футболка унисекс T-Bolka 160, темно-серая (графит), размер L")</f>
      </c>
      <c r="C15298" s="4" t="n">
        <v>660.00</v>
      </c>
      <c r="D15298" s="4"/>
    </row>
    <row collapsed="" customFormat="false" customHeight="1" hidden="" ht="14" outlineLevel="0" r="15299">
      <c r="A15299" s="3" t="inlineStr">
        <is>
          <t>15255</t>
        </is>
      </c>
      <c r="B15299" s="4" t="s">
        <f>=HYPERLINK("http://anyluxury.ru/shop/odezhda/futbolki/futbolka-uniseks-tbolka-160-temnoseraya-grafit-614010/" , "6140.10 Футболка унисекс T-Bolka 160, темно-серая (графит), размер XL")</f>
      </c>
      <c r="C15299" s="4" t="n">
        <v>660.00</v>
      </c>
      <c r="D15299" s="4"/>
    </row>
    <row collapsed="" customFormat="false" customHeight="1" hidden="" ht="14" outlineLevel="0" r="15300">
      <c r="A15300" s="3" t="inlineStr">
        <is>
          <t>15256</t>
        </is>
      </c>
      <c r="B15300" s="4" t="s">
        <f>=HYPERLINK("http://anyluxury.ru/shop/odezhda/futbolki/futbolka-uniseks-tbolka-160-temnoseraya-grafit-614010/" , "6140.10 Футболка унисекс T-Bolka 160, темно-серая (графит), размер XXL")</f>
      </c>
      <c r="C15300" s="4" t="n">
        <v>660.00</v>
      </c>
      <c r="D15300" s="4"/>
    </row>
    <row collapsed="" customFormat="false" customHeight="1" hidden="" ht="14" outlineLevel="0" r="15301">
      <c r="A15301" s="3" t="inlineStr">
        <is>
          <t>15257</t>
        </is>
      </c>
      <c r="B15301" s="4" t="s">
        <f>=HYPERLINK("http://anyluxury.ru/shop/odezhda/futbolki/futbolka-uniseks-tbolka-160-temnoseraya-grafit-614010/" , "6140.10 Футболка унисекс T-Bolka 160, темно-серая (графит), размер 3XL")</f>
      </c>
      <c r="C15301" s="4" t="n">
        <v>660.00</v>
      </c>
      <c r="D15301" s="4"/>
    </row>
    <row collapsed="" customFormat="false" customHeight="1" hidden="" ht="14" outlineLevel="0" r="15302">
      <c r="A15302" s="3" t="inlineStr">
        <is>
          <t>15258</t>
        </is>
      </c>
      <c r="B15302" s="4" t="s">
        <f>=HYPERLINK("http://anyluxury.ru/shop/odezhda/futbolki/futbolka-uniseks-tbolka-160-temnoseraya-grafit-614010/" , "6140.10 Футболка унисекс T-Bolka 160, темно-серая (графит), размер 4XL")</f>
      </c>
      <c r="C15302" s="4" t="n">
        <v>660.00</v>
      </c>
      <c r="D15302" s="4"/>
    </row>
    <row collapsed="" customFormat="false" customHeight="1" hidden="" ht="14" outlineLevel="0" r="15303">
      <c r="A15303" s="3" t="inlineStr">
        <is>
          <t>15259</t>
        </is>
      </c>
      <c r="B15303" s="4" t="s">
        <f>=HYPERLINK("http://anyluxury.ru/shop/odezhda/futbolki/futbolka-uniseks-tbolka-160-temnoseraya-grafit-614010/" , "6140.10 Футболка унисекс T-Bolka 160, темно-серая (графит), размер 5XL")</f>
      </c>
      <c r="C15303" s="4" t="n">
        <v>660.00</v>
      </c>
      <c r="D15303" s="4"/>
    </row>
    <row collapsed="" customFormat="false" customHeight="1" hidden="" ht="14" outlineLevel="0" r="15304">
      <c r="A15304" s="3" t="inlineStr">
        <is>
          <t>15260</t>
        </is>
      </c>
      <c r="B15304" s="4" t="s">
        <f>=HYPERLINK("http://anyluxury.ru/shop/odezhda/futbolki/futbolka-zhenskaya-tbolka-lady-molochnobelaya-187862/" , "1878.62 Футболка женская T-bolka Lady, молочно-белая, размер S")</f>
      </c>
      <c r="C15304" s="4" t="n">
        <v>497.00</v>
      </c>
      <c r="D15304" s="4"/>
    </row>
    <row collapsed="" customFormat="false" customHeight="1" hidden="" ht="14" outlineLevel="0" r="15305">
      <c r="A15305" s="3" t="inlineStr">
        <is>
          <t>15261</t>
        </is>
      </c>
      <c r="B15305" s="4" t="s">
        <f>=HYPERLINK("http://anyluxury.ru/shop/odezhda/futbolki/futbolka-zhenskaya-tbolka-lady-molochnobelaya-187862/" , "1878.62 Футболка женская T-bolka Lady, молочно-белая, размер M")</f>
      </c>
      <c r="C15305" s="4" t="n">
        <v>497.00</v>
      </c>
      <c r="D15305" s="4"/>
    </row>
    <row collapsed="" customFormat="false" customHeight="1" hidden="" ht="14" outlineLevel="0" r="15306">
      <c r="A15306" s="3" t="inlineStr">
        <is>
          <t>15262</t>
        </is>
      </c>
      <c r="B15306" s="4" t="s">
        <f>=HYPERLINK("http://anyluxury.ru/shop/odezhda/futbolki/futbolka-zhenskaya-tbolka-lady-molochnobelaya-187862/" , "1878.62 Футболка женская T-bolka Lady, молочно-белая, размер L")</f>
      </c>
      <c r="C15306" s="4" t="n">
        <v>497.00</v>
      </c>
      <c r="D15306" s="4"/>
    </row>
    <row collapsed="" customFormat="false" customHeight="1" hidden="" ht="14" outlineLevel="0" r="15307">
      <c r="A15307" s="3" t="inlineStr">
        <is>
          <t>15263</t>
        </is>
      </c>
      <c r="B15307" s="4" t="s">
        <f>=HYPERLINK("http://anyluxury.ru/shop/odezhda/futbolki/futbolka-zhenskaya-tbolka-lady-molochnobelaya-187862/" , "1878.62 Футболка женская T-bolka Lady, молочно-белая, размер XL")</f>
      </c>
      <c r="C15307" s="4" t="n">
        <v>497.00</v>
      </c>
      <c r="D15307" s="4"/>
    </row>
    <row collapsed="" customFormat="false" customHeight="1" hidden="" ht="14" outlineLevel="0" r="15308">
      <c r="A15308" s="3" t="inlineStr">
        <is>
          <t>15264</t>
        </is>
      </c>
      <c r="B15308" s="4" t="s">
        <f>=HYPERLINK("http://anyluxury.ru/shop/odezhda/futbolki/futbolka-zhenskaya-tbolka-lady-molochnobelaya-187862/" , "1878.62 Футболка женская T-bolka Lady, молочно-белая, размер XXL")</f>
      </c>
      <c r="C15308" s="4" t="n">
        <v>497.00</v>
      </c>
      <c r="D15308" s="4"/>
    </row>
    <row collapsed="" customFormat="false" customHeight="1" hidden="" ht="14" outlineLevel="0" r="15309">
      <c r="A15309" s="3" t="inlineStr">
        <is>
          <t>15265</t>
        </is>
      </c>
      <c r="B15309" s="4" t="s">
        <f>=HYPERLINK("http://anyluxury.ru/shop/odezhda/futbolki/futbolka-zhenskaya-tbolka-lady-molochnobelaya-187862/" , "1878.62 Футболка женская T-bolka Lady, молочно-белая, размер 3XL")</f>
      </c>
      <c r="C15309" s="4" t="n">
        <v>497.00</v>
      </c>
      <c r="D15309" s="4"/>
    </row>
    <row collapsed="" customFormat="false" customHeight="1" hidden="" ht="14" outlineLevel="0" r="15310">
      <c r="A15310" s="3" t="inlineStr">
        <is>
          <t>15266</t>
        </is>
      </c>
      <c r="B15310" s="4" t="s">
        <f>=HYPERLINK("http://anyluxury.ru/shop/odezhda/futbolki/futbolka-uniseks-tbolka-160-molochnobelaya-614062/" , "6140.62 Футболка унисекс T-Bolka 160, молочно-белая, размер XS")</f>
      </c>
      <c r="C15310" s="4" t="n">
        <v>660.00</v>
      </c>
      <c r="D15310" s="4"/>
    </row>
    <row collapsed="" customFormat="false" customHeight="1" hidden="" ht="14" outlineLevel="0" r="15311">
      <c r="A15311" s="3" t="inlineStr">
        <is>
          <t>15267</t>
        </is>
      </c>
      <c r="B15311" s="4" t="s">
        <f>=HYPERLINK("http://anyluxury.ru/shop/odezhda/futbolki/futbolka-uniseks-tbolka-160-molochnobelaya-614062/" , "6140.62 Футболка унисекс T-Bolka 160, молочно-белая, размер S")</f>
      </c>
      <c r="C15311" s="4" t="n">
        <v>660.00</v>
      </c>
      <c r="D15311" s="4"/>
    </row>
    <row collapsed="" customFormat="false" customHeight="1" hidden="" ht="14" outlineLevel="0" r="15312">
      <c r="A15312" s="3" t="inlineStr">
        <is>
          <t>15268</t>
        </is>
      </c>
      <c r="B15312" s="4" t="s">
        <f>=HYPERLINK("http://anyluxury.ru/shop/odezhda/futbolki/futbolka-uniseks-tbolka-160-molochnobelaya-614062/" , "6140.62 Футболка унисекс T-Bolka 160, молочно-белая, размер M")</f>
      </c>
      <c r="C15312" s="4" t="n">
        <v>660.00</v>
      </c>
      <c r="D15312" s="4"/>
    </row>
    <row collapsed="" customFormat="false" customHeight="1" hidden="" ht="14" outlineLevel="0" r="15313">
      <c r="A15313" s="3" t="inlineStr">
        <is>
          <t>15269</t>
        </is>
      </c>
      <c r="B15313" s="4" t="s">
        <f>=HYPERLINK("http://anyluxury.ru/shop/odezhda/futbolki/futbolka-uniseks-tbolka-160-molochnobelaya-614062/" , "6140.62 Футболка унисекс T-Bolka 160, молочно-белая, размер L")</f>
      </c>
      <c r="C15313" s="4" t="n">
        <v>660.00</v>
      </c>
      <c r="D15313" s="4"/>
    </row>
    <row collapsed="" customFormat="false" customHeight="1" hidden="" ht="14" outlineLevel="0" r="15314">
      <c r="A15314" s="3" t="inlineStr">
        <is>
          <t>15270</t>
        </is>
      </c>
      <c r="B15314" s="4" t="s">
        <f>=HYPERLINK("http://anyluxury.ru/shop/odezhda/futbolki/futbolka-uniseks-tbolka-160-molochnobelaya-614062/" , "6140.62 Футболка унисекс T-Bolka 160, молочно-белая, размер XL")</f>
      </c>
      <c r="C15314" s="4" t="n">
        <v>660.00</v>
      </c>
      <c r="D15314" s="4"/>
    </row>
    <row collapsed="" customFormat="false" customHeight="1" hidden="" ht="14" outlineLevel="0" r="15315">
      <c r="A15315" s="3" t="inlineStr">
        <is>
          <t>15271</t>
        </is>
      </c>
      <c r="B15315" s="4" t="s">
        <f>=HYPERLINK("http://anyluxury.ru/shop/odezhda/futbolki/futbolka-uniseks-tbolka-160-molochnobelaya-614062/" , "6140.62 Футболка унисекс T-Bolka 160, молочно-белая, размер XXL")</f>
      </c>
      <c r="C15315" s="4" t="n">
        <v>660.00</v>
      </c>
      <c r="D15315" s="4"/>
    </row>
    <row collapsed="" customFormat="false" customHeight="1" hidden="" ht="14" outlineLevel="0" r="15316">
      <c r="A15316" s="3" t="inlineStr">
        <is>
          <t>15272</t>
        </is>
      </c>
      <c r="B15316" s="4" t="s">
        <f>=HYPERLINK("http://anyluxury.ru/shop/odezhda/futbolki/futbolka-uniseks-tbolka-160-molochnobelaya-614062/" , "6140.62 Футболка унисекс T-Bolka 160, молочно-белая, размер 3XL")</f>
      </c>
      <c r="C15316" s="4" t="n">
        <v>660.00</v>
      </c>
      <c r="D15316" s="4"/>
    </row>
    <row collapsed="" customFormat="false" customHeight="1" hidden="" ht="14" outlineLevel="0" r="15317">
      <c r="A15317" s="3" t="inlineStr">
        <is>
          <t>15273</t>
        </is>
      </c>
      <c r="B15317" s="4" t="s">
        <f>=HYPERLINK("http://anyluxury.ru/shop/odezhda/futbolki/futbolka-uniseks-tbolka-160-molochnobelaya-614062/" , "6140.62 Футболка унисекс T-Bolka 160, молочно-белая, размер 4XL")</f>
      </c>
      <c r="C15317" s="4" t="n">
        <v>660.00</v>
      </c>
      <c r="D15317" s="4"/>
    </row>
    <row collapsed="" customFormat="false" customHeight="1" hidden="" ht="14" outlineLevel="0" r="15318">
      <c r="A15318" s="3" t="inlineStr">
        <is>
          <t>15274</t>
        </is>
      </c>
      <c r="B15318" s="4" t="s">
        <f>=HYPERLINK("http://anyluxury.ru/shop/odezhda/futbolki/futbolka-uniseks-tbolka-160-molochnobelaya-614062/" , "6140.62 Футболка унисекс T-Bolka 160, молочно-белая, размер 5XL")</f>
      </c>
      <c r="C15318" s="4" t="n">
        <v>660.00</v>
      </c>
      <c r="D15318" s="4"/>
    </row>
    <row collapsed="" customFormat="false" customHeight="1" hidden="" ht="14" outlineLevel="0" r="15319">
      <c r="A15319" s="3" t="inlineStr">
        <is>
          <t>15275</t>
        </is>
      </c>
      <c r="B15319" s="4" t="s">
        <f>=HYPERLINK("http://anyluxury.ru/shop/odezhda/futbolki/futbolka-zhenskaya-tbolka-lady-belaya-tepliy-ottenok-187861/" , "1878.61 Футболка женская T-bolka Lady, белая (теплый оттенок), размер S")</f>
      </c>
      <c r="C15319" s="4" t="n">
        <v>497.00</v>
      </c>
      <c r="D15319" s="4"/>
    </row>
    <row collapsed="" customFormat="false" customHeight="1" hidden="" ht="14" outlineLevel="0" r="15320">
      <c r="A15320" s="3" t="inlineStr">
        <is>
          <t>15276</t>
        </is>
      </c>
      <c r="B15320" s="4" t="s">
        <f>=HYPERLINK("http://anyluxury.ru/shop/odezhda/futbolki/futbolka-zhenskaya-tbolka-lady-belaya-tepliy-ottenok-187861/" , "1878.61 Футболка женская T-bolka Lady, белая (теплый оттенок), размер M")</f>
      </c>
      <c r="C15320" s="4" t="n">
        <v>497.00</v>
      </c>
      <c r="D15320" s="4"/>
    </row>
    <row collapsed="" customFormat="false" customHeight="1" hidden="" ht="14" outlineLevel="0" r="15321">
      <c r="A15321" s="3" t="inlineStr">
        <is>
          <t>15277</t>
        </is>
      </c>
      <c r="B15321" s="4" t="s">
        <f>=HYPERLINK("http://anyluxury.ru/shop/odezhda/futbolki/futbolka-zhenskaya-tbolka-lady-belaya-tepliy-ottenok-187861/" , "1878.61 Футболка женская T-bolka Lady, белая (теплый оттенок), размер L")</f>
      </c>
      <c r="C15321" s="4" t="n">
        <v>497.00</v>
      </c>
      <c r="D15321" s="4"/>
    </row>
    <row collapsed="" customFormat="false" customHeight="1" hidden="" ht="14" outlineLevel="0" r="15322">
      <c r="A15322" s="3" t="inlineStr">
        <is>
          <t>15278</t>
        </is>
      </c>
      <c r="B15322" s="4" t="s">
        <f>=HYPERLINK("http://anyluxury.ru/shop/odezhda/futbolki/futbolka-zhenskaya-tbolka-lady-belaya-tepliy-ottenok-187861/" , "1878.61 Футболка женская T-bolka Lady, белая (теплый оттенок), размер XL")</f>
      </c>
      <c r="C15322" s="4" t="n">
        <v>497.00</v>
      </c>
      <c r="D15322" s="4"/>
    </row>
    <row collapsed="" customFormat="false" customHeight="1" hidden="" ht="14" outlineLevel="0" r="15323">
      <c r="A15323" s="3" t="inlineStr">
        <is>
          <t>15279</t>
        </is>
      </c>
      <c r="B15323" s="4" t="s">
        <f>=HYPERLINK("http://anyluxury.ru/shop/odezhda/futbolki/futbolka-zhenskaya-tbolka-lady-belaya-tepliy-ottenok-187861/" , "1878.61 Футболка женская T-bolka Lady, белая (теплый оттенок), размер XXL")</f>
      </c>
      <c r="C15323" s="4" t="n">
        <v>497.00</v>
      </c>
      <c r="D15323" s="4"/>
    </row>
    <row collapsed="" customFormat="false" customHeight="1" hidden="" ht="14" outlineLevel="0" r="15324">
      <c r="A15324" s="3" t="inlineStr">
        <is>
          <t>15280</t>
        </is>
      </c>
      <c r="B15324" s="4" t="s">
        <f>=HYPERLINK("http://anyluxury.ru/shop/odezhda/futbolki/futbolka-zhenskaya-tbolka-lady-belaya-tepliy-ottenok-187861/" , "1878.61 Футболка женская T-bolka Lady, белая (теплый оттенок), размер 3XL")</f>
      </c>
      <c r="C15324" s="4" t="n">
        <v>497.00</v>
      </c>
      <c r="D15324" s="4"/>
    </row>
    <row collapsed="" customFormat="false" customHeight="1" hidden="" ht="14" outlineLevel="0" r="15325">
      <c r="A15325" s="3" t="inlineStr">
        <is>
          <t>15281</t>
        </is>
      </c>
      <c r="B15325" s="4" t="s">
        <f>=HYPERLINK("http://anyluxury.ru/shop/odezhda/futbolki/futbolka-uniseks-oversayz-crosstown-temnoseraya-1521311/" , "15213.11 Футболка унисекс оверсайз Crosstown, темно-серая, размер S")</f>
      </c>
      <c r="C15325" s="4" t="n">
        <v>1040.00</v>
      </c>
      <c r="D15325" s="4"/>
    </row>
    <row collapsed="" customFormat="false" customHeight="1" hidden="" ht="14" outlineLevel="0" r="15326">
      <c r="A15326" s="3" t="inlineStr">
        <is>
          <t>15282</t>
        </is>
      </c>
      <c r="B15326" s="4" t="s">
        <f>=HYPERLINK("http://anyluxury.ru/shop/odezhda/futbolki/futbolka-uniseks-oversayz-crosstown-temnoseraya-1521311/" , "15213.11 Футболка унисекс оверсайз Crosstown, темно-серая, размер M")</f>
      </c>
      <c r="C15326" s="4" t="n">
        <v>1040.00</v>
      </c>
      <c r="D15326" s="4"/>
    </row>
    <row collapsed="" customFormat="false" customHeight="1" hidden="" ht="14" outlineLevel="0" r="15327">
      <c r="A15327" s="3" t="inlineStr">
        <is>
          <t>15283</t>
        </is>
      </c>
      <c r="B15327" s="4" t="s">
        <f>=HYPERLINK("http://anyluxury.ru/shop/odezhda/futbolki/futbolka-uniseks-oversayz-crosstown-temnoseraya-1521311/" , "15213.11 Футболка унисекс оверсайз Crosstown, темно-серая, размер L")</f>
      </c>
      <c r="C15327" s="4" t="n">
        <v>1040.00</v>
      </c>
      <c r="D15327" s="4"/>
    </row>
    <row collapsed="" customFormat="false" customHeight="1" hidden="" ht="14" outlineLevel="0" r="15328">
      <c r="A15328" s="3" t="inlineStr">
        <is>
          <t>15284</t>
        </is>
      </c>
      <c r="B15328" s="4" t="s">
        <f>=HYPERLINK("http://anyluxury.ru/shop/odezhda/futbolki/futbolka-uniseks-oversayz-crosstown-temnoseraya-1521311/" , "15213.11 Футболка унисекс оверсайз Crosstown, темно-серая, размер XXL")</f>
      </c>
      <c r="C15328" s="4" t="n">
        <v>1040.00</v>
      </c>
      <c r="D15328" s="4"/>
    </row>
    <row collapsed="" customFormat="false" customHeight="1" hidden="" ht="14" outlineLevel="0" r="15329">
      <c r="A15329" s="3" t="inlineStr">
        <is>
          <t>15285</t>
        </is>
      </c>
      <c r="B15329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S")</f>
      </c>
      <c r="C15329" s="4" t="n">
        <v>1040.00</v>
      </c>
      <c r="D15329" s="4"/>
    </row>
    <row collapsed="" customFormat="false" customHeight="1" hidden="" ht="14" outlineLevel="0" r="15330">
      <c r="A15330" s="3" t="inlineStr">
        <is>
          <t>15286</t>
        </is>
      </c>
      <c r="B15330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M")</f>
      </c>
      <c r="C15330" s="4" t="n">
        <v>1040.00</v>
      </c>
      <c r="D15330" s="4"/>
    </row>
    <row collapsed="" customFormat="false" customHeight="1" hidden="" ht="14" outlineLevel="0" r="15331">
      <c r="A15331" s="3" t="inlineStr">
        <is>
          <t>15287</t>
        </is>
      </c>
      <c r="B15331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L")</f>
      </c>
      <c r="C15331" s="4" t="n">
        <v>1040.00</v>
      </c>
      <c r="D15331" s="4"/>
    </row>
    <row collapsed="" customFormat="false" customHeight="1" hidden="" ht="14" outlineLevel="0" r="15332">
      <c r="A15332" s="3" t="inlineStr">
        <is>
          <t>15288</t>
        </is>
      </c>
      <c r="B15332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XL")</f>
      </c>
      <c r="C15332" s="4" t="n">
        <v>1040.00</v>
      </c>
      <c r="D15332" s="4"/>
    </row>
    <row collapsed="" customFormat="false" customHeight="1" hidden="" ht="14" outlineLevel="0" r="15333">
      <c r="A15333" s="3" t="inlineStr">
        <is>
          <t>15289</t>
        </is>
      </c>
      <c r="B15333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XXL")</f>
      </c>
      <c r="C15333" s="4" t="n">
        <v>1040.00</v>
      </c>
      <c r="D15333" s="4"/>
    </row>
    <row collapsed="" customFormat="false" customHeight="1" hidden="" ht="14" outlineLevel="0" r="15334">
      <c r="A15334" s="3" t="inlineStr">
        <is>
          <t>15290</t>
        </is>
      </c>
      <c r="B15334" s="4" t="s">
        <f>=HYPERLINK("http://anyluxury.ru/shop/odezhda/futbolki/futbolka-uniseks-oversayz-crosstown-serozelenaya-1521341/" , "15213.41 Футболка унисекс оверсайз Crosstown, серо-зеленая, размер S")</f>
      </c>
      <c r="C15334" s="4" t="n">
        <v>1040.00</v>
      </c>
      <c r="D15334" s="4"/>
    </row>
    <row collapsed="" customFormat="false" customHeight="1" hidden="" ht="14" outlineLevel="0" r="15335">
      <c r="A15335" s="3" t="inlineStr">
        <is>
          <t>15291</t>
        </is>
      </c>
      <c r="B15335" s="4" t="s">
        <f>=HYPERLINK("http://anyluxury.ru/shop/odezhda/futbolki/futbolka-uniseks-oversayz-crosstown-serozelenaya-1521341/" , "15213.41 Футболка унисекс оверсайз Crosstown, серо-зеленая, размер M")</f>
      </c>
      <c r="C15335" s="4" t="n">
        <v>1040.00</v>
      </c>
      <c r="D15335" s="4"/>
    </row>
    <row collapsed="" customFormat="false" customHeight="1" hidden="" ht="14" outlineLevel="0" r="15336">
      <c r="A15336" s="3" t="inlineStr">
        <is>
          <t>15292</t>
        </is>
      </c>
      <c r="B15336" s="4" t="s">
        <f>=HYPERLINK("http://anyluxury.ru/shop/odezhda/futbolki/futbolka-uniseks-oversayz-crosstown-serozelenaya-1521341/" , "15213.41 Футболка унисекс оверсайз Crosstown, серо-зеленая, размер L")</f>
      </c>
      <c r="C15336" s="4" t="n">
        <v>1040.00</v>
      </c>
      <c r="D15336" s="4"/>
    </row>
    <row collapsed="" customFormat="false" customHeight="1" hidden="" ht="14" outlineLevel="0" r="15337">
      <c r="A15337" s="3" t="inlineStr">
        <is>
          <t>15293</t>
        </is>
      </c>
      <c r="B15337" s="4" t="s">
        <f>=HYPERLINK("http://anyluxury.ru/shop/odezhda/futbolki/futbolka-uniseks-oversayz-crosstown-serozelenaya-1521341/" , "15213.41 Футболка унисекс оверсайз Crosstown, серо-зеленая, размер XL")</f>
      </c>
      <c r="C15337" s="4" t="n">
        <v>1040.00</v>
      </c>
      <c r="D15337" s="4"/>
    </row>
    <row collapsed="" customFormat="false" customHeight="1" hidden="" ht="14" outlineLevel="0" r="15338">
      <c r="A15338" s="3" t="inlineStr">
        <is>
          <t>15294</t>
        </is>
      </c>
      <c r="B15338" s="4" t="s">
        <f>=HYPERLINK("http://anyluxury.ru/shop/odezhda/futbolki/futbolka-uniseks-oversayz-crosstown-serozelenaya-1521341/" , "15213.41 Футболка унисекс оверсайз Crosstown, серо-зеленая, размер XXL")</f>
      </c>
      <c r="C15338" s="4" t="n">
        <v>1040.00</v>
      </c>
      <c r="D15338" s="4"/>
    </row>
    <row collapsed="" customFormat="false" customHeight="1" hidden="" ht="14" outlineLevel="0" r="15339">
      <c r="A15339" s="3" t="inlineStr">
        <is>
          <t>15295</t>
        </is>
      </c>
      <c r="B15339" s="4" t="s">
        <f>=HYPERLINK("http://anyluxury.ru/shop/odezhda/futbolki/futbolka-uniseks-oversayz-crosstown-temnosinyaya-1521340/" , "15213.40 Футболка унисекс оверсайз Crosstown, темно-синяя, размер S")</f>
      </c>
      <c r="C15339" s="4" t="n">
        <v>1040.00</v>
      </c>
      <c r="D15339" s="4"/>
    </row>
    <row collapsed="" customFormat="false" customHeight="1" hidden="" ht="14" outlineLevel="0" r="15340">
      <c r="A15340" s="3" t="inlineStr">
        <is>
          <t>15296</t>
        </is>
      </c>
      <c r="B15340" s="4" t="s">
        <f>=HYPERLINK("http://anyluxury.ru/shop/odezhda/futbolki/futbolka-uniseks-oversayz-crosstown-temnosinyaya-1521340/" , "15213.40 Футболка унисекс оверсайз Crosstown, темно-синяя, размер M")</f>
      </c>
      <c r="C15340" s="4" t="n">
        <v>1040.00</v>
      </c>
      <c r="D15340" s="4"/>
    </row>
    <row collapsed="" customFormat="false" customHeight="1" hidden="" ht="14" outlineLevel="0" r="15341">
      <c r="A15341" s="3" t="inlineStr">
        <is>
          <t>15297</t>
        </is>
      </c>
      <c r="B15341" s="4" t="s">
        <f>=HYPERLINK("http://anyluxury.ru/shop/odezhda/futbolki/futbolka-uniseks-oversayz-crosstown-temnosinyaya-1521340/" , "15213.40 Футболка унисекс оверсайз Crosstown, темно-синяя, размер XXL")</f>
      </c>
      <c r="C15341" s="4" t="n">
        <v>1040.00</v>
      </c>
      <c r="D15341" s="4"/>
    </row>
    <row collapsed="" customFormat="false" customHeight="1" hidden="" ht="14" outlineLevel="0" r="15342">
      <c r="A15342" s="3" t="inlineStr">
        <is>
          <t>15298</t>
        </is>
      </c>
      <c r="B15342" s="4" t="s">
        <f>=HYPERLINK("http://anyluxury.ru/shop/odezhda/futbolki/futbolka-imperial-190-yarkobiryuzovaya-11500321/" , "11500321 Футболка Imperial 190, ярко-бирюзовая, размер S")</f>
      </c>
      <c r="C15342" s="4" t="n">
        <v>697.00</v>
      </c>
      <c r="D15342" s="4"/>
    </row>
    <row collapsed="" customFormat="false" customHeight="1" hidden="" ht="14" outlineLevel="0" r="15343">
      <c r="A15343" s="3" t="inlineStr">
        <is>
          <t>15299</t>
        </is>
      </c>
      <c r="B15343" s="4" t="s">
        <f>=HYPERLINK("http://anyluxury.ru/shop/odezhda/futbolki/futbolka-imperial-190-yarkobiryuzovaya-11500321/" , "11500321 Футболка Imperial 190, ярко-бирюзовая, размер M")</f>
      </c>
      <c r="C15343" s="4" t="n">
        <v>697.00</v>
      </c>
      <c r="D15343" s="4"/>
    </row>
    <row collapsed="" customFormat="false" customHeight="1" hidden="" ht="14" outlineLevel="0" r="15344">
      <c r="A15344" s="3" t="inlineStr">
        <is>
          <t>15300</t>
        </is>
      </c>
      <c r="B15344" s="4" t="s">
        <f>=HYPERLINK("http://anyluxury.ru/shop/odezhda/futbolki/futbolka-imperial-190-yarkobiryuzovaya-11500321/" , "11500321 Футболка Imperial 190, ярко-бирюзовая, размер L")</f>
      </c>
      <c r="C15344" s="4" t="n">
        <v>697.00</v>
      </c>
      <c r="D15344" s="4"/>
    </row>
    <row collapsed="" customFormat="false" customHeight="1" hidden="" ht="14" outlineLevel="0" r="15345">
      <c r="A15345" s="3" t="inlineStr">
        <is>
          <t>15301</t>
        </is>
      </c>
      <c r="B15345" s="4" t="s">
        <f>=HYPERLINK("http://anyluxury.ru/shop/odezhda/futbolki/futbolka-imperial-190-yarkobiryuzovaya-11500321/" , "11500321 Футболка Imperial 190, ярко-бирюзовая, размер XXL")</f>
      </c>
      <c r="C15345" s="4" t="n">
        <v>697.00</v>
      </c>
      <c r="D15345" s="4"/>
    </row>
    <row collapsed="" customFormat="false" customHeight="1" hidden="" ht="14" outlineLevel="0" r="15346">
      <c r="A15346" s="3" t="inlineStr">
        <is>
          <t>15302</t>
        </is>
      </c>
      <c r="B15346" s="4" t="s">
        <f>=HYPERLINK("http://anyluxury.ru/shop/odezhda/futbolki/futbolka-imperial-190-yarkobiryuzovaya-11500321/" , "11500321 Футболка Imperial 190, ярко-бирюзовая, размер 3XL")</f>
      </c>
      <c r="C15346" s="4" t="n">
        <v>820.00</v>
      </c>
      <c r="D15346" s="4"/>
    </row>
    <row collapsed="" customFormat="false" customHeight="1" hidden="" ht="14" outlineLevel="0" r="15347">
      <c r="A15347" s="3" t="inlineStr">
        <is>
          <t>15303</t>
        </is>
      </c>
      <c r="B15347" s="4" t="s">
        <f>=HYPERLINK("http://anyluxury.ru/shop/odezhda/futbolki/futbolka-imperial-190-yarkobiryuzovaya-11500321/" , "11500321 Футболка Imperial 190, ярко-бирюзовая, размер 4XL")</f>
      </c>
      <c r="C15347" s="4" t="n">
        <v>1211.00</v>
      </c>
      <c r="D15347" s="4"/>
    </row>
    <row collapsed="" customFormat="false" customHeight="1" hidden="" ht="14" outlineLevel="0" r="15348">
      <c r="A15348" s="3" t="inlineStr">
        <is>
          <t>15304</t>
        </is>
      </c>
      <c r="B15348" s="4" t="s">
        <f>=HYPERLINK("http://anyluxury.ru/shop/odezhda/futbolki/futbolka-imperial-190-yarkobiryuzovaya-11500321/" , "11500321 Футболка Imperial 190, ярко-бирюзовая, размер 5XL")</f>
      </c>
      <c r="C15348" s="4" t="n">
        <v>1211.00</v>
      </c>
      <c r="D15348" s="4"/>
    </row>
    <row collapsed="" customFormat="false" customHeight="1" hidden="" ht="14" outlineLevel="0" r="15349">
      <c r="A15349" s="3" t="inlineStr">
        <is>
          <t>15305</t>
        </is>
      </c>
      <c r="B15349" s="4" t="s">
        <f>=HYPERLINK("http://anyluxury.ru/shop/odezhda/futbolki/futbolka-imperial-190-rozovaya-candy-11500127/" , "11500127 Футболка Imperial 190, розовая (candy), размер S")</f>
      </c>
      <c r="C15349" s="4" t="n">
        <v>697.00</v>
      </c>
      <c r="D15349" s="4"/>
    </row>
    <row collapsed="" customFormat="false" customHeight="1" hidden="" ht="14" outlineLevel="0" r="15350">
      <c r="A15350" s="3" t="inlineStr">
        <is>
          <t>15306</t>
        </is>
      </c>
      <c r="B15350" s="4" t="s">
        <f>=HYPERLINK("http://anyluxury.ru/shop/odezhda/futbolki/futbolka-imperial-190-rozovaya-candy-11500127/" , "11500127 Футболка Imperial 190, розовая (candy), размер M")</f>
      </c>
      <c r="C15350" s="4" t="n">
        <v>697.00</v>
      </c>
      <c r="D15350" s="4"/>
    </row>
    <row collapsed="" customFormat="false" customHeight="1" hidden="" ht="14" outlineLevel="0" r="15351">
      <c r="A15351" s="3" t="inlineStr">
        <is>
          <t>15307</t>
        </is>
      </c>
      <c r="B15351" s="4" t="s">
        <f>=HYPERLINK("http://anyluxury.ru/shop/odezhda/futbolki/futbolka-imperial-190-rozovaya-candy-11500127/" , "11500127 Футболка Imperial 190, розовая (candy), размер L")</f>
      </c>
      <c r="C15351" s="4" t="n">
        <v>697.00</v>
      </c>
      <c r="D15351" s="4"/>
    </row>
    <row collapsed="" customFormat="false" customHeight="1" hidden="" ht="14" outlineLevel="0" r="15352">
      <c r="A15352" s="3" t="inlineStr">
        <is>
          <t>15308</t>
        </is>
      </c>
      <c r="B15352" s="4" t="s">
        <f>=HYPERLINK("http://anyluxury.ru/shop/odezhda/futbolki/futbolka-imperial-190-rozovaya-candy-11500127/" , "11500127 Футболка Imperial 190, розовая (candy), размер XL")</f>
      </c>
      <c r="C15352" s="4" t="n">
        <v>697.00</v>
      </c>
      <c r="D15352" s="4"/>
    </row>
    <row collapsed="" customFormat="false" customHeight="1" hidden="" ht="14" outlineLevel="0" r="15353">
      <c r="A15353" s="3" t="inlineStr">
        <is>
          <t>15309</t>
        </is>
      </c>
      <c r="B15353" s="4" t="s">
        <f>=HYPERLINK("http://anyluxury.ru/shop/odezhda/futbolki/futbolka-imperial-190-rozovaya-candy-11500127/" , "11500127 Футболка Imperial 190, розовая (candy), размер XXL")</f>
      </c>
      <c r="C15353" s="4" t="n">
        <v>697.00</v>
      </c>
      <c r="D15353" s="4"/>
    </row>
    <row collapsed="" customFormat="false" customHeight="1" hidden="" ht="14" outlineLevel="0" r="15354">
      <c r="A15354" s="3" t="inlineStr">
        <is>
          <t>15310</t>
        </is>
      </c>
      <c r="B15354" s="4" t="s">
        <f>=HYPERLINK("http://anyluxury.ru/shop/odezhda/futbolki/futbolka-imperial-190-rozovaya-candy-11500127/" , "11500127 Футболка Imperial 190, розовая (candy), размер 3XL")</f>
      </c>
      <c r="C15354" s="4" t="n">
        <v>820.00</v>
      </c>
      <c r="D15354" s="4"/>
    </row>
    <row collapsed="" customFormat="false" customHeight="1" hidden="" ht="14" outlineLevel="0" r="15355">
      <c r="A15355" s="3" t="inlineStr">
        <is>
          <t>15311</t>
        </is>
      </c>
      <c r="B15355" s="4" t="s">
        <f>=HYPERLINK("http://anyluxury.ru/shop/odezhda/futbolki/futbolka-imperial-190-molochnobelaya-11500104/" , "11500104 Футболка Imperial 190, молочно-белая, размер S")</f>
      </c>
      <c r="C15355" s="4" t="n">
        <v>697.00</v>
      </c>
      <c r="D15355" s="4"/>
    </row>
    <row collapsed="" customFormat="false" customHeight="1" hidden="" ht="14" outlineLevel="0" r="15356">
      <c r="A15356" s="3" t="inlineStr">
        <is>
          <t>15312</t>
        </is>
      </c>
      <c r="B15356" s="4" t="s">
        <f>=HYPERLINK("http://anyluxury.ru/shop/odezhda/futbolki/futbolka-imperial-190-molochnobelaya-11500104/" , "11500104 Футболка Imperial 190, молочно-белая, размер M")</f>
      </c>
      <c r="C15356" s="4" t="n">
        <v>697.00</v>
      </c>
      <c r="D15356" s="4"/>
    </row>
    <row collapsed="" customFormat="false" customHeight="1" hidden="" ht="14" outlineLevel="0" r="15357">
      <c r="A15357" s="3" t="inlineStr">
        <is>
          <t>15313</t>
        </is>
      </c>
      <c r="B15357" s="4" t="s">
        <f>=HYPERLINK("http://anyluxury.ru/shop/odezhda/futbolki/futbolka-imperial-190-molochnobelaya-11500104/" , "11500104 Футболка Imperial 190, молочно-белая, размер L")</f>
      </c>
      <c r="C15357" s="4" t="n">
        <v>697.00</v>
      </c>
      <c r="D15357" s="4"/>
    </row>
    <row collapsed="" customFormat="false" customHeight="1" hidden="" ht="14" outlineLevel="0" r="15358">
      <c r="A15358" s="3" t="inlineStr">
        <is>
          <t>15314</t>
        </is>
      </c>
      <c r="B15358" s="4" t="s">
        <f>=HYPERLINK("http://anyluxury.ru/shop/odezhda/futbolki/futbolka-imperial-190-molochnobelaya-11500104/" , "11500104 Футболка Imperial 190, молочно-белая, размер XL")</f>
      </c>
      <c r="C15358" s="4" t="n">
        <v>697.00</v>
      </c>
      <c r="D15358" s="4"/>
    </row>
    <row collapsed="" customFormat="false" customHeight="1" hidden="" ht="14" outlineLevel="0" r="15359">
      <c r="A15359" s="3" t="inlineStr">
        <is>
          <t>15315</t>
        </is>
      </c>
      <c r="B15359" s="4" t="s">
        <f>=HYPERLINK("http://anyluxury.ru/shop/odezhda/futbolki/futbolka-imperial-190-molochnobelaya-11500104/" , "11500104 Футболка Imperial 190, молочно-белая, размер XXL")</f>
      </c>
      <c r="C15359" s="4" t="n">
        <v>697.00</v>
      </c>
      <c r="D15359" s="4"/>
    </row>
    <row collapsed="" customFormat="false" customHeight="1" hidden="" ht="14" outlineLevel="0" r="15360">
      <c r="A15360" s="3" t="inlineStr">
        <is>
          <t>15316</t>
        </is>
      </c>
      <c r="B15360" s="4" t="s">
        <f>=HYPERLINK("http://anyluxury.ru/shop/odezhda/futbolki/futbolka-imperial-190-molochnobelaya-11500104/" , "11500104 Футболка Imperial 190, молочно-белая, размер 3XL")</f>
      </c>
      <c r="C15360" s="4" t="n">
        <v>820.00</v>
      </c>
      <c r="D15360" s="4"/>
    </row>
    <row collapsed="" customFormat="false" customHeight="1" hidden="" ht="14" outlineLevel="0" r="15361">
      <c r="A15361" s="3" t="inlineStr">
        <is>
          <t>15317</t>
        </is>
      </c>
      <c r="B15361" s="4" t="s">
        <f>=HYPERLINK("http://anyluxury.ru/shop/odezhda/futbolki/futbolka-uniseks-t1-chernaya-1543730/" , "15437.30 Футболка унисекс T1, черная, размер XS/S")</f>
      </c>
      <c r="C15361" s="4" t="n">
        <v>1250.00</v>
      </c>
      <c r="D15361" s="4"/>
    </row>
    <row collapsed="" customFormat="false" customHeight="1" hidden="" ht="14" outlineLevel="0" r="15362">
      <c r="A15362" s="3" t="inlineStr">
        <is>
          <t>15318</t>
        </is>
      </c>
      <c r="B15362" s="4" t="s">
        <f>=HYPERLINK("http://anyluxury.ru/shop/odezhda/futbolki/futbolka-uniseks-t1-chernaya-1543730/" , "15437.30 Футболка унисекс T1, черная, размер M/L")</f>
      </c>
      <c r="C15362" s="4" t="n">
        <v>1250.00</v>
      </c>
      <c r="D15362" s="4"/>
    </row>
    <row collapsed="" customFormat="false" customHeight="1" hidden="" ht="14" outlineLevel="0" r="15363">
      <c r="A15363" s="3" t="inlineStr">
        <is>
          <t>15319</t>
        </is>
      </c>
      <c r="B15363" s="4" t="s">
        <f>=HYPERLINK("http://anyluxury.ru/shop/odezhda/futbolki/futbolka-uniseks-t1-chernaya-1543730/" , "15437.30 Футболка унисекс T1, черная, размер XL/XXL")</f>
      </c>
      <c r="C15363" s="4" t="n">
        <v>1250.00</v>
      </c>
      <c r="D15363" s="4"/>
    </row>
    <row collapsed="" customFormat="false" customHeight="1" hidden="" ht="14" outlineLevel="0" r="15364">
      <c r="A15364" s="3" t="inlineStr">
        <is>
          <t>15320</t>
        </is>
      </c>
      <c r="B15364" s="4" t="s">
        <f>=HYPERLINK("http://anyluxury.ru/shop/odezhda/futbolki/futbolka-uniseks-t1-molochnobelaya-1543760/" , "15437.60 Футболка унисекс T1, молочно-белая, размер XS/S")</f>
      </c>
      <c r="C15364" s="4" t="n">
        <v>1250.00</v>
      </c>
      <c r="D15364" s="4"/>
    </row>
    <row collapsed="" customFormat="false" customHeight="1" hidden="" ht="14" outlineLevel="0" r="15365">
      <c r="A15365" s="3" t="inlineStr">
        <is>
          <t>15321</t>
        </is>
      </c>
      <c r="B15365" s="4" t="s">
        <f>=HYPERLINK("http://anyluxury.ru/shop/odezhda/futbolki/futbolka-uniseks-t1-molochnobelaya-1543760/" , "15437.60 Футболка унисекс T1, молочно-белая, размер M/L")</f>
      </c>
      <c r="C15365" s="4" t="n">
        <v>1250.00</v>
      </c>
      <c r="D15365" s="4"/>
    </row>
    <row collapsed="" customFormat="false" customHeight="1" hidden="" ht="14" outlineLevel="0" r="15366">
      <c r="A15366" s="3" t="inlineStr">
        <is>
          <t>15322</t>
        </is>
      </c>
      <c r="B15366" s="4" t="s">
        <f>=HYPERLINK("http://anyluxury.ru/shop/odezhda/futbolki/futbolka-uniseks-t1-molochnobelaya-1543760/" , "15437.60 Футболка унисекс T1, молочно-белая, размер XL/XXL")</f>
      </c>
      <c r="C15366" s="4" t="n">
        <v>1250.00</v>
      </c>
      <c r="D15366" s="4"/>
    </row>
    <row collapsed="" customFormat="false" customHeight="1" hidden="" ht="14" outlineLevel="0" r="15367">
      <c r="A15367" s="3" t="inlineStr">
        <is>
          <t>15323</t>
        </is>
      </c>
      <c r="B15367" s="4" t="s">
        <f>=HYPERLINK("http://anyluxury.ru/shop/odezhda/futbolki/futbolka-uniseks-t1-seraya-1543710/" , "15437.10 Футболка унисекс T1, серая, размер XS/S")</f>
      </c>
      <c r="C15367" s="4" t="n">
        <v>1250.00</v>
      </c>
      <c r="D15367" s="4"/>
    </row>
    <row collapsed="" customFormat="false" customHeight="1" hidden="" ht="14" outlineLevel="0" r="15368">
      <c r="A15368" s="3" t="inlineStr">
        <is>
          <t>15324</t>
        </is>
      </c>
      <c r="B15368" s="4" t="s">
        <f>=HYPERLINK("http://anyluxury.ru/shop/odezhda/futbolki/futbolka-uniseks-t1-seraya-1543710/" , "15437.10 Футболка унисекс T1, серая, размер M/L")</f>
      </c>
      <c r="C15368" s="4" t="n">
        <v>1250.00</v>
      </c>
      <c r="D15368" s="4"/>
    </row>
    <row collapsed="" customFormat="false" customHeight="1" hidden="" ht="14" outlineLevel="0" r="15369">
      <c r="A15369" s="3" t="inlineStr">
        <is>
          <t>15325</t>
        </is>
      </c>
      <c r="B15369" s="4" t="s">
        <f>=HYPERLINK("http://anyluxury.ru/shop/odezhda/futbolki/futbolka-uniseks-t1-seraya-1543710/" , "15437.10 Футболка унисекс T1, серая, размер XL/XXL")</f>
      </c>
      <c r="C15369" s="4" t="n">
        <v>1250.00</v>
      </c>
      <c r="D15369" s="4"/>
    </row>
    <row collapsed="" customFormat="false" customHeight="1" hidden="" ht="14" outlineLevel="0" r="15370">
      <c r="A15370" s="3" t="inlineStr">
        <is>
          <t>15326</t>
        </is>
      </c>
      <c r="B15370" s="4" t="s">
        <f>=HYPERLINK("http://anyluxury.ru/shop/odezhda/futbolki/futbolka-uniseks-t1-sinyaya-1543740/" , "15437.40 Футболка унисекс T1, синяя, размер XS/S")</f>
      </c>
      <c r="C15370" s="4" t="n">
        <v>1250.00</v>
      </c>
      <c r="D15370" s="4"/>
    </row>
    <row collapsed="" customFormat="false" customHeight="1" hidden="" ht="14" outlineLevel="0" r="15371">
      <c r="A15371" s="3" t="inlineStr">
        <is>
          <t>15327</t>
        </is>
      </c>
      <c r="B15371" s="4" t="s">
        <f>=HYPERLINK("http://anyluxury.ru/shop/odezhda/futbolki/futbolka-uniseks-t1-sinyaya-1543740/" , "15437.40 Футболка унисекс T1, синяя, размер M/L")</f>
      </c>
      <c r="C15371" s="4" t="n">
        <v>1250.00</v>
      </c>
      <c r="D15371" s="4"/>
    </row>
    <row collapsed="" customFormat="false" customHeight="1" hidden="" ht="14" outlineLevel="0" r="15372">
      <c r="A15372" s="3" t="inlineStr">
        <is>
          <t>15328</t>
        </is>
      </c>
      <c r="B15372" s="4" t="s">
        <f>=HYPERLINK("http://anyluxury.ru/shop/odezhda/futbolki/futbolka-uniseks-t1-sinyaya-1543740/" , "15437.40 Футболка унисекс T1, синяя, размер XL/XXL")</f>
      </c>
      <c r="C15372" s="4" t="n">
        <v>1250.00</v>
      </c>
      <c r="D15372" s="4"/>
    </row>
    <row collapsed="" customFormat="false" customHeight="1" hidden="" ht="14" outlineLevel="0" r="15373">
      <c r="A15373" s="3" t="inlineStr">
        <is>
          <t>15329</t>
        </is>
      </c>
      <c r="B15373" s="4" t="s">
        <f>=HYPERLINK("http://anyluxury.ru/shop/odezhda/futbolki/futbolka-uniseks-t2-chernaya-1543830/" , "15438.30 Футболка унисекс T2, черная, размер XS/S")</f>
      </c>
      <c r="C15373" s="4" t="n">
        <v>1250.00</v>
      </c>
      <c r="D15373" s="4"/>
    </row>
    <row collapsed="" customFormat="false" customHeight="1" hidden="" ht="14" outlineLevel="0" r="15374">
      <c r="A15374" s="3" t="inlineStr">
        <is>
          <t>15330</t>
        </is>
      </c>
      <c r="B15374" s="4" t="s">
        <f>=HYPERLINK("http://anyluxury.ru/shop/odezhda/futbolki/futbolka-uniseks-t2-chernaya-1543830/" , "15438.30 Футболка унисекс T2, черная, размер M/L")</f>
      </c>
      <c r="C15374" s="4" t="n">
        <v>1250.00</v>
      </c>
      <c r="D15374" s="4"/>
    </row>
    <row collapsed="" customFormat="false" customHeight="1" hidden="" ht="14" outlineLevel="0" r="15375">
      <c r="A15375" s="3" t="inlineStr">
        <is>
          <t>15331</t>
        </is>
      </c>
      <c r="B15375" s="4" t="s">
        <f>=HYPERLINK("http://anyluxury.ru/shop/odezhda/futbolki/futbolka-uniseks-t2-chernaya-1543830/" , "15438.30 Футболка унисекс T2, черная, размер XL/XXL")</f>
      </c>
      <c r="C15375" s="4" t="n">
        <v>1250.00</v>
      </c>
      <c r="D15375" s="4"/>
    </row>
    <row collapsed="" customFormat="false" customHeight="1" hidden="" ht="14" outlineLevel="0" r="15376">
      <c r="A15376" s="3" t="inlineStr">
        <is>
          <t>15332</t>
        </is>
      </c>
      <c r="B15376" s="4" t="s">
        <f>=HYPERLINK("http://anyluxury.ru/shop/odezhda/futbolki/futbolka-uniseks-t2-molochnobelaya-1543860/" , "15438.60 Футболка унисекс T2, молочно-белая, размер XS/S")</f>
      </c>
      <c r="C15376" s="4" t="n">
        <v>1250.00</v>
      </c>
      <c r="D15376" s="4"/>
    </row>
    <row collapsed="" customFormat="false" customHeight="1" hidden="" ht="14" outlineLevel="0" r="15377">
      <c r="A15377" s="3" t="inlineStr">
        <is>
          <t>15333</t>
        </is>
      </c>
      <c r="B15377" s="4" t="s">
        <f>=HYPERLINK("http://anyluxury.ru/shop/odezhda/futbolki/futbolka-uniseks-t2-molochnobelaya-1543860/" , "15438.60 Футболка унисекс T2, молочно-белая, размер M/L")</f>
      </c>
      <c r="C15377" s="4" t="n">
        <v>1250.00</v>
      </c>
      <c r="D15377" s="4"/>
    </row>
    <row collapsed="" customFormat="false" customHeight="1" hidden="" ht="14" outlineLevel="0" r="15378">
      <c r="A15378" s="3" t="inlineStr">
        <is>
          <t>15334</t>
        </is>
      </c>
      <c r="B15378" s="4" t="s">
        <f>=HYPERLINK("http://anyluxury.ru/shop/odezhda/futbolki/futbolka-uniseks-t2-molochnobelaya-1543860/" , "15438.60 Футболка унисекс T2, молочно-белая, размер XL/XXL")</f>
      </c>
      <c r="C15378" s="4" t="n">
        <v>1250.00</v>
      </c>
      <c r="D15378" s="4"/>
    </row>
    <row collapsed="" customFormat="false" customHeight="1" hidden="" ht="14" outlineLevel="0" r="15379">
      <c r="A15379" s="3" t="inlineStr">
        <is>
          <t>15335</t>
        </is>
      </c>
      <c r="B15379" s="4" t="s">
        <f>=HYPERLINK("http://anyluxury.ru/shop/odezhda/futbolki/futbolka-uniseks-t2-seraya-1543810/" , "15438.10 Футболка унисекс T2, серая, размер XS/S")</f>
      </c>
      <c r="C15379" s="4" t="n">
        <v>1250.00</v>
      </c>
      <c r="D15379" s="4"/>
    </row>
    <row collapsed="" customFormat="false" customHeight="1" hidden="" ht="14" outlineLevel="0" r="15380">
      <c r="A15380" s="3" t="inlineStr">
        <is>
          <t>15336</t>
        </is>
      </c>
      <c r="B15380" s="4" t="s">
        <f>=HYPERLINK("http://anyluxury.ru/shop/odezhda/futbolki/futbolka-uniseks-t2-seraya-1543810/" , "15438.10 Футболка унисекс T2, серая, размер M/L")</f>
      </c>
      <c r="C15380" s="4" t="n">
        <v>1250.00</v>
      </c>
      <c r="D15380" s="4"/>
    </row>
    <row collapsed="" customFormat="false" customHeight="1" hidden="" ht="14" outlineLevel="0" r="15381">
      <c r="A15381" s="3" t="inlineStr">
        <is>
          <t>15337</t>
        </is>
      </c>
      <c r="B15381" s="4" t="s">
        <f>=HYPERLINK("http://anyluxury.ru/shop/odezhda/futbolki/futbolka-uniseks-t2-seraya-1543810/" , "15438.10 Футболка унисекс T2, серая, размер XL/XXL")</f>
      </c>
      <c r="C15381" s="4" t="n">
        <v>1250.00</v>
      </c>
      <c r="D15381" s="4"/>
    </row>
    <row collapsed="" customFormat="false" customHeight="1" hidden="" ht="14" outlineLevel="0" r="15382">
      <c r="A15382" s="3" t="inlineStr">
        <is>
          <t>15338</t>
        </is>
      </c>
      <c r="B15382" s="4" t="s">
        <f>=HYPERLINK("http://anyluxury.ru/shop/odezhda/futbolki/futbolka-uniseks-t2-sinyaya-1543840/" , "15438.40 Футболка унисекс T2, синяя, размер XS/S")</f>
      </c>
      <c r="C15382" s="4" t="n">
        <v>1250.00</v>
      </c>
      <c r="D15382" s="4"/>
    </row>
    <row collapsed="" customFormat="false" customHeight="1" hidden="" ht="14" outlineLevel="0" r="15383">
      <c r="A15383" s="3" t="inlineStr">
        <is>
          <t>15339</t>
        </is>
      </c>
      <c r="B15383" s="4" t="s">
        <f>=HYPERLINK("http://anyluxury.ru/shop/odezhda/futbolki/futbolka-uniseks-t2-sinyaya-1543840/" , "15438.40 Футболка унисекс T2, синяя, размер M/L")</f>
      </c>
      <c r="C15383" s="4" t="n">
        <v>1250.00</v>
      </c>
      <c r="D15383" s="4"/>
    </row>
    <row collapsed="" customFormat="false" customHeight="1" hidden="" ht="14" outlineLevel="0" r="15384">
      <c r="A15384" s="3" t="inlineStr">
        <is>
          <t>15340</t>
        </is>
      </c>
      <c r="B15384" s="4" t="s">
        <f>=HYPERLINK("http://anyluxury.ru/shop/odezhda/futbolki/futbolka-uniseks-t3-molochnobelaya-1543960/" , "15439.60 Футболка унисекс T3, молочно-белая, размер XS/S")</f>
      </c>
      <c r="C15384" s="4" t="n">
        <v>1380.00</v>
      </c>
      <c r="D15384" s="4"/>
    </row>
    <row collapsed="" customFormat="false" customHeight="1" hidden="" ht="14" outlineLevel="0" r="15385">
      <c r="A15385" s="3" t="inlineStr">
        <is>
          <t>15341</t>
        </is>
      </c>
      <c r="B15385" s="4" t="s">
        <f>=HYPERLINK("http://anyluxury.ru/shop/odezhda/futbolki/futbolka-uniseks-t3-molochnobelaya-1543960/" , "15439.60 Футболка унисекс T3, молочно-белая, размер M/L")</f>
      </c>
      <c r="C15385" s="4" t="n">
        <v>1380.00</v>
      </c>
      <c r="D15385" s="4"/>
    </row>
    <row collapsed="" customFormat="false" customHeight="1" hidden="" ht="14" outlineLevel="0" r="15386">
      <c r="A15386" s="3" t="inlineStr">
        <is>
          <t>15342</t>
        </is>
      </c>
      <c r="B15386" s="4" t="s">
        <f>=HYPERLINK("http://anyluxury.ru/shop/odezhda/futbolki/futbolka-uniseks-t3-molochnobelaya-1543960/" , "15439.60 Футболка унисекс T3, молочно-белая, размер XL/XXL")</f>
      </c>
      <c r="C15386" s="4" t="n">
        <v>1380.00</v>
      </c>
      <c r="D15386" s="4"/>
    </row>
    <row collapsed="" customFormat="false" customHeight="1" hidden="" ht="14" outlineLevel="0" r="15387">
      <c r="A15387" s="3" t="inlineStr">
        <is>
          <t>15343</t>
        </is>
      </c>
      <c r="B15387" s="4" t="s">
        <f>=HYPERLINK("http://anyluxury.ru/shop/odezhda/futbolki/futbolka-uniseks-t3-seraya-1543910/" , "15439.10 Футболка унисекс T3, серая, размер XS/S")</f>
      </c>
      <c r="C15387" s="4" t="n">
        <v>1380.00</v>
      </c>
      <c r="D15387" s="4"/>
    </row>
    <row collapsed="" customFormat="false" customHeight="1" hidden="" ht="14" outlineLevel="0" r="15388">
      <c r="A15388" s="3" t="inlineStr">
        <is>
          <t>15344</t>
        </is>
      </c>
      <c r="B15388" s="4" t="s">
        <f>=HYPERLINK("http://anyluxury.ru/shop/odezhda/futbolki/futbolka-uniseks-t3-seraya-1543910/" , "15439.10 Футболка унисекс T3, серая, размер M/L")</f>
      </c>
      <c r="C15388" s="4" t="n">
        <v>1380.00</v>
      </c>
      <c r="D15388" s="4"/>
    </row>
    <row collapsed="" customFormat="false" customHeight="1" hidden="" ht="14" outlineLevel="0" r="15389">
      <c r="A15389" s="3" t="inlineStr">
        <is>
          <t>15345</t>
        </is>
      </c>
      <c r="B15389" s="4" t="s">
        <f>=HYPERLINK("http://anyluxury.ru/shop/odezhda/futbolki/futbolka-uniseks-t3-seraya-1543910/" , "15439.10 Футболка унисекс T3, серая, размер XL/XXL")</f>
      </c>
      <c r="C15389" s="4" t="n">
        <v>1380.00</v>
      </c>
      <c r="D15389" s="4"/>
    </row>
    <row collapsed="" customFormat="false" customHeight="1" hidden="" ht="14" outlineLevel="0" r="15390">
      <c r="A15390" s="3" t="inlineStr">
        <is>
          <t>15346</t>
        </is>
      </c>
      <c r="B15390" s="4" t="s">
        <f>=HYPERLINK("http://anyluxury.ru/shop/odezhda/futbolki/futbolka-uniseks-t3-sinyaya-1543940/" , "15439.40 Футболка унисекс T3, синяя, размер XS/S")</f>
      </c>
      <c r="C15390" s="4" t="n">
        <v>1380.00</v>
      </c>
      <c r="D15390" s="4"/>
    </row>
    <row collapsed="" customFormat="false" customHeight="1" hidden="" ht="14" outlineLevel="0" r="15391">
      <c r="A15391" s="3" t="inlineStr">
        <is>
          <t>15347</t>
        </is>
      </c>
      <c r="B15391" s="4" t="s">
        <f>=HYPERLINK("http://anyluxury.ru/shop/odezhda/futbolki/futbolka-uniseks-t3-sinyaya-1543940/" , "15439.40 Футболка унисекс T3, синяя, размер M/L")</f>
      </c>
      <c r="C15391" s="4" t="n">
        <v>1380.00</v>
      </c>
      <c r="D15391" s="4"/>
    </row>
    <row collapsed="" customFormat="false" customHeight="1" hidden="" ht="14" outlineLevel="0" r="15392">
      <c r="A15392" s="3" t="inlineStr">
        <is>
          <t>15348</t>
        </is>
      </c>
      <c r="B15392" s="4" t="s">
        <f>=HYPERLINK("http://anyluxury.ru/shop/odezhda/futbolki/plate-d2-chernoe-1544030/" , "15440.30 Платье D2, черное, размер XS/S")</f>
      </c>
      <c r="C15392" s="4" t="n">
        <v>1750.00</v>
      </c>
      <c r="D15392" s="4"/>
    </row>
    <row collapsed="" customFormat="false" customHeight="1" hidden="" ht="14" outlineLevel="0" r="15393">
      <c r="A15393" s="3" t="inlineStr">
        <is>
          <t>15349</t>
        </is>
      </c>
      <c r="B15393" s="4" t="s">
        <f>=HYPERLINK("http://anyluxury.ru/shop/odezhda/futbolki/plate-d2-chernoe-1544030/" , "15440.30 Платье D2, черное, размер M/L")</f>
      </c>
      <c r="C15393" s="4" t="n">
        <v>1750.00</v>
      </c>
      <c r="D15393" s="4"/>
    </row>
    <row collapsed="" customFormat="false" customHeight="1" hidden="" ht="14" outlineLevel="0" r="15394">
      <c r="A15394" s="3" t="inlineStr">
        <is>
          <t>15350</t>
        </is>
      </c>
      <c r="B15394" s="4" t="s">
        <f>=HYPERLINK("http://anyluxury.ru/shop/odezhda/futbolki/plate-d2-chernoe-1544030/" , "15440.30 Платье D2, черное, размер XL/XXL")</f>
      </c>
      <c r="C15394" s="4" t="n">
        <v>1750.00</v>
      </c>
      <c r="D15394" s="4"/>
    </row>
    <row collapsed="" customFormat="false" customHeight="1" hidden="" ht="14" outlineLevel="0" r="15395">
      <c r="A15395" s="3" t="inlineStr">
        <is>
          <t>15351</t>
        </is>
      </c>
      <c r="B15395" s="4" t="s">
        <f>=HYPERLINK("http://anyluxury.ru/shop/odezhda/futbolki/plate-d2-seroe-1544010/" , "15440.10 Платье D2, серое, размер XS/S")</f>
      </c>
      <c r="C15395" s="4" t="n">
        <v>1750.00</v>
      </c>
      <c r="D15395" s="4"/>
    </row>
    <row collapsed="" customFormat="false" customHeight="1" hidden="" ht="14" outlineLevel="0" r="15396">
      <c r="A15396" s="3" t="inlineStr">
        <is>
          <t>15352</t>
        </is>
      </c>
      <c r="B15396" s="4" t="s">
        <f>=HYPERLINK("http://anyluxury.ru/shop/odezhda/futbolki/plate-d2-seroe-1544010/" , "15440.10 Платье D2, серое, размер M/L")</f>
      </c>
      <c r="C15396" s="4" t="n">
        <v>1750.00</v>
      </c>
      <c r="D15396" s="4"/>
    </row>
    <row collapsed="" customFormat="false" customHeight="1" hidden="" ht="14" outlineLevel="0" r="15397">
      <c r="A15397" s="3" t="inlineStr">
        <is>
          <t>15353</t>
        </is>
      </c>
      <c r="B15397" s="4" t="s">
        <f>=HYPERLINK("http://anyluxury.ru/shop/odezhda/futbolki/plate-d2-seroe-1544010/" , "15440.10 Платье D2, серое, размер XL/XXL")</f>
      </c>
      <c r="C15397" s="4" t="n">
        <v>1750.00</v>
      </c>
      <c r="D15397" s="4"/>
    </row>
    <row collapsed="" customFormat="false" customHeight="1" hidden="" ht="14" outlineLevel="0" r="15398">
      <c r="A15398" s="3" t="inlineStr">
        <is>
          <t>15354</t>
        </is>
      </c>
      <c r="B15398" s="4" t="s">
        <f>=HYPERLINK("http://anyluxury.ru/shop/odezhda/futbolki/plate-d2-sinee-1544040/" , "15440.40 Платье D2, синее, размер XS/S")</f>
      </c>
      <c r="C15398" s="4" t="n">
        <v>1750.00</v>
      </c>
      <c r="D15398" s="4"/>
    </row>
    <row collapsed="" customFormat="false" customHeight="1" hidden="" ht="14" outlineLevel="0" r="15399">
      <c r="A15399" s="3" t="inlineStr">
        <is>
          <t>15355</t>
        </is>
      </c>
      <c r="B15399" s="4" t="s">
        <f>=HYPERLINK("http://anyluxury.ru/shop/odezhda/futbolki/plate-d2-sinee-1544040/" , "15440.40 Платье D2, синее, размер M/L")</f>
      </c>
      <c r="C15399" s="4" t="n">
        <v>1750.00</v>
      </c>
      <c r="D15399" s="4"/>
    </row>
    <row collapsed="" customFormat="false" customHeight="1" hidden="" ht="14" outlineLevel="0" r="15400">
      <c r="A15400" s="3" t="inlineStr">
        <is>
          <t>15356</t>
        </is>
      </c>
      <c r="B15400" s="4" t="s">
        <f>=HYPERLINK("http://anyluxury.ru/shop/odezhda/futbolki/plate-d2-sinee-1544040/" , "15440.40 Платье D2, синее, размер XL/XXL")</f>
      </c>
      <c r="C15400" s="4" t="n">
        <v>1750.00</v>
      </c>
      <c r="D15400" s="4"/>
    </row>
    <row collapsed="" customFormat="false" customHeight="1" hidden="" ht="14" outlineLevel="0" r="15401">
      <c r="A15401" s="3" t="inlineStr">
        <is>
          <t>15357</t>
        </is>
      </c>
      <c r="B15401" s="4" t="s">
        <f>=HYPERLINK("http://anyluxury.ru/shop/odezhda/futbolki/futbolka-oversayz-uniseks-kosmos-20-bezhevaya-1461012/" , "14610.12 Футболка оверсайз унисекс Kosmos 2.0, бежевая, размер XS/S")</f>
      </c>
      <c r="C15401" s="4" t="n">
        <v>1760.00</v>
      </c>
      <c r="D15401" s="4"/>
    </row>
    <row collapsed="" customFormat="false" customHeight="1" hidden="" ht="14" outlineLevel="0" r="15402">
      <c r="A15402" s="3" t="inlineStr">
        <is>
          <t>15358</t>
        </is>
      </c>
      <c r="B15402" s="4" t="s">
        <f>=HYPERLINK("http://anyluxury.ru/shop/odezhda/futbolki/futbolka-oversayz-uniseks-kosmos-20-bezhevaya-1461012/" , "14610.12 Футболка оверсайз унисекс Kosmos 2.0, бежевая, размер M/L")</f>
      </c>
      <c r="C15402" s="4" t="n">
        <v>1760.00</v>
      </c>
      <c r="D15402" s="4"/>
    </row>
    <row collapsed="" customFormat="false" customHeight="1" hidden="" ht="14" outlineLevel="0" r="15403">
      <c r="A15403" s="3" t="inlineStr">
        <is>
          <t>15359</t>
        </is>
      </c>
      <c r="B15403" s="4" t="s">
        <f>=HYPERLINK("http://anyluxury.ru/shop/odezhda/futbolki/futbolka-oversayz-uniseks-kosmos-20-bezhevaya-1461012/" , "14610.12 Футболка оверсайз унисекс Kosmos 2.0, бежевая, размер XL/XXL")</f>
      </c>
      <c r="C15403" s="4" t="n">
        <v>1760.00</v>
      </c>
      <c r="D15403" s="4"/>
    </row>
    <row collapsed="" customFormat="false" customHeight="1" hidden="" ht="14" outlineLevel="0" r="15404">
      <c r="A15404" s="3" t="inlineStr">
        <is>
          <t>15360</t>
        </is>
      </c>
      <c r="B15404" s="4" t="s">
        <f>=HYPERLINK("http://anyluxury.ru/shop/odezhda/futbolki/futbolka-oversayz-uniseks-big-haul-chernaya-1641730/" , "16417.30 Футболка оверсайз унисекс Big Haul, черная, размер S")</f>
      </c>
      <c r="C15404" s="4" t="n">
        <v>1340.00</v>
      </c>
      <c r="D15404" s="4"/>
    </row>
    <row collapsed="" customFormat="false" customHeight="1" hidden="" ht="14" outlineLevel="0" r="15405">
      <c r="A15405" s="3" t="inlineStr">
        <is>
          <t>15361</t>
        </is>
      </c>
      <c r="B15405" s="4" t="s">
        <f>=HYPERLINK("http://anyluxury.ru/shop/odezhda/futbolki/futbolka-oversayz-uniseks-big-haul-chernaya-1641730/" , "16417.30 Футболка оверсайз унисекс Big Haul, черная, размер M")</f>
      </c>
      <c r="C15405" s="4" t="n">
        <v>1340.00</v>
      </c>
      <c r="D15405" s="4"/>
    </row>
    <row collapsed="" customFormat="false" customHeight="1" hidden="" ht="14" outlineLevel="0" r="15406">
      <c r="A15406" s="3" t="inlineStr">
        <is>
          <t>15362</t>
        </is>
      </c>
      <c r="B15406" s="4" t="s">
        <f>=HYPERLINK("http://anyluxury.ru/shop/odezhda/futbolki/futbolka-oversayz-uniseks-big-haul-chernaya-1641730/" , "16417.30 Футболка оверсайз унисекс Big Haul, черная, размер L")</f>
      </c>
      <c r="C15406" s="4" t="n">
        <v>1340.00</v>
      </c>
      <c r="D15406" s="4"/>
    </row>
    <row collapsed="" customFormat="false" customHeight="1" hidden="" ht="14" outlineLevel="0" r="15407">
      <c r="A15407" s="3" t="inlineStr">
        <is>
          <t>15363</t>
        </is>
      </c>
      <c r="B15407" s="4" t="s">
        <f>=HYPERLINK("http://anyluxury.ru/shop/odezhda/futbolki/futbolka-oversayz-uniseks-big-haul-chernaya-1641730/" , "16417.30 Футболка оверсайз унисекс Big Haul, черная, размер XL")</f>
      </c>
      <c r="C15407" s="4" t="n">
        <v>1340.00</v>
      </c>
      <c r="D15407" s="4"/>
    </row>
    <row collapsed="" customFormat="false" customHeight="1" hidden="" ht="14" outlineLevel="0" r="15408">
      <c r="A15408" s="3" t="inlineStr">
        <is>
          <t>15364</t>
        </is>
      </c>
      <c r="B15408" s="4" t="s">
        <f>=HYPERLINK("http://anyluxury.ru/shop/odezhda/futbolki/futbolka-oversayz-uniseks-big-haul-molochnobelaya-1641760/" , "16417.60 Футболка оверсайз унисекс Big Haul, молочно-белая, размер S")</f>
      </c>
      <c r="C15408" s="4" t="n">
        <v>1340.00</v>
      </c>
      <c r="D15408" s="4"/>
    </row>
    <row collapsed="" customFormat="false" customHeight="1" hidden="" ht="14" outlineLevel="0" r="15409">
      <c r="A15409" s="3" t="inlineStr">
        <is>
          <t>15365</t>
        </is>
      </c>
      <c r="B15409" s="4" t="s">
        <f>=HYPERLINK("http://anyluxury.ru/shop/odezhda/futbolki/futbolka-oversayz-uniseks-big-haul-molochnobelaya-1641760/" , "16417.60 Футболка оверсайз унисекс Big Haul, молочно-белая, размер L")</f>
      </c>
      <c r="C15409" s="4" t="n">
        <v>1340.00</v>
      </c>
      <c r="D15409" s="4"/>
    </row>
    <row collapsed="" customFormat="false" customHeight="1" hidden="" ht="14" outlineLevel="0" r="15410">
      <c r="A15410" s="3" t="inlineStr">
        <is>
          <t>15366</t>
        </is>
      </c>
      <c r="B15410" s="4" t="s">
        <f>=HYPERLINK("http://anyluxury.ru/shop/odezhda/futbolki/futbolka-uniseks-tuner-belaya-belosnezhnaya-04203117/" , "04203117 Футболка унисекс Tuner, белая (белоснежная), размер XS")</f>
      </c>
      <c r="C15410" s="4" t="n">
        <v>634.00</v>
      </c>
      <c r="D15410" s="4"/>
    </row>
    <row collapsed="" customFormat="false" customHeight="1" hidden="" ht="14" outlineLevel="0" r="15411">
      <c r="A15411" s="3" t="inlineStr">
        <is>
          <t>15367</t>
        </is>
      </c>
      <c r="B15411" s="4" t="s">
        <f>=HYPERLINK("http://anyluxury.ru/shop/odezhda/futbolki/futbolka-uniseks-tuner-belaya-belosnezhnaya-04203117/" , "04203117 Футболка унисекс Tuner, белая (белоснежная), размер S")</f>
      </c>
      <c r="C15411" s="4" t="n">
        <v>634.00</v>
      </c>
      <c r="D15411" s="4"/>
    </row>
    <row collapsed="" customFormat="false" customHeight="1" hidden="" ht="14" outlineLevel="0" r="15412">
      <c r="A15412" s="3" t="inlineStr">
        <is>
          <t>15368</t>
        </is>
      </c>
      <c r="B15412" s="4" t="s">
        <f>=HYPERLINK("http://anyluxury.ru/shop/odezhda/futbolki/futbolka-uniseks-tuner-belaya-belosnezhnaya-04203117/" , "04203117 Футболка унисекс Tuner, белая (белоснежная), размер M")</f>
      </c>
      <c r="C15412" s="4" t="n">
        <v>634.00</v>
      </c>
      <c r="D15412" s="4"/>
    </row>
    <row collapsed="" customFormat="false" customHeight="1" hidden="" ht="14" outlineLevel="0" r="15413">
      <c r="A15413" s="3" t="inlineStr">
        <is>
          <t>15369</t>
        </is>
      </c>
      <c r="B15413" s="4" t="s">
        <f>=HYPERLINK("http://anyluxury.ru/shop/odezhda/futbolki/futbolka-uniseks-tuner-belaya-belosnezhnaya-04203117/" , "04203117 Футболка унисекс Tuner, белая (белоснежная), размер L")</f>
      </c>
      <c r="C15413" s="4" t="n">
        <v>634.00</v>
      </c>
      <c r="D15413" s="4"/>
    </row>
    <row collapsed="" customFormat="false" customHeight="1" hidden="" ht="14" outlineLevel="0" r="15414">
      <c r="A15414" s="3" t="inlineStr">
        <is>
          <t>15370</t>
        </is>
      </c>
      <c r="B15414" s="4" t="s">
        <f>=HYPERLINK("http://anyluxury.ru/shop/odezhda/futbolki/futbolka-uniseks-tuner-belaya-belosnezhnaya-04203117/" , "04203117 Футболка унисекс Tuner, белая (белоснежная), размер XL")</f>
      </c>
      <c r="C15414" s="4" t="n">
        <v>634.00</v>
      </c>
      <c r="D15414" s="4"/>
    </row>
    <row collapsed="" customFormat="false" customHeight="1" hidden="" ht="14" outlineLevel="0" r="15415">
      <c r="A15415" s="3" t="inlineStr">
        <is>
          <t>15371</t>
        </is>
      </c>
      <c r="B15415" s="4" t="s">
        <f>=HYPERLINK("http://anyluxury.ru/shop/odezhda/futbolki/futbolka-uniseks-tuner-belaya-belosnezhnaya-04203117/" , "04203117 Футболка унисекс Tuner, белая (белоснежная), размер XXL")</f>
      </c>
      <c r="C15415" s="4" t="n">
        <v>634.00</v>
      </c>
      <c r="D15415" s="4"/>
    </row>
    <row collapsed="" customFormat="false" customHeight="1" hidden="" ht="14" outlineLevel="0" r="15416">
      <c r="A15416" s="3" t="inlineStr">
        <is>
          <t>15372</t>
        </is>
      </c>
      <c r="B15416" s="4" t="s">
        <f>=HYPERLINK("http://anyluxury.ru/shop/odezhda/futbolki/futbolka-uniseks-tuner-belaya-belosnezhnaya-04203117/" , "04203117 Футболка унисекс Tuner, белая (белоснежная), размер 3XL")</f>
      </c>
      <c r="C15416" s="4" t="n">
        <v>781.00</v>
      </c>
      <c r="D15416" s="4"/>
    </row>
    <row collapsed="" customFormat="false" customHeight="1" hidden="" ht="14" outlineLevel="0" r="15417">
      <c r="A15417" s="3" t="inlineStr">
        <is>
          <t>15373</t>
        </is>
      </c>
      <c r="B15417" s="4" t="s">
        <f>=HYPERLINK("http://anyluxury.ru/shop/odezhda/futbolki/futbolka-uniseks-tuner-belaya-belosnezhnaya-04203117/" , "04203117 Футболка унисекс Tuner, белая (белоснежная), размер 4XL")</f>
      </c>
      <c r="C15417" s="4" t="n">
        <v>1112.00</v>
      </c>
      <c r="D15417" s="4"/>
    </row>
    <row collapsed="" customFormat="false" customHeight="1" hidden="" ht="14" outlineLevel="0" r="15418">
      <c r="A15418" s="3" t="inlineStr">
        <is>
          <t>15374</t>
        </is>
      </c>
      <c r="B15418" s="4" t="s">
        <f>=HYPERLINK("http://anyluxury.ru/shop/odezhda/futbolki/futbolka-uniseks-tuner-belaya-belosnezhnaya-04203117/" , "04203117 Футболка унисекс Tuner, белая (белоснежная), размер 5XL")</f>
      </c>
      <c r="C15418" s="4" t="n">
        <v>1112.00</v>
      </c>
      <c r="D15418" s="4"/>
    </row>
    <row collapsed="" customFormat="false" customHeight="1" hidden="" ht="14" outlineLevel="0" r="15419">
      <c r="A15419" s="3" t="inlineStr">
        <is>
          <t>15375</t>
        </is>
      </c>
      <c r="B15419" s="4" t="s">
        <f>=HYPERLINK("http://anyluxury.ru/shop/odezhda/futbolki/futbolka-uniseks-tuner-cherniy-melanzh-04203348/" , "04203348 Футболка унисекс Tuner, черный меланж, размер XS")</f>
      </c>
      <c r="C15419" s="4" t="n">
        <v>774.00</v>
      </c>
      <c r="D15419" s="4"/>
    </row>
    <row collapsed="" customFormat="false" customHeight="1" hidden="" ht="14" outlineLevel="0" r="15420">
      <c r="A15420" s="3" t="inlineStr">
        <is>
          <t>15376</t>
        </is>
      </c>
      <c r="B15420" s="4" t="s">
        <f>=HYPERLINK("http://anyluxury.ru/shop/odezhda/futbolki/futbolka-uniseks-tuner-cherniy-melanzh-04203348/" , "04203348 Футболка унисекс Tuner, черный меланж, размер S")</f>
      </c>
      <c r="C15420" s="4" t="n">
        <v>774.00</v>
      </c>
      <c r="D15420" s="4"/>
    </row>
    <row collapsed="" customFormat="false" customHeight="1" hidden="" ht="14" outlineLevel="0" r="15421">
      <c r="A15421" s="3" t="inlineStr">
        <is>
          <t>15377</t>
        </is>
      </c>
      <c r="B15421" s="4" t="s">
        <f>=HYPERLINK("http://anyluxury.ru/shop/odezhda/futbolki/futbolka-uniseks-tuner-cherniy-melanzh-04203348/" , "04203348 Футболка унисекс Tuner, черный меланж, размер M")</f>
      </c>
      <c r="C15421" s="4" t="n">
        <v>774.00</v>
      </c>
      <c r="D15421" s="4"/>
    </row>
    <row collapsed="" customFormat="false" customHeight="1" hidden="" ht="14" outlineLevel="0" r="15422">
      <c r="A15422" s="3" t="inlineStr">
        <is>
          <t>15378</t>
        </is>
      </c>
      <c r="B15422" s="4" t="s">
        <f>=HYPERLINK("http://anyluxury.ru/shop/odezhda/futbolki/futbolka-uniseks-tuner-cherniy-melanzh-04203348/" , "04203348 Футболка унисекс Tuner, черный меланж, размер L")</f>
      </c>
      <c r="C15422" s="4" t="n">
        <v>774.00</v>
      </c>
      <c r="D15422" s="4"/>
    </row>
    <row collapsed="" customFormat="false" customHeight="1" hidden="" ht="14" outlineLevel="0" r="15423">
      <c r="A15423" s="3" t="inlineStr">
        <is>
          <t>15379</t>
        </is>
      </c>
      <c r="B15423" s="4" t="s">
        <f>=HYPERLINK("http://anyluxury.ru/shop/odezhda/futbolki/futbolka-uniseks-tuner-cherniy-melanzh-04203348/" , "04203348 Футболка унисекс Tuner, черный меланж, размер XL")</f>
      </c>
      <c r="C15423" s="4" t="n">
        <v>774.00</v>
      </c>
      <c r="D15423" s="4"/>
    </row>
    <row collapsed="" customFormat="false" customHeight="1" hidden="" ht="14" outlineLevel="0" r="15424">
      <c r="A15424" s="3" t="inlineStr">
        <is>
          <t>15380</t>
        </is>
      </c>
      <c r="B15424" s="4" t="s">
        <f>=HYPERLINK("http://anyluxury.ru/shop/odezhda/futbolki/futbolka-uniseks-tuner-cherniy-melanzh-04203348/" , "04203348 Футболка унисекс Tuner, черный меланж, размер XXL")</f>
      </c>
      <c r="C15424" s="4" t="n">
        <v>774.00</v>
      </c>
      <c r="D15424" s="4"/>
    </row>
    <row collapsed="" customFormat="false" customHeight="1" hidden="" ht="14" outlineLevel="0" r="15425">
      <c r="A15425" s="3" t="inlineStr">
        <is>
          <t>15381</t>
        </is>
      </c>
      <c r="B15425" s="4" t="s">
        <f>=HYPERLINK("http://anyluxury.ru/shop/odezhda/futbolki/futbolka-uniseks-tuner-cherniy-melanzh-04203348/" , "04203348 Футболка унисекс Tuner, черный меланж, размер 3XL")</f>
      </c>
      <c r="C15425" s="4" t="n">
        <v>954.00</v>
      </c>
      <c r="D15425" s="4"/>
    </row>
    <row collapsed="" customFormat="false" customHeight="1" hidden="" ht="14" outlineLevel="0" r="15426">
      <c r="A15426" s="3" t="inlineStr">
        <is>
          <t>15382</t>
        </is>
      </c>
      <c r="B15426" s="4" t="s">
        <f>=HYPERLINK("http://anyluxury.ru/shop/odezhda/futbolki/futbolka-uniseks-tuner-cherniy-melanzh-04203348/" , "04203348 Футболка унисекс Tuner, черный меланж, размер 4XL")</f>
      </c>
      <c r="C15426" s="4" t="n">
        <v>1355.00</v>
      </c>
      <c r="D15426" s="4"/>
    </row>
    <row collapsed="" customFormat="false" customHeight="1" hidden="" ht="14" outlineLevel="0" r="15427">
      <c r="A15427" s="3" t="inlineStr">
        <is>
          <t>15383</t>
        </is>
      </c>
      <c r="B15427" s="4" t="s">
        <f>=HYPERLINK("http://anyluxury.ru/shop/odezhda/futbolki/futbolka-uniseks-tuner-cherniy-melanzh-04203348/" , "04203348 Футболка унисекс Tuner, черный меланж, размер 5XL")</f>
      </c>
      <c r="C15427" s="4" t="n">
        <v>1355.00</v>
      </c>
      <c r="D15427" s="4"/>
    </row>
    <row collapsed="" customFormat="false" customHeight="1" hidden="" ht="14" outlineLevel="0" r="15428">
      <c r="A15428" s="3" t="inlineStr">
        <is>
          <t>15384</t>
        </is>
      </c>
      <c r="B15428" s="4" t="s">
        <f>=HYPERLINK("http://anyluxury.ru/shop/odezhda/futbolki/futbolka-uniseks-tuner-svetloseriy-melanzh-04203346/" , "04203346 Футболка унисекс Tuner, светло-серый меланж, размер XS")</f>
      </c>
      <c r="C15428" s="4" t="n">
        <v>774.00</v>
      </c>
      <c r="D15428" s="4"/>
    </row>
    <row collapsed="" customFormat="false" customHeight="1" hidden="" ht="14" outlineLevel="0" r="15429">
      <c r="A15429" s="3" t="inlineStr">
        <is>
          <t>15385</t>
        </is>
      </c>
      <c r="B15429" s="4" t="s">
        <f>=HYPERLINK("http://anyluxury.ru/shop/odezhda/futbolki/futbolka-uniseks-tuner-svetloseriy-melanzh-04203346/" , "04203346 Футболка унисекс Tuner, светло-серый меланж, размер S")</f>
      </c>
      <c r="C15429" s="4" t="n">
        <v>774.00</v>
      </c>
      <c r="D15429" s="4"/>
    </row>
    <row collapsed="" customFormat="false" customHeight="1" hidden="" ht="14" outlineLevel="0" r="15430">
      <c r="A15430" s="3" t="inlineStr">
        <is>
          <t>15386</t>
        </is>
      </c>
      <c r="B15430" s="4" t="s">
        <f>=HYPERLINK("http://anyluxury.ru/shop/odezhda/futbolki/futbolka-uniseks-tuner-svetloseriy-melanzh-04203346/" , "04203346 Футболка унисекс Tuner, светло-серый меланж, размер M")</f>
      </c>
      <c r="C15430" s="4" t="n">
        <v>774.00</v>
      </c>
      <c r="D15430" s="4"/>
    </row>
    <row collapsed="" customFormat="false" customHeight="1" hidden="" ht="14" outlineLevel="0" r="15431">
      <c r="A15431" s="3" t="inlineStr">
        <is>
          <t>15387</t>
        </is>
      </c>
      <c r="B15431" s="4" t="s">
        <f>=HYPERLINK("http://anyluxury.ru/shop/odezhda/futbolki/futbolka-uniseks-tuner-svetloseriy-melanzh-04203346/" , "04203346 Футболка унисекс Tuner, светло-серый меланж, размер L")</f>
      </c>
      <c r="C15431" s="4" t="n">
        <v>774.00</v>
      </c>
      <c r="D15431" s="4"/>
    </row>
    <row collapsed="" customFormat="false" customHeight="1" hidden="" ht="14" outlineLevel="0" r="15432">
      <c r="A15432" s="3" t="inlineStr">
        <is>
          <t>15388</t>
        </is>
      </c>
      <c r="B15432" s="4" t="s">
        <f>=HYPERLINK("http://anyluxury.ru/shop/odezhda/futbolki/futbolka-uniseks-tuner-svetloseriy-melanzh-04203346/" , "04203346 Футболка унисекс Tuner, светло-серый меланж, размер XL")</f>
      </c>
      <c r="C15432" s="4" t="n">
        <v>774.00</v>
      </c>
      <c r="D15432" s="4"/>
    </row>
    <row collapsed="" customFormat="false" customHeight="1" hidden="" ht="14" outlineLevel="0" r="15433">
      <c r="A15433" s="3" t="inlineStr">
        <is>
          <t>15389</t>
        </is>
      </c>
      <c r="B15433" s="4" t="s">
        <f>=HYPERLINK("http://anyluxury.ru/shop/odezhda/futbolki/futbolka-uniseks-tuner-svetloseriy-melanzh-04203346/" , "04203346 Футболка унисекс Tuner, светло-серый меланж, размер XXL")</f>
      </c>
      <c r="C15433" s="4" t="n">
        <v>774.00</v>
      </c>
      <c r="D15433" s="4"/>
    </row>
    <row collapsed="" customFormat="false" customHeight="1" hidden="" ht="14" outlineLevel="0" r="15434">
      <c r="A15434" s="3" t="inlineStr">
        <is>
          <t>15390</t>
        </is>
      </c>
      <c r="B15434" s="4" t="s">
        <f>=HYPERLINK("http://anyluxury.ru/shop/odezhda/futbolki/futbolka-uniseks-tuner-svetloseriy-melanzh-04203346/" , "04203346 Футболка унисекс Tuner, светло-серый меланж, размер 3XL")</f>
      </c>
      <c r="C15434" s="4" t="n">
        <v>954.00</v>
      </c>
      <c r="D15434" s="4"/>
    </row>
    <row collapsed="" customFormat="false" customHeight="1" hidden="" ht="14" outlineLevel="0" r="15435">
      <c r="A15435" s="3" t="inlineStr">
        <is>
          <t>15391</t>
        </is>
      </c>
      <c r="B15435" s="4" t="s">
        <f>=HYPERLINK("http://anyluxury.ru/shop/odezhda/futbolki/futbolka-uniseks-tuner-svetloseriy-melanzh-04203346/" , "04203346 Футболка унисекс Tuner, светло-серый меланж, размер 4XL")</f>
      </c>
      <c r="C15435" s="4" t="n">
        <v>1355.00</v>
      </c>
      <c r="D15435" s="4"/>
    </row>
    <row collapsed="" customFormat="false" customHeight="1" hidden="" ht="14" outlineLevel="0" r="15436">
      <c r="A15436" s="3" t="inlineStr">
        <is>
          <t>15392</t>
        </is>
      </c>
      <c r="B15436" s="4" t="s">
        <f>=HYPERLINK("http://anyluxury.ru/shop/odezhda/futbolki/futbolka-uniseks-tuner-svetloseriy-melanzh-04203346/" , "04203346 Футболка унисекс Tuner, светло-серый меланж, размер 5XL")</f>
      </c>
      <c r="C15436" s="4" t="n">
        <v>1355.00</v>
      </c>
      <c r="D15436" s="4"/>
    </row>
    <row collapsed="" customFormat="false" customHeight="1" hidden="" ht="14" outlineLevel="0" r="15437">
      <c r="A15437" s="3" t="inlineStr">
        <is>
          <t>15393</t>
        </is>
      </c>
      <c r="B15437" s="4" t="s">
        <f>=HYPERLINK("http://anyluxury.ru/shop/odezhda/futbolki/futbolka-uniseks-tuner-svetlogolubaya-04203240/" , "04203240 Футболка унисекс Tuner, светло-голубая, размер XS")</f>
      </c>
      <c r="C15437" s="4" t="n">
        <v>774.00</v>
      </c>
      <c r="D15437" s="4"/>
    </row>
    <row collapsed="" customFormat="false" customHeight="1" hidden="" ht="14" outlineLevel="0" r="15438">
      <c r="A15438" s="3" t="inlineStr">
        <is>
          <t>15394</t>
        </is>
      </c>
      <c r="B15438" s="4" t="s">
        <f>=HYPERLINK("http://anyluxury.ru/shop/odezhda/futbolki/futbolka-uniseks-tuner-svetlogolubaya-04203240/" , "04203240 Футболка унисекс Tuner, светло-голубая, размер S")</f>
      </c>
      <c r="C15438" s="4" t="n">
        <v>774.00</v>
      </c>
      <c r="D15438" s="4"/>
    </row>
    <row collapsed="" customFormat="false" customHeight="1" hidden="" ht="14" outlineLevel="0" r="15439">
      <c r="A15439" s="3" t="inlineStr">
        <is>
          <t>15395</t>
        </is>
      </c>
      <c r="B15439" s="4" t="s">
        <f>=HYPERLINK("http://anyluxury.ru/shop/odezhda/futbolki/futbolka-uniseks-tuner-svetlogolubaya-04203240/" , "04203240 Футболка унисекс Tuner, светло-голубая, размер M")</f>
      </c>
      <c r="C15439" s="4" t="n">
        <v>774.00</v>
      </c>
      <c r="D15439" s="4"/>
    </row>
    <row collapsed="" customFormat="false" customHeight="1" hidden="" ht="14" outlineLevel="0" r="15440">
      <c r="A15440" s="3" t="inlineStr">
        <is>
          <t>15396</t>
        </is>
      </c>
      <c r="B15440" s="4" t="s">
        <f>=HYPERLINK("http://anyluxury.ru/shop/odezhda/futbolki/futbolka-uniseks-tuner-svetlogolubaya-04203240/" , "04203240 Футболка унисекс Tuner, светло-голубая, размер L")</f>
      </c>
      <c r="C15440" s="4" t="n">
        <v>774.00</v>
      </c>
      <c r="D15440" s="4"/>
    </row>
    <row collapsed="" customFormat="false" customHeight="1" hidden="" ht="14" outlineLevel="0" r="15441">
      <c r="A15441" s="3" t="inlineStr">
        <is>
          <t>15397</t>
        </is>
      </c>
      <c r="B15441" s="4" t="s">
        <f>=HYPERLINK("http://anyluxury.ru/shop/odezhda/futbolki/futbolka-uniseks-tuner-svetlogolubaya-04203240/" , "04203240 Футболка унисекс Tuner, светло-голубая, размер XL")</f>
      </c>
      <c r="C15441" s="4" t="n">
        <v>774.00</v>
      </c>
      <c r="D15441" s="4"/>
    </row>
    <row collapsed="" customFormat="false" customHeight="1" hidden="" ht="14" outlineLevel="0" r="15442">
      <c r="A15442" s="3" t="inlineStr">
        <is>
          <t>15398</t>
        </is>
      </c>
      <c r="B15442" s="4" t="s">
        <f>=HYPERLINK("http://anyluxury.ru/shop/odezhda/futbolki/futbolka-uniseks-tuner-svetlogolubaya-04203240/" , "04203240 Футболка унисекс Tuner, светло-голубая, размер XXL")</f>
      </c>
      <c r="C15442" s="4" t="n">
        <v>774.00</v>
      </c>
      <c r="D15442" s="4"/>
    </row>
    <row collapsed="" customFormat="false" customHeight="1" hidden="" ht="14" outlineLevel="0" r="15443">
      <c r="A15443" s="3" t="inlineStr">
        <is>
          <t>15399</t>
        </is>
      </c>
      <c r="B15443" s="4" t="s">
        <f>=HYPERLINK("http://anyluxury.ru/shop/odezhda/futbolki/futbolka-uniseks-tuner-svetlogolubaya-04203240/" , "04203240 Футболка унисекс Tuner, светло-голубая, размер 3XL")</f>
      </c>
      <c r="C15443" s="4" t="n">
        <v>954.00</v>
      </c>
      <c r="D15443" s="4"/>
    </row>
    <row collapsed="" customFormat="false" customHeight="1" hidden="" ht="14" outlineLevel="0" r="15444">
      <c r="A15444" s="3" t="inlineStr">
        <is>
          <t>15400</t>
        </is>
      </c>
      <c r="B15444" s="4" t="s">
        <f>=HYPERLINK("http://anyluxury.ru/shop/odezhda/futbolki/futbolka-uniseks-tuner-svetlogolubaya-04203240/" , "04203240 Футболка унисекс Tuner, светло-голубая, размер 4XL")</f>
      </c>
      <c r="C15444" s="4" t="n">
        <v>1355.00</v>
      </c>
      <c r="D15444" s="4"/>
    </row>
    <row collapsed="" customFormat="false" customHeight="1" hidden="" ht="14" outlineLevel="0" r="15445">
      <c r="A15445" s="3" t="inlineStr">
        <is>
          <t>15401</t>
        </is>
      </c>
      <c r="B15445" s="4" t="s">
        <f>=HYPERLINK("http://anyluxury.ru/shop/odezhda/futbolki/futbolka-uniseks-tuner-svetlogolubaya-04203240/" , "04203240 Футболка унисекс Tuner, светло-голубая, размер 5XL")</f>
      </c>
      <c r="C15445" s="4" t="n">
        <v>1355.00</v>
      </c>
      <c r="D15445" s="4"/>
    </row>
    <row collapsed="" customFormat="false" customHeight="1" hidden="" ht="14" outlineLevel="0" r="15446">
      <c r="A15446" s="3" t="inlineStr">
        <is>
          <t>15402</t>
        </is>
      </c>
      <c r="B15446" s="4" t="s">
        <f>=HYPERLINK("http://anyluxury.ru/shop/odezhda/futbolki/futbolka-uniseks-tuner-oranzhevaya-04203400/" , "04203400 Футболка унисекс Tuner, оранжевая, размер XS")</f>
      </c>
      <c r="C15446" s="4" t="n">
        <v>774.00</v>
      </c>
      <c r="D15446" s="4"/>
    </row>
    <row collapsed="" customFormat="false" customHeight="1" hidden="" ht="14" outlineLevel="0" r="15447">
      <c r="A15447" s="3" t="inlineStr">
        <is>
          <t>15403</t>
        </is>
      </c>
      <c r="B15447" s="4" t="s">
        <f>=HYPERLINK("http://anyluxury.ru/shop/odezhda/futbolki/futbolka-uniseks-tuner-oranzhevaya-04203400/" , "04203400 Футболка унисекс Tuner, оранжевая, размер S")</f>
      </c>
      <c r="C15447" s="4" t="n">
        <v>774.00</v>
      </c>
      <c r="D15447" s="4"/>
    </row>
    <row collapsed="" customFormat="false" customHeight="1" hidden="" ht="14" outlineLevel="0" r="15448">
      <c r="A15448" s="3" t="inlineStr">
        <is>
          <t>15404</t>
        </is>
      </c>
      <c r="B15448" s="4" t="s">
        <f>=HYPERLINK("http://anyluxury.ru/shop/odezhda/futbolki/futbolka-uniseks-tuner-oranzhevaya-04203400/" , "04203400 Футболка унисекс Tuner, оранжевая, размер M")</f>
      </c>
      <c r="C15448" s="4" t="n">
        <v>774.00</v>
      </c>
      <c r="D15448" s="4"/>
    </row>
    <row collapsed="" customFormat="false" customHeight="1" hidden="" ht="14" outlineLevel="0" r="15449">
      <c r="A15449" s="3" t="inlineStr">
        <is>
          <t>15405</t>
        </is>
      </c>
      <c r="B15449" s="4" t="s">
        <f>=HYPERLINK("http://anyluxury.ru/shop/odezhda/futbolki/futbolka-uniseks-tuner-oranzhevaya-04203400/" , "04203400 Футболка унисекс Tuner, оранжевая, размер L")</f>
      </c>
      <c r="C15449" s="4" t="n">
        <v>774.00</v>
      </c>
      <c r="D15449" s="4"/>
    </row>
    <row collapsed="" customFormat="false" customHeight="1" hidden="" ht="14" outlineLevel="0" r="15450">
      <c r="A15450" s="3" t="inlineStr">
        <is>
          <t>15406</t>
        </is>
      </c>
      <c r="B15450" s="4" t="s">
        <f>=HYPERLINK("http://anyluxury.ru/shop/odezhda/futbolki/futbolka-uniseks-tuner-oranzhevaya-04203400/" , "04203400 Футболка унисекс Tuner, оранжевая, размер XL")</f>
      </c>
      <c r="C15450" s="4" t="n">
        <v>774.00</v>
      </c>
      <c r="D15450" s="4"/>
    </row>
    <row collapsed="" customFormat="false" customHeight="1" hidden="" ht="14" outlineLevel="0" r="15451">
      <c r="A15451" s="3" t="inlineStr">
        <is>
          <t>15407</t>
        </is>
      </c>
      <c r="B15451" s="4" t="s">
        <f>=HYPERLINK("http://anyluxury.ru/shop/odezhda/futbolki/futbolka-uniseks-tuner-oranzhevaya-04203400/" , "04203400 Футболка унисекс Tuner, оранжевая, размер XXL")</f>
      </c>
      <c r="C15451" s="4" t="n">
        <v>774.00</v>
      </c>
      <c r="D15451" s="4"/>
    </row>
    <row collapsed="" customFormat="false" customHeight="1" hidden="" ht="14" outlineLevel="0" r="15452">
      <c r="A15452" s="3" t="inlineStr">
        <is>
          <t>15408</t>
        </is>
      </c>
      <c r="B15452" s="4" t="s">
        <f>=HYPERLINK("http://anyluxury.ru/shop/odezhda/futbolki/futbolka-uniseks-tuner-oranzhevaya-04203400/" , "04203400 Футболка унисекс Tuner, оранжевая, размер 3XL")</f>
      </c>
      <c r="C15452" s="4" t="n">
        <v>954.00</v>
      </c>
      <c r="D15452" s="4"/>
    </row>
    <row collapsed="" customFormat="false" customHeight="1" hidden="" ht="14" outlineLevel="0" r="15453">
      <c r="A15453" s="3" t="inlineStr">
        <is>
          <t>15409</t>
        </is>
      </c>
      <c r="B15453" s="4" t="s">
        <f>=HYPERLINK("http://anyluxury.ru/shop/odezhda/futbolki/futbolka-uniseks-tuner-oranzhevaya-04203400/" , "04203400 Футболка унисекс Tuner, оранжевая, размер 4XL")</f>
      </c>
      <c r="C15453" s="4" t="n">
        <v>1355.00</v>
      </c>
      <c r="D15453" s="4"/>
    </row>
    <row collapsed="" customFormat="false" customHeight="1" hidden="" ht="14" outlineLevel="0" r="15454">
      <c r="A15454" s="3" t="inlineStr">
        <is>
          <t>15410</t>
        </is>
      </c>
      <c r="B15454" s="4" t="s">
        <f>=HYPERLINK("http://anyluxury.ru/shop/odezhda/futbolki/futbolka-uniseks-tuner-oranzhevaya-04203400/" , "04203400 Футболка унисекс Tuner, оранжевая, размер 5XL")</f>
      </c>
      <c r="C15454" s="4" t="n">
        <v>1355.00</v>
      </c>
      <c r="D15454" s="4"/>
    </row>
    <row collapsed="" customFormat="false" customHeight="1" hidden="" ht="14" outlineLevel="0" r="15455">
      <c r="A15455" s="3" t="inlineStr">
        <is>
          <t>15411</t>
        </is>
      </c>
      <c r="B15455" s="4" t="s">
        <f>=HYPERLINK("http://anyluxury.ru/shop/odezhda/futbolki/futbolka-uniseks-tuner-krasnaya-04203145/" , "04203145 Футболка унисекс Tuner, красная, размер XS")</f>
      </c>
      <c r="C15455" s="4" t="n">
        <v>774.00</v>
      </c>
      <c r="D15455" s="4"/>
    </row>
    <row collapsed="" customFormat="false" customHeight="1" hidden="" ht="14" outlineLevel="0" r="15456">
      <c r="A15456" s="3" t="inlineStr">
        <is>
          <t>15412</t>
        </is>
      </c>
      <c r="B15456" s="4" t="s">
        <f>=HYPERLINK("http://anyluxury.ru/shop/odezhda/futbolki/futbolka-uniseks-tuner-krasnaya-04203145/" , "04203145 Футболка унисекс Tuner, красная, размер S")</f>
      </c>
      <c r="C15456" s="4" t="n">
        <v>774.00</v>
      </c>
      <c r="D15456" s="4"/>
    </row>
    <row collapsed="" customFormat="false" customHeight="1" hidden="" ht="14" outlineLevel="0" r="15457">
      <c r="A15457" s="3" t="inlineStr">
        <is>
          <t>15413</t>
        </is>
      </c>
      <c r="B15457" s="4" t="s">
        <f>=HYPERLINK("http://anyluxury.ru/shop/odezhda/futbolki/futbolka-uniseks-tuner-krasnaya-04203145/" , "04203145 Футболка унисекс Tuner, красная, размер M")</f>
      </c>
      <c r="C15457" s="4" t="n">
        <v>774.00</v>
      </c>
      <c r="D15457" s="4"/>
    </row>
    <row collapsed="" customFormat="false" customHeight="1" hidden="" ht="14" outlineLevel="0" r="15458">
      <c r="A15458" s="3" t="inlineStr">
        <is>
          <t>15414</t>
        </is>
      </c>
      <c r="B15458" s="4" t="s">
        <f>=HYPERLINK("http://anyluxury.ru/shop/odezhda/futbolki/futbolka-uniseks-tuner-krasnaya-04203145/" , "04203145 Футболка унисекс Tuner, красная, размер L")</f>
      </c>
      <c r="C15458" s="4" t="n">
        <v>774.00</v>
      </c>
      <c r="D15458" s="4"/>
    </row>
    <row collapsed="" customFormat="false" customHeight="1" hidden="" ht="14" outlineLevel="0" r="15459">
      <c r="A15459" s="3" t="inlineStr">
        <is>
          <t>15415</t>
        </is>
      </c>
      <c r="B15459" s="4" t="s">
        <f>=HYPERLINK("http://anyluxury.ru/shop/odezhda/futbolki/futbolka-uniseks-tuner-krasnaya-04203145/" , "04203145 Футболка унисекс Tuner, красная, размер XL")</f>
      </c>
      <c r="C15459" s="4" t="n">
        <v>774.00</v>
      </c>
      <c r="D15459" s="4"/>
    </row>
    <row collapsed="" customFormat="false" customHeight="1" hidden="" ht="14" outlineLevel="0" r="15460">
      <c r="A15460" s="3" t="inlineStr">
        <is>
          <t>15416</t>
        </is>
      </c>
      <c r="B15460" s="4" t="s">
        <f>=HYPERLINK("http://anyluxury.ru/shop/odezhda/futbolki/futbolka-uniseks-tuner-krasnaya-04203145/" , "04203145 Футболка унисекс Tuner, красная, размер XXL")</f>
      </c>
      <c r="C15460" s="4" t="n">
        <v>774.00</v>
      </c>
      <c r="D15460" s="4"/>
    </row>
    <row collapsed="" customFormat="false" customHeight="1" hidden="" ht="14" outlineLevel="0" r="15461">
      <c r="A15461" s="3" t="inlineStr">
        <is>
          <t>15417</t>
        </is>
      </c>
      <c r="B15461" s="4" t="s">
        <f>=HYPERLINK("http://anyluxury.ru/shop/odezhda/futbolki/futbolka-uniseks-tuner-krasnaya-04203145/" , "04203145 Футболка унисекс Tuner, красная, размер 3XL")</f>
      </c>
      <c r="C15461" s="4" t="n">
        <v>954.00</v>
      </c>
      <c r="D15461" s="4"/>
    </row>
    <row collapsed="" customFormat="false" customHeight="1" hidden="" ht="14" outlineLevel="0" r="15462">
      <c r="A15462" s="3" t="inlineStr">
        <is>
          <t>15418</t>
        </is>
      </c>
      <c r="B15462" s="4" t="s">
        <f>=HYPERLINK("http://anyluxury.ru/shop/odezhda/futbolki/futbolka-uniseks-tuner-krasnaya-04203145/" , "04203145 Футболка унисекс Tuner, красная, размер 4XL")</f>
      </c>
      <c r="C15462" s="4" t="n">
        <v>1355.00</v>
      </c>
      <c r="D15462" s="4"/>
    </row>
    <row collapsed="" customFormat="false" customHeight="1" hidden="" ht="14" outlineLevel="0" r="15463">
      <c r="A15463" s="3" t="inlineStr">
        <is>
          <t>15419</t>
        </is>
      </c>
      <c r="B15463" s="4" t="s">
        <f>=HYPERLINK("http://anyluxury.ru/shop/odezhda/futbolki/futbolka-uniseks-tuner-krasnaya-04203145/" , "04203145 Футболка унисекс Tuner, красная, размер 5XL")</f>
      </c>
      <c r="C15463" s="4" t="n">
        <v>1355.00</v>
      </c>
      <c r="D15463" s="4"/>
    </row>
    <row collapsed="" customFormat="false" customHeight="1" hidden="" ht="14" outlineLevel="0" r="15464">
      <c r="A15464" s="3" t="inlineStr">
        <is>
          <t>15420</t>
        </is>
      </c>
      <c r="B15464" s="4" t="s">
        <f>=HYPERLINK("http://anyluxury.ru/shop/odezhda/futbolki/futbolka-uniseks-tuner-chernaya-04203309/" , "04203309 Футболка унисекс Tuner, черная, размер XS")</f>
      </c>
      <c r="C15464" s="4" t="n">
        <v>774.00</v>
      </c>
      <c r="D15464" s="4"/>
    </row>
    <row collapsed="" customFormat="false" customHeight="1" hidden="" ht="14" outlineLevel="0" r="15465">
      <c r="A15465" s="3" t="inlineStr">
        <is>
          <t>15421</t>
        </is>
      </c>
      <c r="B15465" s="4" t="s">
        <f>=HYPERLINK("http://anyluxury.ru/shop/odezhda/futbolki/futbolka-uniseks-tuner-chernaya-04203309/" , "04203309 Футболка унисекс Tuner, черная, размер S")</f>
      </c>
      <c r="C15465" s="4" t="n">
        <v>774.00</v>
      </c>
      <c r="D15465" s="4"/>
    </row>
    <row collapsed="" customFormat="false" customHeight="1" hidden="" ht="14" outlineLevel="0" r="15466">
      <c r="A15466" s="3" t="inlineStr">
        <is>
          <t>15422</t>
        </is>
      </c>
      <c r="B15466" s="4" t="s">
        <f>=HYPERLINK("http://anyluxury.ru/shop/odezhda/futbolki/futbolka-uniseks-tuner-chernaya-04203309/" , "04203309 Футболка унисекс Tuner, черная, размер M")</f>
      </c>
      <c r="C15466" s="4" t="n">
        <v>774.00</v>
      </c>
      <c r="D15466" s="4"/>
    </row>
    <row collapsed="" customFormat="false" customHeight="1" hidden="" ht="14" outlineLevel="0" r="15467">
      <c r="A15467" s="3" t="inlineStr">
        <is>
          <t>15423</t>
        </is>
      </c>
      <c r="B15467" s="4" t="s">
        <f>=HYPERLINK("http://anyluxury.ru/shop/odezhda/futbolki/futbolka-uniseks-tuner-chernaya-04203309/" , "04203309 Футболка унисекс Tuner, черная, размер L")</f>
      </c>
      <c r="C15467" s="4" t="n">
        <v>774.00</v>
      </c>
      <c r="D15467" s="4"/>
    </row>
    <row collapsed="" customFormat="false" customHeight="1" hidden="" ht="14" outlineLevel="0" r="15468">
      <c r="A15468" s="3" t="inlineStr">
        <is>
          <t>15424</t>
        </is>
      </c>
      <c r="B15468" s="4" t="s">
        <f>=HYPERLINK("http://anyluxury.ru/shop/odezhda/futbolki/futbolka-uniseks-tuner-chernaya-04203309/" , "04203309 Футболка унисекс Tuner, черная, размер XL")</f>
      </c>
      <c r="C15468" s="4" t="n">
        <v>774.00</v>
      </c>
      <c r="D15468" s="4"/>
    </row>
    <row collapsed="" customFormat="false" customHeight="1" hidden="" ht="14" outlineLevel="0" r="15469">
      <c r="A15469" s="3" t="inlineStr">
        <is>
          <t>15425</t>
        </is>
      </c>
      <c r="B15469" s="4" t="s">
        <f>=HYPERLINK("http://anyluxury.ru/shop/odezhda/futbolki/futbolka-uniseks-tuner-chernaya-04203309/" , "04203309 Футболка унисекс Tuner, черная, размер XXL")</f>
      </c>
      <c r="C15469" s="4" t="n">
        <v>774.00</v>
      </c>
      <c r="D15469" s="4"/>
    </row>
    <row collapsed="" customFormat="false" customHeight="1" hidden="" ht="14" outlineLevel="0" r="15470">
      <c r="A15470" s="3" t="inlineStr">
        <is>
          <t>15426</t>
        </is>
      </c>
      <c r="B15470" s="4" t="s">
        <f>=HYPERLINK("http://anyluxury.ru/shop/odezhda/futbolki/futbolka-uniseks-tuner-chernaya-04203309/" , "04203309 Футболка унисекс Tuner, черная, размер 3XL")</f>
      </c>
      <c r="C15470" s="4" t="n">
        <v>954.00</v>
      </c>
      <c r="D15470" s="4"/>
    </row>
    <row collapsed="" customFormat="false" customHeight="1" hidden="" ht="14" outlineLevel="0" r="15471">
      <c r="A15471" s="3" t="inlineStr">
        <is>
          <t>15427</t>
        </is>
      </c>
      <c r="B15471" s="4" t="s">
        <f>=HYPERLINK("http://anyluxury.ru/shop/odezhda/futbolki/futbolka-uniseks-tuner-chernaya-04203309/" , "04203309 Футболка унисекс Tuner, черная, размер 4XL")</f>
      </c>
      <c r="C15471" s="4" t="n">
        <v>1355.00</v>
      </c>
      <c r="D15471" s="4"/>
    </row>
    <row collapsed="" customFormat="false" customHeight="1" hidden="" ht="14" outlineLevel="0" r="15472">
      <c r="A15472" s="3" t="inlineStr">
        <is>
          <t>15428</t>
        </is>
      </c>
      <c r="B15472" s="4" t="s">
        <f>=HYPERLINK("http://anyluxury.ru/shop/odezhda/futbolki/futbolka-uniseks-tuner-chernaya-04203309/" , "04203309 Футболка унисекс Tuner, черная, размер 5XL")</f>
      </c>
      <c r="C15472" s="4" t="n">
        <v>1355.00</v>
      </c>
      <c r="D15472" s="4"/>
    </row>
    <row collapsed="" customFormat="false" customHeight="1" hidden="" ht="14" outlineLevel="0" r="15473">
      <c r="A15473" s="3" t="inlineStr">
        <is>
          <t>15429</t>
        </is>
      </c>
      <c r="B15473" s="4" t="s">
        <f>=HYPERLINK("http://anyluxury.ru/shop/odezhda/futbolki/futbolka-uniseks-tuner-temnosinyaya-04203319/" , "04203319 Футболка унисекс Tuner, темно-синяя, размер XS")</f>
      </c>
      <c r="C15473" s="4" t="n">
        <v>774.00</v>
      </c>
      <c r="D15473" s="4"/>
    </row>
    <row collapsed="" customFormat="false" customHeight="1" hidden="" ht="14" outlineLevel="0" r="15474">
      <c r="A15474" s="3" t="inlineStr">
        <is>
          <t>15430</t>
        </is>
      </c>
      <c r="B15474" s="4" t="s">
        <f>=HYPERLINK("http://anyluxury.ru/shop/odezhda/futbolki/futbolka-uniseks-tuner-temnosinyaya-04203319/" , "04203319 Футболка унисекс Tuner, темно-синяя, размер S")</f>
      </c>
      <c r="C15474" s="4" t="n">
        <v>774.00</v>
      </c>
      <c r="D15474" s="4"/>
    </row>
    <row collapsed="" customFormat="false" customHeight="1" hidden="" ht="14" outlineLevel="0" r="15475">
      <c r="A15475" s="3" t="inlineStr">
        <is>
          <t>15431</t>
        </is>
      </c>
      <c r="B15475" s="4" t="s">
        <f>=HYPERLINK("http://anyluxury.ru/shop/odezhda/futbolki/futbolka-uniseks-tuner-temnosinyaya-04203319/" , "04203319 Футболка унисекс Tuner, темно-синяя, размер M")</f>
      </c>
      <c r="C15475" s="4" t="n">
        <v>774.00</v>
      </c>
      <c r="D15475" s="4"/>
    </row>
    <row collapsed="" customFormat="false" customHeight="1" hidden="" ht="14" outlineLevel="0" r="15476">
      <c r="A15476" s="3" t="inlineStr">
        <is>
          <t>15432</t>
        </is>
      </c>
      <c r="B15476" s="4" t="s">
        <f>=HYPERLINK("http://anyluxury.ru/shop/odezhda/futbolki/futbolka-uniseks-tuner-temnosinyaya-04203319/" , "04203319 Футболка унисекс Tuner, темно-синяя, размер L")</f>
      </c>
      <c r="C15476" s="4" t="n">
        <v>774.00</v>
      </c>
      <c r="D15476" s="4"/>
    </row>
    <row collapsed="" customFormat="false" customHeight="1" hidden="" ht="14" outlineLevel="0" r="15477">
      <c r="A15477" s="3" t="inlineStr">
        <is>
          <t>15433</t>
        </is>
      </c>
      <c r="B15477" s="4" t="s">
        <f>=HYPERLINK("http://anyluxury.ru/shop/odezhda/futbolki/futbolka-uniseks-tuner-temnosinyaya-04203319/" , "04203319 Футболка унисекс Tuner, темно-синяя, размер XL")</f>
      </c>
      <c r="C15477" s="4" t="n">
        <v>774.00</v>
      </c>
      <c r="D15477" s="4"/>
    </row>
    <row collapsed="" customFormat="false" customHeight="1" hidden="" ht="14" outlineLevel="0" r="15478">
      <c r="A15478" s="3" t="inlineStr">
        <is>
          <t>15434</t>
        </is>
      </c>
      <c r="B15478" s="4" t="s">
        <f>=HYPERLINK("http://anyluxury.ru/shop/odezhda/futbolki/futbolka-uniseks-tuner-temnosinyaya-04203319/" , "04203319 Футболка унисекс Tuner, темно-синяя, размер XXL")</f>
      </c>
      <c r="C15478" s="4" t="n">
        <v>774.00</v>
      </c>
      <c r="D15478" s="4"/>
    </row>
    <row collapsed="" customFormat="false" customHeight="1" hidden="" ht="14" outlineLevel="0" r="15479">
      <c r="A15479" s="3" t="inlineStr">
        <is>
          <t>15435</t>
        </is>
      </c>
      <c r="B15479" s="4" t="s">
        <f>=HYPERLINK("http://anyluxury.ru/shop/odezhda/futbolki/futbolka-uniseks-tuner-temnosinyaya-04203319/" , "04203319 Футболка унисекс Tuner, темно-синяя, размер 3XL")</f>
      </c>
      <c r="C15479" s="4" t="n">
        <v>954.00</v>
      </c>
      <c r="D15479" s="4"/>
    </row>
    <row collapsed="" customFormat="false" customHeight="1" hidden="" ht="14" outlineLevel="0" r="15480">
      <c r="A15480" s="3" t="inlineStr">
        <is>
          <t>15436</t>
        </is>
      </c>
      <c r="B15480" s="4" t="s">
        <f>=HYPERLINK("http://anyluxury.ru/shop/odezhda/futbolki/futbolka-uniseks-tuner-temnosinyaya-04203319/" , "04203319 Футболка унисекс Tuner, темно-синяя, размер 4XL")</f>
      </c>
      <c r="C15480" s="4" t="n">
        <v>1355.00</v>
      </c>
      <c r="D15480" s="4"/>
    </row>
    <row collapsed="" customFormat="false" customHeight="1" hidden="" ht="14" outlineLevel="0" r="15481">
      <c r="A15481" s="3" t="inlineStr">
        <is>
          <t>15437</t>
        </is>
      </c>
      <c r="B15481" s="4" t="s">
        <f>=HYPERLINK("http://anyluxury.ru/shop/odezhda/futbolki/futbolka-uniseks-tuner-temnosinyaya-04203319/" , "04203319 Футболка унисекс Tuner, темно-синяя, размер 5XL")</f>
      </c>
      <c r="C15481" s="4" t="n">
        <v>1355.00</v>
      </c>
      <c r="D15481" s="4"/>
    </row>
    <row collapsed="" customFormat="false" customHeight="1" hidden="" ht="14" outlineLevel="0" r="15482">
      <c r="A15482" s="3" t="inlineStr">
        <is>
          <t>15438</t>
        </is>
      </c>
      <c r="B15482" s="4" t="s">
        <f>=HYPERLINK("http://anyluxury.ru/shop/odezhda/futbolki/futbolka-uniseks-tuner-zelenaya-04203296/" , "04203296 Футболка унисекс Tuner, зеленая, размер XS")</f>
      </c>
      <c r="C15482" s="4" t="n">
        <v>774.00</v>
      </c>
      <c r="D15482" s="4"/>
    </row>
    <row collapsed="" customFormat="false" customHeight="1" hidden="" ht="14" outlineLevel="0" r="15483">
      <c r="A15483" s="3" t="inlineStr">
        <is>
          <t>15439</t>
        </is>
      </c>
      <c r="B15483" s="4" t="s">
        <f>=HYPERLINK("http://anyluxury.ru/shop/odezhda/futbolki/futbolka-uniseks-tuner-zelenaya-04203296/" , "04203296 Футболка унисекс Tuner, зеленая, размер S")</f>
      </c>
      <c r="C15483" s="4" t="n">
        <v>774.00</v>
      </c>
      <c r="D15483" s="4"/>
    </row>
    <row collapsed="" customFormat="false" customHeight="1" hidden="" ht="14" outlineLevel="0" r="15484">
      <c r="A15484" s="3" t="inlineStr">
        <is>
          <t>15440</t>
        </is>
      </c>
      <c r="B15484" s="4" t="s">
        <f>=HYPERLINK("http://anyluxury.ru/shop/odezhda/futbolki/futbolka-uniseks-tuner-zelenaya-04203296/" , "04203296 Футболка унисекс Tuner, зеленая, размер M")</f>
      </c>
      <c r="C15484" s="4" t="n">
        <v>774.00</v>
      </c>
      <c r="D15484" s="4"/>
    </row>
    <row collapsed="" customFormat="false" customHeight="1" hidden="" ht="14" outlineLevel="0" r="15485">
      <c r="A15485" s="3" t="inlineStr">
        <is>
          <t>15441</t>
        </is>
      </c>
      <c r="B15485" s="4" t="s">
        <f>=HYPERLINK("http://anyluxury.ru/shop/odezhda/futbolki/futbolka-uniseks-tuner-zelenaya-04203296/" , "04203296 Футболка унисекс Tuner, зеленая, размер L")</f>
      </c>
      <c r="C15485" s="4" t="n">
        <v>774.00</v>
      </c>
      <c r="D15485" s="4"/>
    </row>
    <row collapsed="" customFormat="false" customHeight="1" hidden="" ht="14" outlineLevel="0" r="15486">
      <c r="A15486" s="3" t="inlineStr">
        <is>
          <t>15442</t>
        </is>
      </c>
      <c r="B15486" s="4" t="s">
        <f>=HYPERLINK("http://anyluxury.ru/shop/odezhda/futbolki/futbolka-uniseks-tuner-zelenaya-04203296/" , "04203296 Футболка унисекс Tuner, зеленая, размер XL")</f>
      </c>
      <c r="C15486" s="4" t="n">
        <v>774.00</v>
      </c>
      <c r="D15486" s="4"/>
    </row>
    <row collapsed="" customFormat="false" customHeight="1" hidden="" ht="14" outlineLevel="0" r="15487">
      <c r="A15487" s="3" t="inlineStr">
        <is>
          <t>15443</t>
        </is>
      </c>
      <c r="B15487" s="4" t="s">
        <f>=HYPERLINK("http://anyluxury.ru/shop/odezhda/futbolki/futbolka-uniseks-tuner-zelenaya-04203296/" , "04203296 Футболка унисекс Tuner, зеленая, размер XXL")</f>
      </c>
      <c r="C15487" s="4" t="n">
        <v>774.00</v>
      </c>
      <c r="D15487" s="4"/>
    </row>
    <row collapsed="" customFormat="false" customHeight="1" hidden="" ht="14" outlineLevel="0" r="15488">
      <c r="A15488" s="3" t="inlineStr">
        <is>
          <t>15444</t>
        </is>
      </c>
      <c r="B15488" s="4" t="s">
        <f>=HYPERLINK("http://anyluxury.ru/shop/odezhda/futbolki/futbolka-uniseks-tuner-zelenaya-04203296/" , "04203296 Футболка унисекс Tuner, зеленая, размер 3XL")</f>
      </c>
      <c r="C15488" s="4" t="n">
        <v>954.00</v>
      </c>
      <c r="D15488" s="4"/>
    </row>
    <row collapsed="" customFormat="false" customHeight="1" hidden="" ht="14" outlineLevel="0" r="15489">
      <c r="A15489" s="3" t="inlineStr">
        <is>
          <t>15445</t>
        </is>
      </c>
      <c r="B15489" s="4" t="s">
        <f>=HYPERLINK("http://anyluxury.ru/shop/odezhda/futbolki/futbolka-uniseks-tuner-zelenaya-04203296/" , "04203296 Футболка унисекс Tuner, зеленая, размер 4XL")</f>
      </c>
      <c r="C15489" s="4" t="n">
        <v>1355.00</v>
      </c>
      <c r="D15489" s="4"/>
    </row>
    <row collapsed="" customFormat="false" customHeight="1" hidden="" ht="14" outlineLevel="0" r="15490">
      <c r="A15490" s="3" t="inlineStr">
        <is>
          <t>15446</t>
        </is>
      </c>
      <c r="B15490" s="4" t="s">
        <f>=HYPERLINK("http://anyluxury.ru/shop/odezhda/futbolki/futbolka-uniseks-tuner-zelenaya-04203296/" , "04203296 Футболка унисекс Tuner, зеленая, размер 5XL")</f>
      </c>
      <c r="C15490" s="4" t="n">
        <v>1355.00</v>
      </c>
      <c r="D15490" s="4"/>
    </row>
    <row collapsed="" customFormat="false" customHeight="1" hidden="" ht="14" outlineLevel="0" r="15491">
      <c r="A15491" s="3" t="inlineStr">
        <is>
          <t>15447</t>
        </is>
      </c>
      <c r="B15491" s="4" t="s">
        <f>=HYPERLINK("http://anyluxury.ru/shop/odezhda/futbolki/futbolka-uniseks-tuner-yarkosinyaya-04203252/" , "04203252 Футболка унисекс Tuner, ярко-синяя, размер XS")</f>
      </c>
      <c r="C15491" s="4" t="n">
        <v>774.00</v>
      </c>
      <c r="D15491" s="4"/>
    </row>
    <row collapsed="" customFormat="false" customHeight="1" hidden="" ht="14" outlineLevel="0" r="15492">
      <c r="A15492" s="3" t="inlineStr">
        <is>
          <t>15448</t>
        </is>
      </c>
      <c r="B15492" s="4" t="s">
        <f>=HYPERLINK("http://anyluxury.ru/shop/odezhda/futbolki/futbolka-uniseks-tuner-yarkosinyaya-04203252/" , "04203252 Футболка унисекс Tuner, ярко-синяя, размер S")</f>
      </c>
      <c r="C15492" s="4" t="n">
        <v>774.00</v>
      </c>
      <c r="D15492" s="4"/>
    </row>
    <row collapsed="" customFormat="false" customHeight="1" hidden="" ht="14" outlineLevel="0" r="15493">
      <c r="A15493" s="3" t="inlineStr">
        <is>
          <t>15449</t>
        </is>
      </c>
      <c r="B15493" s="4" t="s">
        <f>=HYPERLINK("http://anyluxury.ru/shop/odezhda/futbolki/futbolka-uniseks-tuner-yarkosinyaya-04203252/" , "04203252 Футболка унисекс Tuner, ярко-синяя, размер M")</f>
      </c>
      <c r="C15493" s="4" t="n">
        <v>774.00</v>
      </c>
      <c r="D15493" s="4"/>
    </row>
    <row collapsed="" customFormat="false" customHeight="1" hidden="" ht="14" outlineLevel="0" r="15494">
      <c r="A15494" s="3" t="inlineStr">
        <is>
          <t>15450</t>
        </is>
      </c>
      <c r="B15494" s="4" t="s">
        <f>=HYPERLINK("http://anyluxury.ru/shop/odezhda/futbolki/futbolka-uniseks-tuner-yarkosinyaya-04203252/" , "04203252 Футболка унисекс Tuner, ярко-синяя, размер L")</f>
      </c>
      <c r="C15494" s="4" t="n">
        <v>774.00</v>
      </c>
      <c r="D15494" s="4"/>
    </row>
    <row collapsed="" customFormat="false" customHeight="1" hidden="" ht="14" outlineLevel="0" r="15495">
      <c r="A15495" s="3" t="inlineStr">
        <is>
          <t>15451</t>
        </is>
      </c>
      <c r="B15495" s="4" t="s">
        <f>=HYPERLINK("http://anyluxury.ru/shop/odezhda/futbolki/futbolka-uniseks-tuner-yarkosinyaya-04203252/" , "04203252 Футболка унисекс Tuner, ярко-синяя, размер XL")</f>
      </c>
      <c r="C15495" s="4" t="n">
        <v>774.00</v>
      </c>
      <c r="D15495" s="4"/>
    </row>
    <row collapsed="" customFormat="false" customHeight="1" hidden="" ht="14" outlineLevel="0" r="15496">
      <c r="A15496" s="3" t="inlineStr">
        <is>
          <t>15452</t>
        </is>
      </c>
      <c r="B15496" s="4" t="s">
        <f>=HYPERLINK("http://anyluxury.ru/shop/odezhda/futbolki/futbolka-uniseks-tuner-yarkosinyaya-04203252/" , "04203252 Футболка унисекс Tuner, ярко-синяя, размер XXL")</f>
      </c>
      <c r="C15496" s="4" t="n">
        <v>774.00</v>
      </c>
      <c r="D15496" s="4"/>
    </row>
    <row collapsed="" customFormat="false" customHeight="1" hidden="" ht="14" outlineLevel="0" r="15497">
      <c r="A15497" s="3" t="inlineStr">
        <is>
          <t>15453</t>
        </is>
      </c>
      <c r="B15497" s="4" t="s">
        <f>=HYPERLINK("http://anyluxury.ru/shop/odezhda/futbolki/futbolka-uniseks-tuner-yarkosinyaya-04203252/" , "04203252 Футболка унисекс Tuner, ярко-синяя, размер 3XL")</f>
      </c>
      <c r="C15497" s="4" t="n">
        <v>954.00</v>
      </c>
      <c r="D15497" s="4"/>
    </row>
    <row collapsed="" customFormat="false" customHeight="1" hidden="" ht="14" outlineLevel="0" r="15498">
      <c r="A15498" s="3" t="inlineStr">
        <is>
          <t>15454</t>
        </is>
      </c>
      <c r="B15498" s="4" t="s">
        <f>=HYPERLINK("http://anyluxury.ru/shop/odezhda/futbolki/futbolka-uniseks-tuner-yarkosinyaya-04203252/" , "04203252 Футболка унисекс Tuner, ярко-синяя, размер 4XL")</f>
      </c>
      <c r="C15498" s="4" t="n">
        <v>1355.00</v>
      </c>
      <c r="D15498" s="4"/>
    </row>
    <row collapsed="" customFormat="false" customHeight="1" hidden="" ht="14" outlineLevel="0" r="15499">
      <c r="A15499" s="3" t="inlineStr">
        <is>
          <t>15455</t>
        </is>
      </c>
      <c r="B15499" s="4" t="s">
        <f>=HYPERLINK("http://anyluxury.ru/shop/odezhda/futbolki/futbolka-uniseks-tuner-yarkosinyaya-04203252/" , "04203252 Футболка унисекс Tuner, ярко-синяя, размер 5XL")</f>
      </c>
      <c r="C15499" s="4" t="n">
        <v>1355.00</v>
      </c>
      <c r="D15499" s="4"/>
    </row>
    <row collapsed="" customFormat="false" customHeight="1" hidden="" ht="14" outlineLevel="0" r="15500">
      <c r="A15500" s="3" t="inlineStr">
        <is>
          <t>15456</t>
        </is>
      </c>
      <c r="B15500" s="4" t="s">
        <f>=HYPERLINK("http://anyluxury.ru/shop/odezhda/futbolki/futbolka-uniseks-legend-zelenogolubaya-03981199/" , "03981199 Футболка унисекс Legend, зелено-голубая, размер XS")</f>
      </c>
      <c r="C15500" s="4" t="n">
        <v>994.00</v>
      </c>
      <c r="D15500" s="4"/>
    </row>
    <row collapsed="" customFormat="false" customHeight="1" hidden="" ht="14" outlineLevel="0" r="15501">
      <c r="A15501" s="3" t="inlineStr">
        <is>
          <t>15457</t>
        </is>
      </c>
      <c r="B15501" s="4" t="s">
        <f>=HYPERLINK("http://anyluxury.ru/shop/odezhda/futbolki/futbolka-uniseks-legend-zelenogolubaya-03981199/" , "03981199 Футболка унисекс Legend, зелено-голубая, размер S")</f>
      </c>
      <c r="C15501" s="4" t="n">
        <v>994.00</v>
      </c>
      <c r="D15501" s="4"/>
    </row>
    <row collapsed="" customFormat="false" customHeight="1" hidden="" ht="14" outlineLevel="0" r="15502">
      <c r="A15502" s="3" t="inlineStr">
        <is>
          <t>15458</t>
        </is>
      </c>
      <c r="B15502" s="4" t="s">
        <f>=HYPERLINK("http://anyluxury.ru/shop/odezhda/futbolki/futbolka-uniseks-legend-zelenogolubaya-03981199/" , "03981199 Футболка унисекс Legend, зелено-голубая, размер M")</f>
      </c>
      <c r="C15502" s="4" t="n">
        <v>994.00</v>
      </c>
      <c r="D15502" s="4"/>
    </row>
    <row collapsed="" customFormat="false" customHeight="1" hidden="" ht="14" outlineLevel="0" r="15503">
      <c r="A15503" s="3" t="inlineStr">
        <is>
          <t>15459</t>
        </is>
      </c>
      <c r="B15503" s="4" t="s">
        <f>=HYPERLINK("http://anyluxury.ru/shop/odezhda/futbolki/futbolka-uniseks-legend-zelenogolubaya-03981199/" , "03981199 Футболка унисекс Legend, зелено-голубая, размер L")</f>
      </c>
      <c r="C15503" s="4" t="n">
        <v>994.00</v>
      </c>
      <c r="D15503" s="4"/>
    </row>
    <row collapsed="" customFormat="false" customHeight="1" hidden="" ht="14" outlineLevel="0" r="15504">
      <c r="A15504" s="3" t="inlineStr">
        <is>
          <t>15460</t>
        </is>
      </c>
      <c r="B15504" s="4" t="s">
        <f>=HYPERLINK("http://anyluxury.ru/shop/odezhda/futbolki/futbolka-uniseks-legend-zelenogolubaya-03981199/" , "03981199 Футболка унисекс Legend, зелено-голубая, размер XL")</f>
      </c>
      <c r="C15504" s="4" t="n">
        <v>994.00</v>
      </c>
      <c r="D15504" s="4"/>
    </row>
    <row collapsed="" customFormat="false" customHeight="1" hidden="" ht="14" outlineLevel="0" r="15505">
      <c r="A15505" s="3" t="inlineStr">
        <is>
          <t>15461</t>
        </is>
      </c>
      <c r="B15505" s="4" t="s">
        <f>=HYPERLINK("http://anyluxury.ru/shop/odezhda/futbolki/futbolka-uniseks-legend-zelenogolubaya-03981199/" , "03981199 Футболка унисекс Legend, зелено-голубая, размер XXL")</f>
      </c>
      <c r="C15505" s="4" t="n">
        <v>994.00</v>
      </c>
      <c r="D15505" s="4"/>
    </row>
    <row collapsed="" customFormat="false" customHeight="1" hidden="" ht="14" outlineLevel="0" r="15506">
      <c r="A15506" s="3" t="inlineStr">
        <is>
          <t>15462</t>
        </is>
      </c>
      <c r="B15506" s="4" t="s">
        <f>=HYPERLINK("http://anyluxury.ru/shop/odezhda/futbolki/futbolka-uniseks-legend-zelenogolubaya-03981199/" , "03981199 Футболка унисекс Legend, зелено-голубая, размер 3XL")</f>
      </c>
      <c r="C15506" s="4" t="n">
        <v>1164.00</v>
      </c>
      <c r="D15506" s="4"/>
    </row>
    <row collapsed="" customFormat="false" customHeight="1" hidden="" ht="14" outlineLevel="0" r="15507">
      <c r="A15507" s="3" t="inlineStr">
        <is>
          <t>15463</t>
        </is>
      </c>
      <c r="B15507" s="4" t="s">
        <f>=HYPERLINK("http://anyluxury.ru/shop/odezhda/futbolki/futbolka-uniseks-legend-fioletovaya-slivovaya-03981171/" , "03981171 Футболка унисекс Legend, фиолетовая (сливовая), размер XS")</f>
      </c>
      <c r="C15507" s="4" t="n">
        <v>994.00</v>
      </c>
      <c r="D15507" s="4"/>
    </row>
    <row collapsed="" customFormat="false" customHeight="1" hidden="" ht="14" outlineLevel="0" r="15508">
      <c r="A15508" s="3" t="inlineStr">
        <is>
          <t>15464</t>
        </is>
      </c>
      <c r="B15508" s="4" t="s">
        <f>=HYPERLINK("http://anyluxury.ru/shop/odezhda/futbolki/futbolka-uniseks-legend-fioletovaya-slivovaya-03981171/" , "03981171 Футболка унисекс Legend, фиолетовая (сливовая), размер S")</f>
      </c>
      <c r="C15508" s="4" t="n">
        <v>994.00</v>
      </c>
      <c r="D15508" s="4"/>
    </row>
    <row collapsed="" customFormat="false" customHeight="1" hidden="" ht="14" outlineLevel="0" r="15509">
      <c r="A15509" s="3" t="inlineStr">
        <is>
          <t>15465</t>
        </is>
      </c>
      <c r="B15509" s="4" t="s">
        <f>=HYPERLINK("http://anyluxury.ru/shop/odezhda/futbolki/futbolka-uniseks-legend-fioletovaya-slivovaya-03981171/" , "03981171 Футболка унисекс Legend, фиолетовая (сливовая), размер M")</f>
      </c>
      <c r="C15509" s="4" t="n">
        <v>994.00</v>
      </c>
      <c r="D15509" s="4"/>
    </row>
    <row collapsed="" customFormat="false" customHeight="1" hidden="" ht="14" outlineLevel="0" r="15510">
      <c r="A15510" s="3" t="inlineStr">
        <is>
          <t>15466</t>
        </is>
      </c>
      <c r="B15510" s="4" t="s">
        <f>=HYPERLINK("http://anyluxury.ru/shop/odezhda/futbolki/futbolka-uniseks-legend-fioletovaya-slivovaya-03981171/" , "03981171 Футболка унисекс Legend, фиолетовая (сливовая), размер L")</f>
      </c>
      <c r="C15510" s="4" t="n">
        <v>994.00</v>
      </c>
      <c r="D15510" s="4"/>
    </row>
    <row collapsed="" customFormat="false" customHeight="1" hidden="" ht="14" outlineLevel="0" r="15511">
      <c r="A15511" s="3" t="inlineStr">
        <is>
          <t>15467</t>
        </is>
      </c>
      <c r="B15511" s="4" t="s">
        <f>=HYPERLINK("http://anyluxury.ru/shop/odezhda/futbolki/futbolka-uniseks-legend-fioletovaya-slivovaya-03981171/" , "03981171 Футболка унисекс Legend, фиолетовая (сливовая), размер XL")</f>
      </c>
      <c r="C15511" s="4" t="n">
        <v>994.00</v>
      </c>
      <c r="D15511" s="4"/>
    </row>
    <row collapsed="" customFormat="false" customHeight="1" hidden="" ht="14" outlineLevel="0" r="15512">
      <c r="A15512" s="3" t="inlineStr">
        <is>
          <t>15468</t>
        </is>
      </c>
      <c r="B15512" s="4" t="s">
        <f>=HYPERLINK("http://anyluxury.ru/shop/odezhda/futbolki/futbolka-uniseks-legend-fioletovaya-slivovaya-03981171/" , "03981171 Футболка унисекс Legend, фиолетовая (сливовая), размер XXL")</f>
      </c>
      <c r="C15512" s="4" t="n">
        <v>994.00</v>
      </c>
      <c r="D15512" s="4"/>
    </row>
    <row collapsed="" customFormat="false" customHeight="1" hidden="" ht="14" outlineLevel="0" r="15513">
      <c r="A15513" s="3" t="inlineStr">
        <is>
          <t>15469</t>
        </is>
      </c>
      <c r="B15513" s="4" t="s">
        <f>=HYPERLINK("http://anyluxury.ru/shop/odezhda/futbolki/futbolka-uniseks-legend-fioletovaya-slivovaya-03981171/" , "03981171 Футболка унисекс Legend, фиолетовая (сливовая), размер 3XL")</f>
      </c>
      <c r="C15513" s="4" t="n">
        <v>1164.00</v>
      </c>
      <c r="D15513" s="4"/>
    </row>
    <row collapsed="" customFormat="false" customHeight="1" hidden="" ht="14" outlineLevel="0" r="15514">
      <c r="A15514" s="3" t="inlineStr">
        <is>
          <t>15470</t>
        </is>
      </c>
      <c r="B15514" s="4" t="s">
        <f>=HYPERLINK("http://anyluxury.ru/shop/odezhda/futbolki/futbolka-uniseks-legend-krasnaya-03981161/" , "03981161 Футболка унисекс Legend, красная, размер XS")</f>
      </c>
      <c r="C15514" s="4" t="n">
        <v>994.00</v>
      </c>
      <c r="D15514" s="4"/>
    </row>
    <row collapsed="" customFormat="false" customHeight="1" hidden="" ht="14" outlineLevel="0" r="15515">
      <c r="A15515" s="3" t="inlineStr">
        <is>
          <t>15471</t>
        </is>
      </c>
      <c r="B15515" s="4" t="s">
        <f>=HYPERLINK("http://anyluxury.ru/shop/odezhda/futbolki/futbolka-uniseks-legend-krasnaya-03981161/" , "03981161 Футболка унисекс Legend, красная, размер S")</f>
      </c>
      <c r="C15515" s="4" t="n">
        <v>994.00</v>
      </c>
      <c r="D15515" s="4"/>
    </row>
    <row collapsed="" customFormat="false" customHeight="1" hidden="" ht="14" outlineLevel="0" r="15516">
      <c r="A15516" s="3" t="inlineStr">
        <is>
          <t>15472</t>
        </is>
      </c>
      <c r="B15516" s="4" t="s">
        <f>=HYPERLINK("http://anyluxury.ru/shop/odezhda/futbolki/futbolka-uniseks-legend-krasnaya-03981161/" , "03981161 Футболка унисекс Legend, красная, размер M")</f>
      </c>
      <c r="C15516" s="4" t="n">
        <v>994.00</v>
      </c>
      <c r="D15516" s="4"/>
    </row>
    <row collapsed="" customFormat="false" customHeight="1" hidden="" ht="14" outlineLevel="0" r="15517">
      <c r="A15517" s="3" t="inlineStr">
        <is>
          <t>15473</t>
        </is>
      </c>
      <c r="B15517" s="4" t="s">
        <f>=HYPERLINK("http://anyluxury.ru/shop/odezhda/futbolki/futbolka-uniseks-legend-krasnaya-03981161/" , "03981161 Футболка унисекс Legend, красная, размер L")</f>
      </c>
      <c r="C15517" s="4" t="n">
        <v>994.00</v>
      </c>
      <c r="D15517" s="4"/>
    </row>
    <row collapsed="" customFormat="false" customHeight="1" hidden="" ht="14" outlineLevel="0" r="15518">
      <c r="A15518" s="3" t="inlineStr">
        <is>
          <t>15474</t>
        </is>
      </c>
      <c r="B15518" s="4" t="s">
        <f>=HYPERLINK("http://anyluxury.ru/shop/odezhda/futbolki/futbolka-uniseks-legend-krasnaya-03981161/" , "03981161 Футболка унисекс Legend, красная, размер XL")</f>
      </c>
      <c r="C15518" s="4" t="n">
        <v>994.00</v>
      </c>
      <c r="D15518" s="4"/>
    </row>
    <row collapsed="" customFormat="false" customHeight="1" hidden="" ht="14" outlineLevel="0" r="15519">
      <c r="A15519" s="3" t="inlineStr">
        <is>
          <t>15475</t>
        </is>
      </c>
      <c r="B15519" s="4" t="s">
        <f>=HYPERLINK("http://anyluxury.ru/shop/odezhda/futbolki/futbolka-uniseks-legend-krasnaya-03981161/" , "03981161 Футболка унисекс Legend, красная, размер XXL")</f>
      </c>
      <c r="C15519" s="4" t="n">
        <v>994.00</v>
      </c>
      <c r="D15519" s="4"/>
    </row>
    <row collapsed="" customFormat="false" customHeight="1" hidden="" ht="14" outlineLevel="0" r="15520">
      <c r="A15520" s="3" t="inlineStr">
        <is>
          <t>15476</t>
        </is>
      </c>
      <c r="B15520" s="4" t="s">
        <f>=HYPERLINK("http://anyluxury.ru/shop/odezhda/futbolki/futbolka-uniseks-legend-krasnaya-03981161/" , "03981161 Футболка унисекс Legend, красная, размер 3XL")</f>
      </c>
      <c r="C15520" s="4" t="n">
        <v>1164.00</v>
      </c>
      <c r="D15520" s="4"/>
    </row>
    <row collapsed="" customFormat="false" customHeight="1" hidden="" ht="14" outlineLevel="0" r="15521">
      <c r="A15521" s="3" t="inlineStr">
        <is>
          <t>15477</t>
        </is>
      </c>
      <c r="B15521" s="4" t="s">
        <f>=HYPERLINK("http://anyluxury.ru/shop/odezhda/futbolki/futbolka-uniseks-legend-rozovaya-candy-03981127/" , "03981127 Футболка унисекс Legend, розовая (candy), размер XS")</f>
      </c>
      <c r="C15521" s="4" t="n">
        <v>994.00</v>
      </c>
      <c r="D15521" s="4"/>
    </row>
    <row collapsed="" customFormat="false" customHeight="1" hidden="" ht="14" outlineLevel="0" r="15522">
      <c r="A15522" s="3" t="inlineStr">
        <is>
          <t>15478</t>
        </is>
      </c>
      <c r="B15522" s="4" t="s">
        <f>=HYPERLINK("http://anyluxury.ru/shop/odezhda/futbolki/futbolka-uniseks-legend-rozovaya-candy-03981127/" , "03981127 Футболка унисекс Legend, розовая (candy), размер S")</f>
      </c>
      <c r="C15522" s="4" t="n">
        <v>994.00</v>
      </c>
      <c r="D15522" s="4"/>
    </row>
    <row collapsed="" customFormat="false" customHeight="1" hidden="" ht="14" outlineLevel="0" r="15523">
      <c r="A15523" s="3" t="inlineStr">
        <is>
          <t>15479</t>
        </is>
      </c>
      <c r="B15523" s="4" t="s">
        <f>=HYPERLINK("http://anyluxury.ru/shop/odezhda/futbolki/futbolka-uniseks-legend-rozovaya-candy-03981127/" , "03981127 Футболка унисекс Legend, розовая (candy), размер M")</f>
      </c>
      <c r="C15523" s="4" t="n">
        <v>994.00</v>
      </c>
      <c r="D15523" s="4"/>
    </row>
    <row collapsed="" customFormat="false" customHeight="1" hidden="" ht="14" outlineLevel="0" r="15524">
      <c r="A15524" s="3" t="inlineStr">
        <is>
          <t>15480</t>
        </is>
      </c>
      <c r="B15524" s="4" t="s">
        <f>=HYPERLINK("http://anyluxury.ru/shop/odezhda/futbolki/futbolka-uniseks-legend-rozovaya-candy-03981127/" , "03981127 Футболка унисекс Legend, розовая (candy), размер L")</f>
      </c>
      <c r="C15524" s="4" t="n">
        <v>994.00</v>
      </c>
      <c r="D15524" s="4"/>
    </row>
    <row collapsed="" customFormat="false" customHeight="1" hidden="" ht="14" outlineLevel="0" r="15525">
      <c r="A15525" s="3" t="inlineStr">
        <is>
          <t>15481</t>
        </is>
      </c>
      <c r="B15525" s="4" t="s">
        <f>=HYPERLINK("http://anyluxury.ru/shop/odezhda/futbolki/futbolka-uniseks-legend-rozovaya-candy-03981127/" , "03981127 Футболка унисекс Legend, розовая (candy), размер XL")</f>
      </c>
      <c r="C15525" s="4" t="n">
        <v>994.00</v>
      </c>
      <c r="D15525" s="4"/>
    </row>
    <row collapsed="" customFormat="false" customHeight="1" hidden="" ht="14" outlineLevel="0" r="15526">
      <c r="A15526" s="3" t="inlineStr">
        <is>
          <t>15482</t>
        </is>
      </c>
      <c r="B15526" s="4" t="s">
        <f>=HYPERLINK("http://anyluxury.ru/shop/odezhda/futbolki/futbolka-uniseks-legend-rozovaya-candy-03981127/" , "03981127 Футболка унисекс Legend, розовая (candy), размер XXL")</f>
      </c>
      <c r="C15526" s="4" t="n">
        <v>994.00</v>
      </c>
      <c r="D15526" s="4"/>
    </row>
    <row collapsed="" customFormat="false" customHeight="1" hidden="" ht="14" outlineLevel="0" r="15527">
      <c r="A15527" s="3" t="inlineStr">
        <is>
          <t>15483</t>
        </is>
      </c>
      <c r="B15527" s="4" t="s">
        <f>=HYPERLINK("http://anyluxury.ru/shop/odezhda/futbolki/futbolka-uniseks-legend-rozovaya-candy-03981127/" , "03981127 Футболка унисекс Legend, розовая (candy), размер 3XL")</f>
      </c>
      <c r="C15527" s="4" t="n">
        <v>1164.00</v>
      </c>
      <c r="D15527" s="4"/>
    </row>
    <row collapsed="" customFormat="false" customHeight="1" hidden="" ht="14" outlineLevel="0" r="15528">
      <c r="A15528" s="3" t="inlineStr">
        <is>
          <t>15484</t>
        </is>
      </c>
      <c r="B15528" s="4" t="s">
        <f>=HYPERLINK("http://anyluxury.ru/shop/odezhda/futbolki/futbolka-uniseks-legend-bezhevaya-03981126/" , "03981126 Футболка унисекс Legend, бежевая, размер XS")</f>
      </c>
      <c r="C15528" s="4" t="n">
        <v>994.00</v>
      </c>
      <c r="D15528" s="4"/>
    </row>
    <row collapsed="" customFormat="false" customHeight="1" hidden="" ht="14" outlineLevel="0" r="15529">
      <c r="A15529" s="3" t="inlineStr">
        <is>
          <t>15485</t>
        </is>
      </c>
      <c r="B15529" s="4" t="s">
        <f>=HYPERLINK("http://anyluxury.ru/shop/odezhda/futbolki/futbolka-uniseks-legend-bezhevaya-03981126/" , "03981126 Футболка унисекс Legend, бежевая, размер S")</f>
      </c>
      <c r="C15529" s="4" t="n">
        <v>994.00</v>
      </c>
      <c r="D15529" s="4"/>
    </row>
    <row collapsed="" customFormat="false" customHeight="1" hidden="" ht="14" outlineLevel="0" r="15530">
      <c r="A15530" s="3" t="inlineStr">
        <is>
          <t>15486</t>
        </is>
      </c>
      <c r="B15530" s="4" t="s">
        <f>=HYPERLINK("http://anyluxury.ru/shop/odezhda/futbolki/futbolka-uniseks-legend-bezhevaya-03981126/" , "03981126 Футболка унисекс Legend, бежевая, размер M")</f>
      </c>
      <c r="C15530" s="4" t="n">
        <v>994.00</v>
      </c>
      <c r="D15530" s="4"/>
    </row>
    <row collapsed="" customFormat="false" customHeight="1" hidden="" ht="14" outlineLevel="0" r="15531">
      <c r="A15531" s="3" t="inlineStr">
        <is>
          <t>15487</t>
        </is>
      </c>
      <c r="B15531" s="4" t="s">
        <f>=HYPERLINK("http://anyluxury.ru/shop/odezhda/futbolki/futbolka-uniseks-legend-bezhevaya-03981126/" , "03981126 Футболка унисекс Legend, бежевая, размер L")</f>
      </c>
      <c r="C15531" s="4" t="n">
        <v>994.00</v>
      </c>
      <c r="D15531" s="4"/>
    </row>
    <row collapsed="" customFormat="false" customHeight="1" hidden="" ht="14" outlineLevel="0" r="15532">
      <c r="A15532" s="3" t="inlineStr">
        <is>
          <t>15488</t>
        </is>
      </c>
      <c r="B15532" s="4" t="s">
        <f>=HYPERLINK("http://anyluxury.ru/shop/odezhda/futbolki/futbolka-uniseks-legend-bezhevaya-03981126/" , "03981126 Футболка унисекс Legend, бежевая, размер XL")</f>
      </c>
      <c r="C15532" s="4" t="n">
        <v>994.00</v>
      </c>
      <c r="D15532" s="4"/>
    </row>
    <row collapsed="" customFormat="false" customHeight="1" hidden="" ht="14" outlineLevel="0" r="15533">
      <c r="A15533" s="3" t="inlineStr">
        <is>
          <t>15489</t>
        </is>
      </c>
      <c r="B15533" s="4" t="s">
        <f>=HYPERLINK("http://anyluxury.ru/shop/odezhda/futbolki/futbolka-uniseks-legend-bezhevaya-03981126/" , "03981126 Футболка унисекс Legend, бежевая, размер XXL")</f>
      </c>
      <c r="C15533" s="4" t="n">
        <v>994.00</v>
      </c>
      <c r="D15533" s="4"/>
    </row>
    <row collapsed="" customFormat="false" customHeight="1" hidden="" ht="14" outlineLevel="0" r="15534">
      <c r="A15534" s="3" t="inlineStr">
        <is>
          <t>15490</t>
        </is>
      </c>
      <c r="B15534" s="4" t="s">
        <f>=HYPERLINK("http://anyluxury.ru/shop/odezhda/futbolki/futbolka-uniseks-legend-bezhevaya-03981126/" , "03981126 Футболка унисекс Legend, бежевая, размер 3XL")</f>
      </c>
      <c r="C15534" s="4" t="n">
        <v>1164.00</v>
      </c>
      <c r="D15534" s="4"/>
    </row>
    <row collapsed="" customFormat="false" customHeight="1" hidden="" ht="14" outlineLevel="0" r="15535">
      <c r="A15535" s="3" t="inlineStr">
        <is>
          <t>15491</t>
        </is>
      </c>
      <c r="B15535" s="4" t="s">
        <f>=HYPERLINK("http://anyluxury.ru/shop/odezhda/futbolki/futbolka-uniseks-legend-chernaya-03981309/" , "03981309 Футболка унисекс Legend, черная, размер XXS")</f>
      </c>
      <c r="C15535" s="4" t="n">
        <v>994.00</v>
      </c>
      <c r="D15535" s="4"/>
    </row>
    <row collapsed="" customFormat="false" customHeight="1" hidden="" ht="14" outlineLevel="0" r="15536">
      <c r="A15536" s="3" t="inlineStr">
        <is>
          <t>15492</t>
        </is>
      </c>
      <c r="B15536" s="4" t="s">
        <f>=HYPERLINK("http://anyluxury.ru/shop/odezhda/futbolki/futbolka-uniseks-legend-chernaya-03981309/" , "03981309 Футболка унисекс Legend, черная, размер XS")</f>
      </c>
      <c r="C15536" s="4" t="n">
        <v>994.00</v>
      </c>
      <c r="D15536" s="4"/>
    </row>
    <row collapsed="" customFormat="false" customHeight="1" hidden="" ht="14" outlineLevel="0" r="15537">
      <c r="A15537" s="3" t="inlineStr">
        <is>
          <t>15493</t>
        </is>
      </c>
      <c r="B15537" s="4" t="s">
        <f>=HYPERLINK("http://anyluxury.ru/shop/odezhda/futbolki/futbolka-uniseks-legend-chernaya-03981309/" , "03981309 Футболка унисекс Legend, черная, размер S")</f>
      </c>
      <c r="C15537" s="4" t="n">
        <v>994.00</v>
      </c>
      <c r="D15537" s="4"/>
    </row>
    <row collapsed="" customFormat="false" customHeight="1" hidden="" ht="14" outlineLevel="0" r="15538">
      <c r="A15538" s="3" t="inlineStr">
        <is>
          <t>15494</t>
        </is>
      </c>
      <c r="B15538" s="4" t="s">
        <f>=HYPERLINK("http://anyluxury.ru/shop/odezhda/futbolki/futbolka-uniseks-legend-chernaya-03981309/" , "03981309 Футболка унисекс Legend, черная, размер M")</f>
      </c>
      <c r="C15538" s="4" t="n">
        <v>994.00</v>
      </c>
      <c r="D15538" s="4"/>
    </row>
    <row collapsed="" customFormat="false" customHeight="1" hidden="" ht="14" outlineLevel="0" r="15539">
      <c r="A15539" s="3" t="inlineStr">
        <is>
          <t>15495</t>
        </is>
      </c>
      <c r="B15539" s="4" t="s">
        <f>=HYPERLINK("http://anyluxury.ru/shop/odezhda/futbolki/futbolka-uniseks-legend-chernaya-03981309/" , "03981309 Футболка унисекс Legend, черная, размер L")</f>
      </c>
      <c r="C15539" s="4" t="n">
        <v>994.00</v>
      </c>
      <c r="D15539" s="4"/>
    </row>
    <row collapsed="" customFormat="false" customHeight="1" hidden="" ht="14" outlineLevel="0" r="15540">
      <c r="A15540" s="3" t="inlineStr">
        <is>
          <t>15496</t>
        </is>
      </c>
      <c r="B15540" s="4" t="s">
        <f>=HYPERLINK("http://anyluxury.ru/shop/odezhda/futbolki/futbolka-uniseks-legend-chernaya-03981309/" , "03981309 Футболка унисекс Legend, черная, размер XL")</f>
      </c>
      <c r="C15540" s="4" t="n">
        <v>994.00</v>
      </c>
      <c r="D15540" s="4"/>
    </row>
    <row collapsed="" customFormat="false" customHeight="1" hidden="" ht="14" outlineLevel="0" r="15541">
      <c r="A15541" s="3" t="inlineStr">
        <is>
          <t>15497</t>
        </is>
      </c>
      <c r="B15541" s="4" t="s">
        <f>=HYPERLINK("http://anyluxury.ru/shop/odezhda/futbolki/futbolka-uniseks-legend-chernaya-03981309/" , "03981309 Футболка унисекс Legend, черная, размер XXL")</f>
      </c>
      <c r="C15541" s="4" t="n">
        <v>994.00</v>
      </c>
      <c r="D15541" s="4"/>
    </row>
    <row collapsed="" customFormat="false" customHeight="1" hidden="" ht="14" outlineLevel="0" r="15542">
      <c r="A15542" s="3" t="inlineStr">
        <is>
          <t>15498</t>
        </is>
      </c>
      <c r="B15542" s="4" t="s">
        <f>=HYPERLINK("http://anyluxury.ru/shop/odezhda/futbolki/futbolka-uniseks-legend-chernaya-03981309/" , "03981309 Футболка унисекс Legend, черная, размер 3XL")</f>
      </c>
      <c r="C15542" s="4" t="n">
        <v>1164.00</v>
      </c>
      <c r="D15542" s="4"/>
    </row>
    <row collapsed="" customFormat="false" customHeight="1" hidden="" ht="14" outlineLevel="0" r="15543">
      <c r="A15543" s="3" t="inlineStr">
        <is>
          <t>15499</t>
        </is>
      </c>
      <c r="B15543" s="4" t="s">
        <f>=HYPERLINK("http://anyluxury.ru/shop/odezhda/futbolki/futbolka-uniseks-legend-chernaya-03981309/" , "03981309 Футболка унисекс Legend, черная, размер 4XL")</f>
      </c>
      <c r="C15543" s="4" t="n">
        <v>1393.00</v>
      </c>
      <c r="D15543" s="4"/>
    </row>
    <row collapsed="" customFormat="false" customHeight="1" hidden="" ht="14" outlineLevel="0" r="15544">
      <c r="A15544" s="3" t="inlineStr">
        <is>
          <t>15500</t>
        </is>
      </c>
      <c r="B15544" s="4" t="s">
        <f>=HYPERLINK("http://anyluxury.ru/shop/odezhda/futbolki/futbolka-uniseks-legend-temnosinyaya-03981319/" , "03981319 Футболка унисекс Legend, темно-синяя, размер XXS")</f>
      </c>
      <c r="C15544" s="4" t="n">
        <v>994.00</v>
      </c>
      <c r="D15544" s="4"/>
    </row>
    <row collapsed="" customFormat="false" customHeight="1" hidden="" ht="14" outlineLevel="0" r="15545">
      <c r="A15545" s="3" t="inlineStr">
        <is>
          <t>15501</t>
        </is>
      </c>
      <c r="B15545" s="4" t="s">
        <f>=HYPERLINK("http://anyluxury.ru/shop/odezhda/futbolki/futbolka-uniseks-legend-temnosinyaya-03981319/" , "03981319 Футболка унисекс Legend, темно-синяя, размер XS")</f>
      </c>
      <c r="C15545" s="4" t="n">
        <v>994.00</v>
      </c>
      <c r="D15545" s="4"/>
    </row>
    <row collapsed="" customFormat="false" customHeight="1" hidden="" ht="14" outlineLevel="0" r="15546">
      <c r="A15546" s="3" t="inlineStr">
        <is>
          <t>15502</t>
        </is>
      </c>
      <c r="B15546" s="4" t="s">
        <f>=HYPERLINK("http://anyluxury.ru/shop/odezhda/futbolki/futbolka-uniseks-legend-temnosinyaya-03981319/" , "03981319 Футболка унисекс Legend, темно-синяя, размер S")</f>
      </c>
      <c r="C15546" s="4" t="n">
        <v>994.00</v>
      </c>
      <c r="D15546" s="4"/>
    </row>
    <row collapsed="" customFormat="false" customHeight="1" hidden="" ht="14" outlineLevel="0" r="15547">
      <c r="A15547" s="3" t="inlineStr">
        <is>
          <t>15503</t>
        </is>
      </c>
      <c r="B15547" s="4" t="s">
        <f>=HYPERLINK("http://anyluxury.ru/shop/odezhda/futbolki/futbolka-uniseks-legend-temnosinyaya-03981319/" , "03981319 Футболка унисекс Legend, темно-синяя, размер M")</f>
      </c>
      <c r="C15547" s="4" t="n">
        <v>994.00</v>
      </c>
      <c r="D15547" s="4"/>
    </row>
    <row collapsed="" customFormat="false" customHeight="1" hidden="" ht="14" outlineLevel="0" r="15548">
      <c r="A15548" s="3" t="inlineStr">
        <is>
          <t>15504</t>
        </is>
      </c>
      <c r="B15548" s="4" t="s">
        <f>=HYPERLINK("http://anyluxury.ru/shop/odezhda/futbolki/futbolka-uniseks-legend-temnosinyaya-03981319/" , "03981319 Футболка унисекс Legend, темно-синяя, размер L")</f>
      </c>
      <c r="C15548" s="4" t="n">
        <v>994.00</v>
      </c>
      <c r="D15548" s="4"/>
    </row>
    <row collapsed="" customFormat="false" customHeight="1" hidden="" ht="14" outlineLevel="0" r="15549">
      <c r="A15549" s="3" t="inlineStr">
        <is>
          <t>15505</t>
        </is>
      </c>
      <c r="B15549" s="4" t="s">
        <f>=HYPERLINK("http://anyluxury.ru/shop/odezhda/futbolki/futbolka-uniseks-legend-temnosinyaya-03981319/" , "03981319 Футболка унисекс Legend, темно-синяя, размер XL")</f>
      </c>
      <c r="C15549" s="4" t="n">
        <v>994.00</v>
      </c>
      <c r="D15549" s="4"/>
    </row>
    <row collapsed="" customFormat="false" customHeight="1" hidden="" ht="14" outlineLevel="0" r="15550">
      <c r="A15550" s="3" t="inlineStr">
        <is>
          <t>15506</t>
        </is>
      </c>
      <c r="B15550" s="4" t="s">
        <f>=HYPERLINK("http://anyluxury.ru/shop/odezhda/futbolki/futbolka-uniseks-legend-temnosinyaya-03981319/" , "03981319 Футболка унисекс Legend, темно-синяя, размер XXL")</f>
      </c>
      <c r="C15550" s="4" t="n">
        <v>994.00</v>
      </c>
      <c r="D15550" s="4"/>
    </row>
    <row collapsed="" customFormat="false" customHeight="1" hidden="" ht="14" outlineLevel="0" r="15551">
      <c r="A15551" s="3" t="inlineStr">
        <is>
          <t>15507</t>
        </is>
      </c>
      <c r="B15551" s="4" t="s">
        <f>=HYPERLINK("http://anyluxury.ru/shop/odezhda/futbolki/futbolka-uniseks-legend-temnosinyaya-03981319/" , "03981319 Футболка унисекс Legend, темно-синяя, размер 3XL")</f>
      </c>
      <c r="C15551" s="4" t="n">
        <v>1164.00</v>
      </c>
      <c r="D15551" s="4"/>
    </row>
    <row collapsed="" customFormat="false" customHeight="1" hidden="" ht="14" outlineLevel="0" r="15552">
      <c r="A15552" s="3" t="inlineStr">
        <is>
          <t>15508</t>
        </is>
      </c>
      <c r="B15552" s="4" t="s">
        <f>=HYPERLINK("http://anyluxury.ru/shop/odezhda/futbolki/futbolka-uniseks-legend-temnosinyaya-03981319/" , "03981319 Футболка унисекс Legend, темно-синяя, размер 4XL")</f>
      </c>
      <c r="C15552" s="4" t="n">
        <v>1393.00</v>
      </c>
      <c r="D15552" s="4"/>
    </row>
    <row collapsed="" customFormat="false" customHeight="1" hidden="" ht="14" outlineLevel="0" r="15553">
      <c r="A15553" s="3" t="inlineStr">
        <is>
          <t>15509</t>
        </is>
      </c>
      <c r="B15553" s="4" t="s">
        <f>=HYPERLINK("http://anyluxury.ru/shop/odezhda/futbolki/futbolka-uniseks-legend-temnozelenaya-03981291/" , "03981291 Футболка унисекс Legend, темно-зеленая, размер XS")</f>
      </c>
      <c r="C15553" s="4" t="n">
        <v>994.00</v>
      </c>
      <c r="D15553" s="4"/>
    </row>
    <row collapsed="" customFormat="false" customHeight="1" hidden="" ht="14" outlineLevel="0" r="15554">
      <c r="A15554" s="3" t="inlineStr">
        <is>
          <t>15510</t>
        </is>
      </c>
      <c r="B15554" s="4" t="s">
        <f>=HYPERLINK("http://anyluxury.ru/shop/odezhda/futbolki/futbolka-uniseks-legend-temnozelenaya-03981291/" , "03981291 Футболка унисекс Legend, темно-зеленая, размер S")</f>
      </c>
      <c r="C15554" s="4" t="n">
        <v>994.00</v>
      </c>
      <c r="D15554" s="4"/>
    </row>
    <row collapsed="" customFormat="false" customHeight="1" hidden="" ht="14" outlineLevel="0" r="15555">
      <c r="A15555" s="3" t="inlineStr">
        <is>
          <t>15511</t>
        </is>
      </c>
      <c r="B15555" s="4" t="s">
        <f>=HYPERLINK("http://anyluxury.ru/shop/odezhda/futbolki/futbolka-uniseks-legend-temnozelenaya-03981291/" , "03981291 Футболка унисекс Legend, темно-зеленая, размер M")</f>
      </c>
      <c r="C15555" s="4" t="n">
        <v>994.00</v>
      </c>
      <c r="D15555" s="4"/>
    </row>
    <row collapsed="" customFormat="false" customHeight="1" hidden="" ht="14" outlineLevel="0" r="15556">
      <c r="A15556" s="3" t="inlineStr">
        <is>
          <t>15512</t>
        </is>
      </c>
      <c r="B15556" s="4" t="s">
        <f>=HYPERLINK("http://anyluxury.ru/shop/odezhda/futbolki/futbolka-uniseks-legend-temnozelenaya-03981291/" , "03981291 Футболка унисекс Legend, темно-зеленая, размер L")</f>
      </c>
      <c r="C15556" s="4" t="n">
        <v>994.00</v>
      </c>
      <c r="D15556" s="4"/>
    </row>
    <row collapsed="" customFormat="false" customHeight="1" hidden="" ht="14" outlineLevel="0" r="15557">
      <c r="A15557" s="3" t="inlineStr">
        <is>
          <t>15513</t>
        </is>
      </c>
      <c r="B15557" s="4" t="s">
        <f>=HYPERLINK("http://anyluxury.ru/shop/odezhda/futbolki/futbolka-uniseks-legend-temnozelenaya-03981291/" , "03981291 Футболка унисекс Legend, темно-зеленая, размер XL")</f>
      </c>
      <c r="C15557" s="4" t="n">
        <v>994.00</v>
      </c>
      <c r="D15557" s="4"/>
    </row>
    <row collapsed="" customFormat="false" customHeight="1" hidden="" ht="14" outlineLevel="0" r="15558">
      <c r="A15558" s="3" t="inlineStr">
        <is>
          <t>15514</t>
        </is>
      </c>
      <c r="B15558" s="4" t="s">
        <f>=HYPERLINK("http://anyluxury.ru/shop/odezhda/futbolki/futbolka-uniseks-legend-temnozelenaya-03981291/" , "03981291 Футболка унисекс Legend, темно-зеленая, размер XXL")</f>
      </c>
      <c r="C15558" s="4" t="n">
        <v>994.00</v>
      </c>
      <c r="D15558" s="4"/>
    </row>
    <row collapsed="" customFormat="false" customHeight="1" hidden="" ht="14" outlineLevel="0" r="15559">
      <c r="A15559" s="3" t="inlineStr">
        <is>
          <t>15515</t>
        </is>
      </c>
      <c r="B15559" s="4" t="s">
        <f>=HYPERLINK("http://anyluxury.ru/shop/odezhda/futbolki/futbolka-uniseks-legend-temnozelenaya-03981291/" , "03981291 Футболка унисекс Legend, темно-зеленая, размер 3XL")</f>
      </c>
      <c r="C15559" s="4" t="n">
        <v>1164.00</v>
      </c>
      <c r="D15559" s="4"/>
    </row>
    <row collapsed="" customFormat="false" customHeight="1" hidden="" ht="14" outlineLevel="0" r="15560">
      <c r="A15560" s="3" t="inlineStr">
        <is>
          <t>15516</t>
        </is>
      </c>
      <c r="B15560" s="4" t="s">
        <f>=HYPERLINK("http://anyluxury.ru/shop/odezhda/futbolki/futbolka-uniseks-legend-moroznozelenaya-03981292/" , "03981292 Футболка унисекс Legend, морозно-зеленая, размер XS")</f>
      </c>
      <c r="C15560" s="4" t="n">
        <v>994.00</v>
      </c>
      <c r="D15560" s="4"/>
    </row>
    <row collapsed="" customFormat="false" customHeight="1" hidden="" ht="14" outlineLevel="0" r="15561">
      <c r="A15561" s="3" t="inlineStr">
        <is>
          <t>15517</t>
        </is>
      </c>
      <c r="B15561" s="4" t="s">
        <f>=HYPERLINK("http://anyluxury.ru/shop/odezhda/futbolki/futbolka-uniseks-legend-moroznozelenaya-03981292/" , "03981292 Футболка унисекс Legend, морозно-зеленая, размер S")</f>
      </c>
      <c r="C15561" s="4" t="n">
        <v>994.00</v>
      </c>
      <c r="D15561" s="4"/>
    </row>
    <row collapsed="" customFormat="false" customHeight="1" hidden="" ht="14" outlineLevel="0" r="15562">
      <c r="A15562" s="3" t="inlineStr">
        <is>
          <t>15518</t>
        </is>
      </c>
      <c r="B15562" s="4" t="s">
        <f>=HYPERLINK("http://anyluxury.ru/shop/odezhda/futbolki/futbolka-uniseks-legend-moroznozelenaya-03981292/" , "03981292 Футболка унисекс Legend, морозно-зеленая, размер M")</f>
      </c>
      <c r="C15562" s="4" t="n">
        <v>994.00</v>
      </c>
      <c r="D15562" s="4"/>
    </row>
    <row collapsed="" customFormat="false" customHeight="1" hidden="" ht="14" outlineLevel="0" r="15563">
      <c r="A15563" s="3" t="inlineStr">
        <is>
          <t>15519</t>
        </is>
      </c>
      <c r="B15563" s="4" t="s">
        <f>=HYPERLINK("http://anyluxury.ru/shop/odezhda/futbolki/futbolka-uniseks-legend-moroznozelenaya-03981292/" , "03981292 Футболка унисекс Legend, морозно-зеленая, размер L")</f>
      </c>
      <c r="C15563" s="4" t="n">
        <v>994.00</v>
      </c>
      <c r="D15563" s="4"/>
    </row>
    <row collapsed="" customFormat="false" customHeight="1" hidden="" ht="14" outlineLevel="0" r="15564">
      <c r="A15564" s="3" t="inlineStr">
        <is>
          <t>15520</t>
        </is>
      </c>
      <c r="B15564" s="4" t="s">
        <f>=HYPERLINK("http://anyluxury.ru/shop/odezhda/futbolki/futbolka-uniseks-legend-moroznozelenaya-03981292/" , "03981292 Футболка унисекс Legend, морозно-зеленая, размер XL")</f>
      </c>
      <c r="C15564" s="4" t="n">
        <v>994.00</v>
      </c>
      <c r="D15564" s="4"/>
    </row>
    <row collapsed="" customFormat="false" customHeight="1" hidden="" ht="14" outlineLevel="0" r="15565">
      <c r="A15565" s="3" t="inlineStr">
        <is>
          <t>15521</t>
        </is>
      </c>
      <c r="B15565" s="4" t="s">
        <f>=HYPERLINK("http://anyluxury.ru/shop/odezhda/futbolki/futbolka-uniseks-legend-moroznozelenaya-03981292/" , "03981292 Футболка унисекс Legend, морозно-зеленая, размер XXL")</f>
      </c>
      <c r="C15565" s="4" t="n">
        <v>994.00</v>
      </c>
      <c r="D15565" s="4"/>
    </row>
    <row collapsed="" customFormat="false" customHeight="1" hidden="" ht="14" outlineLevel="0" r="15566">
      <c r="A15566" s="3" t="inlineStr">
        <is>
          <t>15522</t>
        </is>
      </c>
      <c r="B15566" s="4" t="s">
        <f>=HYPERLINK("http://anyluxury.ru/shop/odezhda/futbolki/futbolka-uniseks-legend-moroznozelenaya-03981292/" , "03981292 Футболка унисекс Legend, морозно-зеленая, размер 3XL")</f>
      </c>
      <c r="C15566" s="4" t="n">
        <v>1164.00</v>
      </c>
      <c r="D15566" s="4"/>
    </row>
    <row collapsed="" customFormat="false" customHeight="1" hidden="" ht="14" outlineLevel="0" r="15567">
      <c r="A15567" s="3" t="inlineStr">
        <is>
          <t>15523</t>
        </is>
      </c>
      <c r="B15567" s="4" t="s">
        <f>=HYPERLINK("http://anyluxury.ru/shop/odezhda/futbolki/futbolka-uniseks-legend-seriy-melanzh-03981350/" , "03981350 Футболка унисекс Legend, серый меланж, размер XXS")</f>
      </c>
      <c r="C15567" s="4" t="n">
        <v>994.00</v>
      </c>
      <c r="D15567" s="4"/>
    </row>
    <row collapsed="" customFormat="false" customHeight="1" hidden="" ht="14" outlineLevel="0" r="15568">
      <c r="A15568" s="3" t="inlineStr">
        <is>
          <t>15524</t>
        </is>
      </c>
      <c r="B15568" s="4" t="s">
        <f>=HYPERLINK("http://anyluxury.ru/shop/odezhda/futbolki/futbolka-uniseks-legend-seriy-melanzh-03981350/" , "03981350 Футболка унисекс Legend, серый меланж, размер XS")</f>
      </c>
      <c r="C15568" s="4" t="n">
        <v>994.00</v>
      </c>
      <c r="D15568" s="4"/>
    </row>
    <row collapsed="" customFormat="false" customHeight="1" hidden="" ht="14" outlineLevel="0" r="15569">
      <c r="A15569" s="3" t="inlineStr">
        <is>
          <t>15525</t>
        </is>
      </c>
      <c r="B15569" s="4" t="s">
        <f>=HYPERLINK("http://anyluxury.ru/shop/odezhda/futbolki/futbolka-uniseks-legend-seriy-melanzh-03981350/" , "03981350 Футболка унисекс Legend, серый меланж, размер S")</f>
      </c>
      <c r="C15569" s="4" t="n">
        <v>994.00</v>
      </c>
      <c r="D15569" s="4"/>
    </row>
    <row collapsed="" customFormat="false" customHeight="1" hidden="" ht="14" outlineLevel="0" r="15570">
      <c r="A15570" s="3" t="inlineStr">
        <is>
          <t>15526</t>
        </is>
      </c>
      <c r="B15570" s="4" t="s">
        <f>=HYPERLINK("http://anyluxury.ru/shop/odezhda/futbolki/futbolka-uniseks-legend-seriy-melanzh-03981350/" , "03981350 Футболка унисекс Legend, серый меланж, размер M")</f>
      </c>
      <c r="C15570" s="4" t="n">
        <v>994.00</v>
      </c>
      <c r="D15570" s="4"/>
    </row>
    <row collapsed="" customFormat="false" customHeight="1" hidden="" ht="14" outlineLevel="0" r="15571">
      <c r="A15571" s="3" t="inlineStr">
        <is>
          <t>15527</t>
        </is>
      </c>
      <c r="B15571" s="4" t="s">
        <f>=HYPERLINK("http://anyluxury.ru/shop/odezhda/futbolki/futbolka-uniseks-legend-seriy-melanzh-03981350/" , "03981350 Футболка унисекс Legend, серый меланж, размер L")</f>
      </c>
      <c r="C15571" s="4" t="n">
        <v>994.00</v>
      </c>
      <c r="D15571" s="4"/>
    </row>
    <row collapsed="" customFormat="false" customHeight="1" hidden="" ht="14" outlineLevel="0" r="15572">
      <c r="A15572" s="3" t="inlineStr">
        <is>
          <t>15528</t>
        </is>
      </c>
      <c r="B15572" s="4" t="s">
        <f>=HYPERLINK("http://anyluxury.ru/shop/odezhda/futbolki/futbolka-uniseks-legend-seriy-melanzh-03981350/" , "03981350 Футболка унисекс Legend, серый меланж, размер XL")</f>
      </c>
      <c r="C15572" s="4" t="n">
        <v>994.00</v>
      </c>
      <c r="D15572" s="4"/>
    </row>
    <row collapsed="" customFormat="false" customHeight="1" hidden="" ht="14" outlineLevel="0" r="15573">
      <c r="A15573" s="3" t="inlineStr">
        <is>
          <t>15529</t>
        </is>
      </c>
      <c r="B15573" s="4" t="s">
        <f>=HYPERLINK("http://anyluxury.ru/shop/odezhda/futbolki/futbolka-uniseks-legend-seriy-melanzh-03981350/" , "03981350 Футболка унисекс Legend, серый меланж, размер XXL")</f>
      </c>
      <c r="C15573" s="4" t="n">
        <v>994.00</v>
      </c>
      <c r="D15573" s="4"/>
    </row>
    <row collapsed="" customFormat="false" customHeight="1" hidden="" ht="14" outlineLevel="0" r="15574">
      <c r="A15574" s="3" t="inlineStr">
        <is>
          <t>15530</t>
        </is>
      </c>
      <c r="B15574" s="4" t="s">
        <f>=HYPERLINK("http://anyluxury.ru/shop/odezhda/futbolki/futbolka-uniseks-legend-seriy-melanzh-03981350/" , "03981350 Футболка унисекс Legend, серый меланж, размер 3XL")</f>
      </c>
      <c r="C15574" s="4" t="n">
        <v>1164.00</v>
      </c>
      <c r="D15574" s="4"/>
    </row>
    <row collapsed="" customFormat="false" customHeight="1" hidden="" ht="14" outlineLevel="0" r="15575">
      <c r="A15575" s="3" t="inlineStr">
        <is>
          <t>15531</t>
        </is>
      </c>
      <c r="B15575" s="4" t="s">
        <f>=HYPERLINK("http://anyluxury.ru/shop/odezhda/futbolki/futbolka-uniseks-legend-seriy-melanzh-03981350/" , "03981350 Футболка унисекс Legend, серый меланж, размер 4XL")</f>
      </c>
      <c r="C15575" s="4" t="n">
        <v>1393.00</v>
      </c>
      <c r="D15575" s="4"/>
    </row>
    <row collapsed="" customFormat="false" customHeight="1" hidden="" ht="14" outlineLevel="0" r="15576">
      <c r="A15576" s="3" t="inlineStr">
        <is>
          <t>15532</t>
        </is>
      </c>
      <c r="B15576" s="4" t="s">
        <f>=HYPERLINK("http://anyluxury.ru/shop/odezhda/futbolki/futbolka-uniseks-legend-haki-03981268/" , "03981268 Футболка унисекс Legend, хаки, размер XS")</f>
      </c>
      <c r="C15576" s="4" t="n">
        <v>994.00</v>
      </c>
      <c r="D15576" s="4"/>
    </row>
    <row collapsed="" customFormat="false" customHeight="1" hidden="" ht="14" outlineLevel="0" r="15577">
      <c r="A15577" s="3" t="inlineStr">
        <is>
          <t>15533</t>
        </is>
      </c>
      <c r="B15577" s="4" t="s">
        <f>=HYPERLINK("http://anyluxury.ru/shop/odezhda/futbolki/futbolka-uniseks-legend-haki-03981268/" , "03981268 Футболка унисекс Legend, хаки, размер S")</f>
      </c>
      <c r="C15577" s="4" t="n">
        <v>994.00</v>
      </c>
      <c r="D15577" s="4"/>
    </row>
    <row collapsed="" customFormat="false" customHeight="1" hidden="" ht="14" outlineLevel="0" r="15578">
      <c r="A15578" s="3" t="inlineStr">
        <is>
          <t>15534</t>
        </is>
      </c>
      <c r="B15578" s="4" t="s">
        <f>=HYPERLINK("http://anyluxury.ru/shop/odezhda/futbolki/futbolka-uniseks-legend-haki-03981268/" , "03981268 Футболка унисекс Legend, хаки, размер M")</f>
      </c>
      <c r="C15578" s="4" t="n">
        <v>994.00</v>
      </c>
      <c r="D15578" s="4"/>
    </row>
    <row collapsed="" customFormat="false" customHeight="1" hidden="" ht="14" outlineLevel="0" r="15579">
      <c r="A15579" s="3" t="inlineStr">
        <is>
          <t>15535</t>
        </is>
      </c>
      <c r="B15579" s="4" t="s">
        <f>=HYPERLINK("http://anyluxury.ru/shop/odezhda/futbolki/futbolka-uniseks-legend-haki-03981268/" , "03981268 Футболка унисекс Legend, хаки, размер L")</f>
      </c>
      <c r="C15579" s="4" t="n">
        <v>994.00</v>
      </c>
      <c r="D15579" s="4"/>
    </row>
    <row collapsed="" customFormat="false" customHeight="1" hidden="" ht="14" outlineLevel="0" r="15580">
      <c r="A15580" s="3" t="inlineStr">
        <is>
          <t>15536</t>
        </is>
      </c>
      <c r="B15580" s="4" t="s">
        <f>=HYPERLINK("http://anyluxury.ru/shop/odezhda/futbolki/futbolka-uniseks-legend-haki-03981268/" , "03981268 Футболка унисекс Legend, хаки, размер XL")</f>
      </c>
      <c r="C15580" s="4" t="n">
        <v>994.00</v>
      </c>
      <c r="D15580" s="4"/>
    </row>
    <row collapsed="" customFormat="false" customHeight="1" hidden="" ht="14" outlineLevel="0" r="15581">
      <c r="A15581" s="3" t="inlineStr">
        <is>
          <t>15537</t>
        </is>
      </c>
      <c r="B15581" s="4" t="s">
        <f>=HYPERLINK("http://anyluxury.ru/shop/odezhda/futbolki/futbolka-uniseks-legend-haki-03981268/" , "03981268 Футболка унисекс Legend, хаки, размер XXL")</f>
      </c>
      <c r="C15581" s="4" t="n">
        <v>994.00</v>
      </c>
      <c r="D15581" s="4"/>
    </row>
    <row collapsed="" customFormat="false" customHeight="1" hidden="" ht="14" outlineLevel="0" r="15582">
      <c r="A15582" s="3" t="inlineStr">
        <is>
          <t>15538</t>
        </is>
      </c>
      <c r="B15582" s="4" t="s">
        <f>=HYPERLINK("http://anyluxury.ru/shop/odezhda/futbolki/futbolka-uniseks-legend-haki-03981268/" , "03981268 Футболка унисекс Legend, хаки, размер 3XL")</f>
      </c>
      <c r="C15582" s="4" t="n">
        <v>1164.00</v>
      </c>
      <c r="D15582" s="4"/>
    </row>
    <row collapsed="" customFormat="false" customHeight="1" hidden="" ht="14" outlineLevel="0" r="15583">
      <c r="A15583" s="3" t="inlineStr">
        <is>
          <t>15539</t>
        </is>
      </c>
      <c r="B15583" s="4" t="s">
        <f>=HYPERLINK("http://anyluxury.ru/shop/odezhda/futbolki/futbolka-uniseks-legend-svetlozheltaya-03981260/" , "03981260 Футболка унисекс Legend, светло-желтая, размер XS")</f>
      </c>
      <c r="C15583" s="4" t="n">
        <v>994.00</v>
      </c>
      <c r="D15583" s="4"/>
    </row>
    <row collapsed="" customFormat="false" customHeight="1" hidden="" ht="14" outlineLevel="0" r="15584">
      <c r="A15584" s="3" t="inlineStr">
        <is>
          <t>15540</t>
        </is>
      </c>
      <c r="B15584" s="4" t="s">
        <f>=HYPERLINK("http://anyluxury.ru/shop/odezhda/futbolki/futbolka-uniseks-legend-svetlozheltaya-03981260/" , "03981260 Футболка унисекс Legend, светло-желтая, размер S")</f>
      </c>
      <c r="C15584" s="4" t="n">
        <v>994.00</v>
      </c>
      <c r="D15584" s="4"/>
    </row>
    <row collapsed="" customFormat="false" customHeight="1" hidden="" ht="14" outlineLevel="0" r="15585">
      <c r="A15585" s="3" t="inlineStr">
        <is>
          <t>15541</t>
        </is>
      </c>
      <c r="B15585" s="4" t="s">
        <f>=HYPERLINK("http://anyluxury.ru/shop/odezhda/futbolki/futbolka-uniseks-legend-svetlozheltaya-03981260/" , "03981260 Футболка унисекс Legend, светло-желтая, размер M")</f>
      </c>
      <c r="C15585" s="4" t="n">
        <v>994.00</v>
      </c>
      <c r="D15585" s="4"/>
    </row>
    <row collapsed="" customFormat="false" customHeight="1" hidden="" ht="14" outlineLevel="0" r="15586">
      <c r="A15586" s="3" t="inlineStr">
        <is>
          <t>15542</t>
        </is>
      </c>
      <c r="B15586" s="4" t="s">
        <f>=HYPERLINK("http://anyluxury.ru/shop/odezhda/futbolki/futbolka-uniseks-legend-svetlozheltaya-03981260/" , "03981260 Футболка унисекс Legend, светло-желтая, размер L")</f>
      </c>
      <c r="C15586" s="4" t="n">
        <v>994.00</v>
      </c>
      <c r="D15586" s="4"/>
    </row>
    <row collapsed="" customFormat="false" customHeight="1" hidden="" ht="14" outlineLevel="0" r="15587">
      <c r="A15587" s="3" t="inlineStr">
        <is>
          <t>15543</t>
        </is>
      </c>
      <c r="B15587" s="4" t="s">
        <f>=HYPERLINK("http://anyluxury.ru/shop/odezhda/futbolki/futbolka-uniseks-legend-svetlozheltaya-03981260/" , "03981260 Футболка унисекс Legend, светло-желтая, размер XL")</f>
      </c>
      <c r="C15587" s="4" t="n">
        <v>994.00</v>
      </c>
      <c r="D15587" s="4"/>
    </row>
    <row collapsed="" customFormat="false" customHeight="1" hidden="" ht="14" outlineLevel="0" r="15588">
      <c r="A15588" s="3" t="inlineStr">
        <is>
          <t>15544</t>
        </is>
      </c>
      <c r="B15588" s="4" t="s">
        <f>=HYPERLINK("http://anyluxury.ru/shop/odezhda/futbolki/futbolka-uniseks-legend-svetlozheltaya-03981260/" , "03981260 Футболка унисекс Legend, светло-желтая, размер XXL")</f>
      </c>
      <c r="C15588" s="4" t="n">
        <v>994.00</v>
      </c>
      <c r="D15588" s="4"/>
    </row>
    <row collapsed="" customFormat="false" customHeight="1" hidden="" ht="14" outlineLevel="0" r="15589">
      <c r="A15589" s="3" t="inlineStr">
        <is>
          <t>15545</t>
        </is>
      </c>
      <c r="B15589" s="4" t="s">
        <f>=HYPERLINK("http://anyluxury.ru/shop/odezhda/futbolki/futbolka-uniseks-legend-svetlozheltaya-03981260/" , "03981260 Футболка унисекс Legend, светло-желтая, размер 3XL")</f>
      </c>
      <c r="C15589" s="4" t="n">
        <v>1164.00</v>
      </c>
      <c r="D15589" s="4"/>
    </row>
    <row collapsed="" customFormat="false" customHeight="1" hidden="" ht="14" outlineLevel="0" r="15590">
      <c r="A15590" s="3" t="inlineStr">
        <is>
          <t>15546</t>
        </is>
      </c>
      <c r="B15590" s="4" t="s">
        <f>=HYPERLINK("http://anyluxury.ru/shop/odezhda/futbolki/futbolka-uniseks-legend-sirenevaya-03981701/" , "03981701 Футболка унисекс Legend, сиреневая, размер XS")</f>
      </c>
      <c r="C15590" s="4" t="n">
        <v>994.00</v>
      </c>
      <c r="D15590" s="4"/>
    </row>
    <row collapsed="" customFormat="false" customHeight="1" hidden="" ht="14" outlineLevel="0" r="15591">
      <c r="A15591" s="3" t="inlineStr">
        <is>
          <t>15547</t>
        </is>
      </c>
      <c r="B15591" s="4" t="s">
        <f>=HYPERLINK("http://anyluxury.ru/shop/odezhda/futbolki/futbolka-uniseks-legend-sirenevaya-03981701/" , "03981701 Футболка унисекс Legend, сиреневая, размер S")</f>
      </c>
      <c r="C15591" s="4" t="n">
        <v>994.00</v>
      </c>
      <c r="D15591" s="4"/>
    </row>
    <row collapsed="" customFormat="false" customHeight="1" hidden="" ht="14" outlineLevel="0" r="15592">
      <c r="A15592" s="3" t="inlineStr">
        <is>
          <t>15548</t>
        </is>
      </c>
      <c r="B15592" s="4" t="s">
        <f>=HYPERLINK("http://anyluxury.ru/shop/odezhda/futbolki/futbolka-uniseks-legend-sirenevaya-03981701/" , "03981701 Футболка унисекс Legend, сиреневая, размер M")</f>
      </c>
      <c r="C15592" s="4" t="n">
        <v>994.00</v>
      </c>
      <c r="D15592" s="4"/>
    </row>
    <row collapsed="" customFormat="false" customHeight="1" hidden="" ht="14" outlineLevel="0" r="15593">
      <c r="A15593" s="3" t="inlineStr">
        <is>
          <t>15549</t>
        </is>
      </c>
      <c r="B15593" s="4" t="s">
        <f>=HYPERLINK("http://anyluxury.ru/shop/odezhda/futbolki/futbolka-uniseks-legend-sirenevaya-03981701/" , "03981701 Футболка унисекс Legend, сиреневая, размер L")</f>
      </c>
      <c r="C15593" s="4" t="n">
        <v>994.00</v>
      </c>
      <c r="D15593" s="4"/>
    </row>
    <row collapsed="" customFormat="false" customHeight="1" hidden="" ht="14" outlineLevel="0" r="15594">
      <c r="A15594" s="3" t="inlineStr">
        <is>
          <t>15550</t>
        </is>
      </c>
      <c r="B15594" s="4" t="s">
        <f>=HYPERLINK("http://anyluxury.ru/shop/odezhda/futbolki/futbolka-uniseks-legend-sirenevaya-03981701/" , "03981701 Футболка унисекс Legend, сиреневая, размер XL")</f>
      </c>
      <c r="C15594" s="4" t="n">
        <v>994.00</v>
      </c>
      <c r="D15594" s="4"/>
    </row>
    <row collapsed="" customFormat="false" customHeight="1" hidden="" ht="14" outlineLevel="0" r="15595">
      <c r="A15595" s="3" t="inlineStr">
        <is>
          <t>15551</t>
        </is>
      </c>
      <c r="B15595" s="4" t="s">
        <f>=HYPERLINK("http://anyluxury.ru/shop/odezhda/futbolki/futbolka-uniseks-legend-sirenevaya-03981701/" , "03981701 Футболка унисекс Legend, сиреневая, размер XXL")</f>
      </c>
      <c r="C15595" s="4" t="n">
        <v>994.00</v>
      </c>
      <c r="D15595" s="4"/>
    </row>
    <row collapsed="" customFormat="false" customHeight="1" hidden="" ht="14" outlineLevel="0" r="15596">
      <c r="A15596" s="3" t="inlineStr">
        <is>
          <t>15552</t>
        </is>
      </c>
      <c r="B15596" s="4" t="s">
        <f>=HYPERLINK("http://anyluxury.ru/shop/odezhda/futbolki/futbolka-uniseks-legend-sirenevaya-03981701/" , "03981701 Футболка унисекс Legend, сиреневая, размер 3XL")</f>
      </c>
      <c r="C15596" s="4" t="n">
        <v>1164.00</v>
      </c>
      <c r="D15596" s="4"/>
    </row>
    <row collapsed="" customFormat="false" customHeight="1" hidden="" ht="14" outlineLevel="0" r="15597">
      <c r="A15597" s="3" t="inlineStr">
        <is>
          <t>15553</t>
        </is>
      </c>
      <c r="B15597" s="4" t="s">
        <f>=HYPERLINK("http://anyluxury.ru/shop/odezhda/futbolki/futbolka-uniseks-legend-molochnobelaya-03981104/" , "03981104 Футболка унисекс Legend, молочно-белая, размер XS")</f>
      </c>
      <c r="C15597" s="4" t="n">
        <v>994.00</v>
      </c>
      <c r="D15597" s="4"/>
    </row>
    <row collapsed="" customFormat="false" customHeight="1" hidden="" ht="14" outlineLevel="0" r="15598">
      <c r="A15598" s="3" t="inlineStr">
        <is>
          <t>15554</t>
        </is>
      </c>
      <c r="B15598" s="4" t="s">
        <f>=HYPERLINK("http://anyluxury.ru/shop/odezhda/futbolki/futbolka-uniseks-legend-molochnobelaya-03981104/" , "03981104 Футболка унисекс Legend, молочно-белая, размер S")</f>
      </c>
      <c r="C15598" s="4" t="n">
        <v>994.00</v>
      </c>
      <c r="D15598" s="4"/>
    </row>
    <row collapsed="" customFormat="false" customHeight="1" hidden="" ht="14" outlineLevel="0" r="15599">
      <c r="A15599" s="3" t="inlineStr">
        <is>
          <t>15555</t>
        </is>
      </c>
      <c r="B15599" s="4" t="s">
        <f>=HYPERLINK("http://anyluxury.ru/shop/odezhda/futbolki/futbolka-uniseks-legend-molochnobelaya-03981104/" , "03981104 Футболка унисекс Legend, молочно-белая, размер M")</f>
      </c>
      <c r="C15599" s="4" t="n">
        <v>994.00</v>
      </c>
      <c r="D15599" s="4"/>
    </row>
    <row collapsed="" customFormat="false" customHeight="1" hidden="" ht="14" outlineLevel="0" r="15600">
      <c r="A15600" s="3" t="inlineStr">
        <is>
          <t>15556</t>
        </is>
      </c>
      <c r="B15600" s="4" t="s">
        <f>=HYPERLINK("http://anyluxury.ru/shop/odezhda/futbolki/futbolka-uniseks-legend-molochnobelaya-03981104/" , "03981104 Футболка унисекс Legend, молочно-белая, размер L")</f>
      </c>
      <c r="C15600" s="4" t="n">
        <v>994.00</v>
      </c>
      <c r="D15600" s="4"/>
    </row>
    <row collapsed="" customFormat="false" customHeight="1" hidden="" ht="14" outlineLevel="0" r="15601">
      <c r="A15601" s="3" t="inlineStr">
        <is>
          <t>15557</t>
        </is>
      </c>
      <c r="B15601" s="4" t="s">
        <f>=HYPERLINK("http://anyluxury.ru/shop/odezhda/futbolki/futbolka-uniseks-legend-molochnobelaya-03981104/" , "03981104 Футболка унисекс Legend, молочно-белая, размер XL")</f>
      </c>
      <c r="C15601" s="4" t="n">
        <v>994.00</v>
      </c>
      <c r="D15601" s="4"/>
    </row>
    <row collapsed="" customFormat="false" customHeight="1" hidden="" ht="14" outlineLevel="0" r="15602">
      <c r="A15602" s="3" t="inlineStr">
        <is>
          <t>15558</t>
        </is>
      </c>
      <c r="B15602" s="4" t="s">
        <f>=HYPERLINK("http://anyluxury.ru/shop/odezhda/futbolki/futbolka-uniseks-legend-molochnobelaya-03981104/" , "03981104 Футболка унисекс Legend, молочно-белая, размер XXL")</f>
      </c>
      <c r="C15602" s="4" t="n">
        <v>994.00</v>
      </c>
      <c r="D15602" s="4"/>
    </row>
    <row collapsed="" customFormat="false" customHeight="1" hidden="" ht="14" outlineLevel="0" r="15603">
      <c r="A15603" s="3" t="inlineStr">
        <is>
          <t>15559</t>
        </is>
      </c>
      <c r="B15603" s="4" t="s">
        <f>=HYPERLINK("http://anyluxury.ru/shop/odezhda/futbolki/futbolka-uniseks-legend-molochnobelaya-03981104/" , "03981104 Футболка унисекс Legend, молочно-белая, размер 3XL")</f>
      </c>
      <c r="C15603" s="4" t="n">
        <v>1164.00</v>
      </c>
      <c r="D15603" s="4"/>
    </row>
    <row collapsed="" customFormat="false" customHeight="1" hidden="" ht="14" outlineLevel="0" r="15604">
      <c r="A15604" s="3" t="inlineStr">
        <is>
          <t>15560</t>
        </is>
      </c>
      <c r="B15604" s="4" t="s">
        <f>=HYPERLINK("http://anyluxury.ru/shop/odezhda/futbolki/futbolka-uniseks-legend-oranzhevaya-persikovaya-03981409/" , "03981409 Футболка унисекс Legend, оранжевая (персиковая), размер XS")</f>
      </c>
      <c r="C15604" s="4" t="n">
        <v>994.00</v>
      </c>
      <c r="D15604" s="4"/>
    </row>
    <row collapsed="" customFormat="false" customHeight="1" hidden="" ht="14" outlineLevel="0" r="15605">
      <c r="A15605" s="3" t="inlineStr">
        <is>
          <t>15561</t>
        </is>
      </c>
      <c r="B15605" s="4" t="s">
        <f>=HYPERLINK("http://anyluxury.ru/shop/odezhda/futbolki/futbolka-uniseks-legend-oranzhevaya-persikovaya-03981409/" , "03981409 Футболка унисекс Legend, оранжевая (персиковая), размер S")</f>
      </c>
      <c r="C15605" s="4" t="n">
        <v>994.00</v>
      </c>
      <c r="D15605" s="4"/>
    </row>
    <row collapsed="" customFormat="false" customHeight="1" hidden="" ht="14" outlineLevel="0" r="15606">
      <c r="A15606" s="3" t="inlineStr">
        <is>
          <t>15562</t>
        </is>
      </c>
      <c r="B15606" s="4" t="s">
        <f>=HYPERLINK("http://anyluxury.ru/shop/odezhda/futbolki/futbolka-uniseks-legend-oranzhevaya-persikovaya-03981409/" , "03981409 Футболка унисекс Legend, оранжевая (персиковая), размер M")</f>
      </c>
      <c r="C15606" s="4" t="n">
        <v>994.00</v>
      </c>
      <c r="D15606" s="4"/>
    </row>
    <row collapsed="" customFormat="false" customHeight="1" hidden="" ht="14" outlineLevel="0" r="15607">
      <c r="A15607" s="3" t="inlineStr">
        <is>
          <t>15563</t>
        </is>
      </c>
      <c r="B15607" s="4" t="s">
        <f>=HYPERLINK("http://anyluxury.ru/shop/odezhda/futbolki/futbolka-uniseks-legend-oranzhevaya-persikovaya-03981409/" , "03981409 Футболка унисекс Legend, оранжевая (персиковая), размер L")</f>
      </c>
      <c r="C15607" s="4" t="n">
        <v>994.00</v>
      </c>
      <c r="D15607" s="4"/>
    </row>
    <row collapsed="" customFormat="false" customHeight="1" hidden="" ht="14" outlineLevel="0" r="15608">
      <c r="A15608" s="3" t="inlineStr">
        <is>
          <t>15564</t>
        </is>
      </c>
      <c r="B15608" s="4" t="s">
        <f>=HYPERLINK("http://anyluxury.ru/shop/odezhda/futbolki/futbolka-uniseks-legend-oranzhevaya-persikovaya-03981409/" , "03981409 Футболка унисекс Legend, оранжевая (персиковая), размер XL")</f>
      </c>
      <c r="C15608" s="4" t="n">
        <v>994.00</v>
      </c>
      <c r="D15608" s="4"/>
    </row>
    <row collapsed="" customFormat="false" customHeight="1" hidden="" ht="14" outlineLevel="0" r="15609">
      <c r="A15609" s="3" t="inlineStr">
        <is>
          <t>15565</t>
        </is>
      </c>
      <c r="B15609" s="4" t="s">
        <f>=HYPERLINK("http://anyluxury.ru/shop/odezhda/futbolki/futbolka-uniseks-legend-oranzhevaya-persikovaya-03981409/" , "03981409 Футболка унисекс Legend, оранжевая (персиковая), размер XXL")</f>
      </c>
      <c r="C15609" s="4" t="n">
        <v>994.00</v>
      </c>
      <c r="D15609" s="4"/>
    </row>
    <row collapsed="" customFormat="false" customHeight="1" hidden="" ht="14" outlineLevel="0" r="15610">
      <c r="A15610" s="3" t="inlineStr">
        <is>
          <t>15566</t>
        </is>
      </c>
      <c r="B15610" s="4" t="s">
        <f>=HYPERLINK("http://anyluxury.ru/shop/odezhda/futbolki/futbolka-uniseks-legend-oranzhevaya-persikovaya-03981409/" , "03981409 Футболка унисекс Legend, оранжевая (персиковая), размер 3XL")</f>
      </c>
      <c r="C15610" s="4" t="n">
        <v>1164.00</v>
      </c>
      <c r="D15610" s="4"/>
    </row>
    <row collapsed="" customFormat="false" customHeight="1" hidden="" ht="14" outlineLevel="0" r="15611">
      <c r="A15611" s="3" t="inlineStr">
        <is>
          <t>15567</t>
        </is>
      </c>
      <c r="B15611" s="4" t="s">
        <f>=HYPERLINK("http://anyluxury.ru/shop/odezhda/futbolki/futbolka-uniseks-legend-golubaya-morskaya-volna-03981295/" , "03981295 Футболка унисекс Legend, голубая (морская волна), размер XS")</f>
      </c>
      <c r="C15611" s="4" t="n">
        <v>994.00</v>
      </c>
      <c r="D15611" s="4"/>
    </row>
    <row collapsed="" customFormat="false" customHeight="1" hidden="" ht="14" outlineLevel="0" r="15612">
      <c r="A15612" s="3" t="inlineStr">
        <is>
          <t>15568</t>
        </is>
      </c>
      <c r="B15612" s="4" t="s">
        <f>=HYPERLINK("http://anyluxury.ru/shop/odezhda/futbolki/futbolka-uniseks-legend-golubaya-morskaya-volna-03981295/" , "03981295 Футболка унисекс Legend, голубая (морская волна), размер S")</f>
      </c>
      <c r="C15612" s="4" t="n">
        <v>994.00</v>
      </c>
      <c r="D15612" s="4"/>
    </row>
    <row collapsed="" customFormat="false" customHeight="1" hidden="" ht="14" outlineLevel="0" r="15613">
      <c r="A15613" s="3" t="inlineStr">
        <is>
          <t>15569</t>
        </is>
      </c>
      <c r="B15613" s="4" t="s">
        <f>=HYPERLINK("http://anyluxury.ru/shop/odezhda/futbolki/futbolka-uniseks-legend-golubaya-morskaya-volna-03981295/" , "03981295 Футболка унисекс Legend, голубая (морская волна), размер M")</f>
      </c>
      <c r="C15613" s="4" t="n">
        <v>994.00</v>
      </c>
      <c r="D15613" s="4"/>
    </row>
    <row collapsed="" customFormat="false" customHeight="1" hidden="" ht="14" outlineLevel="0" r="15614">
      <c r="A15614" s="3" t="inlineStr">
        <is>
          <t>15570</t>
        </is>
      </c>
      <c r="B15614" s="4" t="s">
        <f>=HYPERLINK("http://anyluxury.ru/shop/odezhda/futbolki/futbolka-uniseks-legend-golubaya-morskaya-volna-03981295/" , "03981295 Футболка унисекс Legend, голубая (морская волна), размер L")</f>
      </c>
      <c r="C15614" s="4" t="n">
        <v>994.00</v>
      </c>
      <c r="D15614" s="4"/>
    </row>
    <row collapsed="" customFormat="false" customHeight="1" hidden="" ht="14" outlineLevel="0" r="15615">
      <c r="A15615" s="3" t="inlineStr">
        <is>
          <t>15571</t>
        </is>
      </c>
      <c r="B15615" s="4" t="s">
        <f>=HYPERLINK("http://anyluxury.ru/shop/odezhda/futbolki/futbolka-uniseks-legend-golubaya-morskaya-volna-03981295/" , "03981295 Футболка унисекс Legend, голубая (морская волна), размер XL")</f>
      </c>
      <c r="C15615" s="4" t="n">
        <v>994.00</v>
      </c>
      <c r="D15615" s="4"/>
    </row>
    <row collapsed="" customFormat="false" customHeight="1" hidden="" ht="14" outlineLevel="0" r="15616">
      <c r="A15616" s="3" t="inlineStr">
        <is>
          <t>15572</t>
        </is>
      </c>
      <c r="B15616" s="4" t="s">
        <f>=HYPERLINK("http://anyluxury.ru/shop/odezhda/futbolki/futbolka-uniseks-legend-golubaya-morskaya-volna-03981295/" , "03981295 Футболка унисекс Legend, голубая (морская волна), размер XXL")</f>
      </c>
      <c r="C15616" s="4" t="n">
        <v>994.00</v>
      </c>
      <c r="D15616" s="4"/>
    </row>
    <row collapsed="" customFormat="false" customHeight="1" hidden="" ht="14" outlineLevel="0" r="15617">
      <c r="A15617" s="3" t="inlineStr">
        <is>
          <t>15573</t>
        </is>
      </c>
      <c r="B15617" s="4" t="s">
        <f>=HYPERLINK("http://anyluxury.ru/shop/odezhda/futbolki/futbolka-uniseks-legend-golubaya-morskaya-volna-03981295/" , "03981295 Футболка унисекс Legend, голубая (морская волна), размер 3XL")</f>
      </c>
      <c r="C15617" s="4" t="n">
        <v>1164.00</v>
      </c>
      <c r="D15617" s="4"/>
    </row>
    <row collapsed="" customFormat="false" customHeight="1" hidden="" ht="14" outlineLevel="0" r="15618">
      <c r="A15618" s="3" t="inlineStr">
        <is>
          <t>15574</t>
        </is>
      </c>
      <c r="B15618" s="4" t="s">
        <f>=HYPERLINK("http://anyluxury.ru/shop/odezhda/futbolki/futbolka-uniseks-legend-oranzhevaya-korallovaya-03981411/" , "03981411 Футболка унисекс Legend, оранжевая (коралловая), размер XS")</f>
      </c>
      <c r="C15618" s="4" t="n">
        <v>994.00</v>
      </c>
      <c r="D15618" s="4"/>
    </row>
    <row collapsed="" customFormat="false" customHeight="1" hidden="" ht="14" outlineLevel="0" r="15619">
      <c r="A15619" s="3" t="inlineStr">
        <is>
          <t>15575</t>
        </is>
      </c>
      <c r="B15619" s="4" t="s">
        <f>=HYPERLINK("http://anyluxury.ru/shop/odezhda/futbolki/futbolka-uniseks-legend-oranzhevaya-korallovaya-03981411/" , "03981411 Футболка унисекс Legend, оранжевая (коралловая), размер S")</f>
      </c>
      <c r="C15619" s="4" t="n">
        <v>994.00</v>
      </c>
      <c r="D15619" s="4"/>
    </row>
    <row collapsed="" customFormat="false" customHeight="1" hidden="" ht="14" outlineLevel="0" r="15620">
      <c r="A15620" s="3" t="inlineStr">
        <is>
          <t>15576</t>
        </is>
      </c>
      <c r="B15620" s="4" t="s">
        <f>=HYPERLINK("http://anyluxury.ru/shop/odezhda/futbolki/futbolka-uniseks-legend-oranzhevaya-korallovaya-03981411/" , "03981411 Футболка унисекс Legend, оранжевая (коралловая), размер M")</f>
      </c>
      <c r="C15620" s="4" t="n">
        <v>994.00</v>
      </c>
      <c r="D15620" s="4"/>
    </row>
    <row collapsed="" customFormat="false" customHeight="1" hidden="" ht="14" outlineLevel="0" r="15621">
      <c r="A15621" s="3" t="inlineStr">
        <is>
          <t>15577</t>
        </is>
      </c>
      <c r="B15621" s="4" t="s">
        <f>=HYPERLINK("http://anyluxury.ru/shop/odezhda/futbolki/futbolka-uniseks-legend-oranzhevaya-korallovaya-03981411/" , "03981411 Футболка унисекс Legend, оранжевая (коралловая), размер L")</f>
      </c>
      <c r="C15621" s="4" t="n">
        <v>994.00</v>
      </c>
      <c r="D15621" s="4"/>
    </row>
    <row collapsed="" customFormat="false" customHeight="1" hidden="" ht="14" outlineLevel="0" r="15622">
      <c r="A15622" s="3" t="inlineStr">
        <is>
          <t>15578</t>
        </is>
      </c>
      <c r="B15622" s="4" t="s">
        <f>=HYPERLINK("http://anyluxury.ru/shop/odezhda/futbolki/futbolka-uniseks-legend-oranzhevaya-korallovaya-03981411/" , "03981411 Футболка унисекс Legend, оранжевая (коралловая), размер XL")</f>
      </c>
      <c r="C15622" s="4" t="n">
        <v>994.00</v>
      </c>
      <c r="D15622" s="4"/>
    </row>
    <row collapsed="" customFormat="false" customHeight="1" hidden="" ht="14" outlineLevel="0" r="15623">
      <c r="A15623" s="3" t="inlineStr">
        <is>
          <t>15579</t>
        </is>
      </c>
      <c r="B15623" s="4" t="s">
        <f>=HYPERLINK("http://anyluxury.ru/shop/odezhda/futbolki/futbolka-uniseks-legend-oranzhevaya-korallovaya-03981411/" , "03981411 Футболка унисекс Legend, оранжевая (коралловая), размер XXL")</f>
      </c>
      <c r="C15623" s="4" t="n">
        <v>994.00</v>
      </c>
      <c r="D15623" s="4"/>
    </row>
    <row collapsed="" customFormat="false" customHeight="1" hidden="" ht="14" outlineLevel="0" r="15624">
      <c r="A15624" s="3" t="inlineStr">
        <is>
          <t>15580</t>
        </is>
      </c>
      <c r="B15624" s="4" t="s">
        <f>=HYPERLINK("http://anyluxury.ru/shop/odezhda/futbolki/futbolka-uniseks-legend-oranzhevaya-korallovaya-03981411/" , "03981411 Футболка унисекс Legend, оранжевая (коралловая), размер 3XL")</f>
      </c>
      <c r="C15624" s="4" t="n">
        <v>1164.00</v>
      </c>
      <c r="D15624" s="4"/>
    </row>
    <row collapsed="" customFormat="false" customHeight="1" hidden="" ht="14" outlineLevel="0" r="15625">
      <c r="A15625" s="3" t="inlineStr">
        <is>
          <t>15581</t>
        </is>
      </c>
      <c r="B15625" s="4" t="s">
        <f>=HYPERLINK("http://anyluxury.ru/shop/odezhda/futbolki/futbolka-uniseks-legend-serobezhevaya-03981123/" , "03981123 Футболка унисекс Legend, серо-бежевая, размер XS")</f>
      </c>
      <c r="C15625" s="4" t="n">
        <v>994.00</v>
      </c>
      <c r="D15625" s="4"/>
    </row>
    <row collapsed="" customFormat="false" customHeight="1" hidden="" ht="14" outlineLevel="0" r="15626">
      <c r="A15626" s="3" t="inlineStr">
        <is>
          <t>15582</t>
        </is>
      </c>
      <c r="B15626" s="4" t="s">
        <f>=HYPERLINK("http://anyluxury.ru/shop/odezhda/futbolki/futbolka-uniseks-legend-serobezhevaya-03981123/" , "03981123 Футболка унисекс Legend, серо-бежевая, размер S")</f>
      </c>
      <c r="C15626" s="4" t="n">
        <v>994.00</v>
      </c>
      <c r="D15626" s="4"/>
    </row>
    <row collapsed="" customFormat="false" customHeight="1" hidden="" ht="14" outlineLevel="0" r="15627">
      <c r="A15627" s="3" t="inlineStr">
        <is>
          <t>15583</t>
        </is>
      </c>
      <c r="B15627" s="4" t="s">
        <f>=HYPERLINK("http://anyluxury.ru/shop/odezhda/futbolki/futbolka-uniseks-legend-serobezhevaya-03981123/" , "03981123 Футболка унисекс Legend, серо-бежевая, размер M")</f>
      </c>
      <c r="C15627" s="4" t="n">
        <v>994.00</v>
      </c>
      <c r="D15627" s="4"/>
    </row>
    <row collapsed="" customFormat="false" customHeight="1" hidden="" ht="14" outlineLevel="0" r="15628">
      <c r="A15628" s="3" t="inlineStr">
        <is>
          <t>15584</t>
        </is>
      </c>
      <c r="B15628" s="4" t="s">
        <f>=HYPERLINK("http://anyluxury.ru/shop/odezhda/futbolki/futbolka-uniseks-legend-serobezhevaya-03981123/" , "03981123 Футболка унисекс Legend, серо-бежевая, размер L")</f>
      </c>
      <c r="C15628" s="4" t="n">
        <v>994.00</v>
      </c>
      <c r="D15628" s="4"/>
    </row>
    <row collapsed="" customFormat="false" customHeight="1" hidden="" ht="14" outlineLevel="0" r="15629">
      <c r="A15629" s="3" t="inlineStr">
        <is>
          <t>15585</t>
        </is>
      </c>
      <c r="B15629" s="4" t="s">
        <f>=HYPERLINK("http://anyluxury.ru/shop/odezhda/futbolki/futbolka-uniseks-legend-serobezhevaya-03981123/" , "03981123 Футболка унисекс Legend, серо-бежевая, размер XL")</f>
      </c>
      <c r="C15629" s="4" t="n">
        <v>994.00</v>
      </c>
      <c r="D15629" s="4"/>
    </row>
    <row collapsed="" customFormat="false" customHeight="1" hidden="" ht="14" outlineLevel="0" r="15630">
      <c r="A15630" s="3" t="inlineStr">
        <is>
          <t>15586</t>
        </is>
      </c>
      <c r="B15630" s="4" t="s">
        <f>=HYPERLINK("http://anyluxury.ru/shop/odezhda/futbolki/futbolka-uniseks-legend-serobezhevaya-03981123/" , "03981123 Футболка унисекс Legend, серо-бежевая, размер XXL")</f>
      </c>
      <c r="C15630" s="4" t="n">
        <v>994.00</v>
      </c>
      <c r="D15630" s="4"/>
    </row>
    <row collapsed="" customFormat="false" customHeight="1" hidden="" ht="14" outlineLevel="0" r="15631">
      <c r="A15631" s="3" t="inlineStr">
        <is>
          <t>15587</t>
        </is>
      </c>
      <c r="B15631" s="4" t="s">
        <f>=HYPERLINK("http://anyluxury.ru/shop/odezhda/futbolki/futbolka-uniseks-legend-serobezhevaya-03981123/" , "03981123 Футболка унисекс Legend, серо-бежевая, размер 3XL")</f>
      </c>
      <c r="C15631" s="4" t="n">
        <v>1164.00</v>
      </c>
      <c r="D15631" s="4"/>
    </row>
    <row collapsed="" customFormat="false" customHeight="1" hidden="" ht="14" outlineLevel="0" r="15632">
      <c r="A15632" s="3" t="inlineStr">
        <is>
          <t>15588</t>
        </is>
      </c>
      <c r="B15632" s="4" t="s">
        <f>=HYPERLINK("http://anyluxury.ru/shop/odezhda/futbolki/futbolka-uniseks-legend-yarkosinyaya-royal-03981241/" , "03981241 Футболка унисекс Legend, ярко-синяя (royal), размер XS")</f>
      </c>
      <c r="C15632" s="4" t="n">
        <v>994.00</v>
      </c>
      <c r="D15632" s="4"/>
    </row>
    <row collapsed="" customFormat="false" customHeight="1" hidden="" ht="14" outlineLevel="0" r="15633">
      <c r="A15633" s="3" t="inlineStr">
        <is>
          <t>15589</t>
        </is>
      </c>
      <c r="B15633" s="4" t="s">
        <f>=HYPERLINK("http://anyluxury.ru/shop/odezhda/futbolki/futbolka-uniseks-legend-yarkosinyaya-royal-03981241/" , "03981241 Футболка унисекс Legend, ярко-синяя (royal), размер S")</f>
      </c>
      <c r="C15633" s="4" t="n">
        <v>994.00</v>
      </c>
      <c r="D15633" s="4"/>
    </row>
    <row collapsed="" customFormat="false" customHeight="1" hidden="" ht="14" outlineLevel="0" r="15634">
      <c r="A15634" s="3" t="inlineStr">
        <is>
          <t>15590</t>
        </is>
      </c>
      <c r="B15634" s="4" t="s">
        <f>=HYPERLINK("http://anyluxury.ru/shop/odezhda/futbolki/futbolka-uniseks-legend-yarkosinyaya-royal-03981241/" , "03981241 Футболка унисекс Legend, ярко-синяя (royal), размер M")</f>
      </c>
      <c r="C15634" s="4" t="n">
        <v>994.00</v>
      </c>
      <c r="D15634" s="4"/>
    </row>
    <row collapsed="" customFormat="false" customHeight="1" hidden="" ht="14" outlineLevel="0" r="15635">
      <c r="A15635" s="3" t="inlineStr">
        <is>
          <t>15591</t>
        </is>
      </c>
      <c r="B15635" s="4" t="s">
        <f>=HYPERLINK("http://anyluxury.ru/shop/odezhda/futbolki/futbolka-uniseks-legend-yarkosinyaya-royal-03981241/" , "03981241 Футболка унисекс Legend, ярко-синяя (royal), размер L")</f>
      </c>
      <c r="C15635" s="4" t="n">
        <v>994.00</v>
      </c>
      <c r="D15635" s="4"/>
    </row>
    <row collapsed="" customFormat="false" customHeight="1" hidden="" ht="14" outlineLevel="0" r="15636">
      <c r="A15636" s="3" t="inlineStr">
        <is>
          <t>15592</t>
        </is>
      </c>
      <c r="B15636" s="4" t="s">
        <f>=HYPERLINK("http://anyluxury.ru/shop/odezhda/futbolki/futbolka-uniseks-legend-yarkosinyaya-royal-03981241/" , "03981241 Футболка унисекс Legend, ярко-синяя (royal), размер XL")</f>
      </c>
      <c r="C15636" s="4" t="n">
        <v>994.00</v>
      </c>
      <c r="D15636" s="4"/>
    </row>
    <row collapsed="" customFormat="false" customHeight="1" hidden="" ht="14" outlineLevel="0" r="15637">
      <c r="A15637" s="3" t="inlineStr">
        <is>
          <t>15593</t>
        </is>
      </c>
      <c r="B15637" s="4" t="s">
        <f>=HYPERLINK("http://anyluxury.ru/shop/odezhda/futbolki/futbolka-uniseks-legend-yarkosinyaya-royal-03981241/" , "03981241 Футболка унисекс Legend, ярко-синяя (royal), размер XXL")</f>
      </c>
      <c r="C15637" s="4" t="n">
        <v>994.00</v>
      </c>
      <c r="D15637" s="4"/>
    </row>
    <row collapsed="" customFormat="false" customHeight="1" hidden="" ht="14" outlineLevel="0" r="15638">
      <c r="A15638" s="3" t="inlineStr">
        <is>
          <t>15594</t>
        </is>
      </c>
      <c r="B15638" s="4" t="s">
        <f>=HYPERLINK("http://anyluxury.ru/shop/odezhda/futbolki/futbolka-uniseks-legend-yarkosinyaya-royal-03981241/" , "03981241 Футболка унисекс Legend, ярко-синяя (royal), размер 3XL")</f>
      </c>
      <c r="C15638" s="4" t="n">
        <v>1164.00</v>
      </c>
      <c r="D15638" s="4"/>
    </row>
    <row collapsed="" customFormat="false" customHeight="1" hidden="" ht="14" outlineLevel="0" r="15639">
      <c r="A15639" s="3" t="inlineStr">
        <is>
          <t>15595</t>
        </is>
      </c>
      <c r="B15639" s="4" t="s">
        <f>=HYPERLINK("http://anyluxury.ru/shop/odezhda/futbolki/futbolka-uniseks-legend-vesenniy-zeleniy-03981290/" , "03981290 Футболка унисекс Legend, весенний зеленый, размер XS")</f>
      </c>
      <c r="C15639" s="4" t="n">
        <v>994.00</v>
      </c>
      <c r="D15639" s="4"/>
    </row>
    <row collapsed="" customFormat="false" customHeight="1" hidden="" ht="14" outlineLevel="0" r="15640">
      <c r="A15640" s="3" t="inlineStr">
        <is>
          <t>15596</t>
        </is>
      </c>
      <c r="B15640" s="4" t="s">
        <f>=HYPERLINK("http://anyluxury.ru/shop/odezhda/futbolki/futbolka-uniseks-legend-vesenniy-zeleniy-03981290/" , "03981290 Футболка унисекс Legend, весенний зеленый, размер S")</f>
      </c>
      <c r="C15640" s="4" t="n">
        <v>994.00</v>
      </c>
      <c r="D15640" s="4"/>
    </row>
    <row collapsed="" customFormat="false" customHeight="1" hidden="" ht="14" outlineLevel="0" r="15641">
      <c r="A15641" s="3" t="inlineStr">
        <is>
          <t>15597</t>
        </is>
      </c>
      <c r="B15641" s="4" t="s">
        <f>=HYPERLINK("http://anyluxury.ru/shop/odezhda/futbolki/futbolka-uniseks-legend-vesenniy-zeleniy-03981290/" , "03981290 Футболка унисекс Legend, весенний зеленый, размер M")</f>
      </c>
      <c r="C15641" s="4" t="n">
        <v>994.00</v>
      </c>
      <c r="D15641" s="4"/>
    </row>
    <row collapsed="" customFormat="false" customHeight="1" hidden="" ht="14" outlineLevel="0" r="15642">
      <c r="A15642" s="3" t="inlineStr">
        <is>
          <t>15598</t>
        </is>
      </c>
      <c r="B15642" s="4" t="s">
        <f>=HYPERLINK("http://anyluxury.ru/shop/odezhda/futbolki/futbolka-uniseks-legend-vesenniy-zeleniy-03981290/" , "03981290 Футболка унисекс Legend, весенний зеленый, размер L")</f>
      </c>
      <c r="C15642" s="4" t="n">
        <v>994.00</v>
      </c>
      <c r="D15642" s="4"/>
    </row>
    <row collapsed="" customFormat="false" customHeight="1" hidden="" ht="14" outlineLevel="0" r="15643">
      <c r="A15643" s="3" t="inlineStr">
        <is>
          <t>15599</t>
        </is>
      </c>
      <c r="B15643" s="4" t="s">
        <f>=HYPERLINK("http://anyluxury.ru/shop/odezhda/futbolki/futbolka-uniseks-legend-vesenniy-zeleniy-03981290/" , "03981290 Футболка унисекс Legend, весенний зеленый, размер XL")</f>
      </c>
      <c r="C15643" s="4" t="n">
        <v>994.00</v>
      </c>
      <c r="D15643" s="4"/>
    </row>
    <row collapsed="" customFormat="false" customHeight="1" hidden="" ht="14" outlineLevel="0" r="15644">
      <c r="A15644" s="3" t="inlineStr">
        <is>
          <t>15600</t>
        </is>
      </c>
      <c r="B15644" s="4" t="s">
        <f>=HYPERLINK("http://anyluxury.ru/shop/odezhda/futbolki/futbolka-uniseks-legend-vesenniy-zeleniy-03981290/" , "03981290 Футболка унисекс Legend, весенний зеленый, размер XXL")</f>
      </c>
      <c r="C15644" s="4" t="n">
        <v>994.00</v>
      </c>
      <c r="D15644" s="4"/>
    </row>
    <row collapsed="" customFormat="false" customHeight="1" hidden="" ht="14" outlineLevel="0" r="15645">
      <c r="A15645" s="3" t="inlineStr">
        <is>
          <t>15601</t>
        </is>
      </c>
      <c r="B15645" s="4" t="s">
        <f>=HYPERLINK("http://anyluxury.ru/shop/odezhda/futbolki/futbolka-uniseks-legend-vesenniy-zeleniy-03981290/" , "03981290 Футболка унисекс Legend, весенний зеленый, размер 3XL")</f>
      </c>
      <c r="C15645" s="4" t="n">
        <v>1164.00</v>
      </c>
      <c r="D15645" s="4"/>
    </row>
    <row collapsed="" customFormat="false" customHeight="1" hidden="" ht="14" outlineLevel="0" r="15646">
      <c r="A15646" s="3" t="inlineStr">
        <is>
          <t>15602</t>
        </is>
      </c>
      <c r="B15646" s="4" t="s">
        <f>=HYPERLINK("http://anyluxury.ru/shop/odezhda/futbolki/futbolka-uniseks-legend-belaya-03981102/" , "03981102 Футболка унисекс Legend, белая, размер XXS")</f>
      </c>
      <c r="C15646" s="4" t="n">
        <v>883.00</v>
      </c>
      <c r="D15646" s="4"/>
    </row>
    <row collapsed="" customFormat="false" customHeight="1" hidden="" ht="14" outlineLevel="0" r="15647">
      <c r="A15647" s="3" t="inlineStr">
        <is>
          <t>15603</t>
        </is>
      </c>
      <c r="B15647" s="4" t="s">
        <f>=HYPERLINK("http://anyluxury.ru/shop/odezhda/futbolki/futbolka-uniseks-legend-belaya-03981102/" , "03981102 Футболка унисекс Legend, белая, размер XS")</f>
      </c>
      <c r="C15647" s="4" t="n">
        <v>883.00</v>
      </c>
      <c r="D15647" s="4"/>
    </row>
    <row collapsed="" customFormat="false" customHeight="1" hidden="" ht="14" outlineLevel="0" r="15648">
      <c r="A15648" s="3" t="inlineStr">
        <is>
          <t>15604</t>
        </is>
      </c>
      <c r="B15648" s="4" t="s">
        <f>=HYPERLINK("http://anyluxury.ru/shop/odezhda/futbolki/futbolka-uniseks-legend-belaya-03981102/" , "03981102 Футболка унисекс Legend, белая, размер S")</f>
      </c>
      <c r="C15648" s="4" t="n">
        <v>883.00</v>
      </c>
      <c r="D15648" s="4"/>
    </row>
    <row collapsed="" customFormat="false" customHeight="1" hidden="" ht="14" outlineLevel="0" r="15649">
      <c r="A15649" s="3" t="inlineStr">
        <is>
          <t>15605</t>
        </is>
      </c>
      <c r="B15649" s="4" t="s">
        <f>=HYPERLINK("http://anyluxury.ru/shop/odezhda/futbolki/futbolka-uniseks-legend-belaya-03981102/" , "03981102 Футболка унисекс Legend, белая, размер M")</f>
      </c>
      <c r="C15649" s="4" t="n">
        <v>883.00</v>
      </c>
      <c r="D15649" s="4"/>
    </row>
    <row collapsed="" customFormat="false" customHeight="1" hidden="" ht="14" outlineLevel="0" r="15650">
      <c r="A15650" s="3" t="inlineStr">
        <is>
          <t>15606</t>
        </is>
      </c>
      <c r="B15650" s="4" t="s">
        <f>=HYPERLINK("http://anyluxury.ru/shop/odezhda/futbolki/futbolka-uniseks-legend-belaya-03981102/" , "03981102 Футболка унисекс Legend, белая, размер L")</f>
      </c>
      <c r="C15650" s="4" t="n">
        <v>883.00</v>
      </c>
      <c r="D15650" s="4"/>
    </row>
    <row collapsed="" customFormat="false" customHeight="1" hidden="" ht="14" outlineLevel="0" r="15651">
      <c r="A15651" s="3" t="inlineStr">
        <is>
          <t>15607</t>
        </is>
      </c>
      <c r="B15651" s="4" t="s">
        <f>=HYPERLINK("http://anyluxury.ru/shop/odezhda/futbolki/futbolka-uniseks-legend-belaya-03981102/" , "03981102 Футболка унисекс Legend, белая, размер XL")</f>
      </c>
      <c r="C15651" s="4" t="n">
        <v>883.00</v>
      </c>
      <c r="D15651" s="4"/>
    </row>
    <row collapsed="" customFormat="false" customHeight="1" hidden="" ht="14" outlineLevel="0" r="15652">
      <c r="A15652" s="3" t="inlineStr">
        <is>
          <t>15608</t>
        </is>
      </c>
      <c r="B15652" s="4" t="s">
        <f>=HYPERLINK("http://anyluxury.ru/shop/odezhda/futbolki/futbolka-uniseks-legend-belaya-03981102/" , "03981102 Футболка унисекс Legend, белая, размер XXL")</f>
      </c>
      <c r="C15652" s="4" t="n">
        <v>883.00</v>
      </c>
      <c r="D15652" s="4"/>
    </row>
    <row collapsed="" customFormat="false" customHeight="1" hidden="" ht="14" outlineLevel="0" r="15653">
      <c r="A15653" s="3" t="inlineStr">
        <is>
          <t>15609</t>
        </is>
      </c>
      <c r="B15653" s="4" t="s">
        <f>=HYPERLINK("http://anyluxury.ru/shop/odezhda/futbolki/futbolka-uniseks-legend-belaya-03981102/" , "03981102 Футболка унисекс Legend, белая, размер 3XL")</f>
      </c>
      <c r="C15653" s="4" t="n">
        <v>1035.00</v>
      </c>
      <c r="D15653" s="4"/>
    </row>
    <row collapsed="" customFormat="false" customHeight="1" hidden="" ht="14" outlineLevel="0" r="15654">
      <c r="A15654" s="3" t="inlineStr">
        <is>
          <t>15610</t>
        </is>
      </c>
      <c r="B15654" s="4" t="s">
        <f>=HYPERLINK("http://anyluxury.ru/shop/odezhda/futbolki/futbolka-uniseks-legend-belaya-03981102/" , "03981102 Футболка унисекс Legend, белая, размер 4XL")</f>
      </c>
      <c r="C15654" s="4" t="n">
        <v>1238.00</v>
      </c>
      <c r="D15654" s="4"/>
    </row>
    <row collapsed="" customFormat="false" customHeight="1" hidden="" ht="14" outlineLevel="0" r="15655">
      <c r="A15655" s="3" t="inlineStr">
        <is>
          <t>15611</t>
        </is>
      </c>
      <c r="B15655" s="4" t="s">
        <f>=HYPERLINK("http://anyluxury.ru/shop/odezhda/futbolki/futbolka-uniseks-re-crusader-temniy-haki-04233269/" , "04233269 Футболка унисекс Re Crusader, темный хаки, размер XS")</f>
      </c>
      <c r="C15655" s="4" t="n">
        <v>651.00</v>
      </c>
      <c r="D15655" s="4"/>
    </row>
    <row collapsed="" customFormat="false" customHeight="1" hidden="" ht="14" outlineLevel="0" r="15656">
      <c r="A15656" s="3" t="inlineStr">
        <is>
          <t>15612</t>
        </is>
      </c>
      <c r="B15656" s="4" t="s">
        <f>=HYPERLINK("http://anyluxury.ru/shop/odezhda/futbolki/futbolka-uniseks-re-crusader-temniy-haki-04233269/" , "04233269 Футболка унисекс Re Crusader, темный хаки, размер S")</f>
      </c>
      <c r="C15656" s="4" t="n">
        <v>651.00</v>
      </c>
      <c r="D15656" s="4"/>
    </row>
    <row collapsed="" customFormat="false" customHeight="1" hidden="" ht="14" outlineLevel="0" r="15657">
      <c r="A15657" s="3" t="inlineStr">
        <is>
          <t>15613</t>
        </is>
      </c>
      <c r="B15657" s="4" t="s">
        <f>=HYPERLINK("http://anyluxury.ru/shop/odezhda/futbolki/futbolka-uniseks-re-crusader-temniy-haki-04233269/" , "04233269 Футболка унисекс Re Crusader, темный хаки, размер M")</f>
      </c>
      <c r="C15657" s="4" t="n">
        <v>651.00</v>
      </c>
      <c r="D15657" s="4"/>
    </row>
    <row collapsed="" customFormat="false" customHeight="1" hidden="" ht="14" outlineLevel="0" r="15658">
      <c r="A15658" s="3" t="inlineStr">
        <is>
          <t>15614</t>
        </is>
      </c>
      <c r="B15658" s="4" t="s">
        <f>=HYPERLINK("http://anyluxury.ru/shop/odezhda/futbolki/futbolka-uniseks-re-crusader-temniy-haki-04233269/" , "04233269 Футболка унисекс Re Crusader, темный хаки, размер L")</f>
      </c>
      <c r="C15658" s="4" t="n">
        <v>651.00</v>
      </c>
      <c r="D15658" s="4"/>
    </row>
    <row collapsed="" customFormat="false" customHeight="1" hidden="" ht="14" outlineLevel="0" r="15659">
      <c r="A15659" s="3" t="inlineStr">
        <is>
          <t>15615</t>
        </is>
      </c>
      <c r="B15659" s="4" t="s">
        <f>=HYPERLINK("http://anyluxury.ru/shop/odezhda/futbolki/futbolka-uniseks-re-crusader-temniy-haki-04233269/" , "04233269 Футболка унисекс Re Crusader, темный хаки, размер XL")</f>
      </c>
      <c r="C15659" s="4" t="n">
        <v>651.00</v>
      </c>
      <c r="D15659" s="4"/>
    </row>
    <row collapsed="" customFormat="false" customHeight="1" hidden="" ht="14" outlineLevel="0" r="15660">
      <c r="A15660" s="3" t="inlineStr">
        <is>
          <t>15616</t>
        </is>
      </c>
      <c r="B15660" s="4" t="s">
        <f>=HYPERLINK("http://anyluxury.ru/shop/odezhda/futbolki/futbolka-uniseks-re-crusader-temniy-haki-04233269/" , "04233269 Футболка унисекс Re Crusader, темный хаки, размер XXL")</f>
      </c>
      <c r="C15660" s="4" t="n">
        <v>651.00</v>
      </c>
      <c r="D15660" s="4"/>
    </row>
    <row collapsed="" customFormat="false" customHeight="1" hidden="" ht="14" outlineLevel="0" r="15661">
      <c r="A15661" s="3" t="inlineStr">
        <is>
          <t>15617</t>
        </is>
      </c>
      <c r="B15661" s="4" t="s">
        <f>=HYPERLINK("http://anyluxury.ru/shop/odezhda/futbolki/futbolka-uniseks-re-crusader-temniy-haki-04233269/" , "04233269 Футболка унисекс Re Crusader, темный хаки, размер 3XL")</f>
      </c>
      <c r="C15661" s="4" t="n">
        <v>803.00</v>
      </c>
      <c r="D15661" s="4"/>
    </row>
    <row collapsed="" customFormat="false" customHeight="1" hidden="" ht="14" outlineLevel="0" r="15662">
      <c r="A15662" s="3" t="inlineStr">
        <is>
          <t>15618</t>
        </is>
      </c>
      <c r="B15662" s="4" t="s">
        <f>=HYPERLINK("http://anyluxury.ru/shop/odezhda/futbolki/futbolka-uniseks-re-crusader-krasnaya-04233161/" , "04233161 Футболка унисекс Re Crusader, красная, размер XS")</f>
      </c>
      <c r="C15662" s="4" t="n">
        <v>651.00</v>
      </c>
      <c r="D15662" s="4"/>
    </row>
    <row collapsed="" customFormat="false" customHeight="1" hidden="" ht="14" outlineLevel="0" r="15663">
      <c r="A15663" s="3" t="inlineStr">
        <is>
          <t>15619</t>
        </is>
      </c>
      <c r="B15663" s="4" t="s">
        <f>=HYPERLINK("http://anyluxury.ru/shop/odezhda/futbolki/futbolka-uniseks-re-crusader-krasnaya-04233161/" , "04233161 Футболка унисекс Re Crusader, красная, размер S")</f>
      </c>
      <c r="C15663" s="4" t="n">
        <v>651.00</v>
      </c>
      <c r="D15663" s="4"/>
    </row>
    <row collapsed="" customFormat="false" customHeight="1" hidden="" ht="14" outlineLevel="0" r="15664">
      <c r="A15664" s="3" t="inlineStr">
        <is>
          <t>15620</t>
        </is>
      </c>
      <c r="B15664" s="4" t="s">
        <f>=HYPERLINK("http://anyluxury.ru/shop/odezhda/futbolki/futbolka-uniseks-re-crusader-krasnaya-04233161/" , "04233161 Футболка унисекс Re Crusader, красная, размер M")</f>
      </c>
      <c r="C15664" s="4" t="n">
        <v>651.00</v>
      </c>
      <c r="D15664" s="4"/>
    </row>
    <row collapsed="" customFormat="false" customHeight="1" hidden="" ht="14" outlineLevel="0" r="15665">
      <c r="A15665" s="3" t="inlineStr">
        <is>
          <t>15621</t>
        </is>
      </c>
      <c r="B15665" s="4" t="s">
        <f>=HYPERLINK("http://anyluxury.ru/shop/odezhda/futbolki/futbolka-uniseks-re-crusader-krasnaya-04233161/" , "04233161 Футболка унисекс Re Crusader, красная, размер L")</f>
      </c>
      <c r="C15665" s="4" t="n">
        <v>651.00</v>
      </c>
      <c r="D15665" s="4"/>
    </row>
    <row collapsed="" customFormat="false" customHeight="1" hidden="" ht="14" outlineLevel="0" r="15666">
      <c r="A15666" s="3" t="inlineStr">
        <is>
          <t>15622</t>
        </is>
      </c>
      <c r="B15666" s="4" t="s">
        <f>=HYPERLINK("http://anyluxury.ru/shop/odezhda/futbolki/futbolka-uniseks-re-crusader-krasnaya-04233161/" , "04233161 Футболка унисекс Re Crusader, красная, размер XL")</f>
      </c>
      <c r="C15666" s="4" t="n">
        <v>651.00</v>
      </c>
      <c r="D15666" s="4"/>
    </row>
    <row collapsed="" customFormat="false" customHeight="1" hidden="" ht="14" outlineLevel="0" r="15667">
      <c r="A15667" s="3" t="inlineStr">
        <is>
          <t>15623</t>
        </is>
      </c>
      <c r="B15667" s="4" t="s">
        <f>=HYPERLINK("http://anyluxury.ru/shop/odezhda/futbolki/futbolka-uniseks-re-crusader-krasnaya-04233161/" , "04233161 Футболка унисекс Re Crusader, красная, размер XXL")</f>
      </c>
      <c r="C15667" s="4" t="n">
        <v>651.00</v>
      </c>
      <c r="D15667" s="4"/>
    </row>
    <row collapsed="" customFormat="false" customHeight="1" hidden="" ht="14" outlineLevel="0" r="15668">
      <c r="A15668" s="3" t="inlineStr">
        <is>
          <t>15624</t>
        </is>
      </c>
      <c r="B15668" s="4" t="s">
        <f>=HYPERLINK("http://anyluxury.ru/shop/odezhda/futbolki/futbolka-uniseks-re-crusader-krasnaya-04233161/" , "04233161 Футболка унисекс Re Crusader, красная, размер 3XL")</f>
      </c>
      <c r="C15668" s="4" t="n">
        <v>803.00</v>
      </c>
      <c r="D15668" s="4"/>
    </row>
    <row collapsed="" customFormat="false" customHeight="1" hidden="" ht="14" outlineLevel="0" r="15669">
      <c r="A15669" s="3" t="inlineStr">
        <is>
          <t>15625</t>
        </is>
      </c>
      <c r="B15669" s="4" t="s">
        <f>=HYPERLINK("http://anyluxury.ru/shop/odezhda/futbolki/futbolka-uniseks-re-crusader-chernaya-04233309/" , "04233309 Футболка унисекс Re Crusader, черная, размер XS")</f>
      </c>
      <c r="C15669" s="4" t="n">
        <v>651.00</v>
      </c>
      <c r="D15669" s="4"/>
    </row>
    <row collapsed="" customFormat="false" customHeight="1" hidden="" ht="14" outlineLevel="0" r="15670">
      <c r="A15670" s="3" t="inlineStr">
        <is>
          <t>15626</t>
        </is>
      </c>
      <c r="B15670" s="4" t="s">
        <f>=HYPERLINK("http://anyluxury.ru/shop/odezhda/futbolki/futbolka-uniseks-re-crusader-chernaya-04233309/" , "04233309 Футболка унисекс Re Crusader, черная, размер S")</f>
      </c>
      <c r="C15670" s="4" t="n">
        <v>651.00</v>
      </c>
      <c r="D15670" s="4"/>
    </row>
    <row collapsed="" customFormat="false" customHeight="1" hidden="" ht="14" outlineLevel="0" r="15671">
      <c r="A15671" s="3" t="inlineStr">
        <is>
          <t>15627</t>
        </is>
      </c>
      <c r="B15671" s="4" t="s">
        <f>=HYPERLINK("http://anyluxury.ru/shop/odezhda/futbolki/futbolka-uniseks-re-crusader-chernaya-04233309/" , "04233309 Футболка унисекс Re Crusader, черная, размер M")</f>
      </c>
      <c r="C15671" s="4" t="n">
        <v>651.00</v>
      </c>
      <c r="D15671" s="4"/>
    </row>
    <row collapsed="" customFormat="false" customHeight="1" hidden="" ht="14" outlineLevel="0" r="15672">
      <c r="A15672" s="3" t="inlineStr">
        <is>
          <t>15628</t>
        </is>
      </c>
      <c r="B15672" s="4" t="s">
        <f>=HYPERLINK("http://anyluxury.ru/shop/odezhda/futbolki/futbolka-uniseks-re-crusader-chernaya-04233309/" , "04233309 Футболка унисекс Re Crusader, черная, размер L")</f>
      </c>
      <c r="C15672" s="4" t="n">
        <v>651.00</v>
      </c>
      <c r="D15672" s="4"/>
    </row>
    <row collapsed="" customFormat="false" customHeight="1" hidden="" ht="14" outlineLevel="0" r="15673">
      <c r="A15673" s="3" t="inlineStr">
        <is>
          <t>15629</t>
        </is>
      </c>
      <c r="B15673" s="4" t="s">
        <f>=HYPERLINK("http://anyluxury.ru/shop/odezhda/futbolki/futbolka-uniseks-re-crusader-chernaya-04233309/" , "04233309 Футболка унисекс Re Crusader, черная, размер XL")</f>
      </c>
      <c r="C15673" s="4" t="n">
        <v>651.00</v>
      </c>
      <c r="D15673" s="4"/>
    </row>
    <row collapsed="" customFormat="false" customHeight="1" hidden="" ht="14" outlineLevel="0" r="15674">
      <c r="A15674" s="3" t="inlineStr">
        <is>
          <t>15630</t>
        </is>
      </c>
      <c r="B15674" s="4" t="s">
        <f>=HYPERLINK("http://anyluxury.ru/shop/odezhda/futbolki/futbolka-uniseks-re-crusader-chernaya-04233309/" , "04233309 Футболка унисекс Re Crusader, черная, размер XXL")</f>
      </c>
      <c r="C15674" s="4" t="n">
        <v>651.00</v>
      </c>
      <c r="D15674" s="4"/>
    </row>
    <row collapsed="" customFormat="false" customHeight="1" hidden="" ht="14" outlineLevel="0" r="15675">
      <c r="A15675" s="3" t="inlineStr">
        <is>
          <t>15631</t>
        </is>
      </c>
      <c r="B15675" s="4" t="s">
        <f>=HYPERLINK("http://anyluxury.ru/shop/odezhda/futbolki/futbolka-uniseks-re-crusader-chernaya-04233309/" , "04233309 Футболка унисекс Re Crusader, черная, размер 3XL")</f>
      </c>
      <c r="C15675" s="4" t="n">
        <v>803.00</v>
      </c>
      <c r="D15675" s="4"/>
    </row>
    <row collapsed="" customFormat="false" customHeight="1" hidden="" ht="14" outlineLevel="0" r="15676">
      <c r="A15676" s="3" t="inlineStr">
        <is>
          <t>15632</t>
        </is>
      </c>
      <c r="B15676" s="4" t="s">
        <f>=HYPERLINK("http://anyluxury.ru/shop/odezhda/futbolki/futbolka-uniseks-re-crusader-chernaya-04233309/" , "04233309 Футболка унисекс Re Crusader, черная, размер 4XL")</f>
      </c>
      <c r="C15676" s="4" t="n">
        <v>957.00</v>
      </c>
      <c r="D15676" s="4"/>
    </row>
    <row collapsed="" customFormat="false" customHeight="1" hidden="" ht="14" outlineLevel="0" r="15677">
      <c r="A15677" s="3" t="inlineStr">
        <is>
          <t>15633</t>
        </is>
      </c>
      <c r="B15677" s="4" t="s">
        <f>=HYPERLINK("http://anyluxury.ru/shop/odezhda/futbolki/futbolka-uniseks-re-crusader-temnosinyaya-04233319/" , "04233319 Футболка унисекс Re Crusader, темно-синяя, размер XS")</f>
      </c>
      <c r="C15677" s="4" t="n">
        <v>651.00</v>
      </c>
      <c r="D15677" s="4"/>
    </row>
    <row collapsed="" customFormat="false" customHeight="1" hidden="" ht="14" outlineLevel="0" r="15678">
      <c r="A15678" s="3" t="inlineStr">
        <is>
          <t>15634</t>
        </is>
      </c>
      <c r="B15678" s="4" t="s">
        <f>=HYPERLINK("http://anyluxury.ru/shop/odezhda/futbolki/futbolka-uniseks-re-crusader-temnosinyaya-04233319/" , "04233319 Футболка унисекс Re Crusader, темно-синяя, размер S")</f>
      </c>
      <c r="C15678" s="4" t="n">
        <v>651.00</v>
      </c>
      <c r="D15678" s="4"/>
    </row>
    <row collapsed="" customFormat="false" customHeight="1" hidden="" ht="14" outlineLevel="0" r="15679">
      <c r="A15679" s="3" t="inlineStr">
        <is>
          <t>15635</t>
        </is>
      </c>
      <c r="B15679" s="4" t="s">
        <f>=HYPERLINK("http://anyluxury.ru/shop/odezhda/futbolki/futbolka-uniseks-re-crusader-temnosinyaya-04233319/" , "04233319 Футболка унисекс Re Crusader, темно-синяя, размер M")</f>
      </c>
      <c r="C15679" s="4" t="n">
        <v>651.00</v>
      </c>
      <c r="D15679" s="4"/>
    </row>
    <row collapsed="" customFormat="false" customHeight="1" hidden="" ht="14" outlineLevel="0" r="15680">
      <c r="A15680" s="3" t="inlineStr">
        <is>
          <t>15636</t>
        </is>
      </c>
      <c r="B15680" s="4" t="s">
        <f>=HYPERLINK("http://anyluxury.ru/shop/odezhda/futbolki/futbolka-uniseks-re-crusader-temnosinyaya-04233319/" , "04233319 Футболка унисекс Re Crusader, темно-синяя, размер L")</f>
      </c>
      <c r="C15680" s="4" t="n">
        <v>651.00</v>
      </c>
      <c r="D15680" s="4"/>
    </row>
    <row collapsed="" customFormat="false" customHeight="1" hidden="" ht="14" outlineLevel="0" r="15681">
      <c r="A15681" s="3" t="inlineStr">
        <is>
          <t>15637</t>
        </is>
      </c>
      <c r="B15681" s="4" t="s">
        <f>=HYPERLINK("http://anyluxury.ru/shop/odezhda/futbolki/futbolka-uniseks-re-crusader-temnosinyaya-04233319/" , "04233319 Футболка унисекс Re Crusader, темно-синяя, размер XL")</f>
      </c>
      <c r="C15681" s="4" t="n">
        <v>651.00</v>
      </c>
      <c r="D15681" s="4"/>
    </row>
    <row collapsed="" customFormat="false" customHeight="1" hidden="" ht="14" outlineLevel="0" r="15682">
      <c r="A15682" s="3" t="inlineStr">
        <is>
          <t>15638</t>
        </is>
      </c>
      <c r="B15682" s="4" t="s">
        <f>=HYPERLINK("http://anyluxury.ru/shop/odezhda/futbolki/futbolka-uniseks-re-crusader-temnosinyaya-04233319/" , "04233319 Футболка унисекс Re Crusader, темно-синяя, размер XXL")</f>
      </c>
      <c r="C15682" s="4" t="n">
        <v>651.00</v>
      </c>
      <c r="D15682" s="4"/>
    </row>
    <row collapsed="" customFormat="false" customHeight="1" hidden="" ht="14" outlineLevel="0" r="15683">
      <c r="A15683" s="3" t="inlineStr">
        <is>
          <t>15639</t>
        </is>
      </c>
      <c r="B15683" s="4" t="s">
        <f>=HYPERLINK("http://anyluxury.ru/shop/odezhda/futbolki/futbolka-uniseks-re-crusader-temnosinyaya-04233319/" , "04233319 Футболка унисекс Re Crusader, темно-синяя, размер 3XL")</f>
      </c>
      <c r="C15683" s="4" t="n">
        <v>803.00</v>
      </c>
      <c r="D15683" s="4"/>
    </row>
    <row collapsed="" customFormat="false" customHeight="1" hidden="" ht="14" outlineLevel="0" r="15684">
      <c r="A15684" s="3" t="inlineStr">
        <is>
          <t>15640</t>
        </is>
      </c>
      <c r="B15684" s="4" t="s">
        <f>=HYPERLINK("http://anyluxury.ru/shop/odezhda/futbolki/futbolka-uniseks-re-crusader-temnosinyaya-04233319/" , "04233319 Футболка унисекс Re Crusader, темно-синяя, размер 4XL")</f>
      </c>
      <c r="C15684" s="4" t="n">
        <v>957.00</v>
      </c>
      <c r="D15684" s="4"/>
    </row>
    <row collapsed="" customFormat="false" customHeight="1" hidden="" ht="14" outlineLevel="0" r="15685">
      <c r="A15685" s="3" t="inlineStr">
        <is>
          <t>15641</t>
        </is>
      </c>
      <c r="B15685" s="4" t="s">
        <f>=HYPERLINK("http://anyluxury.ru/shop/odezhda/futbolki/futbolka-uniseks-re-crusader-seriy-melanzh-04233350/" , "04233350 Футболка унисекс Re Crusader, серый меланж, размер XS")</f>
      </c>
      <c r="C15685" s="4" t="n">
        <v>651.00</v>
      </c>
      <c r="D15685" s="4"/>
    </row>
    <row collapsed="" customFormat="false" customHeight="1" hidden="" ht="14" outlineLevel="0" r="15686">
      <c r="A15686" s="3" t="inlineStr">
        <is>
          <t>15642</t>
        </is>
      </c>
      <c r="B15686" s="4" t="s">
        <f>=HYPERLINK("http://anyluxury.ru/shop/odezhda/futbolki/futbolka-uniseks-re-crusader-seriy-melanzh-04233350/" , "04233350 Футболка унисекс Re Crusader, серый меланж, размер S")</f>
      </c>
      <c r="C15686" s="4" t="n">
        <v>651.00</v>
      </c>
      <c r="D15686" s="4"/>
    </row>
    <row collapsed="" customFormat="false" customHeight="1" hidden="" ht="14" outlineLevel="0" r="15687">
      <c r="A15687" s="3" t="inlineStr">
        <is>
          <t>15643</t>
        </is>
      </c>
      <c r="B15687" s="4" t="s">
        <f>=HYPERLINK("http://anyluxury.ru/shop/odezhda/futbolki/futbolka-uniseks-re-crusader-seriy-melanzh-04233350/" , "04233350 Футболка унисекс Re Crusader, серый меланж, размер M")</f>
      </c>
      <c r="C15687" s="4" t="n">
        <v>651.00</v>
      </c>
      <c r="D15687" s="4"/>
    </row>
    <row collapsed="" customFormat="false" customHeight="1" hidden="" ht="14" outlineLevel="0" r="15688">
      <c r="A15688" s="3" t="inlineStr">
        <is>
          <t>15644</t>
        </is>
      </c>
      <c r="B15688" s="4" t="s">
        <f>=HYPERLINK("http://anyluxury.ru/shop/odezhda/futbolki/futbolka-uniseks-re-crusader-seriy-melanzh-04233350/" , "04233350 Футболка унисекс Re Crusader, серый меланж, размер L")</f>
      </c>
      <c r="C15688" s="4" t="n">
        <v>651.00</v>
      </c>
      <c r="D15688" s="4"/>
    </row>
    <row collapsed="" customFormat="false" customHeight="1" hidden="" ht="14" outlineLevel="0" r="15689">
      <c r="A15689" s="3" t="inlineStr">
        <is>
          <t>15645</t>
        </is>
      </c>
      <c r="B15689" s="4" t="s">
        <f>=HYPERLINK("http://anyluxury.ru/shop/odezhda/futbolki/futbolka-uniseks-re-crusader-seriy-melanzh-04233350/" , "04233350 Футболка унисекс Re Crusader, серый меланж, размер XL")</f>
      </c>
      <c r="C15689" s="4" t="n">
        <v>651.00</v>
      </c>
      <c r="D15689" s="4"/>
    </row>
    <row collapsed="" customFormat="false" customHeight="1" hidden="" ht="14" outlineLevel="0" r="15690">
      <c r="A15690" s="3" t="inlineStr">
        <is>
          <t>15646</t>
        </is>
      </c>
      <c r="B15690" s="4" t="s">
        <f>=HYPERLINK("http://anyluxury.ru/shop/odezhda/futbolki/futbolka-uniseks-re-crusader-seriy-melanzh-04233350/" , "04233350 Футболка унисекс Re Crusader, серый меланж, размер XXL")</f>
      </c>
      <c r="C15690" s="4" t="n">
        <v>651.00</v>
      </c>
      <c r="D15690" s="4"/>
    </row>
    <row collapsed="" customFormat="false" customHeight="1" hidden="" ht="14" outlineLevel="0" r="15691">
      <c r="A15691" s="3" t="inlineStr">
        <is>
          <t>15647</t>
        </is>
      </c>
      <c r="B15691" s="4" t="s">
        <f>=HYPERLINK("http://anyluxury.ru/shop/odezhda/futbolki/futbolka-uniseks-re-crusader-seriy-melanzh-04233350/" , "04233350 Футболка унисекс Re Crusader, серый меланж, размер 3XL")</f>
      </c>
      <c r="C15691" s="4" t="n">
        <v>803.00</v>
      </c>
      <c r="D15691" s="4"/>
    </row>
    <row collapsed="" customFormat="false" customHeight="1" hidden="" ht="14" outlineLevel="0" r="15692">
      <c r="A15692" s="3" t="inlineStr">
        <is>
          <t>15648</t>
        </is>
      </c>
      <c r="B15692" s="4" t="s">
        <f>=HYPERLINK("http://anyluxury.ru/shop/odezhda/futbolki/futbolka-uniseks-re-crusader-seriy-melanzh-04233350/" , "04233350 Футболка унисекс Re Crusader, серый меланж, размер 4XL")</f>
      </c>
      <c r="C15692" s="4" t="n">
        <v>957.00</v>
      </c>
      <c r="D15692" s="4"/>
    </row>
    <row collapsed="" customFormat="false" customHeight="1" hidden="" ht="14" outlineLevel="0" r="15693">
      <c r="A15693" s="3" t="inlineStr">
        <is>
          <t>15649</t>
        </is>
      </c>
      <c r="B15693" s="4" t="s">
        <f>=HYPERLINK("http://anyluxury.ru/shop/odezhda/futbolki/futbolka-uniseks-re-crusader-svetlobezhevaya-neokrashennaya-04233101/" , "04233101 Футболка унисекс Re Crusader, светло-бежевая (неокрашенная), размер XS")</f>
      </c>
      <c r="C15693" s="4" t="n">
        <v>651.00</v>
      </c>
      <c r="D15693" s="4"/>
    </row>
    <row collapsed="" customFormat="false" customHeight="1" hidden="" ht="14" outlineLevel="0" r="15694">
      <c r="A15694" s="3" t="inlineStr">
        <is>
          <t>15650</t>
        </is>
      </c>
      <c r="B15694" s="4" t="s">
        <f>=HYPERLINK("http://anyluxury.ru/shop/odezhda/futbolki/futbolka-uniseks-re-crusader-svetlobezhevaya-neokrashennaya-04233101/" , "04233101 Футболка унисекс Re Crusader, светло-бежевая (неокрашенная), размер S")</f>
      </c>
      <c r="C15694" s="4" t="n">
        <v>651.00</v>
      </c>
      <c r="D15694" s="4"/>
    </row>
    <row collapsed="" customFormat="false" customHeight="1" hidden="" ht="14" outlineLevel="0" r="15695">
      <c r="A15695" s="3" t="inlineStr">
        <is>
          <t>15651</t>
        </is>
      </c>
      <c r="B15695" s="4" t="s">
        <f>=HYPERLINK("http://anyluxury.ru/shop/odezhda/futbolki/futbolka-uniseks-re-crusader-svetlobezhevaya-neokrashennaya-04233101/" , "04233101 Футболка унисекс Re Crusader, светло-бежевая (неокрашенная), размер M")</f>
      </c>
      <c r="C15695" s="4" t="n">
        <v>651.00</v>
      </c>
      <c r="D15695" s="4"/>
    </row>
    <row collapsed="" customFormat="false" customHeight="1" hidden="" ht="14" outlineLevel="0" r="15696">
      <c r="A15696" s="3" t="inlineStr">
        <is>
          <t>15652</t>
        </is>
      </c>
      <c r="B15696" s="4" t="s">
        <f>=HYPERLINK("http://anyluxury.ru/shop/odezhda/futbolki/futbolka-uniseks-re-crusader-svetlobezhevaya-neokrashennaya-04233101/" , "04233101 Футболка унисекс Re Crusader, светло-бежевая (неокрашенная), размер L")</f>
      </c>
      <c r="C15696" s="4" t="n">
        <v>651.00</v>
      </c>
      <c r="D15696" s="4"/>
    </row>
    <row collapsed="" customFormat="false" customHeight="1" hidden="" ht="14" outlineLevel="0" r="15697">
      <c r="A15697" s="3" t="inlineStr">
        <is>
          <t>15653</t>
        </is>
      </c>
      <c r="B15697" s="4" t="s">
        <f>=HYPERLINK("http://anyluxury.ru/shop/odezhda/futbolki/futbolka-uniseks-re-crusader-svetlobezhevaya-neokrashennaya-04233101/" , "04233101 Футболка унисекс Re Crusader, светло-бежевая (неокрашенная), размер XL")</f>
      </c>
      <c r="C15697" s="4" t="n">
        <v>651.00</v>
      </c>
      <c r="D15697" s="4"/>
    </row>
    <row collapsed="" customFormat="false" customHeight="1" hidden="" ht="14" outlineLevel="0" r="15698">
      <c r="A15698" s="3" t="inlineStr">
        <is>
          <t>15654</t>
        </is>
      </c>
      <c r="B15698" s="4" t="s">
        <f>=HYPERLINK("http://anyluxury.ru/shop/odezhda/futbolki/futbolka-uniseks-re-crusader-svetlobezhevaya-neokrashennaya-04233101/" , "04233101 Футболка унисекс Re Crusader, светло-бежевая (неокрашенная), размер XXL")</f>
      </c>
      <c r="C15698" s="4" t="n">
        <v>651.00</v>
      </c>
      <c r="D15698" s="4"/>
    </row>
    <row collapsed="" customFormat="false" customHeight="1" hidden="" ht="14" outlineLevel="0" r="15699">
      <c r="A15699" s="3" t="inlineStr">
        <is>
          <t>15655</t>
        </is>
      </c>
      <c r="B15699" s="4" t="s">
        <f>=HYPERLINK("http://anyluxury.ru/shop/odezhda/futbolki/futbolka-uniseks-re-crusader-svetlobezhevaya-neokrashennaya-04233101/" , "04233101 Футболка унисекс Re Crusader, светло-бежевая (неокрашенная), размер 3XL")</f>
      </c>
      <c r="C15699" s="4" t="n">
        <v>803.00</v>
      </c>
      <c r="D15699" s="4"/>
    </row>
    <row collapsed="" customFormat="false" customHeight="1" hidden="" ht="14" outlineLevel="0" r="15700">
      <c r="A15700" s="3" t="inlineStr">
        <is>
          <t>15656</t>
        </is>
      </c>
      <c r="B15700" s="4" t="s">
        <f>=HYPERLINK("http://anyluxury.ru/shop/odezhda/futbolki/futbolka-uniseks-re-crusader-yarkosinyaya-royal-04233241/" , "04233241 Футболка унисекс Re Crusader, ярко-синяя, (royal), размер XS")</f>
      </c>
      <c r="C15700" s="4" t="n">
        <v>651.00</v>
      </c>
      <c r="D15700" s="4"/>
    </row>
    <row collapsed="" customFormat="false" customHeight="1" hidden="" ht="14" outlineLevel="0" r="15701">
      <c r="A15701" s="3" t="inlineStr">
        <is>
          <t>15657</t>
        </is>
      </c>
      <c r="B15701" s="4" t="s">
        <f>=HYPERLINK("http://anyluxury.ru/shop/odezhda/futbolki/futbolka-uniseks-re-crusader-yarkosinyaya-royal-04233241/" , "04233241 Футболка унисекс Re Crusader, ярко-синяя, (royal), размер S")</f>
      </c>
      <c r="C15701" s="4" t="n">
        <v>651.00</v>
      </c>
      <c r="D15701" s="4"/>
    </row>
    <row collapsed="" customFormat="false" customHeight="1" hidden="" ht="14" outlineLevel="0" r="15702">
      <c r="A15702" s="3" t="inlineStr">
        <is>
          <t>15658</t>
        </is>
      </c>
      <c r="B15702" s="4" t="s">
        <f>=HYPERLINK("http://anyluxury.ru/shop/odezhda/futbolki/futbolka-uniseks-re-crusader-yarkosinyaya-royal-04233241/" , "04233241 Футболка унисекс Re Crusader, ярко-синяя, (royal), размер M")</f>
      </c>
      <c r="C15702" s="4" t="n">
        <v>651.00</v>
      </c>
      <c r="D15702" s="4"/>
    </row>
    <row collapsed="" customFormat="false" customHeight="1" hidden="" ht="14" outlineLevel="0" r="15703">
      <c r="A15703" s="3" t="inlineStr">
        <is>
          <t>15659</t>
        </is>
      </c>
      <c r="B15703" s="4" t="s">
        <f>=HYPERLINK("http://anyluxury.ru/shop/odezhda/futbolki/futbolka-uniseks-re-crusader-yarkosinyaya-royal-04233241/" , "04233241 Футболка унисекс Re Crusader, ярко-синяя, (royal), размер L")</f>
      </c>
      <c r="C15703" s="4" t="n">
        <v>651.00</v>
      </c>
      <c r="D15703" s="4"/>
    </row>
    <row collapsed="" customFormat="false" customHeight="1" hidden="" ht="14" outlineLevel="0" r="15704">
      <c r="A15704" s="3" t="inlineStr">
        <is>
          <t>15660</t>
        </is>
      </c>
      <c r="B15704" s="4" t="s">
        <f>=HYPERLINK("http://anyluxury.ru/shop/odezhda/futbolki/futbolka-uniseks-re-crusader-yarkosinyaya-royal-04233241/" , "04233241 Футболка унисекс Re Crusader, ярко-синяя, (royal), размер XL")</f>
      </c>
      <c r="C15704" s="4" t="n">
        <v>651.00</v>
      </c>
      <c r="D15704" s="4"/>
    </row>
    <row collapsed="" customFormat="false" customHeight="1" hidden="" ht="14" outlineLevel="0" r="15705">
      <c r="A15705" s="3" t="inlineStr">
        <is>
          <t>15661</t>
        </is>
      </c>
      <c r="B15705" s="4" t="s">
        <f>=HYPERLINK("http://anyluxury.ru/shop/odezhda/futbolki/futbolka-uniseks-re-crusader-yarkosinyaya-royal-04233241/" , "04233241 Футболка унисекс Re Crusader, ярко-синяя, (royal), размер XXL")</f>
      </c>
      <c r="C15705" s="4" t="n">
        <v>651.00</v>
      </c>
      <c r="D15705" s="4"/>
    </row>
    <row collapsed="" customFormat="false" customHeight="1" hidden="" ht="14" outlineLevel="0" r="15706">
      <c r="A15706" s="3" t="inlineStr">
        <is>
          <t>15662</t>
        </is>
      </c>
      <c r="B15706" s="4" t="s">
        <f>=HYPERLINK("http://anyluxury.ru/shop/odezhda/futbolki/futbolka-uniseks-re-crusader-yarkosinyaya-royal-04233241/" , "04233241 Футболка унисекс Re Crusader, ярко-синяя, (royal), размер 3XL")</f>
      </c>
      <c r="C15706" s="4" t="n">
        <v>803.00</v>
      </c>
      <c r="D15706" s="4"/>
    </row>
    <row collapsed="" customFormat="false" customHeight="1" hidden="" ht="14" outlineLevel="0" r="15707">
      <c r="A15707" s="3" t="inlineStr">
        <is>
          <t>15663</t>
        </is>
      </c>
      <c r="B15707" s="4" t="s">
        <f>=HYPERLINK("http://anyluxury.ru/shop/odezhda/futbolki/futbolka-uniseks-re-crusader-belaya-04233102/" , "04233102 Футболка унисекс Re Crusader, белая, размер XS")</f>
      </c>
      <c r="C15707" s="4" t="n">
        <v>563.00</v>
      </c>
      <c r="D15707" s="4"/>
    </row>
    <row collapsed="" customFormat="false" customHeight="1" hidden="" ht="14" outlineLevel="0" r="15708">
      <c r="A15708" s="3" t="inlineStr">
        <is>
          <t>15664</t>
        </is>
      </c>
      <c r="B15708" s="4" t="s">
        <f>=HYPERLINK("http://anyluxury.ru/shop/odezhda/futbolki/futbolka-uniseks-re-crusader-belaya-04233102/" , "04233102 Футболка унисекс Re Crusader, белая, размер S")</f>
      </c>
      <c r="C15708" s="4" t="n">
        <v>563.00</v>
      </c>
      <c r="D15708" s="4"/>
    </row>
    <row collapsed="" customFormat="false" customHeight="1" hidden="" ht="14" outlineLevel="0" r="15709">
      <c r="A15709" s="3" t="inlineStr">
        <is>
          <t>15665</t>
        </is>
      </c>
      <c r="B15709" s="4" t="s">
        <f>=HYPERLINK("http://anyluxury.ru/shop/odezhda/futbolki/futbolka-uniseks-re-crusader-belaya-04233102/" , "04233102 Футболка унисекс Re Crusader, белая, размер M")</f>
      </c>
      <c r="C15709" s="4" t="n">
        <v>563.00</v>
      </c>
      <c r="D15709" s="4"/>
    </row>
    <row collapsed="" customFormat="false" customHeight="1" hidden="" ht="14" outlineLevel="0" r="15710">
      <c r="A15710" s="3" t="inlineStr">
        <is>
          <t>15666</t>
        </is>
      </c>
      <c r="B15710" s="4" t="s">
        <f>=HYPERLINK("http://anyluxury.ru/shop/odezhda/futbolki/futbolka-uniseks-re-crusader-belaya-04233102/" , "04233102 Футболка унисекс Re Crusader, белая, размер L")</f>
      </c>
      <c r="C15710" s="4" t="n">
        <v>563.00</v>
      </c>
      <c r="D15710" s="4"/>
    </row>
    <row collapsed="" customFormat="false" customHeight="1" hidden="" ht="14" outlineLevel="0" r="15711">
      <c r="A15711" s="3" t="inlineStr">
        <is>
          <t>15667</t>
        </is>
      </c>
      <c r="B15711" s="4" t="s">
        <f>=HYPERLINK("http://anyluxury.ru/shop/odezhda/futbolki/futbolka-uniseks-re-crusader-belaya-04233102/" , "04233102 Футболка унисекс Re Crusader, белая, размер XL")</f>
      </c>
      <c r="C15711" s="4" t="n">
        <v>563.00</v>
      </c>
      <c r="D15711" s="4"/>
    </row>
    <row collapsed="" customFormat="false" customHeight="1" hidden="" ht="14" outlineLevel="0" r="15712">
      <c r="A15712" s="3" t="inlineStr">
        <is>
          <t>15668</t>
        </is>
      </c>
      <c r="B15712" s="4" t="s">
        <f>=HYPERLINK("http://anyluxury.ru/shop/odezhda/futbolki/futbolka-uniseks-re-crusader-belaya-04233102/" , "04233102 Футболка унисекс Re Crusader, белая, размер XXL")</f>
      </c>
      <c r="C15712" s="4" t="n">
        <v>563.00</v>
      </c>
      <c r="D15712" s="4"/>
    </row>
    <row collapsed="" customFormat="false" customHeight="1" hidden="" ht="14" outlineLevel="0" r="15713">
      <c r="A15713" s="3" t="inlineStr">
        <is>
          <t>15669</t>
        </is>
      </c>
      <c r="B15713" s="4" t="s">
        <f>=HYPERLINK("http://anyluxury.ru/shop/odezhda/futbolki/futbolka-uniseks-re-crusader-belaya-04233102/" , "04233102 Футболка унисекс Re Crusader, белая, размер 3XL")</f>
      </c>
      <c r="C15713" s="4" t="n">
        <v>690.00</v>
      </c>
      <c r="D15713" s="4"/>
    </row>
    <row collapsed="" customFormat="false" customHeight="1" hidden="" ht="14" outlineLevel="0" r="15714">
      <c r="A15714" s="3" t="inlineStr">
        <is>
          <t>15670</t>
        </is>
      </c>
      <c r="B15714" s="4" t="s">
        <f>=HYPERLINK("http://anyluxury.ru/shop/odezhda/futbolki/futbolka-uniseks-re-crusader-belaya-04233102/" , "04233102 Футболка унисекс Re Crusader, белая, размер 4XL")</f>
      </c>
      <c r="C15714" s="4" t="n">
        <v>831.00</v>
      </c>
      <c r="D15714" s="4"/>
    </row>
    <row collapsed="" customFormat="false" customHeight="1" hidden="" ht="14" outlineLevel="0" r="15715">
      <c r="A15715" s="3" t="inlineStr">
        <is>
          <t>15671</t>
        </is>
      </c>
      <c r="B15715" s="4" t="s">
        <f>=HYPERLINK("http://anyluxury.ru/shop/odezhda/futbolki/futbolka-tbolka-160-original-belaya-tepliy-ottenok-1114061/" , "11140.61 Футболка T-bolka 160 Original, белая (теплый оттенок), размер XXS")</f>
      </c>
      <c r="C15715" s="4" t="n">
        <v>631.00</v>
      </c>
      <c r="D15715" s="4"/>
    </row>
    <row collapsed="" customFormat="false" customHeight="1" hidden="" ht="14" outlineLevel="0" r="15716">
      <c r="A15716" s="3" t="inlineStr">
        <is>
          <t>15672</t>
        </is>
      </c>
      <c r="B15716" s="4" t="s">
        <f>=HYPERLINK("http://anyluxury.ru/shop/odezhda/futbolki/futbolka-tbolka-160-original-belaya-tepliy-ottenok-1114061/" , "11140.61 Футболка T-bolka 160 Original, белая (теплый оттенок), размер XS")</f>
      </c>
      <c r="C15716" s="4" t="n">
        <v>631.00</v>
      </c>
      <c r="D15716" s="4"/>
    </row>
    <row collapsed="" customFormat="false" customHeight="1" hidden="" ht="14" outlineLevel="0" r="15717">
      <c r="A15717" s="3" t="inlineStr">
        <is>
          <t>15673</t>
        </is>
      </c>
      <c r="B15717" s="4" t="s">
        <f>=HYPERLINK("http://anyluxury.ru/shop/odezhda/futbolki/futbolka-tbolka-160-original-belaya-tepliy-ottenok-1114061/" , "11140.61 Футболка T-bolka 160 Original, белая (теплый оттенок), размер S")</f>
      </c>
      <c r="C15717" s="4" t="n">
        <v>631.00</v>
      </c>
      <c r="D15717" s="4"/>
    </row>
    <row collapsed="" customFormat="false" customHeight="1" hidden="" ht="14" outlineLevel="0" r="15718">
      <c r="A15718" s="3" t="inlineStr">
        <is>
          <t>15674</t>
        </is>
      </c>
      <c r="B15718" s="4" t="s">
        <f>=HYPERLINK("http://anyluxury.ru/shop/odezhda/futbolki/futbolka-tbolka-160-original-belaya-tepliy-ottenok-1114061/" , "11140.61 Футболка T-bolka 160 Original, белая (теплый оттенок), размер M")</f>
      </c>
      <c r="C15718" s="4" t="n">
        <v>631.00</v>
      </c>
      <c r="D15718" s="4"/>
    </row>
    <row collapsed="" customFormat="false" customHeight="1" hidden="" ht="14" outlineLevel="0" r="15719">
      <c r="A15719" s="3" t="inlineStr">
        <is>
          <t>15675</t>
        </is>
      </c>
      <c r="B15719" s="4" t="s">
        <f>=HYPERLINK("http://anyluxury.ru/shop/odezhda/futbolki/futbolka-tbolka-160-original-belaya-tepliy-ottenok-1114061/" , "11140.61 Футболка T-bolka 160 Original, белая (теплый оттенок), размер L")</f>
      </c>
      <c r="C15719" s="4" t="n">
        <v>631.00</v>
      </c>
      <c r="D15719" s="4"/>
    </row>
    <row collapsed="" customFormat="false" customHeight="1" hidden="" ht="14" outlineLevel="0" r="15720">
      <c r="A15720" s="3" t="inlineStr">
        <is>
          <t>15676</t>
        </is>
      </c>
      <c r="B15720" s="4" t="s">
        <f>=HYPERLINK("http://anyluxury.ru/shop/odezhda/futbolki/futbolka-tbolka-160-original-belaya-tepliy-ottenok-1114061/" , "11140.61 Футболка T-bolka 160 Original, белая (теплый оттенок), размер XL")</f>
      </c>
      <c r="C15720" s="4" t="n">
        <v>631.00</v>
      </c>
      <c r="D15720" s="4"/>
    </row>
    <row collapsed="" customFormat="false" customHeight="1" hidden="" ht="14" outlineLevel="0" r="15721">
      <c r="A15721" s="3" t="inlineStr">
        <is>
          <t>15677</t>
        </is>
      </c>
      <c r="B15721" s="4" t="s">
        <f>=HYPERLINK("http://anyluxury.ru/shop/odezhda/futbolki/futbolka-tbolka-160-original-belaya-tepliy-ottenok-1114061/" , "11140.61 Футболка T-bolka 160 Original, белая (теплый оттенок), размер XXL")</f>
      </c>
      <c r="C15721" s="4" t="n">
        <v>631.00</v>
      </c>
      <c r="D15721" s="4"/>
    </row>
    <row collapsed="" customFormat="false" customHeight="" hidden="" ht="12.1" outlineLevel="0" r="15722">
      <c r="A15722" s="5" t="inlineStr">
        <is>
          <t> -  - Футболки для промо</t>
        </is>
      </c>
      <c r="B15722" s="6"/>
      <c r="C15722" s="6"/>
      <c r="D15722" s="6"/>
    </row>
    <row collapsed="" customFormat="false" customHeight="1" hidden="" ht="14" outlineLevel="0" r="15723">
      <c r="A15723" s="3" t="inlineStr">
        <is>
          <t>15678</t>
        </is>
      </c>
      <c r="B15723" s="4" t="s">
        <f>=HYPERLINK("http://anyluxury.ru/shop/odezhda/futbolki-dlya-promo/futbolka-imperial-190-granatovaya-137451/" , "1374.51 Футболка IMPERIAL 190 гранатовая, размер S")</f>
      </c>
      <c r="C15723" s="4" t="n">
        <v>697.00</v>
      </c>
      <c r="D15723" s="4"/>
    </row>
    <row collapsed="" customFormat="false" customHeight="1" hidden="" ht="14" outlineLevel="0" r="15724">
      <c r="A15724" s="3" t="inlineStr">
        <is>
          <t>15679</t>
        </is>
      </c>
      <c r="B15724" s="4" t="s">
        <f>=HYPERLINK("http://anyluxury.ru/shop/odezhda/futbolki-dlya-promo/futbolka-imperial-190-granatovaya-137451/" , "1374.51 Футболка IMPERIAL 190 гранатовая, размер M")</f>
      </c>
      <c r="C15724" s="4" t="n">
        <v>697.00</v>
      </c>
      <c r="D15724" s="4"/>
    </row>
    <row collapsed="" customFormat="false" customHeight="1" hidden="" ht="14" outlineLevel="0" r="15725">
      <c r="A15725" s="3" t="inlineStr">
        <is>
          <t>15680</t>
        </is>
      </c>
      <c r="B15725" s="4" t="s">
        <f>=HYPERLINK("http://anyluxury.ru/shop/odezhda/futbolki-dlya-promo/futbolka-imperial-190-granatovaya-137451/" , "1374.51 Футболка IMPERIAL 190 гранатовая, размер L")</f>
      </c>
      <c r="C15725" s="4" t="n">
        <v>697.00</v>
      </c>
      <c r="D15725" s="4"/>
    </row>
    <row collapsed="" customFormat="false" customHeight="1" hidden="" ht="14" outlineLevel="0" r="15726">
      <c r="A15726" s="3" t="inlineStr">
        <is>
          <t>15681</t>
        </is>
      </c>
      <c r="B15726" s="4" t="s">
        <f>=HYPERLINK("http://anyluxury.ru/shop/odezhda/futbolki-dlya-promo/futbolka-imperial-190-granatovaya-137451/" , "1374.51 Футболка IMPERIAL 190 гранатовая, размер XL")</f>
      </c>
      <c r="C15726" s="4" t="n">
        <v>697.00</v>
      </c>
      <c r="D15726" s="4"/>
    </row>
    <row collapsed="" customFormat="false" customHeight="1" hidden="" ht="14" outlineLevel="0" r="15727">
      <c r="A15727" s="3" t="inlineStr">
        <is>
          <t>15682</t>
        </is>
      </c>
      <c r="B15727" s="4" t="s">
        <f>=HYPERLINK("http://anyluxury.ru/shop/odezhda/futbolki-dlya-promo/futbolka-zhenskaya-s-kruglim-virezom-lady-220-belaya-137260/" , "1372.60 Футболка женская с круглым вырезом LADY 220 белая, размер M")</f>
      </c>
      <c r="C15727" s="4" t="n">
        <v>569.00</v>
      </c>
      <c r="D15727" s="4"/>
    </row>
    <row collapsed="" customFormat="false" customHeight="1" hidden="" ht="14" outlineLevel="0" r="15728">
      <c r="A15728" s="3" t="inlineStr">
        <is>
          <t>15683</t>
        </is>
      </c>
      <c r="B15728" s="4" t="s">
        <f>=HYPERLINK("http://anyluxury.ru/shop/odezhda/futbolki-dlya-promo/futbolka-zhenskaya-s-kruglim-virezom-lady-220-belaya-137260/" , "1372.60 Футболка женская с круглым вырезом LADY 220 белая, размер L")</f>
      </c>
      <c r="C15728" s="4" t="n">
        <v>569.00</v>
      </c>
      <c r="D15728" s="4"/>
    </row>
    <row collapsed="" customFormat="false" customHeight="1" hidden="" ht="14" outlineLevel="0" r="15729">
      <c r="A15729" s="3" t="inlineStr">
        <is>
          <t>15684</t>
        </is>
      </c>
      <c r="B15729" s="4" t="s">
        <f>=HYPERLINK("http://anyluxury.ru/shop/odezhda/futbolki-dlya-promo/futbolka-zhenskaya-s-kruglim-virezom-lady-220-belaya-137260/" , "1372.60 Футболка женская с круглым вырезом LADY 220 белая, размер XL")</f>
      </c>
      <c r="C15729" s="4" t="n">
        <v>569.00</v>
      </c>
      <c r="D15729" s="4"/>
    </row>
    <row collapsed="" customFormat="false" customHeight="1" hidden="" ht="14" outlineLevel="0" r="15730">
      <c r="A15730" s="3" t="inlineStr">
        <is>
          <t>15685</t>
        </is>
      </c>
      <c r="B15730" s="4" t="s">
        <f>=HYPERLINK("http://anyluxury.ru/shop/odezhda/futbolki-dlya-promo/futbolka-zhenskaya-s-kruglim-virezom-lady-220-chernaya-137230/" , "1372.30 Футболка женская с круглым вырезом LADY 220 черная, размер XL")</f>
      </c>
      <c r="C15730" s="4" t="n">
        <v>568.00</v>
      </c>
      <c r="D15730" s="4"/>
    </row>
    <row collapsed="" customFormat="false" customHeight="1" hidden="" ht="14" outlineLevel="0" r="15731">
      <c r="A15731" s="3" t="inlineStr">
        <is>
          <t>15686</t>
        </is>
      </c>
      <c r="B15731" s="4" t="s">
        <f>=HYPERLINK("http://anyluxury.ru/shop/odezhda/futbolki-dlya-promo/futbolka-muzhskaya-bez-rukavov-jazzy-170-belaya-137560/" , "1375.60 Футболка мужская без рукавов JAZZY 170 белая, размер XL")</f>
      </c>
      <c r="C15731" s="4" t="n">
        <v>476.00</v>
      </c>
      <c r="D15731" s="4"/>
    </row>
    <row collapsed="" customFormat="false" customHeight="1" hidden="" ht="14" outlineLevel="0" r="15732">
      <c r="A15732" s="3" t="inlineStr">
        <is>
          <t>15687</t>
        </is>
      </c>
      <c r="B15732" s="4" t="s">
        <f>=HYPERLINK("http://anyluxury.ru/shop/odezhda/futbolki-dlya-promo/futbolka-regent-150-svetlozheltaya-137681/" , "1376.81 Футболка REGENT 150 светло-желтая, размер XS")</f>
      </c>
      <c r="C15732" s="4" t="n">
        <v>531.00</v>
      </c>
      <c r="D15732" s="4"/>
    </row>
    <row collapsed="" customFormat="false" customHeight="1" hidden="" ht="14" outlineLevel="0" r="15733">
      <c r="A15733" s="3" t="inlineStr">
        <is>
          <t>15688</t>
        </is>
      </c>
      <c r="B15733" s="4" t="s">
        <f>=HYPERLINK("http://anyluxury.ru/shop/odezhda/futbolki-dlya-promo/futbolka-regent-150-svetlozheltaya-137681/" , "1376.81 Футболка REGENT 150 светло-желтая, размер S")</f>
      </c>
      <c r="C15733" s="4" t="n">
        <v>531.00</v>
      </c>
      <c r="D15733" s="4"/>
    </row>
    <row collapsed="" customFormat="false" customHeight="1" hidden="" ht="14" outlineLevel="0" r="15734">
      <c r="A15734" s="3" t="inlineStr">
        <is>
          <t>15689</t>
        </is>
      </c>
      <c r="B15734" s="4" t="s">
        <f>=HYPERLINK("http://anyluxury.ru/shop/odezhda/futbolki-dlya-promo/futbolka-regent-150-svetlozheltaya-137681/" , "1376.81 Футболка REGENT 150 светло-желтая, размер M")</f>
      </c>
      <c r="C15734" s="4" t="n">
        <v>531.00</v>
      </c>
      <c r="D15734" s="4"/>
    </row>
    <row collapsed="" customFormat="false" customHeight="1" hidden="" ht="14" outlineLevel="0" r="15735">
      <c r="A15735" s="3" t="inlineStr">
        <is>
          <t>15690</t>
        </is>
      </c>
      <c r="B15735" s="4" t="s">
        <f>=HYPERLINK("http://anyluxury.ru/shop/odezhda/futbolki-dlya-promo/futbolka-regent-150-svetlozheltaya-137681/" , "1376.81 Футболка REGENT 150 светло-желтая, размер L")</f>
      </c>
      <c r="C15735" s="4" t="n">
        <v>531.00</v>
      </c>
      <c r="D15735" s="4"/>
    </row>
    <row collapsed="" customFormat="false" customHeight="1" hidden="" ht="14" outlineLevel="0" r="15736">
      <c r="A15736" s="3" t="inlineStr">
        <is>
          <t>15691</t>
        </is>
      </c>
      <c r="B15736" s="4" t="s">
        <f>=HYPERLINK("http://anyluxury.ru/shop/odezhda/futbolki-dlya-promo/futbolka-regent-150-svetlozheltaya-137681/" , "1376.81 Футболка REGENT 150 светло-желтая, размер XL")</f>
      </c>
      <c r="C15736" s="4" t="n">
        <v>531.00</v>
      </c>
      <c r="D15736" s="4"/>
    </row>
    <row collapsed="" customFormat="false" customHeight="1" hidden="" ht="14" outlineLevel="0" r="15737">
      <c r="A15737" s="3" t="inlineStr">
        <is>
          <t>15692</t>
        </is>
      </c>
      <c r="B15737" s="4" t="s">
        <f>=HYPERLINK("http://anyluxury.ru/shop/odezhda/futbolki-dlya-promo/futbolka-regent-150-svetlozheltaya-137681/" , "1376.81 Футболка REGENT 150 светло-желтая, размер XXL")</f>
      </c>
      <c r="C15737" s="4" t="n">
        <v>531.00</v>
      </c>
      <c r="D15737" s="4"/>
    </row>
    <row collapsed="" customFormat="false" customHeight="1" hidden="" ht="14" outlineLevel="0" r="15738">
      <c r="A15738" s="3" t="inlineStr">
        <is>
          <t>15693</t>
        </is>
      </c>
      <c r="B15738" s="4" t="s">
        <f>=HYPERLINK("http://anyluxury.ru/shop/odezhda/futbolki-dlya-promo/futbolka-detskaya-regent-kids-150-oranzhevaya-188620/" , "1886.20 Футболка детская REGENT KIDS 150 оранжевая, на рост 96-104 см (4 года)")</f>
      </c>
      <c r="C15738" s="4" t="n">
        <v>468.00</v>
      </c>
      <c r="D15738" s="4"/>
    </row>
    <row collapsed="" customFormat="false" customHeight="1" hidden="" ht="14" outlineLevel="0" r="15739">
      <c r="A15739" s="3" t="inlineStr">
        <is>
          <t>15694</t>
        </is>
      </c>
      <c r="B15739" s="4" t="s">
        <f>=HYPERLINK("http://anyluxury.ru/shop/odezhda/futbolki-dlya-promo/futbolka-detskaya-regent-kids-150-oranzhevaya-188620/" , "1886.20 Футболка детская REGENT KIDS 150 оранжевая, на рост 106-116 см (6 лет)")</f>
      </c>
      <c r="C15739" s="4" t="n">
        <v>468.00</v>
      </c>
      <c r="D15739" s="4"/>
    </row>
    <row collapsed="" customFormat="false" customHeight="1" hidden="" ht="14" outlineLevel="0" r="15740">
      <c r="A15740" s="3" t="inlineStr">
        <is>
          <t>15695</t>
        </is>
      </c>
      <c r="B15740" s="4" t="s">
        <f>=HYPERLINK("http://anyluxury.ru/shop/odezhda/futbolki-dlya-promo/futbolka-detskaya-regent-kids-150-oranzhevaya-188620/" , "1886.20 Футболка детская REGENT KIDS 150 оранжевая, на рост 118-128 см (8 лет)")</f>
      </c>
      <c r="C15740" s="4" t="n">
        <v>468.00</v>
      </c>
      <c r="D15740" s="4"/>
    </row>
    <row collapsed="" customFormat="false" customHeight="1" hidden="" ht="14" outlineLevel="0" r="15741">
      <c r="A15741" s="3" t="inlineStr">
        <is>
          <t>15696</t>
        </is>
      </c>
      <c r="B15741" s="4" t="s">
        <f>=HYPERLINK("http://anyluxury.ru/shop/odezhda/futbolki-dlya-promo/futbolka-detskaya-regent-kids-150-oranzhevaya-188620/" , "1886.20 Футболка детская REGENT KIDS 150 оранжевая, на рост 130-140 см (10 лет)")</f>
      </c>
      <c r="C15741" s="4" t="n">
        <v>468.00</v>
      </c>
      <c r="D15741" s="4"/>
    </row>
    <row collapsed="" customFormat="false" customHeight="1" hidden="" ht="14" outlineLevel="0" r="15742">
      <c r="A15742" s="3" t="inlineStr">
        <is>
          <t>15697</t>
        </is>
      </c>
      <c r="B15742" s="4" t="s">
        <f>=HYPERLINK("http://anyluxury.ru/shop/odezhda/futbolki-dlya-promo/futbolka-detskaya-regent-kids-150-oranzhevaya-188620/" , "1886.20 Футболка детская REGENT KIDS 150 оранжевая, на рост 142-152 см (12 лет)")</f>
      </c>
      <c r="C15742" s="4" t="n">
        <v>468.00</v>
      </c>
      <c r="D15742" s="4"/>
    </row>
    <row collapsed="" customFormat="false" customHeight="1" hidden="" ht="14" outlineLevel="0" r="15743">
      <c r="A15743" s="3" t="inlineStr">
        <is>
          <t>15698</t>
        </is>
      </c>
      <c r="B15743" s="4" t="s">
        <f>=HYPERLINK("http://anyluxury.ru/shop/odezhda/futbolki-dlya-promo/futbolka-detskaya-regent-kids-150-belaya-188660/" , "1886.60 Футболка детская REGENT KIDS 150 белая, на рост 96-104 см (4 года)")</f>
      </c>
      <c r="C15743" s="4" t="n">
        <v>383.00</v>
      </c>
      <c r="D15743" s="4"/>
    </row>
    <row collapsed="" customFormat="false" customHeight="1" hidden="" ht="14" outlineLevel="0" r="15744">
      <c r="A15744" s="3" t="inlineStr">
        <is>
          <t>15699</t>
        </is>
      </c>
      <c r="B15744" s="4" t="s">
        <f>=HYPERLINK("http://anyluxury.ru/shop/odezhda/futbolki-dlya-promo/futbolka-detskaya-regent-kids-150-belaya-188660/" , "1886.60 Футболка детская REGENT KIDS 150 белая, на рост 106-116 см (6 лет)")</f>
      </c>
      <c r="C15744" s="4" t="n">
        <v>383.00</v>
      </c>
      <c r="D15744" s="4"/>
    </row>
    <row collapsed="" customFormat="false" customHeight="1" hidden="" ht="14" outlineLevel="0" r="15745">
      <c r="A15745" s="3" t="inlineStr">
        <is>
          <t>15700</t>
        </is>
      </c>
      <c r="B15745" s="4" t="s">
        <f>=HYPERLINK("http://anyluxury.ru/shop/odezhda/futbolki-dlya-promo/futbolka-detskaya-regent-kids-150-belaya-188660/" , "1886.60 Футболка детская REGENT KIDS 150 белая, на рост 118-128 см (8 лет)")</f>
      </c>
      <c r="C15745" s="4" t="n">
        <v>383.00</v>
      </c>
      <c r="D15745" s="4"/>
    </row>
    <row collapsed="" customFormat="false" customHeight="1" hidden="" ht="14" outlineLevel="0" r="15746">
      <c r="A15746" s="3" t="inlineStr">
        <is>
          <t>15701</t>
        </is>
      </c>
      <c r="B15746" s="4" t="s">
        <f>=HYPERLINK("http://anyluxury.ru/shop/odezhda/futbolki-dlya-promo/futbolka-detskaya-regent-kids-150-belaya-188660/" , "1886.60 Футболка детская REGENT KIDS 150 белая, на рост 130-140 см (10 лет)")</f>
      </c>
      <c r="C15746" s="4" t="n">
        <v>383.00</v>
      </c>
      <c r="D15746" s="4"/>
    </row>
    <row collapsed="" customFormat="false" customHeight="1" hidden="" ht="14" outlineLevel="0" r="15747">
      <c r="A15747" s="3" t="inlineStr">
        <is>
          <t>15702</t>
        </is>
      </c>
      <c r="B15747" s="4" t="s">
        <f>=HYPERLINK("http://anyluxury.ru/shop/odezhda/futbolki-dlya-promo/futbolka-detskaya-regent-kids-150-belaya-188660/" , "1886.60 Футболка детская REGENT KIDS 150 белая, на рост 142-152 см (12 лет)")</f>
      </c>
      <c r="C15747" s="4" t="n">
        <v>383.00</v>
      </c>
      <c r="D15747" s="4"/>
    </row>
    <row collapsed="" customFormat="false" customHeight="1" hidden="" ht="14" outlineLevel="0" r="15748">
      <c r="A15748" s="3" t="inlineStr">
        <is>
          <t>15703</t>
        </is>
      </c>
      <c r="B15748" s="4" t="s">
        <f>=HYPERLINK("http://anyluxury.ru/shop/odezhda/futbolki-dlya-promo/futbolka-detskaya-regent-kids-150-krasnaya-188650/" , "1886.50 Футболка детская REGENT KIDS 150 красная, на рост 96-104 см (4 года)")</f>
      </c>
      <c r="C15748" s="4" t="n">
        <v>468.00</v>
      </c>
      <c r="D15748" s="4"/>
    </row>
    <row collapsed="" customFormat="false" customHeight="1" hidden="" ht="14" outlineLevel="0" r="15749">
      <c r="A15749" s="3" t="inlineStr">
        <is>
          <t>15704</t>
        </is>
      </c>
      <c r="B15749" s="4" t="s">
        <f>=HYPERLINK("http://anyluxury.ru/shop/odezhda/futbolki-dlya-promo/futbolka-detskaya-regent-kids-150-krasnaya-188650/" , "1886.50 Футболка детская REGENT KIDS 150 красная, на рост 106-116 см (6 лет)")</f>
      </c>
      <c r="C15749" s="4" t="n">
        <v>468.00</v>
      </c>
      <c r="D15749" s="4"/>
    </row>
    <row collapsed="" customFormat="false" customHeight="1" hidden="" ht="14" outlineLevel="0" r="15750">
      <c r="A15750" s="3" t="inlineStr">
        <is>
          <t>15705</t>
        </is>
      </c>
      <c r="B15750" s="4" t="s">
        <f>=HYPERLINK("http://anyluxury.ru/shop/odezhda/futbolki-dlya-promo/futbolka-detskaya-regent-kids-150-krasnaya-188650/" , "1886.50 Футболка детская REGENT KIDS 150 красная, на рост 118-128 см (8 лет)")</f>
      </c>
      <c r="C15750" s="4" t="n">
        <v>468.00</v>
      </c>
      <c r="D15750" s="4"/>
    </row>
    <row collapsed="" customFormat="false" customHeight="1" hidden="" ht="14" outlineLevel="0" r="15751">
      <c r="A15751" s="3" t="inlineStr">
        <is>
          <t>15706</t>
        </is>
      </c>
      <c r="B15751" s="4" t="s">
        <f>=HYPERLINK("http://anyluxury.ru/shop/odezhda/futbolki-dlya-promo/futbolka-detskaya-regent-kids-150-krasnaya-188650/" , "1886.50 Футболка детская REGENT KIDS 150 красная, на рост 130-140 см (10 лет)")</f>
      </c>
      <c r="C15751" s="4" t="n">
        <v>468.00</v>
      </c>
      <c r="D15751" s="4"/>
    </row>
    <row collapsed="" customFormat="false" customHeight="1" hidden="" ht="14" outlineLevel="0" r="15752">
      <c r="A15752" s="3" t="inlineStr">
        <is>
          <t>15707</t>
        </is>
      </c>
      <c r="B15752" s="4" t="s">
        <f>=HYPERLINK("http://anyluxury.ru/shop/odezhda/futbolki-dlya-promo/futbolka-detskaya-regent-kids-150-krasnaya-188650/" , "1886.50 Футболка детская REGENT KIDS 150 красная, на рост 142-152 см (12 лет)")</f>
      </c>
      <c r="C15752" s="4" t="n">
        <v>468.00</v>
      </c>
      <c r="D15752" s="4"/>
    </row>
    <row collapsed="" customFormat="false" customHeight="1" hidden="" ht="14" outlineLevel="0" r="15753">
      <c r="A15753" s="3" t="inlineStr">
        <is>
          <t>15708</t>
        </is>
      </c>
      <c r="B15753" s="4" t="s">
        <f>=HYPERLINK("http://anyluxury.ru/shop/odezhda/futbolki-dlya-promo/futbolka-detskaya-regent-kids-150-yarkosinyaya-royal-188644/" , "1886.44 Футболка детская REGENT KIDS 150 ярко-синяя, на рост 96-104 см (4 года)")</f>
      </c>
      <c r="C15753" s="4" t="n">
        <v>468.00</v>
      </c>
      <c r="D15753" s="4"/>
    </row>
    <row collapsed="" customFormat="false" customHeight="1" hidden="" ht="14" outlineLevel="0" r="15754">
      <c r="A15754" s="3" t="inlineStr">
        <is>
          <t>15709</t>
        </is>
      </c>
      <c r="B15754" s="4" t="s">
        <f>=HYPERLINK("http://anyluxury.ru/shop/odezhda/futbolki-dlya-promo/futbolka-detskaya-regent-kids-150-yarkosinyaya-royal-188644/" , "1886.44 Футболка детская REGENT KIDS 150 ярко-синяя (royal), на рост 106-116 см (6 лет)")</f>
      </c>
      <c r="C15754" s="4" t="n">
        <v>468.00</v>
      </c>
      <c r="D15754" s="4"/>
    </row>
    <row collapsed="" customFormat="false" customHeight="1" hidden="" ht="14" outlineLevel="0" r="15755">
      <c r="A15755" s="3" t="inlineStr">
        <is>
          <t>15710</t>
        </is>
      </c>
      <c r="B15755" s="4" t="s">
        <f>=HYPERLINK("http://anyluxury.ru/shop/odezhda/futbolki-dlya-promo/futbolka-detskaya-regent-kids-150-yarkosinyaya-royal-188644/" , "1886.44 Футболка детская REGENT KIDS 150 ярко-синяя (royal), на рост 118-128 см (8 лет)")</f>
      </c>
      <c r="C15755" s="4" t="n">
        <v>468.00</v>
      </c>
      <c r="D15755" s="4"/>
    </row>
    <row collapsed="" customFormat="false" customHeight="1" hidden="" ht="14" outlineLevel="0" r="15756">
      <c r="A15756" s="3" t="inlineStr">
        <is>
          <t>15711</t>
        </is>
      </c>
      <c r="B15756" s="4" t="s">
        <f>=HYPERLINK("http://anyluxury.ru/shop/odezhda/futbolki-dlya-promo/futbolka-detskaya-regent-kids-150-yarkosinyaya-royal-188644/" , "1886.44 Футболка детская REGENT KIDS 150 ярко-синяя (royal), на рост 130-140 см (10 лет)")</f>
      </c>
      <c r="C15756" s="4" t="n">
        <v>468.00</v>
      </c>
      <c r="D15756" s="4"/>
    </row>
    <row collapsed="" customFormat="false" customHeight="1" hidden="" ht="14" outlineLevel="0" r="15757">
      <c r="A15757" s="3" t="inlineStr">
        <is>
          <t>15712</t>
        </is>
      </c>
      <c r="B15757" s="4" t="s">
        <f>=HYPERLINK("http://anyluxury.ru/shop/odezhda/futbolki-dlya-promo/futbolka-detskaya-regent-kids-150-yarkosinyaya-royal-188644/" , "1886.44 Футболка детская REGENT KIDS 150 ярко-синяя (royal), на рост 142-152 см (12 лет)")</f>
      </c>
      <c r="C15757" s="4" t="n">
        <v>468.00</v>
      </c>
      <c r="D15757" s="4"/>
    </row>
    <row collapsed="" customFormat="false" customHeight="1" hidden="" ht="14" outlineLevel="0" r="15758">
      <c r="A15758" s="3" t="inlineStr">
        <is>
          <t>15713</t>
        </is>
      </c>
      <c r="B15758" s="4" t="s">
        <f>=HYPERLINK("http://anyluxury.ru/shop/odezhda/futbolki-dlya-promo/futbolka-detskaya-regent-kids-150-yarkozelenaya-188690/" , "1886.90 Футболка детская REGENT KIDS 150 ярко-зеленая, на рост 96-104 см (4 года)")</f>
      </c>
      <c r="C15758" s="4" t="n">
        <v>468.00</v>
      </c>
      <c r="D15758" s="4"/>
    </row>
    <row collapsed="" customFormat="false" customHeight="1" hidden="" ht="14" outlineLevel="0" r="15759">
      <c r="A15759" s="3" t="inlineStr">
        <is>
          <t>15714</t>
        </is>
      </c>
      <c r="B15759" s="4" t="s">
        <f>=HYPERLINK("http://anyluxury.ru/shop/odezhda/futbolki-dlya-promo/futbolka-detskaya-regent-kids-150-yarkozelenaya-188690/" , "1886.90 Футболка детская REGENT KIDS 150 ярко-зеленая, на рост 106-116 см (6 лет)")</f>
      </c>
      <c r="C15759" s="4" t="n">
        <v>468.00</v>
      </c>
      <c r="D15759" s="4"/>
    </row>
    <row collapsed="" customFormat="false" customHeight="1" hidden="" ht="14" outlineLevel="0" r="15760">
      <c r="A15760" s="3" t="inlineStr">
        <is>
          <t>15715</t>
        </is>
      </c>
      <c r="B15760" s="4" t="s">
        <f>=HYPERLINK("http://anyluxury.ru/shop/odezhda/futbolki-dlya-promo/futbolka-detskaya-regent-kids-150-yarkozelenaya-188690/" , "1886.90 Футболка детская REGENT KIDS 150 ярко-зеленая, на рост 118-128 см (8 лет)")</f>
      </c>
      <c r="C15760" s="4" t="n">
        <v>468.00</v>
      </c>
      <c r="D15760" s="4"/>
    </row>
    <row collapsed="" customFormat="false" customHeight="1" hidden="" ht="14" outlineLevel="0" r="15761">
      <c r="A15761" s="3" t="inlineStr">
        <is>
          <t>15716</t>
        </is>
      </c>
      <c r="B15761" s="4" t="s">
        <f>=HYPERLINK("http://anyluxury.ru/shop/odezhda/futbolki-dlya-promo/futbolka-detskaya-regent-kids-150-yarkozelenaya-188690/" , "1886.90 Футболка детская REGENT KIDS 150 ярко-зеленая, на рост 130-140 см (10 лет)")</f>
      </c>
      <c r="C15761" s="4" t="n">
        <v>468.00</v>
      </c>
      <c r="D15761" s="4"/>
    </row>
    <row collapsed="" customFormat="false" customHeight="1" hidden="" ht="14" outlineLevel="0" r="15762">
      <c r="A15762" s="3" t="inlineStr">
        <is>
          <t>15717</t>
        </is>
      </c>
      <c r="B15762" s="4" t="s">
        <f>=HYPERLINK("http://anyluxury.ru/shop/odezhda/futbolki-dlya-promo/futbolka-detskaya-regent-kids-150-yarkozelenaya-188690/" , "1886.90 Футболка детская REGENT KIDS 150 ярко-зеленая, на рост 142-152 см (12 лет)")</f>
      </c>
      <c r="C15762" s="4" t="n">
        <v>468.00</v>
      </c>
      <c r="D15762" s="4"/>
    </row>
    <row collapsed="" customFormat="false" customHeight="1" hidden="" ht="14" outlineLevel="0" r="15763">
      <c r="A15763" s="3" t="inlineStr">
        <is>
          <t>15718</t>
        </is>
      </c>
      <c r="B15763" s="4" t="s">
        <f>=HYPERLINK("http://anyluxury.ru/shop/odezhda/futbolki-dlya-promo/futbolka-detskaya-regent-kids-150-zheltaya-188680/" , "1886.80 Футболка детская REGENT KIDS 150 желтая, на рост 96-104 см (4 года)")</f>
      </c>
      <c r="C15763" s="4" t="n">
        <v>468.00</v>
      </c>
      <c r="D15763" s="4"/>
    </row>
    <row collapsed="" customFormat="false" customHeight="1" hidden="" ht="14" outlineLevel="0" r="15764">
      <c r="A15764" s="3" t="inlineStr">
        <is>
          <t>15719</t>
        </is>
      </c>
      <c r="B15764" s="4" t="s">
        <f>=HYPERLINK("http://anyluxury.ru/shop/odezhda/futbolki-dlya-promo/futbolka-detskaya-regent-kids-150-zheltaya-188680/" , "1886.80 Футболка детская REGENT KIDS 150 желтая, на рост 106-116 см (6 лет)")</f>
      </c>
      <c r="C15764" s="4" t="n">
        <v>468.00</v>
      </c>
      <c r="D15764" s="4"/>
    </row>
    <row collapsed="" customFormat="false" customHeight="1" hidden="" ht="14" outlineLevel="0" r="15765">
      <c r="A15765" s="3" t="inlineStr">
        <is>
          <t>15720</t>
        </is>
      </c>
      <c r="B15765" s="4" t="s">
        <f>=HYPERLINK("http://anyluxury.ru/shop/odezhda/futbolki-dlya-promo/futbolka-detskaya-regent-kids-150-zheltaya-188680/" , "1886.80 Футболка детская REGENT KIDS 150 желтая, на рост 118-128 см (8 лет)")</f>
      </c>
      <c r="C15765" s="4" t="n">
        <v>468.00</v>
      </c>
      <c r="D15765" s="4"/>
    </row>
    <row collapsed="" customFormat="false" customHeight="1" hidden="" ht="14" outlineLevel="0" r="15766">
      <c r="A15766" s="3" t="inlineStr">
        <is>
          <t>15721</t>
        </is>
      </c>
      <c r="B15766" s="4" t="s">
        <f>=HYPERLINK("http://anyluxury.ru/shop/odezhda/futbolki-dlya-promo/futbolka-detskaya-regent-kids-150-zheltaya-188680/" , "1886.80 Футболка детская REGENT KIDS 150 желтая, на рост 130-140 см (10 лет)")</f>
      </c>
      <c r="C15766" s="4" t="n">
        <v>468.00</v>
      </c>
      <c r="D15766" s="4"/>
    </row>
    <row collapsed="" customFormat="false" customHeight="1" hidden="" ht="14" outlineLevel="0" r="15767">
      <c r="A15767" s="3" t="inlineStr">
        <is>
          <t>15722</t>
        </is>
      </c>
      <c r="B15767" s="4" t="s">
        <f>=HYPERLINK("http://anyluxury.ru/shop/odezhda/futbolki-dlya-promo/futbolka-muzhskaya-s-vobr-virezom-victory-150-belaya-188760/" , "1887.60 Футболка мужская с V-обр. вырезом VICTORY 150 белая, размер XXL")</f>
      </c>
      <c r="C15767" s="4" t="n">
        <v>621.00</v>
      </c>
      <c r="D15767" s="4"/>
    </row>
    <row collapsed="" customFormat="false" customHeight="1" hidden="" ht="14" outlineLevel="0" r="15768">
      <c r="A15768" s="3" t="inlineStr">
        <is>
          <t>15723</t>
        </is>
      </c>
      <c r="B15768" s="4" t="s">
        <f>=HYPERLINK("http://anyluxury.ru/shop/odezhda/futbolki-dlya-promo/futbolka-muzhskaya-s-vobr-virezom-victory-150-belaya-188760/" , "1887.60 Футболка мужская с V-обр. вырезом Victory 150 белая, размер S")</f>
      </c>
      <c r="C15768" s="4" t="n">
        <v>621.00</v>
      </c>
      <c r="D15768" s="4"/>
    </row>
    <row collapsed="" customFormat="false" customHeight="1" hidden="" ht="14" outlineLevel="0" r="15769">
      <c r="A15769" s="3" t="inlineStr">
        <is>
          <t>15724</t>
        </is>
      </c>
      <c r="B15769" s="4" t="s">
        <f>=HYPERLINK("http://anyluxury.ru/shop/odezhda/futbolki-dlya-promo/futbolka-muzhskaya-s-vobr-virezom-victory-150-krasnaya-188750/" , "1887.50 Футболка мужская с V-обр. вырезом VICTORY 150 красная, размер M")</f>
      </c>
      <c r="C15769" s="4" t="n">
        <v>764.00</v>
      </c>
      <c r="D15769" s="4"/>
    </row>
    <row collapsed="" customFormat="false" customHeight="1" hidden="" ht="14" outlineLevel="0" r="15770">
      <c r="A15770" s="3" t="inlineStr">
        <is>
          <t>15725</t>
        </is>
      </c>
      <c r="B15770" s="4" t="s">
        <f>=HYPERLINK("http://anyluxury.ru/shop/odezhda/futbolki-dlya-promo/futbolka-muzhskaya-s-vobr-virezom-victory-150-krasnaya-188750/" , "1887.50 Футболка мужская с V-обр. вырезом Victory 150 красная, размер S")</f>
      </c>
      <c r="C15770" s="4" t="n">
        <v>764.00</v>
      </c>
      <c r="D15770" s="4"/>
    </row>
    <row collapsed="" customFormat="false" customHeight="1" hidden="" ht="14" outlineLevel="0" r="15771">
      <c r="A15771" s="3" t="inlineStr">
        <is>
          <t>15726</t>
        </is>
      </c>
      <c r="B15771" s="4" t="s">
        <f>=HYPERLINK("http://anyluxury.ru/shop/odezhda/futbolki-dlya-promo/futbolka-zhenskaya-miss-150-belaya-266260/" , "2662.60 Футболка женская MISS 150 белая, размер S")</f>
      </c>
      <c r="C15771" s="4" t="n">
        <v>434.00</v>
      </c>
      <c r="D15771" s="4"/>
    </row>
    <row collapsed="" customFormat="false" customHeight="1" hidden="" ht="14" outlineLevel="0" r="15772">
      <c r="A15772" s="3" t="inlineStr">
        <is>
          <t>15727</t>
        </is>
      </c>
      <c r="B15772" s="4" t="s">
        <f>=HYPERLINK("http://anyluxury.ru/shop/odezhda/futbolki-dlya-promo/futbolka-zhenskaya-miss-150-belaya-266260/" , "2662.60 Футболка женская MISS 150 белая, размер L")</f>
      </c>
      <c r="C15772" s="4" t="n">
        <v>434.00</v>
      </c>
      <c r="D15772" s="4"/>
    </row>
    <row collapsed="" customFormat="false" customHeight="1" hidden="" ht="14" outlineLevel="0" r="15773">
      <c r="A15773" s="3" t="inlineStr">
        <is>
          <t>15728</t>
        </is>
      </c>
      <c r="B15773" s="4" t="s">
        <f>=HYPERLINK("http://anyluxury.ru/shop/odezhda/futbolki-dlya-promo/futbolka-zhenskaya-miss-150-belaya-266260/" , "2662.60 Футболка женская MISS 150 белая, размер XL")</f>
      </c>
      <c r="C15773" s="4" t="n">
        <v>434.00</v>
      </c>
      <c r="D15773" s="4"/>
    </row>
    <row collapsed="" customFormat="false" customHeight="1" hidden="" ht="14" outlineLevel="0" r="15774">
      <c r="A15774" s="3" t="inlineStr">
        <is>
          <t>15729</t>
        </is>
      </c>
      <c r="B15774" s="4" t="s">
        <f>=HYPERLINK("http://anyluxury.ru/shop/odezhda/futbolki-dlya-promo/futbolka-zhenskaya-miss-150-belaya-266260/" , "2662.60 Футболка женская MISS 150 белая, размер XXL")</f>
      </c>
      <c r="C15774" s="4" t="n">
        <v>434.00</v>
      </c>
      <c r="D15774" s="4"/>
    </row>
    <row collapsed="" customFormat="false" customHeight="1" hidden="" ht="14" outlineLevel="0" r="15775">
      <c r="A15775" s="3" t="inlineStr">
        <is>
          <t>15730</t>
        </is>
      </c>
      <c r="B15775" s="4" t="s">
        <f>=HYPERLINK("http://anyluxury.ru/shop/odezhda/futbolki-dlya-promo/futbolka-zhenskaya-miss-150-krasnaya-266250/" , "2662.50 Футболка женская MISS 150 красная, размер S")</f>
      </c>
      <c r="C15775" s="4" t="n">
        <v>513.00</v>
      </c>
      <c r="D15775" s="4"/>
    </row>
    <row collapsed="" customFormat="false" customHeight="1" hidden="" ht="14" outlineLevel="0" r="15776">
      <c r="A15776" s="3" t="inlineStr">
        <is>
          <t>15731</t>
        </is>
      </c>
      <c r="B15776" s="4" t="s">
        <f>=HYPERLINK("http://anyluxury.ru/shop/odezhda/futbolki-dlya-promo/futbolka-zhenskaya-miss-150-krasnaya-266250/" , "2662.50 Футболка женская MISS 150 красная, размер L")</f>
      </c>
      <c r="C15776" s="4" t="n">
        <v>513.00</v>
      </c>
      <c r="D15776" s="4"/>
    </row>
    <row collapsed="" customFormat="false" customHeight="1" hidden="" ht="14" outlineLevel="0" r="15777">
      <c r="A15777" s="3" t="inlineStr">
        <is>
          <t>15732</t>
        </is>
      </c>
      <c r="B15777" s="4" t="s">
        <f>=HYPERLINK("http://anyluxury.ru/shop/odezhda/futbolki-dlya-promo/futbolka-zhenskaya-miss-150-krasnaya-266250/" , "2662.50 Футболка женская MISS 150 красная, размер XL")</f>
      </c>
      <c r="C15777" s="4" t="n">
        <v>513.00</v>
      </c>
      <c r="D15777" s="4"/>
    </row>
    <row collapsed="" customFormat="false" customHeight="1" hidden="" ht="14" outlineLevel="0" r="15778">
      <c r="A15778" s="3" t="inlineStr">
        <is>
          <t>15733</t>
        </is>
      </c>
      <c r="B15778" s="4" t="s">
        <f>=HYPERLINK("http://anyluxury.ru/shop/odezhda/futbolki-dlya-promo/futbolka-zhenskaya-miss-150-krasnaya-266250/" , "2662.50 Футболка женская MISS 150 красная, размер XXL")</f>
      </c>
      <c r="C15778" s="4" t="n">
        <v>513.00</v>
      </c>
      <c r="D15778" s="4"/>
    </row>
    <row collapsed="" customFormat="false" customHeight="1" hidden="" ht="14" outlineLevel="0" r="15779">
      <c r="A15779" s="3" t="inlineStr">
        <is>
          <t>15734</t>
        </is>
      </c>
      <c r="B15779" s="4" t="s">
        <f>=HYPERLINK("http://anyluxury.ru/shop/odezhda/futbolki-dlya-promo/futbolka-zhenskaya-miss-150-biryuzovaya-266242/" , "2662.42 Футболка женская MISS 150, бирюзовая, размер S")</f>
      </c>
      <c r="C15779" s="4" t="n">
        <v>513.00</v>
      </c>
      <c r="D15779" s="4"/>
    </row>
    <row collapsed="" customFormat="false" customHeight="1" hidden="" ht="14" outlineLevel="0" r="15780">
      <c r="A15780" s="3" t="inlineStr">
        <is>
          <t>15735</t>
        </is>
      </c>
      <c r="B15780" s="4" t="s">
        <f>=HYPERLINK("http://anyluxury.ru/shop/odezhda/futbolki-dlya-promo/futbolka-zhenskaya-miss-150-biryuzovaya-266242/" , "2662.42 Футболка женская MISS 150 бирюзовая, размер XL")</f>
      </c>
      <c r="C15780" s="4" t="n">
        <v>513.00</v>
      </c>
      <c r="D15780" s="4"/>
    </row>
    <row collapsed="" customFormat="false" customHeight="1" hidden="" ht="14" outlineLevel="0" r="15781">
      <c r="A15781" s="3" t="inlineStr">
        <is>
          <t>15736</t>
        </is>
      </c>
      <c r="B15781" s="4" t="s">
        <f>=HYPERLINK("http://anyluxury.ru/shop/odezhda/futbolki-dlya-promo/futbolka-zhenskaya-miss-150-biryuzovaya-266242/" , "2662.42 Футболка женская MISS 150 бирюзовая, размер XXL")</f>
      </c>
      <c r="C15781" s="4" t="n">
        <v>513.00</v>
      </c>
      <c r="D15781" s="4"/>
    </row>
    <row collapsed="" customFormat="false" customHeight="1" hidden="" ht="14" outlineLevel="0" r="15782">
      <c r="A15782" s="3" t="inlineStr">
        <is>
          <t>15737</t>
        </is>
      </c>
      <c r="B15782" s="4" t="s">
        <f>=HYPERLINK("http://anyluxury.ru/shop/odezhda/futbolki-dlya-promo/futbolka-zhenskaya-s-kruglim-virezom-lady-220-krasnaya-137250/" , "1372.50 Футболка женская с круглым вырезом LADY 220 красная, размер S")</f>
      </c>
      <c r="C15782" s="4" t="n">
        <v>454.00</v>
      </c>
      <c r="D15782" s="4"/>
    </row>
    <row collapsed="" customFormat="false" customHeight="1" hidden="" ht="14" outlineLevel="0" r="15783">
      <c r="A15783" s="3" t="inlineStr">
        <is>
          <t>15738</t>
        </is>
      </c>
      <c r="B15783" s="4" t="s">
        <f>=HYPERLINK("http://anyluxury.ru/shop/odezhda/futbolki-dlya-promo/futbolka-zhenskaya-s-kruglim-virezom-lady-220-krasnaya-137250/" , "1372.50 Футболка женская с круглым вырезом LADY 220 красная, размер M")</f>
      </c>
      <c r="C15783" s="4" t="n">
        <v>454.00</v>
      </c>
      <c r="D15783" s="4"/>
    </row>
    <row collapsed="" customFormat="false" customHeight="1" hidden="" ht="14" outlineLevel="0" r="15784">
      <c r="A15784" s="3" t="inlineStr">
        <is>
          <t>15739</t>
        </is>
      </c>
      <c r="B15784" s="4" t="s">
        <f>=HYPERLINK("http://anyluxury.ru/shop/odezhda/futbolki-dlya-promo/futbolka-zhenskaya-s-kruglim-virezom-lady-220-krasnaya-137250/" , "1372.50 Футболка женская с круглым вырезом LADY 220 красная, размер L")</f>
      </c>
      <c r="C15784" s="4" t="n">
        <v>454.00</v>
      </c>
      <c r="D15784" s="4"/>
    </row>
    <row collapsed="" customFormat="false" customHeight="1" hidden="" ht="14" outlineLevel="0" r="15785">
      <c r="A15785" s="3" t="inlineStr">
        <is>
          <t>15740</t>
        </is>
      </c>
      <c r="B15785" s="4" t="s">
        <f>=HYPERLINK("http://anyluxury.ru/shop/odezhda/futbolki-dlya-promo/futbolka-zhenskaya-s-kruglim-virezom-lady-220-krasnaya-137250/" , "1372.50 Футболка женская с круглым вырезом LADY 220 красная, размер XL")</f>
      </c>
      <c r="C15785" s="4" t="n">
        <v>454.00</v>
      </c>
      <c r="D15785" s="4"/>
    </row>
    <row collapsed="" customFormat="false" customHeight="1" hidden="" ht="14" outlineLevel="0" r="15786">
      <c r="A15786" s="3" t="inlineStr">
        <is>
          <t>15741</t>
        </is>
      </c>
      <c r="B15786" s="4" t="s">
        <f>=HYPERLINK("http://anyluxury.ru/shop/odezhda/futbolki-dlya-promo/futbolka-regent-150-haki-137699/" , "1376.99 Футболка REGENT 150 хаки, размер XS")</f>
      </c>
      <c r="C15786" s="4" t="n">
        <v>531.00</v>
      </c>
      <c r="D15786" s="4"/>
    </row>
    <row collapsed="" customFormat="false" customHeight="1" hidden="" ht="14" outlineLevel="0" r="15787">
      <c r="A15787" s="3" t="inlineStr">
        <is>
          <t>15742</t>
        </is>
      </c>
      <c r="B15787" s="4" t="s">
        <f>=HYPERLINK("http://anyluxury.ru/shop/odezhda/futbolki-dlya-promo/futbolka-regent-150-haki-137699/" , "1376.99 Футболка REGENT 150 хаки, размер S")</f>
      </c>
      <c r="C15787" s="4" t="n">
        <v>531.00</v>
      </c>
      <c r="D15787" s="4"/>
    </row>
    <row collapsed="" customFormat="false" customHeight="1" hidden="" ht="14" outlineLevel="0" r="15788">
      <c r="A15788" s="3" t="inlineStr">
        <is>
          <t>15743</t>
        </is>
      </c>
      <c r="B15788" s="4" t="s">
        <f>=HYPERLINK("http://anyluxury.ru/shop/odezhda/futbolki-dlya-promo/futbolka-regent-150-haki-137699/" , "1376.99 Футболка REGENT 150 хаки, размер L")</f>
      </c>
      <c r="C15788" s="4" t="n">
        <v>531.00</v>
      </c>
      <c r="D15788" s="4"/>
    </row>
    <row collapsed="" customFormat="false" customHeight="1" hidden="" ht="14" outlineLevel="0" r="15789">
      <c r="A15789" s="3" t="inlineStr">
        <is>
          <t>15744</t>
        </is>
      </c>
      <c r="B15789" s="4" t="s">
        <f>=HYPERLINK("http://anyluxury.ru/shop/odezhda/futbolki-dlya-promo/futbolka-regent-150-biryuzovaya-137642/" , "1376.42 Футболка REGENT 150 бирюзовая, размер XS")</f>
      </c>
      <c r="C15789" s="4" t="n">
        <v>531.00</v>
      </c>
      <c r="D15789" s="4"/>
    </row>
    <row collapsed="" customFormat="false" customHeight="1" hidden="" ht="14" outlineLevel="0" r="15790">
      <c r="A15790" s="3" t="inlineStr">
        <is>
          <t>15745</t>
        </is>
      </c>
      <c r="B15790" s="4" t="s">
        <f>=HYPERLINK("http://anyluxury.ru/shop/odezhda/futbolki-dlya-promo/futbolka-regent-150-biryuzovaya-137642/" , "1376.42 Футболка REGENT 150 бирюзовая, размер S")</f>
      </c>
      <c r="C15790" s="4" t="n">
        <v>531.00</v>
      </c>
      <c r="D15790" s="4"/>
    </row>
    <row collapsed="" customFormat="false" customHeight="1" hidden="" ht="14" outlineLevel="0" r="15791">
      <c r="A15791" s="3" t="inlineStr">
        <is>
          <t>15746</t>
        </is>
      </c>
      <c r="B15791" s="4" t="s">
        <f>=HYPERLINK("http://anyluxury.ru/shop/odezhda/futbolki-dlya-promo/futbolka-regent-150-biryuzovaya-137642/" , "1376.42 Футболка REGENT 150 бирюзовая, размер M")</f>
      </c>
      <c r="C15791" s="4" t="n">
        <v>531.00</v>
      </c>
      <c r="D15791" s="4"/>
    </row>
    <row collapsed="" customFormat="false" customHeight="1" hidden="" ht="14" outlineLevel="0" r="15792">
      <c r="A15792" s="3" t="inlineStr">
        <is>
          <t>15747</t>
        </is>
      </c>
      <c r="B15792" s="4" t="s">
        <f>=HYPERLINK("http://anyluxury.ru/shop/odezhda/futbolki-dlya-promo/futbolka-regent-150-biryuzovaya-137642/" , "1376.42 Футболка REGENT 150 бирюзовая, размер L")</f>
      </c>
      <c r="C15792" s="4" t="n">
        <v>531.00</v>
      </c>
      <c r="D15792" s="4"/>
    </row>
    <row collapsed="" customFormat="false" customHeight="1" hidden="" ht="14" outlineLevel="0" r="15793">
      <c r="A15793" s="3" t="inlineStr">
        <is>
          <t>15748</t>
        </is>
      </c>
      <c r="B15793" s="4" t="s">
        <f>=HYPERLINK("http://anyluxury.ru/shop/odezhda/futbolki-dlya-promo/futbolka-regent-150-biryuzovaya-137642/" , "1376.42 Футболка REGENT 150 бирюзовая, размер XL")</f>
      </c>
      <c r="C15793" s="4" t="n">
        <v>531.00</v>
      </c>
      <c r="D15793" s="4"/>
    </row>
    <row collapsed="" customFormat="false" customHeight="1" hidden="" ht="14" outlineLevel="0" r="15794">
      <c r="A15794" s="3" t="inlineStr">
        <is>
          <t>15749</t>
        </is>
      </c>
      <c r="B15794" s="4" t="s">
        <f>=HYPERLINK("http://anyluxury.ru/shop/odezhda/futbolki-dlya-promo/futbolka-regent-150-biryuzovaya-137642/" , "1376.42 Футболка Regent 150 бирюзовая, размер XXS")</f>
      </c>
      <c r="C15794" s="4" t="n">
        <v>531.00</v>
      </c>
      <c r="D15794" s="4"/>
    </row>
    <row collapsed="" customFormat="false" customHeight="1" hidden="" ht="14" outlineLevel="0" r="15795">
      <c r="A15795" s="3" t="inlineStr">
        <is>
          <t>15750</t>
        </is>
      </c>
      <c r="B15795" s="4" t="s">
        <f>=HYPERLINK("http://anyluxury.ru/shop/odezhda/futbolki-dlya-promo/futbolka-regent-150-biryuzovaya-137642/" , "1376.42 Футболка Regent 150 бирюзовая, размер 3XL")</f>
      </c>
      <c r="C15795" s="4" t="n">
        <v>653.00</v>
      </c>
      <c r="D15795" s="4"/>
    </row>
    <row collapsed="" customFormat="false" customHeight="1" hidden="" ht="14" outlineLevel="0" r="15796">
      <c r="A15796" s="3" t="inlineStr">
        <is>
          <t>15751</t>
        </is>
      </c>
      <c r="B15796" s="4" t="s">
        <f>=HYPERLINK("http://anyluxury.ru/shop/odezhda/futbolki-dlya-promo/futbolka-imperial-190-laym-137489/" , "1374.89 Футболка IMPERIAL 190 лайм, размер S")</f>
      </c>
      <c r="C15796" s="4" t="n">
        <v>697.00</v>
      </c>
      <c r="D15796" s="4"/>
    </row>
    <row collapsed="" customFormat="false" customHeight="1" hidden="" ht="14" outlineLevel="0" r="15797">
      <c r="A15797" s="3" t="inlineStr">
        <is>
          <t>15752</t>
        </is>
      </c>
      <c r="B15797" s="4" t="s">
        <f>=HYPERLINK("http://anyluxury.ru/shop/odezhda/futbolki-dlya-promo/futbolka-imperial-190-laym-137489/" , "1374.89 Футболка IMPERIAL 190 лайм, размер M")</f>
      </c>
      <c r="C15797" s="4" t="n">
        <v>697.00</v>
      </c>
      <c r="D15797" s="4"/>
    </row>
    <row collapsed="" customFormat="false" customHeight="1" hidden="" ht="14" outlineLevel="0" r="15798">
      <c r="A15798" s="3" t="inlineStr">
        <is>
          <t>15753</t>
        </is>
      </c>
      <c r="B15798" s="4" t="s">
        <f>=HYPERLINK("http://anyluxury.ru/shop/odezhda/futbolki-dlya-promo/futbolka-imperial-190-laym-137489/" , "1374.89 Футболка IMPERIAL 190 лайм, размер L")</f>
      </c>
      <c r="C15798" s="4" t="n">
        <v>697.00</v>
      </c>
      <c r="D15798" s="4"/>
    </row>
    <row collapsed="" customFormat="false" customHeight="1" hidden="" ht="14" outlineLevel="0" r="15799">
      <c r="A15799" s="3" t="inlineStr">
        <is>
          <t>15754</t>
        </is>
      </c>
      <c r="B15799" s="4" t="s">
        <f>=HYPERLINK("http://anyluxury.ru/shop/odezhda/futbolki-dlya-promo/futbolka-imperial-190-laym-137489/" , "1374.89 Футболка IMPERIAL 190 лайм, размер XL")</f>
      </c>
      <c r="C15799" s="4" t="n">
        <v>697.00</v>
      </c>
      <c r="D15799" s="4"/>
    </row>
    <row collapsed="" customFormat="false" customHeight="1" hidden="" ht="14" outlineLevel="0" r="15800">
      <c r="A15800" s="3" t="inlineStr">
        <is>
          <t>15755</t>
        </is>
      </c>
      <c r="B15800" s="4" t="s">
        <f>=HYPERLINK("http://anyluxury.ru/shop/odezhda/futbolki-dlya-promo/futbolka-imperial-190-laym-137489/" , "1374.89 Футболка IMPERIAL 190 лайм, размер XXL")</f>
      </c>
      <c r="C15800" s="4" t="n">
        <v>697.00</v>
      </c>
      <c r="D15800" s="4"/>
    </row>
    <row collapsed="" customFormat="false" customHeight="1" hidden="" ht="14" outlineLevel="0" r="15801">
      <c r="A15801" s="3" t="inlineStr">
        <is>
          <t>15756</t>
        </is>
      </c>
      <c r="B15801" s="4" t="s">
        <f>=HYPERLINK("http://anyluxury.ru/shop/odezhda/futbolki-dlya-promo/futbolka-zhenskaya-miss-150-chernaya-266230/" , "2662.30 Футболка женская MISS 150 черная, размер S")</f>
      </c>
      <c r="C15801" s="4" t="n">
        <v>513.00</v>
      </c>
      <c r="D15801" s="4"/>
    </row>
    <row collapsed="" customFormat="false" customHeight="1" hidden="" ht="14" outlineLevel="0" r="15802">
      <c r="A15802" s="3" t="inlineStr">
        <is>
          <t>15757</t>
        </is>
      </c>
      <c r="B15802" s="4" t="s">
        <f>=HYPERLINK("http://anyluxury.ru/shop/odezhda/futbolki-dlya-promo/futbolka-zhenskaya-miss-150-chernaya-266230/" , "2662.30 Футболка женская MISS 150 черная, размер M")</f>
      </c>
      <c r="C15802" s="4" t="n">
        <v>513.00</v>
      </c>
      <c r="D15802" s="4"/>
    </row>
    <row collapsed="" customFormat="false" customHeight="1" hidden="" ht="14" outlineLevel="0" r="15803">
      <c r="A15803" s="3" t="inlineStr">
        <is>
          <t>15758</t>
        </is>
      </c>
      <c r="B15803" s="4" t="s">
        <f>=HYPERLINK("http://anyluxury.ru/shop/odezhda/futbolki-dlya-promo/futbolka-zhenskaya-miss-150-chernaya-266230/" , "2662.30 Футболка женская MISS 150 черная, размер L")</f>
      </c>
      <c r="C15803" s="4" t="n">
        <v>513.00</v>
      </c>
      <c r="D15803" s="4"/>
    </row>
    <row collapsed="" customFormat="false" customHeight="1" hidden="" ht="14" outlineLevel="0" r="15804">
      <c r="A15804" s="3" t="inlineStr">
        <is>
          <t>15759</t>
        </is>
      </c>
      <c r="B15804" s="4" t="s">
        <f>=HYPERLINK("http://anyluxury.ru/shop/odezhda/futbolki-dlya-promo/futbolka-zhenskaya-miss-150-chernaya-266230/" , "2662.30 Футболка женская MISS 150 черная, размер XL")</f>
      </c>
      <c r="C15804" s="4" t="n">
        <v>513.00</v>
      </c>
      <c r="D15804" s="4"/>
    </row>
    <row collapsed="" customFormat="false" customHeight="1" hidden="" ht="14" outlineLevel="0" r="15805">
      <c r="A15805" s="3" t="inlineStr">
        <is>
          <t>15760</t>
        </is>
      </c>
      <c r="B15805" s="4" t="s">
        <f>=HYPERLINK("http://anyluxury.ru/shop/odezhda/futbolki-dlya-promo/futbolka-zhenskaya-miss-150-chernaya-266230/" , "2662.30 Футболка женская MISS 150 черная, размер XXL")</f>
      </c>
      <c r="C15805" s="4" t="n">
        <v>513.00</v>
      </c>
      <c r="D15805" s="4"/>
    </row>
    <row collapsed="" customFormat="false" customHeight="1" hidden="" ht="14" outlineLevel="0" r="15806">
      <c r="A15806" s="3" t="inlineStr">
        <is>
          <t>15761</t>
        </is>
      </c>
      <c r="B15806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XL")</f>
      </c>
      <c r="C15806" s="4" t="n">
        <v>663.00</v>
      </c>
      <c r="D15806" s="4"/>
    </row>
    <row collapsed="" customFormat="false" customHeight="1" hidden="" ht="14" outlineLevel="0" r="15807">
      <c r="A15807" s="3" t="inlineStr">
        <is>
          <t>15762</t>
        </is>
      </c>
      <c r="B15807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XXL")</f>
      </c>
      <c r="C15807" s="4" t="n">
        <v>663.00</v>
      </c>
      <c r="D15807" s="4"/>
    </row>
    <row collapsed="" customFormat="false" customHeight="1" hidden="" ht="14" outlineLevel="0" r="15808">
      <c r="A15808" s="3" t="inlineStr">
        <is>
          <t>15763</t>
        </is>
      </c>
      <c r="B15808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S")</f>
      </c>
      <c r="C15808" s="4" t="n">
        <v>663.00</v>
      </c>
      <c r="D15808" s="4"/>
    </row>
    <row collapsed="" customFormat="false" customHeight="1" hidden="" ht="14" outlineLevel="0" r="15809">
      <c r="A15809" s="3" t="inlineStr">
        <is>
          <t>15764</t>
        </is>
      </c>
      <c r="B15809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M")</f>
      </c>
      <c r="C15809" s="4" t="n">
        <v>663.00</v>
      </c>
      <c r="D15809" s="4"/>
    </row>
    <row collapsed="" customFormat="false" customHeight="1" hidden="" ht="14" outlineLevel="0" r="15810">
      <c r="A15810" s="3" t="inlineStr">
        <is>
          <t>15765</t>
        </is>
      </c>
      <c r="B15810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L")</f>
      </c>
      <c r="C15810" s="4" t="n">
        <v>663.00</v>
      </c>
      <c r="D15810" s="4"/>
    </row>
    <row collapsed="" customFormat="false" customHeight="1" hidden="" ht="14" outlineLevel="0" r="15811">
      <c r="A15811" s="3" t="inlineStr">
        <is>
          <t>15766</t>
        </is>
      </c>
      <c r="B15811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XL")</f>
      </c>
      <c r="C15811" s="4" t="n">
        <v>663.00</v>
      </c>
      <c r="D15811" s="4"/>
    </row>
    <row collapsed="" customFormat="false" customHeight="1" hidden="" ht="14" outlineLevel="0" r="15812">
      <c r="A15812" s="3" t="inlineStr">
        <is>
          <t>15767</t>
        </is>
      </c>
      <c r="B15812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XXL")</f>
      </c>
      <c r="C15812" s="4" t="n">
        <v>663.00</v>
      </c>
      <c r="D15812" s="4"/>
    </row>
    <row collapsed="" customFormat="false" customHeight="1" hidden="" ht="14" outlineLevel="0" r="15813">
      <c r="A15813" s="3" t="inlineStr">
        <is>
          <t>15768</t>
        </is>
      </c>
      <c r="B15813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S")</f>
      </c>
      <c r="C15813" s="4" t="n">
        <v>663.00</v>
      </c>
      <c r="D15813" s="4"/>
    </row>
    <row collapsed="" customFormat="false" customHeight="1" hidden="" ht="14" outlineLevel="0" r="15814">
      <c r="A15814" s="3" t="inlineStr">
        <is>
          <t>15769</t>
        </is>
      </c>
      <c r="B15814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M")</f>
      </c>
      <c r="C15814" s="4" t="n">
        <v>663.00</v>
      </c>
      <c r="D15814" s="4"/>
    </row>
    <row collapsed="" customFormat="false" customHeight="1" hidden="" ht="14" outlineLevel="0" r="15815">
      <c r="A15815" s="3" t="inlineStr">
        <is>
          <t>15770</t>
        </is>
      </c>
      <c r="B15815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L")</f>
      </c>
      <c r="C15815" s="4" t="n">
        <v>663.00</v>
      </c>
      <c r="D15815" s="4"/>
    </row>
    <row collapsed="" customFormat="false" customHeight="1" hidden="" ht="14" outlineLevel="0" r="15816">
      <c r="A15816" s="3" t="inlineStr">
        <is>
          <t>15771</t>
        </is>
      </c>
      <c r="B15816" s="4" t="s">
        <f>=HYPERLINK("http://anyluxury.ru/shop/odezhda/futbolki-dlya-promo/futbolka-dlya-sublimacii-sublima-160-belaya-480260/" , "4802.60 Футболка для сублимации Sublima 160, белая, размер S")</f>
      </c>
      <c r="C15816" s="4" t="n">
        <v>754.00</v>
      </c>
      <c r="D15816" s="4"/>
    </row>
    <row collapsed="" customFormat="false" customHeight="1" hidden="" ht="14" outlineLevel="0" r="15817">
      <c r="A15817" s="3" t="inlineStr">
        <is>
          <t>15772</t>
        </is>
      </c>
      <c r="B15817" s="4" t="s">
        <f>=HYPERLINK("http://anyluxury.ru/shop/odezhda/futbolki-dlya-promo/futbolka-dlya-sublimacii-sublima-160-belaya-480260/" , "4802.60 Футболка для сублимации Sublima 160, белая, размер M")</f>
      </c>
      <c r="C15817" s="4" t="n">
        <v>754.00</v>
      </c>
      <c r="D15817" s="4"/>
    </row>
    <row collapsed="" customFormat="false" customHeight="1" hidden="" ht="14" outlineLevel="0" r="15818">
      <c r="A15818" s="3" t="inlineStr">
        <is>
          <t>15773</t>
        </is>
      </c>
      <c r="B15818" s="4" t="s">
        <f>=HYPERLINK("http://anyluxury.ru/shop/odezhda/futbolki-dlya-promo/futbolka-dlya-sublimacii-sublima-160-belaya-480260/" , "4802.60 Футболка для сублимации Sublima 160, белая, размер XXL")</f>
      </c>
      <c r="C15818" s="4" t="n">
        <v>754.00</v>
      </c>
      <c r="D15818" s="4"/>
    </row>
    <row collapsed="" customFormat="false" customHeight="1" hidden="" ht="14" outlineLevel="0" r="15819">
      <c r="A15819" s="3" t="inlineStr">
        <is>
          <t>15774</t>
        </is>
      </c>
      <c r="B15819" s="4" t="s">
        <f>=HYPERLINK("http://anyluxury.ru/shop/odezhda/futbolki-dlya-promo/futbolka-dlya-sublimacii-sublima-160-belaya-480260/" , "4802.60 Футболка для сублимации Sublima 160, белая, размер XS ")</f>
      </c>
      <c r="C15819" s="4" t="n">
        <v>754.00</v>
      </c>
      <c r="D15819" s="4"/>
    </row>
    <row collapsed="" customFormat="false" customHeight="1" hidden="" ht="14" outlineLevel="0" r="15820">
      <c r="A15820" s="3" t="inlineStr">
        <is>
          <t>15775</t>
        </is>
      </c>
      <c r="B15820" s="4" t="s">
        <f>=HYPERLINK("http://anyluxury.ru/shop/odezhda/futbolki-dlya-promo/futbolka-zhenskaya-imperial-women-190-belaya-608360/" , "6083.60 Футболка женская Imperial women 190 белая, размер S")</f>
      </c>
      <c r="C15820" s="4" t="n">
        <v>587.00</v>
      </c>
      <c r="D15820" s="4"/>
    </row>
    <row collapsed="" customFormat="false" customHeight="1" hidden="" ht="14" outlineLevel="0" r="15821">
      <c r="A15821" s="3" t="inlineStr">
        <is>
          <t>15776</t>
        </is>
      </c>
      <c r="B15821" s="4" t="s">
        <f>=HYPERLINK("http://anyluxury.ru/shop/odezhda/futbolki-dlya-promo/futbolka-zhenskaya-imperial-women-190-belaya-608360/" , "6083.60 Футболка женская Imperial women 190 белая, размер M")</f>
      </c>
      <c r="C15821" s="4" t="n">
        <v>587.00</v>
      </c>
      <c r="D15821" s="4"/>
    </row>
    <row collapsed="" customFormat="false" customHeight="1" hidden="" ht="14" outlineLevel="0" r="15822">
      <c r="A15822" s="3" t="inlineStr">
        <is>
          <t>15777</t>
        </is>
      </c>
      <c r="B15822" s="4" t="s">
        <f>=HYPERLINK("http://anyluxury.ru/shop/odezhda/futbolki-dlya-promo/futbolka-zhenskaya-imperial-women-190-belaya-608360/" , "6083.60 Футболка женская Imperial women 190 белая, размер L")</f>
      </c>
      <c r="C15822" s="4" t="n">
        <v>587.00</v>
      </c>
      <c r="D15822" s="4"/>
    </row>
    <row collapsed="" customFormat="false" customHeight="1" hidden="" ht="14" outlineLevel="0" r="15823">
      <c r="A15823" s="3" t="inlineStr">
        <is>
          <t>15778</t>
        </is>
      </c>
      <c r="B15823" s="4" t="s">
        <f>=HYPERLINK("http://anyluxury.ru/shop/odezhda/futbolki-dlya-promo/futbolka-zhenskaya-imperial-women-190-belaya-608360/" , "6083.60 Футболка женская Imperial women 190 белая, размер XL")</f>
      </c>
      <c r="C15823" s="4" t="n">
        <v>587.00</v>
      </c>
      <c r="D15823" s="4"/>
    </row>
    <row collapsed="" customFormat="false" customHeight="1" hidden="" ht="14" outlineLevel="0" r="15824">
      <c r="A15824" s="3" t="inlineStr">
        <is>
          <t>15779</t>
        </is>
      </c>
      <c r="B15824" s="4" t="s">
        <f>=HYPERLINK("http://anyluxury.ru/shop/odezhda/futbolki-dlya-promo/futbolka-zhenskaya-imperial-women-190-belaya-608360/" , "6083.60 Футболка женская Imperial women 190 белая, размер XXL")</f>
      </c>
      <c r="C15824" s="4" t="n">
        <v>587.00</v>
      </c>
      <c r="D15824" s="4"/>
    </row>
    <row collapsed="" customFormat="false" customHeight="1" hidden="" ht="14" outlineLevel="0" r="15825">
      <c r="A15825" s="3" t="inlineStr">
        <is>
          <t>15780</t>
        </is>
      </c>
      <c r="B15825" s="4" t="s">
        <f>=HYPERLINK("http://anyluxury.ru/shop/odezhda/futbolki-dlya-promo/futbolka-zhenskaya-imperial-women-190-zheltaya-608380/" , "6083.80 Футболка женская Imperial women 190 желтая, размер S")</f>
      </c>
      <c r="C15825" s="4" t="n">
        <v>697.00</v>
      </c>
      <c r="D15825" s="4"/>
    </row>
    <row collapsed="" customFormat="false" customHeight="1" hidden="" ht="14" outlineLevel="0" r="15826">
      <c r="A15826" s="3" t="inlineStr">
        <is>
          <t>15781</t>
        </is>
      </c>
      <c r="B15826" s="4" t="s">
        <f>=HYPERLINK("http://anyluxury.ru/shop/odezhda/futbolki-dlya-promo/futbolka-zhenskaya-imperial-women-190-zheltaya-608380/" , "6083.80 Футболка женская Imperial women 190 желтая, размер M")</f>
      </c>
      <c r="C15826" s="4" t="n">
        <v>697.00</v>
      </c>
      <c r="D15826" s="4"/>
    </row>
    <row collapsed="" customFormat="false" customHeight="1" hidden="" ht="14" outlineLevel="0" r="15827">
      <c r="A15827" s="3" t="inlineStr">
        <is>
          <t>15782</t>
        </is>
      </c>
      <c r="B15827" s="4" t="s">
        <f>=HYPERLINK("http://anyluxury.ru/shop/odezhda/futbolki-dlya-promo/futbolka-zhenskaya-imperial-women-190-zheltaya-608380/" , "6083.80 Футболка женская Imperial women 190 желтая, размер L")</f>
      </c>
      <c r="C15827" s="4" t="n">
        <v>697.00</v>
      </c>
      <c r="D15827" s="4"/>
    </row>
    <row collapsed="" customFormat="false" customHeight="1" hidden="" ht="14" outlineLevel="0" r="15828">
      <c r="A15828" s="3" t="inlineStr">
        <is>
          <t>15783</t>
        </is>
      </c>
      <c r="B15828" s="4" t="s">
        <f>=HYPERLINK("http://anyluxury.ru/shop/odezhda/futbolki-dlya-promo/futbolka-zhenskaya-imperial-women-190-zheltaya-608380/" , "6083.80 Футболка женская Imperial women 190 желтая, размер XL")</f>
      </c>
      <c r="C15828" s="4" t="n">
        <v>697.00</v>
      </c>
      <c r="D15828" s="4"/>
    </row>
    <row collapsed="" customFormat="false" customHeight="1" hidden="" ht="14" outlineLevel="0" r="15829">
      <c r="A15829" s="3" t="inlineStr">
        <is>
          <t>15784</t>
        </is>
      </c>
      <c r="B15829" s="4" t="s">
        <f>=HYPERLINK("http://anyluxury.ru/shop/odezhda/futbolki-dlya-promo/futbolka-zhenskaya-imperial-women-190-zheltaya-608380/" , "6083.80 Футболка женская Imperial women 190 желтая, размер XXL")</f>
      </c>
      <c r="C15829" s="4" t="n">
        <v>697.00</v>
      </c>
      <c r="D15829" s="4"/>
    </row>
    <row collapsed="" customFormat="false" customHeight="1" hidden="" ht="14" outlineLevel="0" r="15830">
      <c r="A15830" s="3" t="inlineStr">
        <is>
          <t>15785</t>
        </is>
      </c>
      <c r="B15830" s="4" t="s">
        <f>=HYPERLINK("http://anyluxury.ru/shop/odezhda/futbolki-dlya-promo/futbolka-zhenskaya-imperial-women-190-temnosinyaya-navy-608340/" , "6083.40 Футболка женская Imperial women 190 темно-синяя, размер L")</f>
      </c>
      <c r="C15830" s="4" t="n">
        <v>697.00</v>
      </c>
      <c r="D15830" s="4"/>
    </row>
    <row collapsed="" customFormat="false" customHeight="1" hidden="" ht="14" outlineLevel="0" r="15831">
      <c r="A15831" s="3" t="inlineStr">
        <is>
          <t>15786</t>
        </is>
      </c>
      <c r="B15831" s="4" t="s">
        <f>=HYPERLINK("http://anyluxury.ru/shop/odezhda/futbolki-dlya-promo/futbolka-zhenskaya-imperial-women-190-temnosinyaya-navy-608340/" , "6083.40 Футболка женская Imperial women 190 темно-синяя, размер XL")</f>
      </c>
      <c r="C15831" s="4" t="n">
        <v>697.00</v>
      </c>
      <c r="D15831" s="4"/>
    </row>
    <row collapsed="" customFormat="false" customHeight="1" hidden="" ht="14" outlineLevel="0" r="15832">
      <c r="A15832" s="3" t="inlineStr">
        <is>
          <t>15787</t>
        </is>
      </c>
      <c r="B15832" s="4" t="s">
        <f>=HYPERLINK("http://anyluxury.ru/shop/odezhda/futbolki-dlya-promo/futbolka-zhenskaya-imperial-women-190-chernaya-608330/" , "6083.30 Футболка женская Imperial women 190 черная, размер S")</f>
      </c>
      <c r="C15832" s="4" t="n">
        <v>697.00</v>
      </c>
      <c r="D15832" s="4"/>
    </row>
    <row collapsed="" customFormat="false" customHeight="1" hidden="" ht="14" outlineLevel="0" r="15833">
      <c r="A15833" s="3" t="inlineStr">
        <is>
          <t>15788</t>
        </is>
      </c>
      <c r="B15833" s="4" t="s">
        <f>=HYPERLINK("http://anyluxury.ru/shop/odezhda/futbolki-dlya-promo/futbolka-zhenskaya-imperial-women-190-chernaya-608330/" , "6083.30 Футболка женская Imperial women 190 черная, размер M")</f>
      </c>
      <c r="C15833" s="4" t="n">
        <v>697.00</v>
      </c>
      <c r="D15833" s="4"/>
    </row>
    <row collapsed="" customFormat="false" customHeight="1" hidden="" ht="14" outlineLevel="0" r="15834">
      <c r="A15834" s="3" t="inlineStr">
        <is>
          <t>15789</t>
        </is>
      </c>
      <c r="B15834" s="4" t="s">
        <f>=HYPERLINK("http://anyluxury.ru/shop/odezhda/futbolki-dlya-promo/futbolka-zhenskaya-imperial-women-190-chernaya-608330/" , "6083.30 Футболка женская Imperial women 190 черная, размер L")</f>
      </c>
      <c r="C15834" s="4" t="n">
        <v>697.00</v>
      </c>
      <c r="D15834" s="4"/>
    </row>
    <row collapsed="" customFormat="false" customHeight="1" hidden="" ht="14" outlineLevel="0" r="15835">
      <c r="A15835" s="3" t="inlineStr">
        <is>
          <t>15790</t>
        </is>
      </c>
      <c r="B15835" s="4" t="s">
        <f>=HYPERLINK("http://anyluxury.ru/shop/odezhda/futbolki-dlya-promo/futbolka-zhenskaya-imperial-women-190-chernaya-608330/" , "6083.30 Футболка женская Imperial women 190 черная, размер XL")</f>
      </c>
      <c r="C15835" s="4" t="n">
        <v>697.00</v>
      </c>
      <c r="D15835" s="4"/>
    </row>
    <row collapsed="" customFormat="false" customHeight="1" hidden="" ht="14" outlineLevel="0" r="15836">
      <c r="A15836" s="3" t="inlineStr">
        <is>
          <t>15791</t>
        </is>
      </c>
      <c r="B15836" s="4" t="s">
        <f>=HYPERLINK("http://anyluxury.ru/shop/odezhda/futbolki-dlya-promo/futbolka-zhenskaya-imperial-women-190-chernaya-608330/" , "6083.30 Футболка женская Imperial women 190 черная, размер XXL")</f>
      </c>
      <c r="C15836" s="4" t="n">
        <v>697.00</v>
      </c>
      <c r="D15836" s="4"/>
    </row>
    <row collapsed="" customFormat="false" customHeight="1" hidden="" ht="14" outlineLevel="0" r="15837">
      <c r="A15837" s="3" t="inlineStr">
        <is>
          <t>15792</t>
        </is>
      </c>
      <c r="B15837" s="4" t="s">
        <f>=HYPERLINK("http://anyluxury.ru/shop/odezhda/futbolki-dlya-promo/futbolka-zhenskaya-imperial-women-190-oranzhevaya-608320/" , "6083.20 Футболка женская Imperial women 190 оранжевая, размер S")</f>
      </c>
      <c r="C15837" s="4" t="n">
        <v>697.00</v>
      </c>
      <c r="D15837" s="4"/>
    </row>
    <row collapsed="" customFormat="false" customHeight="1" hidden="" ht="14" outlineLevel="0" r="15838">
      <c r="A15838" s="3" t="inlineStr">
        <is>
          <t>15793</t>
        </is>
      </c>
      <c r="B15838" s="4" t="s">
        <f>=HYPERLINK("http://anyluxury.ru/shop/odezhda/futbolki-dlya-promo/futbolka-zhenskaya-imperial-women-190-oranzhevaya-608320/" , "6083.20 Футболка женская Imperial women 190 оранжевая, размер M")</f>
      </c>
      <c r="C15838" s="4" t="n">
        <v>697.00</v>
      </c>
      <c r="D15838" s="4"/>
    </row>
    <row collapsed="" customFormat="false" customHeight="1" hidden="" ht="14" outlineLevel="0" r="15839">
      <c r="A15839" s="3" t="inlineStr">
        <is>
          <t>15794</t>
        </is>
      </c>
      <c r="B15839" s="4" t="s">
        <f>=HYPERLINK("http://anyluxury.ru/shop/odezhda/futbolki-dlya-promo/futbolka-zhenskaya-imperial-women-190-oranzhevaya-608320/" , "6083.20 Футболка женская Imperial women 190 оранжевая, размер L")</f>
      </c>
      <c r="C15839" s="4" t="n">
        <v>697.00</v>
      </c>
      <c r="D15839" s="4"/>
    </row>
    <row collapsed="" customFormat="false" customHeight="1" hidden="" ht="14" outlineLevel="0" r="15840">
      <c r="A15840" s="3" t="inlineStr">
        <is>
          <t>15795</t>
        </is>
      </c>
      <c r="B15840" s="4" t="s">
        <f>=HYPERLINK("http://anyluxury.ru/shop/odezhda/futbolki-dlya-promo/futbolka-zhenskaya-imperial-women-190-oranzhevaya-608320/" , "6083.20 Футболка женская Imperial women 190 оранжевая, размер XL")</f>
      </c>
      <c r="C15840" s="4" t="n">
        <v>697.00</v>
      </c>
      <c r="D15840" s="4"/>
    </row>
    <row collapsed="" customFormat="false" customHeight="1" hidden="" ht="14" outlineLevel="0" r="15841">
      <c r="A15841" s="3" t="inlineStr">
        <is>
          <t>15796</t>
        </is>
      </c>
      <c r="B15841" s="4" t="s">
        <f>=HYPERLINK("http://anyluxury.ru/shop/odezhda/futbolki-dlya-promo/futbolka-zhenskaya-imperial-women-190-oranzhevaya-608320/" , "6083.20 Футболка женская Imperial women 190 оранжевая, размер XXL")</f>
      </c>
      <c r="C15841" s="4" t="n">
        <v>697.00</v>
      </c>
      <c r="D15841" s="4"/>
    </row>
    <row collapsed="" customFormat="false" customHeight="1" hidden="" ht="14" outlineLevel="0" r="15842">
      <c r="A15842" s="3" t="inlineStr">
        <is>
          <t>15797</t>
        </is>
      </c>
      <c r="B15842" s="4" t="s">
        <f>=HYPERLINK("http://anyluxury.ru/shop/odezhda/futbolki-dlya-promo/futbolka-zhenskaya-imperial-women-190-krasnaya-608350/" , "6083.50 Футболка женская Imperial women 190 красная, размер S")</f>
      </c>
      <c r="C15842" s="4" t="n">
        <v>697.00</v>
      </c>
      <c r="D15842" s="4"/>
    </row>
    <row collapsed="" customFormat="false" customHeight="1" hidden="" ht="14" outlineLevel="0" r="15843">
      <c r="A15843" s="3" t="inlineStr">
        <is>
          <t>15798</t>
        </is>
      </c>
      <c r="B15843" s="4" t="s">
        <f>=HYPERLINK("http://anyluxury.ru/shop/odezhda/futbolki-dlya-promo/futbolka-zhenskaya-imperial-women-190-krasnaya-608350/" , "6083.50 Футболка женская Imperial women 190 красная, размер M")</f>
      </c>
      <c r="C15843" s="4" t="n">
        <v>697.00</v>
      </c>
      <c r="D15843" s="4"/>
    </row>
    <row collapsed="" customFormat="false" customHeight="1" hidden="" ht="14" outlineLevel="0" r="15844">
      <c r="A15844" s="3" t="inlineStr">
        <is>
          <t>15799</t>
        </is>
      </c>
      <c r="B15844" s="4" t="s">
        <f>=HYPERLINK("http://anyluxury.ru/shop/odezhda/futbolki-dlya-promo/futbolka-zhenskaya-imperial-women-190-krasnaya-608350/" , "6083.50 Футболка женская Imperial women 190 красная, размер L")</f>
      </c>
      <c r="C15844" s="4" t="n">
        <v>697.00</v>
      </c>
      <c r="D15844" s="4"/>
    </row>
    <row collapsed="" customFormat="false" customHeight="1" hidden="" ht="14" outlineLevel="0" r="15845">
      <c r="A15845" s="3" t="inlineStr">
        <is>
          <t>15800</t>
        </is>
      </c>
      <c r="B15845" s="4" t="s">
        <f>=HYPERLINK("http://anyluxury.ru/shop/odezhda/futbolki-dlya-promo/futbolka-zhenskaya-imperial-women-190-krasnaya-608350/" , "6083.50 Футболка женская Imperial women 190 красная, размер XL")</f>
      </c>
      <c r="C15845" s="4" t="n">
        <v>697.00</v>
      </c>
      <c r="D15845" s="4"/>
    </row>
    <row collapsed="" customFormat="false" customHeight="1" hidden="" ht="14" outlineLevel="0" r="15846">
      <c r="A15846" s="3" t="inlineStr">
        <is>
          <t>15801</t>
        </is>
      </c>
      <c r="B15846" s="4" t="s">
        <f>=HYPERLINK("http://anyluxury.ru/shop/odezhda/futbolki-dlya-promo/futbolka-zhenskaya-imperial-women-190-krasnaya-608350/" , "6083.50 Футболка женская Imperial women 190 красная, размер XXL")</f>
      </c>
      <c r="C15846" s="4" t="n">
        <v>697.00</v>
      </c>
      <c r="D15846" s="4"/>
    </row>
    <row collapsed="" customFormat="false" customHeight="1" hidden="" ht="14" outlineLevel="0" r="15847">
      <c r="A15847" s="3" t="inlineStr">
        <is>
          <t>15802</t>
        </is>
      </c>
      <c r="B15847" s="4" t="s">
        <f>=HYPERLINK("http://anyluxury.ru/shop/odezhda/futbolki-dlya-promo/futbolka-zhenskaya-imperial-women-190-yarkosinyaya-royal-608344/" , "6083.44 Футболка женская Imperial women 190 ярко-синяя, размер S")</f>
      </c>
      <c r="C15847" s="4" t="n">
        <v>697.00</v>
      </c>
      <c r="D15847" s="4"/>
    </row>
    <row collapsed="" customFormat="false" customHeight="1" hidden="" ht="14" outlineLevel="0" r="15848">
      <c r="A15848" s="3" t="inlineStr">
        <is>
          <t>15803</t>
        </is>
      </c>
      <c r="B15848" s="4" t="s">
        <f>=HYPERLINK("http://anyluxury.ru/shop/odezhda/futbolki-dlya-promo/futbolka-zhenskaya-imperial-women-190-yarkosinyaya-royal-608344/" , "6083.44 Футболка женская Imperial women 190 ярко-синяя, размер M")</f>
      </c>
      <c r="C15848" s="4" t="n">
        <v>697.00</v>
      </c>
      <c r="D15848" s="4"/>
    </row>
    <row collapsed="" customFormat="false" customHeight="1" hidden="" ht="14" outlineLevel="0" r="15849">
      <c r="A15849" s="3" t="inlineStr">
        <is>
          <t>15804</t>
        </is>
      </c>
      <c r="B15849" s="4" t="s">
        <f>=HYPERLINK("http://anyluxury.ru/shop/odezhda/futbolki-dlya-promo/futbolka-zhenskaya-imperial-women-190-yarkosinyaya-royal-608344/" , "6083.44 Футболка женская Imperial women 190 ярко-синяя, размер L")</f>
      </c>
      <c r="C15849" s="4" t="n">
        <v>697.00</v>
      </c>
      <c r="D15849" s="4"/>
    </row>
    <row collapsed="" customFormat="false" customHeight="1" hidden="" ht="14" outlineLevel="0" r="15850">
      <c r="A15850" s="3" t="inlineStr">
        <is>
          <t>15805</t>
        </is>
      </c>
      <c r="B15850" s="4" t="s">
        <f>=HYPERLINK("http://anyluxury.ru/shop/odezhda/futbolki-dlya-promo/futbolka-zhenskaya-imperial-women-190-yarkosinyaya-royal-608344/" , "6083.44 Футболка женская Imperial women 190 ярко-синяя, размер XL")</f>
      </c>
      <c r="C15850" s="4" t="n">
        <v>697.00</v>
      </c>
      <c r="D15850" s="4"/>
    </row>
    <row collapsed="" customFormat="false" customHeight="1" hidden="" ht="14" outlineLevel="0" r="15851">
      <c r="A15851" s="3" t="inlineStr">
        <is>
          <t>15806</t>
        </is>
      </c>
      <c r="B15851" s="4" t="s">
        <f>=HYPERLINK("http://anyluxury.ru/shop/odezhda/futbolki-dlya-promo/futbolka-zhenskaya-imperial-women-190-yarkosinyaya-royal-608344/" , "6083.44 Футболка женская Imperial women 190 ярко-синяя, размер XXL")</f>
      </c>
      <c r="C15851" s="4" t="n">
        <v>697.00</v>
      </c>
      <c r="D15851" s="4"/>
    </row>
    <row collapsed="" customFormat="false" customHeight="1" hidden="" ht="14" outlineLevel="0" r="15852">
      <c r="A15852" s="3" t="inlineStr">
        <is>
          <t>15807</t>
        </is>
      </c>
      <c r="B15852" s="4" t="s">
        <f>=HYPERLINK("http://anyluxury.ru/shop/odezhda/futbolki-dlya-promo/futbolka-zhenskaya-imperial-women-190-zelenoe-yabloko-608394/" , "6083.94 Футболка женская Imperial women 190 зеленое яблоко, размер S")</f>
      </c>
      <c r="C15852" s="4" t="n">
        <v>697.00</v>
      </c>
      <c r="D15852" s="4"/>
    </row>
    <row collapsed="" customFormat="false" customHeight="1" hidden="" ht="14" outlineLevel="0" r="15853">
      <c r="A15853" s="3" t="inlineStr">
        <is>
          <t>15808</t>
        </is>
      </c>
      <c r="B15853" s="4" t="s">
        <f>=HYPERLINK("http://anyluxury.ru/shop/odezhda/futbolki-dlya-promo/futbolka-zhenskaya-imperial-women-190-zelenoe-yabloko-608394/" , "6083.94 Футболка женская Imperial women 190 зеленое яблоко, размер L")</f>
      </c>
      <c r="C15853" s="4" t="n">
        <v>697.00</v>
      </c>
      <c r="D15853" s="4"/>
    </row>
    <row collapsed="" customFormat="false" customHeight="1" hidden="" ht="14" outlineLevel="0" r="15854">
      <c r="A15854" s="3" t="inlineStr">
        <is>
          <t>15809</t>
        </is>
      </c>
      <c r="B15854" s="4" t="s">
        <f>=HYPERLINK("http://anyluxury.ru/shop/odezhda/futbolki-dlya-promo/futbolka-zhenskaya-imperial-women-190-zelenoe-yabloko-608394/" , "6083.94 Футболка женская Imperial women 190 зеленое яблоко, размер XL")</f>
      </c>
      <c r="C15854" s="4" t="n">
        <v>697.00</v>
      </c>
      <c r="D15854" s="4"/>
    </row>
    <row collapsed="" customFormat="false" customHeight="1" hidden="" ht="14" outlineLevel="0" r="15855">
      <c r="A15855" s="3" t="inlineStr">
        <is>
          <t>15810</t>
        </is>
      </c>
      <c r="B15855" s="4" t="s">
        <f>=HYPERLINK("http://anyluxury.ru/shop/odezhda/futbolki-dlya-promo/futbolka-zhenskaya-imperial-women-190-zelenoe-yabloko-608394/" , "6083.94 Футболка женская Imperial women 190 зеленое яблоко, размер XXL")</f>
      </c>
      <c r="C15855" s="4" t="n">
        <v>697.00</v>
      </c>
      <c r="D15855" s="4"/>
    </row>
    <row collapsed="" customFormat="false" customHeight="1" hidden="" ht="14" outlineLevel="0" r="15856">
      <c r="A15856" s="3" t="inlineStr">
        <is>
          <t>15811</t>
        </is>
      </c>
      <c r="B15856" s="4" t="s">
        <f>=HYPERLINK("http://anyluxury.ru/shop/odezhda/futbolki-dlya-promo/futbolka-zhenskaya-imperial-women-190-fioletovaya-608377/" , "6083.77 Футболка женская Imperial women 190 фиолетовая, размер S")</f>
      </c>
      <c r="C15856" s="4" t="n">
        <v>672.00</v>
      </c>
      <c r="D15856" s="4"/>
    </row>
    <row collapsed="" customFormat="false" customHeight="1" hidden="" ht="14" outlineLevel="0" r="15857">
      <c r="A15857" s="3" t="inlineStr">
        <is>
          <t>15812</t>
        </is>
      </c>
      <c r="B15857" s="4" t="s">
        <f>=HYPERLINK("http://anyluxury.ru/shop/odezhda/futbolki-dlya-promo/futbolka-zhenskaya-imperial-women-190-fioletovaya-608377/" , "6083.77 Футболка женская Imperial women 190 фиолетовая, размер M")</f>
      </c>
      <c r="C15857" s="4" t="n">
        <v>672.00</v>
      </c>
      <c r="D15857" s="4"/>
    </row>
    <row collapsed="" customFormat="false" customHeight="1" hidden="" ht="14" outlineLevel="0" r="15858">
      <c r="A15858" s="3" t="inlineStr">
        <is>
          <t>15813</t>
        </is>
      </c>
      <c r="B15858" s="4" t="s">
        <f>=HYPERLINK("http://anyluxury.ru/shop/odezhda/futbolki-dlya-promo/futbolka-zhenskaya-imperial-women-190-fioletovaya-608377/" , "6083.77 Футболка женская Imperial women 190 фиолетовая, размер L")</f>
      </c>
      <c r="C15858" s="4" t="n">
        <v>672.00</v>
      </c>
      <c r="D15858" s="4"/>
    </row>
    <row collapsed="" customFormat="false" customHeight="1" hidden="" ht="14" outlineLevel="0" r="15859">
      <c r="A15859" s="3" t="inlineStr">
        <is>
          <t>15814</t>
        </is>
      </c>
      <c r="B15859" s="4" t="s">
        <f>=HYPERLINK("http://anyluxury.ru/shop/odezhda/futbolki-dlya-promo/futbolka-zhenskaya-imperial-women-190-fioletovaya-608377/" , "6083.77 Футболка женская Imperial women 190 фиолетовая, размер XL")</f>
      </c>
      <c r="C15859" s="4" t="n">
        <v>672.00</v>
      </c>
      <c r="D15859" s="4"/>
    </row>
    <row collapsed="" customFormat="false" customHeight="1" hidden="" ht="14" outlineLevel="0" r="15860">
      <c r="A15860" s="3" t="inlineStr">
        <is>
          <t>15815</t>
        </is>
      </c>
      <c r="B15860" s="4" t="s">
        <f>=HYPERLINK("http://anyluxury.ru/shop/odezhda/futbolki-dlya-promo/futbolka-zhenskaya-imperial-women-190-fioletovaya-608377/" , "6083.77 Футболка женская Imperial women 190 фиолетовая, размер XXL")</f>
      </c>
      <c r="C15860" s="4" t="n">
        <v>672.00</v>
      </c>
      <c r="D15860" s="4"/>
    </row>
    <row collapsed="" customFormat="false" customHeight="1" hidden="" ht="14" outlineLevel="0" r="15861">
      <c r="A15861" s="3" t="inlineStr">
        <is>
          <t>15816</t>
        </is>
      </c>
      <c r="B15861" s="4" t="s">
        <f>=HYPERLINK("http://anyluxury.ru/shop/odezhda/futbolki-dlya-promo/futbolka-zhenskaya-imperial-women-190-yarkozelenaya-608392/" , "6083.92 Футболка женская Imperial women 190 ярко-зеленая, размер S")</f>
      </c>
      <c r="C15861" s="4" t="n">
        <v>697.00</v>
      </c>
      <c r="D15861" s="4"/>
    </row>
    <row collapsed="" customFormat="false" customHeight="1" hidden="" ht="14" outlineLevel="0" r="15862">
      <c r="A15862" s="3" t="inlineStr">
        <is>
          <t>15817</t>
        </is>
      </c>
      <c r="B15862" s="4" t="s">
        <f>=HYPERLINK("http://anyluxury.ru/shop/odezhda/futbolki-dlya-promo/futbolka-zhenskaya-imperial-women-190-yarkozelenaya-608392/" , "6083.92 Футболка женская Imperial women 190 ярко-зеленая, размер M")</f>
      </c>
      <c r="C15862" s="4" t="n">
        <v>697.00</v>
      </c>
      <c r="D15862" s="4"/>
    </row>
    <row collapsed="" customFormat="false" customHeight="1" hidden="" ht="14" outlineLevel="0" r="15863">
      <c r="A15863" s="3" t="inlineStr">
        <is>
          <t>15818</t>
        </is>
      </c>
      <c r="B15863" s="4" t="s">
        <f>=HYPERLINK("http://anyluxury.ru/shop/odezhda/futbolki-dlya-promo/futbolka-zhenskaya-imperial-women-190-yarkozelenaya-608392/" , "6083.92 Футболка женская Imperial women 190 ярко-зеленая, размер L")</f>
      </c>
      <c r="C15863" s="4" t="n">
        <v>697.00</v>
      </c>
      <c r="D15863" s="4"/>
    </row>
    <row collapsed="" customFormat="false" customHeight="1" hidden="" ht="14" outlineLevel="0" r="15864">
      <c r="A15864" s="3" t="inlineStr">
        <is>
          <t>15819</t>
        </is>
      </c>
      <c r="B15864" s="4" t="s">
        <f>=HYPERLINK("http://anyluxury.ru/shop/odezhda/futbolki-dlya-promo/futbolka-zhenskaya-imperial-women-190-yarkozelenaya-608392/" , "6083.92 Футболка женская Imperial women 190 ярко-зеленая, размер XL")</f>
      </c>
      <c r="C15864" s="4" t="n">
        <v>697.00</v>
      </c>
      <c r="D15864" s="4"/>
    </row>
    <row collapsed="" customFormat="false" customHeight="1" hidden="" ht="14" outlineLevel="0" r="15865">
      <c r="A15865" s="3" t="inlineStr">
        <is>
          <t>15820</t>
        </is>
      </c>
      <c r="B15865" s="4" t="s">
        <f>=HYPERLINK("http://anyluxury.ru/shop/odezhda/futbolki-dlya-promo/futbolka-zhenskaya-imperial-women-190-yarkozelenaya-608392/" , "6083.92 Футболка женская Imperial women 190 ярко-зеленая, размер XXL")</f>
      </c>
      <c r="C15865" s="4" t="n">
        <v>697.00</v>
      </c>
      <c r="D15865" s="4"/>
    </row>
    <row collapsed="" customFormat="false" customHeight="1" hidden="" ht="14" outlineLevel="0" r="15866">
      <c r="A15866" s="3" t="inlineStr">
        <is>
          <t>15821</t>
        </is>
      </c>
      <c r="B15866" s="4" t="s">
        <f>=HYPERLINK("http://anyluxury.ru/shop/odezhda/futbolki-dlya-promo/futbolka-tbolka-160-belaya-614060/" , "6140.60 Футболка белая 'T-Bolka 160', размер S")</f>
      </c>
      <c r="C15866" s="4" t="n">
        <v>282.00</v>
      </c>
      <c r="D15866" s="4"/>
    </row>
    <row collapsed="" customFormat="false" customHeight="1" hidden="" ht="14" outlineLevel="0" r="15867">
      <c r="A15867" s="3" t="inlineStr">
        <is>
          <t>15822</t>
        </is>
      </c>
      <c r="B15867" s="4" t="s">
        <f>=HYPERLINK("http://anyluxury.ru/shop/odezhda/futbolki-dlya-promo/futbolka-tbolka-160-belaya-614060/" , "6140.60 Футболка белая «T-Bolka 160», размер M")</f>
      </c>
      <c r="C15867" s="4" t="n">
        <v>580.00</v>
      </c>
      <c r="D15867" s="4"/>
    </row>
    <row collapsed="" customFormat="false" customHeight="1" hidden="" ht="14" outlineLevel="0" r="15868">
      <c r="A15868" s="3" t="inlineStr">
        <is>
          <t>15823</t>
        </is>
      </c>
      <c r="B15868" s="4" t="s">
        <f>=HYPERLINK("http://anyluxury.ru/shop/odezhda/futbolki-dlya-promo/futbolka-tbolka-160-belaya-614060/" , "6140.60 Футболка белая «T-Bolka 160», размер XXL")</f>
      </c>
      <c r="C15868" s="4" t="n">
        <v>580.00</v>
      </c>
      <c r="D15868" s="4"/>
    </row>
    <row collapsed="" customFormat="false" customHeight="1" hidden="" ht="14" outlineLevel="0" r="15869">
      <c r="A15869" s="3" t="inlineStr">
        <is>
          <t>15824</t>
        </is>
      </c>
      <c r="B15869" s="4" t="s">
        <f>=HYPERLINK("http://anyluxury.ru/shop/odezhda/futbolki-dlya-promo/futbolka-tbolka-160-yarkosinyaya-614044/" , "6140.44 Футболка ярко-синяя «T-Bolka 160», размер S")</f>
      </c>
      <c r="C15869" s="4" t="n">
        <v>660.00</v>
      </c>
      <c r="D15869" s="4"/>
    </row>
    <row collapsed="" customFormat="false" customHeight="1" hidden="" ht="14" outlineLevel="0" r="15870">
      <c r="A15870" s="3" t="inlineStr">
        <is>
          <t>15825</t>
        </is>
      </c>
      <c r="B15870" s="4" t="s">
        <f>=HYPERLINK("http://anyluxury.ru/shop/odezhda/futbolki-dlya-promo/futbolka-tbolka-160-yarkosinyaya-614044/" , "6140.44 Футболка ярко-синяя «T-Bolka 160», размер M")</f>
      </c>
      <c r="C15870" s="4" t="n">
        <v>660.00</v>
      </c>
      <c r="D15870" s="4"/>
    </row>
    <row collapsed="" customFormat="false" customHeight="1" hidden="" ht="14" outlineLevel="0" r="15871">
      <c r="A15871" s="3" t="inlineStr">
        <is>
          <t>15826</t>
        </is>
      </c>
      <c r="B15871" s="4" t="s">
        <f>=HYPERLINK("http://anyluxury.ru/shop/odezhda/futbolki-dlya-promo/futbolka-tbolka-160-yarkosinyaya-614044/" , "6140.44 Футболка ярко-синяя «T-Bolka 160», размер L")</f>
      </c>
      <c r="C15871" s="4" t="n">
        <v>660.00</v>
      </c>
      <c r="D15871" s="4"/>
    </row>
    <row collapsed="" customFormat="false" customHeight="1" hidden="" ht="14" outlineLevel="0" r="15872">
      <c r="A15872" s="3" t="inlineStr">
        <is>
          <t>15827</t>
        </is>
      </c>
      <c r="B15872" s="4" t="s">
        <f>=HYPERLINK("http://anyluxury.ru/shop/odezhda/futbolki-dlya-promo/futbolka-tbolka-160-yarkosinyaya-614044/" , "6140.44 Футболка ярко-синяя «T-Bolka 160», размер XL")</f>
      </c>
      <c r="C15872" s="4" t="n">
        <v>660.00</v>
      </c>
      <c r="D15872" s="4"/>
    </row>
    <row collapsed="" customFormat="false" customHeight="1" hidden="" ht="14" outlineLevel="0" r="15873">
      <c r="A15873" s="3" t="inlineStr">
        <is>
          <t>15828</t>
        </is>
      </c>
      <c r="B15873" s="4" t="s">
        <f>=HYPERLINK("http://anyluxury.ru/shop/odezhda/futbolki-dlya-promo/futbolka-tbolka-160-yarkosinyaya-614044/" , "6140.44 Футболка ярко-синяя «T-Bolka 160», размер XXL")</f>
      </c>
      <c r="C15873" s="4" t="n">
        <v>660.00</v>
      </c>
      <c r="D15873" s="4"/>
    </row>
    <row collapsed="" customFormat="false" customHeight="1" hidden="" ht="14" outlineLevel="0" r="15874">
      <c r="A15874" s="3" t="inlineStr">
        <is>
          <t>15829</t>
        </is>
      </c>
      <c r="B15874" s="4" t="s">
        <f>=HYPERLINK("http://anyluxury.ru/shop/odezhda/futbolki-dlya-promo/futbolka-tbolka-160-yarkosinyaya-614044/" , "6140.44 Футболка ярко-синяя «T-Bolka 160», размер XXXL")</f>
      </c>
      <c r="C15874" s="4" t="n">
        <v>660.00</v>
      </c>
      <c r="D15874" s="4"/>
    </row>
    <row collapsed="" customFormat="false" customHeight="1" hidden="" ht="14" outlineLevel="0" r="15875">
      <c r="A15875" s="3" t="inlineStr">
        <is>
          <t>15830</t>
        </is>
      </c>
      <c r="B15875" s="4" t="s">
        <f>=HYPERLINK("http://anyluxury.ru/shop/odezhda/futbolki-dlya-promo/futbolka-tbolka-160-yarkosinyaya-614044/" , "6140.44 Футболка унисекс T-Bolka 160, ярко-синяя, размер XS")</f>
      </c>
      <c r="C15875" s="4" t="n">
        <v>660.00</v>
      </c>
      <c r="D15875" s="4"/>
    </row>
    <row collapsed="" customFormat="false" customHeight="1" hidden="" ht="14" outlineLevel="0" r="15876">
      <c r="A15876" s="3" t="inlineStr">
        <is>
          <t>15831</t>
        </is>
      </c>
      <c r="B15876" s="4" t="s">
        <f>=HYPERLINK("http://anyluxury.ru/shop/odezhda/futbolki-dlya-promo/futbolka-tbolka-160-yarkosinyaya-614044/" , "6140.44 Футболка унисекс T-Bolka 160, ярко-синяя, размер 5XL")</f>
      </c>
      <c r="C15876" s="4" t="n">
        <v>660.00</v>
      </c>
      <c r="D15876" s="4"/>
    </row>
    <row collapsed="" customFormat="false" customHeight="1" hidden="" ht="14" outlineLevel="0" r="15877">
      <c r="A15877" s="3" t="inlineStr">
        <is>
          <t>15832</t>
        </is>
      </c>
      <c r="B15877" s="4" t="s">
        <f>=HYPERLINK("http://anyluxury.ru/shop/odezhda/futbolki-dlya-promo/futbolka-tbolka-160-yarkosinyaya-614044/" , "6140.44 Футболка унисекс T-Bolka 160, ярко-синяя, размер 6XL")</f>
      </c>
      <c r="C15877" s="4" t="n">
        <v>660.00</v>
      </c>
      <c r="D15877" s="4"/>
    </row>
    <row collapsed="" customFormat="false" customHeight="1" hidden="" ht="14" outlineLevel="0" r="15878">
      <c r="A15878" s="3" t="inlineStr">
        <is>
          <t>15833</t>
        </is>
      </c>
      <c r="B15878" s="4" t="s">
        <f>=HYPERLINK("http://anyluxury.ru/shop/odezhda/futbolki-dlya-promo/futbolka-tbolka-160-chernaya-614030/" , "6140.30 Футболка черная T-Bolka 160, размер S")</f>
      </c>
      <c r="C15878" s="4" t="n">
        <v>289.00</v>
      </c>
      <c r="D15878" s="4"/>
    </row>
    <row collapsed="" customFormat="false" customHeight="1" hidden="" ht="14" outlineLevel="0" r="15879">
      <c r="A15879" s="3" t="inlineStr">
        <is>
          <t>15834</t>
        </is>
      </c>
      <c r="B15879" s="4" t="s">
        <f>=HYPERLINK("http://anyluxury.ru/shop/odezhda/futbolki-dlya-promo/futbolka-tbolka-160-chernaya-614030/" , "6140.30 Футболка черная T-Bolka 160, размер S")</f>
      </c>
      <c r="C15879" s="4" t="n">
        <v>660.00</v>
      </c>
      <c r="D15879" s="4"/>
    </row>
    <row collapsed="" customFormat="false" customHeight="1" hidden="" ht="14" outlineLevel="0" r="15880">
      <c r="A15880" s="3" t="inlineStr">
        <is>
          <t>15835</t>
        </is>
      </c>
      <c r="B15880" s="4" t="s">
        <f>=HYPERLINK("http://anyluxury.ru/shop/odezhda/futbolki-dlya-promo/futbolka-tbolka-160-chernaya-614030/" , "6140.30 Футболка черная T-Bolka 160, размер M")</f>
      </c>
      <c r="C15880" s="4" t="n">
        <v>660.00</v>
      </c>
      <c r="D15880" s="4"/>
    </row>
    <row collapsed="" customFormat="false" customHeight="1" hidden="" ht="14" outlineLevel="0" r="15881">
      <c r="A15881" s="3" t="inlineStr">
        <is>
          <t>15836</t>
        </is>
      </c>
      <c r="B15881" s="4" t="s">
        <f>=HYPERLINK("http://anyluxury.ru/shop/odezhda/futbolki-dlya-promo/futbolka-tbolka-160-chernaya-614030/" , "6140.30 Футболка черная T-Bolka 160, размер L")</f>
      </c>
      <c r="C15881" s="4" t="n">
        <v>660.00</v>
      </c>
      <c r="D15881" s="4"/>
    </row>
    <row collapsed="" customFormat="false" customHeight="1" hidden="" ht="14" outlineLevel="0" r="15882">
      <c r="A15882" s="3" t="inlineStr">
        <is>
          <t>15837</t>
        </is>
      </c>
      <c r="B15882" s="4" t="s">
        <f>=HYPERLINK("http://anyluxury.ru/shop/odezhda/futbolki-dlya-promo/futbolka-tbolka-160-chernaya-614030/" , "6140.30 Футболка черная T-Bolka 160, размер XL")</f>
      </c>
      <c r="C15882" s="4" t="n">
        <v>660.00</v>
      </c>
      <c r="D15882" s="4"/>
    </row>
    <row collapsed="" customFormat="false" customHeight="1" hidden="" ht="14" outlineLevel="0" r="15883">
      <c r="A15883" s="3" t="inlineStr">
        <is>
          <t>15838</t>
        </is>
      </c>
      <c r="B15883" s="4" t="s">
        <f>=HYPERLINK("http://anyluxury.ru/shop/odezhda/futbolki-dlya-promo/futbolka-tbolka-160-chernaya-614030/" , "6140.30 Футболка черная T-Bolka 160, размер XXL")</f>
      </c>
      <c r="C15883" s="4" t="n">
        <v>660.00</v>
      </c>
      <c r="D15883" s="4"/>
    </row>
    <row collapsed="" customFormat="false" customHeight="1" hidden="" ht="14" outlineLevel="0" r="15884">
      <c r="A15884" s="3" t="inlineStr">
        <is>
          <t>15839</t>
        </is>
      </c>
      <c r="B15884" s="4" t="s">
        <f>=HYPERLINK("http://anyluxury.ru/shop/odezhda/futbolki-dlya-promo/futbolka-tbolka-160-chernaya-614030/" , "6140.30 Футболка черная T-Bolka 160, размер XXXL")</f>
      </c>
      <c r="C15884" s="4" t="n">
        <v>660.00</v>
      </c>
      <c r="D15884" s="4"/>
    </row>
    <row collapsed="" customFormat="false" customHeight="1" hidden="" ht="14" outlineLevel="0" r="15885">
      <c r="A15885" s="3" t="inlineStr">
        <is>
          <t>15840</t>
        </is>
      </c>
      <c r="B15885" s="4" t="s">
        <f>=HYPERLINK("http://anyluxury.ru/shop/odezhda/futbolki-dlya-promo/futbolka-tbolka-160-chernaya-614030/" , "6140.30 Футболка черная T-Bolka 160, размер 4XL")</f>
      </c>
      <c r="C15885" s="4" t="n">
        <v>660.00</v>
      </c>
      <c r="D15885" s="4"/>
    </row>
    <row collapsed="" customFormat="false" customHeight="1" hidden="" ht="14" outlineLevel="0" r="15886">
      <c r="A15886" s="3" t="inlineStr">
        <is>
          <t>15841</t>
        </is>
      </c>
      <c r="B15886" s="4" t="s">
        <f>=HYPERLINK("http://anyluxury.ru/shop/odezhda/futbolki-dlya-promo/futbolka-tbolka-160-chernaya-614030/" , "6140.30 Футболка унисекс T-Bolka 160, черная, размер XS")</f>
      </c>
      <c r="C15886" s="4" t="n">
        <v>660.00</v>
      </c>
      <c r="D15886" s="4"/>
    </row>
    <row collapsed="" customFormat="false" customHeight="1" hidden="" ht="14" outlineLevel="0" r="15887">
      <c r="A15887" s="3" t="inlineStr">
        <is>
          <t>15842</t>
        </is>
      </c>
      <c r="B15887" s="4" t="s">
        <f>=HYPERLINK("http://anyluxury.ru/shop/odezhda/futbolki-dlya-promo/futbolka-tbolka-160-chernaya-614030/" , "6140.30 Футболка унисекс T-Bolka 160, черная, размер 5XL")</f>
      </c>
      <c r="C15887" s="4" t="n">
        <v>660.00</v>
      </c>
      <c r="D15887" s="4"/>
    </row>
    <row collapsed="" customFormat="false" customHeight="1" hidden="" ht="14" outlineLevel="0" r="15888">
      <c r="A15888" s="3" t="inlineStr">
        <is>
          <t>15843</t>
        </is>
      </c>
      <c r="B15888" s="4" t="s">
        <f>=HYPERLINK("http://anyluxury.ru/shop/odezhda/futbolki-dlya-promo/futbolka-tbolka-160-chernaya-614030/" , "6140.30 Футболка унисекс T-Bolka 160, черная, размер 6XL")</f>
      </c>
      <c r="C15888" s="4" t="n">
        <v>660.00</v>
      </c>
      <c r="D15888" s="4"/>
    </row>
    <row collapsed="" customFormat="false" customHeight="1" hidden="" ht="14" outlineLevel="0" r="15889">
      <c r="A15889" s="3" t="inlineStr">
        <is>
          <t>15844</t>
        </is>
      </c>
      <c r="B15889" s="4" t="s">
        <f>=HYPERLINK("http://anyluxury.ru/shop/odezhda/futbolki-dlya-promo/futbolka-tbolka-160-krasnaya-614050/" , "6140.50 Футболка красная «T-Bolka 160», размер S")</f>
      </c>
      <c r="C15889" s="4" t="n">
        <v>660.00</v>
      </c>
      <c r="D15889" s="4"/>
    </row>
    <row collapsed="" customFormat="false" customHeight="1" hidden="" ht="14" outlineLevel="0" r="15890">
      <c r="A15890" s="3" t="inlineStr">
        <is>
          <t>15845</t>
        </is>
      </c>
      <c r="B15890" s="4" t="s">
        <f>=HYPERLINK("http://anyluxury.ru/shop/odezhda/futbolki-dlya-promo/futbolka-tbolka-160-krasnaya-614050/" , "6140.50 Футболка красная «T-Bolka 160», размер M")</f>
      </c>
      <c r="C15890" s="4" t="n">
        <v>660.00</v>
      </c>
      <c r="D15890" s="4"/>
    </row>
    <row collapsed="" customFormat="false" customHeight="1" hidden="" ht="14" outlineLevel="0" r="15891">
      <c r="A15891" s="3" t="inlineStr">
        <is>
          <t>15846</t>
        </is>
      </c>
      <c r="B15891" s="4" t="s">
        <f>=HYPERLINK("http://anyluxury.ru/shop/odezhda/futbolki-dlya-promo/futbolka-tbolka-160-krasnaya-614050/" , "6140.50 Футболка красная «T-Bolka 160», размер L")</f>
      </c>
      <c r="C15891" s="4" t="n">
        <v>660.00</v>
      </c>
      <c r="D15891" s="4"/>
    </row>
    <row collapsed="" customFormat="false" customHeight="1" hidden="" ht="14" outlineLevel="0" r="15892">
      <c r="A15892" s="3" t="inlineStr">
        <is>
          <t>15847</t>
        </is>
      </c>
      <c r="B15892" s="4" t="s">
        <f>=HYPERLINK("http://anyluxury.ru/shop/odezhda/futbolki-dlya-promo/futbolka-tbolka-160-krasnaya-614050/" , "6140.50 Футболка красная «T-Bolka 160», размер XL")</f>
      </c>
      <c r="C15892" s="4" t="n">
        <v>660.00</v>
      </c>
      <c r="D15892" s="4"/>
    </row>
    <row collapsed="" customFormat="false" customHeight="1" hidden="" ht="14" outlineLevel="0" r="15893">
      <c r="A15893" s="3" t="inlineStr">
        <is>
          <t>15848</t>
        </is>
      </c>
      <c r="B15893" s="4" t="s">
        <f>=HYPERLINK("http://anyluxury.ru/shop/odezhda/futbolki-dlya-promo/futbolka-tbolka-160-krasnaya-614050/" , "6140.50 Футболка красная «T-Bolka 160», размер XXL")</f>
      </c>
      <c r="C15893" s="4" t="n">
        <v>660.00</v>
      </c>
      <c r="D15893" s="4"/>
    </row>
    <row collapsed="" customFormat="false" customHeight="1" hidden="" ht="14" outlineLevel="0" r="15894">
      <c r="A15894" s="3" t="inlineStr">
        <is>
          <t>15849</t>
        </is>
      </c>
      <c r="B15894" s="4" t="s">
        <f>=HYPERLINK("http://anyluxury.ru/shop/odezhda/futbolki-dlya-promo/futbolka-tbolka-160-krasnaya-614050/" , "6140.50 Футболка красная «T-Bolka 160», размер XXXL")</f>
      </c>
      <c r="C15894" s="4" t="n">
        <v>660.00</v>
      </c>
      <c r="D15894" s="4"/>
    </row>
    <row collapsed="" customFormat="false" customHeight="1" hidden="" ht="14" outlineLevel="0" r="15895">
      <c r="A15895" s="3" t="inlineStr">
        <is>
          <t>15850</t>
        </is>
      </c>
      <c r="B15895" s="4" t="s">
        <f>=HYPERLINK("http://anyluxury.ru/shop/odezhda/futbolki-dlya-promo/futbolka-tbolka-160-krasnaya-614050/" , "6140.50 Футболка красная «T-Bolka 160», размер 4XL")</f>
      </c>
      <c r="C15895" s="4" t="n">
        <v>660.00</v>
      </c>
      <c r="D15895" s="4"/>
    </row>
    <row collapsed="" customFormat="false" customHeight="1" hidden="" ht="14" outlineLevel="0" r="15896">
      <c r="A15896" s="3" t="inlineStr">
        <is>
          <t>15851</t>
        </is>
      </c>
      <c r="B15896" s="4" t="s">
        <f>=HYPERLINK("http://anyluxury.ru/shop/odezhda/futbolki-dlya-promo/futbolka-tbolka-160-krasnaya-614050/" , "6140.50 Футболка унисекс T-Bolka 160, красная, размер XS")</f>
      </c>
      <c r="C15896" s="4" t="n">
        <v>660.00</v>
      </c>
      <c r="D15896" s="4"/>
    </row>
    <row collapsed="" customFormat="false" customHeight="1" hidden="" ht="14" outlineLevel="0" r="15897">
      <c r="A15897" s="3" t="inlineStr">
        <is>
          <t>15852</t>
        </is>
      </c>
      <c r="B15897" s="4" t="s">
        <f>=HYPERLINK("http://anyluxury.ru/shop/odezhda/futbolki-dlya-promo/futbolka-tbolka-160-krasnaya-614050/" , "6140.50 Футболка унисекс T-Bolka 160, красная, размер 5XL")</f>
      </c>
      <c r="C15897" s="4" t="n">
        <v>660.00</v>
      </c>
      <c r="D15897" s="4"/>
    </row>
    <row collapsed="" customFormat="false" customHeight="1" hidden="" ht="14" outlineLevel="0" r="15898">
      <c r="A15898" s="3" t="inlineStr">
        <is>
          <t>15853</t>
        </is>
      </c>
      <c r="B15898" s="4" t="s">
        <f>=HYPERLINK("http://anyluxury.ru/shop/odezhda/futbolki-dlya-promo/futbolka-tbolka-160-krasnaya-614050/" , "6140.50 Футболка унисекс T-Bolka 160, красная, размер 6XL")</f>
      </c>
      <c r="C15898" s="4" t="n">
        <v>660.00</v>
      </c>
      <c r="D15898" s="4"/>
    </row>
    <row collapsed="" customFormat="false" customHeight="1" hidden="" ht="14" outlineLevel="0" r="15899">
      <c r="A15899" s="3" t="inlineStr">
        <is>
          <t>15854</t>
        </is>
      </c>
      <c r="B15899" s="4" t="s">
        <f>=HYPERLINK("http://anyluxury.ru/shop/odezhda/futbolki-dlya-promo/futbolka-tbolka-160-oranzhevaya-614020/" , "6140.20 Футболка оранжевая «T-Bolka 160», размер S")</f>
      </c>
      <c r="C15899" s="4" t="n">
        <v>660.00</v>
      </c>
      <c r="D15899" s="4"/>
    </row>
    <row collapsed="" customFormat="false" customHeight="1" hidden="" ht="14" outlineLevel="0" r="15900">
      <c r="A15900" s="3" t="inlineStr">
        <is>
          <t>15855</t>
        </is>
      </c>
      <c r="B15900" s="4" t="s">
        <f>=HYPERLINK("http://anyluxury.ru/shop/odezhda/futbolki-dlya-promo/futbolka-tbolka-160-oranzhevaya-614020/" , "6140.20 Футболка оранжевая «T-Bolka 160», размер M")</f>
      </c>
      <c r="C15900" s="4" t="n">
        <v>660.00</v>
      </c>
      <c r="D15900" s="4"/>
    </row>
    <row collapsed="" customFormat="false" customHeight="1" hidden="" ht="14" outlineLevel="0" r="15901">
      <c r="A15901" s="3" t="inlineStr">
        <is>
          <t>15856</t>
        </is>
      </c>
      <c r="B15901" s="4" t="s">
        <f>=HYPERLINK("http://anyluxury.ru/shop/odezhda/futbolki-dlya-promo/futbolka-tbolka-160-oranzhevaya-614020/" , "6140.20 Футболка оранжевая «T-Bolka 160», размер L")</f>
      </c>
      <c r="C15901" s="4" t="n">
        <v>660.00</v>
      </c>
      <c r="D15901" s="4"/>
    </row>
    <row collapsed="" customFormat="false" customHeight="1" hidden="" ht="14" outlineLevel="0" r="15902">
      <c r="A15902" s="3" t="inlineStr">
        <is>
          <t>15857</t>
        </is>
      </c>
      <c r="B15902" s="4" t="s">
        <f>=HYPERLINK("http://anyluxury.ru/shop/odezhda/futbolki-dlya-promo/futbolka-tbolka-160-oranzhevaya-614020/" , "6140.20 Футболка оранжевая «T-Bolka 160», размер XL")</f>
      </c>
      <c r="C15902" s="4" t="n">
        <v>660.00</v>
      </c>
      <c r="D15902" s="4"/>
    </row>
    <row collapsed="" customFormat="false" customHeight="1" hidden="" ht="14" outlineLevel="0" r="15903">
      <c r="A15903" s="3" t="inlineStr">
        <is>
          <t>15858</t>
        </is>
      </c>
      <c r="B15903" s="4" t="s">
        <f>=HYPERLINK("http://anyluxury.ru/shop/odezhda/futbolki-dlya-promo/futbolka-tbolka-160-oranzhevaya-614020/" , "6140.20 Футболка оранжевая «T-Bolka 160», размер XXL")</f>
      </c>
      <c r="C15903" s="4" t="n">
        <v>660.00</v>
      </c>
      <c r="D15903" s="4"/>
    </row>
    <row collapsed="" customFormat="false" customHeight="1" hidden="" ht="14" outlineLevel="0" r="15904">
      <c r="A15904" s="3" t="inlineStr">
        <is>
          <t>15859</t>
        </is>
      </c>
      <c r="B15904" s="4" t="s">
        <f>=HYPERLINK("http://anyluxury.ru/shop/odezhda/futbolki-dlya-promo/futbolka-tbolka-160-oranzhevaya-614020/" , "6140.20 Футболка оранжевая «T-Bolka 160», размер XXXL")</f>
      </c>
      <c r="C15904" s="4" t="n">
        <v>660.00</v>
      </c>
      <c r="D15904" s="4"/>
    </row>
    <row collapsed="" customFormat="false" customHeight="1" hidden="" ht="14" outlineLevel="0" r="15905">
      <c r="A15905" s="3" t="inlineStr">
        <is>
          <t>15860</t>
        </is>
      </c>
      <c r="B15905" s="4" t="s">
        <f>=HYPERLINK("http://anyluxury.ru/shop/odezhda/futbolki-dlya-promo/futbolka-tbolka-160-oranzhevaya-614020/" , "6140.20 Футболка оранжевая «T-Bolka 160», размер 4XL")</f>
      </c>
      <c r="C15905" s="4" t="n">
        <v>660.00</v>
      </c>
      <c r="D15905" s="4"/>
    </row>
    <row collapsed="" customFormat="false" customHeight="1" hidden="" ht="14" outlineLevel="0" r="15906">
      <c r="A15906" s="3" t="inlineStr">
        <is>
          <t>15861</t>
        </is>
      </c>
      <c r="B15906" s="4" t="s">
        <f>=HYPERLINK("http://anyluxury.ru/shop/odezhda/futbolki-dlya-promo/futbolka-tbolka-160-temnosinyaya-614040/" , "6140.40 Футболка темно-синяя «T-Bolka 160», размер S")</f>
      </c>
      <c r="C15906" s="4" t="n">
        <v>660.00</v>
      </c>
      <c r="D15906" s="4"/>
    </row>
    <row collapsed="" customFormat="false" customHeight="1" hidden="" ht="14" outlineLevel="0" r="15907">
      <c r="A15907" s="3" t="inlineStr">
        <is>
          <t>15862</t>
        </is>
      </c>
      <c r="B15907" s="4" t="s">
        <f>=HYPERLINK("http://anyluxury.ru/shop/odezhda/futbolki-dlya-promo/futbolka-tbolka-160-temnosinyaya-614040/" , "6140.40 Футболка темно-синяя «T-Bolka 160», размер M")</f>
      </c>
      <c r="C15907" s="4" t="n">
        <v>660.00</v>
      </c>
      <c r="D15907" s="4"/>
    </row>
    <row collapsed="" customFormat="false" customHeight="1" hidden="" ht="14" outlineLevel="0" r="15908">
      <c r="A15908" s="3" t="inlineStr">
        <is>
          <t>15863</t>
        </is>
      </c>
      <c r="B15908" s="4" t="s">
        <f>=HYPERLINK("http://anyluxury.ru/shop/odezhda/futbolki-dlya-promo/futbolka-tbolka-160-temnosinyaya-614040/" , "6140.40 Футболка темно-синяя «T-Bolka 160», размер XL")</f>
      </c>
      <c r="C15908" s="4" t="n">
        <v>660.00</v>
      </c>
      <c r="D15908" s="4"/>
    </row>
    <row collapsed="" customFormat="false" customHeight="1" hidden="" ht="14" outlineLevel="0" r="15909">
      <c r="A15909" s="3" t="inlineStr">
        <is>
          <t>15864</t>
        </is>
      </c>
      <c r="B15909" s="4" t="s">
        <f>=HYPERLINK("http://anyluxury.ru/shop/odezhda/futbolki-dlya-promo/futbolka-tbolka-160-temnosinyaya-614040/" , "6140.40 Футболка темно-синяя «T-Bolka 160», размер XXL")</f>
      </c>
      <c r="C15909" s="4" t="n">
        <v>660.00</v>
      </c>
      <c r="D15909" s="4"/>
    </row>
    <row collapsed="" customFormat="false" customHeight="1" hidden="" ht="14" outlineLevel="0" r="15910">
      <c r="A15910" s="3" t="inlineStr">
        <is>
          <t>15865</t>
        </is>
      </c>
      <c r="B15910" s="4" t="s">
        <f>=HYPERLINK("http://anyluxury.ru/shop/odezhda/futbolki-dlya-promo/futbolka-tbolka-160-temnosinyaya-614040/" , "6140.40 Футболка темно-синяя «T-Bolka 160», размер XXXL")</f>
      </c>
      <c r="C15910" s="4" t="n">
        <v>660.00</v>
      </c>
      <c r="D15910" s="4"/>
    </row>
    <row collapsed="" customFormat="false" customHeight="1" hidden="" ht="14" outlineLevel="0" r="15911">
      <c r="A15911" s="3" t="inlineStr">
        <is>
          <t>15866</t>
        </is>
      </c>
      <c r="B15911" s="4" t="s">
        <f>=HYPERLINK("http://anyluxury.ru/shop/odezhda/futbolki-dlya-promo/futbolka-tbolka-160-temnosinyaya-614040/" , "6140.40 Футболка темно-синяя «T-Bolka 160», размер 4XL")</f>
      </c>
      <c r="C15911" s="4" t="n">
        <v>660.00</v>
      </c>
      <c r="D15911" s="4"/>
    </row>
    <row collapsed="" customFormat="false" customHeight="1" hidden="" ht="14" outlineLevel="0" r="15912">
      <c r="A15912" s="3" t="inlineStr">
        <is>
          <t>15867</t>
        </is>
      </c>
      <c r="B15912" s="4" t="s">
        <f>=HYPERLINK("http://anyluxury.ru/shop/odezhda/futbolki-dlya-promo/futbolka-tbolka-160-temnosinyaya-614040/" , "6140.40 Футболка унисекс T-Bolka 160, темно-синяя, размер XS")</f>
      </c>
      <c r="C15912" s="4" t="n">
        <v>660.00</v>
      </c>
      <c r="D15912" s="4"/>
    </row>
    <row collapsed="" customFormat="false" customHeight="1" hidden="" ht="14" outlineLevel="0" r="15913">
      <c r="A15913" s="3" t="inlineStr">
        <is>
          <t>15868</t>
        </is>
      </c>
      <c r="B15913" s="4" t="s">
        <f>=HYPERLINK("http://anyluxury.ru/shop/odezhda/futbolki-dlya-promo/futbolka-tbolka-160-temnosinyaya-614040/" , "6140.40 Футболка унисекс T-Bolka 160, темно-синяя, размер 5XL")</f>
      </c>
      <c r="C15913" s="4" t="n">
        <v>660.00</v>
      </c>
      <c r="D15913" s="4"/>
    </row>
    <row collapsed="" customFormat="false" customHeight="1" hidden="" ht="14" outlineLevel="0" r="15914">
      <c r="A15914" s="3" t="inlineStr">
        <is>
          <t>15869</t>
        </is>
      </c>
      <c r="B15914" s="4" t="s">
        <f>=HYPERLINK("http://anyluxury.ru/shop/odezhda/futbolki-dlya-promo/futbolka-tbolka-160-temnosinyaya-614040/" , "6140.40 Футболка унисекс T-Bolka 160, темно-синяя, размер 6XL")</f>
      </c>
      <c r="C15914" s="4" t="n">
        <v>660.00</v>
      </c>
      <c r="D15914" s="4"/>
    </row>
    <row collapsed="" customFormat="false" customHeight="1" hidden="" ht="14" outlineLevel="0" r="15915">
      <c r="A15915" s="3" t="inlineStr">
        <is>
          <t>15870</t>
        </is>
      </c>
      <c r="B15915" s="4" t="s">
        <f>=HYPERLINK("http://anyluxury.ru/shop/odezhda/futbolki-dlya-promo/futbolka-tbolka-160-zheltaya-614080/" , "6140.80 Футболка желтая «T-Bolka 160», размер S")</f>
      </c>
      <c r="C15915" s="4" t="n">
        <v>660.00</v>
      </c>
      <c r="D15915" s="4"/>
    </row>
    <row collapsed="" customFormat="false" customHeight="1" hidden="" ht="14" outlineLevel="0" r="15916">
      <c r="A15916" s="3" t="inlineStr">
        <is>
          <t>15871</t>
        </is>
      </c>
      <c r="B15916" s="4" t="s">
        <f>=HYPERLINK("http://anyluxury.ru/shop/odezhda/futbolki-dlya-promo/futbolka-tbolka-160-zheltaya-614080/" , "6140.80 Футболка желтая «T-Bolka 160», размер M")</f>
      </c>
      <c r="C15916" s="4" t="n">
        <v>660.00</v>
      </c>
      <c r="D15916" s="4"/>
    </row>
    <row collapsed="" customFormat="false" customHeight="1" hidden="" ht="14" outlineLevel="0" r="15917">
      <c r="A15917" s="3" t="inlineStr">
        <is>
          <t>15872</t>
        </is>
      </c>
      <c r="B15917" s="4" t="s">
        <f>=HYPERLINK("http://anyluxury.ru/shop/odezhda/futbolki-dlya-promo/futbolka-tbolka-160-zheltaya-614080/" , "6140.80 Футболка желтая «T-Bolka 160», размер L")</f>
      </c>
      <c r="C15917" s="4" t="n">
        <v>660.00</v>
      </c>
      <c r="D15917" s="4"/>
    </row>
    <row collapsed="" customFormat="false" customHeight="1" hidden="" ht="14" outlineLevel="0" r="15918">
      <c r="A15918" s="3" t="inlineStr">
        <is>
          <t>15873</t>
        </is>
      </c>
      <c r="B15918" s="4" t="s">
        <f>=HYPERLINK("http://anyluxury.ru/shop/odezhda/futbolki-dlya-promo/futbolka-tbolka-160-zheltaya-614080/" , "6140.80 Футболка желтая «T-Bolka 160», размер XL")</f>
      </c>
      <c r="C15918" s="4" t="n">
        <v>660.00</v>
      </c>
      <c r="D15918" s="4"/>
    </row>
    <row collapsed="" customFormat="false" customHeight="1" hidden="" ht="14" outlineLevel="0" r="15919">
      <c r="A15919" s="3" t="inlineStr">
        <is>
          <t>15874</t>
        </is>
      </c>
      <c r="B15919" s="4" t="s">
        <f>=HYPERLINK("http://anyluxury.ru/shop/odezhda/futbolki-dlya-promo/futbolka-tbolka-160-zheltaya-614080/" , "6140.80 Футболка желтая «T-Bolka 160», размер XXL")</f>
      </c>
      <c r="C15919" s="4" t="n">
        <v>660.00</v>
      </c>
      <c r="D15919" s="4"/>
    </row>
    <row collapsed="" customFormat="false" customHeight="1" hidden="" ht="14" outlineLevel="0" r="15920">
      <c r="A15920" s="3" t="inlineStr">
        <is>
          <t>15875</t>
        </is>
      </c>
      <c r="B15920" s="4" t="s">
        <f>=HYPERLINK("http://anyluxury.ru/shop/odezhda/futbolki-dlya-promo/futbolka-tbolka-160-zheltaya-614080/" , "6140.80 Футболка желтая «T-Bolka 160», размер XXXL")</f>
      </c>
      <c r="C15920" s="4" t="n">
        <v>660.00</v>
      </c>
      <c r="D15920" s="4"/>
    </row>
    <row collapsed="" customFormat="false" customHeight="1" hidden="" ht="14" outlineLevel="0" r="15921">
      <c r="A15921" s="3" t="inlineStr">
        <is>
          <t>15876</t>
        </is>
      </c>
      <c r="B15921" s="4" t="s">
        <f>=HYPERLINK("http://anyluxury.ru/shop/odezhda/futbolki-dlya-promo/futbolka-tbolka-160-zheltaya-614080/" , "6140.80 Футболка желтая «T-Bolka 160», размер 4XL")</f>
      </c>
      <c r="C15921" s="4" t="n">
        <v>660.00</v>
      </c>
      <c r="D15921" s="4"/>
    </row>
    <row collapsed="" customFormat="false" customHeight="1" hidden="" ht="14" outlineLevel="0" r="15922">
      <c r="A15922" s="3" t="inlineStr">
        <is>
          <t>15877</t>
        </is>
      </c>
      <c r="B15922" s="4" t="s">
        <f>=HYPERLINK("http://anyluxury.ru/shop/odezhda/futbolki-dlya-promo/futbolka-tbolka-160-zheltaya-614080/" , "6140.80 Футболка желтая «T-Bolka 160», размер 4XL")</f>
      </c>
      <c r="C15922" s="4" t="n">
        <v>660.00</v>
      </c>
      <c r="D15922" s="4"/>
    </row>
    <row collapsed="" customFormat="false" customHeight="1" hidden="" ht="14" outlineLevel="0" r="15923">
      <c r="A15923" s="3" t="inlineStr">
        <is>
          <t>15878</t>
        </is>
      </c>
      <c r="B15923" s="4" t="s">
        <f>=HYPERLINK("http://anyluxury.ru/shop/odezhda/futbolki-dlya-promo/mayka-zhenskaya-jane-150-chernaya-480430/" , "4804.30 Майка женская JANE 150, черная, размер M")</f>
      </c>
      <c r="C15923" s="4" t="n">
        <v>890.00</v>
      </c>
      <c r="D15923" s="4"/>
    </row>
    <row collapsed="" customFormat="false" customHeight="1" hidden="" ht="14" outlineLevel="0" r="15924">
      <c r="A15924" s="3" t="inlineStr">
        <is>
          <t>15879</t>
        </is>
      </c>
      <c r="B15924" s="4" t="s">
        <f>=HYPERLINK("http://anyluxury.ru/shop/odezhda/futbolki-dlya-promo/mayka-zhenskaya-jane-150-chernaya-480430/" , "4804.30 Майка женская JANE 150, черная, размер L")</f>
      </c>
      <c r="C15924" s="4" t="n">
        <v>890.00</v>
      </c>
      <c r="D15924" s="4"/>
    </row>
    <row collapsed="" customFormat="false" customHeight="1" hidden="" ht="14" outlineLevel="0" r="15925">
      <c r="A15925" s="3" t="inlineStr">
        <is>
          <t>15880</t>
        </is>
      </c>
      <c r="B15925" s="4" t="s">
        <f>=HYPERLINK("http://anyluxury.ru/shop/odezhda/futbolki-dlya-promo/mayka-zhenskaya-jane-150-chernaya-480430/" , "4804.30 Майка женская JANE 150 черная, размер XL")</f>
      </c>
      <c r="C15925" s="4" t="n">
        <v>890.00</v>
      </c>
      <c r="D15925" s="4"/>
    </row>
    <row collapsed="" customFormat="false" customHeight="1" hidden="" ht="14" outlineLevel="0" r="15926">
      <c r="A15926" s="3" t="inlineStr">
        <is>
          <t>15881</t>
        </is>
      </c>
      <c r="B15926" s="4" t="s">
        <f>=HYPERLINK("http://anyluxury.ru/shop/odezhda/futbolki-dlya-promo/mayka-zhenskaya-jane-150-chernaya-480430/" , "4804.30 Майка женская JANE 150, черная, размер S")</f>
      </c>
      <c r="C15926" s="4" t="n">
        <v>890.00</v>
      </c>
      <c r="D15926" s="4"/>
    </row>
    <row collapsed="" customFormat="false" customHeight="1" hidden="" ht="14" outlineLevel="0" r="15927">
      <c r="A15927" s="3" t="inlineStr">
        <is>
          <t>15882</t>
        </is>
      </c>
      <c r="B15927" s="4" t="s">
        <f>=HYPERLINK("http://anyluxury.ru/shop/odezhda/futbolki-dlya-promo/mayka-zhenskaya-jane-150-biryuzovaya-480442/" , "4804.42 Майка женская JANE 150, бирюзовая, размер S")</f>
      </c>
      <c r="C15927" s="4" t="n">
        <v>800.00</v>
      </c>
      <c r="D15927" s="4"/>
    </row>
    <row collapsed="" customFormat="false" customHeight="1" hidden="" ht="14" outlineLevel="0" r="15928">
      <c r="A15928" s="3" t="inlineStr">
        <is>
          <t>15883</t>
        </is>
      </c>
      <c r="B15928" s="4" t="s">
        <f>=HYPERLINK("http://anyluxury.ru/shop/odezhda/futbolki-dlya-promo/mayka-zhenskaya-jane-150-biryuzovaya-480442/" , "4804.42 Майка женская JANE 150, бирюзовая, размер L")</f>
      </c>
      <c r="C15928" s="4" t="n">
        <v>800.00</v>
      </c>
      <c r="D15928" s="4"/>
    </row>
    <row collapsed="" customFormat="false" customHeight="1" hidden="" ht="14" outlineLevel="0" r="15929">
      <c r="A15929" s="3" t="inlineStr">
        <is>
          <t>15884</t>
        </is>
      </c>
      <c r="B15929" s="4" t="s">
        <f>=HYPERLINK("http://anyluxury.ru/shop/odezhda/futbolki-dlya-promo/mayka-zhenskaya-jane-150-biryuzovaya-480442/" , "4804.42 Майка женская Jane 150 бирюзовая, размер XL")</f>
      </c>
      <c r="C15929" s="4" t="n">
        <v>800.00</v>
      </c>
      <c r="D15929" s="4"/>
    </row>
    <row collapsed="" customFormat="false" customHeight="1" hidden="" ht="14" outlineLevel="0" r="15930">
      <c r="A15930" s="3" t="inlineStr">
        <is>
          <t>15885</t>
        </is>
      </c>
      <c r="B15930" s="4" t="s">
        <f>=HYPERLINK("http://anyluxury.ru/shop/odezhda/futbolki-dlya-promo/mayka-zhenskaya-jane-150-krasnaya-480450/" , "4804.50 Майка женская JANE 150, красная, размер S")</f>
      </c>
      <c r="C15930" s="4" t="n">
        <v>890.00</v>
      </c>
      <c r="D15930" s="4"/>
    </row>
    <row collapsed="" customFormat="false" customHeight="1" hidden="" ht="14" outlineLevel="0" r="15931">
      <c r="A15931" s="3" t="inlineStr">
        <is>
          <t>15886</t>
        </is>
      </c>
      <c r="B15931" s="4" t="s">
        <f>=HYPERLINK("http://anyluxury.ru/shop/odezhda/futbolki-dlya-promo/mayka-zhenskaya-jane-150-krasnaya-480450/" , "4804.50 Майка женская JANE 150, красная, размер L")</f>
      </c>
      <c r="C15931" s="4" t="n">
        <v>890.00</v>
      </c>
      <c r="D15931" s="4"/>
    </row>
    <row collapsed="" customFormat="false" customHeight="1" hidden="" ht="14" outlineLevel="0" r="15932">
      <c r="A15932" s="3" t="inlineStr">
        <is>
          <t>15887</t>
        </is>
      </c>
      <c r="B15932" s="4" t="s">
        <f>=HYPERLINK("http://anyluxury.ru/shop/odezhda/futbolki-dlya-promo/mayka-zhenskaya-jane-150-krasnaya-480450/" , "4804.50 Майка женская Jane 150 красная, размер XL")</f>
      </c>
      <c r="C15932" s="4" t="n">
        <v>890.00</v>
      </c>
      <c r="D15932" s="4"/>
    </row>
    <row collapsed="" customFormat="false" customHeight="1" hidden="" ht="14" outlineLevel="0" r="15933">
      <c r="A15933" s="3" t="inlineStr">
        <is>
          <t>15888</t>
        </is>
      </c>
      <c r="B15933" s="4" t="s">
        <f>=HYPERLINK("http://anyluxury.ru/shop/odezhda/futbolki-dlya-promo/mayka-muzhskaya-justin-150-krasnaya-480550/" , "4805.50 Майка мужская JUSTIN 150 красная, размер S")</f>
      </c>
      <c r="C15933" s="4" t="n">
        <v>658.00</v>
      </c>
      <c r="D15933" s="4"/>
    </row>
    <row collapsed="" customFormat="false" customHeight="1" hidden="" ht="14" outlineLevel="0" r="15934">
      <c r="A15934" s="3" t="inlineStr">
        <is>
          <t>15889</t>
        </is>
      </c>
      <c r="B15934" s="4" t="s">
        <f>=HYPERLINK("http://anyluxury.ru/shop/odezhda/futbolki-dlya-promo/mayka-muzhskaya-justin-150-krasnaya-480550/" , "4805.50 Майка мужская JUSTIN 150, красная, размер L")</f>
      </c>
      <c r="C15934" s="4" t="n">
        <v>658.00</v>
      </c>
      <c r="D15934" s="4"/>
    </row>
    <row collapsed="" customFormat="false" customHeight="1" hidden="" ht="14" outlineLevel="0" r="15935">
      <c r="A15935" s="3" t="inlineStr">
        <is>
          <t>15890</t>
        </is>
      </c>
      <c r="B15935" s="4" t="s">
        <f>=HYPERLINK("http://anyluxury.ru/shop/odezhda/futbolki-dlya-promo/mayka-muzhskaya-justin-150-krasnaya-480550/" , "4805.50 Майка мужская JUSTIN 150 красная, размер XXL")</f>
      </c>
      <c r="C15935" s="4" t="n">
        <v>658.00</v>
      </c>
      <c r="D15935" s="4"/>
    </row>
    <row collapsed="" customFormat="false" customHeight="1" hidden="" ht="14" outlineLevel="0" r="15936">
      <c r="A15936" s="3" t="inlineStr">
        <is>
          <t>15891</t>
        </is>
      </c>
      <c r="B15936" s="4" t="s">
        <f>=HYPERLINK("http://anyluxury.ru/shop/odezhda/futbolki-dlya-promo/mayka-muzhskaya-justin-150-belaya-480560/" , "4805.60 Майка мужская JUSTIN 150, белая, размер S")</f>
      </c>
      <c r="C15936" s="4" t="n">
        <v>563.00</v>
      </c>
      <c r="D15936" s="4"/>
    </row>
    <row collapsed="" customFormat="false" customHeight="1" hidden="" ht="14" outlineLevel="0" r="15937">
      <c r="A15937" s="3" t="inlineStr">
        <is>
          <t>15892</t>
        </is>
      </c>
      <c r="B15937" s="4" t="s">
        <f>=HYPERLINK("http://anyluxury.ru/shop/odezhda/futbolki-dlya-promo/mayka-muzhskaya-justin-150-belaya-480560/" , "4805.60 Майка мужская JUSTIN 150 белая, размер XXL")</f>
      </c>
      <c r="C15937" s="4" t="n">
        <v>563.00</v>
      </c>
      <c r="D15937" s="4"/>
    </row>
    <row collapsed="" customFormat="false" customHeight="1" hidden="" ht="14" outlineLevel="0" r="15938">
      <c r="A15938" s="3" t="inlineStr">
        <is>
          <t>15893</t>
        </is>
      </c>
      <c r="B15938" s="4" t="s">
        <f>=HYPERLINK("http://anyluxury.ru/shop/odezhda/futbolki-dlya-promo/mayka-muzhskaya-justin-150-belaya-480560/" , "4805.60 Майка мужская JUSTIN белая, размер 3XL")</f>
      </c>
      <c r="C15938" s="4" t="n">
        <v>653.00</v>
      </c>
      <c r="D15938" s="4"/>
    </row>
    <row collapsed="" customFormat="false" customHeight="1" hidden="" ht="14" outlineLevel="0" r="15939">
      <c r="A15939" s="3" t="inlineStr">
        <is>
          <t>15894</t>
        </is>
      </c>
      <c r="B15939" s="4" t="s">
        <f>=HYPERLINK("http://anyluxury.ru/shop/odezhda/futbolki-dlya-promo/mayka-muzhskaya-justin-150-belaya-480560/" , "4805.60 Майка мужская JUSTIN белая, размер 4XL")</f>
      </c>
      <c r="C15939" s="4" t="n">
        <v>923.00</v>
      </c>
      <c r="D15939" s="4"/>
    </row>
    <row collapsed="" customFormat="false" customHeight="1" hidden="" ht="14" outlineLevel="0" r="15940">
      <c r="A15940" s="3" t="inlineStr">
        <is>
          <t>15895</t>
        </is>
      </c>
      <c r="B15940" s="4" t="s">
        <f>=HYPERLINK("http://anyluxury.ru/shop/odezhda/futbolki-dlya-promo/mayka-muzhskaya-justin-150-belaya-480560/" , "4805.60 Майка мужская JUSTIN белая, размер 5XL")</f>
      </c>
      <c r="C15940" s="4" t="n">
        <v>923.00</v>
      </c>
      <c r="D15940" s="4"/>
    </row>
    <row collapsed="" customFormat="false" customHeight="1" hidden="" ht="14" outlineLevel="0" r="15941">
      <c r="A15941" s="3" t="inlineStr">
        <is>
          <t>15896</t>
        </is>
      </c>
      <c r="B15941" s="4" t="s">
        <f>=HYPERLINK("http://anyluxury.ru/shop/odezhda/futbolki-dlya-promo/futbolka-zhenskaya-miss-150-zheltaya-266280/" , "2662.80 Футболка женская MISS 150 желтая, размер S")</f>
      </c>
      <c r="C15941" s="4" t="n">
        <v>490.00</v>
      </c>
      <c r="D15941" s="4"/>
    </row>
    <row collapsed="" customFormat="false" customHeight="1" hidden="" ht="14" outlineLevel="0" r="15942">
      <c r="A15942" s="3" t="inlineStr">
        <is>
          <t>15897</t>
        </is>
      </c>
      <c r="B15942" s="4" t="s">
        <f>=HYPERLINK("http://anyluxury.ru/shop/odezhda/futbolki-dlya-promo/futbolka-zhenskaya-miss-150-zheltaya-266280/" , "2662.80 Футболка женская MISS 150 желтая, размер M")</f>
      </c>
      <c r="C15942" s="4" t="n">
        <v>490.00</v>
      </c>
      <c r="D15942" s="4"/>
    </row>
    <row collapsed="" customFormat="false" customHeight="1" hidden="" ht="14" outlineLevel="0" r="15943">
      <c r="A15943" s="3" t="inlineStr">
        <is>
          <t>15898</t>
        </is>
      </c>
      <c r="B15943" s="4" t="s">
        <f>=HYPERLINK("http://anyluxury.ru/shop/odezhda/futbolki-dlya-promo/futbolka-zhenskaya-miss-150-zheltaya-266280/" , "2662.80 Футболка женская MISS 150 желтая, размер L")</f>
      </c>
      <c r="C15943" s="4" t="n">
        <v>490.00</v>
      </c>
      <c r="D15943" s="4"/>
    </row>
    <row collapsed="" customFormat="false" customHeight="1" hidden="" ht="14" outlineLevel="0" r="15944">
      <c r="A15944" s="3" t="inlineStr">
        <is>
          <t>15899</t>
        </is>
      </c>
      <c r="B15944" s="4" t="s">
        <f>=HYPERLINK("http://anyluxury.ru/shop/odezhda/futbolki-dlya-promo/futbolka-zhenskaya-miss-150-zheltaya-266280/" , "2662.80 Футболка женская MISS 150 желтая, размер XL")</f>
      </c>
      <c r="C15944" s="4" t="n">
        <v>490.00</v>
      </c>
      <c r="D15944" s="4"/>
    </row>
    <row collapsed="" customFormat="false" customHeight="1" hidden="" ht="14" outlineLevel="0" r="15945">
      <c r="A15945" s="3" t="inlineStr">
        <is>
          <t>15900</t>
        </is>
      </c>
      <c r="B15945" s="4" t="s">
        <f>=HYPERLINK("http://anyluxury.ru/shop/odezhda/futbolki-dlya-promo/futbolka-zhenskaya-miss-150-zheltaya-266280/" , "2662.80 Футболка женская MISS 150 желтая, размер XXL")</f>
      </c>
      <c r="C15945" s="4" t="n">
        <v>490.00</v>
      </c>
      <c r="D15945" s="4"/>
    </row>
    <row collapsed="" customFormat="false" customHeight="1" hidden="" ht="14" outlineLevel="0" r="15946">
      <c r="A15946" s="3" t="inlineStr">
        <is>
          <t>15901</t>
        </is>
      </c>
      <c r="B15946" s="4" t="s">
        <f>=HYPERLINK("http://anyluxury.ru/shop/odezhda/futbolki-dlya-promo/futbolka-detskaya-regent-kids-150-golubaya-188614/" , "1886.14 Футболка детская REGENT KIDS 150 голубая, на рост 96-104 см (4 года)")</f>
      </c>
      <c r="C15946" s="4" t="n">
        <v>468.00</v>
      </c>
      <c r="D15946" s="4"/>
    </row>
    <row collapsed="" customFormat="false" customHeight="1" hidden="" ht="14" outlineLevel="0" r="15947">
      <c r="A15947" s="3" t="inlineStr">
        <is>
          <t>15902</t>
        </is>
      </c>
      <c r="B15947" s="4" t="s">
        <f>=HYPERLINK("http://anyluxury.ru/shop/odezhda/futbolki-dlya-promo/futbolka-detskaya-regent-kids-150-golubaya-188614/" , "1886.14 Футболка детская REGENT KIDS 150 голубая, на рост 106-116 см (6 лет)")</f>
      </c>
      <c r="C15947" s="4" t="n">
        <v>468.00</v>
      </c>
      <c r="D15947" s="4"/>
    </row>
    <row collapsed="" customFormat="false" customHeight="1" hidden="" ht="14" outlineLevel="0" r="15948">
      <c r="A15948" s="3" t="inlineStr">
        <is>
          <t>15903</t>
        </is>
      </c>
      <c r="B15948" s="4" t="s">
        <f>=HYPERLINK("http://anyluxury.ru/shop/odezhda/futbolki-dlya-promo/futbolka-detskaya-regent-kids-150-golubaya-188614/" , "1886.14 Футболка детская REGENT KIDS 150 голубая, на рост 118-128 см (8 лет)")</f>
      </c>
      <c r="C15948" s="4" t="n">
        <v>468.00</v>
      </c>
      <c r="D15948" s="4"/>
    </row>
    <row collapsed="" customFormat="false" customHeight="1" hidden="" ht="14" outlineLevel="0" r="15949">
      <c r="A15949" s="3" t="inlineStr">
        <is>
          <t>15904</t>
        </is>
      </c>
      <c r="B15949" s="4" t="s">
        <f>=HYPERLINK("http://anyluxury.ru/shop/odezhda/futbolki-dlya-promo/futbolka-detskaya-regent-kids-150-golubaya-188614/" , "1886.14 Футболка детская REGENT KIDS 150 голубая, на рост 130-140 см (10 лет)")</f>
      </c>
      <c r="C15949" s="4" t="n">
        <v>468.00</v>
      </c>
      <c r="D15949" s="4"/>
    </row>
    <row collapsed="" customFormat="false" customHeight="1" hidden="" ht="14" outlineLevel="0" r="15950">
      <c r="A15950" s="3" t="inlineStr">
        <is>
          <t>15905</t>
        </is>
      </c>
      <c r="B15950" s="4" t="s">
        <f>=HYPERLINK("http://anyluxury.ru/shop/odezhda/futbolki-dlya-promo/futbolka-detskaya-regent-kids-150-golubaya-188614/" , "1886.14 Футболка детская REGENT KIDS 150 голубая, на рост 142-152 см (12 лет)")</f>
      </c>
      <c r="C15950" s="4" t="n">
        <v>468.00</v>
      </c>
      <c r="D15950" s="4"/>
    </row>
    <row collapsed="" customFormat="false" customHeight="1" hidden="" ht="14" outlineLevel="0" r="15951">
      <c r="A15951" s="3" t="inlineStr">
        <is>
          <t>15906</t>
        </is>
      </c>
      <c r="B15951" s="4" t="s">
        <f>=HYPERLINK("http://anyluxury.ru/shop/odezhda/futbolki-dlya-promo/futbolka-tbolka-140-oranzhevaya-519020/" , "5190.20 Футболка оранжевая 'T-bolka 140', размер S")</f>
      </c>
      <c r="C15951" s="4" t="n">
        <v>508.00</v>
      </c>
      <c r="D15951" s="4"/>
    </row>
    <row collapsed="" customFormat="false" customHeight="1" hidden="" ht="14" outlineLevel="0" r="15952">
      <c r="A15952" s="3" t="inlineStr">
        <is>
          <t>15907</t>
        </is>
      </c>
      <c r="B15952" s="4" t="s">
        <f>=HYPERLINK("http://anyluxury.ru/shop/odezhda/futbolki-dlya-promo/futbolka-tbolka-140-oranzhevaya-519020/" , "5190.20 Футболка оранжевая 'T-bolka 140', размер M")</f>
      </c>
      <c r="C15952" s="4" t="n">
        <v>508.00</v>
      </c>
      <c r="D15952" s="4"/>
    </row>
    <row collapsed="" customFormat="false" customHeight="1" hidden="" ht="14" outlineLevel="0" r="15953">
      <c r="A15953" s="3" t="inlineStr">
        <is>
          <t>15908</t>
        </is>
      </c>
      <c r="B15953" s="4" t="s">
        <f>=HYPERLINK("http://anyluxury.ru/shop/odezhda/futbolki-dlya-promo/futbolka-tbolka-140-oranzhevaya-519020/" , "5190.20 Футболка оранжевая 'T-bolka 140', размер L")</f>
      </c>
      <c r="C15953" s="4" t="n">
        <v>508.00</v>
      </c>
      <c r="D15953" s="4"/>
    </row>
    <row collapsed="" customFormat="false" customHeight="1" hidden="" ht="14" outlineLevel="0" r="15954">
      <c r="A15954" s="3" t="inlineStr">
        <is>
          <t>15909</t>
        </is>
      </c>
      <c r="B15954" s="4" t="s">
        <f>=HYPERLINK("http://anyluxury.ru/shop/odezhda/futbolki-dlya-promo/futbolka-tbolka-140-oranzhevaya-519020/" , "5190.20 Футболка оранжевая 'T-bolka 140', размер XL")</f>
      </c>
      <c r="C15954" s="4" t="n">
        <v>508.00</v>
      </c>
      <c r="D15954" s="4"/>
    </row>
    <row collapsed="" customFormat="false" customHeight="1" hidden="" ht="14" outlineLevel="0" r="15955">
      <c r="A15955" s="3" t="inlineStr">
        <is>
          <t>15910</t>
        </is>
      </c>
      <c r="B15955" s="4" t="s">
        <f>=HYPERLINK("http://anyluxury.ru/shop/odezhda/futbolki-dlya-promo/futbolka-tbolka-140-oranzhevaya-519020/" , "5190.20 Футболка оранжевая 'T-bolka 140', размер XXL")</f>
      </c>
      <c r="C15955" s="4" t="n">
        <v>508.00</v>
      </c>
      <c r="D15955" s="4"/>
    </row>
    <row collapsed="" customFormat="false" customHeight="1" hidden="" ht="14" outlineLevel="0" r="15956">
      <c r="A15956" s="3" t="inlineStr">
        <is>
          <t>15911</t>
        </is>
      </c>
      <c r="B15956" s="4" t="s">
        <f>=HYPERLINK("http://anyluxury.ru/shop/odezhda/futbolki-dlya-promo/futbolka-tbolka-140-oranzhevaya-519020/" , "5190.20 Футболка оранжевая 'T-bolka 140', размер XXXL")</f>
      </c>
      <c r="C15956" s="4" t="n">
        <v>508.00</v>
      </c>
      <c r="D15956" s="4"/>
    </row>
    <row collapsed="" customFormat="false" customHeight="1" hidden="" ht="14" outlineLevel="0" r="15957">
      <c r="A15957" s="3" t="inlineStr">
        <is>
          <t>15912</t>
        </is>
      </c>
      <c r="B15957" s="4" t="s">
        <f>=HYPERLINK("http://anyluxury.ru/shop/odezhda/futbolki-dlya-promo/futbolka-tbolka-140-oranzhevaya-519020/" , "5190.20 Футболка оранжевая «T-bolka 140», размер 4XL")</f>
      </c>
      <c r="C15957" s="4" t="n">
        <v>508.00</v>
      </c>
      <c r="D15957" s="4"/>
    </row>
    <row collapsed="" customFormat="false" customHeight="1" hidden="" ht="14" outlineLevel="0" r="15958">
      <c r="A15958" s="3" t="inlineStr">
        <is>
          <t>15913</t>
        </is>
      </c>
      <c r="B15958" s="4" t="s">
        <f>=HYPERLINK("http://anyluxury.ru/shop/odezhda/futbolki-dlya-promo/futbolka-tbolka-140-yarkosinyaya-519044/" , "5190.44 Футболка ярко-синяя 'T-bolka 140', размер S")</f>
      </c>
      <c r="C15958" s="4" t="n">
        <v>508.00</v>
      </c>
      <c r="D15958" s="4"/>
    </row>
    <row collapsed="" customFormat="false" customHeight="1" hidden="" ht="14" outlineLevel="0" r="15959">
      <c r="A15959" s="3" t="inlineStr">
        <is>
          <t>15914</t>
        </is>
      </c>
      <c r="B15959" s="4" t="s">
        <f>=HYPERLINK("http://anyluxury.ru/shop/odezhda/futbolki-dlya-promo/futbolka-tbolka-140-yarkosinyaya-519044/" , "5190.44 Футболка ярко-синяя 'T-bolka 140', размер M")</f>
      </c>
      <c r="C15959" s="4" t="n">
        <v>508.00</v>
      </c>
      <c r="D15959" s="4"/>
    </row>
    <row collapsed="" customFormat="false" customHeight="1" hidden="" ht="14" outlineLevel="0" r="15960">
      <c r="A15960" s="3" t="inlineStr">
        <is>
          <t>15915</t>
        </is>
      </c>
      <c r="B15960" s="4" t="s">
        <f>=HYPERLINK("http://anyluxury.ru/shop/odezhda/futbolki-dlya-promo/futbolka-tbolka-140-yarkosinyaya-519044/" , "5190.44 Футболка ярко-синяя 'T-bolka 140', размер XL")</f>
      </c>
      <c r="C15960" s="4" t="n">
        <v>508.00</v>
      </c>
      <c r="D15960" s="4"/>
    </row>
    <row collapsed="" customFormat="false" customHeight="1" hidden="" ht="14" outlineLevel="0" r="15961">
      <c r="A15961" s="3" t="inlineStr">
        <is>
          <t>15916</t>
        </is>
      </c>
      <c r="B15961" s="4" t="s">
        <f>=HYPERLINK("http://anyluxury.ru/shop/odezhda/futbolki-dlya-promo/futbolka-tbolka-140-yarkosinyaya-519044/" , "5190.44 Футболка ярко-синяя 'T-bolka 140', размер XXL")</f>
      </c>
      <c r="C15961" s="4" t="n">
        <v>508.00</v>
      </c>
      <c r="D15961" s="4"/>
    </row>
    <row collapsed="" customFormat="false" customHeight="1" hidden="" ht="14" outlineLevel="0" r="15962">
      <c r="A15962" s="3" t="inlineStr">
        <is>
          <t>15917</t>
        </is>
      </c>
      <c r="B15962" s="4" t="s">
        <f>=HYPERLINK("http://anyluxury.ru/shop/odezhda/futbolki-dlya-promo/futbolka-tbolka-140-yarkosinyaya-519044/" , "5190.44 Футболка ярко-синяя 'T-bolka 140', размер XXXL")</f>
      </c>
      <c r="C15962" s="4" t="n">
        <v>508.00</v>
      </c>
      <c r="D15962" s="4"/>
    </row>
    <row collapsed="" customFormat="false" customHeight="1" hidden="" ht="14" outlineLevel="0" r="15963">
      <c r="A15963" s="3" t="inlineStr">
        <is>
          <t>15918</t>
        </is>
      </c>
      <c r="B15963" s="4" t="s">
        <f>=HYPERLINK("http://anyluxury.ru/shop/odezhda/futbolki-dlya-promo/futbolka-tbolka-140-yarkosinyaya-519044/" , "5190.44 Футболка ярко-синяя «T-bolka 140», размер 4XL")</f>
      </c>
      <c r="C15963" s="4" t="n">
        <v>508.00</v>
      </c>
      <c r="D15963" s="4"/>
    </row>
    <row collapsed="" customFormat="false" customHeight="1" hidden="" ht="14" outlineLevel="0" r="15964">
      <c r="A15964" s="3" t="inlineStr">
        <is>
          <t>15919</t>
        </is>
      </c>
      <c r="B15964" s="4" t="s">
        <f>=HYPERLINK("http://anyluxury.ru/shop/odezhda/futbolki-dlya-promo/futbolka-tbolka-140-krasnaya-519050/" , "5190.50 Футболка красная 'T-bolka 140', размер S")</f>
      </c>
      <c r="C15964" s="4" t="n">
        <v>508.00</v>
      </c>
      <c r="D15964" s="4"/>
    </row>
    <row collapsed="" customFormat="false" customHeight="1" hidden="" ht="14" outlineLevel="0" r="15965">
      <c r="A15965" s="3" t="inlineStr">
        <is>
          <t>15920</t>
        </is>
      </c>
      <c r="B15965" s="4" t="s">
        <f>=HYPERLINK("http://anyluxury.ru/shop/odezhda/futbolki-dlya-promo/futbolka-tbolka-140-krasnaya-519050/" , "5190.50 Футболка красная «T-bolka 140», размер 4XL")</f>
      </c>
      <c r="C15965" s="4" t="n">
        <v>508.00</v>
      </c>
      <c r="D15965" s="4"/>
    </row>
    <row collapsed="" customFormat="false" customHeight="1" hidden="" ht="14" outlineLevel="0" r="15966">
      <c r="A15966" s="3" t="inlineStr">
        <is>
          <t>15921</t>
        </is>
      </c>
      <c r="B15966" s="4" t="s">
        <f>=HYPERLINK("http://anyluxury.ru/shop/odezhda/futbolki-dlya-promo/futbolka-tbolka-140-krasnaya-519050/" , "5190.50 Футболка красная «T-bolka 140», размер 5XL")</f>
      </c>
      <c r="C15966" s="4" t="n">
        <v>508.00</v>
      </c>
      <c r="D15966" s="4"/>
    </row>
    <row collapsed="" customFormat="false" customHeight="1" hidden="" ht="14" outlineLevel="0" r="15967">
      <c r="A15967" s="3" t="inlineStr">
        <is>
          <t>15922</t>
        </is>
      </c>
      <c r="B15967" s="4" t="s">
        <f>=HYPERLINK("http://anyluxury.ru/shop/odezhda/futbolki-dlya-promo/futbolka-tbolka-140-belaya-519060/" , "5190.60 Футболка белая 'T-bolka 140', размер S")</f>
      </c>
      <c r="C15967" s="4" t="n">
        <v>441.00</v>
      </c>
      <c r="D15967" s="4"/>
    </row>
    <row collapsed="" customFormat="false" customHeight="1" hidden="" ht="14" outlineLevel="0" r="15968">
      <c r="A15968" s="3" t="inlineStr">
        <is>
          <t>15923</t>
        </is>
      </c>
      <c r="B15968" s="4" t="s">
        <f>=HYPERLINK("http://anyluxury.ru/shop/odezhda/futbolki-dlya-promo/futbolka-tbolka-140-belaya-519060/" , "5190.60 Футболка белая 'T-bolka 140', размер L")</f>
      </c>
      <c r="C15968" s="4" t="n">
        <v>441.00</v>
      </c>
      <c r="D15968" s="4"/>
    </row>
    <row collapsed="" customFormat="false" customHeight="1" hidden="" ht="14" outlineLevel="0" r="15969">
      <c r="A15969" s="3" t="inlineStr">
        <is>
          <t>15924</t>
        </is>
      </c>
      <c r="B15969" s="4" t="s">
        <f>=HYPERLINK("http://anyluxury.ru/shop/odezhda/futbolki-dlya-promo/futbolka-tbolka-140-belaya-519060/" , "5190.60 Футболка белая 'T-bolka 140', размер XXL")</f>
      </c>
      <c r="C15969" s="4" t="n">
        <v>441.00</v>
      </c>
      <c r="D15969" s="4"/>
    </row>
    <row collapsed="" customFormat="false" customHeight="1" hidden="" ht="14" outlineLevel="0" r="15970">
      <c r="A15970" s="3" t="inlineStr">
        <is>
          <t>15925</t>
        </is>
      </c>
      <c r="B15970" s="4" t="s">
        <f>=HYPERLINK("http://anyluxury.ru/shop/odezhda/futbolki-dlya-promo/futbolka-tbolka-140-belaya-519060/" , "5190.60 Футболка белая 'T-bolka 140', размер 3XL")</f>
      </c>
      <c r="C15970" s="4" t="n">
        <v>441.00</v>
      </c>
      <c r="D15970" s="4"/>
    </row>
    <row collapsed="" customFormat="false" customHeight="1" hidden="" ht="14" outlineLevel="0" r="15971">
      <c r="A15971" s="3" t="inlineStr">
        <is>
          <t>15926</t>
        </is>
      </c>
      <c r="B15971" s="4" t="s">
        <f>=HYPERLINK("http://anyluxury.ru/shop/odezhda/futbolki-dlya-promo/futbolka-tbolka-140-belaya-519060/" , "5190.60 Футболка белая «T-bolka 140», размер 4XL")</f>
      </c>
      <c r="C15971" s="4" t="n">
        <v>441.00</v>
      </c>
      <c r="D15971" s="4"/>
    </row>
    <row collapsed="" customFormat="false" customHeight="1" hidden="" ht="14" outlineLevel="0" r="15972">
      <c r="A15972" s="3" t="inlineStr">
        <is>
          <t>15927</t>
        </is>
      </c>
      <c r="B15972" s="4" t="s">
        <f>=HYPERLINK("http://anyluxury.ru/shop/odezhda/futbolki-dlya-promo/futbolka-tbolka-140-belaya-519060/" , "5190.60 Футболка белая «T-bolka 140», размер 5XL")</f>
      </c>
      <c r="C15972" s="4" t="n">
        <v>441.00</v>
      </c>
      <c r="D15972" s="4"/>
    </row>
    <row collapsed="" customFormat="false" customHeight="1" hidden="" ht="14" outlineLevel="0" r="15973">
      <c r="A15973" s="3" t="inlineStr">
        <is>
          <t>15928</t>
        </is>
      </c>
      <c r="B15973" s="4" t="s">
        <f>=HYPERLINK("http://anyluxury.ru/shop/odezhda/futbolki-dlya-promo/futbolka-tbolka-140-zheltaya-519080/" , "5190.80 Футболка желтая 'T-bolka 140', размер S")</f>
      </c>
      <c r="C15973" s="4" t="n">
        <v>508.00</v>
      </c>
      <c r="D15973" s="4"/>
    </row>
    <row collapsed="" customFormat="false" customHeight="1" hidden="" ht="14" outlineLevel="0" r="15974">
      <c r="A15974" s="3" t="inlineStr">
        <is>
          <t>15929</t>
        </is>
      </c>
      <c r="B15974" s="4" t="s">
        <f>=HYPERLINK("http://anyluxury.ru/shop/odezhda/futbolki-dlya-promo/futbolka-tbolka-140-zheltaya-519080/" , "5190.80 Футболка желтая 'T-bolka 140', размер M")</f>
      </c>
      <c r="C15974" s="4" t="n">
        <v>508.00</v>
      </c>
      <c r="D15974" s="4"/>
    </row>
    <row collapsed="" customFormat="false" customHeight="1" hidden="" ht="14" outlineLevel="0" r="15975">
      <c r="A15975" s="3" t="inlineStr">
        <is>
          <t>15930</t>
        </is>
      </c>
      <c r="B15975" s="4" t="s">
        <f>=HYPERLINK("http://anyluxury.ru/shop/odezhda/futbolki-dlya-promo/futbolka-tbolka-140-zheltaya-519080/" , "5190.80 Футболка желтая 'T-bolka 140', размер L")</f>
      </c>
      <c r="C15975" s="4" t="n">
        <v>508.00</v>
      </c>
      <c r="D15975" s="4"/>
    </row>
    <row collapsed="" customFormat="false" customHeight="1" hidden="" ht="14" outlineLevel="0" r="15976">
      <c r="A15976" s="3" t="inlineStr">
        <is>
          <t>15931</t>
        </is>
      </c>
      <c r="B15976" s="4" t="s">
        <f>=HYPERLINK("http://anyluxury.ru/shop/odezhda/futbolki-dlya-promo/futbolka-tbolka-140-zheltaya-519080/" , "5190.80 Футболка желтая 'T-bolka 140', размер XL")</f>
      </c>
      <c r="C15976" s="4" t="n">
        <v>508.00</v>
      </c>
      <c r="D15976" s="4"/>
    </row>
    <row collapsed="" customFormat="false" customHeight="1" hidden="" ht="14" outlineLevel="0" r="15977">
      <c r="A15977" s="3" t="inlineStr">
        <is>
          <t>15932</t>
        </is>
      </c>
      <c r="B15977" s="4" t="s">
        <f>=HYPERLINK("http://anyluxury.ru/shop/odezhda/futbolki-dlya-promo/futbolka-tbolka-140-zheltaya-519080/" , "5190.80 Футболка желтая 'T-bolka 140', размер XXL")</f>
      </c>
      <c r="C15977" s="4" t="n">
        <v>508.00</v>
      </c>
      <c r="D15977" s="4"/>
    </row>
    <row collapsed="" customFormat="false" customHeight="1" hidden="" ht="14" outlineLevel="0" r="15978">
      <c r="A15978" s="3" t="inlineStr">
        <is>
          <t>15933</t>
        </is>
      </c>
      <c r="B15978" s="4" t="s">
        <f>=HYPERLINK("http://anyluxury.ru/shop/odezhda/futbolki-dlya-promo/futbolka-tbolka-140-zheltaya-519080/" , "5190.80 Футболка желтая 'T-bolka 140', размер XXXL")</f>
      </c>
      <c r="C15978" s="4" t="n">
        <v>508.00</v>
      </c>
      <c r="D15978" s="4"/>
    </row>
    <row collapsed="" customFormat="false" customHeight="1" hidden="" ht="14" outlineLevel="0" r="15979">
      <c r="A15979" s="3" t="inlineStr">
        <is>
          <t>15934</t>
        </is>
      </c>
      <c r="B15979" s="4" t="s">
        <f>=HYPERLINK("http://anyluxury.ru/shop/odezhda/futbolki-dlya-promo/futbolka-tbolka-140-zheltaya-519080/" , "5190.80 Футболка желтая «T-bolka 140», размер 4XL")</f>
      </c>
      <c r="C15979" s="4" t="n">
        <v>508.00</v>
      </c>
      <c r="D15979" s="4"/>
    </row>
    <row collapsed="" customFormat="false" customHeight="1" hidden="" ht="14" outlineLevel="0" r="15980">
      <c r="A15980" s="3" t="inlineStr">
        <is>
          <t>15935</t>
        </is>
      </c>
      <c r="B15980" s="4" t="s">
        <f>=HYPERLINK("http://anyluxury.ru/shop/odezhda/futbolki-dlya-promo/futbolka-tbolka-140-chernaya-519030/" , "5190.30 Футболка черная T-bolka 140, размер S")</f>
      </c>
      <c r="C15980" s="4" t="n">
        <v>508.00</v>
      </c>
      <c r="D15980" s="4"/>
    </row>
    <row collapsed="" customFormat="false" customHeight="1" hidden="" ht="14" outlineLevel="0" r="15981">
      <c r="A15981" s="3" t="inlineStr">
        <is>
          <t>15936</t>
        </is>
      </c>
      <c r="B15981" s="4" t="s">
        <f>=HYPERLINK("http://anyluxury.ru/shop/odezhda/futbolki-dlya-promo/futbolka-tbolka-140-chernaya-519030/" , "5190.30 Футболка черная T-bolka 140, размер L")</f>
      </c>
      <c r="C15981" s="4" t="n">
        <v>508.00</v>
      </c>
      <c r="D15981" s="4"/>
    </row>
    <row collapsed="" customFormat="false" customHeight="1" hidden="" ht="14" outlineLevel="0" r="15982">
      <c r="A15982" s="3" t="inlineStr">
        <is>
          <t>15937</t>
        </is>
      </c>
      <c r="B15982" s="4" t="s">
        <f>=HYPERLINK("http://anyluxury.ru/shop/odezhda/futbolki-dlya-promo/futbolka-tbolka-140-chernaya-519030/" , "5190.30 Футболка черная T-bolka 140, размер XL")</f>
      </c>
      <c r="C15982" s="4" t="n">
        <v>508.00</v>
      </c>
      <c r="D15982" s="4"/>
    </row>
    <row collapsed="" customFormat="false" customHeight="1" hidden="" ht="14" outlineLevel="0" r="15983">
      <c r="A15983" s="3" t="inlineStr">
        <is>
          <t>15938</t>
        </is>
      </c>
      <c r="B15983" s="4" t="s">
        <f>=HYPERLINK("http://anyluxury.ru/shop/odezhda/futbolki-dlya-promo/futbolka-tbolka-140-chernaya-519030/" , "5190.30 Футболка черная T-bolka 140, размер XXL")</f>
      </c>
      <c r="C15983" s="4" t="n">
        <v>508.00</v>
      </c>
      <c r="D15983" s="4"/>
    </row>
    <row collapsed="" customFormat="false" customHeight="1" hidden="" ht="14" outlineLevel="0" r="15984">
      <c r="A15984" s="3" t="inlineStr">
        <is>
          <t>15939</t>
        </is>
      </c>
      <c r="B15984" s="4" t="s">
        <f>=HYPERLINK("http://anyluxury.ru/shop/odezhda/futbolki-dlya-promo/futbolka-tbolka-140-chernaya-519030/" , "5190.30 Футболка черная T-bolka 140, размер XXXL")</f>
      </c>
      <c r="C15984" s="4" t="n">
        <v>508.00</v>
      </c>
      <c r="D15984" s="4"/>
    </row>
    <row collapsed="" customFormat="false" customHeight="1" hidden="" ht="14" outlineLevel="0" r="15985">
      <c r="A15985" s="3" t="inlineStr">
        <is>
          <t>15940</t>
        </is>
      </c>
      <c r="B15985" s="4" t="s">
        <f>=HYPERLINK("http://anyluxury.ru/shop/odezhda/futbolki-dlya-promo/futbolka-tbolka-140-chernaya-519030/" , "5190.30 Футболка черная T-bolka 140, размер 4XL")</f>
      </c>
      <c r="C15985" s="4" t="n">
        <v>508.00</v>
      </c>
      <c r="D15985" s="4"/>
    </row>
    <row collapsed="" customFormat="false" customHeight="1" hidden="" ht="14" outlineLevel="0" r="15986">
      <c r="A15986" s="3" t="inlineStr">
        <is>
          <t>15941</t>
        </is>
      </c>
      <c r="B15986" s="4" t="s">
        <f>=HYPERLINK("http://anyluxury.ru/shop/odezhda/futbolki-dlya-promo/futbolka-imperial-190-limonnaya-137488/" , "1374.88 Футболка IMPERIAL 190 желтая (лимонная), размер S")</f>
      </c>
      <c r="C15986" s="4" t="n">
        <v>697.00</v>
      </c>
      <c r="D15986" s="4"/>
    </row>
    <row collapsed="" customFormat="false" customHeight="1" hidden="" ht="14" outlineLevel="0" r="15987">
      <c r="A15987" s="3" t="inlineStr">
        <is>
          <t>15942</t>
        </is>
      </c>
      <c r="B15987" s="4" t="s">
        <f>=HYPERLINK("http://anyluxury.ru/shop/odezhda/futbolki-dlya-promo/futbolka-imperial-190-limonnaya-137488/" , "1374.88 Футболка IMPERIAL 190 желтая (лимонная), размер M")</f>
      </c>
      <c r="C15987" s="4" t="n">
        <v>697.00</v>
      </c>
      <c r="D15987" s="4"/>
    </row>
    <row collapsed="" customFormat="false" customHeight="1" hidden="" ht="14" outlineLevel="0" r="15988">
      <c r="A15988" s="3" t="inlineStr">
        <is>
          <t>15943</t>
        </is>
      </c>
      <c r="B15988" s="4" t="s">
        <f>=HYPERLINK("http://anyluxury.ru/shop/odezhda/futbolki-dlya-promo/futbolka-imperial-190-limonnaya-137488/" , "1374.88 Футболка IMPERIAL 190 желтая (лимонная), размер L")</f>
      </c>
      <c r="C15988" s="4" t="n">
        <v>697.00</v>
      </c>
      <c r="D15988" s="4"/>
    </row>
    <row collapsed="" customFormat="false" customHeight="1" hidden="" ht="14" outlineLevel="0" r="15989">
      <c r="A15989" s="3" t="inlineStr">
        <is>
          <t>15944</t>
        </is>
      </c>
      <c r="B15989" s="4" t="s">
        <f>=HYPERLINK("http://anyluxury.ru/shop/odezhda/futbolki-dlya-promo/futbolka-imperial-190-limonnaya-137488/" , "1374.88 Футболка IMPERIAL 190 желтая (лимонная), размер XL")</f>
      </c>
      <c r="C15989" s="4" t="n">
        <v>697.00</v>
      </c>
      <c r="D15989" s="4"/>
    </row>
    <row collapsed="" customFormat="false" customHeight="1" hidden="" ht="14" outlineLevel="0" r="15990">
      <c r="A15990" s="3" t="inlineStr">
        <is>
          <t>15945</t>
        </is>
      </c>
      <c r="B15990" s="4" t="s">
        <f>=HYPERLINK("http://anyluxury.ru/shop/odezhda/futbolki-dlya-promo/futbolka-imperial-190-limonnaya-137488/" , "1374.88 Футболка IMPERIAL 190 желтая (лимонная), размер XXL")</f>
      </c>
      <c r="C15990" s="4" t="n">
        <v>697.00</v>
      </c>
      <c r="D15990" s="4"/>
    </row>
    <row collapsed="" customFormat="false" customHeight="1" hidden="" ht="14" outlineLevel="0" r="15991">
      <c r="A15991" s="3" t="inlineStr">
        <is>
          <t>15946</t>
        </is>
      </c>
      <c r="B15991" s="4" t="s">
        <f>=HYPERLINK("http://anyluxury.ru/shop/odezhda/futbolki-dlya-promo/rubashka-polo-muzhskaya-summer-170-golubaya-137914/" , "1379.14 Рубашка поло мужская SUMMER 170 голубая, размер XS")</f>
      </c>
      <c r="C15991" s="4" t="n">
        <v>1135.00</v>
      </c>
      <c r="D15991" s="4"/>
    </row>
    <row collapsed="" customFormat="false" customHeight="1" hidden="" ht="14" outlineLevel="0" r="15992">
      <c r="A15992" s="3" t="inlineStr">
        <is>
          <t>15947</t>
        </is>
      </c>
      <c r="B15992" s="4" t="s">
        <f>=HYPERLINK("http://anyluxury.ru/shop/odezhda/futbolki-dlya-promo/rubashka-polo-muzhskaya-summer-170-golubaya-137914/" , "1379.14 Рубашка поло мужская SUMMER 170 голубая, размер S")</f>
      </c>
      <c r="C15992" s="4" t="n">
        <v>1135.00</v>
      </c>
      <c r="D15992" s="4"/>
    </row>
    <row collapsed="" customFormat="false" customHeight="1" hidden="" ht="14" outlineLevel="0" r="15993">
      <c r="A15993" s="3" t="inlineStr">
        <is>
          <t>15948</t>
        </is>
      </c>
      <c r="B15993" s="4" t="s">
        <f>=HYPERLINK("http://anyluxury.ru/shop/odezhda/futbolki-dlya-promo/rubashka-polo-muzhskaya-summer-170-golubaya-137914/" , "1379.14 Рубашка поло мужская SUMMER 170 голубая, размер M")</f>
      </c>
      <c r="C15993" s="4" t="n">
        <v>1135.00</v>
      </c>
      <c r="D15993" s="4"/>
    </row>
    <row collapsed="" customFormat="false" customHeight="1" hidden="" ht="14" outlineLevel="0" r="15994">
      <c r="A15994" s="3" t="inlineStr">
        <is>
          <t>15949</t>
        </is>
      </c>
      <c r="B15994" s="4" t="s">
        <f>=HYPERLINK("http://anyluxury.ru/shop/odezhda/futbolki-dlya-promo/rubashka-polo-muzhskaya-summer-170-golubaya-137914/" , "1379.14 Рубашка поло мужская SUMMER 170 голубая, размер L")</f>
      </c>
      <c r="C15994" s="4" t="n">
        <v>1135.00</v>
      </c>
      <c r="D15994" s="4"/>
    </row>
    <row collapsed="" customFormat="false" customHeight="1" hidden="" ht="14" outlineLevel="0" r="15995">
      <c r="A15995" s="3" t="inlineStr">
        <is>
          <t>15950</t>
        </is>
      </c>
      <c r="B15995" s="4" t="s">
        <f>=HYPERLINK("http://anyluxury.ru/shop/odezhda/futbolki-dlya-promo/rubashka-polo-muzhskaya-summer-170-golubaya-137914/" , "1379.14 Рубашка поло мужская SUMMER 170 голубая, размер XL")</f>
      </c>
      <c r="C15995" s="4" t="n">
        <v>1135.00</v>
      </c>
      <c r="D15995" s="4"/>
    </row>
    <row collapsed="" customFormat="false" customHeight="1" hidden="" ht="14" outlineLevel="0" r="15996">
      <c r="A15996" s="3" t="inlineStr">
        <is>
          <t>15951</t>
        </is>
      </c>
      <c r="B15996" s="4" t="s">
        <f>=HYPERLINK("http://anyluxury.ru/shop/odezhda/futbolki-dlya-promo/rubashka-polo-muzhskaya-summer-170-golubaya-137914/" , "1379.14 Рубашка поло мужская SUMMER 170 голубая, размер XXL")</f>
      </c>
      <c r="C15996" s="4" t="n">
        <v>1135.00</v>
      </c>
      <c r="D15996" s="4"/>
    </row>
    <row collapsed="" customFormat="false" customHeight="1" hidden="" ht="14" outlineLevel="0" r="15997">
      <c r="A15997" s="3" t="inlineStr">
        <is>
          <t>15952</t>
        </is>
      </c>
      <c r="B15997" s="4" t="s">
        <f>=HYPERLINK("http://anyluxury.ru/shop/odezhda/futbolki-dlya-promo/futbolka-tbolka-140-temnozelenaya-519090/" , "5190.90 Футболка темно-зеленая 'T-bolka 140', размер S")</f>
      </c>
      <c r="C15997" s="4" t="n">
        <v>508.00</v>
      </c>
      <c r="D15997" s="4"/>
    </row>
    <row collapsed="" customFormat="false" customHeight="1" hidden="" ht="14" outlineLevel="0" r="15998">
      <c r="A15998" s="3" t="inlineStr">
        <is>
          <t>15953</t>
        </is>
      </c>
      <c r="B15998" s="4" t="s">
        <f>=HYPERLINK("http://anyluxury.ru/shop/odezhda/futbolki-dlya-promo/futbolka-tbolka-140-temnozelenaya-519090/" , "5190.90 Футболка темно-зеленая 'T-bolka 140', размер M")</f>
      </c>
      <c r="C15998" s="4" t="n">
        <v>508.00</v>
      </c>
      <c r="D15998" s="4"/>
    </row>
    <row collapsed="" customFormat="false" customHeight="1" hidden="" ht="14" outlineLevel="0" r="15999">
      <c r="A15999" s="3" t="inlineStr">
        <is>
          <t>15954</t>
        </is>
      </c>
      <c r="B15999" s="4" t="s">
        <f>=HYPERLINK("http://anyluxury.ru/shop/odezhda/futbolki-dlya-promo/futbolka-tbolka-140-temnozelenaya-519090/" , "5190.90 Футболка темно-зеленая 'T-bolka 140', размер XL")</f>
      </c>
      <c r="C15999" s="4" t="n">
        <v>508.00</v>
      </c>
      <c r="D15999" s="4"/>
    </row>
    <row collapsed="" customFormat="false" customHeight="1" hidden="" ht="14" outlineLevel="0" r="16000">
      <c r="A16000" s="3" t="inlineStr">
        <is>
          <t>15955</t>
        </is>
      </c>
      <c r="B16000" s="4" t="s">
        <f>=HYPERLINK("http://anyluxury.ru/shop/odezhda/futbolki-dlya-promo/futbolka-tbolka-140-temnozelenaya-519090/" , "5190.90 Футболка темно-зеленая 'T-bolka 140', размер XXL")</f>
      </c>
      <c r="C16000" s="4" t="n">
        <v>508.00</v>
      </c>
      <c r="D16000" s="4"/>
    </row>
    <row collapsed="" customFormat="false" customHeight="1" hidden="" ht="14" outlineLevel="0" r="16001">
      <c r="A16001" s="3" t="inlineStr">
        <is>
          <t>15956</t>
        </is>
      </c>
      <c r="B16001" s="4" t="s">
        <f>=HYPERLINK("http://anyluxury.ru/shop/odezhda/futbolki-dlya-promo/futbolka-tbolka-140-temnozelenaya-519090/" , "5190.90 Футболка темно-зеленая 'T-bolka 140', размер XXXL")</f>
      </c>
      <c r="C16001" s="4" t="n">
        <v>508.00</v>
      </c>
      <c r="D16001" s="4"/>
    </row>
    <row collapsed="" customFormat="false" customHeight="1" hidden="" ht="14" outlineLevel="0" r="16002">
      <c r="A16002" s="3" t="inlineStr">
        <is>
          <t>15957</t>
        </is>
      </c>
      <c r="B16002" s="4" t="s">
        <f>=HYPERLINK("http://anyluxury.ru/shop/odezhda/futbolki-dlya-promo/futbolka-tbolka-140-temnozelenaya-519090/" , "5190.90 Футболка темно-зеленая «T-bolka 140», размер 4XL")</f>
      </c>
      <c r="C16002" s="4" t="n">
        <v>508.00</v>
      </c>
      <c r="D16002" s="4"/>
    </row>
    <row collapsed="" customFormat="false" customHeight="1" hidden="" ht="14" outlineLevel="0" r="16003">
      <c r="A16003" s="3" t="inlineStr">
        <is>
          <t>15958</t>
        </is>
      </c>
      <c r="B16003" s="4" t="s">
        <f>=HYPERLINK("http://anyluxury.ru/shop/odezhda/futbolki-dlya-promo/futbolka-tbolka-160-yarkozelenaya-614092/" , "6140.92 Футболка ярко-зеленая «T-Bolka 160», размер S")</f>
      </c>
      <c r="C16003" s="4" t="n">
        <v>660.00</v>
      </c>
      <c r="D16003" s="4"/>
    </row>
    <row collapsed="" customFormat="false" customHeight="1" hidden="" ht="14" outlineLevel="0" r="16004">
      <c r="A16004" s="3" t="inlineStr">
        <is>
          <t>15959</t>
        </is>
      </c>
      <c r="B16004" s="4" t="s">
        <f>=HYPERLINK("http://anyluxury.ru/shop/odezhda/futbolki-dlya-promo/futbolka-tbolka-160-yarkozelenaya-614092/" , "6140.92 Футболка ярко-зеленая «T-Bolka 160», размер M")</f>
      </c>
      <c r="C16004" s="4" t="n">
        <v>660.00</v>
      </c>
      <c r="D16004" s="4"/>
    </row>
    <row collapsed="" customFormat="false" customHeight="1" hidden="" ht="14" outlineLevel="0" r="16005">
      <c r="A16005" s="3" t="inlineStr">
        <is>
          <t>15960</t>
        </is>
      </c>
      <c r="B16005" s="4" t="s">
        <f>=HYPERLINK("http://anyluxury.ru/shop/odezhda/futbolki-dlya-promo/futbolka-tbolka-160-yarkozelenaya-614092/" , "6140.92 Футболка ярко-зеленая «T-Bolka 160», размер L")</f>
      </c>
      <c r="C16005" s="4" t="n">
        <v>660.00</v>
      </c>
      <c r="D16005" s="4"/>
    </row>
    <row collapsed="" customFormat="false" customHeight="1" hidden="" ht="14" outlineLevel="0" r="16006">
      <c r="A16006" s="3" t="inlineStr">
        <is>
          <t>15961</t>
        </is>
      </c>
      <c r="B16006" s="4" t="s">
        <f>=HYPERLINK("http://anyluxury.ru/shop/odezhda/futbolki-dlya-promo/futbolka-tbolka-160-yarkozelenaya-614092/" , "6140.92 Футболка ярко-зеленая «T-Bolka 160», размер XL")</f>
      </c>
      <c r="C16006" s="4" t="n">
        <v>660.00</v>
      </c>
      <c r="D16006" s="4"/>
    </row>
    <row collapsed="" customFormat="false" customHeight="1" hidden="" ht="14" outlineLevel="0" r="16007">
      <c r="A16007" s="3" t="inlineStr">
        <is>
          <t>15962</t>
        </is>
      </c>
      <c r="B16007" s="4" t="s">
        <f>=HYPERLINK("http://anyluxury.ru/shop/odezhda/futbolki-dlya-promo/futbolka-tbolka-160-yarkozelenaya-614092/" , "6140.92 Футболка ярко-зеленая «T-Bolka 160», размер XXL")</f>
      </c>
      <c r="C16007" s="4" t="n">
        <v>660.00</v>
      </c>
      <c r="D16007" s="4"/>
    </row>
    <row collapsed="" customFormat="false" customHeight="1" hidden="" ht="14" outlineLevel="0" r="16008">
      <c r="A16008" s="3" t="inlineStr">
        <is>
          <t>15963</t>
        </is>
      </c>
      <c r="B16008" s="4" t="s">
        <f>=HYPERLINK("http://anyluxury.ru/shop/odezhda/futbolki-dlya-promo/futbolka-tbolka-160-yarkozelenaya-614092/" , "6140.92 Футболка ярко-зеленая «T-Bolka 160», размер XXXL")</f>
      </c>
      <c r="C16008" s="4" t="n">
        <v>660.00</v>
      </c>
      <c r="D16008" s="4"/>
    </row>
    <row collapsed="" customFormat="false" customHeight="1" hidden="" ht="14" outlineLevel="0" r="16009">
      <c r="A16009" s="3" t="inlineStr">
        <is>
          <t>15964</t>
        </is>
      </c>
      <c r="B16009" s="4" t="s">
        <f>=HYPERLINK("http://anyluxury.ru/shop/odezhda/futbolki-dlya-promo/futbolka-tbolka-160-yarkozelenaya-614092/" , "6140.92 Футболка ярко-зеленая «T-Bolka 160», размер 4XL")</f>
      </c>
      <c r="C16009" s="4" t="n">
        <v>660.00</v>
      </c>
      <c r="D16009" s="4"/>
    </row>
    <row collapsed="" customFormat="false" customHeight="1" hidden="" ht="14" outlineLevel="0" r="16010">
      <c r="A16010" s="3" t="inlineStr">
        <is>
          <t>15965</t>
        </is>
      </c>
      <c r="B16010" s="4" t="s">
        <f>=HYPERLINK("http://anyluxury.ru/shop/odezhda/futbolki-dlya-promo/futbolka-zhenskaya-miss-150-zelenoe-yabloko-266294/" , "2662.94 Футболка женская MISS 150 зеленое яблоко, размер S")</f>
      </c>
      <c r="C16010" s="4" t="n">
        <v>513.00</v>
      </c>
      <c r="D16010" s="4"/>
    </row>
    <row collapsed="" customFormat="false" customHeight="1" hidden="" ht="14" outlineLevel="0" r="16011">
      <c r="A16011" s="3" t="inlineStr">
        <is>
          <t>15966</t>
        </is>
      </c>
      <c r="B16011" s="4" t="s">
        <f>=HYPERLINK("http://anyluxury.ru/shop/odezhda/futbolki-dlya-promo/futbolka-zhenskaya-miss-150-zelenoe-yabloko-266294/" , "2662.94 Футболка женская MISS 150 зеленое яблоко, размер M")</f>
      </c>
      <c r="C16011" s="4" t="n">
        <v>513.00</v>
      </c>
      <c r="D16011" s="4"/>
    </row>
    <row collapsed="" customFormat="false" customHeight="1" hidden="" ht="14" outlineLevel="0" r="16012">
      <c r="A16012" s="3" t="inlineStr">
        <is>
          <t>15967</t>
        </is>
      </c>
      <c r="B16012" s="4" t="s">
        <f>=HYPERLINK("http://anyluxury.ru/shop/odezhda/futbolki-dlya-promo/futbolka-zhenskaya-miss-150-zelenoe-yabloko-266294/" , "2662.94 Футболка женская MISS 150 зеленое яблоко, размер L")</f>
      </c>
      <c r="C16012" s="4" t="n">
        <v>513.00</v>
      </c>
      <c r="D16012" s="4"/>
    </row>
    <row collapsed="" customFormat="false" customHeight="1" hidden="" ht="14" outlineLevel="0" r="16013">
      <c r="A16013" s="3" t="inlineStr">
        <is>
          <t>15968</t>
        </is>
      </c>
      <c r="B16013" s="4" t="s">
        <f>=HYPERLINK("http://anyluxury.ru/shop/odezhda/futbolki-dlya-promo/futbolka-zhenskaya-miss-150-zelenoe-yabloko-266294/" , "2662.94 Футболка женская MISS 150 зеленое яблоко, размер XL")</f>
      </c>
      <c r="C16013" s="4" t="n">
        <v>513.00</v>
      </c>
      <c r="D16013" s="4"/>
    </row>
    <row collapsed="" customFormat="false" customHeight="1" hidden="" ht="14" outlineLevel="0" r="16014">
      <c r="A16014" s="3" t="inlineStr">
        <is>
          <t>15969</t>
        </is>
      </c>
      <c r="B16014" s="4" t="s">
        <f>=HYPERLINK("http://anyluxury.ru/shop/odezhda/futbolki-dlya-promo/futbolka-zhenskaya-miss-150-zelenoe-yabloko-266294/" , "2662.94 Футболка женская MISS 150 зеленое яблоко, размер XXL")</f>
      </c>
      <c r="C16014" s="4" t="n">
        <v>513.00</v>
      </c>
      <c r="D16014" s="4"/>
    </row>
    <row collapsed="" customFormat="false" customHeight="1" hidden="" ht="14" outlineLevel="0" r="16015">
      <c r="A16015" s="3" t="inlineStr">
        <is>
          <t>15970</t>
        </is>
      </c>
      <c r="B16015" s="4" t="s">
        <f>=HYPERLINK("http://anyluxury.ru/shop/odezhda/futbolki-dlya-promo/futbolka-zhenskaya-miss-150-temnofioletovaya-266277/" , "2662.77 Футболка женская MISS 150 темно-фиолетовая, размер S")</f>
      </c>
      <c r="C16015" s="4" t="n">
        <v>513.00</v>
      </c>
      <c r="D16015" s="4"/>
    </row>
    <row collapsed="" customFormat="false" customHeight="1" hidden="" ht="14" outlineLevel="0" r="16016">
      <c r="A16016" s="3" t="inlineStr">
        <is>
          <t>15971</t>
        </is>
      </c>
      <c r="B16016" s="4" t="s">
        <f>=HYPERLINK("http://anyluxury.ru/shop/odezhda/futbolki-dlya-promo/futbolka-zhenskaya-miss-150-temnofioletovaya-266277/" , "2662.77 Футболка женская MISS 150 темно-фиолетовая, размер M")</f>
      </c>
      <c r="C16016" s="4" t="n">
        <v>513.00</v>
      </c>
      <c r="D16016" s="4"/>
    </row>
    <row collapsed="" customFormat="false" customHeight="1" hidden="" ht="14" outlineLevel="0" r="16017">
      <c r="A16017" s="3" t="inlineStr">
        <is>
          <t>15972</t>
        </is>
      </c>
      <c r="B16017" s="4" t="s">
        <f>=HYPERLINK("http://anyluxury.ru/shop/odezhda/futbolki-dlya-promo/futbolka-zhenskaya-miss-150-temnosinyaya-navy-266240/" , "2662.40 Футболка женская MISS 150 темно-синяя, размер S")</f>
      </c>
      <c r="C16017" s="4" t="n">
        <v>513.00</v>
      </c>
      <c r="D16017" s="4"/>
    </row>
    <row collapsed="" customFormat="false" customHeight="1" hidden="" ht="14" outlineLevel="0" r="16018">
      <c r="A16018" s="3" t="inlineStr">
        <is>
          <t>15973</t>
        </is>
      </c>
      <c r="B16018" s="4" t="s">
        <f>=HYPERLINK("http://anyluxury.ru/shop/odezhda/futbolki-dlya-promo/futbolka-zhenskaya-miss-150-temnosinyaya-navy-266240/" , "2662.40 Футболка женская MISS 150 темно-синяя, размер XL")</f>
      </c>
      <c r="C16018" s="4" t="n">
        <v>513.00</v>
      </c>
      <c r="D16018" s="4"/>
    </row>
    <row collapsed="" customFormat="false" customHeight="1" hidden="" ht="14" outlineLevel="0" r="16019">
      <c r="A16019" s="3" t="inlineStr">
        <is>
          <t>15974</t>
        </is>
      </c>
      <c r="B16019" s="4" t="s">
        <f>=HYPERLINK("http://anyluxury.ru/shop/odezhda/futbolki-dlya-promo/futbolka-zhenskaya-miss-150-temnosinyaya-navy-266240/" , "2662.40 Футболка женская MISS 150 темно-синяя, размер XXL")</f>
      </c>
      <c r="C16019" s="4" t="n">
        <v>513.00</v>
      </c>
      <c r="D16019" s="4"/>
    </row>
    <row collapsed="" customFormat="false" customHeight="1" hidden="" ht="14" outlineLevel="0" r="16020">
      <c r="A16020" s="3" t="inlineStr">
        <is>
          <t>15975</t>
        </is>
      </c>
      <c r="B16020" s="4" t="s">
        <f>=HYPERLINK("http://anyluxury.ru/shop/odezhda/futbolki-dlya-promo/futbolka-detskaya-regent-kids-150-zelenoe-yabloko-188694/" , "1886.94 Футболка детская REGENT KIDS 150 зеленое яблоко, на рост 96-104 см (4 года)")</f>
      </c>
      <c r="C16020" s="4" t="n">
        <v>468.00</v>
      </c>
      <c r="D16020" s="4"/>
    </row>
    <row collapsed="" customFormat="false" customHeight="1" hidden="" ht="14" outlineLevel="0" r="16021">
      <c r="A16021" s="3" t="inlineStr">
        <is>
          <t>15976</t>
        </is>
      </c>
      <c r="B16021" s="4" t="s">
        <f>=HYPERLINK("http://anyluxury.ru/shop/odezhda/futbolki-dlya-promo/futbolka-detskaya-regent-kids-150-zelenoe-yabloko-188694/" , "1886.94 Футболка детская REGENT KIDS 150, зеленое яблоко, на рост 106-116 см (6 лет)")</f>
      </c>
      <c r="C16021" s="4" t="n">
        <v>468.00</v>
      </c>
      <c r="D16021" s="4"/>
    </row>
    <row collapsed="" customFormat="false" customHeight="1" hidden="" ht="14" outlineLevel="0" r="16022">
      <c r="A16022" s="3" t="inlineStr">
        <is>
          <t>15977</t>
        </is>
      </c>
      <c r="B16022" s="4" t="s">
        <f>=HYPERLINK("http://anyluxury.ru/shop/odezhda/futbolki-dlya-promo/futbolka-detskaya-regent-kids-150-zelenoe-yabloko-188694/" , "1886.94 Футболка детская REGENT KIDS 150, зеленое яблоко, на рост 118-128 см (8 лет)")</f>
      </c>
      <c r="C16022" s="4" t="n">
        <v>468.00</v>
      </c>
      <c r="D16022" s="4"/>
    </row>
    <row collapsed="" customFormat="false" customHeight="1" hidden="" ht="14" outlineLevel="0" r="16023">
      <c r="A16023" s="3" t="inlineStr">
        <is>
          <t>15978</t>
        </is>
      </c>
      <c r="B16023" s="4" t="s">
        <f>=HYPERLINK("http://anyluxury.ru/shop/odezhda/futbolki-dlya-promo/futbolka-detskaya-regent-kids-150-zelenoe-yabloko-188694/" , "1886.94 Футболка детская REGENT KIDS 150, зеленое яблоко, на рост 130-140 см (10 лет)")</f>
      </c>
      <c r="C16023" s="4" t="n">
        <v>468.00</v>
      </c>
      <c r="D16023" s="4"/>
    </row>
    <row collapsed="" customFormat="false" customHeight="1" hidden="" ht="14" outlineLevel="0" r="16024">
      <c r="A16024" s="3" t="inlineStr">
        <is>
          <t>15979</t>
        </is>
      </c>
      <c r="B16024" s="4" t="s">
        <f>=HYPERLINK("http://anyluxury.ru/shop/odezhda/futbolki-dlya-promo/futbolka-detskaya-regent-kids-150-zelenoe-yabloko-188694/" , "1886.94 Футболка детская REGENT KIDS 150, зеленое яблоко, на рост 142-152 см (12 лет)")</f>
      </c>
      <c r="C16024" s="4" t="n">
        <v>468.00</v>
      </c>
      <c r="D16024" s="4"/>
    </row>
    <row collapsed="" customFormat="false" customHeight="1" hidden="" ht="14" outlineLevel="0" r="16025">
      <c r="A16025" s="3" t="inlineStr">
        <is>
          <t>15980</t>
        </is>
      </c>
      <c r="B16025" s="4" t="s">
        <f>=HYPERLINK("http://anyluxury.ru/shop/odezhda/futbolki-dlya-promo/futbolka-detskaya-regent-kids-150-svetliy-melanzh-188616/" , "1886.16 Футболка детская REGENT KIDS 150 светлый меланж, на рост 96-104 см (4 года)")</f>
      </c>
      <c r="C16025" s="4" t="n">
        <v>468.00</v>
      </c>
      <c r="D16025" s="4"/>
    </row>
    <row collapsed="" customFormat="false" customHeight="1" hidden="" ht="14" outlineLevel="0" r="16026">
      <c r="A16026" s="3" t="inlineStr">
        <is>
          <t>15981</t>
        </is>
      </c>
      <c r="B16026" s="4" t="s">
        <f>=HYPERLINK("http://anyluxury.ru/shop/odezhda/futbolki-dlya-promo/futbolka-detskaya-regent-kids-150-svetliy-melanzh-188616/" , "1886.16 Футболка детская REGENT KIDS 150 светлый меланж, на рост 106-116 см (6 лет)")</f>
      </c>
      <c r="C16026" s="4" t="n">
        <v>468.00</v>
      </c>
      <c r="D16026" s="4"/>
    </row>
    <row collapsed="" customFormat="false" customHeight="1" hidden="" ht="14" outlineLevel="0" r="16027">
      <c r="A16027" s="3" t="inlineStr">
        <is>
          <t>15982</t>
        </is>
      </c>
      <c r="B16027" s="4" t="s">
        <f>=HYPERLINK("http://anyluxury.ru/shop/odezhda/futbolki-dlya-promo/futbolka-detskaya-regent-kids-150-svetliy-melanzh-188616/" , "1886.16 Футболка детская REGENT KIDS 150 светлый меланж, на рост 118-128 см (8 лет)")</f>
      </c>
      <c r="C16027" s="4" t="n">
        <v>468.00</v>
      </c>
      <c r="D16027" s="4"/>
    </row>
    <row collapsed="" customFormat="false" customHeight="1" hidden="" ht="14" outlineLevel="0" r="16028">
      <c r="A16028" s="3" t="inlineStr">
        <is>
          <t>15983</t>
        </is>
      </c>
      <c r="B16028" s="4" t="s">
        <f>=HYPERLINK("http://anyluxury.ru/shop/odezhda/futbolki-dlya-promo/futbolka-detskaya-regent-kids-150-svetliy-melanzh-188616/" , "1886.16 Футболка детская REGENT KIDS 150 светлый меланж, на рост 130-140 см (10 лет)")</f>
      </c>
      <c r="C16028" s="4" t="n">
        <v>468.00</v>
      </c>
      <c r="D16028" s="4"/>
    </row>
    <row collapsed="" customFormat="false" customHeight="1" hidden="" ht="14" outlineLevel="0" r="16029">
      <c r="A16029" s="3" t="inlineStr">
        <is>
          <t>15984</t>
        </is>
      </c>
      <c r="B16029" s="4" t="s">
        <f>=HYPERLINK("http://anyluxury.ru/shop/odezhda/futbolki-dlya-promo/futbolka-detskaya-regent-kids-150-svetliy-melanzh-188616/" , "1886.16 Футболка детская REGENT KIDS 150 светлый меланж, на рост 142-152 см (12 лет)")</f>
      </c>
      <c r="C16029" s="4" t="n">
        <v>468.00</v>
      </c>
      <c r="D16029" s="4"/>
    </row>
    <row collapsed="" customFormat="false" customHeight="1" hidden="" ht="14" outlineLevel="0" r="16030">
      <c r="A16030" s="3" t="inlineStr">
        <is>
          <t>15985</t>
        </is>
      </c>
      <c r="B16030" s="4" t="s">
        <f>=HYPERLINK("http://anyluxury.ru/shop/odezhda/futbolki-dlya-promo/futbolka-zhenskaya-miss-150-seriy-melanzh-266211/" , "2662.11 Футболка женская MISS 150 серый меланж, размер S")</f>
      </c>
      <c r="C16030" s="4" t="n">
        <v>513.00</v>
      </c>
      <c r="D16030" s="4"/>
    </row>
    <row collapsed="" customFormat="false" customHeight="1" hidden="" ht="14" outlineLevel="0" r="16031">
      <c r="A16031" s="3" t="inlineStr">
        <is>
          <t>15986</t>
        </is>
      </c>
      <c r="B16031" s="4" t="s">
        <f>=HYPERLINK("http://anyluxury.ru/shop/odezhda/futbolki-dlya-promo/futbolka-zhenskaya-miss-150-seriy-melanzh-266211/" , "2662.11 Футболка женская MISS 150 серый меланж, размер M")</f>
      </c>
      <c r="C16031" s="4" t="n">
        <v>513.00</v>
      </c>
      <c r="D16031" s="4"/>
    </row>
    <row collapsed="" customFormat="false" customHeight="1" hidden="" ht="14" outlineLevel="0" r="16032">
      <c r="A16032" s="3" t="inlineStr">
        <is>
          <t>15987</t>
        </is>
      </c>
      <c r="B16032" s="4" t="s">
        <f>=HYPERLINK("http://anyluxury.ru/shop/odezhda/futbolki-dlya-promo/futbolka-zhenskaya-miss-150-seriy-melanzh-266211/" , "2662.11 Футболка женская MISS 150 серый меланж, размер L")</f>
      </c>
      <c r="C16032" s="4" t="n">
        <v>513.00</v>
      </c>
      <c r="D16032" s="4"/>
    </row>
    <row collapsed="" customFormat="false" customHeight="1" hidden="" ht="14" outlineLevel="0" r="16033">
      <c r="A16033" s="3" t="inlineStr">
        <is>
          <t>15988</t>
        </is>
      </c>
      <c r="B16033" s="4" t="s">
        <f>=HYPERLINK("http://anyluxury.ru/shop/odezhda/futbolki-dlya-promo/futbolka-zhenskaya-miss-150-seriy-melanzh-266211/" , "2662.11 Футболка женская MISS 150 серый меланж, размер XL")</f>
      </c>
      <c r="C16033" s="4" t="n">
        <v>513.00</v>
      </c>
      <c r="D16033" s="4"/>
    </row>
    <row collapsed="" customFormat="false" customHeight="1" hidden="" ht="14" outlineLevel="0" r="16034">
      <c r="A16034" s="3" t="inlineStr">
        <is>
          <t>15989</t>
        </is>
      </c>
      <c r="B16034" s="4" t="s">
        <f>=HYPERLINK("http://anyluxury.ru/shop/odezhda/futbolki-dlya-promo/futbolka-zhenskaya-miss-150-seriy-melanzh-266211/" , "2662.11 Футболка женская MISS 150 серый меланж, размер XXL")</f>
      </c>
      <c r="C16034" s="4" t="n">
        <v>513.00</v>
      </c>
      <c r="D16034" s="4"/>
    </row>
    <row collapsed="" customFormat="false" customHeight="1" hidden="" ht="14" outlineLevel="0" r="16035">
      <c r="A16035" s="3" t="inlineStr">
        <is>
          <t>15990</t>
        </is>
      </c>
      <c r="B16035" s="4" t="s">
        <f>=HYPERLINK("http://anyluxury.ru/shop/odezhda/futbolki-dlya-promo/futbolka-muzhskaya-pritalennaya-regent-fit-150-chernaya-597330/" , "5973.30 Футболка мужская приталенная REGENT FIT 150, черная, размер S")</f>
      </c>
      <c r="C16035" s="4" t="n">
        <v>613.00</v>
      </c>
      <c r="D16035" s="4"/>
    </row>
    <row collapsed="" customFormat="false" customHeight="1" hidden="" ht="14" outlineLevel="0" r="16036">
      <c r="A16036" s="3" t="inlineStr">
        <is>
          <t>15991</t>
        </is>
      </c>
      <c r="B16036" s="4" t="s">
        <f>=HYPERLINK("http://anyluxury.ru/shop/odezhda/futbolki-dlya-promo/futbolka-muzhskaya-pritalennaya-regent-fit-150-chernaya-597330/" , "5973.30 Футболка мужская приталенная REGENT FIT 150, черная, размер XL")</f>
      </c>
      <c r="C16036" s="4" t="n">
        <v>613.00</v>
      </c>
      <c r="D16036" s="4"/>
    </row>
    <row collapsed="" customFormat="false" customHeight="1" hidden="" ht="14" outlineLevel="0" r="16037">
      <c r="A16037" s="3" t="inlineStr">
        <is>
          <t>15992</t>
        </is>
      </c>
      <c r="B16037" s="4" t="s">
        <f>=HYPERLINK("http://anyluxury.ru/shop/odezhda/futbolki-dlya-promo/futbolka-muzhskaya-pritalennaya-regent-fit-150-chernaya-597330/" , "5973.30 Футболка мужская приталенная REGENT FIT 150 черная, размер XXL")</f>
      </c>
      <c r="C16037" s="4" t="n">
        <v>613.00</v>
      </c>
      <c r="D16037" s="4"/>
    </row>
    <row collapsed="" customFormat="false" customHeight="1" hidden="" ht="14" outlineLevel="0" r="16038">
      <c r="A16038" s="3" t="inlineStr">
        <is>
          <t>15993</t>
        </is>
      </c>
      <c r="B16038" s="4" t="s">
        <f>=HYPERLINK("http://anyluxury.ru/shop/odezhda/futbolki-dlya-promo/futbolka-muzhskaya-pritalennaya-regent-fit-150-krasnaya-597350/" , "5973.50 Футболка мужская приталенная REGENT FIT 150 красная, размер XS")</f>
      </c>
      <c r="C16038" s="4" t="n">
        <v>613.00</v>
      </c>
      <c r="D16038" s="4"/>
    </row>
    <row collapsed="" customFormat="false" customHeight="1" hidden="" ht="14" outlineLevel="0" r="16039">
      <c r="A16039" s="3" t="inlineStr">
        <is>
          <t>15994</t>
        </is>
      </c>
      <c r="B16039" s="4" t="s">
        <f>=HYPERLINK("http://anyluxury.ru/shop/odezhda/futbolki-dlya-promo/futbolka-muzhskaya-pritalennaya-regent-fit-150-krasnaya-597350/" , "5973.50 Футболка мужская приталенная REGENT FIT 150, красная, размер S")</f>
      </c>
      <c r="C16039" s="4" t="n">
        <v>613.00</v>
      </c>
      <c r="D16039" s="4"/>
    </row>
    <row collapsed="" customFormat="false" customHeight="1" hidden="" ht="14" outlineLevel="0" r="16040">
      <c r="A16040" s="3" t="inlineStr">
        <is>
          <t>15995</t>
        </is>
      </c>
      <c r="B16040" s="4" t="s">
        <f>=HYPERLINK("http://anyluxury.ru/shop/odezhda/futbolki-dlya-promo/futbolka-muzhskaya-pritalennaya-regent-fit-150-krasnaya-597350/" , "5973.50 Футболка мужская приталенная REGENT FIT 150 красная, размер XXL")</f>
      </c>
      <c r="C16040" s="4" t="n">
        <v>613.00</v>
      </c>
      <c r="D16040" s="4"/>
    </row>
    <row collapsed="" customFormat="false" customHeight="1" hidden="" ht="14" outlineLevel="0" r="16041">
      <c r="A16041" s="3" t="inlineStr">
        <is>
          <t>15996</t>
        </is>
      </c>
      <c r="B16041" s="4" t="s">
        <f>=HYPERLINK("http://anyluxury.ru/shop/odezhda/futbolki-dlya-promo/futbolka-muzhskaya-pritalennaya-regent-fit-150-krasnaya-597350/" , "5973.50 Футболка мужская приталенная Regent Fit 150, красная, размер XL")</f>
      </c>
      <c r="C16041" s="4" t="n">
        <v>613.00</v>
      </c>
      <c r="D16041" s="4"/>
    </row>
    <row collapsed="" customFormat="false" customHeight="1" hidden="" ht="14" outlineLevel="0" r="16042">
      <c r="A16042" s="3" t="inlineStr">
        <is>
          <t>15997</t>
        </is>
      </c>
      <c r="B16042" s="4" t="s">
        <f>=HYPERLINK("http://anyluxury.ru/shop/odezhda/futbolki-dlya-promo/futbolka-muzhskaya-pritalennaya-regent-fit-150-yarkosinyaya-royal-597344/" , "5973.44 Футболка мужская приталенная REGENT FIT 150 ярко-синяя, размер XS")</f>
      </c>
      <c r="C16042" s="4" t="n">
        <v>613.00</v>
      </c>
      <c r="D16042" s="4"/>
    </row>
    <row collapsed="" customFormat="false" customHeight="1" hidden="" ht="14" outlineLevel="0" r="16043">
      <c r="A16043" s="3" t="inlineStr">
        <is>
          <t>15998</t>
        </is>
      </c>
      <c r="B16043" s="4" t="s">
        <f>=HYPERLINK("http://anyluxury.ru/shop/odezhda/futbolki-dlya-promo/futbolka-muzhskaya-pritalennaya-regent-fit-150-yarkosinyaya-royal-597344/" , "5973.44 Футболка мужская приталенная REGENT FIT 150, ярко-синяя, размер S")</f>
      </c>
      <c r="C16043" s="4" t="n">
        <v>613.00</v>
      </c>
      <c r="D16043" s="4"/>
    </row>
    <row collapsed="" customFormat="false" customHeight="1" hidden="" ht="14" outlineLevel="0" r="16044">
      <c r="A16044" s="3" t="inlineStr">
        <is>
          <t>15999</t>
        </is>
      </c>
      <c r="B16044" s="4" t="s">
        <f>=HYPERLINK("http://anyluxury.ru/shop/odezhda/futbolki-dlya-promo/futbolka-muzhskaya-pritalennaya-regent-fit-150-yarkosinyaya-royal-597344/" , "5973.44 Футболка мужская приталенная REGENT FIT 150, ярко-синяя, размер XL")</f>
      </c>
      <c r="C16044" s="4" t="n">
        <v>613.00</v>
      </c>
      <c r="D16044" s="4"/>
    </row>
    <row collapsed="" customFormat="false" customHeight="1" hidden="" ht="14" outlineLevel="0" r="16045">
      <c r="A16045" s="3" t="inlineStr">
        <is>
          <t>16000</t>
        </is>
      </c>
      <c r="B16045" s="4" t="s">
        <f>=HYPERLINK("http://anyluxury.ru/shop/odezhda/futbolki-dlya-promo/futbolka-muzhskaya-pritalennaya-regent-fit-150-yarkosinyaya-royal-597344/" , "5973.44 Футболка мужская приталенная REGENT FIT 150 ярко-синяя, размер XXL")</f>
      </c>
      <c r="C16045" s="4" t="n">
        <v>613.00</v>
      </c>
      <c r="D16045" s="4"/>
    </row>
    <row collapsed="" customFormat="false" customHeight="1" hidden="" ht="14" outlineLevel="0" r="16046">
      <c r="A16046" s="3" t="inlineStr">
        <is>
          <t>16001</t>
        </is>
      </c>
      <c r="B16046" s="4" t="s">
        <f>=HYPERLINK("http://anyluxury.ru/shop/odezhda/futbolki-dlya-promo/futbolka-muzhskaya-pritalennaya-regent-fit-150-belaya-597360/" , "5973.60 Футболка мужская приталенная REGENT FIT 150, белая, размер S")</f>
      </c>
      <c r="C16046" s="4" t="n">
        <v>544.00</v>
      </c>
      <c r="D16046" s="4"/>
    </row>
    <row collapsed="" customFormat="false" customHeight="1" hidden="" ht="14" outlineLevel="0" r="16047">
      <c r="A16047" s="3" t="inlineStr">
        <is>
          <t>16002</t>
        </is>
      </c>
      <c r="B16047" s="4" t="s">
        <f>=HYPERLINK("http://anyluxury.ru/shop/odezhda/futbolki-dlya-promo/futbolka-muzhskaya-pritalennaya-regent-fit-150-belaya-597360/" , "5973.60 Футболка мужская приталенная REGENT FIT 150, белая, размер M")</f>
      </c>
      <c r="C16047" s="4" t="n">
        <v>544.00</v>
      </c>
      <c r="D16047" s="4"/>
    </row>
    <row collapsed="" customFormat="false" customHeight="1" hidden="" ht="14" outlineLevel="0" r="16048">
      <c r="A16048" s="3" t="inlineStr">
        <is>
          <t>16003</t>
        </is>
      </c>
      <c r="B16048" s="4" t="s">
        <f>=HYPERLINK("http://anyluxury.ru/shop/odezhda/futbolki-dlya-promo/futbolka-muzhskaya-pritalennaya-regent-fit-150-belaya-597360/" , "5973.60 Футболка мужская приталенная REGENT FIT 150 белая, размер XXL")</f>
      </c>
      <c r="C16048" s="4" t="n">
        <v>544.00</v>
      </c>
      <c r="D16048" s="4"/>
    </row>
    <row collapsed="" customFormat="false" customHeight="1" hidden="" ht="14" outlineLevel="0" r="16049">
      <c r="A16049" s="3" t="inlineStr">
        <is>
          <t>16004</t>
        </is>
      </c>
      <c r="B16049" s="4" t="s">
        <f>=HYPERLINK("http://anyluxury.ru/shop/odezhda/futbolki-dlya-promo/futbolka-detskaya-regent-kids-150-temnofioletovaya-188677/" , "1886.77 Футболка детская REGENT KIDS 150 фиолетовая, на рост 96-104 см (4 года)")</f>
      </c>
      <c r="C16049" s="4" t="n">
        <v>468.00</v>
      </c>
      <c r="D16049" s="4"/>
    </row>
    <row collapsed="" customFormat="false" customHeight="1" hidden="" ht="14" outlineLevel="0" r="16050">
      <c r="A16050" s="3" t="inlineStr">
        <is>
          <t>16005</t>
        </is>
      </c>
      <c r="B16050" s="4" t="s">
        <f>=HYPERLINK("http://anyluxury.ru/shop/odezhda/futbolki-dlya-promo/futbolka-detskaya-regent-kids-150-temnofioletovaya-188677/" , "1886.77 Футболка детская REGENT KIDS 150 фиолетовая, на рост 106-116 см (6 лет)")</f>
      </c>
      <c r="C16050" s="4" t="n">
        <v>468.00</v>
      </c>
      <c r="D16050" s="4"/>
    </row>
    <row collapsed="" customFormat="false" customHeight="1" hidden="" ht="14" outlineLevel="0" r="16051">
      <c r="A16051" s="3" t="inlineStr">
        <is>
          <t>16006</t>
        </is>
      </c>
      <c r="B16051" s="4" t="s">
        <f>=HYPERLINK("http://anyluxury.ru/shop/odezhda/futbolki-dlya-promo/futbolka-detskaya-regent-kids-150-temnofioletovaya-188677/" , "1886.77 Футболка детская REGENT KIDS 150 фиолетовая, на рост 118-128 см (8 лет)")</f>
      </c>
      <c r="C16051" s="4" t="n">
        <v>468.00</v>
      </c>
      <c r="D16051" s="4"/>
    </row>
    <row collapsed="" customFormat="false" customHeight="1" hidden="" ht="14" outlineLevel="0" r="16052">
      <c r="A16052" s="3" t="inlineStr">
        <is>
          <t>16007</t>
        </is>
      </c>
      <c r="B16052" s="4" t="s">
        <f>=HYPERLINK("http://anyluxury.ru/shop/odezhda/futbolki-dlya-promo/futbolka-detskaya-regent-kids-150-temnofioletovaya-188677/" , "1886.77 Футболка детская REGENT KIDS 150 фиолетовая, на рост 130-140 см (10 лет)")</f>
      </c>
      <c r="C16052" s="4" t="n">
        <v>468.00</v>
      </c>
      <c r="D16052" s="4"/>
    </row>
    <row collapsed="" customFormat="false" customHeight="1" hidden="" ht="14" outlineLevel="0" r="16053">
      <c r="A16053" s="3" t="inlineStr">
        <is>
          <t>16008</t>
        </is>
      </c>
      <c r="B16053" s="4" t="s">
        <f>=HYPERLINK("http://anyluxury.ru/shop/odezhda/futbolki-dlya-promo/futbolka-detskaya-regent-kids-150-temnofioletovaya-188677/" , "1886.77 Футболка детская REGENT KIDS 150 фиолетовая, на рост 142-152 см (12 лет)")</f>
      </c>
      <c r="C16053" s="4" t="n">
        <v>468.00</v>
      </c>
      <c r="D16053" s="4"/>
    </row>
    <row collapsed="" customFormat="false" customHeight="1" hidden="" ht="14" outlineLevel="0" r="16054">
      <c r="A16054" s="3" t="inlineStr">
        <is>
          <t>16009</t>
        </is>
      </c>
      <c r="B16054" s="4" t="s">
        <f>=HYPERLINK("http://anyluxury.ru/shop/odezhda/futbolki-dlya-promo/futbolka-tbolka-160-seriy-melanzh-614011/" , "6140.11 Футболка T-Bolka 160, серый меланж, размер S")</f>
      </c>
      <c r="C16054" s="4" t="n">
        <v>660.00</v>
      </c>
      <c r="D16054" s="4"/>
    </row>
    <row collapsed="" customFormat="false" customHeight="1" hidden="" ht="14" outlineLevel="0" r="16055">
      <c r="A16055" s="3" t="inlineStr">
        <is>
          <t>16010</t>
        </is>
      </c>
      <c r="B16055" s="4" t="s">
        <f>=HYPERLINK("http://anyluxury.ru/shop/odezhda/futbolki-dlya-promo/futbolka-tbolka-160-seriy-melanzh-614011/" , "6140.11 Футболка T-Bolka 160, серый меланж, размер M")</f>
      </c>
      <c r="C16055" s="4" t="n">
        <v>660.00</v>
      </c>
      <c r="D16055" s="4"/>
    </row>
    <row collapsed="" customFormat="false" customHeight="1" hidden="" ht="14" outlineLevel="0" r="16056">
      <c r="A16056" s="3" t="inlineStr">
        <is>
          <t>16011</t>
        </is>
      </c>
      <c r="B16056" s="4" t="s">
        <f>=HYPERLINK("http://anyluxury.ru/shop/odezhda/futbolki-dlya-promo/futbolka-tbolka-160-seriy-melanzh-614011/" , "6140.11 Футболка T-Bolka 160, серый меланж, размер L")</f>
      </c>
      <c r="C16056" s="4" t="n">
        <v>660.00</v>
      </c>
      <c r="D16056" s="4"/>
    </row>
    <row collapsed="" customFormat="false" customHeight="1" hidden="" ht="14" outlineLevel="0" r="16057">
      <c r="A16057" s="3" t="inlineStr">
        <is>
          <t>16012</t>
        </is>
      </c>
      <c r="B16057" s="4" t="s">
        <f>=HYPERLINK("http://anyluxury.ru/shop/odezhda/futbolki-dlya-promo/futbolka-tbolka-160-seriy-melanzh-614011/" , "6140.11 Футболка T-Bolka 160, серый меланж, размер XL")</f>
      </c>
      <c r="C16057" s="4" t="n">
        <v>660.00</v>
      </c>
      <c r="D16057" s="4"/>
    </row>
    <row collapsed="" customFormat="false" customHeight="1" hidden="" ht="14" outlineLevel="0" r="16058">
      <c r="A16058" s="3" t="inlineStr">
        <is>
          <t>16013</t>
        </is>
      </c>
      <c r="B16058" s="4" t="s">
        <f>=HYPERLINK("http://anyluxury.ru/shop/odezhda/futbolki-dlya-promo/futbolka-tbolka-160-seriy-melanzh-614011/" , "6140.11 Футболка T-Bolka 160, серый меланж, размер XXL")</f>
      </c>
      <c r="C16058" s="4" t="n">
        <v>660.00</v>
      </c>
      <c r="D16058" s="4"/>
    </row>
    <row collapsed="" customFormat="false" customHeight="1" hidden="" ht="14" outlineLevel="0" r="16059">
      <c r="A16059" s="3" t="inlineStr">
        <is>
          <t>16014</t>
        </is>
      </c>
      <c r="B16059" s="4" t="s">
        <f>=HYPERLINK("http://anyluxury.ru/shop/odezhda/futbolki-dlya-promo/futbolka-tbolka-160-seriy-melanzh-614011/" , "6140.11 Футболка T-Bolka 160, серый меланж, размер XXXL")</f>
      </c>
      <c r="C16059" s="4" t="n">
        <v>660.00</v>
      </c>
      <c r="D16059" s="4"/>
    </row>
    <row collapsed="" customFormat="false" customHeight="1" hidden="" ht="14" outlineLevel="0" r="16060">
      <c r="A16060" s="3" t="inlineStr">
        <is>
          <t>16015</t>
        </is>
      </c>
      <c r="B16060" s="4" t="s">
        <f>=HYPERLINK("http://anyluxury.ru/shop/odezhda/futbolki-dlya-promo/futbolka-tbolka-160-seriy-melanzh-614011/" , "6140.11 Футболка T-Bolka 160, серый меланж, размер 4XL")</f>
      </c>
      <c r="C16060" s="4" t="n">
        <v>660.00</v>
      </c>
      <c r="D16060" s="4"/>
    </row>
    <row collapsed="" customFormat="false" customHeight="1" hidden="" ht="14" outlineLevel="0" r="16061">
      <c r="A16061" s="3" t="inlineStr">
        <is>
          <t>16016</t>
        </is>
      </c>
      <c r="B16061" s="4" t="s">
        <f>=HYPERLINK("http://anyluxury.ru/shop/odezhda/futbolki-dlya-promo/futbolka-tbolka-160-seriy-melanzh-614011/" , "6140.11 Футболка унисекс T-Bolka 160, серый меланж, размер XS")</f>
      </c>
      <c r="C16061" s="4" t="n">
        <v>660.00</v>
      </c>
      <c r="D16061" s="4"/>
    </row>
    <row collapsed="" customFormat="false" customHeight="1" hidden="" ht="14" outlineLevel="0" r="16062">
      <c r="A16062" s="3" t="inlineStr">
        <is>
          <t>16017</t>
        </is>
      </c>
      <c r="B16062" s="4" t="s">
        <f>=HYPERLINK("http://anyluxury.ru/shop/odezhda/futbolki-dlya-promo/futbolka-tbolka-160-seriy-melanzh-614011/" , "6140.11 Футболка унисекс T-Bolka 160, серый меланж, размер 5XL")</f>
      </c>
      <c r="C16062" s="4" t="n">
        <v>660.00</v>
      </c>
      <c r="D16062" s="4"/>
    </row>
    <row collapsed="" customFormat="false" customHeight="1" hidden="" ht="14" outlineLevel="0" r="16063">
      <c r="A16063" s="3" t="inlineStr">
        <is>
          <t>16018</t>
        </is>
      </c>
      <c r="B16063" s="4" t="s">
        <f>=HYPERLINK("http://anyluxury.ru/shop/odezhda/futbolki-dlya-promo/futbolka-tbolka-160-seriy-melanzh-614011/" , "6140.11 Футболка унисекс T-Bolka 160, серый меланж, размер 6XL")</f>
      </c>
      <c r="C16063" s="4" t="n">
        <v>660.00</v>
      </c>
      <c r="D16063" s="4"/>
    </row>
    <row collapsed="" customFormat="false" customHeight="1" hidden="" ht="14" outlineLevel="0" r="16064">
      <c r="A16064" s="3" t="inlineStr">
        <is>
          <t>16019</t>
        </is>
      </c>
      <c r="B16064" s="4" t="s">
        <f>=HYPERLINK("http://anyluxury.ru/shop/odezhda/futbolki-dlya-promo/futbolka-zhenskaya-miss-150-yarkozelenaya-266292/" , "2662.92 Футболка женская MISS 150 ярко-зеленая, размер S")</f>
      </c>
      <c r="C16064" s="4" t="n">
        <v>513.00</v>
      </c>
      <c r="D16064" s="4"/>
    </row>
    <row collapsed="" customFormat="false" customHeight="1" hidden="" ht="14" outlineLevel="0" r="16065">
      <c r="A16065" s="3" t="inlineStr">
        <is>
          <t>16020</t>
        </is>
      </c>
      <c r="B16065" s="4" t="s">
        <f>=HYPERLINK("http://anyluxury.ru/shop/odezhda/futbolki-dlya-promo/futbolka-zhenskaya-miss-150-yarkozelenaya-266292/" , "2662.92 Футболка женская MISS 150 ярко-зеленая, размер M")</f>
      </c>
      <c r="C16065" s="4" t="n">
        <v>513.00</v>
      </c>
      <c r="D16065" s="4"/>
    </row>
    <row collapsed="" customFormat="false" customHeight="1" hidden="" ht="14" outlineLevel="0" r="16066">
      <c r="A16066" s="3" t="inlineStr">
        <is>
          <t>16021</t>
        </is>
      </c>
      <c r="B16066" s="4" t="s">
        <f>=HYPERLINK("http://anyluxury.ru/shop/odezhda/futbolki-dlya-promo/futbolka-zhenskaya-miss-150-yarkozelenaya-266292/" , "2662.92 Футболка женская MISS 150 ярко-зеленая, размер L")</f>
      </c>
      <c r="C16066" s="4" t="n">
        <v>513.00</v>
      </c>
      <c r="D16066" s="4"/>
    </row>
    <row collapsed="" customFormat="false" customHeight="1" hidden="" ht="14" outlineLevel="0" r="16067">
      <c r="A16067" s="3" t="inlineStr">
        <is>
          <t>16022</t>
        </is>
      </c>
      <c r="B16067" s="4" t="s">
        <f>=HYPERLINK("http://anyluxury.ru/shop/odezhda/futbolki-dlya-promo/futbolka-zhenskaya-miss-150-yarkozelenaya-266292/" , "2662.92 Футболка женская MISS 150 ярко-зеленая, размер XL")</f>
      </c>
      <c r="C16067" s="4" t="n">
        <v>513.00</v>
      </c>
      <c r="D16067" s="4"/>
    </row>
    <row collapsed="" customFormat="false" customHeight="1" hidden="" ht="14" outlineLevel="0" r="16068">
      <c r="A16068" s="3" t="inlineStr">
        <is>
          <t>16023</t>
        </is>
      </c>
      <c r="B16068" s="4" t="s">
        <f>=HYPERLINK("http://anyluxury.ru/shop/odezhda/futbolki-dlya-promo/futbolka-zhenskaya-miss-150-yarkozelenaya-266292/" , "2662.92 Футболка женская MISS 150 ярко-зеленая, размер XXL")</f>
      </c>
      <c r="C16068" s="4" t="n">
        <v>513.00</v>
      </c>
      <c r="D16068" s="4"/>
    </row>
    <row collapsed="" customFormat="false" customHeight="1" hidden="" ht="14" outlineLevel="0" r="16069">
      <c r="A16069" s="3" t="inlineStr">
        <is>
          <t>16024</t>
        </is>
      </c>
      <c r="B16069" s="4" t="s">
        <f>=HYPERLINK("http://anyluxury.ru/shop/odezhda/futbolki-dlya-promo/futbolka-detskaya-regent-kids-150-chernaya-188630/" , "1886.30 Футболка детская REGENT KIDS 150 черная, на рост 96-104 см (4 года)")</f>
      </c>
      <c r="C16069" s="4" t="n">
        <v>468.00</v>
      </c>
      <c r="D16069" s="4"/>
    </row>
    <row collapsed="" customFormat="false" customHeight="1" hidden="" ht="14" outlineLevel="0" r="16070">
      <c r="A16070" s="3" t="inlineStr">
        <is>
          <t>16025</t>
        </is>
      </c>
      <c r="B16070" s="4" t="s">
        <f>=HYPERLINK("http://anyluxury.ru/shop/odezhda/futbolki-dlya-promo/futbolka-detskaya-regent-kids-150-chernaya-188630/" , "1886.30 Футболка детская REGENT KIDS 150 черная, на рост 106-116 см (6 лет)")</f>
      </c>
      <c r="C16070" s="4" t="n">
        <v>468.00</v>
      </c>
      <c r="D16070" s="4"/>
    </row>
    <row collapsed="" customFormat="false" customHeight="1" hidden="" ht="14" outlineLevel="0" r="16071">
      <c r="A16071" s="3" t="inlineStr">
        <is>
          <t>16026</t>
        </is>
      </c>
      <c r="B16071" s="4" t="s">
        <f>=HYPERLINK("http://anyluxury.ru/shop/odezhda/futbolki-dlya-promo/futbolka-detskaya-regent-kids-150-chernaya-188630/" , "1886.30 Футболка детская REGENT KIDS 150 черная, на рост 118-128 см (8 лет)")</f>
      </c>
      <c r="C16071" s="4" t="n">
        <v>468.00</v>
      </c>
      <c r="D16071" s="4"/>
    </row>
    <row collapsed="" customFormat="false" customHeight="1" hidden="" ht="14" outlineLevel="0" r="16072">
      <c r="A16072" s="3" t="inlineStr">
        <is>
          <t>16027</t>
        </is>
      </c>
      <c r="B16072" s="4" t="s">
        <f>=HYPERLINK("http://anyluxury.ru/shop/odezhda/futbolki-dlya-promo/futbolka-detskaya-regent-kids-150-chernaya-188630/" , "1886.30 Футболка детская REGENT KIDS 150 черная, на рост 130-140 см (10 лет)")</f>
      </c>
      <c r="C16072" s="4" t="n">
        <v>468.00</v>
      </c>
      <c r="D16072" s="4"/>
    </row>
    <row collapsed="" customFormat="false" customHeight="1" hidden="" ht="14" outlineLevel="0" r="16073">
      <c r="A16073" s="3" t="inlineStr">
        <is>
          <t>16028</t>
        </is>
      </c>
      <c r="B16073" s="4" t="s">
        <f>=HYPERLINK("http://anyluxury.ru/shop/odezhda/futbolki-dlya-promo/futbolka-detskaya-regent-kids-150-chernaya-188630/" , "1886.30 Футболка детская REGENT KIDS 150 черная, на рост 142-152 см (12 лет)")</f>
      </c>
      <c r="C16073" s="4" t="n">
        <v>468.00</v>
      </c>
      <c r="D16073" s="4"/>
    </row>
    <row collapsed="" customFormat="false" customHeight="1" hidden="" ht="14" outlineLevel="0" r="16074">
      <c r="A16074" s="3" t="inlineStr">
        <is>
          <t>16029</t>
        </is>
      </c>
      <c r="B16074" s="4" t="s">
        <f>=HYPERLINK("http://anyluxury.ru/shop/odezhda/futbolki-dlya-promo/futbolka-zhenskaya-miss-150-yarkosinyaya-royal-266244/" , "2662.44 Футболка женская MISS 150 ярко-синяя (royal), размер S")</f>
      </c>
      <c r="C16074" s="4" t="n">
        <v>490.00</v>
      </c>
      <c r="D16074" s="4"/>
    </row>
    <row collapsed="" customFormat="false" customHeight="1" hidden="" ht="14" outlineLevel="0" r="16075">
      <c r="A16075" s="3" t="inlineStr">
        <is>
          <t>16030</t>
        </is>
      </c>
      <c r="B16075" s="4" t="s">
        <f>=HYPERLINK("http://anyluxury.ru/shop/odezhda/futbolki-dlya-promo/futbolka-zhenskaya-miss-150-yarkosinyaya-royal-266244/" , "2662.44 Футболка женская MISS 150 ярко-синяя (royal), размер M")</f>
      </c>
      <c r="C16075" s="4" t="n">
        <v>490.00</v>
      </c>
      <c r="D16075" s="4"/>
    </row>
    <row collapsed="" customFormat="false" customHeight="1" hidden="" ht="14" outlineLevel="0" r="16076">
      <c r="A16076" s="3" t="inlineStr">
        <is>
          <t>16031</t>
        </is>
      </c>
      <c r="B16076" s="4" t="s">
        <f>=HYPERLINK("http://anyluxury.ru/shop/odezhda/futbolki-dlya-promo/futbolka-zhenskaya-miss-150-yarkosinyaya-royal-266244/" , "2662.44 Футболка женская MISS 150 ярко-синяя (royal), размер XXL")</f>
      </c>
      <c r="C16076" s="4" t="n">
        <v>490.00</v>
      </c>
      <c r="D16076" s="4"/>
    </row>
    <row collapsed="" customFormat="false" customHeight="1" hidden="" ht="14" outlineLevel="0" r="16077">
      <c r="A16077" s="3" t="inlineStr">
        <is>
          <t>16032</t>
        </is>
      </c>
      <c r="B16077" s="4" t="s">
        <f>=HYPERLINK("http://anyluxury.ru/shop/odezhda/futbolki-dlya-promo/futbolka-uniseks-sporty-140-biryuzovaya-11939321/" , "11939321 Футболка унисекс SPORTY 140 бирюзовая, размер XXS")</f>
      </c>
      <c r="C16077" s="4" t="n">
        <v>752.00</v>
      </c>
      <c r="D16077" s="4"/>
    </row>
    <row collapsed="" customFormat="false" customHeight="1" hidden="" ht="14" outlineLevel="0" r="16078">
      <c r="A16078" s="3" t="inlineStr">
        <is>
          <t>16033</t>
        </is>
      </c>
      <c r="B16078" s="4" t="s">
        <f>=HYPERLINK("http://anyluxury.ru/shop/odezhda/futbolki-dlya-promo/futbolka-uniseks-sporty-140-biryuzovaya-11939321/" , "11939321 Футболка унисекс SPORTY 140 бирюзовая, размер XS")</f>
      </c>
      <c r="C16078" s="4" t="n">
        <v>752.00</v>
      </c>
      <c r="D16078" s="4"/>
    </row>
    <row collapsed="" customFormat="false" customHeight="1" hidden="" ht="14" outlineLevel="0" r="16079">
      <c r="A16079" s="3" t="inlineStr">
        <is>
          <t>16034</t>
        </is>
      </c>
      <c r="B16079" s="4" t="s">
        <f>=HYPERLINK("http://anyluxury.ru/shop/odezhda/futbolki-dlya-promo/futbolka-uniseks-sporty-140-biryuzovaya-11939321/" , "11939321 Футболка унисекс SPORTY 140 бирюзовая, размер S")</f>
      </c>
      <c r="C16079" s="4" t="n">
        <v>752.00</v>
      </c>
      <c r="D16079" s="4"/>
    </row>
    <row collapsed="" customFormat="false" customHeight="1" hidden="" ht="14" outlineLevel="0" r="16080">
      <c r="A16080" s="3" t="inlineStr">
        <is>
          <t>16035</t>
        </is>
      </c>
      <c r="B16080" s="4" t="s">
        <f>=HYPERLINK("http://anyluxury.ru/shop/odezhda/futbolki-dlya-promo/futbolka-uniseks-sporty-140-biryuzovaya-11939321/" , "11939321 Футболка унисекс SPORTY 140 бирюзовая, размер M")</f>
      </c>
      <c r="C16080" s="4" t="n">
        <v>752.00</v>
      </c>
      <c r="D16080" s="4"/>
    </row>
    <row collapsed="" customFormat="false" customHeight="1" hidden="" ht="14" outlineLevel="0" r="16081">
      <c r="A16081" s="3" t="inlineStr">
        <is>
          <t>16036</t>
        </is>
      </c>
      <c r="B16081" s="4" t="s">
        <f>=HYPERLINK("http://anyluxury.ru/shop/odezhda/futbolki-dlya-promo/futbolka-uniseks-sporty-140-biryuzovaya-11939321/" , "11939321 Футболка унисекс SPORTY 140 бирюзовая, размер L")</f>
      </c>
      <c r="C16081" s="4" t="n">
        <v>752.00</v>
      </c>
      <c r="D16081" s="4"/>
    </row>
    <row collapsed="" customFormat="false" customHeight="1" hidden="" ht="14" outlineLevel="0" r="16082">
      <c r="A16082" s="3" t="inlineStr">
        <is>
          <t>16037</t>
        </is>
      </c>
      <c r="B16082" s="4" t="s">
        <f>=HYPERLINK("http://anyluxury.ru/shop/odezhda/futbolki-dlya-promo/futbolka-uniseks-sporty-140-biryuzovaya-11939321/" , "11939321 Футболка унисекс SPORTY 140 бирюзовая, размер XL")</f>
      </c>
      <c r="C16082" s="4" t="n">
        <v>752.00</v>
      </c>
      <c r="D16082" s="4"/>
    </row>
    <row collapsed="" customFormat="false" customHeight="1" hidden="" ht="14" outlineLevel="0" r="16083">
      <c r="A16083" s="3" t="inlineStr">
        <is>
          <t>16038</t>
        </is>
      </c>
      <c r="B16083" s="4" t="s">
        <f>=HYPERLINK("http://anyluxury.ru/shop/odezhda/futbolki-dlya-promo/futbolka-uniseks-sporty-140-biryuzovaya-11939321/" , "11939321 Футболка унисекс SPORTY 140 бирюзовая, размер XXL")</f>
      </c>
      <c r="C16083" s="4" t="n">
        <v>752.00</v>
      </c>
      <c r="D16083" s="4"/>
    </row>
    <row collapsed="" customFormat="false" customHeight="1" hidden="" ht="14" outlineLevel="0" r="16084">
      <c r="A16084" s="3" t="inlineStr">
        <is>
          <t>16039</t>
        </is>
      </c>
      <c r="B16084" s="4" t="s">
        <f>=HYPERLINK("http://anyluxury.ru/shop/odezhda/futbolki-dlya-promo/futbolka-uniseks-sporty-140-biryuzovaya-11939321/" , "11939321 Футболка унисекс SPORTY 140 бирюзовая, размер 3XL")</f>
      </c>
      <c r="C16084" s="4" t="n">
        <v>902.00</v>
      </c>
      <c r="D16084" s="4"/>
    </row>
    <row collapsed="" customFormat="false" customHeight="1" hidden="" ht="14" outlineLevel="0" r="16085">
      <c r="A16085" s="3" t="inlineStr">
        <is>
          <t>16040</t>
        </is>
      </c>
      <c r="B16085" s="4" t="s">
        <f>=HYPERLINK("http://anyluxury.ru/shop/odezhda/futbolki-dlya-promo/futbolka-uniseks-sporty-140-temnosinyaya-11939319/" , "11939319 Футболка унисекс SPORTY 140 темно-синяя, размер XXS")</f>
      </c>
      <c r="C16085" s="4" t="n">
        <v>752.00</v>
      </c>
      <c r="D16085" s="4"/>
    </row>
    <row collapsed="" customFormat="false" customHeight="1" hidden="" ht="14" outlineLevel="0" r="16086">
      <c r="A16086" s="3" t="inlineStr">
        <is>
          <t>16041</t>
        </is>
      </c>
      <c r="B16086" s="4" t="s">
        <f>=HYPERLINK("http://anyluxury.ru/shop/odezhda/futbolki-dlya-promo/futbolka-uniseks-sporty-140-temnosinyaya-11939319/" , "11939319 Футболка унисекс SPORTY 140 темно-синяя, размер XS")</f>
      </c>
      <c r="C16086" s="4" t="n">
        <v>752.00</v>
      </c>
      <c r="D16086" s="4"/>
    </row>
    <row collapsed="" customFormat="false" customHeight="1" hidden="" ht="14" outlineLevel="0" r="16087">
      <c r="A16087" s="3" t="inlineStr">
        <is>
          <t>16042</t>
        </is>
      </c>
      <c r="B16087" s="4" t="s">
        <f>=HYPERLINK("http://anyluxury.ru/shop/odezhda/futbolki-dlya-promo/futbolka-uniseks-sporty-140-temnosinyaya-11939319/" , "11939319 Футболка унисекс SPORTY 140 темно-синяя, размер S")</f>
      </c>
      <c r="C16087" s="4" t="n">
        <v>752.00</v>
      </c>
      <c r="D16087" s="4"/>
    </row>
    <row collapsed="" customFormat="false" customHeight="1" hidden="" ht="14" outlineLevel="0" r="16088">
      <c r="A16088" s="3" t="inlineStr">
        <is>
          <t>16043</t>
        </is>
      </c>
      <c r="B16088" s="4" t="s">
        <f>=HYPERLINK("http://anyluxury.ru/shop/odezhda/futbolki-dlya-promo/futbolka-uniseks-sporty-140-temnosinyaya-11939319/" , "11939319 Футболка унисекс SPORTY 140 темно-синяя, размер M")</f>
      </c>
      <c r="C16088" s="4" t="n">
        <v>752.00</v>
      </c>
      <c r="D16088" s="4"/>
    </row>
    <row collapsed="" customFormat="false" customHeight="1" hidden="" ht="14" outlineLevel="0" r="16089">
      <c r="A16089" s="3" t="inlineStr">
        <is>
          <t>16044</t>
        </is>
      </c>
      <c r="B16089" s="4" t="s">
        <f>=HYPERLINK("http://anyluxury.ru/shop/odezhda/futbolki-dlya-promo/futbolka-uniseks-sporty-140-temnosinyaya-11939319/" , "11939319 Футболка унисекс SPORTY 140 темно-синяя, размер L")</f>
      </c>
      <c r="C16089" s="4" t="n">
        <v>752.00</v>
      </c>
      <c r="D16089" s="4"/>
    </row>
    <row collapsed="" customFormat="false" customHeight="1" hidden="" ht="14" outlineLevel="0" r="16090">
      <c r="A16090" s="3" t="inlineStr">
        <is>
          <t>16045</t>
        </is>
      </c>
      <c r="B16090" s="4" t="s">
        <f>=HYPERLINK("http://anyluxury.ru/shop/odezhda/futbolki-dlya-promo/futbolka-uniseks-sporty-140-temnosinyaya-11939319/" , "11939319 Футболка унисекс SPORTY 140 темно-синяя, размер XL")</f>
      </c>
      <c r="C16090" s="4" t="n">
        <v>752.00</v>
      </c>
      <c r="D16090" s="4"/>
    </row>
    <row collapsed="" customFormat="false" customHeight="1" hidden="" ht="14" outlineLevel="0" r="16091">
      <c r="A16091" s="3" t="inlineStr">
        <is>
          <t>16046</t>
        </is>
      </c>
      <c r="B16091" s="4" t="s">
        <f>=HYPERLINK("http://anyluxury.ru/shop/odezhda/futbolki-dlya-promo/futbolka-uniseks-sporty-140-temnosinyaya-11939319/" , "11939319 Футболка унисекс SPORTY 140 темно-синяя, размер XXL")</f>
      </c>
      <c r="C16091" s="4" t="n">
        <v>752.00</v>
      </c>
      <c r="D16091" s="4"/>
    </row>
    <row collapsed="" customFormat="false" customHeight="1" hidden="" ht="14" outlineLevel="0" r="16092">
      <c r="A16092" s="3" t="inlineStr">
        <is>
          <t>16047</t>
        </is>
      </c>
      <c r="B16092" s="4" t="s">
        <f>=HYPERLINK("http://anyluxury.ru/shop/odezhda/futbolki-dlya-promo/futbolka-uniseks-sporty-140-temnosinyaya-11939319/" , "11939319 Футболка унисекс SPORTY 140 темно-синяя, размер 3XL")</f>
      </c>
      <c r="C16092" s="4" t="n">
        <v>902.00</v>
      </c>
      <c r="D16092" s="4"/>
    </row>
    <row collapsed="" customFormat="false" customHeight="1" hidden="" ht="14" outlineLevel="0" r="16093">
      <c r="A16093" s="3" t="inlineStr">
        <is>
          <t>16048</t>
        </is>
      </c>
      <c r="B16093" s="4" t="s">
        <f>=HYPERLINK("http://anyluxury.ru/shop/odezhda/futbolki-dlya-promo/futbolka-uniseks-sporty-140-limonnozheltaya-11939302/" , "11939302 Футболка унисекс SPORTY 140 лимонно-желтая, размер XXS")</f>
      </c>
      <c r="C16093" s="4" t="n">
        <v>752.00</v>
      </c>
      <c r="D16093" s="4"/>
    </row>
    <row collapsed="" customFormat="false" customHeight="1" hidden="" ht="14" outlineLevel="0" r="16094">
      <c r="A16094" s="3" t="inlineStr">
        <is>
          <t>16049</t>
        </is>
      </c>
      <c r="B16094" s="4" t="s">
        <f>=HYPERLINK("http://anyluxury.ru/shop/odezhda/futbolki-dlya-promo/futbolka-uniseks-sporty-140-limonnozheltaya-11939302/" , "11939302 Футболка унисекс SPORTY 140 лимонно-желтая, размер XS")</f>
      </c>
      <c r="C16094" s="4" t="n">
        <v>752.00</v>
      </c>
      <c r="D16094" s="4"/>
    </row>
    <row collapsed="" customFormat="false" customHeight="1" hidden="" ht="14" outlineLevel="0" r="16095">
      <c r="A16095" s="3" t="inlineStr">
        <is>
          <t>16050</t>
        </is>
      </c>
      <c r="B16095" s="4" t="s">
        <f>=HYPERLINK("http://anyluxury.ru/shop/odezhda/futbolki-dlya-promo/futbolka-uniseks-sporty-140-limonnozheltaya-11939302/" , "11939302 Футболка унисекс SPORTY 140 лимонно-желтая, размер S")</f>
      </c>
      <c r="C16095" s="4" t="n">
        <v>752.00</v>
      </c>
      <c r="D16095" s="4"/>
    </row>
    <row collapsed="" customFormat="false" customHeight="1" hidden="" ht="14" outlineLevel="0" r="16096">
      <c r="A16096" s="3" t="inlineStr">
        <is>
          <t>16051</t>
        </is>
      </c>
      <c r="B16096" s="4" t="s">
        <f>=HYPERLINK("http://anyluxury.ru/shop/odezhda/futbolki-dlya-promo/futbolka-uniseks-sporty-140-limonnozheltaya-11939302/" , "11939302 Футболка унисекс SPORTY 140 лимонно-желтая, размер M")</f>
      </c>
      <c r="C16096" s="4" t="n">
        <v>752.00</v>
      </c>
      <c r="D16096" s="4"/>
    </row>
    <row collapsed="" customFormat="false" customHeight="1" hidden="" ht="14" outlineLevel="0" r="16097">
      <c r="A16097" s="3" t="inlineStr">
        <is>
          <t>16052</t>
        </is>
      </c>
      <c r="B16097" s="4" t="s">
        <f>=HYPERLINK("http://anyluxury.ru/shop/odezhda/futbolki-dlya-promo/futbolka-uniseks-sporty-140-limonnozheltaya-11939302/" , "11939302 Футболка унисекс SPORTY 140 лимонно-желтая, размер L")</f>
      </c>
      <c r="C16097" s="4" t="n">
        <v>752.00</v>
      </c>
      <c r="D16097" s="4"/>
    </row>
    <row collapsed="" customFormat="false" customHeight="1" hidden="" ht="14" outlineLevel="0" r="16098">
      <c r="A16098" s="3" t="inlineStr">
        <is>
          <t>16053</t>
        </is>
      </c>
      <c r="B16098" s="4" t="s">
        <f>=HYPERLINK("http://anyluxury.ru/shop/odezhda/futbolki-dlya-promo/futbolka-uniseks-sporty-140-limonnozheltaya-11939302/" , "11939302 Футболка унисекс SPORTY 140 лимонно-желтая, размер XL")</f>
      </c>
      <c r="C16098" s="4" t="n">
        <v>752.00</v>
      </c>
      <c r="D16098" s="4"/>
    </row>
    <row collapsed="" customFormat="false" customHeight="1" hidden="" ht="14" outlineLevel="0" r="16099">
      <c r="A16099" s="3" t="inlineStr">
        <is>
          <t>16054</t>
        </is>
      </c>
      <c r="B16099" s="4" t="s">
        <f>=HYPERLINK("http://anyluxury.ru/shop/odezhda/futbolki-dlya-promo/futbolka-uniseks-sporty-140-limonnozheltaya-11939302/" , "11939302 Футболка унисекс SPORTY 140 лимонно-желтая, размер XXL")</f>
      </c>
      <c r="C16099" s="4" t="n">
        <v>752.00</v>
      </c>
      <c r="D16099" s="4"/>
    </row>
    <row collapsed="" customFormat="false" customHeight="1" hidden="" ht="14" outlineLevel="0" r="16100">
      <c r="A16100" s="3" t="inlineStr">
        <is>
          <t>16055</t>
        </is>
      </c>
      <c r="B16100" s="4" t="s">
        <f>=HYPERLINK("http://anyluxury.ru/shop/odezhda/futbolki-dlya-promo/futbolka-uniseks-sporty-140-limonnozheltaya-11939302/" , "11939302 Футболка унисекс SPORTY 140 лимонно-желтая, размер 3XL")</f>
      </c>
      <c r="C16100" s="4" t="n">
        <v>902.00</v>
      </c>
      <c r="D16100" s="4"/>
    </row>
    <row collapsed="" customFormat="false" customHeight="1" hidden="" ht="14" outlineLevel="0" r="16101">
      <c r="A16101" s="3" t="inlineStr">
        <is>
          <t>16056</t>
        </is>
      </c>
      <c r="B16101" s="4" t="s">
        <f>=HYPERLINK("http://anyluxury.ru/shop/odezhda/futbolki-dlya-promo/futbolka-uniseks-sporty-140-oranzheviy-neon-11939404/" , "11939404 Футболка унисекс SPORTY 140 оранжевый неон, размер XXS")</f>
      </c>
      <c r="C16101" s="4" t="n">
        <v>752.00</v>
      </c>
      <c r="D16101" s="4"/>
    </row>
    <row collapsed="" customFormat="false" customHeight="1" hidden="" ht="14" outlineLevel="0" r="16102">
      <c r="A16102" s="3" t="inlineStr">
        <is>
          <t>16057</t>
        </is>
      </c>
      <c r="B16102" s="4" t="s">
        <f>=HYPERLINK("http://anyluxury.ru/shop/odezhda/futbolki-dlya-promo/futbolka-uniseks-sporty-140-oranzheviy-neon-11939404/" , "11939404 Футболка унисекс SPORTY 140 оранжевый неон, размер XS")</f>
      </c>
      <c r="C16102" s="4" t="n">
        <v>752.00</v>
      </c>
      <c r="D16102" s="4"/>
    </row>
    <row collapsed="" customFormat="false" customHeight="1" hidden="" ht="14" outlineLevel="0" r="16103">
      <c r="A16103" s="3" t="inlineStr">
        <is>
          <t>16058</t>
        </is>
      </c>
      <c r="B16103" s="4" t="s">
        <f>=HYPERLINK("http://anyluxury.ru/shop/odezhda/futbolki-dlya-promo/futbolka-uniseks-sporty-140-oranzheviy-neon-11939404/" , "11939404 Футболка унисекс SPORTY 140 оранжевый неон, размер S")</f>
      </c>
      <c r="C16103" s="4" t="n">
        <v>752.00</v>
      </c>
      <c r="D16103" s="4"/>
    </row>
    <row collapsed="" customFormat="false" customHeight="1" hidden="" ht="14" outlineLevel="0" r="16104">
      <c r="A16104" s="3" t="inlineStr">
        <is>
          <t>16059</t>
        </is>
      </c>
      <c r="B16104" s="4" t="s">
        <f>=HYPERLINK("http://anyluxury.ru/shop/odezhda/futbolki-dlya-promo/futbolka-uniseks-sporty-140-oranzheviy-neon-11939404/" , "11939404 Футболка унисекс SPORTY 140 оранжевый неон, размер M")</f>
      </c>
      <c r="C16104" s="4" t="n">
        <v>752.00</v>
      </c>
      <c r="D16104" s="4"/>
    </row>
    <row collapsed="" customFormat="false" customHeight="1" hidden="" ht="14" outlineLevel="0" r="16105">
      <c r="A16105" s="3" t="inlineStr">
        <is>
          <t>16060</t>
        </is>
      </c>
      <c r="B16105" s="4" t="s">
        <f>=HYPERLINK("http://anyluxury.ru/shop/odezhda/futbolki-dlya-promo/futbolka-uniseks-sporty-140-oranzheviy-neon-11939404/" , "11939404 Футболка унисекс SPORTY 140 оранжевый неон, размер L")</f>
      </c>
      <c r="C16105" s="4" t="n">
        <v>752.00</v>
      </c>
      <c r="D16105" s="4"/>
    </row>
    <row collapsed="" customFormat="false" customHeight="1" hidden="" ht="14" outlineLevel="0" r="16106">
      <c r="A16106" s="3" t="inlineStr">
        <is>
          <t>16061</t>
        </is>
      </c>
      <c r="B16106" s="4" t="s">
        <f>=HYPERLINK("http://anyluxury.ru/shop/odezhda/futbolki-dlya-promo/futbolka-uniseks-sporty-140-oranzheviy-neon-11939404/" , "11939404 Футболка унисекс SPORTY 140 оранжевый неон, размер XL")</f>
      </c>
      <c r="C16106" s="4" t="n">
        <v>752.00</v>
      </c>
      <c r="D16106" s="4"/>
    </row>
    <row collapsed="" customFormat="false" customHeight="1" hidden="" ht="14" outlineLevel="0" r="16107">
      <c r="A16107" s="3" t="inlineStr">
        <is>
          <t>16062</t>
        </is>
      </c>
      <c r="B16107" s="4" t="s">
        <f>=HYPERLINK("http://anyluxury.ru/shop/odezhda/futbolki-dlya-promo/futbolka-uniseks-sporty-140-oranzheviy-neon-11939404/" , "11939404 Футболка унисекс SPORTY 140 оранжевый неон, размер XXL")</f>
      </c>
      <c r="C16107" s="4" t="n">
        <v>752.00</v>
      </c>
      <c r="D16107" s="4"/>
    </row>
    <row collapsed="" customFormat="false" customHeight="1" hidden="" ht="14" outlineLevel="0" r="16108">
      <c r="A16108" s="3" t="inlineStr">
        <is>
          <t>16063</t>
        </is>
      </c>
      <c r="B16108" s="4" t="s">
        <f>=HYPERLINK("http://anyluxury.ru/shop/odezhda/futbolki-dlya-promo/futbolka-uniseks-sporty-140-oranzheviy-neon-11939404/" , "11939404 Футболка унисекс SPORTY 140 оранжевый неон, размер 3XL")</f>
      </c>
      <c r="C16108" s="4" t="n">
        <v>902.00</v>
      </c>
      <c r="D16108" s="4"/>
    </row>
    <row collapsed="" customFormat="false" customHeight="1" hidden="" ht="14" outlineLevel="0" r="16109">
      <c r="A16109" s="3" t="inlineStr">
        <is>
          <t>16064</t>
        </is>
      </c>
      <c r="B16109" s="4" t="s">
        <f>=HYPERLINK("http://anyluxury.ru/shop/odezhda/futbolki-dlya-promo/futbolka-uniseks-sporty-140-rozoviy-neon-11939129/" , "11939129 Футболка унисекс SPORTY 140 розовый неон, размер XXS")</f>
      </c>
      <c r="C16109" s="4" t="n">
        <v>752.00</v>
      </c>
      <c r="D16109" s="4"/>
    </row>
    <row collapsed="" customFormat="false" customHeight="1" hidden="" ht="14" outlineLevel="0" r="16110">
      <c r="A16110" s="3" t="inlineStr">
        <is>
          <t>16065</t>
        </is>
      </c>
      <c r="B16110" s="4" t="s">
        <f>=HYPERLINK("http://anyluxury.ru/shop/odezhda/futbolki-dlya-promo/futbolka-uniseks-sporty-140-rozoviy-neon-11939129/" , "11939129 Футболка унисекс SPORTY 140 розовый неон, размер XS")</f>
      </c>
      <c r="C16110" s="4" t="n">
        <v>752.00</v>
      </c>
      <c r="D16110" s="4"/>
    </row>
    <row collapsed="" customFormat="false" customHeight="1" hidden="" ht="14" outlineLevel="0" r="16111">
      <c r="A16111" s="3" t="inlineStr">
        <is>
          <t>16066</t>
        </is>
      </c>
      <c r="B16111" s="4" t="s">
        <f>=HYPERLINK("http://anyluxury.ru/shop/odezhda/futbolki-dlya-promo/futbolka-uniseks-sporty-140-rozoviy-neon-11939129/" , "11939129 Футболка унисекс SPORTY 140 розовый неон, размер S")</f>
      </c>
      <c r="C16111" s="4" t="n">
        <v>752.00</v>
      </c>
      <c r="D16111" s="4"/>
    </row>
    <row collapsed="" customFormat="false" customHeight="1" hidden="" ht="14" outlineLevel="0" r="16112">
      <c r="A16112" s="3" t="inlineStr">
        <is>
          <t>16067</t>
        </is>
      </c>
      <c r="B16112" s="4" t="s">
        <f>=HYPERLINK("http://anyluxury.ru/shop/odezhda/futbolki-dlya-promo/futbolka-uniseks-sporty-140-rozoviy-neon-11939129/" , "11939129 Футболка унисекс SPORTY 140 розовый неон, размер M")</f>
      </c>
      <c r="C16112" s="4" t="n">
        <v>752.00</v>
      </c>
      <c r="D16112" s="4"/>
    </row>
    <row collapsed="" customFormat="false" customHeight="1" hidden="" ht="14" outlineLevel="0" r="16113">
      <c r="A16113" s="3" t="inlineStr">
        <is>
          <t>16068</t>
        </is>
      </c>
      <c r="B16113" s="4" t="s">
        <f>=HYPERLINK("http://anyluxury.ru/shop/odezhda/futbolki-dlya-promo/futbolka-uniseks-sporty-140-rozoviy-neon-11939129/" , "11939129 Футболка унисекс SPORTY 140 розовый неон, размер L")</f>
      </c>
      <c r="C16113" s="4" t="n">
        <v>752.00</v>
      </c>
      <c r="D16113" s="4"/>
    </row>
    <row collapsed="" customFormat="false" customHeight="1" hidden="" ht="14" outlineLevel="0" r="16114">
      <c r="A16114" s="3" t="inlineStr">
        <is>
          <t>16069</t>
        </is>
      </c>
      <c r="B16114" s="4" t="s">
        <f>=HYPERLINK("http://anyluxury.ru/shop/odezhda/futbolki-dlya-promo/futbolka-uniseks-sporty-140-rozoviy-neon-11939129/" , "11939129 Футболка унисекс SPORTY 140 розовый неон, размер XL")</f>
      </c>
      <c r="C16114" s="4" t="n">
        <v>752.00</v>
      </c>
      <c r="D16114" s="4"/>
    </row>
    <row collapsed="" customFormat="false" customHeight="1" hidden="" ht="14" outlineLevel="0" r="16115">
      <c r="A16115" s="3" t="inlineStr">
        <is>
          <t>16070</t>
        </is>
      </c>
      <c r="B16115" s="4" t="s">
        <f>=HYPERLINK("http://anyluxury.ru/shop/odezhda/futbolki-dlya-promo/futbolka-uniseks-sporty-140-rozoviy-neon-11939129/" , "11939129 Футболка унисекс SPORTY 140 розовый неон, размер XXL")</f>
      </c>
      <c r="C16115" s="4" t="n">
        <v>752.00</v>
      </c>
      <c r="D16115" s="4"/>
    </row>
    <row collapsed="" customFormat="false" customHeight="1" hidden="" ht="14" outlineLevel="0" r="16116">
      <c r="A16116" s="3" t="inlineStr">
        <is>
          <t>16071</t>
        </is>
      </c>
      <c r="B16116" s="4" t="s">
        <f>=HYPERLINK("http://anyluxury.ru/shop/odezhda/futbolki-dlya-promo/futbolka-uniseks-sporty-140-rozoviy-neon-11939129/" , "11939129 Футболка унисекс SPORTY 140 розовый неон, размер 3XL")</f>
      </c>
      <c r="C16116" s="4" t="n">
        <v>902.00</v>
      </c>
      <c r="D16116" s="4"/>
    </row>
    <row collapsed="" customFormat="false" customHeight="1" hidden="" ht="14" outlineLevel="0" r="16117">
      <c r="A16117" s="3" t="inlineStr">
        <is>
          <t>16072</t>
        </is>
      </c>
      <c r="B16117" s="4" t="s">
        <f>=HYPERLINK("http://anyluxury.ru/shop/odezhda/futbolki-dlya-promo/futbolka-uniseks-sporty-140-zheltiy-neon-11939306/" , "11939306 Футболка унисекс SPORTY 140 желтый неон, размер XXS")</f>
      </c>
      <c r="C16117" s="4" t="n">
        <v>752.00</v>
      </c>
      <c r="D16117" s="4"/>
    </row>
    <row collapsed="" customFormat="false" customHeight="1" hidden="" ht="14" outlineLevel="0" r="16118">
      <c r="A16118" s="3" t="inlineStr">
        <is>
          <t>16073</t>
        </is>
      </c>
      <c r="B16118" s="4" t="s">
        <f>=HYPERLINK("http://anyluxury.ru/shop/odezhda/futbolki-dlya-promo/futbolka-uniseks-sporty-140-zheltiy-neon-11939306/" , "11939306 Футболка унисекс SPORTY 140 желтый неон, размер XS")</f>
      </c>
      <c r="C16118" s="4" t="n">
        <v>752.00</v>
      </c>
      <c r="D16118" s="4"/>
    </row>
    <row collapsed="" customFormat="false" customHeight="1" hidden="" ht="14" outlineLevel="0" r="16119">
      <c r="A16119" s="3" t="inlineStr">
        <is>
          <t>16074</t>
        </is>
      </c>
      <c r="B16119" s="4" t="s">
        <f>=HYPERLINK("http://anyluxury.ru/shop/odezhda/futbolki-dlya-promo/futbolka-uniseks-sporty-140-zheltiy-neon-11939306/" , "11939306 Футболка унисекс SPORTY 140 желтый неон, размер S")</f>
      </c>
      <c r="C16119" s="4" t="n">
        <v>752.00</v>
      </c>
      <c r="D16119" s="4"/>
    </row>
    <row collapsed="" customFormat="false" customHeight="1" hidden="" ht="14" outlineLevel="0" r="16120">
      <c r="A16120" s="3" t="inlineStr">
        <is>
          <t>16075</t>
        </is>
      </c>
      <c r="B16120" s="4" t="s">
        <f>=HYPERLINK("http://anyluxury.ru/shop/odezhda/futbolki-dlya-promo/futbolka-uniseks-sporty-140-zheltiy-neon-11939306/" , "11939306 Футболка унисекс SPORTY 140 желтый неон, размер M")</f>
      </c>
      <c r="C16120" s="4" t="n">
        <v>752.00</v>
      </c>
      <c r="D16120" s="4"/>
    </row>
    <row collapsed="" customFormat="false" customHeight="1" hidden="" ht="14" outlineLevel="0" r="16121">
      <c r="A16121" s="3" t="inlineStr">
        <is>
          <t>16076</t>
        </is>
      </c>
      <c r="B16121" s="4" t="s">
        <f>=HYPERLINK("http://anyluxury.ru/shop/odezhda/futbolki-dlya-promo/futbolka-uniseks-sporty-140-zheltiy-neon-11939306/" , "11939306 Футболка унисекс SPORTY 140 желтый неон, размер L")</f>
      </c>
      <c r="C16121" s="4" t="n">
        <v>752.00</v>
      </c>
      <c r="D16121" s="4"/>
    </row>
    <row collapsed="" customFormat="false" customHeight="1" hidden="" ht="14" outlineLevel="0" r="16122">
      <c r="A16122" s="3" t="inlineStr">
        <is>
          <t>16077</t>
        </is>
      </c>
      <c r="B16122" s="4" t="s">
        <f>=HYPERLINK("http://anyluxury.ru/shop/odezhda/futbolki-dlya-promo/futbolka-uniseks-sporty-140-zheltiy-neon-11939306/" , "11939306 Футболка унисекс SPORTY 140 желтый неон, размер XL")</f>
      </c>
      <c r="C16122" s="4" t="n">
        <v>752.00</v>
      </c>
      <c r="D16122" s="4"/>
    </row>
    <row collapsed="" customFormat="false" customHeight="1" hidden="" ht="14" outlineLevel="0" r="16123">
      <c r="A16123" s="3" t="inlineStr">
        <is>
          <t>16078</t>
        </is>
      </c>
      <c r="B16123" s="4" t="s">
        <f>=HYPERLINK("http://anyluxury.ru/shop/odezhda/futbolki-dlya-promo/futbolka-uniseks-sporty-140-zheltiy-neon-11939306/" , "11939306 Футболка унисекс SPORTY 140 желтый неон, размер XXL")</f>
      </c>
      <c r="C16123" s="4" t="n">
        <v>752.00</v>
      </c>
      <c r="D16123" s="4"/>
    </row>
    <row collapsed="" customFormat="false" customHeight="1" hidden="" ht="14" outlineLevel="0" r="16124">
      <c r="A16124" s="3" t="inlineStr">
        <is>
          <t>16079</t>
        </is>
      </c>
      <c r="B16124" s="4" t="s">
        <f>=HYPERLINK("http://anyluxury.ru/shop/odezhda/futbolki-dlya-promo/futbolka-uniseks-sporty-140-zheltiy-neon-11939306/" , "11939306 Футболка унисекс SPORTY 140 желтый неон, размер 3XL")</f>
      </c>
      <c r="C16124" s="4" t="n">
        <v>902.00</v>
      </c>
      <c r="D16124" s="4"/>
    </row>
    <row collapsed="" customFormat="false" customHeight="1" hidden="" ht="14" outlineLevel="0" r="16125">
      <c r="A16125" s="3" t="inlineStr">
        <is>
          <t>16080</t>
        </is>
      </c>
      <c r="B16125" s="4" t="s">
        <f>=HYPERLINK("http://anyluxury.ru/shop/odezhda/futbolki-dlya-promo/futbolka-uniseks-sporty-140-oranzhevaya-11939400/" , "11939400 Футболка унисекс SPORTY 140 оранжевая, размер XXS")</f>
      </c>
      <c r="C16125" s="4" t="n">
        <v>752.00</v>
      </c>
      <c r="D16125" s="4"/>
    </row>
    <row collapsed="" customFormat="false" customHeight="1" hidden="" ht="14" outlineLevel="0" r="16126">
      <c r="A16126" s="3" t="inlineStr">
        <is>
          <t>16081</t>
        </is>
      </c>
      <c r="B16126" s="4" t="s">
        <f>=HYPERLINK("http://anyluxury.ru/shop/odezhda/futbolki-dlya-promo/futbolka-uniseks-sporty-140-oranzhevaya-11939400/" , "11939400 Футболка унисекс SPORTY 140 оранжевая, размер XS")</f>
      </c>
      <c r="C16126" s="4" t="n">
        <v>752.00</v>
      </c>
      <c r="D16126" s="4"/>
    </row>
    <row collapsed="" customFormat="false" customHeight="1" hidden="" ht="14" outlineLevel="0" r="16127">
      <c r="A16127" s="3" t="inlineStr">
        <is>
          <t>16082</t>
        </is>
      </c>
      <c r="B16127" s="4" t="s">
        <f>=HYPERLINK("http://anyluxury.ru/shop/odezhda/futbolki-dlya-promo/futbolka-uniseks-sporty-140-oranzhevaya-11939400/" , "11939400 Футболка унисекс SPORTY 140 оранжевая, размер S")</f>
      </c>
      <c r="C16127" s="4" t="n">
        <v>752.00</v>
      </c>
      <c r="D16127" s="4"/>
    </row>
    <row collapsed="" customFormat="false" customHeight="1" hidden="" ht="14" outlineLevel="0" r="16128">
      <c r="A16128" s="3" t="inlineStr">
        <is>
          <t>16083</t>
        </is>
      </c>
      <c r="B16128" s="4" t="s">
        <f>=HYPERLINK("http://anyluxury.ru/shop/odezhda/futbolki-dlya-promo/futbolka-uniseks-sporty-140-oranzhevaya-11939400/" , "11939400 Футболка унисекс SPORTY 140 оранжевая, размер M")</f>
      </c>
      <c r="C16128" s="4" t="n">
        <v>752.00</v>
      </c>
      <c r="D16128" s="4"/>
    </row>
    <row collapsed="" customFormat="false" customHeight="1" hidden="" ht="14" outlineLevel="0" r="16129">
      <c r="A16129" s="3" t="inlineStr">
        <is>
          <t>16084</t>
        </is>
      </c>
      <c r="B16129" s="4" t="s">
        <f>=HYPERLINK("http://anyluxury.ru/shop/odezhda/futbolki-dlya-promo/futbolka-uniseks-sporty-140-oranzhevaya-11939400/" , "11939400 Футболка унисекс SPORTY 140 оранжевая, размер L")</f>
      </c>
      <c r="C16129" s="4" t="n">
        <v>752.00</v>
      </c>
      <c r="D16129" s="4"/>
    </row>
    <row collapsed="" customFormat="false" customHeight="1" hidden="" ht="14" outlineLevel="0" r="16130">
      <c r="A16130" s="3" t="inlineStr">
        <is>
          <t>16085</t>
        </is>
      </c>
      <c r="B16130" s="4" t="s">
        <f>=HYPERLINK("http://anyluxury.ru/shop/odezhda/futbolki-dlya-promo/futbolka-uniseks-sporty-140-oranzhevaya-11939400/" , "11939400 Футболка унисекс SPORTY 140 оранжевая, размер XL")</f>
      </c>
      <c r="C16130" s="4" t="n">
        <v>752.00</v>
      </c>
      <c r="D16130" s="4"/>
    </row>
    <row collapsed="" customFormat="false" customHeight="1" hidden="" ht="14" outlineLevel="0" r="16131">
      <c r="A16131" s="3" t="inlineStr">
        <is>
          <t>16086</t>
        </is>
      </c>
      <c r="B16131" s="4" t="s">
        <f>=HYPERLINK("http://anyluxury.ru/shop/odezhda/futbolki-dlya-promo/futbolka-uniseks-sporty-140-oranzhevaya-11939400/" , "11939400 Футболка унисекс SPORTY 140 оранжевая, размер XXL")</f>
      </c>
      <c r="C16131" s="4" t="n">
        <v>752.00</v>
      </c>
      <c r="D16131" s="4"/>
    </row>
    <row collapsed="" customFormat="false" customHeight="1" hidden="" ht="14" outlineLevel="0" r="16132">
      <c r="A16132" s="3" t="inlineStr">
        <is>
          <t>16087</t>
        </is>
      </c>
      <c r="B16132" s="4" t="s">
        <f>=HYPERLINK("http://anyluxury.ru/shop/odezhda/futbolki-dlya-promo/futbolka-uniseks-sporty-140-oranzhevaya-11939400/" , "11939400 Футболка унисекс SPORTY 140 оранжевая, размер 3XL")</f>
      </c>
      <c r="C16132" s="4" t="n">
        <v>902.00</v>
      </c>
      <c r="D16132" s="4"/>
    </row>
    <row collapsed="" customFormat="false" customHeight="1" hidden="" ht="14" outlineLevel="0" r="16133">
      <c r="A16133" s="3" t="inlineStr">
        <is>
          <t>16088</t>
        </is>
      </c>
      <c r="B16133" s="4" t="s">
        <f>=HYPERLINK("http://anyluxury.ru/shop/odezhda/futbolki-dlya-promo/futbolka-muzhskaya-mixed-men-150-svetloseriy-melanzh-01182350/" , "01182350 Футболка мужская MIXED MEN 150 светло-серый меланж, размер S")</f>
      </c>
      <c r="C16133" s="4" t="n">
        <v>852.00</v>
      </c>
      <c r="D16133" s="4"/>
    </row>
    <row collapsed="" customFormat="false" customHeight="1" hidden="" ht="14" outlineLevel="0" r="16134">
      <c r="A16134" s="3" t="inlineStr">
        <is>
          <t>16089</t>
        </is>
      </c>
      <c r="B16134" s="4" t="s">
        <f>=HYPERLINK("http://anyluxury.ru/shop/odezhda/futbolki-dlya-promo/futbolka-muzhskaya-mixed-men-150-svetloseriy-melanzh-01182350/" , "01182350 Футболка мужская MIXED MEN 150 светло-серый меланж, размер M")</f>
      </c>
      <c r="C16134" s="4" t="n">
        <v>852.00</v>
      </c>
      <c r="D16134" s="4"/>
    </row>
    <row collapsed="" customFormat="false" customHeight="1" hidden="" ht="14" outlineLevel="0" r="16135">
      <c r="A16135" s="3" t="inlineStr">
        <is>
          <t>16090</t>
        </is>
      </c>
      <c r="B16135" s="4" t="s">
        <f>=HYPERLINK("http://anyluxury.ru/shop/odezhda/futbolki-dlya-promo/futbolka-muzhskaya-mixed-men-150-svetloseriy-melanzh-01182350/" , "01182350 Футболка мужская MIXED MEN 150 светло-серый меланж, размер L")</f>
      </c>
      <c r="C16135" s="4" t="n">
        <v>852.00</v>
      </c>
      <c r="D16135" s="4"/>
    </row>
    <row collapsed="" customFormat="false" customHeight="1" hidden="" ht="14" outlineLevel="0" r="16136">
      <c r="A16136" s="3" t="inlineStr">
        <is>
          <t>16091</t>
        </is>
      </c>
      <c r="B16136" s="4" t="s">
        <f>=HYPERLINK("http://anyluxury.ru/shop/odezhda/futbolki-dlya-promo/futbolka-muzhskaya-mixed-men-150-svetloseriy-melanzh-01182350/" , "01182350 Футболка мужская MIXED MEN 150 светло-серый меланж, размер XL")</f>
      </c>
      <c r="C16136" s="4" t="n">
        <v>852.00</v>
      </c>
      <c r="D16136" s="4"/>
    </row>
    <row collapsed="" customFormat="false" customHeight="1" hidden="" ht="14" outlineLevel="0" r="16137">
      <c r="A16137" s="3" t="inlineStr">
        <is>
          <t>16092</t>
        </is>
      </c>
      <c r="B16137" s="4" t="s">
        <f>=HYPERLINK("http://anyluxury.ru/shop/odezhda/futbolki-dlya-promo/futbolka-muzhskaya-mixed-men-150-svetloseriy-melanzh-01182350/" , "01182350 Футболка мужская MIXED MEN 150 светло-серый меланж, размер XXL")</f>
      </c>
      <c r="C16137" s="4" t="n">
        <v>852.00</v>
      </c>
      <c r="D16137" s="4"/>
    </row>
    <row collapsed="" customFormat="false" customHeight="1" hidden="" ht="14" outlineLevel="0" r="16138">
      <c r="A16138" s="3" t="inlineStr">
        <is>
          <t>16093</t>
        </is>
      </c>
      <c r="B16138" s="4" t="s">
        <f>=HYPERLINK("http://anyluxury.ru/shop/odezhda/futbolki-dlya-promo/futbolka-zhenskaya-mixed-women-goluboy-melanzh-01181236/" , "01181236 Футболка женская MIXED WOMEN голубой меланж, размер S")</f>
      </c>
      <c r="C16138" s="4" t="n">
        <v>830.00</v>
      </c>
      <c r="D16138" s="4"/>
    </row>
    <row collapsed="" customFormat="false" customHeight="1" hidden="" ht="14" outlineLevel="0" r="16139">
      <c r="A16139" s="3" t="inlineStr">
        <is>
          <t>16094</t>
        </is>
      </c>
      <c r="B16139" s="4" t="s">
        <f>=HYPERLINK("http://anyluxury.ru/shop/odezhda/futbolki-dlya-promo/futbolka-zhenskaya-mixed-women-goluboy-melanzh-01181236/" , "01181236 Футболка женская MIXED WOMEN голубой меланж, размер M")</f>
      </c>
      <c r="C16139" s="4" t="n">
        <v>830.00</v>
      </c>
      <c r="D16139" s="4"/>
    </row>
    <row collapsed="" customFormat="false" customHeight="1" hidden="" ht="14" outlineLevel="0" r="16140">
      <c r="A16140" s="3" t="inlineStr">
        <is>
          <t>16095</t>
        </is>
      </c>
      <c r="B16140" s="4" t="s">
        <f>=HYPERLINK("http://anyluxury.ru/shop/odezhda/futbolki-dlya-promo/futbolka-zhenskaya-mixed-women-goluboy-melanzh-01181236/" , "01181236 Футболка женская MIXED WOMEN голубой меланж, размер L")</f>
      </c>
      <c r="C16140" s="4" t="n">
        <v>830.00</v>
      </c>
      <c r="D16140" s="4"/>
    </row>
    <row collapsed="" customFormat="false" customHeight="1" hidden="" ht="14" outlineLevel="0" r="16141">
      <c r="A16141" s="3" t="inlineStr">
        <is>
          <t>16096</t>
        </is>
      </c>
      <c r="B16141" s="4" t="s">
        <f>=HYPERLINK("http://anyluxury.ru/shop/odezhda/futbolki-dlya-promo/futbolka-zhenskaya-mixed-women-goluboy-melanzh-01181236/" , "01181236 Футболка женская MIXED WOMEN голубой меланж, размер XL")</f>
      </c>
      <c r="C16141" s="4" t="n">
        <v>830.00</v>
      </c>
      <c r="D16141" s="4"/>
    </row>
    <row collapsed="" customFormat="false" customHeight="1" hidden="" ht="14" outlineLevel="0" r="16142">
      <c r="A16142" s="3" t="inlineStr">
        <is>
          <t>16097</t>
        </is>
      </c>
      <c r="B16142" s="4" t="s">
        <f>=HYPERLINK("http://anyluxury.ru/shop/odezhda/futbolki-dlya-promo/futbolka-zhenskaya-mixed-women-goluboy-melanzh-01181236/" , "01181236 Футболка женская MIXED WOMEN голубой меланж, размер XXL")</f>
      </c>
      <c r="C16142" s="4" t="n">
        <v>830.00</v>
      </c>
      <c r="D16142" s="4"/>
    </row>
    <row collapsed="" customFormat="false" customHeight="1" hidden="" ht="14" outlineLevel="0" r="16143">
      <c r="A16143" s="3" t="inlineStr">
        <is>
          <t>16098</t>
        </is>
      </c>
      <c r="B16143" s="4" t="s">
        <f>=HYPERLINK("http://anyluxury.ru/shop/odezhda/futbolki-dlya-promo/futbolka-zhenskaya-mixed-women-temnosiniy-melanzh-01181322/" , "01181322 Футболка женская MIXED WOMEN темно-синий меланж, размер S")</f>
      </c>
      <c r="C16143" s="4" t="n">
        <v>830.00</v>
      </c>
      <c r="D16143" s="4"/>
    </row>
    <row collapsed="" customFormat="false" customHeight="1" hidden="" ht="14" outlineLevel="0" r="16144">
      <c r="A16144" s="3" t="inlineStr">
        <is>
          <t>16099</t>
        </is>
      </c>
      <c r="B16144" s="4" t="s">
        <f>=HYPERLINK("http://anyluxury.ru/shop/odezhda/futbolki-dlya-promo/futbolka-zhenskaya-mixed-women-temnosiniy-melanzh-01181322/" , "01181322 Футболка женская MIXED WOMEN темно-синий меланж, размер M")</f>
      </c>
      <c r="C16144" s="4" t="n">
        <v>830.00</v>
      </c>
      <c r="D16144" s="4"/>
    </row>
    <row collapsed="" customFormat="false" customHeight="1" hidden="" ht="14" outlineLevel="0" r="16145">
      <c r="A16145" s="3" t="inlineStr">
        <is>
          <t>16100</t>
        </is>
      </c>
      <c r="B16145" s="4" t="s">
        <f>=HYPERLINK("http://anyluxury.ru/shop/odezhda/futbolki-dlya-promo/futbolka-zhenskaya-mixed-women-temnosiniy-melanzh-01181322/" , "01181322 Футболка женская MIXED WOMEN темно-синий меланж, размер L")</f>
      </c>
      <c r="C16145" s="4" t="n">
        <v>830.00</v>
      </c>
      <c r="D16145" s="4"/>
    </row>
    <row collapsed="" customFormat="false" customHeight="1" hidden="" ht="14" outlineLevel="0" r="16146">
      <c r="A16146" s="3" t="inlineStr">
        <is>
          <t>16101</t>
        </is>
      </c>
      <c r="B16146" s="4" t="s">
        <f>=HYPERLINK("http://anyluxury.ru/shop/odezhda/futbolki-dlya-promo/futbolka-zhenskaya-mixed-women-temnosiniy-melanzh-01181322/" , "01181322 Футболка женская MIXED WOMEN темно-синий меланж, размер XL")</f>
      </c>
      <c r="C16146" s="4" t="n">
        <v>830.00</v>
      </c>
      <c r="D16146" s="4"/>
    </row>
    <row collapsed="" customFormat="false" customHeight="1" hidden="" ht="14" outlineLevel="0" r="16147">
      <c r="A16147" s="3" t="inlineStr">
        <is>
          <t>16102</t>
        </is>
      </c>
      <c r="B16147" s="4" t="s">
        <f>=HYPERLINK("http://anyluxury.ru/shop/odezhda/futbolki-dlya-promo/futbolka-zhenskaya-mixed-women-temnosiniy-melanzh-01181322/" , "01181322 Футболка женская MIXED WOMEN темно-синий меланж, размер XXL")</f>
      </c>
      <c r="C16147" s="4" t="n">
        <v>830.00</v>
      </c>
      <c r="D16147" s="4"/>
    </row>
    <row collapsed="" customFormat="false" customHeight="1" hidden="" ht="14" outlineLevel="0" r="16148">
      <c r="A16148" s="3" t="inlineStr">
        <is>
          <t>16103</t>
        </is>
      </c>
      <c r="B16148" s="4" t="s">
        <f>=HYPERLINK("http://anyluxury.ru/shop/odezhda/futbolki-dlya-promo/futbolka-zhenskaya-moody-160-chernaya-11865309/" , "11865309 Футболка женская MOODY 160 черная, размер S")</f>
      </c>
      <c r="C16148" s="4" t="n">
        <v>599.00</v>
      </c>
      <c r="D16148" s="4"/>
    </row>
    <row collapsed="" customFormat="false" customHeight="1" hidden="" ht="14" outlineLevel="0" r="16149">
      <c r="A16149" s="3" t="inlineStr">
        <is>
          <t>16104</t>
        </is>
      </c>
      <c r="B16149" s="4" t="s">
        <f>=HYPERLINK("http://anyluxury.ru/shop/odezhda/futbolki-dlya-promo/futbolka-zhenskaya-moody-160-chernaya-11865309/" , "11865309 Футболка женская MOODY 160 черная, размер M")</f>
      </c>
      <c r="C16149" s="4" t="n">
        <v>599.00</v>
      </c>
      <c r="D16149" s="4"/>
    </row>
    <row collapsed="" customFormat="false" customHeight="1" hidden="" ht="14" outlineLevel="0" r="16150">
      <c r="A16150" s="3" t="inlineStr">
        <is>
          <t>16105</t>
        </is>
      </c>
      <c r="B16150" s="4" t="s">
        <f>=HYPERLINK("http://anyluxury.ru/shop/odezhda/futbolki-dlya-promo/futbolka-zhenskaya-moody-160-chernaya-11865309/" , "11865309 Футболка женская MOODY 160 черная, размер L")</f>
      </c>
      <c r="C16150" s="4" t="n">
        <v>599.00</v>
      </c>
      <c r="D16150" s="4"/>
    </row>
    <row collapsed="" customFormat="false" customHeight="1" hidden="" ht="14" outlineLevel="0" r="16151">
      <c r="A16151" s="3" t="inlineStr">
        <is>
          <t>16106</t>
        </is>
      </c>
      <c r="B16151" s="4" t="s">
        <f>=HYPERLINK("http://anyluxury.ru/shop/odezhda/futbolki-dlya-promo/futbolka-zhenskaya-moody-160-chernaya-11865309/" , "11865309 Футболка женская MOODY 160 черная, размер XL")</f>
      </c>
      <c r="C16151" s="4" t="n">
        <v>599.00</v>
      </c>
      <c r="D16151" s="4"/>
    </row>
    <row collapsed="" customFormat="false" customHeight="1" hidden="" ht="14" outlineLevel="0" r="16152">
      <c r="A16152" s="3" t="inlineStr">
        <is>
          <t>16107</t>
        </is>
      </c>
      <c r="B16152" s="4" t="s">
        <f>=HYPERLINK("http://anyluxury.ru/shop/odezhda/futbolki-dlya-promo/futbolka-zhenskaya-moody-160-chernaya-11865309/" , "11865309 Футболка женская MOODY 160 черная, размер XXL")</f>
      </c>
      <c r="C16152" s="4" t="n">
        <v>599.00</v>
      </c>
      <c r="D16152" s="4"/>
    </row>
    <row collapsed="" customFormat="false" customHeight="1" hidden="" ht="14" outlineLevel="0" r="16153">
      <c r="A16153" s="3" t="inlineStr">
        <is>
          <t>16108</t>
        </is>
      </c>
      <c r="B16153" s="4" t="s">
        <f>=HYPERLINK("http://anyluxury.ru/shop/odezhda/futbolki-dlya-promo/futbolka-zhenskaya-moody-160-yarkorozovaya-11865140/" , "11865140 Футболка женская MOODY 160 ярко-розовая, размер S")</f>
      </c>
      <c r="C16153" s="4" t="n">
        <v>599.00</v>
      </c>
      <c r="D16153" s="4"/>
    </row>
    <row collapsed="" customFormat="false" customHeight="1" hidden="" ht="14" outlineLevel="0" r="16154">
      <c r="A16154" s="3" t="inlineStr">
        <is>
          <t>16109</t>
        </is>
      </c>
      <c r="B16154" s="4" t="s">
        <f>=HYPERLINK("http://anyluxury.ru/shop/odezhda/futbolki-dlya-promo/futbolka-zhenskaya-moody-160-yarkorozovaya-11865140/" , "11865140 Футболка женская MOODY 160 ярко-розовая, размер M")</f>
      </c>
      <c r="C16154" s="4" t="n">
        <v>599.00</v>
      </c>
      <c r="D16154" s="4"/>
    </row>
    <row collapsed="" customFormat="false" customHeight="1" hidden="" ht="14" outlineLevel="0" r="16155">
      <c r="A16155" s="3" t="inlineStr">
        <is>
          <t>16110</t>
        </is>
      </c>
      <c r="B16155" s="4" t="s">
        <f>=HYPERLINK("http://anyluxury.ru/shop/odezhda/futbolki-dlya-promo/futbolka-zhenskaya-moody-160-yarkorozovaya-11865140/" , "11865140 Футболка женская MOODY 160 ярко-розовая, размер L")</f>
      </c>
      <c r="C16155" s="4" t="n">
        <v>599.00</v>
      </c>
      <c r="D16155" s="4"/>
    </row>
    <row collapsed="" customFormat="false" customHeight="1" hidden="" ht="14" outlineLevel="0" r="16156">
      <c r="A16156" s="3" t="inlineStr">
        <is>
          <t>16111</t>
        </is>
      </c>
      <c r="B16156" s="4" t="s">
        <f>=HYPERLINK("http://anyluxury.ru/shop/odezhda/futbolki-dlya-promo/futbolka-zhenskaya-moody-160-yarkorozovaya-11865140/" , "11865140 Футболка женская MOODY 160 ярко-розовая, размер XL")</f>
      </c>
      <c r="C16156" s="4" t="n">
        <v>599.00</v>
      </c>
      <c r="D16156" s="4"/>
    </row>
    <row collapsed="" customFormat="false" customHeight="1" hidden="" ht="14" outlineLevel="0" r="16157">
      <c r="A16157" s="3" t="inlineStr">
        <is>
          <t>16112</t>
        </is>
      </c>
      <c r="B16157" s="4" t="s">
        <f>=HYPERLINK("http://anyluxury.ru/shop/odezhda/futbolki-dlya-promo/futbolka-zhenskaya-moody-160-yarkorozovaya-11865140/" , "11865140 Футболка женская MOODY 160 ярко-розовая, размер XXL")</f>
      </c>
      <c r="C16157" s="4" t="n">
        <v>599.00</v>
      </c>
      <c r="D16157" s="4"/>
    </row>
    <row collapsed="" customFormat="false" customHeight="1" hidden="" ht="14" outlineLevel="0" r="16158">
      <c r="A16158" s="3" t="inlineStr">
        <is>
          <t>16113</t>
        </is>
      </c>
      <c r="B16158" s="4" t="s">
        <f>=HYPERLINK("http://anyluxury.ru/shop/odezhda/futbolki-dlya-promo/futbolka-zhenskaya-moody-160-krasnaya-11865145/" , "11865145 Футболка женская MOODY 160 красная, размер S")</f>
      </c>
      <c r="C16158" s="4" t="n">
        <v>599.00</v>
      </c>
      <c r="D16158" s="4"/>
    </row>
    <row collapsed="" customFormat="false" customHeight="1" hidden="" ht="14" outlineLevel="0" r="16159">
      <c r="A16159" s="3" t="inlineStr">
        <is>
          <t>16114</t>
        </is>
      </c>
      <c r="B16159" s="4" t="s">
        <f>=HYPERLINK("http://anyluxury.ru/shop/odezhda/futbolki-dlya-promo/futbolka-zhenskaya-moody-160-krasnaya-11865145/" , "11865145 Футболка женская MOODY 160 красная, размер M")</f>
      </c>
      <c r="C16159" s="4" t="n">
        <v>599.00</v>
      </c>
      <c r="D16159" s="4"/>
    </row>
    <row collapsed="" customFormat="false" customHeight="1" hidden="" ht="14" outlineLevel="0" r="16160">
      <c r="A16160" s="3" t="inlineStr">
        <is>
          <t>16115</t>
        </is>
      </c>
      <c r="B16160" s="4" t="s">
        <f>=HYPERLINK("http://anyluxury.ru/shop/odezhda/futbolki-dlya-promo/futbolka-zhenskaya-moody-160-krasnaya-11865145/" , "11865145 Футболка женская MOODY 160 красная, размер L")</f>
      </c>
      <c r="C16160" s="4" t="n">
        <v>599.00</v>
      </c>
      <c r="D16160" s="4"/>
    </row>
    <row collapsed="" customFormat="false" customHeight="1" hidden="" ht="14" outlineLevel="0" r="16161">
      <c r="A16161" s="3" t="inlineStr">
        <is>
          <t>16116</t>
        </is>
      </c>
      <c r="B16161" s="4" t="s">
        <f>=HYPERLINK("http://anyluxury.ru/shop/odezhda/futbolki-dlya-promo/futbolka-zhenskaya-moody-160-krasnaya-11865145/" , "11865145 Футболка женская MOODY 160 красная, размер XL")</f>
      </c>
      <c r="C16161" s="4" t="n">
        <v>599.00</v>
      </c>
      <c r="D16161" s="4"/>
    </row>
    <row collapsed="" customFormat="false" customHeight="1" hidden="" ht="14" outlineLevel="0" r="16162">
      <c r="A16162" s="3" t="inlineStr">
        <is>
          <t>16117</t>
        </is>
      </c>
      <c r="B16162" s="4" t="s">
        <f>=HYPERLINK("http://anyluxury.ru/shop/odezhda/futbolki-dlya-promo/futbolka-zhenskaya-moody-160-krasnaya-11865145/" , "11865145 Футболка женская MOODY 160 красная, размер XXL")</f>
      </c>
      <c r="C16162" s="4" t="n">
        <v>599.00</v>
      </c>
      <c r="D16162" s="4"/>
    </row>
    <row collapsed="" customFormat="false" customHeight="1" hidden="" ht="14" outlineLevel="0" r="16163">
      <c r="A16163" s="3" t="inlineStr">
        <is>
          <t>16118</t>
        </is>
      </c>
      <c r="B16163" s="4" t="s">
        <f>=HYPERLINK("http://anyluxury.ru/shop/odezhda/futbolki-dlya-promo/futbolka-imperial-190-vishnevokrasnaya-137452/" , "1374.52 Футболка IMPERIAL 190 вишнево-красная, размер S")</f>
      </c>
      <c r="C16163" s="4" t="n">
        <v>697.00</v>
      </c>
      <c r="D16163" s="4"/>
    </row>
    <row collapsed="" customFormat="false" customHeight="1" hidden="" ht="14" outlineLevel="0" r="16164">
      <c r="A16164" s="3" t="inlineStr">
        <is>
          <t>16119</t>
        </is>
      </c>
      <c r="B16164" s="4" t="s">
        <f>=HYPERLINK("http://anyluxury.ru/shop/odezhda/futbolki-dlya-promo/futbolka-imperial-190-vishnevokrasnaya-137452/" , "1374.52 Футболка IMPERIAL 190 вишнево-красная, размер M")</f>
      </c>
      <c r="C16164" s="4" t="n">
        <v>697.00</v>
      </c>
      <c r="D16164" s="4"/>
    </row>
    <row collapsed="" customFormat="false" customHeight="1" hidden="" ht="14" outlineLevel="0" r="16165">
      <c r="A16165" s="3" t="inlineStr">
        <is>
          <t>16120</t>
        </is>
      </c>
      <c r="B16165" s="4" t="s">
        <f>=HYPERLINK("http://anyluxury.ru/shop/odezhda/futbolki-dlya-promo/futbolka-imperial-190-vishnevokrasnaya-137452/" , "1374.52 Футболка IMPERIAL 190 вишнево-красная, размер L")</f>
      </c>
      <c r="C16165" s="4" t="n">
        <v>697.00</v>
      </c>
      <c r="D16165" s="4"/>
    </row>
    <row collapsed="" customFormat="false" customHeight="1" hidden="" ht="14" outlineLevel="0" r="16166">
      <c r="A16166" s="3" t="inlineStr">
        <is>
          <t>16121</t>
        </is>
      </c>
      <c r="B16166" s="4" t="s">
        <f>=HYPERLINK("http://anyluxury.ru/shop/odezhda/futbolki-dlya-promo/futbolka-imperial-190-vishnevokrasnaya-137452/" , "1374.52 Футболка IMPERIAL 190 вишнево-красная, размер XL")</f>
      </c>
      <c r="C16166" s="4" t="n">
        <v>697.00</v>
      </c>
      <c r="D16166" s="4"/>
    </row>
    <row collapsed="" customFormat="false" customHeight="1" hidden="" ht="14" outlineLevel="0" r="16167">
      <c r="A16167" s="3" t="inlineStr">
        <is>
          <t>16122</t>
        </is>
      </c>
      <c r="B16167" s="4" t="s">
        <f>=HYPERLINK("http://anyluxury.ru/shop/odezhda/futbolki-dlya-promo/futbolka-imperial-190-vishnevokrasnaya-137452/" , "1374.52 Футболка IMPERIAL 190 вишнево-красная, размер XXL")</f>
      </c>
      <c r="C16167" s="4" t="n">
        <v>697.00</v>
      </c>
      <c r="D16167" s="4"/>
    </row>
    <row collapsed="" customFormat="false" customHeight="1" hidden="" ht="14" outlineLevel="0" r="16168">
      <c r="A16168" s="3" t="inlineStr">
        <is>
          <t>16123</t>
        </is>
      </c>
      <c r="B16168" s="4" t="s">
        <f>=HYPERLINK("http://anyluxury.ru/shop/odezhda/futbolki-dlya-promo/futbolka-imperial-190-rozovaya-137456/" , "1374.56 Футболка IMPERIAL 190 розовая, размер S")</f>
      </c>
      <c r="C16168" s="4" t="n">
        <v>697.00</v>
      </c>
      <c r="D16168" s="4"/>
    </row>
    <row collapsed="" customFormat="false" customHeight="1" hidden="" ht="14" outlineLevel="0" r="16169">
      <c r="A16169" s="3" t="inlineStr">
        <is>
          <t>16124</t>
        </is>
      </c>
      <c r="B16169" s="4" t="s">
        <f>=HYPERLINK("http://anyluxury.ru/shop/odezhda/futbolki-dlya-promo/futbolka-imperial-190-rozovaya-137456/" , "1374.56 Футболка IMPERIAL 190 розовая, размер M")</f>
      </c>
      <c r="C16169" s="4" t="n">
        <v>697.00</v>
      </c>
      <c r="D16169" s="4"/>
    </row>
    <row collapsed="" customFormat="false" customHeight="1" hidden="" ht="14" outlineLevel="0" r="16170">
      <c r="A16170" s="3" t="inlineStr">
        <is>
          <t>16125</t>
        </is>
      </c>
      <c r="B16170" s="4" t="s">
        <f>=HYPERLINK("http://anyluxury.ru/shop/odezhda/futbolki-dlya-promo/futbolka-imperial-190-rozovaya-137456/" , "1374.56 Футболка IMPERIAL 190 розовая, размер L")</f>
      </c>
      <c r="C16170" s="4" t="n">
        <v>697.00</v>
      </c>
      <c r="D16170" s="4"/>
    </row>
    <row collapsed="" customFormat="false" customHeight="1" hidden="" ht="14" outlineLevel="0" r="16171">
      <c r="A16171" s="3" t="inlineStr">
        <is>
          <t>16126</t>
        </is>
      </c>
      <c r="B16171" s="4" t="s">
        <f>=HYPERLINK("http://anyluxury.ru/shop/odezhda/futbolki-dlya-promo/futbolka-imperial-190-rozovaya-137456/" , "1374.56 Футболка IMPERIAL 190 розовая, размер XL")</f>
      </c>
      <c r="C16171" s="4" t="n">
        <v>697.00</v>
      </c>
      <c r="D16171" s="4"/>
    </row>
    <row collapsed="" customFormat="false" customHeight="1" hidden="" ht="14" outlineLevel="0" r="16172">
      <c r="A16172" s="3" t="inlineStr">
        <is>
          <t>16127</t>
        </is>
      </c>
      <c r="B16172" s="4" t="s">
        <f>=HYPERLINK("http://anyluxury.ru/shop/odezhda/futbolki-dlya-promo/futbolka-imperial-190-rozovaya-137456/" , "1374.56 Футболка IMPERIAL 190 розовая, размер XXL")</f>
      </c>
      <c r="C16172" s="4" t="n">
        <v>697.00</v>
      </c>
      <c r="D16172" s="4"/>
    </row>
    <row collapsed="" customFormat="false" customHeight="1" hidden="" ht="14" outlineLevel="0" r="16173">
      <c r="A16173" s="3" t="inlineStr">
        <is>
          <t>16128</t>
        </is>
      </c>
      <c r="B16173" s="4" t="s">
        <f>=HYPERLINK("http://anyluxury.ru/shop/odezhda/futbolki-dlya-promo/futbolka-imperial-190-yarkorozovaya-fuksiya-137457/" , "1374.57 Футболка IMPERIAL 190 ярко-розовая (фуксия), размер S")</f>
      </c>
      <c r="C16173" s="4" t="n">
        <v>697.00</v>
      </c>
      <c r="D16173" s="4"/>
    </row>
    <row collapsed="" customFormat="false" customHeight="1" hidden="" ht="14" outlineLevel="0" r="16174">
      <c r="A16174" s="3" t="inlineStr">
        <is>
          <t>16129</t>
        </is>
      </c>
      <c r="B16174" s="4" t="s">
        <f>=HYPERLINK("http://anyluxury.ru/shop/odezhda/futbolki-dlya-promo/futbolka-imperial-190-yarkorozovaya-fuksiya-137457/" , "1374.57 Футболка IMPERIAL 190 ярко-розовая (фуксия), размер M")</f>
      </c>
      <c r="C16174" s="4" t="n">
        <v>697.00</v>
      </c>
      <c r="D16174" s="4"/>
    </row>
    <row collapsed="" customFormat="false" customHeight="1" hidden="" ht="14" outlineLevel="0" r="16175">
      <c r="A16175" s="3" t="inlineStr">
        <is>
          <t>16130</t>
        </is>
      </c>
      <c r="B16175" s="4" t="s">
        <f>=HYPERLINK("http://anyluxury.ru/shop/odezhda/futbolki-dlya-promo/futbolka-imperial-190-yarkorozovaya-fuksiya-137457/" , "1374.57 Футболка IMPERIAL 190 ярко-розовая (фуксия), размер L")</f>
      </c>
      <c r="C16175" s="4" t="n">
        <v>697.00</v>
      </c>
      <c r="D16175" s="4"/>
    </row>
    <row collapsed="" customFormat="false" customHeight="1" hidden="" ht="14" outlineLevel="0" r="16176">
      <c r="A16176" s="3" t="inlineStr">
        <is>
          <t>16131</t>
        </is>
      </c>
      <c r="B16176" s="4" t="s">
        <f>=HYPERLINK("http://anyluxury.ru/shop/odezhda/futbolki-dlya-promo/futbolka-imperial-190-yarkorozovaya-fuksiya-137457/" , "1374.57 Футболка IMPERIAL 190 ярко-розовая (фуксия), размер XL")</f>
      </c>
      <c r="C16176" s="4" t="n">
        <v>697.00</v>
      </c>
      <c r="D16176" s="4"/>
    </row>
    <row collapsed="" customFormat="false" customHeight="1" hidden="" ht="14" outlineLevel="0" r="16177">
      <c r="A16177" s="3" t="inlineStr">
        <is>
          <t>16132</t>
        </is>
      </c>
      <c r="B16177" s="4" t="s">
        <f>=HYPERLINK("http://anyluxury.ru/shop/odezhda/futbolki-dlya-promo/futbolka-imperial-190-yarkorozovaya-fuksiya-137457/" , "1374.57 Футболка IMPERIAL 190 ярко-розовая (фуксия), размер XXL")</f>
      </c>
      <c r="C16177" s="4" t="n">
        <v>697.00</v>
      </c>
      <c r="D16177" s="4"/>
    </row>
    <row collapsed="" customFormat="false" customHeight="1" hidden="" ht="14" outlineLevel="0" r="16178">
      <c r="A16178" s="3" t="inlineStr">
        <is>
          <t>16133</t>
        </is>
      </c>
      <c r="B16178" s="4" t="s">
        <f>=HYPERLINK("http://anyluxury.ru/shop/odezhda/futbolki-dlya-promo/futbolka-imperial-190-shokoladnokorichnevaya-137459/" , "1374.59 Футболка IMPERIAL 190 шоколадно-коричневая, размер XS")</f>
      </c>
      <c r="C16178" s="4" t="n">
        <v>697.00</v>
      </c>
      <c r="D16178" s="4"/>
    </row>
    <row collapsed="" customFormat="false" customHeight="1" hidden="" ht="14" outlineLevel="0" r="16179">
      <c r="A16179" s="3" t="inlineStr">
        <is>
          <t>16134</t>
        </is>
      </c>
      <c r="B16179" s="4" t="s">
        <f>=HYPERLINK("http://anyluxury.ru/shop/odezhda/futbolki-dlya-promo/futbolka-imperial-190-shokoladnokorichnevaya-137459/" , "1374.59 Футболка IMPERIAL 190 шоколадно-коричневая, размер S")</f>
      </c>
      <c r="C16179" s="4" t="n">
        <v>697.00</v>
      </c>
      <c r="D16179" s="4"/>
    </row>
    <row collapsed="" customFormat="false" customHeight="1" hidden="" ht="14" outlineLevel="0" r="16180">
      <c r="A16180" s="3" t="inlineStr">
        <is>
          <t>16135</t>
        </is>
      </c>
      <c r="B16180" s="4" t="s">
        <f>=HYPERLINK("http://anyluxury.ru/shop/odezhda/futbolki-dlya-promo/futbolka-imperial-190-shokoladnokorichnevaya-137459/" , "1374.59 Футболка IMPERIAL 190 шоколадно-коричневая, размер M")</f>
      </c>
      <c r="C16180" s="4" t="n">
        <v>697.00</v>
      </c>
      <c r="D16180" s="4"/>
    </row>
    <row collapsed="" customFormat="false" customHeight="1" hidden="" ht="14" outlineLevel="0" r="16181">
      <c r="A16181" s="3" t="inlineStr">
        <is>
          <t>16136</t>
        </is>
      </c>
      <c r="B16181" s="4" t="s">
        <f>=HYPERLINK("http://anyluxury.ru/shop/odezhda/futbolki-dlya-promo/futbolka-imperial-190-shokoladnokorichnevaya-137459/" , "1374.59 Футболка IMPERIAL 190 шоколадно-коричневая, размер L")</f>
      </c>
      <c r="C16181" s="4" t="n">
        <v>697.00</v>
      </c>
      <c r="D16181" s="4"/>
    </row>
    <row collapsed="" customFormat="false" customHeight="1" hidden="" ht="14" outlineLevel="0" r="16182">
      <c r="A16182" s="3" t="inlineStr">
        <is>
          <t>16137</t>
        </is>
      </c>
      <c r="B16182" s="4" t="s">
        <f>=HYPERLINK("http://anyluxury.ru/shop/odezhda/futbolki-dlya-promo/futbolka-imperial-190-shokoladnokorichnevaya-137459/" , "1374.59 Футболка IMPERIAL 190 шоколадно-коричневая, размер XL")</f>
      </c>
      <c r="C16182" s="4" t="n">
        <v>697.00</v>
      </c>
      <c r="D16182" s="4"/>
    </row>
    <row collapsed="" customFormat="false" customHeight="1" hidden="" ht="14" outlineLevel="0" r="16183">
      <c r="A16183" s="3" t="inlineStr">
        <is>
          <t>16138</t>
        </is>
      </c>
      <c r="B16183" s="4" t="s">
        <f>=HYPERLINK("http://anyluxury.ru/shop/odezhda/futbolki-dlya-promo/futbolka-imperial-190-shokoladnokorichnevaya-137459/" , "1374.59 Футболка IMPERIAL 190 шоколадно-коричневая, размер XXL")</f>
      </c>
      <c r="C16183" s="4" t="n">
        <v>697.00</v>
      </c>
      <c r="D16183" s="4"/>
    </row>
    <row collapsed="" customFormat="false" customHeight="1" hidden="" ht="14" outlineLevel="0" r="16184">
      <c r="A16184" s="3" t="inlineStr">
        <is>
          <t>16139</t>
        </is>
      </c>
      <c r="B16184" s="4" t="s">
        <f>=HYPERLINK("http://anyluxury.ru/shop/odezhda/futbolki-dlya-promo/futbolka-imperial-190-korichnevaya-137493/" , "1374.93 Футболка IMPERIAL 190 коричневая, размер S")</f>
      </c>
      <c r="C16184" s="4" t="n">
        <v>697.00</v>
      </c>
      <c r="D16184" s="4"/>
    </row>
    <row collapsed="" customFormat="false" customHeight="1" hidden="" ht="14" outlineLevel="0" r="16185">
      <c r="A16185" s="3" t="inlineStr">
        <is>
          <t>16140</t>
        </is>
      </c>
      <c r="B16185" s="4" t="s">
        <f>=HYPERLINK("http://anyluxury.ru/shop/odezhda/futbolki-dlya-promo/futbolka-imperial-190-korichnevaya-137493/" , "1374.93 Футболка IMPERIAL 190 коричневая, размер M")</f>
      </c>
      <c r="C16185" s="4" t="n">
        <v>697.00</v>
      </c>
      <c r="D16185" s="4"/>
    </row>
    <row collapsed="" customFormat="false" customHeight="1" hidden="" ht="14" outlineLevel="0" r="16186">
      <c r="A16186" s="3" t="inlineStr">
        <is>
          <t>16141</t>
        </is>
      </c>
      <c r="B16186" s="4" t="s">
        <f>=HYPERLINK("http://anyluxury.ru/shop/odezhda/futbolki-dlya-promo/futbolka-imperial-190-korichnevaya-137493/" , "1374.93 Футболка IMPERIAL 190 коричневая, размер L")</f>
      </c>
      <c r="C16186" s="4" t="n">
        <v>697.00</v>
      </c>
      <c r="D16186" s="4"/>
    </row>
    <row collapsed="" customFormat="false" customHeight="1" hidden="" ht="14" outlineLevel="0" r="16187">
      <c r="A16187" s="3" t="inlineStr">
        <is>
          <t>16142</t>
        </is>
      </c>
      <c r="B16187" s="4" t="s">
        <f>=HYPERLINK("http://anyluxury.ru/shop/odezhda/futbolki-dlya-promo/futbolka-imperial-190-korichnevaya-137493/" , "1374.93 Футболка IMPERIAL 190 коричневая, размер XL")</f>
      </c>
      <c r="C16187" s="4" t="n">
        <v>697.00</v>
      </c>
      <c r="D16187" s="4"/>
    </row>
    <row collapsed="" customFormat="false" customHeight="1" hidden="" ht="14" outlineLevel="0" r="16188">
      <c r="A16188" s="3" t="inlineStr">
        <is>
          <t>16143</t>
        </is>
      </c>
      <c r="B16188" s="4" t="s">
        <f>=HYPERLINK("http://anyluxury.ru/shop/odezhda/futbolki-dlya-promo/futbolka-imperial-190-korichnevaya-137493/" , "1374.93 Футболка IMPERIAL 190 коричневая, размер XXL")</f>
      </c>
      <c r="C16188" s="4" t="n">
        <v>697.00</v>
      </c>
      <c r="D16188" s="4"/>
    </row>
    <row collapsed="" customFormat="false" customHeight="1" hidden="" ht="14" outlineLevel="0" r="16189">
      <c r="A16189" s="3" t="inlineStr">
        <is>
          <t>16144</t>
        </is>
      </c>
      <c r="B16189" s="4" t="s">
        <f>=HYPERLINK("http://anyluxury.ru/shop/odezhda/futbolki-dlya-promo/futbolka-zhenskaya-imperial-women-190-biryuzovaya-608342/" , "6083.42 Футболка женская Imperial women 190 бирюзовая, размер S")</f>
      </c>
      <c r="C16189" s="4" t="n">
        <v>697.00</v>
      </c>
      <c r="D16189" s="4"/>
    </row>
    <row collapsed="" customFormat="false" customHeight="1" hidden="" ht="14" outlineLevel="0" r="16190">
      <c r="A16190" s="3" t="inlineStr">
        <is>
          <t>16145</t>
        </is>
      </c>
      <c r="B16190" s="4" t="s">
        <f>=HYPERLINK("http://anyluxury.ru/shop/odezhda/futbolki-dlya-promo/futbolka-zhenskaya-imperial-women-190-biryuzovaya-608342/" , "6083.42 Футболка женская Imperial women 190 бирюзовая, размер M")</f>
      </c>
      <c r="C16190" s="4" t="n">
        <v>697.00</v>
      </c>
      <c r="D16190" s="4"/>
    </row>
    <row collapsed="" customFormat="false" customHeight="1" hidden="" ht="14" outlineLevel="0" r="16191">
      <c r="A16191" s="3" t="inlineStr">
        <is>
          <t>16146</t>
        </is>
      </c>
      <c r="B16191" s="4" t="s">
        <f>=HYPERLINK("http://anyluxury.ru/shop/odezhda/futbolki-dlya-promo/futbolka-zhenskaya-imperial-women-190-biryuzovaya-608342/" , "6083.42 Футболка женская Imperial women 190 бирюзовая, размер L")</f>
      </c>
      <c r="C16191" s="4" t="n">
        <v>697.00</v>
      </c>
      <c r="D16191" s="4"/>
    </row>
    <row collapsed="" customFormat="false" customHeight="1" hidden="" ht="14" outlineLevel="0" r="16192">
      <c r="A16192" s="3" t="inlineStr">
        <is>
          <t>16147</t>
        </is>
      </c>
      <c r="B16192" s="4" t="s">
        <f>=HYPERLINK("http://anyluxury.ru/shop/odezhda/futbolki-dlya-promo/futbolka-zhenskaya-imperial-women-190-biryuzovaya-608342/" , "6083.42 Футболка женская Imperial women 190 бирюзовая, размер XL")</f>
      </c>
      <c r="C16192" s="4" t="n">
        <v>697.00</v>
      </c>
      <c r="D16192" s="4"/>
    </row>
    <row collapsed="" customFormat="false" customHeight="1" hidden="" ht="14" outlineLevel="0" r="16193">
      <c r="A16193" s="3" t="inlineStr">
        <is>
          <t>16148</t>
        </is>
      </c>
      <c r="B16193" s="4" t="s">
        <f>=HYPERLINK("http://anyluxury.ru/shop/odezhda/futbolki-dlya-promo/futbolka-zhenskaya-imperial-women-190-biryuzovaya-608342/" , "6083.42 Футболка женская Imperial women 190 бирюзовая, размер XXL")</f>
      </c>
      <c r="C16193" s="4" t="n">
        <v>697.00</v>
      </c>
      <c r="D16193" s="4"/>
    </row>
    <row collapsed="" customFormat="false" customHeight="1" hidden="" ht="14" outlineLevel="0" r="16194">
      <c r="A16194" s="3" t="inlineStr">
        <is>
          <t>16149</t>
        </is>
      </c>
      <c r="B16194" s="4" t="s">
        <f>=HYPERLINK("http://anyluxury.ru/shop/odezhda/futbolki-dlya-promo/futbolka-zhenskaya-imperial-women-190-rozovaya-608356/" , "6083.56 Футболка женская Imperial women 190 розовая, размер S")</f>
      </c>
      <c r="C16194" s="4" t="n">
        <v>697.00</v>
      </c>
      <c r="D16194" s="4"/>
    </row>
    <row collapsed="" customFormat="false" customHeight="1" hidden="" ht="14" outlineLevel="0" r="16195">
      <c r="A16195" s="3" t="inlineStr">
        <is>
          <t>16150</t>
        </is>
      </c>
      <c r="B16195" s="4" t="s">
        <f>=HYPERLINK("http://anyluxury.ru/shop/odezhda/futbolki-dlya-promo/futbolka-zhenskaya-imperial-women-190-rozovaya-608356/" , "6083.56 Футболка женская Imperial women 190 розовая, размер M")</f>
      </c>
      <c r="C16195" s="4" t="n">
        <v>697.00</v>
      </c>
      <c r="D16195" s="4"/>
    </row>
    <row collapsed="" customFormat="false" customHeight="1" hidden="" ht="14" outlineLevel="0" r="16196">
      <c r="A16196" s="3" t="inlineStr">
        <is>
          <t>16151</t>
        </is>
      </c>
      <c r="B16196" s="4" t="s">
        <f>=HYPERLINK("http://anyluxury.ru/shop/odezhda/futbolki-dlya-promo/futbolka-zhenskaya-imperial-women-190-rozovaya-608356/" , "6083.56 Футболка женская Imperial women 190 розовая, размер L")</f>
      </c>
      <c r="C16196" s="4" t="n">
        <v>697.00</v>
      </c>
      <c r="D16196" s="4"/>
    </row>
    <row collapsed="" customFormat="false" customHeight="1" hidden="" ht="14" outlineLevel="0" r="16197">
      <c r="A16197" s="3" t="inlineStr">
        <is>
          <t>16152</t>
        </is>
      </c>
      <c r="B16197" s="4" t="s">
        <f>=HYPERLINK("http://anyluxury.ru/shop/odezhda/futbolki-dlya-promo/futbolka-zhenskaya-imperial-women-190-rozovaya-608356/" , "6083.56 Футболка женская Imperial women 190 розовая, размер XL")</f>
      </c>
      <c r="C16197" s="4" t="n">
        <v>697.00</v>
      </c>
      <c r="D16197" s="4"/>
    </row>
    <row collapsed="" customFormat="false" customHeight="1" hidden="" ht="14" outlineLevel="0" r="16198">
      <c r="A16198" s="3" t="inlineStr">
        <is>
          <t>16153</t>
        </is>
      </c>
      <c r="B16198" s="4" t="s">
        <f>=HYPERLINK("http://anyluxury.ru/shop/odezhda/futbolki-dlya-promo/futbolka-zhenskaya-imperial-women-190-rozovaya-608356/" , "6083.56 Футболка женская Imperial women 190 розовая, размер XXL")</f>
      </c>
      <c r="C16198" s="4" t="n">
        <v>697.00</v>
      </c>
      <c r="D16198" s="4"/>
    </row>
    <row collapsed="" customFormat="false" customHeight="1" hidden="" ht="14" outlineLevel="0" r="16199">
      <c r="A16199" s="3" t="inlineStr">
        <is>
          <t>16154</t>
        </is>
      </c>
      <c r="B16199" s="4" t="s">
        <f>=HYPERLINK("http://anyluxury.ru/shop/odezhda/futbolki-dlya-promo/futbolka-zhenskaya-imperial-women-190-limonnaya-608388/" , "6083.88 Футболка женская Imperial women 190, лимонная, размер S")</f>
      </c>
      <c r="C16199" s="4" t="n">
        <v>697.00</v>
      </c>
      <c r="D16199" s="4"/>
    </row>
    <row collapsed="" customFormat="false" customHeight="1" hidden="" ht="14" outlineLevel="0" r="16200">
      <c r="A16200" s="3" t="inlineStr">
        <is>
          <t>16155</t>
        </is>
      </c>
      <c r="B16200" s="4" t="s">
        <f>=HYPERLINK("http://anyluxury.ru/shop/odezhda/futbolki-dlya-promo/futbolka-zhenskaya-imperial-women-190-limonnaya-608388/" , "6083.88 Футболка женская Imperial women 190, лимонная, размер M")</f>
      </c>
      <c r="C16200" s="4" t="n">
        <v>697.00</v>
      </c>
      <c r="D16200" s="4"/>
    </row>
    <row collapsed="" customFormat="false" customHeight="1" hidden="" ht="14" outlineLevel="0" r="16201">
      <c r="A16201" s="3" t="inlineStr">
        <is>
          <t>16156</t>
        </is>
      </c>
      <c r="B16201" s="4" t="s">
        <f>=HYPERLINK("http://anyluxury.ru/shop/odezhda/futbolki-dlya-promo/futbolka-zhenskaya-imperial-women-190-limonnaya-608388/" , "6083.88 Футболка женская Imperial women 190, лимонная, размер L")</f>
      </c>
      <c r="C16201" s="4" t="n">
        <v>697.00</v>
      </c>
      <c r="D16201" s="4"/>
    </row>
    <row collapsed="" customFormat="false" customHeight="1" hidden="" ht="14" outlineLevel="0" r="16202">
      <c r="A16202" s="3" t="inlineStr">
        <is>
          <t>16157</t>
        </is>
      </c>
      <c r="B16202" s="4" t="s">
        <f>=HYPERLINK("http://anyluxury.ru/shop/odezhda/futbolki-dlya-promo/futbolka-zhenskaya-imperial-women-190-limonnaya-608388/" , "6083.88 Футболка женская Imperial women 190, лимонная, размер XL")</f>
      </c>
      <c r="C16202" s="4" t="n">
        <v>697.00</v>
      </c>
      <c r="D16202" s="4"/>
    </row>
    <row collapsed="" customFormat="false" customHeight="1" hidden="" ht="14" outlineLevel="0" r="16203">
      <c r="A16203" s="3" t="inlineStr">
        <is>
          <t>16158</t>
        </is>
      </c>
      <c r="B16203" s="4" t="s">
        <f>=HYPERLINK("http://anyluxury.ru/shop/odezhda/futbolki-dlya-promo/futbolka-zhenskaya-imperial-women-190-limonnaya-608388/" , "6083.88 Футболка женская Imperial women 190, лимонная, размер XXL")</f>
      </c>
      <c r="C16203" s="4" t="n">
        <v>697.00</v>
      </c>
      <c r="D16203" s="4"/>
    </row>
    <row collapsed="" customFormat="false" customHeight="1" hidden="" ht="14" outlineLevel="0" r="16204">
      <c r="A16204" s="3" t="inlineStr">
        <is>
          <t>16159</t>
        </is>
      </c>
      <c r="B16204" s="4" t="s">
        <f>=HYPERLINK("http://anyluxury.ru/shop/odezhda/futbolki-dlya-promo/mayka-zhenskaya-jane-150-yarkosinyaya-480444/" , "4804.44 Майка женская Jane 150 ярко-синяя, размер S")</f>
      </c>
      <c r="C16204" s="4" t="n">
        <v>890.00</v>
      </c>
      <c r="D16204" s="4"/>
    </row>
    <row collapsed="" customFormat="false" customHeight="1" hidden="" ht="14" outlineLevel="0" r="16205">
      <c r="A16205" s="3" t="inlineStr">
        <is>
          <t>16160</t>
        </is>
      </c>
      <c r="B16205" s="4" t="s">
        <f>=HYPERLINK("http://anyluxury.ru/shop/odezhda/futbolki-dlya-promo/mayka-zhenskaya-jane-150-yarkosinyaya-480444/" , "4804.44 Майка женская Jane 150 ярко-синяя, размер M")</f>
      </c>
      <c r="C16205" s="4" t="n">
        <v>890.00</v>
      </c>
      <c r="D16205" s="4"/>
    </row>
    <row collapsed="" customFormat="false" customHeight="1" hidden="" ht="14" outlineLevel="0" r="16206">
      <c r="A16206" s="3" t="inlineStr">
        <is>
          <t>16161</t>
        </is>
      </c>
      <c r="B16206" s="4" t="s">
        <f>=HYPERLINK("http://anyluxury.ru/shop/odezhda/futbolki-dlya-promo/mayka-zhenskaya-jane-150-yarkosinyaya-480444/" , "4804.44 Майка женская Jane 150 ярко-синяя, размер L")</f>
      </c>
      <c r="C16206" s="4" t="n">
        <v>890.00</v>
      </c>
      <c r="D16206" s="4"/>
    </row>
    <row collapsed="" customFormat="false" customHeight="1" hidden="" ht="14" outlineLevel="0" r="16207">
      <c r="A16207" s="3" t="inlineStr">
        <is>
          <t>16162</t>
        </is>
      </c>
      <c r="B16207" s="4" t="s">
        <f>=HYPERLINK("http://anyluxury.ru/shop/odezhda/futbolki-dlya-promo/mayka-zhenskaya-jane-150-yarkosinyaya-480444/" , "4804.44 Майка женская Jane 150 ярко-синяя, размер XL")</f>
      </c>
      <c r="C16207" s="4" t="n">
        <v>890.00</v>
      </c>
      <c r="D16207" s="4"/>
    </row>
    <row collapsed="" customFormat="false" customHeight="1" hidden="" ht="14" outlineLevel="0" r="16208">
      <c r="A16208" s="3" t="inlineStr">
        <is>
          <t>16163</t>
        </is>
      </c>
      <c r="B16208" s="4" t="s">
        <f>=HYPERLINK("http://anyluxury.ru/shop/odezhda/futbolki-dlya-promo/mayka-muzhskaya-justin-150-oranzhevaya-480520/" , "4805.20 Майка мужская JUSTIN 150 оранжевая, размер S")</f>
      </c>
      <c r="C16208" s="4" t="n">
        <v>658.00</v>
      </c>
      <c r="D16208" s="4"/>
    </row>
    <row collapsed="" customFormat="false" customHeight="1" hidden="" ht="14" outlineLevel="0" r="16209">
      <c r="A16209" s="3" t="inlineStr">
        <is>
          <t>16164</t>
        </is>
      </c>
      <c r="B16209" s="4" t="s">
        <f>=HYPERLINK("http://anyluxury.ru/shop/odezhda/futbolki-dlya-promo/mayka-muzhskaya-justin-150-oranzhevaya-480520/" , "4805.20 Майка мужская JUSTIN 150 оранжевая, размер M")</f>
      </c>
      <c r="C16209" s="4" t="n">
        <v>658.00</v>
      </c>
      <c r="D16209" s="4"/>
    </row>
    <row collapsed="" customFormat="false" customHeight="1" hidden="" ht="14" outlineLevel="0" r="16210">
      <c r="A16210" s="3" t="inlineStr">
        <is>
          <t>16165</t>
        </is>
      </c>
      <c r="B16210" s="4" t="s">
        <f>=HYPERLINK("http://anyluxury.ru/shop/odezhda/futbolki-dlya-promo/mayka-muzhskaya-justin-150-oranzhevaya-480520/" , "4805.20 Майка мужская JUSTIN 150 оранжевая, размер L")</f>
      </c>
      <c r="C16210" s="4" t="n">
        <v>658.00</v>
      </c>
      <c r="D16210" s="4"/>
    </row>
    <row collapsed="" customFormat="false" customHeight="1" hidden="" ht="14" outlineLevel="0" r="16211">
      <c r="A16211" s="3" t="inlineStr">
        <is>
          <t>16166</t>
        </is>
      </c>
      <c r="B16211" s="4" t="s">
        <f>=HYPERLINK("http://anyluxury.ru/shop/odezhda/futbolki-dlya-promo/mayka-muzhskaya-justin-150-oranzhevaya-480520/" , "4805.20 Майка мужская JUSTIN 150 оранжевая, размер XL")</f>
      </c>
      <c r="C16211" s="4" t="n">
        <v>658.00</v>
      </c>
      <c r="D16211" s="4"/>
    </row>
    <row collapsed="" customFormat="false" customHeight="1" hidden="" ht="14" outlineLevel="0" r="16212">
      <c r="A16212" s="3" t="inlineStr">
        <is>
          <t>16167</t>
        </is>
      </c>
      <c r="B16212" s="4" t="s">
        <f>=HYPERLINK("http://anyluxury.ru/shop/odezhda/futbolki-dlya-promo/mayka-muzhskaya-justin-150-oranzhevaya-480520/" , "4805.20 Майка мужская JUSTIN 150 оранжевая, размер XXL")</f>
      </c>
      <c r="C16212" s="4" t="n">
        <v>658.00</v>
      </c>
      <c r="D16212" s="4"/>
    </row>
    <row collapsed="" customFormat="false" customHeight="1" hidden="" ht="14" outlineLevel="0" r="16213">
      <c r="A16213" s="3" t="inlineStr">
        <is>
          <t>16168</t>
        </is>
      </c>
      <c r="B16213" s="4" t="s">
        <f>=HYPERLINK("http://anyluxury.ru/shop/odezhda/futbolki-dlya-promo/mayka-muzhskaya-justin-150-biryuzovaya-480542/" , "4805.42 Майка мужская JUSTIN 150 бирюзовая, размер S")</f>
      </c>
      <c r="C16213" s="4" t="n">
        <v>658.00</v>
      </c>
      <c r="D16213" s="4"/>
    </row>
    <row collapsed="" customFormat="false" customHeight="1" hidden="" ht="14" outlineLevel="0" r="16214">
      <c r="A16214" s="3" t="inlineStr">
        <is>
          <t>16169</t>
        </is>
      </c>
      <c r="B16214" s="4" t="s">
        <f>=HYPERLINK("http://anyluxury.ru/shop/odezhda/futbolki-dlya-promo/mayka-muzhskaya-justin-150-biryuzovaya-480542/" , "4805.42 Майка мужская JUSTIN 150 бирюзовая, размер M")</f>
      </c>
      <c r="C16214" s="4" t="n">
        <v>658.00</v>
      </c>
      <c r="D16214" s="4"/>
    </row>
    <row collapsed="" customFormat="false" customHeight="1" hidden="" ht="14" outlineLevel="0" r="16215">
      <c r="A16215" s="3" t="inlineStr">
        <is>
          <t>16170</t>
        </is>
      </c>
      <c r="B16215" s="4" t="s">
        <f>=HYPERLINK("http://anyluxury.ru/shop/odezhda/futbolki-dlya-promo/mayka-muzhskaya-justin-150-biryuzovaya-480542/" , "4805.42 Майка мужская JUSTIN 150 бирюзовая, размер L")</f>
      </c>
      <c r="C16215" s="4" t="n">
        <v>658.00</v>
      </c>
      <c r="D16215" s="4"/>
    </row>
    <row collapsed="" customFormat="false" customHeight="1" hidden="" ht="14" outlineLevel="0" r="16216">
      <c r="A16216" s="3" t="inlineStr">
        <is>
          <t>16171</t>
        </is>
      </c>
      <c r="B16216" s="4" t="s">
        <f>=HYPERLINK("http://anyluxury.ru/shop/odezhda/futbolki-dlya-promo/mayka-muzhskaya-justin-150-biryuzovaya-480542/" , "4805.42 Майка мужская JUSTIN 150 бирюзовая, размер XL")</f>
      </c>
      <c r="C16216" s="4" t="n">
        <v>658.00</v>
      </c>
      <c r="D16216" s="4"/>
    </row>
    <row collapsed="" customFormat="false" customHeight="1" hidden="" ht="14" outlineLevel="0" r="16217">
      <c r="A16217" s="3" t="inlineStr">
        <is>
          <t>16172</t>
        </is>
      </c>
      <c r="B16217" s="4" t="s">
        <f>=HYPERLINK("http://anyluxury.ru/shop/odezhda/futbolki-dlya-promo/mayka-muzhskaya-justin-150-biryuzovaya-480542/" , "4805.42 Майка мужская JUSTIN 150 бирюзовая, размер XXL")</f>
      </c>
      <c r="C16217" s="4" t="n">
        <v>658.00</v>
      </c>
      <c r="D16217" s="4"/>
    </row>
    <row collapsed="" customFormat="false" customHeight="1" hidden="" ht="14" outlineLevel="0" r="16218">
      <c r="A16218" s="3" t="inlineStr">
        <is>
          <t>16173</t>
        </is>
      </c>
      <c r="B16218" s="4" t="s">
        <f>=HYPERLINK("http://anyluxury.ru/shop/odezhda/futbolki-dlya-promo/mayka-muzhskaya-justin-150-yarkosinyaya-480544/" , "4805.44 Майка мужская JUSTIN 150 ярко-синяя, размер S")</f>
      </c>
      <c r="C16218" s="4" t="n">
        <v>658.00</v>
      </c>
      <c r="D16218" s="4"/>
    </row>
    <row collapsed="" customFormat="false" customHeight="1" hidden="" ht="14" outlineLevel="0" r="16219">
      <c r="A16219" s="3" t="inlineStr">
        <is>
          <t>16174</t>
        </is>
      </c>
      <c r="B16219" s="4" t="s">
        <f>=HYPERLINK("http://anyluxury.ru/shop/odezhda/futbolki-dlya-promo/mayka-muzhskaya-justin-150-yarkosinyaya-480544/" , "4805.44 Майка мужская JUSTIN 150 ярко-синяя, размер M")</f>
      </c>
      <c r="C16219" s="4" t="n">
        <v>658.00</v>
      </c>
      <c r="D16219" s="4"/>
    </row>
    <row collapsed="" customFormat="false" customHeight="1" hidden="" ht="14" outlineLevel="0" r="16220">
      <c r="A16220" s="3" t="inlineStr">
        <is>
          <t>16175</t>
        </is>
      </c>
      <c r="B16220" s="4" t="s">
        <f>=HYPERLINK("http://anyluxury.ru/shop/odezhda/futbolki-dlya-promo/mayka-muzhskaya-justin-150-yarkosinyaya-480544/" , "4805.44 Майка мужская JUSTIN 150 ярко-синяя, размер L")</f>
      </c>
      <c r="C16220" s="4" t="n">
        <v>658.00</v>
      </c>
      <c r="D16220" s="4"/>
    </row>
    <row collapsed="" customFormat="false" customHeight="1" hidden="" ht="14" outlineLevel="0" r="16221">
      <c r="A16221" s="3" t="inlineStr">
        <is>
          <t>16176</t>
        </is>
      </c>
      <c r="B16221" s="4" t="s">
        <f>=HYPERLINK("http://anyluxury.ru/shop/odezhda/futbolki-dlya-promo/mayka-muzhskaya-justin-150-yarkosinyaya-480544/" , "4805.44 Майка мужская JUSTIN 150 ярко-синяя, размер XL")</f>
      </c>
      <c r="C16221" s="4" t="n">
        <v>658.00</v>
      </c>
      <c r="D16221" s="4"/>
    </row>
    <row collapsed="" customFormat="false" customHeight="1" hidden="" ht="14" outlineLevel="0" r="16222">
      <c r="A16222" s="3" t="inlineStr">
        <is>
          <t>16177</t>
        </is>
      </c>
      <c r="B16222" s="4" t="s">
        <f>=HYPERLINK("http://anyluxury.ru/shop/odezhda/futbolki-dlya-promo/mayka-muzhskaya-justin-150-yarkosinyaya-480544/" , "4805.44 Майка мужская JUSTIN 150 ярко-синяя, размер XXL")</f>
      </c>
      <c r="C16222" s="4" t="n">
        <v>658.00</v>
      </c>
      <c r="D16222" s="4"/>
    </row>
    <row collapsed="" customFormat="false" customHeight="1" hidden="" ht="14" outlineLevel="0" r="16223">
      <c r="A16223" s="3" t="inlineStr">
        <is>
          <t>16178</t>
        </is>
      </c>
      <c r="B16223" s="4" t="s">
        <f>=HYPERLINK("http://anyluxury.ru/shop/odezhda/futbolki-dlya-promo/mayka-muzhskaya-justin-150-zheltaya-limonnaya-480589/" , "4805.89 Майка мужская JUSTIN 150 желтая (лимонная), размер S")</f>
      </c>
      <c r="C16223" s="4" t="n">
        <v>658.00</v>
      </c>
      <c r="D16223" s="4"/>
    </row>
    <row collapsed="" customFormat="false" customHeight="1" hidden="" ht="14" outlineLevel="0" r="16224">
      <c r="A16224" s="3" t="inlineStr">
        <is>
          <t>16179</t>
        </is>
      </c>
      <c r="B16224" s="4" t="s">
        <f>=HYPERLINK("http://anyluxury.ru/shop/odezhda/futbolki-dlya-promo/mayka-muzhskaya-justin-150-zheltaya-limonnaya-480589/" , "4805.89 Майка мужская JUSTIN 150 желтая (лимонная), размер M")</f>
      </c>
      <c r="C16224" s="4" t="n">
        <v>658.00</v>
      </c>
      <c r="D16224" s="4"/>
    </row>
    <row collapsed="" customFormat="false" customHeight="1" hidden="" ht="14" outlineLevel="0" r="16225">
      <c r="A16225" s="3" t="inlineStr">
        <is>
          <t>16180</t>
        </is>
      </c>
      <c r="B16225" s="4" t="s">
        <f>=HYPERLINK("http://anyluxury.ru/shop/odezhda/futbolki-dlya-promo/mayka-muzhskaya-justin-150-zheltaya-limonnaya-480589/" , "4805.89 Майка мужская JUSTIN 150 желтая (лимонная), размер L")</f>
      </c>
      <c r="C16225" s="4" t="n">
        <v>658.00</v>
      </c>
      <c r="D16225" s="4"/>
    </row>
    <row collapsed="" customFormat="false" customHeight="1" hidden="" ht="14" outlineLevel="0" r="16226">
      <c r="A16226" s="3" t="inlineStr">
        <is>
          <t>16181</t>
        </is>
      </c>
      <c r="B16226" s="4" t="s">
        <f>=HYPERLINK("http://anyluxury.ru/shop/odezhda/futbolki-dlya-promo/mayka-muzhskaya-justin-150-zheltaya-limonnaya-480589/" , "4805.89 Майка мужская JUSTIN 150 желтая (лимонная), размер XL")</f>
      </c>
      <c r="C16226" s="4" t="n">
        <v>658.00</v>
      </c>
      <c r="D16226" s="4"/>
    </row>
    <row collapsed="" customFormat="false" customHeight="1" hidden="" ht="14" outlineLevel="0" r="16227">
      <c r="A16227" s="3" t="inlineStr">
        <is>
          <t>16182</t>
        </is>
      </c>
      <c r="B16227" s="4" t="s">
        <f>=HYPERLINK("http://anyluxury.ru/shop/odezhda/futbolki-dlya-promo/mayka-muzhskaya-justin-150-zheltaya-limonnaya-480589/" , "4805.89 Майка мужская JUSTIN 150 желтая (лимонная), размер XXL")</f>
      </c>
      <c r="C16227" s="4" t="n">
        <v>658.00</v>
      </c>
      <c r="D16227" s="4"/>
    </row>
    <row collapsed="" customFormat="false" customHeight="1" hidden="" ht="14" outlineLevel="0" r="16228">
      <c r="A16228" s="3" t="inlineStr">
        <is>
          <t>16183</t>
        </is>
      </c>
      <c r="B16228" s="4" t="s">
        <f>=HYPERLINK("http://anyluxury.ru/shop/odezhda/futbolki-dlya-promo/futbolka-zhenskaya-miss-150-golubaya-266214/" , "2662.14 Футболка женская MISS 150 голубая, размер S")</f>
      </c>
      <c r="C16228" s="4" t="n">
        <v>513.00</v>
      </c>
      <c r="D16228" s="4"/>
    </row>
    <row collapsed="" customFormat="false" customHeight="1" hidden="" ht="14" outlineLevel="0" r="16229">
      <c r="A16229" s="3" t="inlineStr">
        <is>
          <t>16184</t>
        </is>
      </c>
      <c r="B16229" s="4" t="s">
        <f>=HYPERLINK("http://anyluxury.ru/shop/odezhda/futbolki-dlya-promo/futbolka-zhenskaya-miss-150-golubaya-266214/" , "2662.14 Футболка женская MISS 150 голубая, размер M")</f>
      </c>
      <c r="C16229" s="4" t="n">
        <v>513.00</v>
      </c>
      <c r="D16229" s="4"/>
    </row>
    <row collapsed="" customFormat="false" customHeight="1" hidden="" ht="14" outlineLevel="0" r="16230">
      <c r="A16230" s="3" t="inlineStr">
        <is>
          <t>16185</t>
        </is>
      </c>
      <c r="B16230" s="4" t="s">
        <f>=HYPERLINK("http://anyluxury.ru/shop/odezhda/futbolki-dlya-promo/futbolka-zhenskaya-miss-150-golubaya-266214/" , "2662.14 Футболка женская MISS 150 голубая, размер L")</f>
      </c>
      <c r="C16230" s="4" t="n">
        <v>513.00</v>
      </c>
      <c r="D16230" s="4"/>
    </row>
    <row collapsed="" customFormat="false" customHeight="1" hidden="" ht="14" outlineLevel="0" r="16231">
      <c r="A16231" s="3" t="inlineStr">
        <is>
          <t>16186</t>
        </is>
      </c>
      <c r="B16231" s="4" t="s">
        <f>=HYPERLINK("http://anyluxury.ru/shop/odezhda/futbolki-dlya-promo/futbolka-zhenskaya-miss-150-golubaya-266214/" , "2662.14 Футболка женская MISS 150 голубая, размер XL")</f>
      </c>
      <c r="C16231" s="4" t="n">
        <v>513.00</v>
      </c>
      <c r="D16231" s="4"/>
    </row>
    <row collapsed="" customFormat="false" customHeight="1" hidden="" ht="14" outlineLevel="0" r="16232">
      <c r="A16232" s="3" t="inlineStr">
        <is>
          <t>16187</t>
        </is>
      </c>
      <c r="B16232" s="4" t="s">
        <f>=HYPERLINK("http://anyluxury.ru/shop/odezhda/futbolki-dlya-promo/futbolka-zhenskaya-miss-150-golubaya-266214/" , "2662.14 Футболка женская MISS 150 голубая, размер XXL")</f>
      </c>
      <c r="C16232" s="4" t="n">
        <v>513.00</v>
      </c>
      <c r="D16232" s="4"/>
    </row>
    <row collapsed="" customFormat="false" customHeight="1" hidden="" ht="14" outlineLevel="0" r="16233">
      <c r="A16233" s="3" t="inlineStr">
        <is>
          <t>16188</t>
        </is>
      </c>
      <c r="B16233" s="4" t="s">
        <f>=HYPERLINK("http://anyluxury.ru/shop/odezhda/futbolki-dlya-promo/futbolka-zhenskaya-miss-150-korallovorozoviy-266221/" , "2662.21 Футболка женская MISS 150 кораллово-розовый, размер S")</f>
      </c>
      <c r="C16233" s="4" t="n">
        <v>323.00</v>
      </c>
      <c r="D16233" s="4"/>
    </row>
    <row collapsed="" customFormat="false" customHeight="1" hidden="" ht="14" outlineLevel="0" r="16234">
      <c r="A16234" s="3" t="inlineStr">
        <is>
          <t>16189</t>
        </is>
      </c>
      <c r="B16234" s="4" t="s">
        <f>=HYPERLINK("http://anyluxury.ru/shop/odezhda/futbolki-dlya-promo/futbolka-zhenskaya-miss-150-korallovorozoviy-266221/" , "2662.21 Футболка женская MISS 150 кораллово-розовый, размер M")</f>
      </c>
      <c r="C16234" s="4" t="n">
        <v>323.00</v>
      </c>
      <c r="D16234" s="4"/>
    </row>
    <row collapsed="" customFormat="false" customHeight="1" hidden="" ht="14" outlineLevel="0" r="16235">
      <c r="A16235" s="3" t="inlineStr">
        <is>
          <t>16190</t>
        </is>
      </c>
      <c r="B16235" s="4" t="s">
        <f>=HYPERLINK("http://anyluxury.ru/shop/odezhda/futbolki-dlya-promo/futbolka-zhenskaya-miss-150-korallovorozoviy-266221/" , "2662.21 Футболка женская MISS 150 кораллово-розовый, размер L")</f>
      </c>
      <c r="C16235" s="4" t="n">
        <v>323.00</v>
      </c>
      <c r="D16235" s="4"/>
    </row>
    <row collapsed="" customFormat="false" customHeight="1" hidden="" ht="14" outlineLevel="0" r="16236">
      <c r="A16236" s="3" t="inlineStr">
        <is>
          <t>16191</t>
        </is>
      </c>
      <c r="B16236" s="4" t="s">
        <f>=HYPERLINK("http://anyluxury.ru/shop/odezhda/futbolki-dlya-promo/futbolka-zhenskaya-miss-150-korallovorozoviy-266221/" , "2662.21 Футболка женская MISS 150 кораллово-розовый, размер XL")</f>
      </c>
      <c r="C16236" s="4" t="n">
        <v>323.00</v>
      </c>
      <c r="D16236" s="4"/>
    </row>
    <row collapsed="" customFormat="false" customHeight="1" hidden="" ht="14" outlineLevel="0" r="16237">
      <c r="A16237" s="3" t="inlineStr">
        <is>
          <t>16192</t>
        </is>
      </c>
      <c r="B16237" s="4" t="s">
        <f>=HYPERLINK("http://anyluxury.ru/shop/odezhda/futbolki-dlya-promo/futbolka-zhenskaya-miss-150-korallovorozoviy-266221/" , "2662.21 Футболка женская MISS 150 кораллово-розовый, размер XXL")</f>
      </c>
      <c r="C16237" s="4" t="n">
        <v>323.00</v>
      </c>
      <c r="D16237" s="4"/>
    </row>
    <row collapsed="" customFormat="false" customHeight="1" hidden="" ht="14" outlineLevel="0" r="16238">
      <c r="A16238" s="3" t="inlineStr">
        <is>
          <t>16193</t>
        </is>
      </c>
      <c r="B16238" s="4" t="s">
        <f>=HYPERLINK("http://anyluxury.ru/shop/odezhda/futbolki-dlya-promo/futbolka-zhenskaya-miss-150-vintazhniy-siniy-266245/" , "2662.45 Футболка женская MISS 150 винтажный синий, размер S")</f>
      </c>
      <c r="C16238" s="4" t="n">
        <v>440.00</v>
      </c>
      <c r="D16238" s="4"/>
    </row>
    <row collapsed="" customFormat="false" customHeight="1" hidden="" ht="14" outlineLevel="0" r="16239">
      <c r="A16239" s="3" t="inlineStr">
        <is>
          <t>16194</t>
        </is>
      </c>
      <c r="B16239" s="4" t="s">
        <f>=HYPERLINK("http://anyluxury.ru/shop/odezhda/futbolki-dlya-promo/futbolka-zhenskaya-miss-150-vintazhniy-siniy-266245/" , "2662.45 Футболка женская MISS 150 винтажный синий, размер M")</f>
      </c>
      <c r="C16239" s="4" t="n">
        <v>440.00</v>
      </c>
      <c r="D16239" s="4"/>
    </row>
    <row collapsed="" customFormat="false" customHeight="1" hidden="" ht="14" outlineLevel="0" r="16240">
      <c r="A16240" s="3" t="inlineStr">
        <is>
          <t>16195</t>
        </is>
      </c>
      <c r="B16240" s="4" t="s">
        <f>=HYPERLINK("http://anyluxury.ru/shop/odezhda/futbolki-dlya-promo/futbolka-zhenskaya-miss-150-vintazhniy-siniy-266245/" , "2662.45 Футболка женская MISS 150 винтажный синий, размер L")</f>
      </c>
      <c r="C16240" s="4" t="n">
        <v>440.00</v>
      </c>
      <c r="D16240" s="4"/>
    </row>
    <row collapsed="" customFormat="false" customHeight="1" hidden="" ht="14" outlineLevel="0" r="16241">
      <c r="A16241" s="3" t="inlineStr">
        <is>
          <t>16196</t>
        </is>
      </c>
      <c r="B16241" s="4" t="s">
        <f>=HYPERLINK("http://anyluxury.ru/shop/odezhda/futbolki-dlya-promo/futbolka-zhenskaya-miss-150-vintazhniy-siniy-266245/" , "2662.45 Футболка женская MISS 150 винтажный синий, размер XL")</f>
      </c>
      <c r="C16241" s="4" t="n">
        <v>440.00</v>
      </c>
      <c r="D16241" s="4"/>
    </row>
    <row collapsed="" customFormat="false" customHeight="1" hidden="" ht="14" outlineLevel="0" r="16242">
      <c r="A16242" s="3" t="inlineStr">
        <is>
          <t>16197</t>
        </is>
      </c>
      <c r="B16242" s="4" t="s">
        <f>=HYPERLINK("http://anyluxury.ru/shop/odezhda/futbolki-dlya-promo/futbolka-zhenskaya-miss-150-vintazhniy-siniy-266245/" , "2662.45 Футболка женская MISS 150 винтажный синий, размер XXL")</f>
      </c>
      <c r="C16242" s="4" t="n">
        <v>440.00</v>
      </c>
      <c r="D16242" s="4"/>
    </row>
    <row collapsed="" customFormat="false" customHeight="1" hidden="" ht="14" outlineLevel="0" r="16243">
      <c r="A16243" s="3" t="inlineStr">
        <is>
          <t>16198</t>
        </is>
      </c>
      <c r="B16243" s="4" t="s">
        <f>=HYPERLINK("http://anyluxury.ru/shop/odezhda/futbolki-dlya-promo/futbolka-zhenskaya-miss-150-haki-266299/" , "2662.99 Футболка женская MISS 150 хаки, размер S")</f>
      </c>
      <c r="C16243" s="4" t="n">
        <v>323.00</v>
      </c>
      <c r="D16243" s="4"/>
    </row>
    <row collapsed="" customFormat="false" customHeight="1" hidden="" ht="14" outlineLevel="0" r="16244">
      <c r="A16244" s="3" t="inlineStr">
        <is>
          <t>16199</t>
        </is>
      </c>
      <c r="B16244" s="4" t="s">
        <f>=HYPERLINK("http://anyluxury.ru/shop/odezhda/futbolki-dlya-promo/futbolka-zhenskaya-miss-150-haki-266299/" , "2662.99 Футболка женская MISS 150 хаки, размер M")</f>
      </c>
      <c r="C16244" s="4" t="n">
        <v>323.00</v>
      </c>
      <c r="D16244" s="4"/>
    </row>
    <row collapsed="" customFormat="false" customHeight="1" hidden="" ht="14" outlineLevel="0" r="16245">
      <c r="A16245" s="3" t="inlineStr">
        <is>
          <t>16200</t>
        </is>
      </c>
      <c r="B16245" s="4" t="s">
        <f>=HYPERLINK("http://anyluxury.ru/shop/odezhda/futbolki-dlya-promo/futbolka-zhenskaya-miss-150-haki-266299/" , "2662.99 Футболка женская MISS 150 хаки, размер L")</f>
      </c>
      <c r="C16245" s="4" t="n">
        <v>323.00</v>
      </c>
      <c r="D16245" s="4"/>
    </row>
    <row collapsed="" customFormat="false" customHeight="1" hidden="" ht="14" outlineLevel="0" r="16246">
      <c r="A16246" s="3" t="inlineStr">
        <is>
          <t>16201</t>
        </is>
      </c>
      <c r="B16246" s="4" t="s">
        <f>=HYPERLINK("http://anyluxury.ru/shop/odezhda/futbolki-dlya-promo/futbolka-zhenskaya-miss-150-haki-266299/" , "2662.99 Футболка женская MISS 150 хаки, размер XL")</f>
      </c>
      <c r="C16246" s="4" t="n">
        <v>323.00</v>
      </c>
      <c r="D16246" s="4"/>
    </row>
    <row collapsed="" customFormat="false" customHeight="1" hidden="" ht="14" outlineLevel="0" r="16247">
      <c r="A16247" s="3" t="inlineStr">
        <is>
          <t>16202</t>
        </is>
      </c>
      <c r="B16247" s="4" t="s">
        <f>=HYPERLINK("http://anyluxury.ru/shop/odezhda/futbolki-dlya-promo/futbolka-zhenskaya-miss-150-haki-266299/" , "2662.99 Футболка женская MISS 150 хаки, размер XXL")</f>
      </c>
      <c r="C16247" s="4" t="n">
        <v>323.00</v>
      </c>
      <c r="D16247" s="4"/>
    </row>
    <row collapsed="" customFormat="false" customHeight="1" hidden="" ht="14" outlineLevel="0" r="16248">
      <c r="A16248" s="3" t="inlineStr">
        <is>
          <t>16203</t>
        </is>
      </c>
      <c r="B16248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S")</f>
      </c>
      <c r="C16248" s="4" t="n">
        <v>663.00</v>
      </c>
      <c r="D16248" s="4"/>
    </row>
    <row collapsed="" customFormat="false" customHeight="1" hidden="" ht="14" outlineLevel="0" r="16249">
      <c r="A16249" s="3" t="inlineStr">
        <is>
          <t>16204</t>
        </is>
      </c>
      <c r="B16249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M")</f>
      </c>
      <c r="C16249" s="4" t="n">
        <v>663.00</v>
      </c>
      <c r="D16249" s="4"/>
    </row>
    <row collapsed="" customFormat="false" customHeight="1" hidden="" ht="14" outlineLevel="0" r="16250">
      <c r="A16250" s="3" t="inlineStr">
        <is>
          <t>16205</t>
        </is>
      </c>
      <c r="B16250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L")</f>
      </c>
      <c r="C16250" s="4" t="n">
        <v>663.00</v>
      </c>
      <c r="D16250" s="4"/>
    </row>
    <row collapsed="" customFormat="false" customHeight="1" hidden="" ht="14" outlineLevel="0" r="16251">
      <c r="A16251" s="3" t="inlineStr">
        <is>
          <t>16206</t>
        </is>
      </c>
      <c r="B16251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XL")</f>
      </c>
      <c r="C16251" s="4" t="n">
        <v>663.00</v>
      </c>
      <c r="D16251" s="4"/>
    </row>
    <row collapsed="" customFormat="false" customHeight="1" hidden="" ht="14" outlineLevel="0" r="16252">
      <c r="A16252" s="3" t="inlineStr">
        <is>
          <t>16207</t>
        </is>
      </c>
      <c r="B16252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XXL")</f>
      </c>
      <c r="C16252" s="4" t="n">
        <v>663.00</v>
      </c>
      <c r="D16252" s="4"/>
    </row>
    <row collapsed="" customFormat="false" customHeight="1" hidden="" ht="14" outlineLevel="0" r="16253">
      <c r="A16253" s="3" t="inlineStr">
        <is>
          <t>16208</t>
        </is>
      </c>
      <c r="B16253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S")</f>
      </c>
      <c r="C16253" s="4" t="n">
        <v>663.00</v>
      </c>
      <c r="D16253" s="4"/>
    </row>
    <row collapsed="" customFormat="false" customHeight="1" hidden="" ht="14" outlineLevel="0" r="16254">
      <c r="A16254" s="3" t="inlineStr">
        <is>
          <t>16209</t>
        </is>
      </c>
      <c r="B16254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M")</f>
      </c>
      <c r="C16254" s="4" t="n">
        <v>663.00</v>
      </c>
      <c r="D16254" s="4"/>
    </row>
    <row collapsed="" customFormat="false" customHeight="1" hidden="" ht="14" outlineLevel="0" r="16255">
      <c r="A16255" s="3" t="inlineStr">
        <is>
          <t>16210</t>
        </is>
      </c>
      <c r="B16255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L")</f>
      </c>
      <c r="C16255" s="4" t="n">
        <v>663.00</v>
      </c>
      <c r="D16255" s="4"/>
    </row>
    <row collapsed="" customFormat="false" customHeight="1" hidden="" ht="14" outlineLevel="0" r="16256">
      <c r="A16256" s="3" t="inlineStr">
        <is>
          <t>16211</t>
        </is>
      </c>
      <c r="B16256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XL")</f>
      </c>
      <c r="C16256" s="4" t="n">
        <v>663.00</v>
      </c>
      <c r="D16256" s="4"/>
    </row>
    <row collapsed="" customFormat="false" customHeight="1" hidden="" ht="14" outlineLevel="0" r="16257">
      <c r="A16257" s="3" t="inlineStr">
        <is>
          <t>16212</t>
        </is>
      </c>
      <c r="B16257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XXL")</f>
      </c>
      <c r="C16257" s="4" t="n">
        <v>663.00</v>
      </c>
      <c r="D16257" s="4"/>
    </row>
    <row collapsed="" customFormat="false" customHeight="1" hidden="" ht="14" outlineLevel="0" r="16258">
      <c r="A16258" s="3" t="inlineStr">
        <is>
          <t>16213</t>
        </is>
      </c>
      <c r="B16258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S")</f>
      </c>
      <c r="C16258" s="4" t="n">
        <v>663.00</v>
      </c>
      <c r="D16258" s="4"/>
    </row>
    <row collapsed="" customFormat="false" customHeight="1" hidden="" ht="14" outlineLevel="0" r="16259">
      <c r="A16259" s="3" t="inlineStr">
        <is>
          <t>16214</t>
        </is>
      </c>
      <c r="B16259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M")</f>
      </c>
      <c r="C16259" s="4" t="n">
        <v>663.00</v>
      </c>
      <c r="D16259" s="4"/>
    </row>
    <row collapsed="" customFormat="false" customHeight="1" hidden="" ht="14" outlineLevel="0" r="16260">
      <c r="A16260" s="3" t="inlineStr">
        <is>
          <t>16215</t>
        </is>
      </c>
      <c r="B16260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L")</f>
      </c>
      <c r="C16260" s="4" t="n">
        <v>663.00</v>
      </c>
      <c r="D16260" s="4"/>
    </row>
    <row collapsed="" customFormat="false" customHeight="1" hidden="" ht="14" outlineLevel="0" r="16261">
      <c r="A16261" s="3" t="inlineStr">
        <is>
          <t>16216</t>
        </is>
      </c>
      <c r="B16261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XL")</f>
      </c>
      <c r="C16261" s="4" t="n">
        <v>663.00</v>
      </c>
      <c r="D16261" s="4"/>
    </row>
    <row collapsed="" customFormat="false" customHeight="1" hidden="" ht="14" outlineLevel="0" r="16262">
      <c r="A16262" s="3" t="inlineStr">
        <is>
          <t>16217</t>
        </is>
      </c>
      <c r="B16262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XXL")</f>
      </c>
      <c r="C16262" s="4" t="n">
        <v>663.00</v>
      </c>
      <c r="D16262" s="4"/>
    </row>
    <row collapsed="" customFormat="false" customHeight="1" hidden="" ht="14" outlineLevel="0" r="16263">
      <c r="A16263" s="3" t="inlineStr">
        <is>
          <t>16218</t>
        </is>
      </c>
      <c r="B16263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S")</f>
      </c>
      <c r="C16263" s="4" t="n">
        <v>663.00</v>
      </c>
      <c r="D16263" s="4"/>
    </row>
    <row collapsed="" customFormat="false" customHeight="1" hidden="" ht="14" outlineLevel="0" r="16264">
      <c r="A16264" s="3" t="inlineStr">
        <is>
          <t>16219</t>
        </is>
      </c>
      <c r="B16264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M")</f>
      </c>
      <c r="C16264" s="4" t="n">
        <v>663.00</v>
      </c>
      <c r="D16264" s="4"/>
    </row>
    <row collapsed="" customFormat="false" customHeight="1" hidden="" ht="14" outlineLevel="0" r="16265">
      <c r="A16265" s="3" t="inlineStr">
        <is>
          <t>16220</t>
        </is>
      </c>
      <c r="B16265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L")</f>
      </c>
      <c r="C16265" s="4" t="n">
        <v>663.00</v>
      </c>
      <c r="D16265" s="4"/>
    </row>
    <row collapsed="" customFormat="false" customHeight="1" hidden="" ht="14" outlineLevel="0" r="16266">
      <c r="A16266" s="3" t="inlineStr">
        <is>
          <t>16221</t>
        </is>
      </c>
      <c r="B16266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XL")</f>
      </c>
      <c r="C16266" s="4" t="n">
        <v>663.00</v>
      </c>
      <c r="D16266" s="4"/>
    </row>
    <row collapsed="" customFormat="false" customHeight="1" hidden="" ht="14" outlineLevel="0" r="16267">
      <c r="A16267" s="3" t="inlineStr">
        <is>
          <t>16222</t>
        </is>
      </c>
      <c r="B16267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XXL")</f>
      </c>
      <c r="C16267" s="4" t="n">
        <v>663.00</v>
      </c>
      <c r="D16267" s="4"/>
    </row>
    <row collapsed="" customFormat="false" customHeight="1" hidden="" ht="14" outlineLevel="0" r="16268">
      <c r="A16268" s="3" t="inlineStr">
        <is>
          <t>16223</t>
        </is>
      </c>
      <c r="B16268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S")</f>
      </c>
      <c r="C16268" s="4" t="n">
        <v>663.00</v>
      </c>
      <c r="D16268" s="4"/>
    </row>
    <row collapsed="" customFormat="false" customHeight="1" hidden="" ht="14" outlineLevel="0" r="16269">
      <c r="A16269" s="3" t="inlineStr">
        <is>
          <t>16224</t>
        </is>
      </c>
      <c r="B16269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M")</f>
      </c>
      <c r="C16269" s="4" t="n">
        <v>663.00</v>
      </c>
      <c r="D16269" s="4"/>
    </row>
    <row collapsed="" customFormat="false" customHeight="1" hidden="" ht="14" outlineLevel="0" r="16270">
      <c r="A16270" s="3" t="inlineStr">
        <is>
          <t>16225</t>
        </is>
      </c>
      <c r="B16270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L")</f>
      </c>
      <c r="C16270" s="4" t="n">
        <v>663.00</v>
      </c>
      <c r="D16270" s="4"/>
    </row>
    <row collapsed="" customFormat="false" customHeight="1" hidden="" ht="14" outlineLevel="0" r="16271">
      <c r="A16271" s="3" t="inlineStr">
        <is>
          <t>16226</t>
        </is>
      </c>
      <c r="B16271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XL")</f>
      </c>
      <c r="C16271" s="4" t="n">
        <v>663.00</v>
      </c>
      <c r="D16271" s="4"/>
    </row>
    <row collapsed="" customFormat="false" customHeight="1" hidden="" ht="14" outlineLevel="0" r="16272">
      <c r="A16272" s="3" t="inlineStr">
        <is>
          <t>16227</t>
        </is>
      </c>
      <c r="B16272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XXL")</f>
      </c>
      <c r="C16272" s="4" t="n">
        <v>663.00</v>
      </c>
      <c r="D16272" s="4"/>
    </row>
    <row collapsed="" customFormat="false" customHeight="1" hidden="" ht="14" outlineLevel="0" r="16273">
      <c r="A16273" s="3" t="inlineStr">
        <is>
          <t>16228</t>
        </is>
      </c>
      <c r="B16273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S")</f>
      </c>
      <c r="C16273" s="4" t="n">
        <v>663.00</v>
      </c>
      <c r="D16273" s="4"/>
    </row>
    <row collapsed="" customFormat="false" customHeight="1" hidden="" ht="14" outlineLevel="0" r="16274">
      <c r="A16274" s="3" t="inlineStr">
        <is>
          <t>16229</t>
        </is>
      </c>
      <c r="B16274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M")</f>
      </c>
      <c r="C16274" s="4" t="n">
        <v>663.00</v>
      </c>
      <c r="D16274" s="4"/>
    </row>
    <row collapsed="" customFormat="false" customHeight="1" hidden="" ht="14" outlineLevel="0" r="16275">
      <c r="A16275" s="3" t="inlineStr">
        <is>
          <t>16230</t>
        </is>
      </c>
      <c r="B16275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L")</f>
      </c>
      <c r="C16275" s="4" t="n">
        <v>663.00</v>
      </c>
      <c r="D16275" s="4"/>
    </row>
    <row collapsed="" customFormat="false" customHeight="1" hidden="" ht="14" outlineLevel="0" r="16276">
      <c r="A16276" s="3" t="inlineStr">
        <is>
          <t>16231</t>
        </is>
      </c>
      <c r="B16276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XL")</f>
      </c>
      <c r="C16276" s="4" t="n">
        <v>663.00</v>
      </c>
      <c r="D16276" s="4"/>
    </row>
    <row collapsed="" customFormat="false" customHeight="1" hidden="" ht="14" outlineLevel="0" r="16277">
      <c r="A16277" s="3" t="inlineStr">
        <is>
          <t>16232</t>
        </is>
      </c>
      <c r="B16277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XXL")</f>
      </c>
      <c r="C16277" s="4" t="n">
        <v>663.00</v>
      </c>
      <c r="D16277" s="4"/>
    </row>
    <row collapsed="" customFormat="false" customHeight="1" hidden="" ht="14" outlineLevel="0" r="16278">
      <c r="A16278" s="3" t="inlineStr">
        <is>
          <t>16233</t>
        </is>
      </c>
      <c r="B16278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S")</f>
      </c>
      <c r="C16278" s="4" t="n">
        <v>663.00</v>
      </c>
      <c r="D16278" s="4"/>
    </row>
    <row collapsed="" customFormat="false" customHeight="1" hidden="" ht="14" outlineLevel="0" r="16279">
      <c r="A16279" s="3" t="inlineStr">
        <is>
          <t>16234</t>
        </is>
      </c>
      <c r="B16279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M")</f>
      </c>
      <c r="C16279" s="4" t="n">
        <v>663.00</v>
      </c>
      <c r="D16279" s="4"/>
    </row>
    <row collapsed="" customFormat="false" customHeight="1" hidden="" ht="14" outlineLevel="0" r="16280">
      <c r="A16280" s="3" t="inlineStr">
        <is>
          <t>16235</t>
        </is>
      </c>
      <c r="B16280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L")</f>
      </c>
      <c r="C16280" s="4" t="n">
        <v>663.00</v>
      </c>
      <c r="D16280" s="4"/>
    </row>
    <row collapsed="" customFormat="false" customHeight="1" hidden="" ht="14" outlineLevel="0" r="16281">
      <c r="A16281" s="3" t="inlineStr">
        <is>
          <t>16236</t>
        </is>
      </c>
      <c r="B16281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XL")</f>
      </c>
      <c r="C16281" s="4" t="n">
        <v>663.00</v>
      </c>
      <c r="D16281" s="4"/>
    </row>
    <row collapsed="" customFormat="false" customHeight="1" hidden="" ht="14" outlineLevel="0" r="16282">
      <c r="A16282" s="3" t="inlineStr">
        <is>
          <t>16237</t>
        </is>
      </c>
      <c r="B16282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XXL")</f>
      </c>
      <c r="C16282" s="4" t="n">
        <v>663.00</v>
      </c>
      <c r="D16282" s="4"/>
    </row>
    <row collapsed="" customFormat="false" customHeight="1" hidden="" ht="14" outlineLevel="0" r="16283">
      <c r="A16283" s="3" t="inlineStr">
        <is>
          <t>16238</t>
        </is>
      </c>
      <c r="B16283" s="4" t="s">
        <f>=HYPERLINK("http://anyluxury.ru/shop/odezhda/futbolki-dlya-promo/futbolka-zhenskaya-c-vobraznim-virezom-moon-150-haki-384999/" , "3849.99 Футболка женская c V-образным вырезом MOON 150 хаки, размер S")</f>
      </c>
      <c r="C16283" s="4" t="n">
        <v>663.00</v>
      </c>
      <c r="D16283" s="4"/>
    </row>
    <row collapsed="" customFormat="false" customHeight="1" hidden="" ht="14" outlineLevel="0" r="16284">
      <c r="A16284" s="3" t="inlineStr">
        <is>
          <t>16239</t>
        </is>
      </c>
      <c r="B16284" s="4" t="s">
        <f>=HYPERLINK("http://anyluxury.ru/shop/odezhda/futbolki-dlya-promo/futbolka-zhenskaya-c-vobraznim-virezom-moon-150-haki-384999/" , "3849.99 Футболка женская c V-образным вырезом MOON 150 хаки, размер M")</f>
      </c>
      <c r="C16284" s="4" t="n">
        <v>663.00</v>
      </c>
      <c r="D16284" s="4"/>
    </row>
    <row collapsed="" customFormat="false" customHeight="1" hidden="" ht="14" outlineLevel="0" r="16285">
      <c r="A16285" s="3" t="inlineStr">
        <is>
          <t>16240</t>
        </is>
      </c>
      <c r="B16285" s="4" t="s">
        <f>=HYPERLINK("http://anyluxury.ru/shop/odezhda/futbolki-dlya-promo/futbolka-zhenskaya-c-vobraznim-virezom-moon-150-haki-384999/" , "3849.99 Футболка женская c V-образным вырезом MOON 150 хаки, размер L")</f>
      </c>
      <c r="C16285" s="4" t="n">
        <v>663.00</v>
      </c>
      <c r="D16285" s="4"/>
    </row>
    <row collapsed="" customFormat="false" customHeight="1" hidden="" ht="14" outlineLevel="0" r="16286">
      <c r="A16286" s="3" t="inlineStr">
        <is>
          <t>16241</t>
        </is>
      </c>
      <c r="B16286" s="4" t="s">
        <f>=HYPERLINK("http://anyluxury.ru/shop/odezhda/futbolki-dlya-promo/futbolka-zhenskaya-c-vobraznim-virezom-moon-150-haki-384999/" , "3849.99 Футболка женская c V-образным вырезом MOON 150 хаки, размер XL")</f>
      </c>
      <c r="C16286" s="4" t="n">
        <v>663.00</v>
      </c>
      <c r="D16286" s="4"/>
    </row>
    <row collapsed="" customFormat="false" customHeight="1" hidden="" ht="14" outlineLevel="0" r="16287">
      <c r="A16287" s="3" t="inlineStr">
        <is>
          <t>16242</t>
        </is>
      </c>
      <c r="B16287" s="4" t="s">
        <f>=HYPERLINK("http://anyluxury.ru/shop/odezhda/futbolki-dlya-promo/futbolka-zhenskaya-c-vobraznim-virezom-moon-150-haki-384999/" , "3849.99 Футболка женская c V-образным вырезом MOON 150 хаки, размер XXL")</f>
      </c>
      <c r="C16287" s="4" t="n">
        <v>663.00</v>
      </c>
      <c r="D16287" s="4"/>
    </row>
    <row collapsed="" customFormat="false" customHeight="1" hidden="" ht="14" outlineLevel="0" r="16288">
      <c r="A16288" s="3" t="inlineStr">
        <is>
          <t>16243</t>
        </is>
      </c>
      <c r="B16288" s="4" t="s">
        <f>=HYPERLINK("http://anyluxury.ru/shop/odezhda/futbolki-dlya-promo/futbolka-regent-150-yarkobiryuzovaya-11380321/" , "11380321 Футболка REGENT 150 ярко-бирюзовая, размер XS")</f>
      </c>
      <c r="C16288" s="4" t="n">
        <v>531.00</v>
      </c>
      <c r="D16288" s="4"/>
    </row>
    <row collapsed="" customFormat="false" customHeight="1" hidden="" ht="14" outlineLevel="0" r="16289">
      <c r="A16289" s="3" t="inlineStr">
        <is>
          <t>16244</t>
        </is>
      </c>
      <c r="B16289" s="4" t="s">
        <f>=HYPERLINK("http://anyluxury.ru/shop/odezhda/futbolki-dlya-promo/futbolka-regent-150-yarkobiryuzovaya-11380321/" , "11380321 Футболка REGENT 150 ярко-бирюзовая, размер S")</f>
      </c>
      <c r="C16289" s="4" t="n">
        <v>531.00</v>
      </c>
      <c r="D16289" s="4"/>
    </row>
    <row collapsed="" customFormat="false" customHeight="1" hidden="" ht="14" outlineLevel="0" r="16290">
      <c r="A16290" s="3" t="inlineStr">
        <is>
          <t>16245</t>
        </is>
      </c>
      <c r="B16290" s="4" t="s">
        <f>=HYPERLINK("http://anyluxury.ru/shop/odezhda/futbolki-dlya-promo/futbolka-regent-150-yarkobiryuzovaya-11380321/" , "11380321 Футболка REGENT 150 ярко-бирюзовая, размер M")</f>
      </c>
      <c r="C16290" s="4" t="n">
        <v>531.00</v>
      </c>
      <c r="D16290" s="4"/>
    </row>
    <row collapsed="" customFormat="false" customHeight="1" hidden="" ht="14" outlineLevel="0" r="16291">
      <c r="A16291" s="3" t="inlineStr">
        <is>
          <t>16246</t>
        </is>
      </c>
      <c r="B16291" s="4" t="s">
        <f>=HYPERLINK("http://anyluxury.ru/shop/odezhda/futbolki-dlya-promo/futbolka-regent-150-yarkobiryuzovaya-11380321/" , "11380321 Футболка REGENT 150 ярко-бирюзовая, размер L")</f>
      </c>
      <c r="C16291" s="4" t="n">
        <v>531.00</v>
      </c>
      <c r="D16291" s="4"/>
    </row>
    <row collapsed="" customFormat="false" customHeight="1" hidden="" ht="14" outlineLevel="0" r="16292">
      <c r="A16292" s="3" t="inlineStr">
        <is>
          <t>16247</t>
        </is>
      </c>
      <c r="B16292" s="4" t="s">
        <f>=HYPERLINK("http://anyluxury.ru/shop/odezhda/futbolki-dlya-promo/futbolka-regent-150-yarkobiryuzovaya-11380321/" , "11380321 Футболка REGENT 150 ярко-бирюзовая, размер XL")</f>
      </c>
      <c r="C16292" s="4" t="n">
        <v>531.00</v>
      </c>
      <c r="D16292" s="4"/>
    </row>
    <row collapsed="" customFormat="false" customHeight="1" hidden="" ht="14" outlineLevel="0" r="16293">
      <c r="A16293" s="3" t="inlineStr">
        <is>
          <t>16248</t>
        </is>
      </c>
      <c r="B16293" s="4" t="s">
        <f>=HYPERLINK("http://anyluxury.ru/shop/odezhda/futbolki-dlya-promo/futbolka-regent-150-yarkobiryuzovaya-11380321/" , "11380321 Футболка REGENT 150 ярко-бирюзовая, размер XXL")</f>
      </c>
      <c r="C16293" s="4" t="n">
        <v>531.00</v>
      </c>
      <c r="D16293" s="4"/>
    </row>
    <row collapsed="" customFormat="false" customHeight="1" hidden="" ht="14" outlineLevel="0" r="16294">
      <c r="A16294" s="3" t="inlineStr">
        <is>
          <t>16249</t>
        </is>
      </c>
      <c r="B16294" s="4" t="s">
        <f>=HYPERLINK("http://anyluxury.ru/shop/odezhda/futbolki-dlya-promo/futbolka-regent-150-yarkobiryuzovaya-11380321/" , "11380321 Футболка Regent 150 ярко-бирюзовая, размер XXS")</f>
      </c>
      <c r="C16294" s="4" t="n">
        <v>531.00</v>
      </c>
      <c r="D16294" s="4"/>
    </row>
    <row collapsed="" customFormat="false" customHeight="1" hidden="" ht="14" outlineLevel="0" r="16295">
      <c r="A16295" s="3" t="inlineStr">
        <is>
          <t>16250</t>
        </is>
      </c>
      <c r="B16295" s="4" t="s">
        <f>=HYPERLINK("http://anyluxury.ru/shop/odezhda/futbolki-dlya-promo/futbolka-regent-150-yarkobiryuzovaya-11380321/" , "11380321 Футболка Regent 150 ярко-бирюзовая, размер 3XL")</f>
      </c>
      <c r="C16295" s="4" t="n">
        <v>653.00</v>
      </c>
      <c r="D16295" s="4"/>
    </row>
    <row collapsed="" customFormat="false" customHeight="1" hidden="" ht="14" outlineLevel="0" r="16296">
      <c r="A16296" s="3" t="inlineStr">
        <is>
          <t>16251</t>
        </is>
      </c>
      <c r="B16296" s="4" t="s">
        <f>=HYPERLINK("http://anyluxury.ru/shop/odezhda/futbolki-dlya-promo/futbolka-regent-150-zheltaya-limonnaya-137688/" , "1376.88 Футболка REGENT 150 желтая (лимонная), размер XS")</f>
      </c>
      <c r="C16296" s="4" t="n">
        <v>531.00</v>
      </c>
      <c r="D16296" s="4"/>
    </row>
    <row collapsed="" customFormat="false" customHeight="1" hidden="" ht="14" outlineLevel="0" r="16297">
      <c r="A16297" s="3" t="inlineStr">
        <is>
          <t>16252</t>
        </is>
      </c>
      <c r="B16297" s="4" t="s">
        <f>=HYPERLINK("http://anyluxury.ru/shop/odezhda/futbolki-dlya-promo/futbolka-regent-150-zheltaya-limonnaya-137688/" , "1376.88 Футболка REGENT 150 желтая (лимонная), размер S")</f>
      </c>
      <c r="C16297" s="4" t="n">
        <v>531.00</v>
      </c>
      <c r="D16297" s="4"/>
    </row>
    <row collapsed="" customFormat="false" customHeight="1" hidden="" ht="14" outlineLevel="0" r="16298">
      <c r="A16298" s="3" t="inlineStr">
        <is>
          <t>16253</t>
        </is>
      </c>
      <c r="B16298" s="4" t="s">
        <f>=HYPERLINK("http://anyluxury.ru/shop/odezhda/futbolki-dlya-promo/futbolka-regent-150-zheltaya-limonnaya-137688/" , "1376.88 Футболка REGENT 150 желтая (лимонная), размер M")</f>
      </c>
      <c r="C16298" s="4" t="n">
        <v>531.00</v>
      </c>
      <c r="D16298" s="4"/>
    </row>
    <row collapsed="" customFormat="false" customHeight="1" hidden="" ht="14" outlineLevel="0" r="16299">
      <c r="A16299" s="3" t="inlineStr">
        <is>
          <t>16254</t>
        </is>
      </c>
      <c r="B16299" s="4" t="s">
        <f>=HYPERLINK("http://anyluxury.ru/shop/odezhda/futbolki-dlya-promo/futbolka-regent-150-zheltaya-limonnaya-137688/" , "1376.88 Футболка REGENT 150 желтая (лимонная), размер L")</f>
      </c>
      <c r="C16299" s="4" t="n">
        <v>531.00</v>
      </c>
      <c r="D16299" s="4"/>
    </row>
    <row collapsed="" customFormat="false" customHeight="1" hidden="" ht="14" outlineLevel="0" r="16300">
      <c r="A16300" s="3" t="inlineStr">
        <is>
          <t>16255</t>
        </is>
      </c>
      <c r="B16300" s="4" t="s">
        <f>=HYPERLINK("http://anyluxury.ru/shop/odezhda/futbolki-dlya-promo/futbolka-regent-150-zheltaya-limonnaya-137688/" , "1376.88 Футболка REGENT 150 желтая (лимонная), размер XL")</f>
      </c>
      <c r="C16300" s="4" t="n">
        <v>531.00</v>
      </c>
      <c r="D16300" s="4"/>
    </row>
    <row collapsed="" customFormat="false" customHeight="1" hidden="" ht="14" outlineLevel="0" r="16301">
      <c r="A16301" s="3" t="inlineStr">
        <is>
          <t>16256</t>
        </is>
      </c>
      <c r="B16301" s="4" t="s">
        <f>=HYPERLINK("http://anyluxury.ru/shop/odezhda/futbolki-dlya-promo/futbolka-regent-150-zheltaya-limonnaya-137688/" , "1376.88 Футболка REGENT 150 желтая (лимонная), размер XXL")</f>
      </c>
      <c r="C16301" s="4" t="n">
        <v>531.00</v>
      </c>
      <c r="D16301" s="4"/>
    </row>
    <row collapsed="" customFormat="false" customHeight="1" hidden="" ht="14" outlineLevel="0" r="16302">
      <c r="A16302" s="3" t="inlineStr">
        <is>
          <t>16257</t>
        </is>
      </c>
      <c r="B16302" s="4" t="s">
        <f>=HYPERLINK("http://anyluxury.ru/shop/odezhda/futbolki-dlya-promo/futbolka-regent-150-zheltaya-limonnaya-137688/" , "1376.88 Футболка Regent 150 желтая (лимонная), размер XXS")</f>
      </c>
      <c r="C16302" s="4" t="n">
        <v>531.00</v>
      </c>
      <c r="D16302" s="4"/>
    </row>
    <row collapsed="" customFormat="false" customHeight="1" hidden="" ht="14" outlineLevel="0" r="16303">
      <c r="A16303" s="3" t="inlineStr">
        <is>
          <t>16258</t>
        </is>
      </c>
      <c r="B16303" s="4" t="s">
        <f>=HYPERLINK("http://anyluxury.ru/shop/odezhda/futbolki-dlya-promo/futbolka-regent-150-zheltaya-limonnaya-137688/" , "1376.88 Футболка Regent 150 желтая (лимонная), размер 3XL")</f>
      </c>
      <c r="C16303" s="4" t="n">
        <v>653.00</v>
      </c>
      <c r="D16303" s="4"/>
    </row>
    <row collapsed="" customFormat="false" customHeight="1" hidden="" ht="14" outlineLevel="0" r="16304">
      <c r="A16304" s="3" t="inlineStr">
        <is>
          <t>16259</t>
        </is>
      </c>
      <c r="B16304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XS")</f>
      </c>
      <c r="C16304" s="4" t="n">
        <v>613.00</v>
      </c>
      <c r="D16304" s="4"/>
    </row>
    <row collapsed="" customFormat="false" customHeight="1" hidden="" ht="14" outlineLevel="0" r="16305">
      <c r="A16305" s="3" t="inlineStr">
        <is>
          <t>16260</t>
        </is>
      </c>
      <c r="B16305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S")</f>
      </c>
      <c r="C16305" s="4" t="n">
        <v>613.00</v>
      </c>
      <c r="D16305" s="4"/>
    </row>
    <row collapsed="" customFormat="false" customHeight="1" hidden="" ht="14" outlineLevel="0" r="16306">
      <c r="A16306" s="3" t="inlineStr">
        <is>
          <t>16261</t>
        </is>
      </c>
      <c r="B16306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M")</f>
      </c>
      <c r="C16306" s="4" t="n">
        <v>613.00</v>
      </c>
      <c r="D16306" s="4"/>
    </row>
    <row collapsed="" customFormat="false" customHeight="1" hidden="" ht="14" outlineLevel="0" r="16307">
      <c r="A16307" s="3" t="inlineStr">
        <is>
          <t>16262</t>
        </is>
      </c>
      <c r="B16307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L")</f>
      </c>
      <c r="C16307" s="4" t="n">
        <v>613.00</v>
      </c>
      <c r="D16307" s="4"/>
    </row>
    <row collapsed="" customFormat="false" customHeight="1" hidden="" ht="14" outlineLevel="0" r="16308">
      <c r="A16308" s="3" t="inlineStr">
        <is>
          <t>16263</t>
        </is>
      </c>
      <c r="B16308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XL")</f>
      </c>
      <c r="C16308" s="4" t="n">
        <v>613.00</v>
      </c>
      <c r="D16308" s="4"/>
    </row>
    <row collapsed="" customFormat="false" customHeight="1" hidden="" ht="14" outlineLevel="0" r="16309">
      <c r="A16309" s="3" t="inlineStr">
        <is>
          <t>16264</t>
        </is>
      </c>
      <c r="B16309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XXL")</f>
      </c>
      <c r="C16309" s="4" t="n">
        <v>613.00</v>
      </c>
      <c r="D16309" s="4"/>
    </row>
    <row collapsed="" customFormat="false" customHeight="1" hidden="" ht="14" outlineLevel="0" r="16310">
      <c r="A16310" s="3" t="inlineStr">
        <is>
          <t>16265</t>
        </is>
      </c>
      <c r="B16310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XS")</f>
      </c>
      <c r="C16310" s="4" t="n">
        <v>613.00</v>
      </c>
      <c r="D16310" s="4"/>
    </row>
    <row collapsed="" customFormat="false" customHeight="1" hidden="" ht="14" outlineLevel="0" r="16311">
      <c r="A16311" s="3" t="inlineStr">
        <is>
          <t>16266</t>
        </is>
      </c>
      <c r="B16311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S")</f>
      </c>
      <c r="C16311" s="4" t="n">
        <v>613.00</v>
      </c>
      <c r="D16311" s="4"/>
    </row>
    <row collapsed="" customFormat="false" customHeight="1" hidden="" ht="14" outlineLevel="0" r="16312">
      <c r="A16312" s="3" t="inlineStr">
        <is>
          <t>16267</t>
        </is>
      </c>
      <c r="B16312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M")</f>
      </c>
      <c r="C16312" s="4" t="n">
        <v>613.00</v>
      </c>
      <c r="D16312" s="4"/>
    </row>
    <row collapsed="" customFormat="false" customHeight="1" hidden="" ht="14" outlineLevel="0" r="16313">
      <c r="A16313" s="3" t="inlineStr">
        <is>
          <t>16268</t>
        </is>
      </c>
      <c r="B16313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L")</f>
      </c>
      <c r="C16313" s="4" t="n">
        <v>613.00</v>
      </c>
      <c r="D16313" s="4"/>
    </row>
    <row collapsed="" customFormat="false" customHeight="1" hidden="" ht="14" outlineLevel="0" r="16314">
      <c r="A16314" s="3" t="inlineStr">
        <is>
          <t>16269</t>
        </is>
      </c>
      <c r="B16314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XL")</f>
      </c>
      <c r="C16314" s="4" t="n">
        <v>613.00</v>
      </c>
      <c r="D16314" s="4"/>
    </row>
    <row collapsed="" customFormat="false" customHeight="1" hidden="" ht="14" outlineLevel="0" r="16315">
      <c r="A16315" s="3" t="inlineStr">
        <is>
          <t>16270</t>
        </is>
      </c>
      <c r="B16315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XXL")</f>
      </c>
      <c r="C16315" s="4" t="n">
        <v>613.00</v>
      </c>
      <c r="D16315" s="4"/>
    </row>
    <row collapsed="" customFormat="false" customHeight="1" hidden="" ht="14" outlineLevel="0" r="16316">
      <c r="A16316" s="3" t="inlineStr">
        <is>
          <t>16271</t>
        </is>
      </c>
      <c r="B16316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XS")</f>
      </c>
      <c r="C16316" s="4" t="n">
        <v>537.00</v>
      </c>
      <c r="D16316" s="4"/>
    </row>
    <row collapsed="" customFormat="false" customHeight="1" hidden="" ht="14" outlineLevel="0" r="16317">
      <c r="A16317" s="3" t="inlineStr">
        <is>
          <t>16272</t>
        </is>
      </c>
      <c r="B16317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S")</f>
      </c>
      <c r="C16317" s="4" t="n">
        <v>537.00</v>
      </c>
      <c r="D16317" s="4"/>
    </row>
    <row collapsed="" customFormat="false" customHeight="1" hidden="" ht="14" outlineLevel="0" r="16318">
      <c r="A16318" s="3" t="inlineStr">
        <is>
          <t>16273</t>
        </is>
      </c>
      <c r="B16318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M")</f>
      </c>
      <c r="C16318" s="4" t="n">
        <v>537.00</v>
      </c>
      <c r="D16318" s="4"/>
    </row>
    <row collapsed="" customFormat="false" customHeight="1" hidden="" ht="14" outlineLevel="0" r="16319">
      <c r="A16319" s="3" t="inlineStr">
        <is>
          <t>16274</t>
        </is>
      </c>
      <c r="B16319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L")</f>
      </c>
      <c r="C16319" s="4" t="n">
        <v>537.00</v>
      </c>
      <c r="D16319" s="4"/>
    </row>
    <row collapsed="" customFormat="false" customHeight="1" hidden="" ht="14" outlineLevel="0" r="16320">
      <c r="A16320" s="3" t="inlineStr">
        <is>
          <t>16275</t>
        </is>
      </c>
      <c r="B16320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XL")</f>
      </c>
      <c r="C16320" s="4" t="n">
        <v>537.00</v>
      </c>
      <c r="D16320" s="4"/>
    </row>
    <row collapsed="" customFormat="false" customHeight="1" hidden="" ht="14" outlineLevel="0" r="16321">
      <c r="A16321" s="3" t="inlineStr">
        <is>
          <t>16276</t>
        </is>
      </c>
      <c r="B16321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XXL")</f>
      </c>
      <c r="C16321" s="4" t="n">
        <v>537.00</v>
      </c>
      <c r="D16321" s="4"/>
    </row>
    <row collapsed="" customFormat="false" customHeight="1" hidden="" ht="14" outlineLevel="0" r="16322">
      <c r="A16322" s="3" t="inlineStr">
        <is>
          <t>16277</t>
        </is>
      </c>
      <c r="B16322" s="4" t="s">
        <f>=HYPERLINK("http://anyluxury.ru/shop/odezhda/futbolki-dlya-promo/futbolka-detskaya-regent-kids-150-bezhevaya-188610/" , "1886.10 Футболка детская REGENT KIDS 150 бежевая (песок), на рост 96-104 см (4 года)")</f>
      </c>
      <c r="C16322" s="4" t="n">
        <v>468.00</v>
      </c>
      <c r="D16322" s="4"/>
    </row>
    <row collapsed="" customFormat="false" customHeight="1" hidden="" ht="14" outlineLevel="0" r="16323">
      <c r="A16323" s="3" t="inlineStr">
        <is>
          <t>16278</t>
        </is>
      </c>
      <c r="B16323" s="4" t="s">
        <f>=HYPERLINK("http://anyluxury.ru/shop/odezhda/futbolki-dlya-promo/futbolka-detskaya-regent-kids-150-bezhevaya-188610/" , "1886.10 Футболка детская REGENT KIDS 150 бежевая (песок), на рост 106-116 см (6 лет)")</f>
      </c>
      <c r="C16323" s="4" t="n">
        <v>468.00</v>
      </c>
      <c r="D16323" s="4"/>
    </row>
    <row collapsed="" customFormat="false" customHeight="1" hidden="" ht="14" outlineLevel="0" r="16324">
      <c r="A16324" s="3" t="inlineStr">
        <is>
          <t>16279</t>
        </is>
      </c>
      <c r="B16324" s="4" t="s">
        <f>=HYPERLINK("http://anyluxury.ru/shop/odezhda/futbolki-dlya-promo/futbolka-detskaya-regent-kids-150-bezhevaya-188610/" , "1886.10 Футболка детская REGENT KIDS 150 бежевая (песок), на рост 118-128 см (8 лет)")</f>
      </c>
      <c r="C16324" s="4" t="n">
        <v>468.00</v>
      </c>
      <c r="D16324" s="4"/>
    </row>
    <row collapsed="" customFormat="false" customHeight="1" hidden="" ht="14" outlineLevel="0" r="16325">
      <c r="A16325" s="3" t="inlineStr">
        <is>
          <t>16280</t>
        </is>
      </c>
      <c r="B16325" s="4" t="s">
        <f>=HYPERLINK("http://anyluxury.ru/shop/odezhda/futbolki-dlya-promo/futbolka-detskaya-regent-kids-150-bezhevaya-188610/" , "1886.10 Футболка детская REGENT KIDS 150 бежевая (песок), на рост 130-140 см (10 лет)")</f>
      </c>
      <c r="C16325" s="4" t="n">
        <v>468.00</v>
      </c>
      <c r="D16325" s="4"/>
    </row>
    <row collapsed="" customFormat="false" customHeight="1" hidden="" ht="14" outlineLevel="0" r="16326">
      <c r="A16326" s="3" t="inlineStr">
        <is>
          <t>16281</t>
        </is>
      </c>
      <c r="B16326" s="4" t="s">
        <f>=HYPERLINK("http://anyluxury.ru/shop/odezhda/futbolki-dlya-promo/futbolka-detskaya-regent-kids-150-bezhevaya-188610/" , "1886.10 Футболка детская REGENT KIDS 150 бежевая (песок), на рост 142-152 см (12 лет)")</f>
      </c>
      <c r="C16326" s="4" t="n">
        <v>468.00</v>
      </c>
      <c r="D16326" s="4"/>
    </row>
    <row collapsed="" customFormat="false" customHeight="1" hidden="" ht="14" outlineLevel="0" r="16327">
      <c r="A16327" s="3" t="inlineStr">
        <is>
          <t>16282</t>
        </is>
      </c>
      <c r="B16327" s="4" t="s">
        <f>=HYPERLINK("http://anyluxury.ru/shop/odezhda/futbolki-dlya-promo/futbolka-detskaya-regent-kids-150-svetlorozovaya-188615/" , "1886.15 Футболка детская REGENT KIDS 150 светло-розовая, на рост 96-104 см (4 года)")</f>
      </c>
      <c r="C16327" s="4" t="n">
        <v>468.00</v>
      </c>
      <c r="D16327" s="4"/>
    </row>
    <row collapsed="" customFormat="false" customHeight="1" hidden="" ht="14" outlineLevel="0" r="16328">
      <c r="A16328" s="3" t="inlineStr">
        <is>
          <t>16283</t>
        </is>
      </c>
      <c r="B16328" s="4" t="s">
        <f>=HYPERLINK("http://anyluxury.ru/shop/odezhda/futbolki-dlya-promo/futbolka-detskaya-regent-kids-150-svetlorozovaya-188615/" , "1886.15 Футболка детская REGENT KIDS 150 светло-розовая, на рост 106-116 см (6 лет)")</f>
      </c>
      <c r="C16328" s="4" t="n">
        <v>468.00</v>
      </c>
      <c r="D16328" s="4"/>
    </row>
    <row collapsed="" customFormat="false" customHeight="1" hidden="" ht="14" outlineLevel="0" r="16329">
      <c r="A16329" s="3" t="inlineStr">
        <is>
          <t>16284</t>
        </is>
      </c>
      <c r="B16329" s="4" t="s">
        <f>=HYPERLINK("http://anyluxury.ru/shop/odezhda/futbolki-dlya-promo/futbolka-detskaya-regent-kids-150-svetlorozovaya-188615/" , "1886.15 Футболка детская REGENT KIDS 150 светло-розовая, на рост 118-128 см (8 лет)")</f>
      </c>
      <c r="C16329" s="4" t="n">
        <v>468.00</v>
      </c>
      <c r="D16329" s="4"/>
    </row>
    <row collapsed="" customFormat="false" customHeight="1" hidden="" ht="14" outlineLevel="0" r="16330">
      <c r="A16330" s="3" t="inlineStr">
        <is>
          <t>16285</t>
        </is>
      </c>
      <c r="B16330" s="4" t="s">
        <f>=HYPERLINK("http://anyluxury.ru/shop/odezhda/futbolki-dlya-promo/futbolka-detskaya-regent-kids-150-svetlorozovaya-188615/" , "1886.15 Футболка детская REGENT KIDS 150 светло-розовая, на рост 130-140 см (10 лет)")</f>
      </c>
      <c r="C16330" s="4" t="n">
        <v>468.00</v>
      </c>
      <c r="D16330" s="4"/>
    </row>
    <row collapsed="" customFormat="false" customHeight="1" hidden="" ht="14" outlineLevel="0" r="16331">
      <c r="A16331" s="3" t="inlineStr">
        <is>
          <t>16286</t>
        </is>
      </c>
      <c r="B16331" s="4" t="s">
        <f>=HYPERLINK("http://anyluxury.ru/shop/odezhda/futbolki-dlya-promo/futbolka-detskaya-regent-kids-150-svetlorozovaya-188615/" , "1886.15 Футболка детская REGENT KIDS 150 светло-розовая, на рост 142-152 см (12 лет)")</f>
      </c>
      <c r="C16331" s="4" t="n">
        <v>468.00</v>
      </c>
      <c r="D16331" s="4"/>
    </row>
    <row collapsed="" customFormat="false" customHeight="1" hidden="" ht="14" outlineLevel="0" r="16332">
      <c r="A16332" s="3" t="inlineStr">
        <is>
          <t>16287</t>
        </is>
      </c>
      <c r="B16332" s="4" t="s">
        <f>=HYPERLINK("http://anyluxury.ru/shop/odezhda/futbolki-dlya-promo/futbolka-detskaya-regent-kids-150-temnosinyaya-navy-188640/" , "1886.40 Футболка детская REGENT KIDS 150 темно-синяя, на рост 96-104 см (4 года)")</f>
      </c>
      <c r="C16332" s="4" t="n">
        <v>468.00</v>
      </c>
      <c r="D16332" s="4"/>
    </row>
    <row collapsed="" customFormat="false" customHeight="1" hidden="" ht="14" outlineLevel="0" r="16333">
      <c r="A16333" s="3" t="inlineStr">
        <is>
          <t>16288</t>
        </is>
      </c>
      <c r="B16333" s="4" t="s">
        <f>=HYPERLINK("http://anyluxury.ru/shop/odezhda/futbolki-dlya-promo/futbolka-detskaya-regent-kids-150-temnosinyaya-navy-188640/" , "1886.40 Футболка детская REGENT KIDS 150 темно-синяя, на рост 106-116 см (6 лет)")</f>
      </c>
      <c r="C16333" s="4" t="n">
        <v>468.00</v>
      </c>
      <c r="D16333" s="4"/>
    </row>
    <row collapsed="" customFormat="false" customHeight="1" hidden="" ht="14" outlineLevel="0" r="16334">
      <c r="A16334" s="3" t="inlineStr">
        <is>
          <t>16289</t>
        </is>
      </c>
      <c r="B16334" s="4" t="s">
        <f>=HYPERLINK("http://anyluxury.ru/shop/odezhda/futbolki-dlya-promo/futbolka-detskaya-regent-kids-150-temnosinyaya-navy-188640/" , "1886.40 Футболка детская REGENT KIDS 150 темно-синяя, на рост 118-128 см (8 лет)")</f>
      </c>
      <c r="C16334" s="4" t="n">
        <v>468.00</v>
      </c>
      <c r="D16334" s="4"/>
    </row>
    <row collapsed="" customFormat="false" customHeight="1" hidden="" ht="14" outlineLevel="0" r="16335">
      <c r="A16335" s="3" t="inlineStr">
        <is>
          <t>16290</t>
        </is>
      </c>
      <c r="B16335" s="4" t="s">
        <f>=HYPERLINK("http://anyluxury.ru/shop/odezhda/futbolki-dlya-promo/futbolka-detskaya-regent-kids-150-temnosinyaya-navy-188640/" , "1886.40 Футболка детская REGENT KIDS 150 темно-синяя, на рост 130-140 см (10 лет)")</f>
      </c>
      <c r="C16335" s="4" t="n">
        <v>468.00</v>
      </c>
      <c r="D16335" s="4"/>
    </row>
    <row collapsed="" customFormat="false" customHeight="1" hidden="" ht="14" outlineLevel="0" r="16336">
      <c r="A16336" s="3" t="inlineStr">
        <is>
          <t>16291</t>
        </is>
      </c>
      <c r="B16336" s="4" t="s">
        <f>=HYPERLINK("http://anyluxury.ru/shop/odezhda/futbolki-dlya-promo/futbolka-detskaya-regent-kids-150-temnosinyaya-navy-188640/" , "1886.40 Футболка детская REGENT KIDS 150 темно-синяя, на рост 142-152 см (12 лет)")</f>
      </c>
      <c r="C16336" s="4" t="n">
        <v>468.00</v>
      </c>
      <c r="D16336" s="4"/>
    </row>
    <row collapsed="" customFormat="false" customHeight="1" hidden="" ht="14" outlineLevel="0" r="16337">
      <c r="A16337" s="3" t="inlineStr">
        <is>
          <t>16292</t>
        </is>
      </c>
      <c r="B16337" s="4" t="s">
        <f>=HYPERLINK("http://anyluxury.ru/shop/odezhda/futbolki-dlya-promo/futbolka-detskaya-regent-kids-150-sinyaya-dzhins-188643/" , "1886.43 Футболка детская REGENT KIDS 150 синий джинс, на рост 96-104 см (4 года)")</f>
      </c>
      <c r="C16337" s="4" t="n">
        <v>468.00</v>
      </c>
      <c r="D16337" s="4"/>
    </row>
    <row collapsed="" customFormat="false" customHeight="1" hidden="" ht="14" outlineLevel="0" r="16338">
      <c r="A16338" s="3" t="inlineStr">
        <is>
          <t>16293</t>
        </is>
      </c>
      <c r="B16338" s="4" t="s">
        <f>=HYPERLINK("http://anyluxury.ru/shop/odezhda/futbolki-dlya-promo/futbolka-detskaya-regent-kids-150-sinyaya-dzhins-188643/" , "1886.43 Футболка детская REGENT KIDS 150 синий джинс, на рост 106-116 см (6 лет)")</f>
      </c>
      <c r="C16338" s="4" t="n">
        <v>468.00</v>
      </c>
      <c r="D16338" s="4"/>
    </row>
    <row collapsed="" customFormat="false" customHeight="1" hidden="" ht="14" outlineLevel="0" r="16339">
      <c r="A16339" s="3" t="inlineStr">
        <is>
          <t>16294</t>
        </is>
      </c>
      <c r="B16339" s="4" t="s">
        <f>=HYPERLINK("http://anyluxury.ru/shop/odezhda/futbolki-dlya-promo/futbolka-detskaya-regent-kids-150-sinyaya-dzhins-188643/" , "1886.43 Футболка детская REGENT KIDS 150 синий джинс, на рост 118-128 см (8 лет)")</f>
      </c>
      <c r="C16339" s="4" t="n">
        <v>468.00</v>
      </c>
      <c r="D16339" s="4"/>
    </row>
    <row collapsed="" customFormat="false" customHeight="1" hidden="" ht="14" outlineLevel="0" r="16340">
      <c r="A16340" s="3" t="inlineStr">
        <is>
          <t>16295</t>
        </is>
      </c>
      <c r="B16340" s="4" t="s">
        <f>=HYPERLINK("http://anyluxury.ru/shop/odezhda/futbolki-dlya-promo/futbolka-detskaya-regent-kids-150-sinyaya-dzhins-188643/" , "1886.43 Футболка детская REGENT KIDS 150 синий джинс, на рост 130-140 см (10 лет)")</f>
      </c>
      <c r="C16340" s="4" t="n">
        <v>468.00</v>
      </c>
      <c r="D16340" s="4"/>
    </row>
    <row collapsed="" customFormat="false" customHeight="1" hidden="" ht="14" outlineLevel="0" r="16341">
      <c r="A16341" s="3" t="inlineStr">
        <is>
          <t>16296</t>
        </is>
      </c>
      <c r="B16341" s="4" t="s">
        <f>=HYPERLINK("http://anyluxury.ru/shop/odezhda/futbolki-dlya-promo/futbolka-detskaya-regent-kids-150-sinyaya-dzhins-188643/" , "1886.43 Футболка детская REGENT KIDS 150 синий джинс, на рост 142-152 см (12 лет)")</f>
      </c>
      <c r="C16341" s="4" t="n">
        <v>468.00</v>
      </c>
      <c r="D16341" s="4"/>
    </row>
    <row collapsed="" customFormat="false" customHeight="1" hidden="" ht="14" outlineLevel="0" r="16342">
      <c r="A16342" s="3" t="inlineStr">
        <is>
          <t>16297</t>
        </is>
      </c>
      <c r="B16342" s="4" t="s">
        <f>=HYPERLINK("http://anyluxury.ru/shop/odezhda/futbolki-dlya-promo/futbolka-detskaya-regent-kids-150-yarkorozovaya-fuksiya-188657/" , "1886.57 Футболка детская REGENT KIDS 150 ярко-розовая (фуксия), на рост 96-104 см (4 года)")</f>
      </c>
      <c r="C16342" s="4" t="n">
        <v>468.00</v>
      </c>
      <c r="D16342" s="4"/>
    </row>
    <row collapsed="" customFormat="false" customHeight="1" hidden="" ht="14" outlineLevel="0" r="16343">
      <c r="A16343" s="3" t="inlineStr">
        <is>
          <t>16298</t>
        </is>
      </c>
      <c r="B16343" s="4" t="s">
        <f>=HYPERLINK("http://anyluxury.ru/shop/odezhda/futbolki-dlya-promo/futbolka-detskaya-regent-kids-150-yarkorozovaya-fuksiya-188657/" , "1886.57 Футболка детская REGENT KIDS 150 ярко-розовая (фуксия), на рост 106-116 см (6 лет)")</f>
      </c>
      <c r="C16343" s="4" t="n">
        <v>468.00</v>
      </c>
      <c r="D16343" s="4"/>
    </row>
    <row collapsed="" customFormat="false" customHeight="1" hidden="" ht="14" outlineLevel="0" r="16344">
      <c r="A16344" s="3" t="inlineStr">
        <is>
          <t>16299</t>
        </is>
      </c>
      <c r="B16344" s="4" t="s">
        <f>=HYPERLINK("http://anyluxury.ru/shop/odezhda/futbolki-dlya-promo/futbolka-detskaya-regent-kids-150-yarkorozovaya-fuksiya-188657/" , "1886.57 Футболка детская REGENT KIDS 150 ярко-розовая (фуксия), на рост 118-128 см (8 лет)")</f>
      </c>
      <c r="C16344" s="4" t="n">
        <v>468.00</v>
      </c>
      <c r="D16344" s="4"/>
    </row>
    <row collapsed="" customFormat="false" customHeight="1" hidden="" ht="14" outlineLevel="0" r="16345">
      <c r="A16345" s="3" t="inlineStr">
        <is>
          <t>16300</t>
        </is>
      </c>
      <c r="B16345" s="4" t="s">
        <f>=HYPERLINK("http://anyluxury.ru/shop/odezhda/futbolki-dlya-promo/futbolka-detskaya-regent-kids-150-yarkorozovaya-fuksiya-188657/" , "1886.57 Футболка детская REGENT KIDS 150 ярко-розовая (фуксия), на рост 130-140 см (10 лет)")</f>
      </c>
      <c r="C16345" s="4" t="n">
        <v>468.00</v>
      </c>
      <c r="D16345" s="4"/>
    </row>
    <row collapsed="" customFormat="false" customHeight="1" hidden="" ht="14" outlineLevel="0" r="16346">
      <c r="A16346" s="3" t="inlineStr">
        <is>
          <t>16301</t>
        </is>
      </c>
      <c r="B16346" s="4" t="s">
        <f>=HYPERLINK("http://anyluxury.ru/shop/odezhda/futbolki-dlya-promo/futbolka-detskaya-regent-kids-150-yarkorozovaya-fuksiya-188657/" , "1886.57 Футболка детская REGENT KIDS 150 ярко-розовая (фуксия), на рост 142-152 см (12 лет)")</f>
      </c>
      <c r="C16346" s="4" t="n">
        <v>468.00</v>
      </c>
      <c r="D16346" s="4"/>
    </row>
    <row collapsed="" customFormat="false" customHeight="1" hidden="" ht="14" outlineLevel="0" r="16347">
      <c r="A16347" s="3" t="inlineStr">
        <is>
          <t>16302</t>
        </is>
      </c>
      <c r="B16347" s="4" t="s">
        <f>=HYPERLINK("http://anyluxury.ru/shop/odezhda/futbolki-dlya-promo/futbolka-detskaya-regent-kids-150-zheltaya-limonnaya-188688/" , "1886.88 Футболка детская REGENT KIDS 150 желтая (лимонная), на рост 96-104 см (4 года)")</f>
      </c>
      <c r="C16347" s="4" t="n">
        <v>468.00</v>
      </c>
      <c r="D16347" s="4"/>
    </row>
    <row collapsed="" customFormat="false" customHeight="1" hidden="" ht="14" outlineLevel="0" r="16348">
      <c r="A16348" s="3" t="inlineStr">
        <is>
          <t>16303</t>
        </is>
      </c>
      <c r="B16348" s="4" t="s">
        <f>=HYPERLINK("http://anyluxury.ru/shop/odezhda/futbolki-dlya-promo/futbolka-detskaya-regent-kids-150-zheltaya-limonnaya-188688/" , "1886.88 Футболка детская REGENT KIDS 150 желтая (лимонная), на рост 106-116 см (6 лет)")</f>
      </c>
      <c r="C16348" s="4" t="n">
        <v>468.00</v>
      </c>
      <c r="D16348" s="4"/>
    </row>
    <row collapsed="" customFormat="false" customHeight="1" hidden="" ht="14" outlineLevel="0" r="16349">
      <c r="A16349" s="3" t="inlineStr">
        <is>
          <t>16304</t>
        </is>
      </c>
      <c r="B16349" s="4" t="s">
        <f>=HYPERLINK("http://anyluxury.ru/shop/odezhda/futbolki-dlya-promo/futbolka-detskaya-regent-kids-150-zheltaya-limonnaya-188688/" , "1886.88 Футболка детская REGENT KIDS 150 желтая (лимонная), на рост 118-128 см (8 лет)")</f>
      </c>
      <c r="C16349" s="4" t="n">
        <v>468.00</v>
      </c>
      <c r="D16349" s="4"/>
    </row>
    <row collapsed="" customFormat="false" customHeight="1" hidden="" ht="14" outlineLevel="0" r="16350">
      <c r="A16350" s="3" t="inlineStr">
        <is>
          <t>16305</t>
        </is>
      </c>
      <c r="B16350" s="4" t="s">
        <f>=HYPERLINK("http://anyluxury.ru/shop/odezhda/futbolki-dlya-promo/futbolka-detskaya-regent-kids-150-zheltaya-limonnaya-188688/" , "1886.88 Футболка детская REGENT KIDS 150 желтая (лимонная), на рост 130-140 см (10 лет)")</f>
      </c>
      <c r="C16350" s="4" t="n">
        <v>468.00</v>
      </c>
      <c r="D16350" s="4"/>
    </row>
    <row collapsed="" customFormat="false" customHeight="1" hidden="" ht="14" outlineLevel="0" r="16351">
      <c r="A16351" s="3" t="inlineStr">
        <is>
          <t>16306</t>
        </is>
      </c>
      <c r="B16351" s="4" t="s">
        <f>=HYPERLINK("http://anyluxury.ru/shop/odezhda/futbolki-dlya-promo/futbolka-detskaya-regent-kids-150-zheltaya-limonnaya-188688/" , "1886.88 Футболка детская REGENT KIDS 150 желтая (лимонная), на рост 142-152 см (12 лет)")</f>
      </c>
      <c r="C16351" s="4" t="n">
        <v>468.00</v>
      </c>
      <c r="D16351" s="4"/>
    </row>
    <row collapsed="" customFormat="false" customHeight="1" hidden="" ht="14" outlineLevel="0" r="16352">
      <c r="A16352" s="3" t="inlineStr">
        <is>
          <t>16307</t>
        </is>
      </c>
      <c r="B16352" s="4" t="s">
        <f>=HYPERLINK("http://anyluxury.ru/shop/odezhda/futbolki-dlya-promo/futbolka-detskaya-regent-kids-150-temniy-haki-188699/" , "1886.99 Футболка детская REGENT KIDS 150 темный хаки, на рост 96-104 см (4 года)")</f>
      </c>
      <c r="C16352" s="4" t="n">
        <v>468.00</v>
      </c>
      <c r="D16352" s="4"/>
    </row>
    <row collapsed="" customFormat="false" customHeight="1" hidden="" ht="14" outlineLevel="0" r="16353">
      <c r="A16353" s="3" t="inlineStr">
        <is>
          <t>16308</t>
        </is>
      </c>
      <c r="B16353" s="4" t="s">
        <f>=HYPERLINK("http://anyluxury.ru/shop/odezhda/futbolki-dlya-promo/futbolka-detskaya-regent-kids-150-temniy-haki-188699/" , "1886.99 Футболка детская REGENT KIDS 150 темный хаки, на рост 106-116 см (6 лет)")</f>
      </c>
      <c r="C16353" s="4" t="n">
        <v>468.00</v>
      </c>
      <c r="D16353" s="4"/>
    </row>
    <row collapsed="" customFormat="false" customHeight="1" hidden="" ht="14" outlineLevel="0" r="16354">
      <c r="A16354" s="3" t="inlineStr">
        <is>
          <t>16309</t>
        </is>
      </c>
      <c r="B16354" s="4" t="s">
        <f>=HYPERLINK("http://anyluxury.ru/shop/odezhda/futbolki-dlya-promo/futbolka-detskaya-regent-kids-150-temniy-haki-188699/" , "1886.99 Футболка детская REGENT KIDS 150 темный хаки, на рост 118-128 см (8 лет)")</f>
      </c>
      <c r="C16354" s="4" t="n">
        <v>468.00</v>
      </c>
      <c r="D16354" s="4"/>
    </row>
    <row collapsed="" customFormat="false" customHeight="1" hidden="" ht="14" outlineLevel="0" r="16355">
      <c r="A16355" s="3" t="inlineStr">
        <is>
          <t>16310</t>
        </is>
      </c>
      <c r="B16355" s="4" t="s">
        <f>=HYPERLINK("http://anyluxury.ru/shop/odezhda/futbolki-dlya-promo/futbolka-detskaya-regent-kids-150-temniy-haki-188699/" , "1886.99 Футболка детская REGENT KIDS 150 темный хаки, на рост 130-140 см (10 лет)")</f>
      </c>
      <c r="C16355" s="4" t="n">
        <v>468.00</v>
      </c>
      <c r="D16355" s="4"/>
    </row>
    <row collapsed="" customFormat="false" customHeight="1" hidden="" ht="14" outlineLevel="0" r="16356">
      <c r="A16356" s="3" t="inlineStr">
        <is>
          <t>16311</t>
        </is>
      </c>
      <c r="B16356" s="4" t="s">
        <f>=HYPERLINK("http://anyluxury.ru/shop/odezhda/futbolki-dlya-promo/futbolka-detskaya-regent-kids-150-temniy-haki-188699/" , "1886.99 Футболка детская REGENT KIDS 150 темный хаки, на рост 142-152 см (12 лет)")</f>
      </c>
      <c r="C16356" s="4" t="n">
        <v>468.00</v>
      </c>
      <c r="D16356" s="4"/>
    </row>
    <row collapsed="" customFormat="false" customHeight="1" hidden="" ht="14" outlineLevel="0" r="16357">
      <c r="A16357" s="3" t="inlineStr">
        <is>
          <t>16312</t>
        </is>
      </c>
      <c r="B16357" s="4" t="s">
        <f>=HYPERLINK("http://anyluxury.ru/shop/odezhda/futbolki-dlya-promo/rubashka-polo-muzhskaya-summer-170-yarkobiryuzovaya-137943/" , "1379.43 Рубашка поло мужская SUMMER 170 ярко-бирюзовая, размер XS")</f>
      </c>
      <c r="C16357" s="4" t="n">
        <v>1135.00</v>
      </c>
      <c r="D16357" s="4"/>
    </row>
    <row collapsed="" customFormat="false" customHeight="1" hidden="" ht="14" outlineLevel="0" r="16358">
      <c r="A16358" s="3" t="inlineStr">
        <is>
          <t>16313</t>
        </is>
      </c>
      <c r="B16358" s="4" t="s">
        <f>=HYPERLINK("http://anyluxury.ru/shop/odezhda/futbolki-dlya-promo/rubashka-polo-muzhskaya-summer-170-yarkobiryuzovaya-137943/" , "1379.43 Рубашка поло мужская SUMMER 170 ярко-бирюзовая, размер S")</f>
      </c>
      <c r="C16358" s="4" t="n">
        <v>1135.00</v>
      </c>
      <c r="D16358" s="4"/>
    </row>
    <row collapsed="" customFormat="false" customHeight="1" hidden="" ht="14" outlineLevel="0" r="16359">
      <c r="A16359" s="3" t="inlineStr">
        <is>
          <t>16314</t>
        </is>
      </c>
      <c r="B16359" s="4" t="s">
        <f>=HYPERLINK("http://anyluxury.ru/shop/odezhda/futbolki-dlya-promo/rubashka-polo-muzhskaya-summer-170-yarkobiryuzovaya-137943/" , "1379.43 Рубашка поло мужская SUMMER 170 ярко-бирюзовая, размер M")</f>
      </c>
      <c r="C16359" s="4" t="n">
        <v>1135.00</v>
      </c>
      <c r="D16359" s="4"/>
    </row>
    <row collapsed="" customFormat="false" customHeight="1" hidden="" ht="14" outlineLevel="0" r="16360">
      <c r="A16360" s="3" t="inlineStr">
        <is>
          <t>16315</t>
        </is>
      </c>
      <c r="B16360" s="4" t="s">
        <f>=HYPERLINK("http://anyluxury.ru/shop/odezhda/futbolki-dlya-promo/rubashka-polo-muzhskaya-summer-170-yarkobiryuzovaya-137943/" , "1379.43 Рубашка поло мужская SUMMER 170 ярко-бирюзовая, размер L")</f>
      </c>
      <c r="C16360" s="4" t="n">
        <v>1135.00</v>
      </c>
      <c r="D16360" s="4"/>
    </row>
    <row collapsed="" customFormat="false" customHeight="1" hidden="" ht="14" outlineLevel="0" r="16361">
      <c r="A16361" s="3" t="inlineStr">
        <is>
          <t>16316</t>
        </is>
      </c>
      <c r="B16361" s="4" t="s">
        <f>=HYPERLINK("http://anyluxury.ru/shop/odezhda/futbolki-dlya-promo/rubashka-polo-muzhskaya-summer-170-yarkobiryuzovaya-137943/" , "1379.43 Рубашка поло мужская SUMMER 170 ярко-бирюзовая, размер XL")</f>
      </c>
      <c r="C16361" s="4" t="n">
        <v>1135.00</v>
      </c>
      <c r="D16361" s="4"/>
    </row>
    <row collapsed="" customFormat="false" customHeight="1" hidden="" ht="14" outlineLevel="0" r="16362">
      <c r="A16362" s="3" t="inlineStr">
        <is>
          <t>16317</t>
        </is>
      </c>
      <c r="B16362" s="4" t="s">
        <f>=HYPERLINK("http://anyluxury.ru/shop/odezhda/futbolki-dlya-promo/rubashka-polo-muzhskaya-summer-170-yarkobiryuzovaya-137943/" , "1379.43 Рубашка поло мужская SUMMER 170 ярко-бирюзовая, размер XXL")</f>
      </c>
      <c r="C16362" s="4" t="n">
        <v>1135.00</v>
      </c>
      <c r="D16362" s="4"/>
    </row>
    <row collapsed="" customFormat="false" customHeight="1" hidden="" ht="14" outlineLevel="0" r="16363">
      <c r="A16363" s="3" t="inlineStr">
        <is>
          <t>16318</t>
        </is>
      </c>
      <c r="B16363" s="4" t="s">
        <f>=HYPERLINK("http://anyluxury.ru/shop/odezhda/futbolki-dlya-promo/rubashka-polo-muzhskaya-summer-170-bordovaya-137955/" , "1379.55 Рубашка поло мужская SUMMER 170 бордовая, размер XS")</f>
      </c>
      <c r="C16363" s="4" t="n">
        <v>1135.00</v>
      </c>
      <c r="D16363" s="4"/>
    </row>
    <row collapsed="" customFormat="false" customHeight="1" hidden="" ht="14" outlineLevel="0" r="16364">
      <c r="A16364" s="3" t="inlineStr">
        <is>
          <t>16319</t>
        </is>
      </c>
      <c r="B16364" s="4" t="s">
        <f>=HYPERLINK("http://anyluxury.ru/shop/odezhda/futbolki-dlya-promo/rubashka-polo-muzhskaya-summer-170-bordovaya-137955/" , "1379.55 Рубашка поло мужская SUMMER 170 бордовая, размер S")</f>
      </c>
      <c r="C16364" s="4" t="n">
        <v>1135.00</v>
      </c>
      <c r="D16364" s="4"/>
    </row>
    <row collapsed="" customFormat="false" customHeight="1" hidden="" ht="14" outlineLevel="0" r="16365">
      <c r="A16365" s="3" t="inlineStr">
        <is>
          <t>16320</t>
        </is>
      </c>
      <c r="B16365" s="4" t="s">
        <f>=HYPERLINK("http://anyluxury.ru/shop/odezhda/futbolki-dlya-promo/rubashka-polo-muzhskaya-summer-170-bordovaya-137955/" , "1379.55 Рубашка поло мужская SUMMER 170 бордовая, размер M")</f>
      </c>
      <c r="C16365" s="4" t="n">
        <v>1135.00</v>
      </c>
      <c r="D16365" s="4"/>
    </row>
    <row collapsed="" customFormat="false" customHeight="1" hidden="" ht="14" outlineLevel="0" r="16366">
      <c r="A16366" s="3" t="inlineStr">
        <is>
          <t>16321</t>
        </is>
      </c>
      <c r="B16366" s="4" t="s">
        <f>=HYPERLINK("http://anyluxury.ru/shop/odezhda/futbolki-dlya-promo/rubashka-polo-muzhskaya-summer-170-bordovaya-137955/" , "1379.55 Рубашка поло мужская SUMMER 170 бордовая, размер L")</f>
      </c>
      <c r="C16366" s="4" t="n">
        <v>1135.00</v>
      </c>
      <c r="D16366" s="4"/>
    </row>
    <row collapsed="" customFormat="false" customHeight="1" hidden="" ht="14" outlineLevel="0" r="16367">
      <c r="A16367" s="3" t="inlineStr">
        <is>
          <t>16322</t>
        </is>
      </c>
      <c r="B16367" s="4" t="s">
        <f>=HYPERLINK("http://anyluxury.ru/shop/odezhda/futbolki-dlya-promo/rubashka-polo-muzhskaya-summer-170-bordovaya-137955/" , "1379.55 Рубашка поло мужская SUMMER 170 бордовая, размер XL")</f>
      </c>
      <c r="C16367" s="4" t="n">
        <v>1135.00</v>
      </c>
      <c r="D16367" s="4"/>
    </row>
    <row collapsed="" customFormat="false" customHeight="1" hidden="" ht="14" outlineLevel="0" r="16368">
      <c r="A16368" s="3" t="inlineStr">
        <is>
          <t>16323</t>
        </is>
      </c>
      <c r="B16368" s="4" t="s">
        <f>=HYPERLINK("http://anyluxury.ru/shop/odezhda/futbolki-dlya-promo/rubashka-polo-muzhskaya-summer-170-bordovaya-137955/" , "1379.55 Рубашка поло мужская SUMMER 170 бордовая, размер XXL")</f>
      </c>
      <c r="C16368" s="4" t="n">
        <v>1135.00</v>
      </c>
      <c r="D16368" s="4"/>
    </row>
    <row collapsed="" customFormat="false" customHeight="1" hidden="" ht="14" outlineLevel="0" r="16369">
      <c r="A16369" s="3" t="inlineStr">
        <is>
          <t>16324</t>
        </is>
      </c>
      <c r="B16369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S")</f>
      </c>
      <c r="C16369" s="4" t="n">
        <v>764.00</v>
      </c>
      <c r="D16369" s="4"/>
    </row>
    <row collapsed="" customFormat="false" customHeight="1" hidden="" ht="14" outlineLevel="0" r="16370">
      <c r="A16370" s="3" t="inlineStr">
        <is>
          <t>16325</t>
        </is>
      </c>
      <c r="B16370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M")</f>
      </c>
      <c r="C16370" s="4" t="n">
        <v>764.00</v>
      </c>
      <c r="D16370" s="4"/>
    </row>
    <row collapsed="" customFormat="false" customHeight="1" hidden="" ht="14" outlineLevel="0" r="16371">
      <c r="A16371" s="3" t="inlineStr">
        <is>
          <t>16326</t>
        </is>
      </c>
      <c r="B16371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L")</f>
      </c>
      <c r="C16371" s="4" t="n">
        <v>764.00</v>
      </c>
      <c r="D16371" s="4"/>
    </row>
    <row collapsed="" customFormat="false" customHeight="1" hidden="" ht="14" outlineLevel="0" r="16372">
      <c r="A16372" s="3" t="inlineStr">
        <is>
          <t>16327</t>
        </is>
      </c>
      <c r="B16372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XL")</f>
      </c>
      <c r="C16372" s="4" t="n">
        <v>764.00</v>
      </c>
      <c r="D16372" s="4"/>
    </row>
    <row collapsed="" customFormat="false" customHeight="1" hidden="" ht="14" outlineLevel="0" r="16373">
      <c r="A16373" s="3" t="inlineStr">
        <is>
          <t>16328</t>
        </is>
      </c>
      <c r="B16373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XXL")</f>
      </c>
      <c r="C16373" s="4" t="n">
        <v>764.00</v>
      </c>
      <c r="D16373" s="4"/>
    </row>
    <row collapsed="" customFormat="false" customHeight="1" hidden="" ht="14" outlineLevel="0" r="16374">
      <c r="A16374" s="3" t="inlineStr">
        <is>
          <t>16329</t>
        </is>
      </c>
      <c r="B16374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S")</f>
      </c>
      <c r="C16374" s="4" t="n">
        <v>764.00</v>
      </c>
      <c r="D16374" s="4"/>
    </row>
    <row collapsed="" customFormat="false" customHeight="1" hidden="" ht="14" outlineLevel="0" r="16375">
      <c r="A16375" s="3" t="inlineStr">
        <is>
          <t>16330</t>
        </is>
      </c>
      <c r="B16375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M")</f>
      </c>
      <c r="C16375" s="4" t="n">
        <v>764.00</v>
      </c>
      <c r="D16375" s="4"/>
    </row>
    <row collapsed="" customFormat="false" customHeight="1" hidden="" ht="14" outlineLevel="0" r="16376">
      <c r="A16376" s="3" t="inlineStr">
        <is>
          <t>16331</t>
        </is>
      </c>
      <c r="B16376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L")</f>
      </c>
      <c r="C16376" s="4" t="n">
        <v>764.00</v>
      </c>
      <c r="D16376" s="4"/>
    </row>
    <row collapsed="" customFormat="false" customHeight="1" hidden="" ht="14" outlineLevel="0" r="16377">
      <c r="A16377" s="3" t="inlineStr">
        <is>
          <t>16332</t>
        </is>
      </c>
      <c r="B16377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XL")</f>
      </c>
      <c r="C16377" s="4" t="n">
        <v>764.00</v>
      </c>
      <c r="D16377" s="4"/>
    </row>
    <row collapsed="" customFormat="false" customHeight="1" hidden="" ht="14" outlineLevel="0" r="16378">
      <c r="A16378" s="3" t="inlineStr">
        <is>
          <t>16333</t>
        </is>
      </c>
      <c r="B16378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XXL")</f>
      </c>
      <c r="C16378" s="4" t="n">
        <v>764.00</v>
      </c>
      <c r="D16378" s="4"/>
    </row>
    <row collapsed="" customFormat="false" customHeight="1" hidden="" ht="14" outlineLevel="0" r="16379">
      <c r="A16379" s="3" t="inlineStr">
        <is>
          <t>16334</t>
        </is>
      </c>
      <c r="B16379" s="4" t="s">
        <f>=HYPERLINK("http://anyluxury.ru/shop/odezhda/futbolki-dlya-promo/futbolka-muzhskaya-mixed-men-zeleniy-melanzh-01182262/" , "01182262 Футболка мужская MIXED MEN, зеленый меланж, размер S")</f>
      </c>
      <c r="C16379" s="4" t="n">
        <v>852.00</v>
      </c>
      <c r="D16379" s="4"/>
    </row>
    <row collapsed="" customFormat="false" customHeight="1" hidden="" ht="14" outlineLevel="0" r="16380">
      <c r="A16380" s="3" t="inlineStr">
        <is>
          <t>16335</t>
        </is>
      </c>
      <c r="B16380" s="4" t="s">
        <f>=HYPERLINK("http://anyluxury.ru/shop/odezhda/futbolki-dlya-promo/futbolka-muzhskaya-mixed-men-zeleniy-melanzh-01182262/" , "01182262 Футболка мужская MIXED MEN, зеленый меланж, размер M")</f>
      </c>
      <c r="C16380" s="4" t="n">
        <v>852.00</v>
      </c>
      <c r="D16380" s="4"/>
    </row>
    <row collapsed="" customFormat="false" customHeight="1" hidden="" ht="14" outlineLevel="0" r="16381">
      <c r="A16381" s="3" t="inlineStr">
        <is>
          <t>16336</t>
        </is>
      </c>
      <c r="B16381" s="4" t="s">
        <f>=HYPERLINK("http://anyluxury.ru/shop/odezhda/futbolki-dlya-promo/futbolka-muzhskaya-mixed-men-zeleniy-melanzh-01182262/" , "01182262 Футболка мужская MIXED MEN, зеленый меланж, размер L")</f>
      </c>
      <c r="C16381" s="4" t="n">
        <v>852.00</v>
      </c>
      <c r="D16381" s="4"/>
    </row>
    <row collapsed="" customFormat="false" customHeight="1" hidden="" ht="14" outlineLevel="0" r="16382">
      <c r="A16382" s="3" t="inlineStr">
        <is>
          <t>16337</t>
        </is>
      </c>
      <c r="B16382" s="4" t="s">
        <f>=HYPERLINK("http://anyluxury.ru/shop/odezhda/futbolki-dlya-promo/futbolka-muzhskaya-mixed-men-zeleniy-melanzh-01182262/" , "01182262 Футболка мужская MIXED MEN, зеленый меланж, размер XL")</f>
      </c>
      <c r="C16382" s="4" t="n">
        <v>852.00</v>
      </c>
      <c r="D16382" s="4"/>
    </row>
    <row collapsed="" customFormat="false" customHeight="1" hidden="" ht="14" outlineLevel="0" r="16383">
      <c r="A16383" s="3" t="inlineStr">
        <is>
          <t>16338</t>
        </is>
      </c>
      <c r="B16383" s="4" t="s">
        <f>=HYPERLINK("http://anyluxury.ru/shop/odezhda/futbolki-dlya-promo/futbolka-muzhskaya-mixed-men-zeleniy-melanzh-01182262/" , "01182262 Футболка мужская MIXED MEN, зеленый меланж, размер XXL")</f>
      </c>
      <c r="C16383" s="4" t="n">
        <v>852.00</v>
      </c>
      <c r="D16383" s="4"/>
    </row>
    <row collapsed="" customFormat="false" customHeight="1" hidden="" ht="14" outlineLevel="0" r="16384">
      <c r="A16384" s="3" t="inlineStr">
        <is>
          <t>16339</t>
        </is>
      </c>
      <c r="B16384" s="4" t="s">
        <f>=HYPERLINK("http://anyluxury.ru/shop/odezhda/futbolki-dlya-promo/futbolka-zhenskaya-tbolka-stretch-lady-belaya-189160/" , "1891.60 Футболка женская T-bolka Stretch Lady, белая, размер S")</f>
      </c>
      <c r="C16384" s="4" t="n">
        <v>855.00</v>
      </c>
      <c r="D16384" s="4"/>
    </row>
    <row collapsed="" customFormat="false" customHeight="1" hidden="" ht="14" outlineLevel="0" r="16385">
      <c r="A16385" s="3" t="inlineStr">
        <is>
          <t>16340</t>
        </is>
      </c>
      <c r="B16385" s="4" t="s">
        <f>=HYPERLINK("http://anyluxury.ru/shop/odezhda/futbolki-dlya-promo/futbolka-zhenskaya-tbolka-stretch-lady-belaya-189160/" , "1891.60 Футболка женская T-bolka Stretch Lady, белая, размер M")</f>
      </c>
      <c r="C16385" s="4" t="n">
        <v>855.00</v>
      </c>
      <c r="D16385" s="4"/>
    </row>
    <row collapsed="" customFormat="false" customHeight="1" hidden="" ht="14" outlineLevel="0" r="16386">
      <c r="A16386" s="3" t="inlineStr">
        <is>
          <t>16341</t>
        </is>
      </c>
      <c r="B16386" s="4" t="s">
        <f>=HYPERLINK("http://anyluxury.ru/shop/odezhda/futbolki-dlya-promo/futbolka-zhenskaya-tbolka-stretch-lady-belaya-189160/" , "1891.60 Футболка женская T-bolka Stretch Lady, белая, размер L")</f>
      </c>
      <c r="C16386" s="4" t="n">
        <v>855.00</v>
      </c>
      <c r="D16386" s="4"/>
    </row>
    <row collapsed="" customFormat="false" customHeight="1" hidden="" ht="14" outlineLevel="0" r="16387">
      <c r="A16387" s="3" t="inlineStr">
        <is>
          <t>16342</t>
        </is>
      </c>
      <c r="B16387" s="4" t="s">
        <f>=HYPERLINK("http://anyluxury.ru/shop/odezhda/futbolki-dlya-promo/futbolka-zhenskaya-tbolka-stretch-lady-belaya-189160/" , "1891.60 Футболка женская T-bolka Stretch Lady, белая, размер XL")</f>
      </c>
      <c r="C16387" s="4" t="n">
        <v>855.00</v>
      </c>
      <c r="D16387" s="4"/>
    </row>
    <row collapsed="" customFormat="false" customHeight="1" hidden="" ht="14" outlineLevel="0" r="16388">
      <c r="A16388" s="3" t="inlineStr">
        <is>
          <t>16343</t>
        </is>
      </c>
      <c r="B16388" s="4" t="s">
        <f>=HYPERLINK("http://anyluxury.ru/shop/odezhda/futbolki-dlya-promo/futbolka-zhenskaya-tbolka-stretch-lady-belaya-189160/" , "1891.60 Футболка женская T-bolka Stretch Lady, белая, размер XXL")</f>
      </c>
      <c r="C16388" s="4" t="n">
        <v>855.00</v>
      </c>
      <c r="D16388" s="4"/>
    </row>
    <row collapsed="" customFormat="false" customHeight="1" hidden="" ht="14" outlineLevel="0" r="16389">
      <c r="A16389" s="3" t="inlineStr">
        <is>
          <t>16344</t>
        </is>
      </c>
      <c r="B16389" s="4" t="s">
        <f>=HYPERLINK("http://anyluxury.ru/shop/odezhda/futbolki-dlya-promo/futbolka-zhenskaya-tbolka-stretch-lady-krasnaya-189150/" , "1891.50 Футболка женская T-bolka Stretch Lady, красная, размер S")</f>
      </c>
      <c r="C16389" s="4" t="n">
        <v>756.00</v>
      </c>
      <c r="D16389" s="4"/>
    </row>
    <row collapsed="" customFormat="false" customHeight="1" hidden="" ht="14" outlineLevel="0" r="16390">
      <c r="A16390" s="3" t="inlineStr">
        <is>
          <t>16345</t>
        </is>
      </c>
      <c r="B16390" s="4" t="s">
        <f>=HYPERLINK("http://anyluxury.ru/shop/odezhda/futbolki-dlya-promo/futbolka-zhenskaya-tbolka-stretch-lady-krasnaya-189150/" , "1891.50 Футболка женская T-bolka Stretch Lady, красная, размер S")</f>
      </c>
      <c r="C16390" s="4" t="n">
        <v>756.00</v>
      </c>
      <c r="D16390" s="4"/>
    </row>
    <row collapsed="" customFormat="false" customHeight="1" hidden="" ht="14" outlineLevel="0" r="16391">
      <c r="A16391" s="3" t="inlineStr">
        <is>
          <t>16346</t>
        </is>
      </c>
      <c r="B16391" s="4" t="s">
        <f>=HYPERLINK("http://anyluxury.ru/shop/odezhda/futbolki-dlya-promo/futbolka-zhenskaya-tbolka-stretch-lady-krasnaya-189150/" , "1891.50 Футболка женская T-bolka Stretch Lady, красная, размер M")</f>
      </c>
      <c r="C16391" s="4" t="n">
        <v>820.00</v>
      </c>
      <c r="D16391" s="4"/>
    </row>
    <row collapsed="" customFormat="false" customHeight="1" hidden="" ht="14" outlineLevel="0" r="16392">
      <c r="A16392" s="3" t="inlineStr">
        <is>
          <t>16347</t>
        </is>
      </c>
      <c r="B16392" s="4" t="s">
        <f>=HYPERLINK("http://anyluxury.ru/shop/odezhda/futbolki-dlya-promo/futbolka-zhenskaya-tbolka-stretch-lady-krasnaya-189150/" , "1891.50 Футболка женская T-bolka Stretch Lady, красная, размер M")</f>
      </c>
      <c r="C16392" s="4" t="n">
        <v>756.00</v>
      </c>
      <c r="D16392" s="4"/>
    </row>
    <row collapsed="" customFormat="false" customHeight="1" hidden="" ht="14" outlineLevel="0" r="16393">
      <c r="A16393" s="3" t="inlineStr">
        <is>
          <t>16348</t>
        </is>
      </c>
      <c r="B16393" s="4" t="s">
        <f>=HYPERLINK("http://anyluxury.ru/shop/odezhda/futbolki-dlya-promo/futbolka-zhenskaya-tbolka-stretch-lady-krasnaya-189150/" , "1891.50 Футболка женская T-bolka Stretch Lady, красная, размер L")</f>
      </c>
      <c r="C16393" s="4" t="n">
        <v>756.00</v>
      </c>
      <c r="D16393" s="4"/>
    </row>
    <row collapsed="" customFormat="false" customHeight="1" hidden="" ht="14" outlineLevel="0" r="16394">
      <c r="A16394" s="3" t="inlineStr">
        <is>
          <t>16349</t>
        </is>
      </c>
      <c r="B16394" s="4" t="s">
        <f>=HYPERLINK("http://anyluxury.ru/shop/odezhda/futbolki-dlya-promo/futbolka-zhenskaya-tbolka-stretch-lady-krasnaya-189150/" , "1891.50 Футболка женская T-bolka Stretch Lady, красная, размер L")</f>
      </c>
      <c r="C16394" s="4" t="n">
        <v>756.00</v>
      </c>
      <c r="D16394" s="4"/>
    </row>
    <row collapsed="" customFormat="false" customHeight="1" hidden="" ht="14" outlineLevel="0" r="16395">
      <c r="A16395" s="3" t="inlineStr">
        <is>
          <t>16350</t>
        </is>
      </c>
      <c r="B16395" s="4" t="s">
        <f>=HYPERLINK("http://anyluxury.ru/shop/odezhda/futbolki-dlya-promo/futbolka-zhenskaya-tbolka-stretch-lady-krasnaya-189150/" , "1891.50 Футболка женская T-bolka Stretch Lady, красная, размер XL")</f>
      </c>
      <c r="C16395" s="4" t="n">
        <v>756.00</v>
      </c>
      <c r="D16395" s="4"/>
    </row>
    <row collapsed="" customFormat="false" customHeight="1" hidden="" ht="14" outlineLevel="0" r="16396">
      <c r="A16396" s="3" t="inlineStr">
        <is>
          <t>16351</t>
        </is>
      </c>
      <c r="B16396" s="4" t="s">
        <f>=HYPERLINK("http://anyluxury.ru/shop/odezhda/futbolki-dlya-promo/futbolka-zhenskaya-tbolka-stretch-lady-krasnaya-189150/" , "1891.50 Футболка женская T-bolka Stretch Lady, красная, размер XL")</f>
      </c>
      <c r="C16396" s="4" t="n">
        <v>756.00</v>
      </c>
      <c r="D16396" s="4"/>
    </row>
    <row collapsed="" customFormat="false" customHeight="1" hidden="" ht="14" outlineLevel="0" r="16397">
      <c r="A16397" s="3" t="inlineStr">
        <is>
          <t>16352</t>
        </is>
      </c>
      <c r="B16397" s="4" t="s">
        <f>=HYPERLINK("http://anyluxury.ru/shop/odezhda/futbolki-dlya-promo/futbolka-zhenskaya-tbolka-stretch-lady-yarkosinyaya-royal-189144/" , "1891.44 Футболка женская T-bolka Stretch Lady, ярко-синяя (royal), размер S")</f>
      </c>
      <c r="C16397" s="4" t="n">
        <v>756.00</v>
      </c>
      <c r="D16397" s="4"/>
    </row>
    <row collapsed="" customFormat="false" customHeight="1" hidden="" ht="14" outlineLevel="0" r="16398">
      <c r="A16398" s="3" t="inlineStr">
        <is>
          <t>16353</t>
        </is>
      </c>
      <c r="B16398" s="4" t="s">
        <f>=HYPERLINK("http://anyluxury.ru/shop/odezhda/futbolki-dlya-promo/futbolka-zhenskaya-tbolka-stretch-lady-yarkosinyaya-royal-189144/" , "1891.44 Футболка женская T-bolka Stretch Lady, ярко-синяя (royal), размер M")</f>
      </c>
      <c r="C16398" s="4" t="n">
        <v>756.00</v>
      </c>
      <c r="D16398" s="4"/>
    </row>
    <row collapsed="" customFormat="false" customHeight="1" hidden="" ht="14" outlineLevel="0" r="16399">
      <c r="A16399" s="3" t="inlineStr">
        <is>
          <t>16354</t>
        </is>
      </c>
      <c r="B16399" s="4" t="s">
        <f>=HYPERLINK("http://anyluxury.ru/shop/odezhda/futbolki-dlya-promo/futbolka-zhenskaya-tbolka-stretch-lady-yarkosinyaya-royal-189144/" , "1891.44 Футболка женская T-bolka Stretch Lady, ярко-синяя (royal), размер M")</f>
      </c>
      <c r="C16399" s="4" t="n">
        <v>756.00</v>
      </c>
      <c r="D16399" s="4"/>
    </row>
    <row collapsed="" customFormat="false" customHeight="1" hidden="" ht="14" outlineLevel="0" r="16400">
      <c r="A16400" s="3" t="inlineStr">
        <is>
          <t>16355</t>
        </is>
      </c>
      <c r="B16400" s="4" t="s">
        <f>=HYPERLINK("http://anyluxury.ru/shop/odezhda/futbolki-dlya-promo/futbolka-zhenskaya-tbolka-stretch-lady-yarkosinyaya-royal-189144/" , "1891.44 Футболка женская T-bolka Stretch Lady, ярко-синяя (royal), размер L")</f>
      </c>
      <c r="C16400" s="4" t="n">
        <v>756.00</v>
      </c>
      <c r="D16400" s="4"/>
    </row>
    <row collapsed="" customFormat="false" customHeight="1" hidden="" ht="14" outlineLevel="0" r="16401">
      <c r="A16401" s="3" t="inlineStr">
        <is>
          <t>16356</t>
        </is>
      </c>
      <c r="B16401" s="4" t="s">
        <f>=HYPERLINK("http://anyluxury.ru/shop/odezhda/futbolki-dlya-promo/futbolka-zhenskaya-tbolka-stretch-lady-yarkosinyaya-royal-189144/" , "1891.44 Футболка женская T-bolka Stretch Lady, ярко-синяя (royal), размер L")</f>
      </c>
      <c r="C16401" s="4" t="n">
        <v>820.00</v>
      </c>
      <c r="D16401" s="4"/>
    </row>
    <row collapsed="" customFormat="false" customHeight="1" hidden="" ht="14" outlineLevel="0" r="16402">
      <c r="A16402" s="3" t="inlineStr">
        <is>
          <t>16357</t>
        </is>
      </c>
      <c r="B16402" s="4" t="s">
        <f>=HYPERLINK("http://anyluxury.ru/shop/odezhda/futbolki-dlya-promo/futbolka-zhenskaya-tbolka-stretch-lady-yarkosinyaya-royal-189144/" , "1891.44 Футболка женская T-bolka Stretch Lady, ярко-синяя (royal), размер XL")</f>
      </c>
      <c r="C16402" s="4" t="n">
        <v>756.00</v>
      </c>
      <c r="D16402" s="4"/>
    </row>
    <row collapsed="" customFormat="false" customHeight="1" hidden="" ht="14" outlineLevel="0" r="16403">
      <c r="A16403" s="3" t="inlineStr">
        <is>
          <t>16358</t>
        </is>
      </c>
      <c r="B16403" s="4" t="s">
        <f>=HYPERLINK("http://anyluxury.ru/shop/odezhda/futbolki-dlya-promo/futbolka-zhenskaya-tbolka-stretch-lady-yarkosinyaya-royal-189144/" , "1891.44 Футболка женская T-bolka Stretch Lady, ярко-синяя (royal), размер XL")</f>
      </c>
      <c r="C16403" s="4" t="n">
        <v>756.00</v>
      </c>
      <c r="D16403" s="4"/>
    </row>
    <row collapsed="" customFormat="false" customHeight="1" hidden="" ht="14" outlineLevel="0" r="16404">
      <c r="A16404" s="3" t="inlineStr">
        <is>
          <t>16359</t>
        </is>
      </c>
      <c r="B16404" s="4" t="s">
        <f>=HYPERLINK("http://anyluxury.ru/shop/odezhda/futbolki-dlya-promo/futbolka-zhenskaya-tbolka-stretch-lady-chernaya-189130/" , "1891.30 Футболка женская T-bolka Stretch Lady, черная, размер S")</f>
      </c>
      <c r="C16404" s="4" t="n">
        <v>855.00</v>
      </c>
      <c r="D16404" s="4"/>
    </row>
    <row collapsed="" customFormat="false" customHeight="1" hidden="" ht="14" outlineLevel="0" r="16405">
      <c r="A16405" s="3" t="inlineStr">
        <is>
          <t>16360</t>
        </is>
      </c>
      <c r="B16405" s="4" t="s">
        <f>=HYPERLINK("http://anyluxury.ru/shop/odezhda/futbolki-dlya-promo/futbolka-zhenskaya-tbolka-stretch-lady-chernaya-189130/" , "1891.30 Футболка женская T-bolka Stretch Lady, черная, размер M")</f>
      </c>
      <c r="C16405" s="4" t="n">
        <v>855.00</v>
      </c>
      <c r="D16405" s="4"/>
    </row>
    <row collapsed="" customFormat="false" customHeight="1" hidden="" ht="14" outlineLevel="0" r="16406">
      <c r="A16406" s="3" t="inlineStr">
        <is>
          <t>16361</t>
        </is>
      </c>
      <c r="B16406" s="4" t="s">
        <f>=HYPERLINK("http://anyluxury.ru/shop/odezhda/futbolki-dlya-promo/futbolka-zhenskaya-tbolka-stretch-lady-chernaya-189130/" , "1891.30 Футболка женская T-bolka Stretch Lady, черная, размер L")</f>
      </c>
      <c r="C16406" s="4" t="n">
        <v>855.00</v>
      </c>
      <c r="D16406" s="4"/>
    </row>
    <row collapsed="" customFormat="false" customHeight="1" hidden="" ht="14" outlineLevel="0" r="16407">
      <c r="A16407" s="3" t="inlineStr">
        <is>
          <t>16362</t>
        </is>
      </c>
      <c r="B16407" s="4" t="s">
        <f>=HYPERLINK("http://anyluxury.ru/shop/odezhda/futbolki-dlya-promo/futbolka-zhenskaya-tbolka-stretch-lady-chernaya-189130/" , "1891.30 Футболка женская T-bolka Stretch Lady, черная, размер XL")</f>
      </c>
      <c r="C16407" s="4" t="n">
        <v>855.00</v>
      </c>
      <c r="D16407" s="4"/>
    </row>
    <row collapsed="" customFormat="false" customHeight="1" hidden="" ht="14" outlineLevel="0" r="16408">
      <c r="A16408" s="3" t="inlineStr">
        <is>
          <t>16363</t>
        </is>
      </c>
      <c r="B16408" s="4" t="s">
        <f>=HYPERLINK("http://anyluxury.ru/shop/odezhda/futbolki-dlya-promo/futbolka-zhenskaya-tbolka-stretch-lady-chernaya-189130/" , "1891.30 Футболка женская T-bolka Stretch Lady, черная, размер XXL")</f>
      </c>
      <c r="C16408" s="4" t="n">
        <v>855.00</v>
      </c>
      <c r="D16408" s="4"/>
    </row>
    <row collapsed="" customFormat="false" customHeight="1" hidden="" ht="14" outlineLevel="0" r="16409">
      <c r="A16409" s="3" t="inlineStr">
        <is>
          <t>16364</t>
        </is>
      </c>
      <c r="B16409" s="4" t="s">
        <f>=HYPERLINK("http://anyluxury.ru/shop/odezhda/futbolki-dlya-promo/futbolka-zhenskaya-tbolka-stretch-lady-temnosinyaya-navy-189140/" , "1891.40 Футболка женская T-bolka Stretch Lady, темно-синяя (navy), размер S")</f>
      </c>
      <c r="C16409" s="4" t="n">
        <v>836.00</v>
      </c>
      <c r="D16409" s="4"/>
    </row>
    <row collapsed="" customFormat="false" customHeight="1" hidden="" ht="14" outlineLevel="0" r="16410">
      <c r="A16410" s="3" t="inlineStr">
        <is>
          <t>16365</t>
        </is>
      </c>
      <c r="B16410" s="4" t="s">
        <f>=HYPERLINK("http://anyluxury.ru/shop/odezhda/futbolki-dlya-promo/futbolka-zhenskaya-tbolka-stretch-lady-temnosinyaya-navy-189140/" , "1891.40 Футболка женская T-bolka Stretch Lady, темно-синяя (navy), размер M")</f>
      </c>
      <c r="C16410" s="4" t="n">
        <v>836.00</v>
      </c>
      <c r="D16410" s="4"/>
    </row>
    <row collapsed="" customFormat="false" customHeight="1" hidden="" ht="14" outlineLevel="0" r="16411">
      <c r="A16411" s="3" t="inlineStr">
        <is>
          <t>16366</t>
        </is>
      </c>
      <c r="B16411" s="4" t="s">
        <f>=HYPERLINK("http://anyluxury.ru/shop/odezhda/futbolki-dlya-promo/futbolka-zhenskaya-tbolka-stretch-lady-temnosinyaya-navy-189140/" , "1891.40 Футболка женская T-bolka Stretch Lady, темно-синяя (navy), размер L")</f>
      </c>
      <c r="C16411" s="4" t="n">
        <v>836.00</v>
      </c>
      <c r="D16411" s="4"/>
    </row>
    <row collapsed="" customFormat="false" customHeight="1" hidden="" ht="14" outlineLevel="0" r="16412">
      <c r="A16412" s="3" t="inlineStr">
        <is>
          <t>16367</t>
        </is>
      </c>
      <c r="B16412" s="4" t="s">
        <f>=HYPERLINK("http://anyluxury.ru/shop/odezhda/futbolki-dlya-promo/futbolka-zhenskaya-tbolka-stretch-lady-temnosinyaya-navy-189140/" , "1891.40 Футболка женская T-bolka Stretch Lady, темно-синяя (navy), размер XL")</f>
      </c>
      <c r="C16412" s="4" t="n">
        <v>836.00</v>
      </c>
      <c r="D16412" s="4"/>
    </row>
    <row collapsed="" customFormat="false" customHeight="1" hidden="" ht="14" outlineLevel="0" r="16413">
      <c r="A16413" s="3" t="inlineStr">
        <is>
          <t>16368</t>
        </is>
      </c>
      <c r="B16413" s="4" t="s">
        <f>=HYPERLINK("http://anyluxury.ru/shop/odezhda/futbolki-dlya-promo/futbolka-zhenskaya-tbolka-stretch-lady-seriy-melanzh-189111/" , "1891.11 Футболка женская T-bolka Stretch Lady, серый меланж, размер S")</f>
      </c>
      <c r="C16413" s="4" t="n">
        <v>756.00</v>
      </c>
      <c r="D16413" s="4"/>
    </row>
    <row collapsed="" customFormat="false" customHeight="1" hidden="" ht="14" outlineLevel="0" r="16414">
      <c r="A16414" s="3" t="inlineStr">
        <is>
          <t>16369</t>
        </is>
      </c>
      <c r="B16414" s="4" t="s">
        <f>=HYPERLINK("http://anyluxury.ru/shop/odezhda/futbolki-dlya-promo/futbolka-zhenskaya-tbolka-stretch-lady-seriy-melanzh-189111/" , "1891.11 Футболка женская T-bolka Stretch Lady, серый меланж, размер M")</f>
      </c>
      <c r="C16414" s="4" t="n">
        <v>756.00</v>
      </c>
      <c r="D16414" s="4"/>
    </row>
    <row collapsed="" customFormat="false" customHeight="1" hidden="" ht="14" outlineLevel="0" r="16415">
      <c r="A16415" s="3" t="inlineStr">
        <is>
          <t>16370</t>
        </is>
      </c>
      <c r="B16415" s="4" t="s">
        <f>=HYPERLINK("http://anyluxury.ru/shop/odezhda/futbolki-dlya-promo/futbolka-zhenskaya-tbolka-stretch-lady-seriy-melanzh-189111/" , "1891.11 Футболка женская T-bolka Stretch Lady, серый меланж, размер M")</f>
      </c>
      <c r="C16415" s="4" t="n">
        <v>756.00</v>
      </c>
      <c r="D16415" s="4"/>
    </row>
    <row collapsed="" customFormat="false" customHeight="1" hidden="" ht="14" outlineLevel="0" r="16416">
      <c r="A16416" s="3" t="inlineStr">
        <is>
          <t>16371</t>
        </is>
      </c>
      <c r="B16416" s="4" t="s">
        <f>=HYPERLINK("http://anyluxury.ru/shop/odezhda/futbolki-dlya-promo/futbolka-zhenskaya-tbolka-stretch-lady-seriy-melanzh-189111/" , "1891.11 Футболка женская T-bolka Stretch Lady, серый меланж, размер L")</f>
      </c>
      <c r="C16416" s="4" t="n">
        <v>756.00</v>
      </c>
      <c r="D16416" s="4"/>
    </row>
    <row collapsed="" customFormat="false" customHeight="1" hidden="" ht="14" outlineLevel="0" r="16417">
      <c r="A16417" s="3" t="inlineStr">
        <is>
          <t>16372</t>
        </is>
      </c>
      <c r="B16417" s="4" t="s">
        <f>=HYPERLINK("http://anyluxury.ru/shop/odezhda/futbolki-dlya-promo/futbolka-zhenskaya-tbolka-stretch-lady-seriy-melanzh-189111/" , "1891.11 Футболка женская T-bolka Stretch Lady, серый меланж, размер XL")</f>
      </c>
      <c r="C16417" s="4" t="n">
        <v>756.00</v>
      </c>
      <c r="D16417" s="4"/>
    </row>
    <row collapsed="" customFormat="false" customHeight="1" hidden="" ht="14" outlineLevel="0" r="16418">
      <c r="A16418" s="3" t="inlineStr">
        <is>
          <t>16373</t>
        </is>
      </c>
      <c r="B16418" s="4" t="s">
        <f>=HYPERLINK("http://anyluxury.ru/shop/odezhda/futbolki-dlya-promo/futbolka-zhenskaya-tbolka-stretch-lady-seriy-melanzh-189111/" , "1891.11 Футболка женская T-bolka Stretch Lady, серый меланж, размер XL")</f>
      </c>
      <c r="C16418" s="4" t="n">
        <v>756.00</v>
      </c>
      <c r="D16418" s="4"/>
    </row>
    <row collapsed="" customFormat="false" customHeight="1" hidden="" ht="14" outlineLevel="0" r="16419">
      <c r="A16419" s="3" t="inlineStr">
        <is>
          <t>16374</t>
        </is>
      </c>
      <c r="B16419" s="4" t="s">
        <f>=HYPERLINK("http://anyluxury.ru/shop/odezhda/futbolki-dlya-promo/futbolka-muzhskaya-tbolka-stretch-belaya-189360/" , "1893.60 Футболка мужская T-bolka Stretch, белая, размер M")</f>
      </c>
      <c r="C16419" s="4" t="n">
        <v>968.00</v>
      </c>
      <c r="D16419" s="4"/>
    </row>
    <row collapsed="" customFormat="false" customHeight="1" hidden="" ht="14" outlineLevel="0" r="16420">
      <c r="A16420" s="3" t="inlineStr">
        <is>
          <t>16375</t>
        </is>
      </c>
      <c r="B16420" s="4" t="s">
        <f>=HYPERLINK("http://anyluxury.ru/shop/odezhda/futbolki-dlya-promo/futbolka-muzhskaya-tbolka-stretch-belaya-189360/" , "1893.60 Футболка мужская T-bolka Stretch, белая, размер XXL")</f>
      </c>
      <c r="C16420" s="4" t="n">
        <v>968.00</v>
      </c>
      <c r="D16420" s="4"/>
    </row>
    <row collapsed="" customFormat="false" customHeight="1" hidden="" ht="14" outlineLevel="0" r="16421">
      <c r="A16421" s="3" t="inlineStr">
        <is>
          <t>16376</t>
        </is>
      </c>
      <c r="B16421" s="4" t="s">
        <f>=HYPERLINK("http://anyluxury.ru/shop/odezhda/futbolki-dlya-promo/futbolka-muzhskaya-tbolka-stretch-belaya-189360/" , "1893.60 Футболка мужская T-bolka Stretch, белая, размер 3XL")</f>
      </c>
      <c r="C16421" s="4" t="n">
        <v>968.00</v>
      </c>
      <c r="D16421" s="4"/>
    </row>
    <row collapsed="" customFormat="false" customHeight="1" hidden="" ht="14" outlineLevel="0" r="16422">
      <c r="A16422" s="3" t="inlineStr">
        <is>
          <t>16377</t>
        </is>
      </c>
      <c r="B16422" s="4" t="s">
        <f>=HYPERLINK("http://anyluxury.ru/shop/odezhda/futbolki-dlya-promo/futbolka-muzhskaya-tbolka-stretch-krasnaya-189350/" , "1893.50 Футболка мужская T-bolka Stretch, красная, размер S")</f>
      </c>
      <c r="C16422" s="4" t="n">
        <v>968.00</v>
      </c>
      <c r="D16422" s="4"/>
    </row>
    <row collapsed="" customFormat="false" customHeight="1" hidden="" ht="14" outlineLevel="0" r="16423">
      <c r="A16423" s="3" t="inlineStr">
        <is>
          <t>16378</t>
        </is>
      </c>
      <c r="B16423" s="4" t="s">
        <f>=HYPERLINK("http://anyluxury.ru/shop/odezhda/futbolki-dlya-promo/futbolka-muzhskaya-tbolka-stretch-krasnaya-189350/" , "1893.50 Футболка мужская T-bolka Stretch, красная, размер S")</f>
      </c>
      <c r="C16423" s="4" t="n">
        <v>968.00</v>
      </c>
      <c r="D16423" s="4"/>
    </row>
    <row collapsed="" customFormat="false" customHeight="1" hidden="" ht="14" outlineLevel="0" r="16424">
      <c r="A16424" s="3" t="inlineStr">
        <is>
          <t>16379</t>
        </is>
      </c>
      <c r="B16424" s="4" t="s">
        <f>=HYPERLINK("http://anyluxury.ru/shop/odezhda/futbolki-dlya-promo/futbolka-muzhskaya-tbolka-stretch-krasnaya-189350/" , "1893.50 Футболка мужская T-bolka Stretch, красная, размер M")</f>
      </c>
      <c r="C16424" s="4" t="n">
        <v>968.00</v>
      </c>
      <c r="D16424" s="4"/>
    </row>
    <row collapsed="" customFormat="false" customHeight="1" hidden="" ht="14" outlineLevel="0" r="16425">
      <c r="A16425" s="3" t="inlineStr">
        <is>
          <t>16380</t>
        </is>
      </c>
      <c r="B16425" s="4" t="s">
        <f>=HYPERLINK("http://anyluxury.ru/shop/odezhda/futbolki-dlya-promo/futbolka-muzhskaya-tbolka-stretch-krasnaya-189350/" , "1893.50 Футболка мужская T-bolka Stretch, красная, размер L")</f>
      </c>
      <c r="C16425" s="4" t="n">
        <v>968.00</v>
      </c>
      <c r="D16425" s="4"/>
    </row>
    <row collapsed="" customFormat="false" customHeight="1" hidden="" ht="14" outlineLevel="0" r="16426">
      <c r="A16426" s="3" t="inlineStr">
        <is>
          <t>16381</t>
        </is>
      </c>
      <c r="B16426" s="4" t="s">
        <f>=HYPERLINK("http://anyluxury.ru/shop/odezhda/futbolki-dlya-promo/futbolka-muzhskaya-tbolka-stretch-krasnaya-189350/" , "1893.50 Футболка мужская T-bolka Stretch, красная, размер XL")</f>
      </c>
      <c r="C16426" s="4" t="n">
        <v>968.00</v>
      </c>
      <c r="D16426" s="4"/>
    </row>
    <row collapsed="" customFormat="false" customHeight="1" hidden="" ht="14" outlineLevel="0" r="16427">
      <c r="A16427" s="3" t="inlineStr">
        <is>
          <t>16382</t>
        </is>
      </c>
      <c r="B16427" s="4" t="s">
        <f>=HYPERLINK("http://anyluxury.ru/shop/odezhda/futbolki-dlya-promo/futbolka-muzhskaya-tbolka-stretch-krasnaya-189350/" , "1893.50 Футболка мужская T-bolka Stretch, красная, размер XXL")</f>
      </c>
      <c r="C16427" s="4" t="n">
        <v>968.00</v>
      </c>
      <c r="D16427" s="4"/>
    </row>
    <row collapsed="" customFormat="false" customHeight="1" hidden="" ht="14" outlineLevel="0" r="16428">
      <c r="A16428" s="3" t="inlineStr">
        <is>
          <t>16383</t>
        </is>
      </c>
      <c r="B16428" s="4" t="s">
        <f>=HYPERLINK("http://anyluxury.ru/shop/odezhda/futbolki-dlya-promo/futbolka-muzhskaya-tbolka-stretch-yarkosinyaya-royal-189344/" , "1893.44 Футболка мужская T-bolka Stretch, ярко-синяя (royal), размер S")</f>
      </c>
      <c r="C16428" s="4" t="n">
        <v>968.00</v>
      </c>
      <c r="D16428" s="4"/>
    </row>
    <row collapsed="" customFormat="false" customHeight="1" hidden="" ht="14" outlineLevel="0" r="16429">
      <c r="A16429" s="3" t="inlineStr">
        <is>
          <t>16384</t>
        </is>
      </c>
      <c r="B16429" s="4" t="s">
        <f>=HYPERLINK("http://anyluxury.ru/shop/odezhda/futbolki-dlya-promo/futbolka-muzhskaya-tbolka-stretch-yarkosinyaya-royal-189344/" , "1893.44 Футболка мужская T-bolka Stretch, ярко-синяя (royal), размер M")</f>
      </c>
      <c r="C16429" s="4" t="n">
        <v>968.00</v>
      </c>
      <c r="D16429" s="4"/>
    </row>
    <row collapsed="" customFormat="false" customHeight="1" hidden="" ht="14" outlineLevel="0" r="16430">
      <c r="A16430" s="3" t="inlineStr">
        <is>
          <t>16385</t>
        </is>
      </c>
      <c r="B16430" s="4" t="s">
        <f>=HYPERLINK("http://anyluxury.ru/shop/odezhda/futbolki-dlya-promo/futbolka-muzhskaya-tbolka-stretch-yarkosinyaya-royal-189344/" , "1893.44 Футболка мужская T-bolka Stretch, ярко-синяя (royal), размер L")</f>
      </c>
      <c r="C16430" s="4" t="n">
        <v>968.00</v>
      </c>
      <c r="D16430" s="4"/>
    </row>
    <row collapsed="" customFormat="false" customHeight="1" hidden="" ht="14" outlineLevel="0" r="16431">
      <c r="A16431" s="3" t="inlineStr">
        <is>
          <t>16386</t>
        </is>
      </c>
      <c r="B16431" s="4" t="s">
        <f>=HYPERLINK("http://anyluxury.ru/shop/odezhda/futbolki-dlya-promo/futbolka-muzhskaya-tbolka-stretch-yarkosinyaya-royal-189344/" , "1893.44 Футболка мужская T-bolka Stretch, ярко-синяя (royal), размер XL")</f>
      </c>
      <c r="C16431" s="4" t="n">
        <v>968.00</v>
      </c>
      <c r="D16431" s="4"/>
    </row>
    <row collapsed="" customFormat="false" customHeight="1" hidden="" ht="14" outlineLevel="0" r="16432">
      <c r="A16432" s="3" t="inlineStr">
        <is>
          <t>16387</t>
        </is>
      </c>
      <c r="B16432" s="4" t="s">
        <f>=HYPERLINK("http://anyluxury.ru/shop/odezhda/futbolki-dlya-promo/futbolka-muzhskaya-tbolka-stretch-yarkosinyaya-royal-189344/" , "1893.44 Футболка мужская T-bolka Stretch, ярко-синяя (royal), размер XXL")</f>
      </c>
      <c r="C16432" s="4" t="n">
        <v>968.00</v>
      </c>
      <c r="D16432" s="4"/>
    </row>
    <row collapsed="" customFormat="false" customHeight="1" hidden="" ht="14" outlineLevel="0" r="16433">
      <c r="A16433" s="3" t="inlineStr">
        <is>
          <t>16388</t>
        </is>
      </c>
      <c r="B16433" s="4" t="s">
        <f>=HYPERLINK("http://anyluxury.ru/shop/odezhda/futbolki-dlya-promo/futbolka-muzhskaya-tbolka-stretch-yarkosinyaya-royal-189344/" , "1893.44 Футболка мужская T-bolka Stretch, ярко-синяя (royal), размер 3XL")</f>
      </c>
      <c r="C16433" s="4" t="n">
        <v>968.00</v>
      </c>
      <c r="D16433" s="4"/>
    </row>
    <row collapsed="" customFormat="false" customHeight="1" hidden="" ht="14" outlineLevel="0" r="16434">
      <c r="A16434" s="3" t="inlineStr">
        <is>
          <t>16389</t>
        </is>
      </c>
      <c r="B16434" s="4" t="s">
        <f>=HYPERLINK("http://anyluxury.ru/shop/odezhda/futbolki-dlya-promo/futbolka-muzhskaya-tbolka-stretch-chernaya-189330/" , "1893.30 Футболка мужская T-bolka Stretch, черная, размер S")</f>
      </c>
      <c r="C16434" s="4" t="n">
        <v>968.00</v>
      </c>
      <c r="D16434" s="4"/>
    </row>
    <row collapsed="" customFormat="false" customHeight="1" hidden="" ht="14" outlineLevel="0" r="16435">
      <c r="A16435" s="3" t="inlineStr">
        <is>
          <t>16390</t>
        </is>
      </c>
      <c r="B16435" s="4" t="s">
        <f>=HYPERLINK("http://anyluxury.ru/shop/odezhda/futbolki-dlya-promo/futbolka-muzhskaya-tbolka-stretch-chernaya-189330/" , "1893.30 Футболка мужская T-bolka Stretch, черная, размер M")</f>
      </c>
      <c r="C16435" s="4" t="n">
        <v>968.00</v>
      </c>
      <c r="D16435" s="4"/>
    </row>
    <row collapsed="" customFormat="false" customHeight="1" hidden="" ht="14" outlineLevel="0" r="16436">
      <c r="A16436" s="3" t="inlineStr">
        <is>
          <t>16391</t>
        </is>
      </c>
      <c r="B16436" s="4" t="s">
        <f>=HYPERLINK("http://anyluxury.ru/shop/odezhda/futbolki-dlya-promo/futbolka-muzhskaya-tbolka-stretch-chernaya-189330/" , "1893.30 Футболка мужская T-bolka Stretch, черная, размер L")</f>
      </c>
      <c r="C16436" s="4" t="n">
        <v>968.00</v>
      </c>
      <c r="D16436" s="4"/>
    </row>
    <row collapsed="" customFormat="false" customHeight="1" hidden="" ht="14" outlineLevel="0" r="16437">
      <c r="A16437" s="3" t="inlineStr">
        <is>
          <t>16392</t>
        </is>
      </c>
      <c r="B16437" s="4" t="s">
        <f>=HYPERLINK("http://anyluxury.ru/shop/odezhda/futbolki-dlya-promo/futbolka-muzhskaya-tbolka-stretch-chernaya-189330/" , "1893.30 Футболка мужская T-bolka Stretch, черная, размер XL")</f>
      </c>
      <c r="C16437" s="4" t="n">
        <v>968.00</v>
      </c>
      <c r="D16437" s="4"/>
    </row>
    <row collapsed="" customFormat="false" customHeight="1" hidden="" ht="14" outlineLevel="0" r="16438">
      <c r="A16438" s="3" t="inlineStr">
        <is>
          <t>16393</t>
        </is>
      </c>
      <c r="B16438" s="4" t="s">
        <f>=HYPERLINK("http://anyluxury.ru/shop/odezhda/futbolki-dlya-promo/futbolka-muzhskaya-tbolka-stretch-chernaya-189330/" , "1893.30 Футболка мужская T-bolka Stretch, черная, размер XXL")</f>
      </c>
      <c r="C16438" s="4" t="n">
        <v>968.00</v>
      </c>
      <c r="D16438" s="4"/>
    </row>
    <row collapsed="" customFormat="false" customHeight="1" hidden="" ht="14" outlineLevel="0" r="16439">
      <c r="A16439" s="3" t="inlineStr">
        <is>
          <t>16394</t>
        </is>
      </c>
      <c r="B16439" s="4" t="s">
        <f>=HYPERLINK("http://anyluxury.ru/shop/odezhda/futbolki-dlya-promo/futbolka-muzhskaya-tbolka-stretch-temnosinyaya-navy-189340/" , "1893.40 Футболка мужская T-bolka Stretch, темно-синяя (navy), размер S")</f>
      </c>
      <c r="C16439" s="4" t="n">
        <v>968.00</v>
      </c>
      <c r="D16439" s="4"/>
    </row>
    <row collapsed="" customFormat="false" customHeight="1" hidden="" ht="14" outlineLevel="0" r="16440">
      <c r="A16440" s="3" t="inlineStr">
        <is>
          <t>16395</t>
        </is>
      </c>
      <c r="B16440" s="4" t="s">
        <f>=HYPERLINK("http://anyluxury.ru/shop/odezhda/futbolki-dlya-promo/futbolka-muzhskaya-tbolka-stretch-temnosinyaya-navy-189340/" , "1893.40 Футболка мужская T-bolka Stretch, темно-синяя (navy), размер M")</f>
      </c>
      <c r="C16440" s="4" t="n">
        <v>968.00</v>
      </c>
      <c r="D16440" s="4"/>
    </row>
    <row collapsed="" customFormat="false" customHeight="1" hidden="" ht="14" outlineLevel="0" r="16441">
      <c r="A16441" s="3" t="inlineStr">
        <is>
          <t>16396</t>
        </is>
      </c>
      <c r="B16441" s="4" t="s">
        <f>=HYPERLINK("http://anyluxury.ru/shop/odezhda/futbolki-dlya-promo/futbolka-muzhskaya-tbolka-stretch-temnosinyaya-navy-189340/" , "1893.40 Футболка мужская T-bolka Stretch, темно-синяя (navy), размер L")</f>
      </c>
      <c r="C16441" s="4" t="n">
        <v>968.00</v>
      </c>
      <c r="D16441" s="4"/>
    </row>
    <row collapsed="" customFormat="false" customHeight="1" hidden="" ht="14" outlineLevel="0" r="16442">
      <c r="A16442" s="3" t="inlineStr">
        <is>
          <t>16397</t>
        </is>
      </c>
      <c r="B16442" s="4" t="s">
        <f>=HYPERLINK("http://anyluxury.ru/shop/odezhda/futbolki-dlya-promo/futbolka-muzhskaya-tbolka-stretch-temnosinyaya-navy-189340/" , "1893.40 Футболка мужская T-bolka Stretch, темно-синяя (navy), размер XL")</f>
      </c>
      <c r="C16442" s="4" t="n">
        <v>968.00</v>
      </c>
      <c r="D16442" s="4"/>
    </row>
    <row collapsed="" customFormat="false" customHeight="1" hidden="" ht="14" outlineLevel="0" r="16443">
      <c r="A16443" s="3" t="inlineStr">
        <is>
          <t>16398</t>
        </is>
      </c>
      <c r="B16443" s="4" t="s">
        <f>=HYPERLINK("http://anyluxury.ru/shop/odezhda/futbolki-dlya-promo/futbolka-muzhskaya-tbolka-stretch-temnosinyaya-navy-189340/" , "1893.40 Футболка мужская T-bolka Stretch, темно-синяя (navy), размер XXL")</f>
      </c>
      <c r="C16443" s="4" t="n">
        <v>968.00</v>
      </c>
      <c r="D16443" s="4"/>
    </row>
    <row collapsed="" customFormat="false" customHeight="1" hidden="" ht="14" outlineLevel="0" r="16444">
      <c r="A16444" s="3" t="inlineStr">
        <is>
          <t>16399</t>
        </is>
      </c>
      <c r="B16444" s="4" t="s">
        <f>=HYPERLINK("http://anyluxury.ru/shop/odezhda/futbolki-dlya-promo/futbolka-muzhskaya-tbolka-stretch-temnosinyaya-navy-189340/" , "1893.40 Футболка мужская T-bolka Stretch, темно-синяя (navy), размер 3XL")</f>
      </c>
      <c r="C16444" s="4" t="n">
        <v>968.00</v>
      </c>
      <c r="D16444" s="4"/>
    </row>
    <row collapsed="" customFormat="false" customHeight="1" hidden="" ht="14" outlineLevel="0" r="16445">
      <c r="A16445" s="3" t="inlineStr">
        <is>
          <t>16400</t>
        </is>
      </c>
      <c r="B16445" s="4" t="s">
        <f>=HYPERLINK("http://anyluxury.ru/shop/odezhda/futbolki-dlya-promo/futbolka-muzhskaya-tbolka-stretch-seriy-melanzh-189311/" , "1893.11 Футболка мужская T-bolka Stretch, серый меланж, размер S")</f>
      </c>
      <c r="C16445" s="4" t="n">
        <v>968.00</v>
      </c>
      <c r="D16445" s="4"/>
    </row>
    <row collapsed="" customFormat="false" customHeight="1" hidden="" ht="14" outlineLevel="0" r="16446">
      <c r="A16446" s="3" t="inlineStr">
        <is>
          <t>16401</t>
        </is>
      </c>
      <c r="B16446" s="4" t="s">
        <f>=HYPERLINK("http://anyluxury.ru/shop/odezhda/futbolki-dlya-promo/futbolka-muzhskaya-tbolka-stretch-seriy-melanzh-189311/" , "1893.11 Футболка мужская T-bolka Stretch, серый меланж, размер M")</f>
      </c>
      <c r="C16446" s="4" t="n">
        <v>968.00</v>
      </c>
      <c r="D16446" s="4"/>
    </row>
    <row collapsed="" customFormat="false" customHeight="1" hidden="" ht="14" outlineLevel="0" r="16447">
      <c r="A16447" s="3" t="inlineStr">
        <is>
          <t>16402</t>
        </is>
      </c>
      <c r="B16447" s="4" t="s">
        <f>=HYPERLINK("http://anyluxury.ru/shop/odezhda/futbolki-dlya-promo/futbolka-muzhskaya-tbolka-stretch-seriy-melanzh-189311/" , "1893.11 Футболка мужская T-bolka Stretch, серый меланж, размер L")</f>
      </c>
      <c r="C16447" s="4" t="n">
        <v>968.00</v>
      </c>
      <c r="D16447" s="4"/>
    </row>
    <row collapsed="" customFormat="false" customHeight="1" hidden="" ht="14" outlineLevel="0" r="16448">
      <c r="A16448" s="3" t="inlineStr">
        <is>
          <t>16403</t>
        </is>
      </c>
      <c r="B16448" s="4" t="s">
        <f>=HYPERLINK("http://anyluxury.ru/shop/odezhda/futbolki-dlya-promo/futbolka-muzhskaya-tbolka-stretch-seriy-melanzh-189311/" , "1893.11 Футболка мужская T-bolka Stretch, серый меланж, размер XL")</f>
      </c>
      <c r="C16448" s="4" t="n">
        <v>968.00</v>
      </c>
      <c r="D16448" s="4"/>
    </row>
    <row collapsed="" customFormat="false" customHeight="1" hidden="" ht="14" outlineLevel="0" r="16449">
      <c r="A16449" s="3" t="inlineStr">
        <is>
          <t>16404</t>
        </is>
      </c>
      <c r="B16449" s="4" t="s">
        <f>=HYPERLINK("http://anyluxury.ru/shop/odezhda/futbolki-dlya-promo/futbolka-muzhskaya-tbolka-stretch-seriy-melanzh-189311/" , "1893.11 Футболка мужская T-bolka Stretch, серый меланж, размер XXL")</f>
      </c>
      <c r="C16449" s="4" t="n">
        <v>968.00</v>
      </c>
      <c r="D16449" s="4"/>
    </row>
    <row collapsed="" customFormat="false" customHeight="1" hidden="" ht="14" outlineLevel="0" r="16450">
      <c r="A16450" s="3" t="inlineStr">
        <is>
          <t>16405</t>
        </is>
      </c>
      <c r="B16450" s="4" t="s">
        <f>=HYPERLINK("http://anyluxury.ru/shop/odezhda/futbolki-dlya-promo/futbolka-imperial-190-stalnaya-11500330/" , "11500330 Футболка IMPERIAL 190 стальная, размер S")</f>
      </c>
      <c r="C16450" s="4" t="n">
        <v>697.00</v>
      </c>
      <c r="D16450" s="4"/>
    </row>
    <row collapsed="" customFormat="false" customHeight="1" hidden="" ht="14" outlineLevel="0" r="16451">
      <c r="A16451" s="3" t="inlineStr">
        <is>
          <t>16406</t>
        </is>
      </c>
      <c r="B16451" s="4" t="s">
        <f>=HYPERLINK("http://anyluxury.ru/shop/odezhda/futbolki-dlya-promo/futbolka-imperial-190-stalnaya-11500330/" , "11500330 Футболка IMPERIAL 190 стальная, размер M")</f>
      </c>
      <c r="C16451" s="4" t="n">
        <v>697.00</v>
      </c>
      <c r="D16451" s="4"/>
    </row>
    <row collapsed="" customFormat="false" customHeight="1" hidden="" ht="14" outlineLevel="0" r="16452">
      <c r="A16452" s="3" t="inlineStr">
        <is>
          <t>16407</t>
        </is>
      </c>
      <c r="B16452" s="4" t="s">
        <f>=HYPERLINK("http://anyluxury.ru/shop/odezhda/futbolki-dlya-promo/futbolka-imperial-190-stalnaya-11500330/" , "11500330 Футболка IMPERIAL 190 стальная, размер L")</f>
      </c>
      <c r="C16452" s="4" t="n">
        <v>697.00</v>
      </c>
      <c r="D16452" s="4"/>
    </row>
    <row collapsed="" customFormat="false" customHeight="1" hidden="" ht="14" outlineLevel="0" r="16453">
      <c r="A16453" s="3" t="inlineStr">
        <is>
          <t>16408</t>
        </is>
      </c>
      <c r="B16453" s="4" t="s">
        <f>=HYPERLINK("http://anyluxury.ru/shop/odezhda/futbolki-dlya-promo/futbolka-imperial-190-stalnaya-11500330/" , "11500330 Футболка IMPERIAL 190 стальная, размер XL")</f>
      </c>
      <c r="C16453" s="4" t="n">
        <v>697.00</v>
      </c>
      <c r="D16453" s="4"/>
    </row>
    <row collapsed="" customFormat="false" customHeight="1" hidden="" ht="14" outlineLevel="0" r="16454">
      <c r="A16454" s="3" t="inlineStr">
        <is>
          <t>16409</t>
        </is>
      </c>
      <c r="B16454" s="4" t="s">
        <f>=HYPERLINK("http://anyluxury.ru/shop/odezhda/futbolki-dlya-promo/futbolka-imperial-190-stalnaya-11500330/" , "11500330 Футболка IMPERIAL 190 стальная, размер XXL")</f>
      </c>
      <c r="C16454" s="4" t="n">
        <v>697.00</v>
      </c>
      <c r="D16454" s="4"/>
    </row>
    <row collapsed="" customFormat="false" customHeight="1" hidden="" ht="14" outlineLevel="0" r="16455">
      <c r="A16455" s="3" t="inlineStr">
        <is>
          <t>16410</t>
        </is>
      </c>
      <c r="B16455" s="4" t="s">
        <f>=HYPERLINK("http://anyluxury.ru/shop/odezhda/futbolki-dlya-promo/futbolka-tbolka-160-temnozheltaya-614081/" , "6140.81 Футболка темно-желтая «T-bolka 160», размер XXL")</f>
      </c>
      <c r="C16455" s="4" t="n">
        <v>472.00</v>
      </c>
      <c r="D16455" s="4"/>
    </row>
    <row collapsed="" customFormat="false" customHeight="1" hidden="" ht="14" outlineLevel="0" r="16456">
      <c r="A16456" s="3" t="inlineStr">
        <is>
          <t>16411</t>
        </is>
      </c>
      <c r="B16456" s="4" t="s">
        <f>=HYPERLINK("http://anyluxury.ru/shop/odezhda/futbolki-dlya-promo/futbolka-imperial-190-karibskiy-goluboy-11500237/" , "11500237 Футболка IMPERIAL карибский голубой, размер S")</f>
      </c>
      <c r="C16456" s="4" t="n">
        <v>697.00</v>
      </c>
      <c r="D16456" s="4"/>
    </row>
    <row collapsed="" customFormat="false" customHeight="1" hidden="" ht="14" outlineLevel="0" r="16457">
      <c r="A16457" s="3" t="inlineStr">
        <is>
          <t>16412</t>
        </is>
      </c>
      <c r="B16457" s="4" t="s">
        <f>=HYPERLINK("http://anyluxury.ru/shop/odezhda/futbolki-dlya-promo/futbolka-imperial-190-karibskiy-goluboy-11500237/" , "11500237 Футболка IMPERIAL карибский голубой, размер M")</f>
      </c>
      <c r="C16457" s="4" t="n">
        <v>697.00</v>
      </c>
      <c r="D16457" s="4"/>
    </row>
    <row collapsed="" customFormat="false" customHeight="1" hidden="" ht="14" outlineLevel="0" r="16458">
      <c r="A16458" s="3" t="inlineStr">
        <is>
          <t>16413</t>
        </is>
      </c>
      <c r="B16458" s="4" t="s">
        <f>=HYPERLINK("http://anyluxury.ru/shop/odezhda/futbolki-dlya-promo/futbolka-imperial-190-karibskiy-goluboy-11500237/" , "11500237 Футболка IMPERIAL карибский голубой, размер L")</f>
      </c>
      <c r="C16458" s="4" t="n">
        <v>697.00</v>
      </c>
      <c r="D16458" s="4"/>
    </row>
    <row collapsed="" customFormat="false" customHeight="1" hidden="" ht="14" outlineLevel="0" r="16459">
      <c r="A16459" s="3" t="inlineStr">
        <is>
          <t>16414</t>
        </is>
      </c>
      <c r="B16459" s="4" t="s">
        <f>=HYPERLINK("http://anyluxury.ru/shop/odezhda/futbolki-dlya-promo/futbolka-imperial-190-karibskiy-goluboy-11500237/" , "11500237 Футболка IMPERIAL карибский голубой, размер XL")</f>
      </c>
      <c r="C16459" s="4" t="n">
        <v>697.00</v>
      </c>
      <c r="D16459" s="4"/>
    </row>
    <row collapsed="" customFormat="false" customHeight="1" hidden="" ht="14" outlineLevel="0" r="16460">
      <c r="A16460" s="3" t="inlineStr">
        <is>
          <t>16415</t>
        </is>
      </c>
      <c r="B16460" s="4" t="s">
        <f>=HYPERLINK("http://anyluxury.ru/shop/odezhda/futbolki-dlya-promo/futbolka-imperial-190-karibskiy-goluboy-11500237/" , "11500237 Футболка IMPERIAL карибский голубой, размер XXL")</f>
      </c>
      <c r="C16460" s="4" t="n">
        <v>697.00</v>
      </c>
      <c r="D16460" s="4"/>
    </row>
    <row collapsed="" customFormat="false" customHeight="1" hidden="" ht="14" outlineLevel="0" r="16461">
      <c r="A16461" s="3" t="inlineStr">
        <is>
          <t>16416</t>
        </is>
      </c>
      <c r="B16461" s="4" t="s">
        <f>=HYPERLINK("http://anyluxury.ru/shop/odezhda/futbolki-dlya-promo/futbolka-imperial-190-izumrudnozelenaya-11500270/" , "11500270 Футболка IMPERIAL изумрудно-зеленая, размер S")</f>
      </c>
      <c r="C16461" s="4" t="n">
        <v>697.00</v>
      </c>
      <c r="D16461" s="4"/>
    </row>
    <row collapsed="" customFormat="false" customHeight="1" hidden="" ht="14" outlineLevel="0" r="16462">
      <c r="A16462" s="3" t="inlineStr">
        <is>
          <t>16417</t>
        </is>
      </c>
      <c r="B16462" s="4" t="s">
        <f>=HYPERLINK("http://anyluxury.ru/shop/odezhda/futbolki-dlya-promo/futbolka-imperial-190-izumrudnozelenaya-11500270/" , "11500270 Футболка IMPERIAL изумрудно-зеленая, размер M")</f>
      </c>
      <c r="C16462" s="4" t="n">
        <v>697.00</v>
      </c>
      <c r="D16462" s="4"/>
    </row>
    <row collapsed="" customFormat="false" customHeight="1" hidden="" ht="14" outlineLevel="0" r="16463">
      <c r="A16463" s="3" t="inlineStr">
        <is>
          <t>16418</t>
        </is>
      </c>
      <c r="B16463" s="4" t="s">
        <f>=HYPERLINK("http://anyluxury.ru/shop/odezhda/futbolki-dlya-promo/futbolka-imperial-190-izumrudnozelenaya-11500270/" , "11500270 Футболка IMPERIAL изумрудно-зеленая, размер L")</f>
      </c>
      <c r="C16463" s="4" t="n">
        <v>697.00</v>
      </c>
      <c r="D16463" s="4"/>
    </row>
    <row collapsed="" customFormat="false" customHeight="1" hidden="" ht="14" outlineLevel="0" r="16464">
      <c r="A16464" s="3" t="inlineStr">
        <is>
          <t>16419</t>
        </is>
      </c>
      <c r="B16464" s="4" t="s">
        <f>=HYPERLINK("http://anyluxury.ru/shop/odezhda/futbolki-dlya-promo/futbolka-imperial-190-izumrudnozelenaya-11500270/" , "11500270 Футболка IMPERIAL изумрудно-зеленая, размер XL")</f>
      </c>
      <c r="C16464" s="4" t="n">
        <v>697.00</v>
      </c>
      <c r="D16464" s="4"/>
    </row>
    <row collapsed="" customFormat="false" customHeight="1" hidden="" ht="14" outlineLevel="0" r="16465">
      <c r="A16465" s="3" t="inlineStr">
        <is>
          <t>16420</t>
        </is>
      </c>
      <c r="B16465" s="4" t="s">
        <f>=HYPERLINK("http://anyluxury.ru/shop/odezhda/futbolki-dlya-promo/futbolka-imperial-190-izumrudnozelenaya-11500270/" , "11500270 Футболка IMPERIAL изумрудно-зеленая, размер XXL")</f>
      </c>
      <c r="C16465" s="4" t="n">
        <v>697.00</v>
      </c>
      <c r="D16465" s="4"/>
    </row>
    <row collapsed="" customFormat="false" customHeight="1" hidden="" ht="14" outlineLevel="0" r="16466">
      <c r="A16466" s="3" t="inlineStr">
        <is>
          <t>16421</t>
        </is>
      </c>
      <c r="B16466" s="4" t="s">
        <f>=HYPERLINK("http://anyluxury.ru/shop/odezhda/futbolki-dlya-promo/futbolka-imperial-190-siniy-ultramarin-11500238/" , "11500238 Футболка IMPERIAL синий ультрамарин, размер S")</f>
      </c>
      <c r="C16466" s="4" t="n">
        <v>697.00</v>
      </c>
      <c r="D16466" s="4"/>
    </row>
    <row collapsed="" customFormat="false" customHeight="1" hidden="" ht="14" outlineLevel="0" r="16467">
      <c r="A16467" s="3" t="inlineStr">
        <is>
          <t>16422</t>
        </is>
      </c>
      <c r="B16467" s="4" t="s">
        <f>=HYPERLINK("http://anyluxury.ru/shop/odezhda/futbolki-dlya-promo/futbolka-imperial-190-siniy-ultramarin-11500238/" , "11500238 Футболка IMPERIAL синий ультрамарин, размер M")</f>
      </c>
      <c r="C16467" s="4" t="n">
        <v>697.00</v>
      </c>
      <c r="D16467" s="4"/>
    </row>
    <row collapsed="" customFormat="false" customHeight="1" hidden="" ht="14" outlineLevel="0" r="16468">
      <c r="A16468" s="3" t="inlineStr">
        <is>
          <t>16423</t>
        </is>
      </c>
      <c r="B16468" s="4" t="s">
        <f>=HYPERLINK("http://anyluxury.ru/shop/odezhda/futbolki-dlya-promo/futbolka-imperial-190-siniy-ultramarin-11500238/" , "11500238 Футболка IMPERIAL синий ультрамарин, размер L")</f>
      </c>
      <c r="C16468" s="4" t="n">
        <v>697.00</v>
      </c>
      <c r="D16468" s="4"/>
    </row>
    <row collapsed="" customFormat="false" customHeight="1" hidden="" ht="14" outlineLevel="0" r="16469">
      <c r="A16469" s="3" t="inlineStr">
        <is>
          <t>16424</t>
        </is>
      </c>
      <c r="B16469" s="4" t="s">
        <f>=HYPERLINK("http://anyluxury.ru/shop/odezhda/futbolki-dlya-promo/futbolka-imperial-190-siniy-ultramarin-11500238/" , "11500238 Футболка IMPERIAL синий ультрамарин, размер XL")</f>
      </c>
      <c r="C16469" s="4" t="n">
        <v>697.00</v>
      </c>
      <c r="D16469" s="4"/>
    </row>
    <row collapsed="" customFormat="false" customHeight="1" hidden="" ht="14" outlineLevel="0" r="16470">
      <c r="A16470" s="3" t="inlineStr">
        <is>
          <t>16425</t>
        </is>
      </c>
      <c r="B16470" s="4" t="s">
        <f>=HYPERLINK("http://anyluxury.ru/shop/odezhda/futbolki-dlya-promo/futbolka-zhenskaya-imperial-women-190-svetliy-melanzh-11502300/" , "11502300 Футболка женская IMPERIAL WOMEN светлый меланж, размер S")</f>
      </c>
      <c r="C16470" s="4" t="n">
        <v>697.00</v>
      </c>
      <c r="D16470" s="4"/>
    </row>
    <row collapsed="" customFormat="false" customHeight="1" hidden="" ht="14" outlineLevel="0" r="16471">
      <c r="A16471" s="3" t="inlineStr">
        <is>
          <t>16426</t>
        </is>
      </c>
      <c r="B16471" s="4" t="s">
        <f>=HYPERLINK("http://anyluxury.ru/shop/odezhda/futbolki-dlya-promo/futbolka-zhenskaya-imperial-women-190-svetliy-melanzh-11502300/" , "11502300 Футболка женская IMPERIAL WOMEN светлый меланж, размер M")</f>
      </c>
      <c r="C16471" s="4" t="n">
        <v>697.00</v>
      </c>
      <c r="D16471" s="4"/>
    </row>
    <row collapsed="" customFormat="false" customHeight="1" hidden="" ht="14" outlineLevel="0" r="16472">
      <c r="A16472" s="3" t="inlineStr">
        <is>
          <t>16427</t>
        </is>
      </c>
      <c r="B16472" s="4" t="s">
        <f>=HYPERLINK("http://anyluxury.ru/shop/odezhda/futbolki-dlya-promo/futbolka-zhenskaya-imperial-women-190-svetliy-melanzh-11502300/" , "11502300 Футболка женская IMPERIAL WOMEN светлый меланж, размер L")</f>
      </c>
      <c r="C16472" s="4" t="n">
        <v>697.00</v>
      </c>
      <c r="D16472" s="4"/>
    </row>
    <row collapsed="" customFormat="false" customHeight="1" hidden="" ht="14" outlineLevel="0" r="16473">
      <c r="A16473" s="3" t="inlineStr">
        <is>
          <t>16428</t>
        </is>
      </c>
      <c r="B16473" s="4" t="s">
        <f>=HYPERLINK("http://anyluxury.ru/shop/odezhda/futbolki-dlya-promo/futbolka-zhenskaya-imperial-women-190-svetliy-melanzh-11502300/" , "11502300 Футболка женская IMPERIAL WOMEN светлый меланж, размер XL")</f>
      </c>
      <c r="C16473" s="4" t="n">
        <v>697.00</v>
      </c>
      <c r="D16473" s="4"/>
    </row>
    <row collapsed="" customFormat="false" customHeight="1" hidden="" ht="14" outlineLevel="0" r="16474">
      <c r="A16474" s="3" t="inlineStr">
        <is>
          <t>16429</t>
        </is>
      </c>
      <c r="B16474" s="4" t="s">
        <f>=HYPERLINK("http://anyluxury.ru/shop/odezhda/futbolki-dlya-promo/futbolka-zhenskaya-imperial-women-190-svetliy-melanzh-11502300/" , "11502300 Футболка женская IMPERIAL WOMEN светлый меланж, размер XXL")</f>
      </c>
      <c r="C16474" s="4" t="n">
        <v>697.00</v>
      </c>
      <c r="D16474" s="4"/>
    </row>
    <row collapsed="" customFormat="false" customHeight="1" hidden="" ht="14" outlineLevel="0" r="16475">
      <c r="A16475" s="3" t="inlineStr">
        <is>
          <t>16430</t>
        </is>
      </c>
      <c r="B16475" s="4" t="s">
        <f>=HYPERLINK("http://anyluxury.ru/shop/odezhda/futbolki-dlya-promo/futbolka-zhenskaya-imperial-women-190-karibskiy-goluboy-11502237/" , "11502237 Футболка женская IMPERIAL WOMEN карибский голубой, размер S")</f>
      </c>
      <c r="C16475" s="4" t="n">
        <v>697.00</v>
      </c>
      <c r="D16475" s="4"/>
    </row>
    <row collapsed="" customFormat="false" customHeight="1" hidden="" ht="14" outlineLevel="0" r="16476">
      <c r="A16476" s="3" t="inlineStr">
        <is>
          <t>16431</t>
        </is>
      </c>
      <c r="B16476" s="4" t="s">
        <f>=HYPERLINK("http://anyluxury.ru/shop/odezhda/futbolki-dlya-promo/futbolka-zhenskaya-imperial-women-190-karibskiy-goluboy-11502237/" , "11502237 Футболка женская IMPERIAL WOMEN карибский голубой, размер M")</f>
      </c>
      <c r="C16476" s="4" t="n">
        <v>697.00</v>
      </c>
      <c r="D16476" s="4"/>
    </row>
    <row collapsed="" customFormat="false" customHeight="1" hidden="" ht="14" outlineLevel="0" r="16477">
      <c r="A16477" s="3" t="inlineStr">
        <is>
          <t>16432</t>
        </is>
      </c>
      <c r="B16477" s="4" t="s">
        <f>=HYPERLINK("http://anyluxury.ru/shop/odezhda/futbolki-dlya-promo/futbolka-zhenskaya-imperial-women-190-karibskiy-goluboy-11502237/" , "11502237 Футболка женская IMPERIAL WOMEN карибский голубой, размер L")</f>
      </c>
      <c r="C16477" s="4" t="n">
        <v>697.00</v>
      </c>
      <c r="D16477" s="4"/>
    </row>
    <row collapsed="" customFormat="false" customHeight="1" hidden="" ht="14" outlineLevel="0" r="16478">
      <c r="A16478" s="3" t="inlineStr">
        <is>
          <t>16433</t>
        </is>
      </c>
      <c r="B16478" s="4" t="s">
        <f>=HYPERLINK("http://anyluxury.ru/shop/odezhda/futbolki-dlya-promo/futbolka-zhenskaya-imperial-women-190-karibskiy-goluboy-11502237/" , "11502237 Футболка женская IMPERIAL WOMEN карибский голубой, размер XL")</f>
      </c>
      <c r="C16478" s="4" t="n">
        <v>697.00</v>
      </c>
      <c r="D16478" s="4"/>
    </row>
    <row collapsed="" customFormat="false" customHeight="1" hidden="" ht="14" outlineLevel="0" r="16479">
      <c r="A16479" s="3" t="inlineStr">
        <is>
          <t>16434</t>
        </is>
      </c>
      <c r="B16479" s="4" t="s">
        <f>=HYPERLINK("http://anyluxury.ru/shop/odezhda/futbolki-dlya-promo/futbolka-zhenskaya-imperial-women-190-karibskiy-goluboy-11502237/" , "11502237 Футболка женская IMPERIAL WOMEN карибский голубой, размер XXL")</f>
      </c>
      <c r="C16479" s="4" t="n">
        <v>697.00</v>
      </c>
      <c r="D16479" s="4"/>
    </row>
    <row collapsed="" customFormat="false" customHeight="1" hidden="" ht="14" outlineLevel="0" r="16480">
      <c r="A16480" s="3" t="inlineStr">
        <is>
          <t>16435</t>
        </is>
      </c>
      <c r="B16480" s="4" t="s">
        <f>=HYPERLINK("http://anyluxury.ru/shop/odezhda/futbolki-dlya-promo/futbolka-zhenskaya-imperial-women-190-temnoseraya-11502384/" , "11502384 Футболка женская IMPERIAL WOMEN темно-серая, размер S")</f>
      </c>
      <c r="C16480" s="4" t="n">
        <v>697.00</v>
      </c>
      <c r="D16480" s="4"/>
    </row>
    <row collapsed="" customFormat="false" customHeight="1" hidden="" ht="14" outlineLevel="0" r="16481">
      <c r="A16481" s="3" t="inlineStr">
        <is>
          <t>16436</t>
        </is>
      </c>
      <c r="B16481" s="4" t="s">
        <f>=HYPERLINK("http://anyluxury.ru/shop/odezhda/futbolki-dlya-promo/futbolka-zhenskaya-imperial-women-190-temnoseraya-11502384/" , "11502384 Футболка женская IMPERIAL WOMEN темно-серая, размер M")</f>
      </c>
      <c r="C16481" s="4" t="n">
        <v>697.00</v>
      </c>
      <c r="D16481" s="4"/>
    </row>
    <row collapsed="" customFormat="false" customHeight="1" hidden="" ht="14" outlineLevel="0" r="16482">
      <c r="A16482" s="3" t="inlineStr">
        <is>
          <t>16437</t>
        </is>
      </c>
      <c r="B16482" s="4" t="s">
        <f>=HYPERLINK("http://anyluxury.ru/shop/odezhda/futbolki-dlya-promo/futbolka-zhenskaya-imperial-women-190-temnoseraya-11502384/" , "11502384 Футболка женская IMPERIAL WOMEN темно-серая, размер L")</f>
      </c>
      <c r="C16482" s="4" t="n">
        <v>697.00</v>
      </c>
      <c r="D16482" s="4"/>
    </row>
    <row collapsed="" customFormat="false" customHeight="1" hidden="" ht="14" outlineLevel="0" r="16483">
      <c r="A16483" s="3" t="inlineStr">
        <is>
          <t>16438</t>
        </is>
      </c>
      <c r="B16483" s="4" t="s">
        <f>=HYPERLINK("http://anyluxury.ru/shop/odezhda/futbolki-dlya-promo/futbolka-zhenskaya-imperial-women-190-temnoseraya-11502384/" , "11502384 Футболка женская IMPERIAL WOMEN темно-серая, размер XL")</f>
      </c>
      <c r="C16483" s="4" t="n">
        <v>697.00</v>
      </c>
      <c r="D16483" s="4"/>
    </row>
    <row collapsed="" customFormat="false" customHeight="1" hidden="" ht="14" outlineLevel="0" r="16484">
      <c r="A16484" s="3" t="inlineStr">
        <is>
          <t>16439</t>
        </is>
      </c>
      <c r="B16484" s="4" t="s">
        <f>=HYPERLINK("http://anyluxury.ru/shop/odezhda/futbolki-dlya-promo/futbolka-zhenskaya-imperial-women-190-temnoseraya-11502384/" , "11502384 Футболка женская IMPERIAL WOMEN темно-серая, размер XXL")</f>
      </c>
      <c r="C16484" s="4" t="n">
        <v>697.00</v>
      </c>
      <c r="D16484" s="4"/>
    </row>
    <row collapsed="" customFormat="false" customHeight="1" hidden="" ht="14" outlineLevel="0" r="16485">
      <c r="A16485" s="3" t="inlineStr">
        <is>
          <t>16440</t>
        </is>
      </c>
      <c r="B16485" s="4" t="s">
        <f>=HYPERLINK("http://anyluxury.ru/shop/odezhda/futbolki-dlya-promo/futbolka-zhenskaya-imperial-women-190-sinyaya-dzhins-11502244/" , "11502244 Футболка женская IMPERIAL WOMEN синяя (джинс), размер S")</f>
      </c>
      <c r="C16485" s="4" t="n">
        <v>697.00</v>
      </c>
      <c r="D16485" s="4"/>
    </row>
    <row collapsed="" customFormat="false" customHeight="1" hidden="" ht="14" outlineLevel="0" r="16486">
      <c r="A16486" s="3" t="inlineStr">
        <is>
          <t>16441</t>
        </is>
      </c>
      <c r="B16486" s="4" t="s">
        <f>=HYPERLINK("http://anyluxury.ru/shop/odezhda/futbolki-dlya-promo/futbolka-zhenskaya-imperial-women-190-sinyaya-dzhins-11502244/" , "11502244 Футболка женская IMPERIAL WOMEN синяя (джинс), размер M")</f>
      </c>
      <c r="C16486" s="4" t="n">
        <v>697.00</v>
      </c>
      <c r="D16486" s="4"/>
    </row>
    <row collapsed="" customFormat="false" customHeight="1" hidden="" ht="14" outlineLevel="0" r="16487">
      <c r="A16487" s="3" t="inlineStr">
        <is>
          <t>16442</t>
        </is>
      </c>
      <c r="B16487" s="4" t="s">
        <f>=HYPERLINK("http://anyluxury.ru/shop/odezhda/futbolki-dlya-promo/futbolka-zhenskaya-imperial-women-190-sinyaya-dzhins-11502244/" , "11502244 Футболка женская IMPERIAL WOMEN синяя (джинс), размер L")</f>
      </c>
      <c r="C16487" s="4" t="n">
        <v>697.00</v>
      </c>
      <c r="D16487" s="4"/>
    </row>
    <row collapsed="" customFormat="false" customHeight="1" hidden="" ht="14" outlineLevel="0" r="16488">
      <c r="A16488" s="3" t="inlineStr">
        <is>
          <t>16443</t>
        </is>
      </c>
      <c r="B16488" s="4" t="s">
        <f>=HYPERLINK("http://anyluxury.ru/shop/odezhda/futbolki-dlya-promo/futbolka-zhenskaya-imperial-women-190-sinyaya-dzhins-11502244/" , "11502244 Футболка женская IMPERIAL WOMEN синяя (джинс), размер XL")</f>
      </c>
      <c r="C16488" s="4" t="n">
        <v>697.00</v>
      </c>
      <c r="D16488" s="4"/>
    </row>
    <row collapsed="" customFormat="false" customHeight="1" hidden="" ht="14" outlineLevel="0" r="16489">
      <c r="A16489" s="3" t="inlineStr">
        <is>
          <t>16444</t>
        </is>
      </c>
      <c r="B16489" s="4" t="s">
        <f>=HYPERLINK("http://anyluxury.ru/shop/odezhda/futbolki-dlya-promo/futbolka-zhenskaya-imperial-women-190-sinyaya-dzhins-11502244/" , "11502244 Футболка женская IMPERIAL WOMEN синяя (джинс), размер XXL")</f>
      </c>
      <c r="C16489" s="4" t="n">
        <v>697.00</v>
      </c>
      <c r="D16489" s="4"/>
    </row>
    <row collapsed="" customFormat="false" customHeight="1" hidden="" ht="14" outlineLevel="0" r="16490">
      <c r="A16490" s="3" t="inlineStr">
        <is>
          <t>16445</t>
        </is>
      </c>
      <c r="B16490" s="4" t="s">
        <f>=HYPERLINK("http://anyluxury.ru/shop/odezhda/futbolki-dlya-promo/futbolka-zhenskaya-imperial-women-190-izumrudnozelenaya-11502270/" , "11502270 Футболка женская IMPERIAL WOMEN изумрудно-зеленая, размер S")</f>
      </c>
      <c r="C16490" s="4" t="n">
        <v>697.00</v>
      </c>
      <c r="D16490" s="4"/>
    </row>
    <row collapsed="" customFormat="false" customHeight="1" hidden="" ht="14" outlineLevel="0" r="16491">
      <c r="A16491" s="3" t="inlineStr">
        <is>
          <t>16446</t>
        </is>
      </c>
      <c r="B16491" s="4" t="s">
        <f>=HYPERLINK("http://anyluxury.ru/shop/odezhda/futbolki-dlya-promo/futbolka-zhenskaya-imperial-women-190-izumrudnozelenaya-11502270/" , "11502270 Футболка женская IMPERIAL WOMEN изумрудно-зеленая, размер M")</f>
      </c>
      <c r="C16491" s="4" t="n">
        <v>697.00</v>
      </c>
      <c r="D16491" s="4"/>
    </row>
    <row collapsed="" customFormat="false" customHeight="1" hidden="" ht="14" outlineLevel="0" r="16492">
      <c r="A16492" s="3" t="inlineStr">
        <is>
          <t>16447</t>
        </is>
      </c>
      <c r="B16492" s="4" t="s">
        <f>=HYPERLINK("http://anyluxury.ru/shop/odezhda/futbolki-dlya-promo/futbolka-zhenskaya-imperial-women-190-izumrudnozelenaya-11502270/" , "11502270 Футболка женская IMPERIAL WOMEN изумрудно-зеленая, размер L")</f>
      </c>
      <c r="C16492" s="4" t="n">
        <v>697.00</v>
      </c>
      <c r="D16492" s="4"/>
    </row>
    <row collapsed="" customFormat="false" customHeight="1" hidden="" ht="14" outlineLevel="0" r="16493">
      <c r="A16493" s="3" t="inlineStr">
        <is>
          <t>16448</t>
        </is>
      </c>
      <c r="B16493" s="4" t="s">
        <f>=HYPERLINK("http://anyluxury.ru/shop/odezhda/futbolki-dlya-promo/futbolka-zhenskaya-imperial-women-190-izumrudnozelenaya-11502270/" , "11502270 Футболка женская IMPERIAL WOMEN изумрудно-зеленая, размер XL")</f>
      </c>
      <c r="C16493" s="4" t="n">
        <v>697.00</v>
      </c>
      <c r="D16493" s="4"/>
    </row>
    <row collapsed="" customFormat="false" customHeight="1" hidden="" ht="14" outlineLevel="0" r="16494">
      <c r="A16494" s="3" t="inlineStr">
        <is>
          <t>16449</t>
        </is>
      </c>
      <c r="B16494" s="4" t="s">
        <f>=HYPERLINK("http://anyluxury.ru/shop/odezhda/futbolki-dlya-promo/futbolka-zhenskaya-imperial-women-190-izumrudnozelenaya-11502270/" , "11502270 Футболка женская IMPERIAL WOMEN изумрудно-зеленая, размер XXL")</f>
      </c>
      <c r="C16494" s="4" t="n">
        <v>697.00</v>
      </c>
      <c r="D16494" s="4"/>
    </row>
    <row collapsed="" customFormat="false" customHeight="1" hidden="" ht="14" outlineLevel="0" r="16495">
      <c r="A16495" s="3" t="inlineStr">
        <is>
          <t>16450</t>
        </is>
      </c>
      <c r="B16495" s="4" t="s">
        <f>=HYPERLINK("http://anyluxury.ru/shop/odezhda/futbolki-dlya-promo/futbolka-zhenskaya-imperial-women-190-siniy-ultramarin-11502238/" , "11502238 Футболка женская IMPERIAL WOMEN синий ультрамарин, размер S")</f>
      </c>
      <c r="C16495" s="4" t="n">
        <v>616.00</v>
      </c>
      <c r="D16495" s="4"/>
    </row>
    <row collapsed="" customFormat="false" customHeight="1" hidden="" ht="14" outlineLevel="0" r="16496">
      <c r="A16496" s="3" t="inlineStr">
        <is>
          <t>16451</t>
        </is>
      </c>
      <c r="B16496" s="4" t="s">
        <f>=HYPERLINK("http://anyluxury.ru/shop/odezhda/futbolki-dlya-promo/futbolka-zhenskaya-imperial-women-190-siniy-ultramarin-11502238/" , "11502238 Футболка женская IMPERIAL WOMEN синий ультрамарин, размер M")</f>
      </c>
      <c r="C16496" s="4" t="n">
        <v>616.00</v>
      </c>
      <c r="D16496" s="4"/>
    </row>
    <row collapsed="" customFormat="false" customHeight="1" hidden="" ht="14" outlineLevel="0" r="16497">
      <c r="A16497" s="3" t="inlineStr">
        <is>
          <t>16452</t>
        </is>
      </c>
      <c r="B16497" s="4" t="s">
        <f>=HYPERLINK("http://anyluxury.ru/shop/odezhda/futbolki-dlya-promo/futbolka-zhenskaya-imperial-women-190-siniy-ultramarin-11502238/" , "11502238 Футболка женская IMPERIAL WOMEN синий ультрамарин, размер L")</f>
      </c>
      <c r="C16497" s="4" t="n">
        <v>616.00</v>
      </c>
      <c r="D16497" s="4"/>
    </row>
    <row collapsed="" customFormat="false" customHeight="1" hidden="" ht="14" outlineLevel="0" r="16498">
      <c r="A16498" s="3" t="inlineStr">
        <is>
          <t>16453</t>
        </is>
      </c>
      <c r="B16498" s="4" t="s">
        <f>=HYPERLINK("http://anyluxury.ru/shop/odezhda/futbolki-dlya-promo/futbolka-zhenskaya-imperial-women-190-siniy-ultramarin-11502238/" , "11502238 Футболка женская IMPERIAL WOMEN синий ультрамарин, размер XL")</f>
      </c>
      <c r="C16498" s="4" t="n">
        <v>616.00</v>
      </c>
      <c r="D16498" s="4"/>
    </row>
    <row collapsed="" customFormat="false" customHeight="1" hidden="" ht="14" outlineLevel="0" r="16499">
      <c r="A16499" s="3" t="inlineStr">
        <is>
          <t>16454</t>
        </is>
      </c>
      <c r="B16499" s="4" t="s">
        <f>=HYPERLINK("http://anyluxury.ru/shop/odezhda/futbolki-dlya-promo/futbolka-zhenskaya-imperial-women-190-siniy-ultramarin-11502238/" , "11502238 Футболка женская IMPERIAL WOMEN синий ультрамарин, размер XXL")</f>
      </c>
      <c r="C16499" s="4" t="n">
        <v>616.00</v>
      </c>
      <c r="D16499" s="4"/>
    </row>
    <row collapsed="" customFormat="false" customHeight="1" hidden="" ht="14" outlineLevel="0" r="16500">
      <c r="A16500" s="3" t="inlineStr">
        <is>
          <t>16455</t>
        </is>
      </c>
      <c r="B16500" s="4" t="s">
        <f>=HYPERLINK("http://anyluxury.ru/shop/odezhda/futbolki-dlya-promo/futbolka-zhenskaya-miss-150-zeleniy-laym-11386281/" , "11386281 Футболка женская MISS 150 зеленый лайм, размер S")</f>
      </c>
      <c r="C16500" s="4" t="n">
        <v>440.00</v>
      </c>
      <c r="D16500" s="4"/>
    </row>
    <row collapsed="" customFormat="false" customHeight="1" hidden="" ht="14" outlineLevel="0" r="16501">
      <c r="A16501" s="3" t="inlineStr">
        <is>
          <t>16456</t>
        </is>
      </c>
      <c r="B16501" s="4" t="s">
        <f>=HYPERLINK("http://anyluxury.ru/shop/odezhda/futbolki-dlya-promo/futbolka-zhenskaya-miss-150-zeleniy-laym-11386281/" , "11386281 Футболка женская MISS 150 зеленый лайм, размер M")</f>
      </c>
      <c r="C16501" s="4" t="n">
        <v>440.00</v>
      </c>
      <c r="D16501" s="4"/>
    </row>
    <row collapsed="" customFormat="false" customHeight="1" hidden="" ht="14" outlineLevel="0" r="16502">
      <c r="A16502" s="3" t="inlineStr">
        <is>
          <t>16457</t>
        </is>
      </c>
      <c r="B16502" s="4" t="s">
        <f>=HYPERLINK("http://anyluxury.ru/shop/odezhda/futbolki-dlya-promo/futbolka-zhenskaya-miss-150-zeleniy-laym-11386281/" , "11386281 Футболка женская MISS 150 зеленый лайм, размер L")</f>
      </c>
      <c r="C16502" s="4" t="n">
        <v>440.00</v>
      </c>
      <c r="D16502" s="4"/>
    </row>
    <row collapsed="" customFormat="false" customHeight="1" hidden="" ht="14" outlineLevel="0" r="16503">
      <c r="A16503" s="3" t="inlineStr">
        <is>
          <t>16458</t>
        </is>
      </c>
      <c r="B16503" s="4" t="s">
        <f>=HYPERLINK("http://anyluxury.ru/shop/odezhda/futbolki-dlya-promo/futbolka-zhenskaya-miss-150-zeleniy-laym-11386281/" , "11386281 Футболка женская MISS 150 зеленый лайм, размер XL")</f>
      </c>
      <c r="C16503" s="4" t="n">
        <v>440.00</v>
      </c>
      <c r="D16503" s="4"/>
    </row>
    <row collapsed="" customFormat="false" customHeight="1" hidden="" ht="14" outlineLevel="0" r="16504">
      <c r="A16504" s="3" t="inlineStr">
        <is>
          <t>16459</t>
        </is>
      </c>
      <c r="B16504" s="4" t="s">
        <f>=HYPERLINK("http://anyluxury.ru/shop/odezhda/futbolki-dlya-promo/futbolka-zhenskaya-miss-150-zeleniy-laym-11386281/" , "11386281 Футболка женская MISS 150 зеленый лайм, размер XXL")</f>
      </c>
      <c r="C16504" s="4" t="n">
        <v>440.00</v>
      </c>
      <c r="D16504" s="4"/>
    </row>
    <row collapsed="" customFormat="false" customHeight="1" hidden="" ht="14" outlineLevel="0" r="16505">
      <c r="A16505" s="3" t="inlineStr">
        <is>
          <t>16460</t>
        </is>
      </c>
      <c r="B16505" s="4" t="s">
        <f>=HYPERLINK("http://anyluxury.ru/shop/odezhda/futbolki-dlya-promo/futbolka-regent-150-zeleniy-laym-11380281/" , "11380281 Футболка REGENT 150 зеленый лайм, размер XS")</f>
      </c>
      <c r="C16505" s="4" t="n">
        <v>531.00</v>
      </c>
      <c r="D16505" s="4"/>
    </row>
    <row collapsed="" customFormat="false" customHeight="1" hidden="" ht="14" outlineLevel="0" r="16506">
      <c r="A16506" s="3" t="inlineStr">
        <is>
          <t>16461</t>
        </is>
      </c>
      <c r="B16506" s="4" t="s">
        <f>=HYPERLINK("http://anyluxury.ru/shop/odezhda/futbolki-dlya-promo/futbolka-regent-150-zeleniy-laym-11380281/" , "11380281 Футболка REGENT 150 зеленый лайм, размер S")</f>
      </c>
      <c r="C16506" s="4" t="n">
        <v>531.00</v>
      </c>
      <c r="D16506" s="4"/>
    </row>
    <row collapsed="" customFormat="false" customHeight="1" hidden="" ht="14" outlineLevel="0" r="16507">
      <c r="A16507" s="3" t="inlineStr">
        <is>
          <t>16462</t>
        </is>
      </c>
      <c r="B16507" s="4" t="s">
        <f>=HYPERLINK("http://anyluxury.ru/shop/odezhda/futbolki-dlya-promo/futbolka-regent-150-zeleniy-laym-11380281/" , "11380281 Футболка REGENT 150 зеленый лайм, размер M")</f>
      </c>
      <c r="C16507" s="4" t="n">
        <v>531.00</v>
      </c>
      <c r="D16507" s="4"/>
    </row>
    <row collapsed="" customFormat="false" customHeight="1" hidden="" ht="14" outlineLevel="0" r="16508">
      <c r="A16508" s="3" t="inlineStr">
        <is>
          <t>16463</t>
        </is>
      </c>
      <c r="B16508" s="4" t="s">
        <f>=HYPERLINK("http://anyluxury.ru/shop/odezhda/futbolki-dlya-promo/futbolka-regent-150-zeleniy-laym-11380281/" , "11380281 Футболка REGENT 150 зеленый лайм, размер L")</f>
      </c>
      <c r="C16508" s="4" t="n">
        <v>531.00</v>
      </c>
      <c r="D16508" s="4"/>
    </row>
    <row collapsed="" customFormat="false" customHeight="1" hidden="" ht="14" outlineLevel="0" r="16509">
      <c r="A16509" s="3" t="inlineStr">
        <is>
          <t>16464</t>
        </is>
      </c>
      <c r="B16509" s="4" t="s">
        <f>=HYPERLINK("http://anyluxury.ru/shop/odezhda/futbolki-dlya-promo/futbolka-regent-150-zeleniy-laym-11380281/" , "11380281 Футболка REGENT 150 зеленый лайм, размер XL")</f>
      </c>
      <c r="C16509" s="4" t="n">
        <v>531.00</v>
      </c>
      <c r="D16509" s="4"/>
    </row>
    <row collapsed="" customFormat="false" customHeight="1" hidden="" ht="14" outlineLevel="0" r="16510">
      <c r="A16510" s="3" t="inlineStr">
        <is>
          <t>16465</t>
        </is>
      </c>
      <c r="B16510" s="4" t="s">
        <f>=HYPERLINK("http://anyluxury.ru/shop/odezhda/futbolki-dlya-promo/futbolka-regent-150-zeleniy-laym-11380281/" , "11380281 Футболка REGENT 150 зеленый лайм, размер XXL")</f>
      </c>
      <c r="C16510" s="4" t="n">
        <v>531.00</v>
      </c>
      <c r="D16510" s="4"/>
    </row>
    <row collapsed="" customFormat="false" customHeight="1" hidden="" ht="14" outlineLevel="0" r="16511">
      <c r="A16511" s="3" t="inlineStr">
        <is>
          <t>16466</t>
        </is>
      </c>
      <c r="B16511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S")</f>
      </c>
      <c r="C16511" s="4" t="n">
        <v>764.00</v>
      </c>
      <c r="D16511" s="4"/>
    </row>
    <row collapsed="" customFormat="false" customHeight="1" hidden="" ht="14" outlineLevel="0" r="16512">
      <c r="A16512" s="3" t="inlineStr">
        <is>
          <t>16467</t>
        </is>
      </c>
      <c r="B16512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M")</f>
      </c>
      <c r="C16512" s="4" t="n">
        <v>764.00</v>
      </c>
      <c r="D16512" s="4"/>
    </row>
    <row collapsed="" customFormat="false" customHeight="1" hidden="" ht="14" outlineLevel="0" r="16513">
      <c r="A16513" s="3" t="inlineStr">
        <is>
          <t>16468</t>
        </is>
      </c>
      <c r="B16513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L")</f>
      </c>
      <c r="C16513" s="4" t="n">
        <v>764.00</v>
      </c>
      <c r="D16513" s="4"/>
    </row>
    <row collapsed="" customFormat="false" customHeight="1" hidden="" ht="14" outlineLevel="0" r="16514">
      <c r="A16514" s="3" t="inlineStr">
        <is>
          <t>16469</t>
        </is>
      </c>
      <c r="B16514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XL")</f>
      </c>
      <c r="C16514" s="4" t="n">
        <v>764.00</v>
      </c>
      <c r="D16514" s="4"/>
    </row>
    <row collapsed="" customFormat="false" customHeight="1" hidden="" ht="14" outlineLevel="0" r="16515">
      <c r="A16515" s="3" t="inlineStr">
        <is>
          <t>16470</t>
        </is>
      </c>
      <c r="B16515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XXL")</f>
      </c>
      <c r="C16515" s="4" t="n">
        <v>764.00</v>
      </c>
      <c r="D16515" s="4"/>
    </row>
    <row collapsed="" customFormat="false" customHeight="1" hidden="" ht="14" outlineLevel="0" r="16516">
      <c r="A16516" s="3" t="inlineStr">
        <is>
          <t>16471</t>
        </is>
      </c>
      <c r="B16516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S")</f>
      </c>
      <c r="C16516" s="4" t="n">
        <v>764.00</v>
      </c>
      <c r="D16516" s="4"/>
    </row>
    <row collapsed="" customFormat="false" customHeight="1" hidden="" ht="14" outlineLevel="0" r="16517">
      <c r="A16517" s="3" t="inlineStr">
        <is>
          <t>16472</t>
        </is>
      </c>
      <c r="B16517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M")</f>
      </c>
      <c r="C16517" s="4" t="n">
        <v>764.00</v>
      </c>
      <c r="D16517" s="4"/>
    </row>
    <row collapsed="" customFormat="false" customHeight="1" hidden="" ht="14" outlineLevel="0" r="16518">
      <c r="A16518" s="3" t="inlineStr">
        <is>
          <t>16473</t>
        </is>
      </c>
      <c r="B16518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L")</f>
      </c>
      <c r="C16518" s="4" t="n">
        <v>764.00</v>
      </c>
      <c r="D16518" s="4"/>
    </row>
    <row collapsed="" customFormat="false" customHeight="1" hidden="" ht="14" outlineLevel="0" r="16519">
      <c r="A16519" s="3" t="inlineStr">
        <is>
          <t>16474</t>
        </is>
      </c>
      <c r="B16519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XL")</f>
      </c>
      <c r="C16519" s="4" t="n">
        <v>764.00</v>
      </c>
      <c r="D16519" s="4"/>
    </row>
    <row collapsed="" customFormat="false" customHeight="1" hidden="" ht="14" outlineLevel="0" r="16520">
      <c r="A16520" s="3" t="inlineStr">
        <is>
          <t>16475</t>
        </is>
      </c>
      <c r="B16520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XXL")</f>
      </c>
      <c r="C16520" s="4" t="n">
        <v>764.00</v>
      </c>
      <c r="D16520" s="4"/>
    </row>
    <row collapsed="" customFormat="false" customHeight="1" hidden="" ht="14" outlineLevel="0" r="16521">
      <c r="A16521" s="3" t="inlineStr">
        <is>
          <t>16476</t>
        </is>
      </c>
      <c r="B16521" s="4" t="s">
        <f>=HYPERLINK("http://anyluxury.ru/shop/odezhda/futbolki-dlya-promo/futbolka-muzhskaya-s-vobr-virezom-victory-150-oranzhevaya-11150400/" , "11150400 Футболка мужская с V-обр. вырезом VICTORY 150, оранжевая, размер S")</f>
      </c>
      <c r="C16521" s="4" t="n">
        <v>764.00</v>
      </c>
      <c r="D16521" s="4"/>
    </row>
    <row collapsed="" customFormat="false" customHeight="1" hidden="" ht="14" outlineLevel="0" r="16522">
      <c r="A16522" s="3" t="inlineStr">
        <is>
          <t>16477</t>
        </is>
      </c>
      <c r="B16522" s="4" t="s">
        <f>=HYPERLINK("http://anyluxury.ru/shop/odezhda/futbolki-dlya-promo/futbolka-muzhskaya-s-vobr-virezom-victory-150-oranzhevaya-11150400/" , "11150400 Футболка мужская с V-обр. вырезом VICTORY 150, оранжевая, размер M")</f>
      </c>
      <c r="C16522" s="4" t="n">
        <v>764.00</v>
      </c>
      <c r="D16522" s="4"/>
    </row>
    <row collapsed="" customFormat="false" customHeight="1" hidden="" ht="14" outlineLevel="0" r="16523">
      <c r="A16523" s="3" t="inlineStr">
        <is>
          <t>16478</t>
        </is>
      </c>
      <c r="B16523" s="4" t="s">
        <f>=HYPERLINK("http://anyluxury.ru/shop/odezhda/futbolki-dlya-promo/futbolka-muzhskaya-s-vobr-virezom-victory-150-oranzhevaya-11150400/" , "11150400 Футболка мужская с V-обр. вырезом VICTORY 150, оранжевая, размер L")</f>
      </c>
      <c r="C16523" s="4" t="n">
        <v>764.00</v>
      </c>
      <c r="D16523" s="4"/>
    </row>
    <row collapsed="" customFormat="false" customHeight="1" hidden="" ht="14" outlineLevel="0" r="16524">
      <c r="A16524" s="3" t="inlineStr">
        <is>
          <t>16479</t>
        </is>
      </c>
      <c r="B16524" s="4" t="s">
        <f>=HYPERLINK("http://anyluxury.ru/shop/odezhda/futbolki-dlya-promo/futbolka-muzhskaya-s-vobr-virezom-victory-150-oranzhevaya-11150400/" , "11150400 Футболка мужская с V-обр. вырезом VICTORY 150, оранжевая, размер XL")</f>
      </c>
      <c r="C16524" s="4" t="n">
        <v>764.00</v>
      </c>
      <c r="D16524" s="4"/>
    </row>
    <row collapsed="" customFormat="false" customHeight="1" hidden="" ht="14" outlineLevel="0" r="16525">
      <c r="A16525" s="3" t="inlineStr">
        <is>
          <t>16480</t>
        </is>
      </c>
      <c r="B16525" s="4" t="s">
        <f>=HYPERLINK("http://anyluxury.ru/shop/odezhda/futbolki-dlya-promo/futbolka-muzhskaya-s-vobr-virezom-victory-150-oranzhevaya-11150400/" , "11150400 Футболка мужская с V-обр. вырезом VICTORY 150, оранжевая, размер XXL")</f>
      </c>
      <c r="C16525" s="4" t="n">
        <v>764.00</v>
      </c>
      <c r="D16525" s="4"/>
    </row>
    <row collapsed="" customFormat="false" customHeight="1" hidden="" ht="14" outlineLevel="0" r="16526">
      <c r="A16526" s="3" t="inlineStr">
        <is>
          <t>16481</t>
        </is>
      </c>
      <c r="B16526" s="4" t="s">
        <f>=HYPERLINK("http://anyluxury.ru/shop/odezhda/futbolki-dlya-promo/futbolka-detskaya-tbolka-kids-oranzhevaya-250420/" , "2504.20 Футболка детская T-Bolka Kids, оранжевая, 6 лет")</f>
      </c>
      <c r="C16526" s="4" t="n">
        <v>495.00</v>
      </c>
      <c r="D16526" s="4"/>
    </row>
    <row collapsed="" customFormat="false" customHeight="1" hidden="" ht="14" outlineLevel="0" r="16527">
      <c r="A16527" s="3" t="inlineStr">
        <is>
          <t>16482</t>
        </is>
      </c>
      <c r="B16527" s="4" t="s">
        <f>=HYPERLINK("http://anyluxury.ru/shop/odezhda/futbolki-dlya-promo/futbolka-detskaya-tbolka-kids-oranzhevaya-250420/" , "2504.20 Футболка детская T-Bolka Kids, оранжевая, 8 лет")</f>
      </c>
      <c r="C16527" s="4" t="n">
        <v>495.00</v>
      </c>
      <c r="D16527" s="4"/>
    </row>
    <row collapsed="" customFormat="false" customHeight="1" hidden="" ht="14" outlineLevel="0" r="16528">
      <c r="A16528" s="3" t="inlineStr">
        <is>
          <t>16483</t>
        </is>
      </c>
      <c r="B16528" s="4" t="s">
        <f>=HYPERLINK("http://anyluxury.ru/shop/odezhda/futbolki-dlya-promo/futbolka-detskaya-tbolka-kids-oranzhevaya-250420/" , "2504.20 Футболка детская T-Bolka Kids, оранжевая, 10 лет")</f>
      </c>
      <c r="C16528" s="4" t="n">
        <v>495.00</v>
      </c>
      <c r="D16528" s="4"/>
    </row>
    <row collapsed="" customFormat="false" customHeight="1" hidden="" ht="14" outlineLevel="0" r="16529">
      <c r="A16529" s="3" t="inlineStr">
        <is>
          <t>16484</t>
        </is>
      </c>
      <c r="B16529" s="4" t="s">
        <f>=HYPERLINK("http://anyluxury.ru/shop/odezhda/futbolki-dlya-promo/futbolka-detskaya-tbolka-kids-oranzhevaya-250420/" , "2504.20 Футболка детская T-Bolka Kids, оранжевая, 12 лет")</f>
      </c>
      <c r="C16529" s="4" t="n">
        <v>495.00</v>
      </c>
      <c r="D16529" s="4"/>
    </row>
    <row collapsed="" customFormat="false" customHeight="1" hidden="" ht="14" outlineLevel="0" r="16530">
      <c r="A16530" s="3" t="inlineStr">
        <is>
          <t>16485</t>
        </is>
      </c>
      <c r="B16530" s="4" t="s">
        <f>=HYPERLINK("http://anyluxury.ru/shop/odezhda/futbolki-dlya-promo/futbolka-detskaya-tbolka-kids-oranzhevaya-250420/" , "2504.20 Футболка детская T-Bolka Kids, оранжевая, 14 лет")</f>
      </c>
      <c r="C16530" s="4" t="n">
        <v>495.00</v>
      </c>
      <c r="D16530" s="4"/>
    </row>
    <row collapsed="" customFormat="false" customHeight="1" hidden="" ht="14" outlineLevel="0" r="16531">
      <c r="A16531" s="3" t="inlineStr">
        <is>
          <t>16486</t>
        </is>
      </c>
      <c r="B16531" s="4" t="s">
        <f>=HYPERLINK("http://anyluxury.ru/shop/odezhda/futbolki-dlya-promo/futbolka-detskaya-tbolka-kids-chernaya-250430/" , "2504.30 Футболка детская T-Bolka Kids, черная, 6 лет")</f>
      </c>
      <c r="C16531" s="4" t="n">
        <v>495.00</v>
      </c>
      <c r="D16531" s="4"/>
    </row>
    <row collapsed="" customFormat="false" customHeight="1" hidden="" ht="14" outlineLevel="0" r="16532">
      <c r="A16532" s="3" t="inlineStr">
        <is>
          <t>16487</t>
        </is>
      </c>
      <c r="B16532" s="4" t="s">
        <f>=HYPERLINK("http://anyluxury.ru/shop/odezhda/futbolki-dlya-promo/futbolka-detskaya-tbolka-kids-chernaya-250430/" , "2504.30 Футболка детская T-Bolka Kids, черная, 8 лет")</f>
      </c>
      <c r="C16532" s="4" t="n">
        <v>495.00</v>
      </c>
      <c r="D16532" s="4"/>
    </row>
    <row collapsed="" customFormat="false" customHeight="1" hidden="" ht="14" outlineLevel="0" r="16533">
      <c r="A16533" s="3" t="inlineStr">
        <is>
          <t>16488</t>
        </is>
      </c>
      <c r="B16533" s="4" t="s">
        <f>=HYPERLINK("http://anyluxury.ru/shop/odezhda/futbolki-dlya-promo/futbolka-detskaya-tbolka-kids-chernaya-250430/" , "2504.30 Футболка детская T-Bolka Kids, черная, 10 лет")</f>
      </c>
      <c r="C16533" s="4" t="n">
        <v>495.00</v>
      </c>
      <c r="D16533" s="4"/>
    </row>
    <row collapsed="" customFormat="false" customHeight="1" hidden="" ht="14" outlineLevel="0" r="16534">
      <c r="A16534" s="3" t="inlineStr">
        <is>
          <t>16489</t>
        </is>
      </c>
      <c r="B16534" s="4" t="s">
        <f>=HYPERLINK("http://anyluxury.ru/shop/odezhda/futbolki-dlya-promo/futbolka-detskaya-tbolka-kids-chernaya-250430/" , "2504.30 Футболка детская T-Bolka Kids, черная, 12 лет")</f>
      </c>
      <c r="C16534" s="4" t="n">
        <v>495.00</v>
      </c>
      <c r="D16534" s="4"/>
    </row>
    <row collapsed="" customFormat="false" customHeight="1" hidden="" ht="14" outlineLevel="0" r="16535">
      <c r="A16535" s="3" t="inlineStr">
        <is>
          <t>16490</t>
        </is>
      </c>
      <c r="B16535" s="4" t="s">
        <f>=HYPERLINK("http://anyluxury.ru/shop/odezhda/futbolki-dlya-promo/futbolka-detskaya-tbolka-kids-chernaya-250430/" , "2504.30 Футболка детская T-Bolka Kids, черная, 14 лет")</f>
      </c>
      <c r="C16535" s="4" t="n">
        <v>495.00</v>
      </c>
      <c r="D16535" s="4"/>
    </row>
    <row collapsed="" customFormat="false" customHeight="1" hidden="" ht="14" outlineLevel="0" r="16536">
      <c r="A16536" s="3" t="inlineStr">
        <is>
          <t>16491</t>
        </is>
      </c>
      <c r="B16536" s="4" t="s">
        <f>=HYPERLINK("http://anyluxury.ru/shop/odezhda/futbolki-dlya-promo/futbolka-detskaya-tbolka-kids-yarkosinyaya-250444/" , "2504.44 Футболка детская T-Bolka Kids, ярко-синяя, 6 лет")</f>
      </c>
      <c r="C16536" s="4" t="n">
        <v>495.00</v>
      </c>
      <c r="D16536" s="4"/>
    </row>
    <row collapsed="" customFormat="false" customHeight="1" hidden="" ht="14" outlineLevel="0" r="16537">
      <c r="A16537" s="3" t="inlineStr">
        <is>
          <t>16492</t>
        </is>
      </c>
      <c r="B16537" s="4" t="s">
        <f>=HYPERLINK("http://anyluxury.ru/shop/odezhda/futbolki-dlya-promo/futbolka-detskaya-tbolka-kids-yarkosinyaya-250444/" , "2504.44 Футболка детская T-Bolka Kids, ярко-синяя, 8 лет")</f>
      </c>
      <c r="C16537" s="4" t="n">
        <v>495.00</v>
      </c>
      <c r="D16537" s="4"/>
    </row>
    <row collapsed="" customFormat="false" customHeight="1" hidden="" ht="14" outlineLevel="0" r="16538">
      <c r="A16538" s="3" t="inlineStr">
        <is>
          <t>16493</t>
        </is>
      </c>
      <c r="B16538" s="4" t="s">
        <f>=HYPERLINK("http://anyluxury.ru/shop/odezhda/futbolki-dlya-promo/futbolka-detskaya-tbolka-kids-yarkosinyaya-250444/" , "2504.44 Футболка детская T-Bolka Kids, ярко-синяя, 10 лет")</f>
      </c>
      <c r="C16538" s="4" t="n">
        <v>495.00</v>
      </c>
      <c r="D16538" s="4"/>
    </row>
    <row collapsed="" customFormat="false" customHeight="1" hidden="" ht="14" outlineLevel="0" r="16539">
      <c r="A16539" s="3" t="inlineStr">
        <is>
          <t>16494</t>
        </is>
      </c>
      <c r="B16539" s="4" t="s">
        <f>=HYPERLINK("http://anyluxury.ru/shop/odezhda/futbolki-dlya-promo/futbolka-detskaya-tbolka-kids-yarkosinyaya-250444/" , "2504.44 Футболка детская T-Bolka Kids, ярко-синяя, 12 лет")</f>
      </c>
      <c r="C16539" s="4" t="n">
        <v>495.00</v>
      </c>
      <c r="D16539" s="4"/>
    </row>
    <row collapsed="" customFormat="false" customHeight="1" hidden="" ht="14" outlineLevel="0" r="16540">
      <c r="A16540" s="3" t="inlineStr">
        <is>
          <t>16495</t>
        </is>
      </c>
      <c r="B16540" s="4" t="s">
        <f>=HYPERLINK("http://anyluxury.ru/shop/odezhda/futbolki-dlya-promo/futbolka-detskaya-tbolka-kids-yarkosinyaya-250444/" , "2504.44 Футболка детская T-Bolka Kids, ярко-синяя, 14 лет")</f>
      </c>
      <c r="C16540" s="4" t="n">
        <v>495.00</v>
      </c>
      <c r="D16540" s="4"/>
    </row>
    <row collapsed="" customFormat="false" customHeight="1" hidden="" ht="14" outlineLevel="0" r="16541">
      <c r="A16541" s="3" t="inlineStr">
        <is>
          <t>16496</t>
        </is>
      </c>
      <c r="B16541" s="4" t="s">
        <f>=HYPERLINK("http://anyluxury.ru/shop/odezhda/futbolki-dlya-promo/futbolka-detskaya-tbolka-kids-krasnaya-250450/" , "2504.50 Футболка детская T-Bolka Kids, красная, 6 лет")</f>
      </c>
      <c r="C16541" s="4" t="n">
        <v>495.00</v>
      </c>
      <c r="D16541" s="4"/>
    </row>
    <row collapsed="" customFormat="false" customHeight="1" hidden="" ht="14" outlineLevel="0" r="16542">
      <c r="A16542" s="3" t="inlineStr">
        <is>
          <t>16497</t>
        </is>
      </c>
      <c r="B16542" s="4" t="s">
        <f>=HYPERLINK("http://anyluxury.ru/shop/odezhda/futbolki-dlya-promo/futbolka-detskaya-tbolka-kids-krasnaya-250450/" , "2504.50 Футболка детская T-Bolka Kids, красная, 8 лет")</f>
      </c>
      <c r="C16542" s="4" t="n">
        <v>495.00</v>
      </c>
      <c r="D16542" s="4"/>
    </row>
    <row collapsed="" customFormat="false" customHeight="1" hidden="" ht="14" outlineLevel="0" r="16543">
      <c r="A16543" s="3" t="inlineStr">
        <is>
          <t>16498</t>
        </is>
      </c>
      <c r="B16543" s="4" t="s">
        <f>=HYPERLINK("http://anyluxury.ru/shop/odezhda/futbolki-dlya-promo/futbolka-detskaya-tbolka-kids-krasnaya-250450/" , "2504.50 Футболка детская T-Bolka Kids, красная, 12 лет")</f>
      </c>
      <c r="C16543" s="4" t="n">
        <v>495.00</v>
      </c>
      <c r="D16543" s="4"/>
    </row>
    <row collapsed="" customFormat="false" customHeight="1" hidden="" ht="14" outlineLevel="0" r="16544">
      <c r="A16544" s="3" t="inlineStr">
        <is>
          <t>16499</t>
        </is>
      </c>
      <c r="B16544" s="4" t="s">
        <f>=HYPERLINK("http://anyluxury.ru/shop/odezhda/futbolki-dlya-promo/futbolka-detskaya-tbolka-kids-krasnaya-250450/" , "2504.50 Футболка детская T-Bolka Kids, красная, 14 лет")</f>
      </c>
      <c r="C16544" s="4" t="n">
        <v>495.00</v>
      </c>
      <c r="D16544" s="4"/>
    </row>
    <row collapsed="" customFormat="false" customHeight="1" hidden="" ht="14" outlineLevel="0" r="16545">
      <c r="A16545" s="3" t="inlineStr">
        <is>
          <t>16500</t>
        </is>
      </c>
      <c r="B16545" s="4" t="s">
        <f>=HYPERLINK("http://anyluxury.ru/shop/odezhda/futbolki-dlya-promo/futbolka-detskaya-tbolka-kids-belaya-250460/" , "2504.60 Футболка детская T-Bolka Kids, белая, 14 лет")</f>
      </c>
      <c r="C16545" s="4" t="n">
        <v>495.00</v>
      </c>
      <c r="D16545" s="4"/>
    </row>
    <row collapsed="" customFormat="false" customHeight="1" hidden="" ht="14" outlineLevel="0" r="16546">
      <c r="A16546" s="3" t="inlineStr">
        <is>
          <t>16501</t>
        </is>
      </c>
      <c r="B16546" s="4" t="s">
        <f>=HYPERLINK("http://anyluxury.ru/shop/odezhda/futbolki-dlya-promo/futbolka-detskaya-tbolka-kids-zheltaya-250480/" , "2504.80 Футболка детская T-Bolka Kids, желтая, 6 лет")</f>
      </c>
      <c r="C16546" s="4" t="n">
        <v>495.00</v>
      </c>
      <c r="D16546" s="4"/>
    </row>
    <row collapsed="" customFormat="false" customHeight="1" hidden="" ht="14" outlineLevel="0" r="16547">
      <c r="A16547" s="3" t="inlineStr">
        <is>
          <t>16502</t>
        </is>
      </c>
      <c r="B16547" s="4" t="s">
        <f>=HYPERLINK("http://anyluxury.ru/shop/odezhda/futbolki-dlya-promo/futbolka-detskaya-tbolka-kids-zheltaya-250480/" , "2504.80 Футболка детская T-Bolka Kids, желтая, 8 лет")</f>
      </c>
      <c r="C16547" s="4" t="n">
        <v>495.00</v>
      </c>
      <c r="D16547" s="4"/>
    </row>
    <row collapsed="" customFormat="false" customHeight="1" hidden="" ht="14" outlineLevel="0" r="16548">
      <c r="A16548" s="3" t="inlineStr">
        <is>
          <t>16503</t>
        </is>
      </c>
      <c r="B16548" s="4" t="s">
        <f>=HYPERLINK("http://anyluxury.ru/shop/odezhda/futbolki-dlya-promo/futbolka-detskaya-tbolka-kids-zheltaya-250480/" , "2504.80 Футболка детская T-Bolka Kids, желтая, 10 лет")</f>
      </c>
      <c r="C16548" s="4" t="n">
        <v>495.00</v>
      </c>
      <c r="D16548" s="4"/>
    </row>
    <row collapsed="" customFormat="false" customHeight="1" hidden="" ht="14" outlineLevel="0" r="16549">
      <c r="A16549" s="3" t="inlineStr">
        <is>
          <t>16504</t>
        </is>
      </c>
      <c r="B16549" s="4" t="s">
        <f>=HYPERLINK("http://anyluxury.ru/shop/odezhda/futbolki-dlya-promo/futbolka-detskaya-tbolka-kids-zheltaya-250480/" , "2504.80 Футболка детская T-Bolka Kids, желтая, 12 лет")</f>
      </c>
      <c r="C16549" s="4" t="n">
        <v>495.00</v>
      </c>
      <c r="D16549" s="4"/>
    </row>
    <row collapsed="" customFormat="false" customHeight="1" hidden="" ht="14" outlineLevel="0" r="16550">
      <c r="A16550" s="3" t="inlineStr">
        <is>
          <t>16505</t>
        </is>
      </c>
      <c r="B16550" s="4" t="s">
        <f>=HYPERLINK("http://anyluxury.ru/shop/odezhda/futbolki-dlya-promo/futbolka-detskaya-tbolka-kids-zheltaya-250480/" , "2504.80 Футболка детская T-Bolka Kids, желтая, 14 лет")</f>
      </c>
      <c r="C16550" s="4" t="n">
        <v>495.00</v>
      </c>
      <c r="D16550" s="4"/>
    </row>
    <row collapsed="" customFormat="false" customHeight="1" hidden="" ht="14" outlineLevel="0" r="16551">
      <c r="A16551" s="3" t="inlineStr">
        <is>
          <t>16506</t>
        </is>
      </c>
      <c r="B16551" s="4" t="s">
        <f>=HYPERLINK("http://anyluxury.ru/shop/odezhda/futbolki-dlya-promo/futbolka-zhenskaya-tbolka-lady-belaya-187860/" , "1878.60 Футболка женская T-bolka Lady белая, размер S")</f>
      </c>
      <c r="C16551" s="4" t="n">
        <v>440.00</v>
      </c>
      <c r="D16551" s="4"/>
    </row>
    <row collapsed="" customFormat="false" customHeight="1" hidden="" ht="14" outlineLevel="0" r="16552">
      <c r="A16552" s="3" t="inlineStr">
        <is>
          <t>16507</t>
        </is>
      </c>
      <c r="B16552" s="4" t="s">
        <f>=HYPERLINK("http://anyluxury.ru/shop/odezhda/futbolki-dlya-promo/futbolka-zhenskaya-tbolka-lady-belaya-187860/" , "1878.60 Футболка женская T-bolka Lady белая, размер M")</f>
      </c>
      <c r="C16552" s="4" t="n">
        <v>440.00</v>
      </c>
      <c r="D16552" s="4"/>
    </row>
    <row collapsed="" customFormat="false" customHeight="1" hidden="" ht="14" outlineLevel="0" r="16553">
      <c r="A16553" s="3" t="inlineStr">
        <is>
          <t>16508</t>
        </is>
      </c>
      <c r="B16553" s="4" t="s">
        <f>=HYPERLINK("http://anyluxury.ru/shop/odezhda/futbolki-dlya-promo/futbolka-zhenskaya-tbolka-lady-belaya-187860/" , "1878.60 Футболка женская T-bolka Lady белая, размер L")</f>
      </c>
      <c r="C16553" s="4" t="n">
        <v>440.00</v>
      </c>
      <c r="D16553" s="4"/>
    </row>
    <row collapsed="" customFormat="false" customHeight="1" hidden="" ht="14" outlineLevel="0" r="16554">
      <c r="A16554" s="3" t="inlineStr">
        <is>
          <t>16509</t>
        </is>
      </c>
      <c r="B16554" s="4" t="s">
        <f>=HYPERLINK("http://anyluxury.ru/shop/odezhda/futbolki-dlya-promo/futbolka-zhenskaya-tbolka-lady-belaya-187860/" , "1878.60 Футболка женская T-bolka Lady белая, размер XL")</f>
      </c>
      <c r="C16554" s="4" t="n">
        <v>440.00</v>
      </c>
      <c r="D16554" s="4"/>
    </row>
    <row collapsed="" customFormat="false" customHeight="1" hidden="" ht="14" outlineLevel="0" r="16555">
      <c r="A16555" s="3" t="inlineStr">
        <is>
          <t>16510</t>
        </is>
      </c>
      <c r="B16555" s="4" t="s">
        <f>=HYPERLINK("http://anyluxury.ru/shop/odezhda/futbolki-dlya-promo/futbolka-zhenskaya-tbolka-lady-krasnaya-187850/" , "1878.50 Футболка женская T-bolka Lady красная, размер S")</f>
      </c>
      <c r="C16555" s="4" t="n">
        <v>440.00</v>
      </c>
      <c r="D16555" s="4"/>
    </row>
    <row collapsed="" customFormat="false" customHeight="1" hidden="" ht="14" outlineLevel="0" r="16556">
      <c r="A16556" s="3" t="inlineStr">
        <is>
          <t>16511</t>
        </is>
      </c>
      <c r="B16556" s="4" t="s">
        <f>=HYPERLINK("http://anyluxury.ru/shop/odezhda/futbolki-dlya-promo/futbolka-zhenskaya-tbolka-lady-krasnaya-187850/" , "1878.50 Футболка женская T-bolka Lady красная, размер M")</f>
      </c>
      <c r="C16556" s="4" t="n">
        <v>440.00</v>
      </c>
      <c r="D16556" s="4"/>
    </row>
    <row collapsed="" customFormat="false" customHeight="1" hidden="" ht="14" outlineLevel="0" r="16557">
      <c r="A16557" s="3" t="inlineStr">
        <is>
          <t>16512</t>
        </is>
      </c>
      <c r="B16557" s="4" t="s">
        <f>=HYPERLINK("http://anyluxury.ru/shop/odezhda/futbolki-dlya-promo/futbolka-zhenskaya-tbolka-lady-krasnaya-187850/" , "1878.50 Футболка женская T-bolka Lady красная, размер L")</f>
      </c>
      <c r="C16557" s="4" t="n">
        <v>440.00</v>
      </c>
      <c r="D16557" s="4"/>
    </row>
    <row collapsed="" customFormat="false" customHeight="1" hidden="" ht="14" outlineLevel="0" r="16558">
      <c r="A16558" s="3" t="inlineStr">
        <is>
          <t>16513</t>
        </is>
      </c>
      <c r="B16558" s="4" t="s">
        <f>=HYPERLINK("http://anyluxury.ru/shop/odezhda/futbolki-dlya-promo/futbolka-zhenskaya-tbolka-lady-krasnaya-187850/" , "1878.50 Футболка женская T-bolka Lady красная, размер XL")</f>
      </c>
      <c r="C16558" s="4" t="n">
        <v>440.00</v>
      </c>
      <c r="D16558" s="4"/>
    </row>
    <row collapsed="" customFormat="false" customHeight="1" hidden="" ht="14" outlineLevel="0" r="16559">
      <c r="A16559" s="3" t="inlineStr">
        <is>
          <t>16514</t>
        </is>
      </c>
      <c r="B16559" s="4" t="s">
        <f>=HYPERLINK("http://anyluxury.ru/shop/odezhda/futbolki-dlya-promo/futbolka-zhenskaya-tbolka-lady-yarkosinyaya-187844/" , "1878.44 Футболка женская T-bolka Lady ярко-синяя, размер S")</f>
      </c>
      <c r="C16559" s="4" t="n">
        <v>497.00</v>
      </c>
      <c r="D16559" s="4"/>
    </row>
    <row collapsed="" customFormat="false" customHeight="1" hidden="" ht="14" outlineLevel="0" r="16560">
      <c r="A16560" s="3" t="inlineStr">
        <is>
          <t>16515</t>
        </is>
      </c>
      <c r="B16560" s="4" t="s">
        <f>=HYPERLINK("http://anyluxury.ru/shop/odezhda/futbolki-dlya-promo/futbolka-zhenskaya-tbolka-lady-yarkosinyaya-187844/" , "1878.44 Футболка женская T-bolka Lady ярко-синяя, размер M")</f>
      </c>
      <c r="C16560" s="4" t="n">
        <v>497.00</v>
      </c>
      <c r="D16560" s="4"/>
    </row>
    <row collapsed="" customFormat="false" customHeight="1" hidden="" ht="14" outlineLevel="0" r="16561">
      <c r="A16561" s="3" t="inlineStr">
        <is>
          <t>16516</t>
        </is>
      </c>
      <c r="B16561" s="4" t="s">
        <f>=HYPERLINK("http://anyluxury.ru/shop/odezhda/futbolki-dlya-promo/futbolka-zhenskaya-tbolka-lady-yarkosinyaya-187844/" , "1878.44 Футболка женская T-bolka Lady ярко-синяя, размер L")</f>
      </c>
      <c r="C16561" s="4" t="n">
        <v>497.00</v>
      </c>
      <c r="D16561" s="4"/>
    </row>
    <row collapsed="" customFormat="false" customHeight="1" hidden="" ht="14" outlineLevel="0" r="16562">
      <c r="A16562" s="3" t="inlineStr">
        <is>
          <t>16517</t>
        </is>
      </c>
      <c r="B16562" s="4" t="s">
        <f>=HYPERLINK("http://anyluxury.ru/shop/odezhda/futbolki-dlya-promo/futbolka-zhenskaya-tbolka-lady-yarkosinyaya-187844/" , "1878.44 Футболка женская T-bolka Lady ярко-синяя, размер XL")</f>
      </c>
      <c r="C16562" s="4" t="n">
        <v>497.00</v>
      </c>
      <c r="D16562" s="4"/>
    </row>
    <row collapsed="" customFormat="false" customHeight="1" hidden="" ht="14" outlineLevel="0" r="16563">
      <c r="A16563" s="3" t="inlineStr">
        <is>
          <t>16518</t>
        </is>
      </c>
      <c r="B16563" s="4" t="s">
        <f>=HYPERLINK("http://anyluxury.ru/shop/odezhda/futbolki-dlya-promo/futbolka-zhenskaya-tbolka-lady-yarkosinyaya-187844/" , "1878.44 Футболка женская T-bolka Lady ярко-синяя, размер XXL")</f>
      </c>
      <c r="C16563" s="4" t="n">
        <v>497.00</v>
      </c>
      <c r="D16563" s="4"/>
    </row>
    <row collapsed="" customFormat="false" customHeight="1" hidden="" ht="14" outlineLevel="0" r="16564">
      <c r="A16564" s="3" t="inlineStr">
        <is>
          <t>16519</t>
        </is>
      </c>
      <c r="B16564" s="4" t="s">
        <f>=HYPERLINK("http://anyluxury.ru/shop/odezhda/futbolki-dlya-promo/futbolka-zhenskaya-tbolka-lady-yarkosinyaya-187844/" , "1878.44 Футболка женская T-bolka Lady ярко-синяя, размер 3XL")</f>
      </c>
      <c r="C16564" s="4" t="n">
        <v>497.00</v>
      </c>
      <c r="D16564" s="4"/>
    </row>
    <row collapsed="" customFormat="false" customHeight="1" hidden="" ht="14" outlineLevel="0" r="16565">
      <c r="A16565" s="3" t="inlineStr">
        <is>
          <t>16520</t>
        </is>
      </c>
      <c r="B16565" s="4" t="s">
        <f>=HYPERLINK("http://anyluxury.ru/shop/odezhda/futbolki-dlya-promo/futbolka-zhenskaya-tbolka-lady-chernaya-187830/" , "1878.30 Футболка женская T-bolka Lady черная, размер S")</f>
      </c>
      <c r="C16565" s="4" t="n">
        <v>497.00</v>
      </c>
      <c r="D16565" s="4"/>
    </row>
    <row collapsed="" customFormat="false" customHeight="1" hidden="" ht="14" outlineLevel="0" r="16566">
      <c r="A16566" s="3" t="inlineStr">
        <is>
          <t>16521</t>
        </is>
      </c>
      <c r="B16566" s="4" t="s">
        <f>=HYPERLINK("http://anyluxury.ru/shop/odezhda/futbolki-dlya-promo/futbolka-zhenskaya-tbolka-lady-chernaya-187830/" , "1878.30 Футболка женская T-bolka Lady черная, размер M")</f>
      </c>
      <c r="C16566" s="4" t="n">
        <v>497.00</v>
      </c>
      <c r="D16566" s="4"/>
    </row>
    <row collapsed="" customFormat="false" customHeight="1" hidden="" ht="14" outlineLevel="0" r="16567">
      <c r="A16567" s="3" t="inlineStr">
        <is>
          <t>16522</t>
        </is>
      </c>
      <c r="B16567" s="4" t="s">
        <f>=HYPERLINK("http://anyluxury.ru/shop/odezhda/futbolki-dlya-promo/futbolka-zhenskaya-tbolka-lady-chernaya-187830/" , "1878.30 Футболка женская T-bolka Lady черная, размер L")</f>
      </c>
      <c r="C16567" s="4" t="n">
        <v>497.00</v>
      </c>
      <c r="D16567" s="4"/>
    </row>
    <row collapsed="" customFormat="false" customHeight="1" hidden="" ht="14" outlineLevel="0" r="16568">
      <c r="A16568" s="3" t="inlineStr">
        <is>
          <t>16523</t>
        </is>
      </c>
      <c r="B16568" s="4" t="s">
        <f>=HYPERLINK("http://anyluxury.ru/shop/odezhda/futbolki-dlya-promo/futbolka-zhenskaya-tbolka-lady-chernaya-187830/" , "1878.30 Футболка женская T-bolka Lady черная, размер XL")</f>
      </c>
      <c r="C16568" s="4" t="n">
        <v>497.00</v>
      </c>
      <c r="D16568" s="4"/>
    </row>
    <row collapsed="" customFormat="false" customHeight="1" hidden="" ht="14" outlineLevel="0" r="16569">
      <c r="A16569" s="3" t="inlineStr">
        <is>
          <t>16524</t>
        </is>
      </c>
      <c r="B16569" s="4" t="s">
        <f>=HYPERLINK("http://anyluxury.ru/shop/odezhda/futbolki-dlya-promo/futbolka-zhenskaya-tbolka-lady-chernaya-187830/" , "1878.30 Футболка женская T-bolka Lady черная, размер XXL")</f>
      </c>
      <c r="C16569" s="4" t="n">
        <v>497.00</v>
      </c>
      <c r="D16569" s="4"/>
    </row>
    <row collapsed="" customFormat="false" customHeight="1" hidden="" ht="14" outlineLevel="0" r="16570">
      <c r="A16570" s="3" t="inlineStr">
        <is>
          <t>16525</t>
        </is>
      </c>
      <c r="B16570" s="4" t="s">
        <f>=HYPERLINK("http://anyluxury.ru/shop/odezhda/futbolki-dlya-promo/futbolka-zhenskaya-tbolka-lady-chernaya-187830/" , "1878.30 Футболка женская T-bolka Lady черная, размер 3XL")</f>
      </c>
      <c r="C16570" s="4" t="n">
        <v>497.00</v>
      </c>
      <c r="D16570" s="4"/>
    </row>
    <row collapsed="" customFormat="false" customHeight="1" hidden="" ht="14" outlineLevel="0" r="16571">
      <c r="A16571" s="3" t="inlineStr">
        <is>
          <t>16526</t>
        </is>
      </c>
      <c r="B16571" s="4" t="s">
        <f>=HYPERLINK("http://anyluxury.ru/shop/odezhda/futbolki-dlya-promo/futbolka-zhenskaya-tbolka-lady-temnosinyaya-187840/" , "1878.40 Футболка женская T-bolka Lady темно-синяя, размер S")</f>
      </c>
      <c r="C16571" s="4" t="n">
        <v>440.00</v>
      </c>
      <c r="D16571" s="4"/>
    </row>
    <row collapsed="" customFormat="false" customHeight="1" hidden="" ht="14" outlineLevel="0" r="16572">
      <c r="A16572" s="3" t="inlineStr">
        <is>
          <t>16527</t>
        </is>
      </c>
      <c r="B16572" s="4" t="s">
        <f>=HYPERLINK("http://anyluxury.ru/shop/odezhda/futbolki-dlya-promo/futbolka-zhenskaya-tbolka-lady-temnosinyaya-187840/" , "1878.40 Футболка женская T-bolka Lady темно-синяя, размер M")</f>
      </c>
      <c r="C16572" s="4" t="n">
        <v>440.00</v>
      </c>
      <c r="D16572" s="4"/>
    </row>
    <row collapsed="" customFormat="false" customHeight="1" hidden="" ht="14" outlineLevel="0" r="16573">
      <c r="A16573" s="3" t="inlineStr">
        <is>
          <t>16528</t>
        </is>
      </c>
      <c r="B16573" s="4" t="s">
        <f>=HYPERLINK("http://anyluxury.ru/shop/odezhda/futbolki-dlya-promo/futbolka-zhenskaya-tbolka-lady-temnosinyaya-187840/" , "1878.40 Футболка женская T-bolka Lady темно-синяя, размер L")</f>
      </c>
      <c r="C16573" s="4" t="n">
        <v>440.00</v>
      </c>
      <c r="D16573" s="4"/>
    </row>
    <row collapsed="" customFormat="false" customHeight="1" hidden="" ht="14" outlineLevel="0" r="16574">
      <c r="A16574" s="3" t="inlineStr">
        <is>
          <t>16529</t>
        </is>
      </c>
      <c r="B16574" s="4" t="s">
        <f>=HYPERLINK("http://anyluxury.ru/shop/odezhda/futbolki-dlya-promo/futbolka-zhenskaya-tbolka-lady-temnosinyaya-187840/" , "1878.40 Футболка женская T-bolka Lady темно-синяя, размер XL")</f>
      </c>
      <c r="C16574" s="4" t="n">
        <v>440.00</v>
      </c>
      <c r="D16574" s="4"/>
    </row>
    <row collapsed="" customFormat="false" customHeight="1" hidden="" ht="14" outlineLevel="0" r="16575">
      <c r="A16575" s="3" t="inlineStr">
        <is>
          <t>16530</t>
        </is>
      </c>
      <c r="B16575" s="4" t="s">
        <f>=HYPERLINK("http://anyluxury.ru/shop/odezhda/futbolki-dlya-promo/futbolka-zhenskaya-tbolka-lady-zheltaya-187880/" , "1878.80 Футболка женская T-bolka Lady желтая, размер S")</f>
      </c>
      <c r="C16575" s="4" t="n">
        <v>440.00</v>
      </c>
      <c r="D16575" s="4"/>
    </row>
    <row collapsed="" customFormat="false" customHeight="1" hidden="" ht="14" outlineLevel="0" r="16576">
      <c r="A16576" s="3" t="inlineStr">
        <is>
          <t>16531</t>
        </is>
      </c>
      <c r="B16576" s="4" t="s">
        <f>=HYPERLINK("http://anyluxury.ru/shop/odezhda/futbolki-dlya-promo/futbolka-zhenskaya-tbolka-lady-zheltaya-187880/" , "1878.80 Футболка женская T-bolka Lady желтая, размер M")</f>
      </c>
      <c r="C16576" s="4" t="n">
        <v>440.00</v>
      </c>
      <c r="D16576" s="4"/>
    </row>
    <row collapsed="" customFormat="false" customHeight="1" hidden="" ht="14" outlineLevel="0" r="16577">
      <c r="A16577" s="3" t="inlineStr">
        <is>
          <t>16532</t>
        </is>
      </c>
      <c r="B16577" s="4" t="s">
        <f>=HYPERLINK("http://anyluxury.ru/shop/odezhda/futbolki-dlya-promo/futbolka-zhenskaya-tbolka-lady-zheltaya-187880/" , "1878.80 Футболка женская T-bolka Lady желтая, размер L")</f>
      </c>
      <c r="C16577" s="4" t="n">
        <v>440.00</v>
      </c>
      <c r="D16577" s="4"/>
    </row>
    <row collapsed="" customFormat="false" customHeight="1" hidden="" ht="14" outlineLevel="0" r="16578">
      <c r="A16578" s="3" t="inlineStr">
        <is>
          <t>16533</t>
        </is>
      </c>
      <c r="B16578" s="4" t="s">
        <f>=HYPERLINK("http://anyluxury.ru/shop/odezhda/futbolki-dlya-promo/futbolka-zhenskaya-tbolka-lady-zheltaya-187880/" , "1878.80 Футболка женская T-bolka Lady желтая, размер XL")</f>
      </c>
      <c r="C16578" s="4" t="n">
        <v>440.00</v>
      </c>
      <c r="D16578" s="4"/>
    </row>
    <row collapsed="" customFormat="false" customHeight="1" hidden="" ht="14" outlineLevel="0" r="16579">
      <c r="A16579" s="3" t="inlineStr">
        <is>
          <t>16534</t>
        </is>
      </c>
      <c r="B16579" s="4" t="s">
        <f>=HYPERLINK("http://anyluxury.ru/shop/odezhda/futbolki-dlya-promo/futbolka-zhenskaya-tbolka-lady-oranzhevaya-187820/" , "1878.20 Футболка женская T-bolka Lady оранжевая, размер S")</f>
      </c>
      <c r="C16579" s="4" t="n">
        <v>440.00</v>
      </c>
      <c r="D16579" s="4"/>
    </row>
    <row collapsed="" customFormat="false" customHeight="1" hidden="" ht="14" outlineLevel="0" r="16580">
      <c r="A16580" s="3" t="inlineStr">
        <is>
          <t>16535</t>
        </is>
      </c>
      <c r="B16580" s="4" t="s">
        <f>=HYPERLINK("http://anyluxury.ru/shop/odezhda/futbolki-dlya-promo/futbolka-zhenskaya-tbolka-lady-oranzhevaya-187820/" , "1878.20 Футболка женская T-bolka Lady оранжевая, размер M")</f>
      </c>
      <c r="C16580" s="4" t="n">
        <v>440.00</v>
      </c>
      <c r="D16580" s="4"/>
    </row>
    <row collapsed="" customFormat="false" customHeight="1" hidden="" ht="14" outlineLevel="0" r="16581">
      <c r="A16581" s="3" t="inlineStr">
        <is>
          <t>16536</t>
        </is>
      </c>
      <c r="B16581" s="4" t="s">
        <f>=HYPERLINK("http://anyluxury.ru/shop/odezhda/futbolki-dlya-promo/futbolka-zhenskaya-tbolka-lady-oranzhevaya-187820/" , "1878.20 Футболка женская T-bolka Lady оранжевая, размер L")</f>
      </c>
      <c r="C16581" s="4" t="n">
        <v>440.00</v>
      </c>
      <c r="D16581" s="4"/>
    </row>
    <row collapsed="" customFormat="false" customHeight="1" hidden="" ht="14" outlineLevel="0" r="16582">
      <c r="A16582" s="3" t="inlineStr">
        <is>
          <t>16537</t>
        </is>
      </c>
      <c r="B16582" s="4" t="s">
        <f>=HYPERLINK("http://anyluxury.ru/shop/odezhda/futbolki-dlya-promo/futbolka-zhenskaya-tbolka-lady-oranzhevaya-187820/" , "1878.20 Футболка женская T-bolka Lady оранжевая, размер L")</f>
      </c>
      <c r="C16582" s="4" t="n">
        <v>440.00</v>
      </c>
      <c r="D16582" s="4"/>
    </row>
    <row collapsed="" customFormat="false" customHeight="1" hidden="" ht="14" outlineLevel="0" r="16583">
      <c r="A16583" s="3" t="inlineStr">
        <is>
          <t>16538</t>
        </is>
      </c>
      <c r="B16583" s="4" t="s">
        <f>=HYPERLINK("http://anyluxury.ru/shop/odezhda/futbolki-dlya-promo/futbolka-zhenskaya-tbolka-lady-oranzhevaya-187820/" , "1878.20 Футболка женская T-bolka Lady оранжевая, размер XL")</f>
      </c>
      <c r="C16583" s="4" t="n">
        <v>440.00</v>
      </c>
      <c r="D16583" s="4"/>
    </row>
    <row collapsed="" customFormat="false" customHeight="1" hidden="" ht="14" outlineLevel="0" r="16584">
      <c r="A16584" s="3" t="inlineStr">
        <is>
          <t>16539</t>
        </is>
      </c>
      <c r="B16584" s="4" t="s">
        <f>=HYPERLINK("http://anyluxury.ru/shop/odezhda/futbolki-dlya-promo/futbolka-zhenskaya-tbolka-lady-oranzhevaya-187820/" , "1878.20 Футболка женская T-bolka Lady оранжевая, размер XL")</f>
      </c>
      <c r="C16584" s="4" t="n">
        <v>440.00</v>
      </c>
      <c r="D16584" s="4"/>
    </row>
    <row collapsed="" customFormat="false" customHeight="1" hidden="" ht="14" outlineLevel="0" r="16585">
      <c r="A16585" s="3" t="inlineStr">
        <is>
          <t>16540</t>
        </is>
      </c>
      <c r="B16585" s="4" t="s">
        <f>=HYPERLINK("http://anyluxury.ru/shop/odezhda/futbolki-dlya-promo/futbolka-zhenskaya-tbolka-lady-yarkozelenaya-187892/" , "1878.92 Футболка женская T-bolka Lady ярко-зеленая, размер S")</f>
      </c>
      <c r="C16585" s="4" t="n">
        <v>440.00</v>
      </c>
      <c r="D16585" s="4"/>
    </row>
    <row collapsed="" customFormat="false" customHeight="1" hidden="" ht="14" outlineLevel="0" r="16586">
      <c r="A16586" s="3" t="inlineStr">
        <is>
          <t>16541</t>
        </is>
      </c>
      <c r="B16586" s="4" t="s">
        <f>=HYPERLINK("http://anyluxury.ru/shop/odezhda/futbolki-dlya-promo/futbolka-zhenskaya-tbolka-lady-yarkozelenaya-187892/" , "1878.92 Футболка женская T-bolka Lady ярко-зеленая, размер S")</f>
      </c>
      <c r="C16586" s="4" t="n">
        <v>440.00</v>
      </c>
      <c r="D16586" s="4"/>
    </row>
    <row collapsed="" customFormat="false" customHeight="1" hidden="" ht="14" outlineLevel="0" r="16587">
      <c r="A16587" s="3" t="inlineStr">
        <is>
          <t>16542</t>
        </is>
      </c>
      <c r="B16587" s="4" t="s">
        <f>=HYPERLINK("http://anyluxury.ru/shop/odezhda/futbolki-dlya-promo/futbolka-zhenskaya-tbolka-lady-yarkozelenaya-187892/" , "1878.92 Футболка женская T-bolka Lady ярко-зеленая, размер M")</f>
      </c>
      <c r="C16587" s="4" t="n">
        <v>440.00</v>
      </c>
      <c r="D16587" s="4"/>
    </row>
    <row collapsed="" customFormat="false" customHeight="1" hidden="" ht="14" outlineLevel="0" r="16588">
      <c r="A16588" s="3" t="inlineStr">
        <is>
          <t>16543</t>
        </is>
      </c>
      <c r="B16588" s="4" t="s">
        <f>=HYPERLINK("http://anyluxury.ru/shop/odezhda/futbolki-dlya-promo/futbolka-zhenskaya-tbolka-lady-yarkozelenaya-187892/" , "1878.92 Футболка женская T-bolka Lady ярко-зеленая, размер L")</f>
      </c>
      <c r="C16588" s="4" t="n">
        <v>440.00</v>
      </c>
      <c r="D16588" s="4"/>
    </row>
    <row collapsed="" customFormat="false" customHeight="1" hidden="" ht="14" outlineLevel="0" r="16589">
      <c r="A16589" s="3" t="inlineStr">
        <is>
          <t>16544</t>
        </is>
      </c>
      <c r="B16589" s="4" t="s">
        <f>=HYPERLINK("http://anyluxury.ru/shop/odezhda/futbolki-dlya-promo/futbolka-zhenskaya-tbolka-lady-yarkozelenaya-187892/" , "1878.92 Футболка женская T-bolka Lady ярко-зеленая, размер L")</f>
      </c>
      <c r="C16589" s="4" t="n">
        <v>440.00</v>
      </c>
      <c r="D16589" s="4"/>
    </row>
    <row collapsed="" customFormat="false" customHeight="1" hidden="" ht="14" outlineLevel="0" r="16590">
      <c r="A16590" s="3" t="inlineStr">
        <is>
          <t>16545</t>
        </is>
      </c>
      <c r="B16590" s="4" t="s">
        <f>=HYPERLINK("http://anyluxury.ru/shop/odezhda/futbolki-dlya-promo/futbolka-zhenskaya-tbolka-lady-yarkozelenaya-187892/" , "1878.92 Футболка женская T-bolka Lady ярко-зеленая, размер XL")</f>
      </c>
      <c r="C16590" s="4" t="n">
        <v>440.00</v>
      </c>
      <c r="D16590" s="4"/>
    </row>
    <row collapsed="" customFormat="false" customHeight="1" hidden="" ht="14" outlineLevel="0" r="16591">
      <c r="A16591" s="3" t="inlineStr">
        <is>
          <t>16546</t>
        </is>
      </c>
      <c r="B16591" s="4" t="s">
        <f>=HYPERLINK("http://anyluxury.ru/shop/odezhda/futbolki-dlya-promo/futbolka-zhenskaya-tbolka-lady-yarkozelenaya-187892/" , "1878.92 Футболка женская T-bolka Lady ярко-зеленая, размер XL")</f>
      </c>
      <c r="C16591" s="4" t="n">
        <v>440.00</v>
      </c>
      <c r="D16591" s="4"/>
    </row>
    <row collapsed="" customFormat="false" customHeight="1" hidden="" ht="14" outlineLevel="0" r="16592">
      <c r="A16592" s="3" t="inlineStr">
        <is>
          <t>16547</t>
        </is>
      </c>
      <c r="B16592" s="4" t="s">
        <f>=HYPERLINK("http://anyluxury.ru/shop/odezhda/futbolki-dlya-promo/futbolka-melba-temnosinyaya-01406244/" , "01406244 Футболка MELBA темно-синяя, размер S")</f>
      </c>
      <c r="C16592" s="4" t="n">
        <v>1083.00</v>
      </c>
      <c r="D16592" s="4"/>
    </row>
    <row collapsed="" customFormat="false" customHeight="1" hidden="" ht="14" outlineLevel="0" r="16593">
      <c r="A16593" s="3" t="inlineStr">
        <is>
          <t>16548</t>
        </is>
      </c>
      <c r="B16593" s="4" t="s">
        <f>=HYPERLINK("http://anyluxury.ru/shop/odezhda/futbolki-dlya-promo/futbolka-melba-temnosinyaya-01406244/" , "01406244 Футболка MELBA темно-синяя, размер M")</f>
      </c>
      <c r="C16593" s="4" t="n">
        <v>1083.00</v>
      </c>
      <c r="D16593" s="4"/>
    </row>
    <row collapsed="" customFormat="false" customHeight="1" hidden="" ht="14" outlineLevel="0" r="16594">
      <c r="A16594" s="3" t="inlineStr">
        <is>
          <t>16549</t>
        </is>
      </c>
      <c r="B16594" s="4" t="s">
        <f>=HYPERLINK("http://anyluxury.ru/shop/odezhda/futbolki-dlya-promo/futbolka-melba-temnosinyaya-01406244/" , "01406244 Футболка MELBA темно-синяя, размер L")</f>
      </c>
      <c r="C16594" s="4" t="n">
        <v>1083.00</v>
      </c>
      <c r="D16594" s="4"/>
    </row>
    <row collapsed="" customFormat="false" customHeight="1" hidden="" ht="14" outlineLevel="0" r="16595">
      <c r="A16595" s="3" t="inlineStr">
        <is>
          <t>16550</t>
        </is>
      </c>
      <c r="B16595" s="4" t="s">
        <f>=HYPERLINK("http://anyluxury.ru/shop/odezhda/futbolki-dlya-promo/futbolka-zhenskaya-regent-women-yarkozelenaya-01825272/" , "01825272 Футболка женская REGENT WOMEN ярко-зеленая, размер S")</f>
      </c>
      <c r="C16595" s="4" t="n">
        <v>564.00</v>
      </c>
      <c r="D16595" s="4"/>
    </row>
    <row collapsed="" customFormat="false" customHeight="1" hidden="" ht="14" outlineLevel="0" r="16596">
      <c r="A16596" s="3" t="inlineStr">
        <is>
          <t>16551</t>
        </is>
      </c>
      <c r="B16596" s="4" t="s">
        <f>=HYPERLINK("http://anyluxury.ru/shop/odezhda/futbolki-dlya-promo/futbolka-zhenskaya-regent-women-yarkozelenaya-01825272/" , "01825272 Футболка женская REGENT WOMEN ярко-зеленая, размер M")</f>
      </c>
      <c r="C16596" s="4" t="n">
        <v>564.00</v>
      </c>
      <c r="D16596" s="4"/>
    </row>
    <row collapsed="" customFormat="false" customHeight="1" hidden="" ht="14" outlineLevel="0" r="16597">
      <c r="A16597" s="3" t="inlineStr">
        <is>
          <t>16552</t>
        </is>
      </c>
      <c r="B16597" s="4" t="s">
        <f>=HYPERLINK("http://anyluxury.ru/shop/odezhda/futbolki-dlya-promo/futbolka-zhenskaya-regent-women-yarkozelenaya-01825272/" , "01825272 Футболка женская REGENT WOMEN ярко-зеленая, размер L")</f>
      </c>
      <c r="C16597" s="4" t="n">
        <v>564.00</v>
      </c>
      <c r="D16597" s="4"/>
    </row>
    <row collapsed="" customFormat="false" customHeight="1" hidden="" ht="14" outlineLevel="0" r="16598">
      <c r="A16598" s="3" t="inlineStr">
        <is>
          <t>16553</t>
        </is>
      </c>
      <c r="B16598" s="4" t="s">
        <f>=HYPERLINK("http://anyluxury.ru/shop/odezhda/futbolki-dlya-promo/futbolka-zhenskaya-regent-women-yarkozelenaya-01825272/" , "01825272 Футболка женская REGENT WOMEN ярко-зеленая, размер XL")</f>
      </c>
      <c r="C16598" s="4" t="n">
        <v>564.00</v>
      </c>
      <c r="D16598" s="4"/>
    </row>
    <row collapsed="" customFormat="false" customHeight="1" hidden="" ht="14" outlineLevel="0" r="16599">
      <c r="A16599" s="3" t="inlineStr">
        <is>
          <t>16554</t>
        </is>
      </c>
      <c r="B16599" s="4" t="s">
        <f>=HYPERLINK("http://anyluxury.ru/shop/odezhda/futbolki-dlya-promo/futbolka-zhenskaya-regent-women-yarkozelenaya-01825272/" , "01825272 Футболка женская REGENT WOMEN ярко-зеленая, размер XXL")</f>
      </c>
      <c r="C16599" s="4" t="n">
        <v>564.00</v>
      </c>
      <c r="D16599" s="4"/>
    </row>
    <row collapsed="" customFormat="false" customHeight="1" hidden="" ht="14" outlineLevel="0" r="16600">
      <c r="A16600" s="3" t="inlineStr">
        <is>
          <t>16555</t>
        </is>
      </c>
      <c r="B16600" s="4" t="s">
        <f>=HYPERLINK("http://anyluxury.ru/shop/odezhda/futbolki-dlya-promo/futbolka-zhenskaya-regent-women-limonnozheltaya-01825302/" , "01825302 Футболка женская REGENT WOMEN лимонно-желтая, размер S")</f>
      </c>
      <c r="C16600" s="4" t="n">
        <v>564.00</v>
      </c>
      <c r="D16600" s="4"/>
    </row>
    <row collapsed="" customFormat="false" customHeight="1" hidden="" ht="14" outlineLevel="0" r="16601">
      <c r="A16601" s="3" t="inlineStr">
        <is>
          <t>16556</t>
        </is>
      </c>
      <c r="B16601" s="4" t="s">
        <f>=HYPERLINK("http://anyluxury.ru/shop/odezhda/futbolki-dlya-promo/futbolka-zhenskaya-regent-women-limonnozheltaya-01825302/" , "01825302 Футболка женская REGENT WOMEN лимонно-желтая, размер M")</f>
      </c>
      <c r="C16601" s="4" t="n">
        <v>564.00</v>
      </c>
      <c r="D16601" s="4"/>
    </row>
    <row collapsed="" customFormat="false" customHeight="1" hidden="" ht="14" outlineLevel="0" r="16602">
      <c r="A16602" s="3" t="inlineStr">
        <is>
          <t>16557</t>
        </is>
      </c>
      <c r="B16602" s="4" t="s">
        <f>=HYPERLINK("http://anyluxury.ru/shop/odezhda/futbolki-dlya-promo/futbolka-zhenskaya-regent-women-limonnozheltaya-01825302/" , "01825302 Футболка женская REGENT WOMEN лимонно-желтая, размер L")</f>
      </c>
      <c r="C16602" s="4" t="n">
        <v>564.00</v>
      </c>
      <c r="D16602" s="4"/>
    </row>
    <row collapsed="" customFormat="false" customHeight="1" hidden="" ht="14" outlineLevel="0" r="16603">
      <c r="A16603" s="3" t="inlineStr">
        <is>
          <t>16558</t>
        </is>
      </c>
      <c r="B16603" s="4" t="s">
        <f>=HYPERLINK("http://anyluxury.ru/shop/odezhda/futbolki-dlya-promo/futbolka-zhenskaya-regent-women-limonnozheltaya-01825302/" , "01825302 Футболка женская REGENT WOMEN лимонно-желтая, размер XL")</f>
      </c>
      <c r="C16603" s="4" t="n">
        <v>564.00</v>
      </c>
      <c r="D16603" s="4"/>
    </row>
    <row collapsed="" customFormat="false" customHeight="1" hidden="" ht="14" outlineLevel="0" r="16604">
      <c r="A16604" s="3" t="inlineStr">
        <is>
          <t>16559</t>
        </is>
      </c>
      <c r="B16604" s="4" t="s">
        <f>=HYPERLINK("http://anyluxury.ru/shop/odezhda/futbolki-dlya-promo/futbolka-zhenskaya-regent-women-limonnozheltaya-01825302/" , "01825302 Футболка женская REGENT WOMEN лимонно-желтая, размер XXL")</f>
      </c>
      <c r="C16604" s="4" t="n">
        <v>564.00</v>
      </c>
      <c r="D16604" s="4"/>
    </row>
    <row collapsed="" customFormat="false" customHeight="1" hidden="" ht="14" outlineLevel="0" r="16605">
      <c r="A16605" s="3" t="inlineStr">
        <is>
          <t>16560</t>
        </is>
      </c>
      <c r="B16605" s="4" t="s">
        <f>=HYPERLINK("http://anyluxury.ru/shop/odezhda/futbolki-dlya-promo/futbolka-zhenskaya-regent-women-temnosinyaya-navy-01825318/" , "01825318 Футболка женская REGENT WOMEN, темно-синяя (navy), размер S")</f>
      </c>
      <c r="C16605" s="4" t="n">
        <v>564.00</v>
      </c>
      <c r="D16605" s="4"/>
    </row>
    <row collapsed="" customFormat="false" customHeight="1" hidden="" ht="14" outlineLevel="0" r="16606">
      <c r="A16606" s="3" t="inlineStr">
        <is>
          <t>16561</t>
        </is>
      </c>
      <c r="B16606" s="4" t="s">
        <f>=HYPERLINK("http://anyluxury.ru/shop/odezhda/futbolki-dlya-promo/futbolka-zhenskaya-regent-women-temnosinyaya-navy-01825318/" , "01825318 Футболка женская REGENT WOMEN, темно-синяя (navy), размер M")</f>
      </c>
      <c r="C16606" s="4" t="n">
        <v>564.00</v>
      </c>
      <c r="D16606" s="4"/>
    </row>
    <row collapsed="" customFormat="false" customHeight="1" hidden="" ht="14" outlineLevel="0" r="16607">
      <c r="A16607" s="3" t="inlineStr">
        <is>
          <t>16562</t>
        </is>
      </c>
      <c r="B16607" s="4" t="s">
        <f>=HYPERLINK("http://anyluxury.ru/shop/odezhda/futbolki-dlya-promo/futbolka-zhenskaya-regent-women-temnosinyaya-navy-01825318/" , "01825318 Футболка женская REGENT WOMEN, темно-синяя (navy), размер L")</f>
      </c>
      <c r="C16607" s="4" t="n">
        <v>564.00</v>
      </c>
      <c r="D16607" s="4"/>
    </row>
    <row collapsed="" customFormat="false" customHeight="1" hidden="" ht="14" outlineLevel="0" r="16608">
      <c r="A16608" s="3" t="inlineStr">
        <is>
          <t>16563</t>
        </is>
      </c>
      <c r="B16608" s="4" t="s">
        <f>=HYPERLINK("http://anyluxury.ru/shop/odezhda/futbolki-dlya-promo/futbolka-zhenskaya-regent-women-temnosinyaya-navy-01825318/" , "01825318 Футболка женская REGENT WOMEN, темно-синяя (navy), размер XL")</f>
      </c>
      <c r="C16608" s="4" t="n">
        <v>564.00</v>
      </c>
      <c r="D16608" s="4"/>
    </row>
    <row collapsed="" customFormat="false" customHeight="1" hidden="" ht="14" outlineLevel="0" r="16609">
      <c r="A16609" s="3" t="inlineStr">
        <is>
          <t>16564</t>
        </is>
      </c>
      <c r="B16609" s="4" t="s">
        <f>=HYPERLINK("http://anyluxury.ru/shop/odezhda/futbolki-dlya-promo/futbolka-zhenskaya-regent-women-temnosinyaya-navy-01825318/" , "01825318 Футболка женская REGENT WOMEN, темно-синяя (navy), размер XXL")</f>
      </c>
      <c r="C16609" s="4" t="n">
        <v>564.00</v>
      </c>
      <c r="D16609" s="4"/>
    </row>
    <row collapsed="" customFormat="false" customHeight="1" hidden="" ht="14" outlineLevel="0" r="16610">
      <c r="A16610" s="3" t="inlineStr">
        <is>
          <t>16565</t>
        </is>
      </c>
      <c r="B16610" s="4" t="s">
        <f>=HYPERLINK("http://anyluxury.ru/shop/odezhda/futbolki-dlya-promo/futbolka-zhenskaya-regent-women-oranzhevaya-01825400/" , "01825400 Футболка женская REGENT WOMEN оранжевая, размер S")</f>
      </c>
      <c r="C16610" s="4" t="n">
        <v>564.00</v>
      </c>
      <c r="D16610" s="4"/>
    </row>
    <row collapsed="" customFormat="false" customHeight="1" hidden="" ht="14" outlineLevel="0" r="16611">
      <c r="A16611" s="3" t="inlineStr">
        <is>
          <t>16566</t>
        </is>
      </c>
      <c r="B16611" s="4" t="s">
        <f>=HYPERLINK("http://anyluxury.ru/shop/odezhda/futbolki-dlya-promo/futbolka-zhenskaya-regent-women-oranzhevaya-01825400/" , "01825400 Футболка женская REGENT WOMEN оранжевая, размер M")</f>
      </c>
      <c r="C16611" s="4" t="n">
        <v>564.00</v>
      </c>
      <c r="D16611" s="4"/>
    </row>
    <row collapsed="" customFormat="false" customHeight="1" hidden="" ht="14" outlineLevel="0" r="16612">
      <c r="A16612" s="3" t="inlineStr">
        <is>
          <t>16567</t>
        </is>
      </c>
      <c r="B16612" s="4" t="s">
        <f>=HYPERLINK("http://anyluxury.ru/shop/odezhda/futbolki-dlya-promo/futbolka-zhenskaya-regent-women-oranzhevaya-01825400/" , "01825400 Футболка женская REGENT WOMEN оранжевая, размер L")</f>
      </c>
      <c r="C16612" s="4" t="n">
        <v>564.00</v>
      </c>
      <c r="D16612" s="4"/>
    </row>
    <row collapsed="" customFormat="false" customHeight="1" hidden="" ht="14" outlineLevel="0" r="16613">
      <c r="A16613" s="3" t="inlineStr">
        <is>
          <t>16568</t>
        </is>
      </c>
      <c r="B16613" s="4" t="s">
        <f>=HYPERLINK("http://anyluxury.ru/shop/odezhda/futbolki-dlya-promo/futbolka-zhenskaya-regent-women-oranzhevaya-01825400/" , "01825400 Футболка женская REGENT WOMEN оранжевая, размер XL")</f>
      </c>
      <c r="C16613" s="4" t="n">
        <v>564.00</v>
      </c>
      <c r="D16613" s="4"/>
    </row>
    <row collapsed="" customFormat="false" customHeight="1" hidden="" ht="14" outlineLevel="0" r="16614">
      <c r="A16614" s="3" t="inlineStr">
        <is>
          <t>16569</t>
        </is>
      </c>
      <c r="B16614" s="4" t="s">
        <f>=HYPERLINK("http://anyluxury.ru/shop/odezhda/futbolki-dlya-promo/futbolka-zhenskaya-regent-women-oranzhevaya-01825400/" , "01825400 Футболка женская REGENT WOMEN оранжевая, размер XXL")</f>
      </c>
      <c r="C16614" s="4" t="n">
        <v>564.00</v>
      </c>
      <c r="D16614" s="4"/>
    </row>
    <row collapsed="" customFormat="false" customHeight="1" hidden="" ht="14" outlineLevel="0" r="16615">
      <c r="A16615" s="3" t="inlineStr">
        <is>
          <t>16570</t>
        </is>
      </c>
      <c r="B16615" s="4" t="s">
        <f>=HYPERLINK("http://anyluxury.ru/shop/odezhda/futbolki-dlya-promo/futbolka-zhenskaya-regent-women-krasnaya-01825145/" , "01825145 Футболка женская REGENT WOMEN красная, размер S")</f>
      </c>
      <c r="C16615" s="4" t="n">
        <v>564.00</v>
      </c>
      <c r="D16615" s="4"/>
    </row>
    <row collapsed="" customFormat="false" customHeight="1" hidden="" ht="14" outlineLevel="0" r="16616">
      <c r="A16616" s="3" t="inlineStr">
        <is>
          <t>16571</t>
        </is>
      </c>
      <c r="B16616" s="4" t="s">
        <f>=HYPERLINK("http://anyluxury.ru/shop/odezhda/futbolki-dlya-promo/futbolka-zhenskaya-regent-women-krasnaya-01825145/" , "01825145 Футболка женская REGENT WOMEN красная, размер M")</f>
      </c>
      <c r="C16616" s="4" t="n">
        <v>564.00</v>
      </c>
      <c r="D16616" s="4"/>
    </row>
    <row collapsed="" customFormat="false" customHeight="1" hidden="" ht="14" outlineLevel="0" r="16617">
      <c r="A16617" s="3" t="inlineStr">
        <is>
          <t>16572</t>
        </is>
      </c>
      <c r="B16617" s="4" t="s">
        <f>=HYPERLINK("http://anyluxury.ru/shop/odezhda/futbolki-dlya-promo/futbolka-zhenskaya-regent-women-krasnaya-01825145/" , "01825145 Футболка женская REGENT WOMEN красная, размер L")</f>
      </c>
      <c r="C16617" s="4" t="n">
        <v>564.00</v>
      </c>
      <c r="D16617" s="4"/>
    </row>
    <row collapsed="" customFormat="false" customHeight="1" hidden="" ht="14" outlineLevel="0" r="16618">
      <c r="A16618" s="3" t="inlineStr">
        <is>
          <t>16573</t>
        </is>
      </c>
      <c r="B16618" s="4" t="s">
        <f>=HYPERLINK("http://anyluxury.ru/shop/odezhda/futbolki-dlya-promo/futbolka-zhenskaya-regent-women-krasnaya-01825145/" , "01825145 Футболка женская REGENT WOMEN красная, размер XL")</f>
      </c>
      <c r="C16618" s="4" t="n">
        <v>564.00</v>
      </c>
      <c r="D16618" s="4"/>
    </row>
    <row collapsed="" customFormat="false" customHeight="1" hidden="" ht="14" outlineLevel="0" r="16619">
      <c r="A16619" s="3" t="inlineStr">
        <is>
          <t>16574</t>
        </is>
      </c>
      <c r="B16619" s="4" t="s">
        <f>=HYPERLINK("http://anyluxury.ru/shop/odezhda/futbolki-dlya-promo/futbolka-zhenskaya-regent-women-krasnaya-01825145/" , "01825145 Футболка женская REGENT WOMEN красная, размер XXL")</f>
      </c>
      <c r="C16619" s="4" t="n">
        <v>564.00</v>
      </c>
      <c r="D16619" s="4"/>
    </row>
    <row collapsed="" customFormat="false" customHeight="1" hidden="" ht="14" outlineLevel="0" r="16620">
      <c r="A16620" s="3" t="inlineStr">
        <is>
          <t>16575</t>
        </is>
      </c>
      <c r="B16620" s="4" t="s">
        <f>=HYPERLINK("http://anyluxury.ru/shop/odezhda/futbolki-dlya-promo/futbolka-zhenskaya-regent-women-yarkosinyaya-royal-01825241/" , "01825241 Футболка женская REGENT WOMEN ярко-синяя, размер S")</f>
      </c>
      <c r="C16620" s="4" t="n">
        <v>564.00</v>
      </c>
      <c r="D16620" s="4"/>
    </row>
    <row collapsed="" customFormat="false" customHeight="1" hidden="" ht="14" outlineLevel="0" r="16621">
      <c r="A16621" s="3" t="inlineStr">
        <is>
          <t>16576</t>
        </is>
      </c>
      <c r="B16621" s="4" t="s">
        <f>=HYPERLINK("http://anyluxury.ru/shop/odezhda/futbolki-dlya-promo/futbolka-zhenskaya-regent-women-yarkosinyaya-royal-01825241/" , "01825241 Футболка женская REGENT WOMEN ярко-синяя, размер M")</f>
      </c>
      <c r="C16621" s="4" t="n">
        <v>564.00</v>
      </c>
      <c r="D16621" s="4"/>
    </row>
    <row collapsed="" customFormat="false" customHeight="1" hidden="" ht="14" outlineLevel="0" r="16622">
      <c r="A16622" s="3" t="inlineStr">
        <is>
          <t>16577</t>
        </is>
      </c>
      <c r="B16622" s="4" t="s">
        <f>=HYPERLINK("http://anyluxury.ru/shop/odezhda/futbolki-dlya-promo/futbolka-zhenskaya-regent-women-yarkosinyaya-royal-01825241/" , "01825241 Футболка женская REGENT WOMEN ярко-синяя, размер L")</f>
      </c>
      <c r="C16622" s="4" t="n">
        <v>564.00</v>
      </c>
      <c r="D16622" s="4"/>
    </row>
    <row collapsed="" customFormat="false" customHeight="1" hidden="" ht="14" outlineLevel="0" r="16623">
      <c r="A16623" s="3" t="inlineStr">
        <is>
          <t>16578</t>
        </is>
      </c>
      <c r="B16623" s="4" t="s">
        <f>=HYPERLINK("http://anyluxury.ru/shop/odezhda/futbolki-dlya-promo/futbolka-zhenskaya-regent-women-yarkosinyaya-royal-01825241/" , "01825241 Футболка женская REGENT WOMEN ярко-синяя, размер XL")</f>
      </c>
      <c r="C16623" s="4" t="n">
        <v>564.00</v>
      </c>
      <c r="D16623" s="4"/>
    </row>
    <row collapsed="" customFormat="false" customHeight="1" hidden="" ht="14" outlineLevel="0" r="16624">
      <c r="A16624" s="3" t="inlineStr">
        <is>
          <t>16579</t>
        </is>
      </c>
      <c r="B16624" s="4" t="s">
        <f>=HYPERLINK("http://anyluxury.ru/shop/odezhda/futbolki-dlya-promo/futbolka-zhenskaya-regent-women-yarkosinyaya-royal-01825241/" , "01825241 Футболка женская REGENT WOMEN ярко-синяя, размер XXL")</f>
      </c>
      <c r="C16624" s="4" t="n">
        <v>564.00</v>
      </c>
      <c r="D16624" s="4"/>
    </row>
    <row collapsed="" customFormat="false" customHeight="1" hidden="" ht="14" outlineLevel="0" r="16625">
      <c r="A16625" s="3" t="inlineStr">
        <is>
          <t>16580</t>
        </is>
      </c>
      <c r="B16625" s="4" t="s">
        <f>=HYPERLINK("http://anyluxury.ru/shop/odezhda/futbolki-dlya-promo/futbolka-zhenskaya-regent-women-golubaya-01825220/" , "01825220 Футболка женская REGENT WOMEN голубая, размер S")</f>
      </c>
      <c r="C16625" s="4" t="n">
        <v>542.00</v>
      </c>
      <c r="D16625" s="4"/>
    </row>
    <row collapsed="" customFormat="false" customHeight="1" hidden="" ht="14" outlineLevel="0" r="16626">
      <c r="A16626" s="3" t="inlineStr">
        <is>
          <t>16581</t>
        </is>
      </c>
      <c r="B16626" s="4" t="s">
        <f>=HYPERLINK("http://anyluxury.ru/shop/odezhda/futbolki-dlya-promo/futbolka-zhenskaya-regent-women-golubaya-01825220/" , "01825220 Футболка женская REGENT WOMEN голубая, размер M")</f>
      </c>
      <c r="C16626" s="4" t="n">
        <v>542.00</v>
      </c>
      <c r="D16626" s="4"/>
    </row>
    <row collapsed="" customFormat="false" customHeight="1" hidden="" ht="14" outlineLevel="0" r="16627">
      <c r="A16627" s="3" t="inlineStr">
        <is>
          <t>16582</t>
        </is>
      </c>
      <c r="B16627" s="4" t="s">
        <f>=HYPERLINK("http://anyluxury.ru/shop/odezhda/futbolki-dlya-promo/futbolka-zhenskaya-regent-women-golubaya-01825220/" , "01825220 Футболка женская REGENT WOMEN голубая, размер XXL")</f>
      </c>
      <c r="C16627" s="4" t="n">
        <v>542.00</v>
      </c>
      <c r="D16627" s="4"/>
    </row>
    <row collapsed="" customFormat="false" customHeight="1" hidden="" ht="14" outlineLevel="0" r="16628">
      <c r="A16628" s="3" t="inlineStr">
        <is>
          <t>16583</t>
        </is>
      </c>
      <c r="B16628" s="4" t="s">
        <f>=HYPERLINK("http://anyluxury.ru/shop/odezhda/futbolki-dlya-promo/futbolka-zhenskaya-regent-women-belaya-01825102/" , "01825102 Футболка женская REGENT WOMEN белая, размер S")</f>
      </c>
      <c r="C16628" s="4" t="n">
        <v>492.00</v>
      </c>
      <c r="D16628" s="4"/>
    </row>
    <row collapsed="" customFormat="false" customHeight="1" hidden="" ht="14" outlineLevel="0" r="16629">
      <c r="A16629" s="3" t="inlineStr">
        <is>
          <t>16584</t>
        </is>
      </c>
      <c r="B16629" s="4" t="s">
        <f>=HYPERLINK("http://anyluxury.ru/shop/odezhda/futbolki-dlya-promo/futbolka-zhenskaya-regent-women-belaya-01825102/" , "01825102 Футболка женская REGENT WOMEN белая, размер M")</f>
      </c>
      <c r="C16629" s="4" t="n">
        <v>492.00</v>
      </c>
      <c r="D16629" s="4"/>
    </row>
    <row collapsed="" customFormat="false" customHeight="1" hidden="" ht="14" outlineLevel="0" r="16630">
      <c r="A16630" s="3" t="inlineStr">
        <is>
          <t>16585</t>
        </is>
      </c>
      <c r="B16630" s="4" t="s">
        <f>=HYPERLINK("http://anyluxury.ru/shop/odezhda/futbolki-dlya-promo/futbolka-zhenskaya-regent-women-belaya-01825102/" , "01825102 Футболка женская REGENT WOMEN белая, размер L")</f>
      </c>
      <c r="C16630" s="4" t="n">
        <v>492.00</v>
      </c>
      <c r="D16630" s="4"/>
    </row>
    <row collapsed="" customFormat="false" customHeight="1" hidden="" ht="14" outlineLevel="0" r="16631">
      <c r="A16631" s="3" t="inlineStr">
        <is>
          <t>16586</t>
        </is>
      </c>
      <c r="B16631" s="4" t="s">
        <f>=HYPERLINK("http://anyluxury.ru/shop/odezhda/futbolki-dlya-promo/futbolka-zhenskaya-regent-women-belaya-01825102/" , "01825102 Футболка женская REGENT WOMEN белая, размер XL")</f>
      </c>
      <c r="C16631" s="4" t="n">
        <v>492.00</v>
      </c>
      <c r="D16631" s="4"/>
    </row>
    <row collapsed="" customFormat="false" customHeight="1" hidden="" ht="14" outlineLevel="0" r="16632">
      <c r="A16632" s="3" t="inlineStr">
        <is>
          <t>16587</t>
        </is>
      </c>
      <c r="B16632" s="4" t="s">
        <f>=HYPERLINK("http://anyluxury.ru/shop/odezhda/futbolki-dlya-promo/mayka-zhenskaya-justin-women-belaya-01826102/" , "01826102 Майка женская JUSTIN WOMEN белая, размер XS")</f>
      </c>
      <c r="C16632" s="4" t="n">
        <v>551.00</v>
      </c>
      <c r="D16632" s="4"/>
    </row>
    <row collapsed="" customFormat="false" customHeight="1" hidden="" ht="14" outlineLevel="0" r="16633">
      <c r="A16633" s="3" t="inlineStr">
        <is>
          <t>16588</t>
        </is>
      </c>
      <c r="B16633" s="4" t="s">
        <f>=HYPERLINK("http://anyluxury.ru/shop/odezhda/futbolki-dlya-promo/mayka-zhenskaya-justin-women-belaya-01826102/" , "01826102 Майка женская JUSTIN WOMEN белая, размер S")</f>
      </c>
      <c r="C16633" s="4" t="n">
        <v>551.00</v>
      </c>
      <c r="D16633" s="4"/>
    </row>
    <row collapsed="" customFormat="false" customHeight="1" hidden="" ht="14" outlineLevel="0" r="16634">
      <c r="A16634" s="3" t="inlineStr">
        <is>
          <t>16589</t>
        </is>
      </c>
      <c r="B16634" s="4" t="s">
        <f>=HYPERLINK("http://anyluxury.ru/shop/odezhda/futbolki-dlya-promo/mayka-zhenskaya-justin-women-belaya-01826102/" , "01826102 Майка женская JUSTIN WOMEN белая, размер M")</f>
      </c>
      <c r="C16634" s="4" t="n">
        <v>551.00</v>
      </c>
      <c r="D16634" s="4"/>
    </row>
    <row collapsed="" customFormat="false" customHeight="1" hidden="" ht="14" outlineLevel="0" r="16635">
      <c r="A16635" s="3" t="inlineStr">
        <is>
          <t>16590</t>
        </is>
      </c>
      <c r="B16635" s="4" t="s">
        <f>=HYPERLINK("http://anyluxury.ru/shop/odezhda/futbolki-dlya-promo/mayka-zhenskaya-justin-women-belaya-01826102/" , "01826102 Майка женская JUSTIN WOMEN белая, размер L")</f>
      </c>
      <c r="C16635" s="4" t="n">
        <v>551.00</v>
      </c>
      <c r="D16635" s="4"/>
    </row>
    <row collapsed="" customFormat="false" customHeight="1" hidden="" ht="14" outlineLevel="0" r="16636">
      <c r="A16636" s="3" t="inlineStr">
        <is>
          <t>16591</t>
        </is>
      </c>
      <c r="B16636" s="4" t="s">
        <f>=HYPERLINK("http://anyluxury.ru/shop/odezhda/futbolki-dlya-promo/mayka-zhenskaya-justin-women-belaya-01826102/" , "01826102 Майка женская JUSTIN WOMEN белая, размер XL")</f>
      </c>
      <c r="C16636" s="4" t="n">
        <v>551.00</v>
      </c>
      <c r="D16636" s="4"/>
    </row>
    <row collapsed="" customFormat="false" customHeight="1" hidden="" ht="14" outlineLevel="0" r="16637">
      <c r="A16637" s="3" t="inlineStr">
        <is>
          <t>16592</t>
        </is>
      </c>
      <c r="B16637" s="4" t="s">
        <f>=HYPERLINK("http://anyluxury.ru/shop/odezhda/futbolki-dlya-promo/mayka-zhenskaya-justin-women-belaya-01826102/" , "01826102 Майка женская JUSTIN WOMEN белая, размер XXL")</f>
      </c>
      <c r="C16637" s="4" t="n">
        <v>551.00</v>
      </c>
      <c r="D16637" s="4"/>
    </row>
    <row collapsed="" customFormat="false" customHeight="1" hidden="" ht="14" outlineLevel="0" r="16638">
      <c r="A16638" s="3" t="inlineStr">
        <is>
          <t>16593</t>
        </is>
      </c>
      <c r="B16638" s="4" t="s">
        <f>=HYPERLINK("http://anyluxury.ru/shop/odezhda/futbolki-dlya-promo/futbolka-zhenskaya-regent-women-zelenoe-yabloko-01825280/" , "01825280 Футболка женская REGENT WOMEN зеленое яблоко, размер S")</f>
      </c>
      <c r="C16638" s="4" t="n">
        <v>564.00</v>
      </c>
      <c r="D16638" s="4"/>
    </row>
    <row collapsed="" customFormat="false" customHeight="1" hidden="" ht="14" outlineLevel="0" r="16639">
      <c r="A16639" s="3" t="inlineStr">
        <is>
          <t>16594</t>
        </is>
      </c>
      <c r="B16639" s="4" t="s">
        <f>=HYPERLINK("http://anyluxury.ru/shop/odezhda/futbolki-dlya-promo/futbolka-zhenskaya-regent-women-zelenoe-yabloko-01825280/" , "01825280 Футболка женская REGENT WOMEN зеленое яблоко, размер M")</f>
      </c>
      <c r="C16639" s="4" t="n">
        <v>564.00</v>
      </c>
      <c r="D16639" s="4"/>
    </row>
    <row collapsed="" customFormat="false" customHeight="1" hidden="" ht="14" outlineLevel="0" r="16640">
      <c r="A16640" s="3" t="inlineStr">
        <is>
          <t>16595</t>
        </is>
      </c>
      <c r="B16640" s="4" t="s">
        <f>=HYPERLINK("http://anyluxury.ru/shop/odezhda/futbolki-dlya-promo/futbolka-zhenskaya-regent-women-zelenoe-yabloko-01825280/" , "01825280 Футболка женская REGENT WOMEN зеленое яблоко, размер XXL")</f>
      </c>
      <c r="C16640" s="4" t="n">
        <v>564.00</v>
      </c>
      <c r="D16640" s="4"/>
    </row>
    <row collapsed="" customFormat="false" customHeight="1" hidden="" ht="14" outlineLevel="0" r="16641">
      <c r="A16641" s="3" t="inlineStr">
        <is>
          <t>16596</t>
        </is>
      </c>
      <c r="B16641" s="4" t="s">
        <f>=HYPERLINK("http://anyluxury.ru/shop/odezhda/futbolki-dlya-promo/futbolka-zhenskaya-regent-women-oranzhevaya-abrikosovaya-01825401/" , "01825401 Футболка женская REGENT WOMEN оранжевая (абрикосовая), размер S")</f>
      </c>
      <c r="C16641" s="4" t="n">
        <v>564.00</v>
      </c>
      <c r="D16641" s="4"/>
    </row>
    <row collapsed="" customFormat="false" customHeight="1" hidden="" ht="14" outlineLevel="0" r="16642">
      <c r="A16642" s="3" t="inlineStr">
        <is>
          <t>16597</t>
        </is>
      </c>
      <c r="B16642" s="4" t="s">
        <f>=HYPERLINK("http://anyluxury.ru/shop/odezhda/futbolki-dlya-promo/futbolka-zhenskaya-regent-women-oranzhevaya-abrikosovaya-01825401/" , "01825401 Футболка женская REGENT WOMEN оранжевая (абрикосовая), размер L")</f>
      </c>
      <c r="C16642" s="4" t="n">
        <v>564.00</v>
      </c>
      <c r="D16642" s="4"/>
    </row>
    <row collapsed="" customFormat="false" customHeight="1" hidden="" ht="14" outlineLevel="0" r="16643">
      <c r="A16643" s="3" t="inlineStr">
        <is>
          <t>16598</t>
        </is>
      </c>
      <c r="B16643" s="4" t="s">
        <f>=HYPERLINK("http://anyluxury.ru/shop/odezhda/futbolki-dlya-promo/futbolka-zhenskaya-regent-women-oranzhevaya-abrikosovaya-01825401/" , "01825401 Футболка женская REGENT WOMEN оранжевая (абрикосовая), размер XL")</f>
      </c>
      <c r="C16643" s="4" t="n">
        <v>564.00</v>
      </c>
      <c r="D16643" s="4"/>
    </row>
    <row collapsed="" customFormat="false" customHeight="1" hidden="" ht="14" outlineLevel="0" r="16644">
      <c r="A16644" s="3" t="inlineStr">
        <is>
          <t>16599</t>
        </is>
      </c>
      <c r="B16644" s="4" t="s">
        <f>=HYPERLINK("http://anyluxury.ru/shop/odezhda/futbolki-dlya-promo/futbolka-zhenskaya-regent-women-oranzhevaya-abrikosovaya-01825401/" , "01825401 Футболка женская REGENT WOMEN оранжевая (абрикосовая), размер XXL")</f>
      </c>
      <c r="C16644" s="4" t="n">
        <v>564.00</v>
      </c>
      <c r="D16644" s="4"/>
    </row>
    <row collapsed="" customFormat="false" customHeight="1" hidden="" ht="14" outlineLevel="0" r="16645">
      <c r="A16645" s="3" t="inlineStr">
        <is>
          <t>16600</t>
        </is>
      </c>
      <c r="B16645" s="4" t="s">
        <f>=HYPERLINK("http://anyluxury.ru/shop/odezhda/futbolki-dlya-promo/futbolka-zhenskaya-regent-women-yarkobiryuzovaya-01825321/" , "01825321 Футболка женская REGENT WOMEN ярко-бирюзовая, размер S")</f>
      </c>
      <c r="C16645" s="4" t="n">
        <v>564.00</v>
      </c>
      <c r="D16645" s="4"/>
    </row>
    <row collapsed="" customFormat="false" customHeight="1" hidden="" ht="14" outlineLevel="0" r="16646">
      <c r="A16646" s="3" t="inlineStr">
        <is>
          <t>16601</t>
        </is>
      </c>
      <c r="B16646" s="4" t="s">
        <f>=HYPERLINK("http://anyluxury.ru/shop/odezhda/futbolki-dlya-promo/futbolka-zhenskaya-regent-women-yarkobiryuzovaya-01825321/" , "01825321 Футболка женская REGENT WOMEN ярко-бирюзовая, размер M")</f>
      </c>
      <c r="C16646" s="4" t="n">
        <v>564.00</v>
      </c>
      <c r="D16646" s="4"/>
    </row>
    <row collapsed="" customFormat="false" customHeight="1" hidden="" ht="14" outlineLevel="0" r="16647">
      <c r="A16647" s="3" t="inlineStr">
        <is>
          <t>16602</t>
        </is>
      </c>
      <c r="B16647" s="4" t="s">
        <f>=HYPERLINK("http://anyluxury.ru/shop/odezhda/futbolki-dlya-promo/futbolka-zhenskaya-regent-women-yarkobiryuzovaya-01825321/" , "01825321 Футболка женская REGENT WOMEN ярко-бирюзовая, размер L")</f>
      </c>
      <c r="C16647" s="4" t="n">
        <v>564.00</v>
      </c>
      <c r="D16647" s="4"/>
    </row>
    <row collapsed="" customFormat="false" customHeight="1" hidden="" ht="14" outlineLevel="0" r="16648">
      <c r="A16648" s="3" t="inlineStr">
        <is>
          <t>16603</t>
        </is>
      </c>
      <c r="B16648" s="4" t="s">
        <f>=HYPERLINK("http://anyluxury.ru/shop/odezhda/futbolki-dlya-promo/futbolka-zhenskaya-regent-women-yarkobiryuzovaya-01825321/" , "01825321 Футболка женская REGENT WOMEN ярко-бирюзовая, размер XL")</f>
      </c>
      <c r="C16648" s="4" t="n">
        <v>564.00</v>
      </c>
      <c r="D16648" s="4"/>
    </row>
    <row collapsed="" customFormat="false" customHeight="1" hidden="" ht="14" outlineLevel="0" r="16649">
      <c r="A16649" s="3" t="inlineStr">
        <is>
          <t>16604</t>
        </is>
      </c>
      <c r="B16649" s="4" t="s">
        <f>=HYPERLINK("http://anyluxury.ru/shop/odezhda/futbolki-dlya-promo/futbolka-zhenskaya-regent-women-yarkobiryuzovaya-01825321/" , "01825321 Футболка женская REGENT WOMEN ярко-бирюзовая, размер XXL")</f>
      </c>
      <c r="C16649" s="4" t="n">
        <v>564.00</v>
      </c>
      <c r="D16649" s="4"/>
    </row>
    <row collapsed="" customFormat="false" customHeight="1" hidden="" ht="14" outlineLevel="0" r="16650">
      <c r="A16650" s="3" t="inlineStr">
        <is>
          <t>16605</t>
        </is>
      </c>
      <c r="B16650" s="4" t="s">
        <f>=HYPERLINK("http://anyluxury.ru/shop/odezhda/futbolki-dlya-promo/futbolka-zhenskaya-regent-women-biryuzovaya-01825225/" , "01825225 Футболка женская REGENT WOMEN бирюзовая, размер S")</f>
      </c>
      <c r="C16650" s="4" t="n">
        <v>564.00</v>
      </c>
      <c r="D16650" s="4"/>
    </row>
    <row collapsed="" customFormat="false" customHeight="1" hidden="" ht="14" outlineLevel="0" r="16651">
      <c r="A16651" s="3" t="inlineStr">
        <is>
          <t>16606</t>
        </is>
      </c>
      <c r="B16651" s="4" t="s">
        <f>=HYPERLINK("http://anyluxury.ru/shop/odezhda/futbolki-dlya-promo/futbolka-zhenskaya-regent-women-biryuzovaya-01825225/" , "01825225 Футболка женская REGENT WOMEN бирюзовая, размер M")</f>
      </c>
      <c r="C16651" s="4" t="n">
        <v>564.00</v>
      </c>
      <c r="D16651" s="4"/>
    </row>
    <row collapsed="" customFormat="false" customHeight="1" hidden="" ht="14" outlineLevel="0" r="16652">
      <c r="A16652" s="3" t="inlineStr">
        <is>
          <t>16607</t>
        </is>
      </c>
      <c r="B16652" s="4" t="s">
        <f>=HYPERLINK("http://anyluxury.ru/shop/odezhda/futbolki-dlya-promo/futbolka-zhenskaya-regent-women-biryuzovaya-01825225/" , "01825225 Футболка женская REGENT WOMEN бирюзовая, размер L")</f>
      </c>
      <c r="C16652" s="4" t="n">
        <v>564.00</v>
      </c>
      <c r="D16652" s="4"/>
    </row>
    <row collapsed="" customFormat="false" customHeight="1" hidden="" ht="14" outlineLevel="0" r="16653">
      <c r="A16653" s="3" t="inlineStr">
        <is>
          <t>16608</t>
        </is>
      </c>
      <c r="B16653" s="4" t="s">
        <f>=HYPERLINK("http://anyluxury.ru/shop/odezhda/futbolki-dlya-promo/futbolka-zhenskaya-regent-women-biryuzovaya-01825225/" , "01825225 Футболка женская REGENT WOMEN бирюзовая, размер XL")</f>
      </c>
      <c r="C16653" s="4" t="n">
        <v>564.00</v>
      </c>
      <c r="D16653" s="4"/>
    </row>
    <row collapsed="" customFormat="false" customHeight="1" hidden="" ht="14" outlineLevel="0" r="16654">
      <c r="A16654" s="3" t="inlineStr">
        <is>
          <t>16609</t>
        </is>
      </c>
      <c r="B16654" s="4" t="s">
        <f>=HYPERLINK("http://anyluxury.ru/shop/odezhda/futbolki-dlya-promo/futbolka-zhenskaya-regent-women-biryuzovaya-01825225/" , "01825225 Футболка женская REGENT WOMEN бирюзовая, размер XXL")</f>
      </c>
      <c r="C16654" s="4" t="n">
        <v>564.00</v>
      </c>
      <c r="D16654" s="4"/>
    </row>
    <row collapsed="" customFormat="false" customHeight="1" hidden="" ht="14" outlineLevel="0" r="16655">
      <c r="A16655" s="3" t="inlineStr">
        <is>
          <t>16610</t>
        </is>
      </c>
      <c r="B16655" s="4" t="s">
        <f>=HYPERLINK("http://anyluxury.ru/shop/odezhda/futbolki-dlya-promo/futbolka-zhenskaya-regent-women-rozovaya-korallovaya-01825158/" , "01825158 Футболка женская REGENT WOMEN розовая (коралловая), размер S")</f>
      </c>
      <c r="C16655" s="4" t="n">
        <v>542.00</v>
      </c>
      <c r="D16655" s="4"/>
    </row>
    <row collapsed="" customFormat="false" customHeight="1" hidden="" ht="14" outlineLevel="0" r="16656">
      <c r="A16656" s="3" t="inlineStr">
        <is>
          <t>16611</t>
        </is>
      </c>
      <c r="B16656" s="4" t="s">
        <f>=HYPERLINK("http://anyluxury.ru/shop/odezhda/futbolki-dlya-promo/futbolka-zhenskaya-regent-women-rozovaya-korallovaya-01825158/" , "01825158 Футболка женская REGENT WOMEN розовая (коралловая), размер M")</f>
      </c>
      <c r="C16656" s="4" t="n">
        <v>542.00</v>
      </c>
      <c r="D16656" s="4"/>
    </row>
    <row collapsed="" customFormat="false" customHeight="1" hidden="" ht="14" outlineLevel="0" r="16657">
      <c r="A16657" s="3" t="inlineStr">
        <is>
          <t>16612</t>
        </is>
      </c>
      <c r="B16657" s="4" t="s">
        <f>=HYPERLINK("http://anyluxury.ru/shop/odezhda/futbolki-dlya-promo/futbolka-zhenskaya-regent-women-rozovaya-korallovaya-01825158/" , "01825158 Футболка женская REGENT WOMEN розовая (коралловая), размер L")</f>
      </c>
      <c r="C16657" s="4" t="n">
        <v>542.00</v>
      </c>
      <c r="D16657" s="4"/>
    </row>
    <row collapsed="" customFormat="false" customHeight="1" hidden="" ht="14" outlineLevel="0" r="16658">
      <c r="A16658" s="3" t="inlineStr">
        <is>
          <t>16613</t>
        </is>
      </c>
      <c r="B16658" s="4" t="s">
        <f>=HYPERLINK("http://anyluxury.ru/shop/odezhda/futbolki-dlya-promo/futbolka-zhenskaya-regent-women-rozovaya-korallovaya-01825158/" , "01825158 Футболка женская REGENT WOMEN розовая (коралловая), размер XL")</f>
      </c>
      <c r="C16658" s="4" t="n">
        <v>542.00</v>
      </c>
      <c r="D16658" s="4"/>
    </row>
    <row collapsed="" customFormat="false" customHeight="1" hidden="" ht="14" outlineLevel="0" r="16659">
      <c r="A16659" s="3" t="inlineStr">
        <is>
          <t>16614</t>
        </is>
      </c>
      <c r="B16659" s="4" t="s">
        <f>=HYPERLINK("http://anyluxury.ru/shop/odezhda/futbolki-dlya-promo/futbolka-zhenskaya-regent-women-rozovaya-korallovaya-01825158/" , "01825158 Футболка женская REGENT WOMEN розовая (коралловая), размер XXL")</f>
      </c>
      <c r="C16659" s="4" t="n">
        <v>542.00</v>
      </c>
      <c r="D16659" s="4"/>
    </row>
    <row collapsed="" customFormat="false" customHeight="1" hidden="" ht="14" outlineLevel="0" r="16660">
      <c r="A16660" s="3" t="inlineStr">
        <is>
          <t>16615</t>
        </is>
      </c>
      <c r="B16660" s="4" t="s">
        <f>=HYPERLINK("http://anyluxury.ru/shop/odezhda/futbolki-dlya-promo/futbolka-zhenskaya-regent-women-temnoseraya-01825384/" , "01825384 Футболка женская REGENT WOMEN темно-серая, размер S")</f>
      </c>
      <c r="C16660" s="4" t="n">
        <v>564.00</v>
      </c>
      <c r="D16660" s="4"/>
    </row>
    <row collapsed="" customFormat="false" customHeight="1" hidden="" ht="14" outlineLevel="0" r="16661">
      <c r="A16661" s="3" t="inlineStr">
        <is>
          <t>16616</t>
        </is>
      </c>
      <c r="B16661" s="4" t="s">
        <f>=HYPERLINK("http://anyluxury.ru/shop/odezhda/futbolki-dlya-promo/futbolka-zhenskaya-regent-women-temnoseraya-01825384/" , "01825384 Футболка женская REGENT WOMEN темно-серая, размер M")</f>
      </c>
      <c r="C16661" s="4" t="n">
        <v>564.00</v>
      </c>
      <c r="D16661" s="4"/>
    </row>
    <row collapsed="" customFormat="false" customHeight="1" hidden="" ht="14" outlineLevel="0" r="16662">
      <c r="A16662" s="3" t="inlineStr">
        <is>
          <t>16617</t>
        </is>
      </c>
      <c r="B16662" s="4" t="s">
        <f>=HYPERLINK("http://anyluxury.ru/shop/odezhda/futbolki-dlya-promo/futbolka-zhenskaya-regent-women-temnoseraya-01825384/" , "01825384 Футболка женская REGENT WOMEN темно-серая, размер L")</f>
      </c>
      <c r="C16662" s="4" t="n">
        <v>564.00</v>
      </c>
      <c r="D16662" s="4"/>
    </row>
    <row collapsed="" customFormat="false" customHeight="1" hidden="" ht="14" outlineLevel="0" r="16663">
      <c r="A16663" s="3" t="inlineStr">
        <is>
          <t>16618</t>
        </is>
      </c>
      <c r="B16663" s="4" t="s">
        <f>=HYPERLINK("http://anyluxury.ru/shop/odezhda/futbolki-dlya-promo/futbolka-zhenskaya-regent-women-temnoseraya-01825384/" , "01825384 Футболка женская REGENT WOMEN темно-серая, размер XL")</f>
      </c>
      <c r="C16663" s="4" t="n">
        <v>564.00</v>
      </c>
      <c r="D16663" s="4"/>
    </row>
    <row collapsed="" customFormat="false" customHeight="1" hidden="" ht="14" outlineLevel="0" r="16664">
      <c r="A16664" s="3" t="inlineStr">
        <is>
          <t>16619</t>
        </is>
      </c>
      <c r="B16664" s="4" t="s">
        <f>=HYPERLINK("http://anyluxury.ru/shop/odezhda/futbolki-dlya-promo/futbolka-zhenskaya-regent-women-temnoseraya-01825384/" , "01825384 Футболка женская REGENT WOMEN темно-серая, размер XXL")</f>
      </c>
      <c r="C16664" s="4" t="n">
        <v>564.00</v>
      </c>
      <c r="D16664" s="4"/>
    </row>
    <row collapsed="" customFormat="false" customHeight="1" hidden="" ht="14" outlineLevel="0" r="16665">
      <c r="A16665" s="3" t="inlineStr">
        <is>
          <t>16620</t>
        </is>
      </c>
      <c r="B16665" s="4" t="s">
        <f>=HYPERLINK("http://anyluxury.ru/shop/odezhda/futbolki-dlya-promo/futbolka-zhenskaya-regent-women-temnofioletovaya-01825712/" , "01825712 Футболка женская REGENT WOMEN темно-фиолетовая, размер S")</f>
      </c>
      <c r="C16665" s="4" t="n">
        <v>564.00</v>
      </c>
      <c r="D16665" s="4"/>
    </row>
    <row collapsed="" customFormat="false" customHeight="1" hidden="" ht="14" outlineLevel="0" r="16666">
      <c r="A16666" s="3" t="inlineStr">
        <is>
          <t>16621</t>
        </is>
      </c>
      <c r="B16666" s="4" t="s">
        <f>=HYPERLINK("http://anyluxury.ru/shop/odezhda/futbolki-dlya-promo/futbolka-zhenskaya-regent-women-temnofioletovaya-01825712/" , "01825712 Футболка женская REGENT WOMEN темно-фиолетовая, размер L")</f>
      </c>
      <c r="C16666" s="4" t="n">
        <v>564.00</v>
      </c>
      <c r="D16666" s="4"/>
    </row>
    <row collapsed="" customFormat="false" customHeight="1" hidden="" ht="14" outlineLevel="0" r="16667">
      <c r="A16667" s="3" t="inlineStr">
        <is>
          <t>16622</t>
        </is>
      </c>
      <c r="B16667" s="4" t="s">
        <f>=HYPERLINK("http://anyluxury.ru/shop/odezhda/futbolki-dlya-promo/futbolka-zhenskaya-regent-women-temnofioletovaya-01825712/" , "01825712 Футболка женская REGENT WOMEN темно-фиолетовая, размер XL")</f>
      </c>
      <c r="C16667" s="4" t="n">
        <v>564.00</v>
      </c>
      <c r="D16667" s="4"/>
    </row>
    <row collapsed="" customFormat="false" customHeight="1" hidden="" ht="14" outlineLevel="0" r="16668">
      <c r="A16668" s="3" t="inlineStr">
        <is>
          <t>16623</t>
        </is>
      </c>
      <c r="B16668" s="4" t="s">
        <f>=HYPERLINK("http://anyluxury.ru/shop/odezhda/futbolki-dlya-promo/futbolka-zhenskaya-regent-women-temnofioletovaya-01825712/" , "01825712 Футболка женская REGENT WOMEN темно-фиолетовая, размер XXL")</f>
      </c>
      <c r="C16668" s="4" t="n">
        <v>564.00</v>
      </c>
      <c r="D16668" s="4"/>
    </row>
    <row collapsed="" customFormat="false" customHeight="1" hidden="" ht="14" outlineLevel="0" r="16669">
      <c r="A16669" s="3" t="inlineStr">
        <is>
          <t>16624</t>
        </is>
      </c>
      <c r="B16669" s="4" t="s">
        <f>=HYPERLINK("http://anyluxury.ru/shop/odezhda/futbolki-dlya-promo/futbolka-zhenskaya-regent-women-chernaya-01825309/" , "01825309 Футболка женская REGENT WOMEN черная, размер S")</f>
      </c>
      <c r="C16669" s="4" t="n">
        <v>564.00</v>
      </c>
      <c r="D16669" s="4"/>
    </row>
    <row collapsed="" customFormat="false" customHeight="1" hidden="" ht="14" outlineLevel="0" r="16670">
      <c r="A16670" s="3" t="inlineStr">
        <is>
          <t>16625</t>
        </is>
      </c>
      <c r="B16670" s="4" t="s">
        <f>=HYPERLINK("http://anyluxury.ru/shop/odezhda/futbolki-dlya-promo/futbolka-zhenskaya-regent-women-chernaya-01825309/" , "01825309 Футболка женская REGENT WOMEN черная, размер L")</f>
      </c>
      <c r="C16670" s="4" t="n">
        <v>564.00</v>
      </c>
      <c r="D16670" s="4"/>
    </row>
    <row collapsed="" customFormat="false" customHeight="1" hidden="" ht="14" outlineLevel="0" r="16671">
      <c r="A16671" s="3" t="inlineStr">
        <is>
          <t>16626</t>
        </is>
      </c>
      <c r="B16671" s="4" t="s">
        <f>=HYPERLINK("http://anyluxury.ru/shop/odezhda/futbolki-dlya-promo/futbolka-zhenskaya-regent-women-chernaya-01825309/" , "01825309 Футболка женская REGENT WOMEN черная, размер XL")</f>
      </c>
      <c r="C16671" s="4" t="n">
        <v>564.00</v>
      </c>
      <c r="D16671" s="4"/>
    </row>
    <row collapsed="" customFormat="false" customHeight="1" hidden="" ht="14" outlineLevel="0" r="16672">
      <c r="A16672" s="3" t="inlineStr">
        <is>
          <t>16627</t>
        </is>
      </c>
      <c r="B16672" s="4" t="s">
        <f>=HYPERLINK("http://anyluxury.ru/shop/odezhda/futbolki-dlya-promo/futbolka-zhenskaya-regent-women-chernaya-01825309/" , "01825309 Футболка женская REGENT WOMEN черная, размер XXL")</f>
      </c>
      <c r="C16672" s="4" t="n">
        <v>564.00</v>
      </c>
      <c r="D16672" s="4"/>
    </row>
    <row collapsed="" customFormat="false" customHeight="1" hidden="" ht="14" outlineLevel="0" r="16673">
      <c r="A16673" s="3" t="inlineStr">
        <is>
          <t>16628</t>
        </is>
      </c>
      <c r="B16673" s="4" t="s">
        <f>=HYPERLINK("http://anyluxury.ru/shop/odezhda/futbolki-dlya-promo/futbolka-zhenskaya-regent-women-sinyaya-dzhins-01825244/" , "01825244 Футболка женская REGENT WOMEN синий джинс, размер S")</f>
      </c>
      <c r="C16673" s="4" t="n">
        <v>564.00</v>
      </c>
      <c r="D16673" s="4"/>
    </row>
    <row collapsed="" customFormat="false" customHeight="1" hidden="" ht="14" outlineLevel="0" r="16674">
      <c r="A16674" s="3" t="inlineStr">
        <is>
          <t>16629</t>
        </is>
      </c>
      <c r="B16674" s="4" t="s">
        <f>=HYPERLINK("http://anyluxury.ru/shop/odezhda/futbolki-dlya-promo/futbolka-zhenskaya-regent-women-sinyaya-dzhins-01825244/" , "01825244 Футболка женская REGENT WOMEN синий джинс, размер M")</f>
      </c>
      <c r="C16674" s="4" t="n">
        <v>564.00</v>
      </c>
      <c r="D16674" s="4"/>
    </row>
    <row collapsed="" customFormat="false" customHeight="1" hidden="" ht="14" outlineLevel="0" r="16675">
      <c r="A16675" s="3" t="inlineStr">
        <is>
          <t>16630</t>
        </is>
      </c>
      <c r="B16675" s="4" t="s">
        <f>=HYPERLINK("http://anyluxury.ru/shop/odezhda/futbolki-dlya-promo/futbolka-zhenskaya-regent-women-sinyaya-dzhins-01825244/" , "01825244 Футболка женская REGENT WOMEN синий джинс, размер L")</f>
      </c>
      <c r="C16675" s="4" t="n">
        <v>564.00</v>
      </c>
      <c r="D16675" s="4"/>
    </row>
    <row collapsed="" customFormat="false" customHeight="1" hidden="" ht="14" outlineLevel="0" r="16676">
      <c r="A16676" s="3" t="inlineStr">
        <is>
          <t>16631</t>
        </is>
      </c>
      <c r="B16676" s="4" t="s">
        <f>=HYPERLINK("http://anyluxury.ru/shop/odezhda/futbolki-dlya-promo/futbolka-zhenskaya-regent-women-sinyaya-dzhins-01825244/" , "01825244 Футболка женская REGENT WOMEN синий джинс, размер XL")</f>
      </c>
      <c r="C16676" s="4" t="n">
        <v>564.00</v>
      </c>
      <c r="D16676" s="4"/>
    </row>
    <row collapsed="" customFormat="false" customHeight="1" hidden="" ht="14" outlineLevel="0" r="16677">
      <c r="A16677" s="3" t="inlineStr">
        <is>
          <t>16632</t>
        </is>
      </c>
      <c r="B16677" s="4" t="s">
        <f>=HYPERLINK("http://anyluxury.ru/shop/odezhda/futbolki-dlya-promo/futbolka-zhenskaya-regent-women-sinyaya-dzhins-01825244/" , "01825244 Футболка женская REGENT WOMEN синий джинс, размер XXL")</f>
      </c>
      <c r="C16677" s="4" t="n">
        <v>564.00</v>
      </c>
      <c r="D16677" s="4"/>
    </row>
    <row collapsed="" customFormat="false" customHeight="1" hidden="" ht="14" outlineLevel="0" r="16678">
      <c r="A16678" s="3" t="inlineStr">
        <is>
          <t>16633</t>
        </is>
      </c>
      <c r="B16678" s="4" t="s">
        <f>=HYPERLINK("http://anyluxury.ru/shop/odezhda/futbolki-dlya-promo/futbolka-zhenskaya-regent-women-vintazhniy-siniy-01825235/" , "01825235 Футболка женская REGENT WOMEN, винтажный синий, размер S")</f>
      </c>
      <c r="C16678" s="4" t="n">
        <v>564.00</v>
      </c>
      <c r="D16678" s="4"/>
    </row>
    <row collapsed="" customFormat="false" customHeight="1" hidden="" ht="14" outlineLevel="0" r="16679">
      <c r="A16679" s="3" t="inlineStr">
        <is>
          <t>16634</t>
        </is>
      </c>
      <c r="B16679" s="4" t="s">
        <f>=HYPERLINK("http://anyluxury.ru/shop/odezhda/futbolki-dlya-promo/futbolka-zhenskaya-regent-women-vintazhniy-siniy-01825235/" , "01825235 Футболка женская REGENT WOMEN, винтажный синий, размер L")</f>
      </c>
      <c r="C16679" s="4" t="n">
        <v>564.00</v>
      </c>
      <c r="D16679" s="4"/>
    </row>
    <row collapsed="" customFormat="false" customHeight="1" hidden="" ht="14" outlineLevel="0" r="16680">
      <c r="A16680" s="3" t="inlineStr">
        <is>
          <t>16635</t>
        </is>
      </c>
      <c r="B16680" s="4" t="s">
        <f>=HYPERLINK("http://anyluxury.ru/shop/odezhda/futbolki-dlya-promo/futbolka-zhenskaya-regent-women-kobalt-temnosinyaya-01825319/" , "01825319 Футболка женская REGENT WOMEN, кобальт (темно-синяя), размер S")</f>
      </c>
      <c r="C16680" s="4" t="n">
        <v>564.00</v>
      </c>
      <c r="D16680" s="4"/>
    </row>
    <row collapsed="" customFormat="false" customHeight="1" hidden="" ht="14" outlineLevel="0" r="16681">
      <c r="A16681" s="3" t="inlineStr">
        <is>
          <t>16636</t>
        </is>
      </c>
      <c r="B16681" s="4" t="s">
        <f>=HYPERLINK("http://anyluxury.ru/shop/odezhda/futbolki-dlya-promo/futbolka-zhenskaya-regent-women-kobalt-temnosinyaya-01825319/" , "01825319 Футболка женская REGENT WOMEN, кобальт (темно-синяя), размер M")</f>
      </c>
      <c r="C16681" s="4" t="n">
        <v>564.00</v>
      </c>
      <c r="D16681" s="4"/>
    </row>
    <row collapsed="" customFormat="false" customHeight="1" hidden="" ht="14" outlineLevel="0" r="16682">
      <c r="A16682" s="3" t="inlineStr">
        <is>
          <t>16637</t>
        </is>
      </c>
      <c r="B16682" s="4" t="s">
        <f>=HYPERLINK("http://anyluxury.ru/shop/odezhda/futbolki-dlya-promo/futbolka-zhenskaya-regent-women-kobalt-temnosinyaya-01825319/" , "01825319 Футболка женская REGENT WOMEN, кобальт (темно-синяя), размер L")</f>
      </c>
      <c r="C16682" s="4" t="n">
        <v>564.00</v>
      </c>
      <c r="D16682" s="4"/>
    </row>
    <row collapsed="" customFormat="false" customHeight="1" hidden="" ht="14" outlineLevel="0" r="16683">
      <c r="A16683" s="3" t="inlineStr">
        <is>
          <t>16638</t>
        </is>
      </c>
      <c r="B16683" s="4" t="s">
        <f>=HYPERLINK("http://anyluxury.ru/shop/odezhda/futbolki-dlya-promo/futbolka-zhenskaya-regent-women-kobalt-temnosinyaya-01825319/" , "01825319 Футболка женская REGENT WOMEN, кобальт (темно-синяя), размер XL")</f>
      </c>
      <c r="C16683" s="4" t="n">
        <v>564.00</v>
      </c>
      <c r="D16683" s="4"/>
    </row>
    <row collapsed="" customFormat="false" customHeight="1" hidden="" ht="14" outlineLevel="0" r="16684">
      <c r="A16684" s="3" t="inlineStr">
        <is>
          <t>16639</t>
        </is>
      </c>
      <c r="B16684" s="4" t="s">
        <f>=HYPERLINK("http://anyluxury.ru/shop/odezhda/futbolki-dlya-promo/futbolka-zhenskaya-regent-women-kobalt-temnosinyaya-01825319/" , "01825319 Футболка женская REGENT WOMEN, кобальт (темно-синяя), размер XXL")</f>
      </c>
      <c r="C16684" s="4" t="n">
        <v>564.00</v>
      </c>
      <c r="D16684" s="4"/>
    </row>
    <row collapsed="" customFormat="false" customHeight="1" hidden="" ht="14" outlineLevel="0" r="16685">
      <c r="A16685" s="3" t="inlineStr">
        <is>
          <t>16640</t>
        </is>
      </c>
      <c r="B16685" s="4" t="s">
        <f>=HYPERLINK("http://anyluxury.ru/shop/odezhda/futbolki-dlya-promo/futbolka-zhenskaya-regent-women-yarkorozovaya-fuksiya-01825140/" , "01825140 Футболка женская REGENT WOMEN ярко-розовая, размер S")</f>
      </c>
      <c r="C16685" s="4" t="n">
        <v>564.00</v>
      </c>
      <c r="D16685" s="4"/>
    </row>
    <row collapsed="" customFormat="false" customHeight="1" hidden="" ht="14" outlineLevel="0" r="16686">
      <c r="A16686" s="3" t="inlineStr">
        <is>
          <t>16641</t>
        </is>
      </c>
      <c r="B16686" s="4" t="s">
        <f>=HYPERLINK("http://anyluxury.ru/shop/odezhda/futbolki-dlya-promo/futbolka-zhenskaya-regent-women-yarkorozovaya-fuksiya-01825140/" , "01825140 Футболка женская REGENT WOMEN ярко-розовая, размер M")</f>
      </c>
      <c r="C16686" s="4" t="n">
        <v>564.00</v>
      </c>
      <c r="D16686" s="4"/>
    </row>
    <row collapsed="" customFormat="false" customHeight="1" hidden="" ht="14" outlineLevel="0" r="16687">
      <c r="A16687" s="3" t="inlineStr">
        <is>
          <t>16642</t>
        </is>
      </c>
      <c r="B16687" s="4" t="s">
        <f>=HYPERLINK("http://anyluxury.ru/shop/odezhda/futbolki-dlya-promo/futbolka-zhenskaya-regent-women-yarkorozovaya-fuksiya-01825140/" , "01825140 Футболка женская REGENT WOMEN ярко-розовая, размер L")</f>
      </c>
      <c r="C16687" s="4" t="n">
        <v>564.00</v>
      </c>
      <c r="D16687" s="4"/>
    </row>
    <row collapsed="" customFormat="false" customHeight="1" hidden="" ht="14" outlineLevel="0" r="16688">
      <c r="A16688" s="3" t="inlineStr">
        <is>
          <t>16643</t>
        </is>
      </c>
      <c r="B16688" s="4" t="s">
        <f>=HYPERLINK("http://anyluxury.ru/shop/odezhda/futbolki-dlya-promo/futbolka-zhenskaya-regent-women-yarkorozovaya-fuksiya-01825140/" , "01825140 Футболка женская REGENT WOMEN ярко-розовая, размер XL")</f>
      </c>
      <c r="C16688" s="4" t="n">
        <v>564.00</v>
      </c>
      <c r="D16688" s="4"/>
    </row>
    <row collapsed="" customFormat="false" customHeight="1" hidden="" ht="14" outlineLevel="0" r="16689">
      <c r="A16689" s="3" t="inlineStr">
        <is>
          <t>16644</t>
        </is>
      </c>
      <c r="B16689" s="4" t="s">
        <f>=HYPERLINK("http://anyluxury.ru/shop/odezhda/futbolki-dlya-promo/futbolka-zhenskaya-regent-women-yarkorozovaya-fuksiya-01825140/" , "01825140 Футболка женская REGENT WOMEN ярко-розовая, размер XXL")</f>
      </c>
      <c r="C16689" s="4" t="n">
        <v>564.00</v>
      </c>
      <c r="D16689" s="4"/>
    </row>
    <row collapsed="" customFormat="false" customHeight="1" hidden="" ht="14" outlineLevel="0" r="16690">
      <c r="A16690" s="3" t="inlineStr">
        <is>
          <t>16645</t>
        </is>
      </c>
      <c r="B16690" s="4" t="s">
        <f>=HYPERLINK("http://anyluxury.ru/shop/odezhda/futbolki-dlya-promo/futbolka-zhenskaya-regent-women-zheltaya-01825301/" , "01825301 Футболка женская REGENT WOMEN желтая, размер S")</f>
      </c>
      <c r="C16690" s="4" t="n">
        <v>564.00</v>
      </c>
      <c r="D16690" s="4"/>
    </row>
    <row collapsed="" customFormat="false" customHeight="1" hidden="" ht="14" outlineLevel="0" r="16691">
      <c r="A16691" s="3" t="inlineStr">
        <is>
          <t>16646</t>
        </is>
      </c>
      <c r="B16691" s="4" t="s">
        <f>=HYPERLINK("http://anyluxury.ru/shop/odezhda/futbolki-dlya-promo/futbolka-zhenskaya-regent-women-zheltaya-01825301/" , "01825301 Футболка женская REGENT WOMEN желтая, размер M")</f>
      </c>
      <c r="C16691" s="4" t="n">
        <v>564.00</v>
      </c>
      <c r="D16691" s="4"/>
    </row>
    <row collapsed="" customFormat="false" customHeight="1" hidden="" ht="14" outlineLevel="0" r="16692">
      <c r="A16692" s="3" t="inlineStr">
        <is>
          <t>16647</t>
        </is>
      </c>
      <c r="B16692" s="4" t="s">
        <f>=HYPERLINK("http://anyluxury.ru/shop/odezhda/futbolki-dlya-promo/futbolka-zhenskaya-regent-women-zheltaya-01825301/" , "01825301 Футболка женская REGENT WOMEN желтая, размер L")</f>
      </c>
      <c r="C16692" s="4" t="n">
        <v>564.00</v>
      </c>
      <c r="D16692" s="4"/>
    </row>
    <row collapsed="" customFormat="false" customHeight="1" hidden="" ht="14" outlineLevel="0" r="16693">
      <c r="A16693" s="3" t="inlineStr">
        <is>
          <t>16648</t>
        </is>
      </c>
      <c r="B16693" s="4" t="s">
        <f>=HYPERLINK("http://anyluxury.ru/shop/odezhda/futbolki-dlya-promo/futbolka-zhenskaya-regent-women-zheltaya-01825301/" , "01825301 Футболка женская REGENT WOMEN желтая, размер XL")</f>
      </c>
      <c r="C16693" s="4" t="n">
        <v>564.00</v>
      </c>
      <c r="D16693" s="4"/>
    </row>
    <row collapsed="" customFormat="false" customHeight="1" hidden="" ht="14" outlineLevel="0" r="16694">
      <c r="A16694" s="3" t="inlineStr">
        <is>
          <t>16649</t>
        </is>
      </c>
      <c r="B16694" s="4" t="s">
        <f>=HYPERLINK("http://anyluxury.ru/shop/odezhda/futbolki-dlya-promo/futbolka-zhenskaya-regent-women-zheltaya-01825301/" , "01825301 Футболка женская REGENT WOMEN желтая, размер XXL")</f>
      </c>
      <c r="C16694" s="4" t="n">
        <v>564.00</v>
      </c>
      <c r="D16694" s="4"/>
    </row>
    <row collapsed="" customFormat="false" customHeight="1" hidden="" ht="14" outlineLevel="0" r="16695">
      <c r="A16695" s="3" t="inlineStr">
        <is>
          <t>16650</t>
        </is>
      </c>
      <c r="B16695" s="4" t="s">
        <f>=HYPERLINK("http://anyluxury.ru/shop/odezhda/futbolki-dlya-promo/futbolka-zhenskaya-regent-women-seriy-melanzh-01825350/" , "01825350 Футболка женская REGENT WOMEN серый меланж, размер S")</f>
      </c>
      <c r="C16695" s="4" t="n">
        <v>564.00</v>
      </c>
      <c r="D16695" s="4"/>
    </row>
    <row collapsed="" customFormat="false" customHeight="1" hidden="" ht="14" outlineLevel="0" r="16696">
      <c r="A16696" s="3" t="inlineStr">
        <is>
          <t>16651</t>
        </is>
      </c>
      <c r="B16696" s="4" t="s">
        <f>=HYPERLINK("http://anyluxury.ru/shop/odezhda/futbolki-dlya-promo/futbolka-zhenskaya-regent-women-seriy-melanzh-01825350/" , "01825350 Футболка женская REGENT WOMEN серый меланж, размер M")</f>
      </c>
      <c r="C16696" s="4" t="n">
        <v>564.00</v>
      </c>
      <c r="D16696" s="4"/>
    </row>
    <row collapsed="" customFormat="false" customHeight="1" hidden="" ht="14" outlineLevel="0" r="16697">
      <c r="A16697" s="3" t="inlineStr">
        <is>
          <t>16652</t>
        </is>
      </c>
      <c r="B16697" s="4" t="s">
        <f>=HYPERLINK("http://anyluxury.ru/shop/odezhda/futbolki-dlya-promo/futbolka-zhenskaya-regent-women-seriy-melanzh-01825350/" , "01825350 Футболка женская REGENT WOMEN серый меланж, размер L")</f>
      </c>
      <c r="C16697" s="4" t="n">
        <v>564.00</v>
      </c>
      <c r="D16697" s="4"/>
    </row>
    <row collapsed="" customFormat="false" customHeight="1" hidden="" ht="14" outlineLevel="0" r="16698">
      <c r="A16698" s="3" t="inlineStr">
        <is>
          <t>16653</t>
        </is>
      </c>
      <c r="B16698" s="4" t="s">
        <f>=HYPERLINK("http://anyluxury.ru/shop/odezhda/futbolki-dlya-promo/futbolka-zhenskaya-regent-women-seriy-melanzh-01825350/" , "01825350 Футболка женская REGENT WOMEN серый меланж, размер XL")</f>
      </c>
      <c r="C16698" s="4" t="n">
        <v>564.00</v>
      </c>
      <c r="D16698" s="4"/>
    </row>
    <row collapsed="" customFormat="false" customHeight="1" hidden="" ht="14" outlineLevel="0" r="16699">
      <c r="A16699" s="3" t="inlineStr">
        <is>
          <t>16654</t>
        </is>
      </c>
      <c r="B16699" s="4" t="s">
        <f>=HYPERLINK("http://anyluxury.ru/shop/odezhda/futbolki-dlya-promo/futbolka-zhenskaya-regent-women-seriy-melanzh-01825350/" , "01825350 Футболка женская REGENT WOMEN серый меланж, размер XXL")</f>
      </c>
      <c r="C16699" s="4" t="n">
        <v>564.00</v>
      </c>
      <c r="D16699" s="4"/>
    </row>
    <row collapsed="" customFormat="false" customHeight="1" hidden="" ht="14" outlineLevel="0" r="16700">
      <c r="A16700" s="3" t="inlineStr">
        <is>
          <t>16655</t>
        </is>
      </c>
      <c r="B16700" s="4" t="s">
        <f>=HYPERLINK("http://anyluxury.ru/shop/odezhda/futbolki-dlya-promo/futbolka-zhenskaya-tbolka-lady-golubaya-187814/" , "1878.14 Футболка женская T-bolka Lady голубая, размер S")</f>
      </c>
      <c r="C16700" s="4" t="n">
        <v>440.00</v>
      </c>
      <c r="D16700" s="4"/>
    </row>
    <row collapsed="" customFormat="false" customHeight="1" hidden="" ht="14" outlineLevel="0" r="16701">
      <c r="A16701" s="3" t="inlineStr">
        <is>
          <t>16656</t>
        </is>
      </c>
      <c r="B16701" s="4" t="s">
        <f>=HYPERLINK("http://anyluxury.ru/shop/odezhda/futbolki-dlya-promo/futbolka-zhenskaya-tbolka-lady-golubaya-187814/" , "1878.14 Футболка женская T-bolka Lady голубая, размер L")</f>
      </c>
      <c r="C16701" s="4" t="n">
        <v>440.00</v>
      </c>
      <c r="D16701" s="4"/>
    </row>
    <row collapsed="" customFormat="false" customHeight="1" hidden="" ht="14" outlineLevel="0" r="16702">
      <c r="A16702" s="3" t="inlineStr">
        <is>
          <t>16657</t>
        </is>
      </c>
      <c r="B16702" s="4" t="s">
        <f>=HYPERLINK("http://anyluxury.ru/shop/odezhda/futbolki-dlya-promo/futbolka-zhenskaya-tbolka-lady-golubaya-187814/" , "1878.14 Футболка женская T-bolka Lady голубая, размер XL")</f>
      </c>
      <c r="C16702" s="4" t="n">
        <v>440.00</v>
      </c>
      <c r="D16702" s="4"/>
    </row>
    <row collapsed="" customFormat="false" customHeight="1" hidden="" ht="14" outlineLevel="0" r="16703">
      <c r="A16703" s="3" t="inlineStr">
        <is>
          <t>16658</t>
        </is>
      </c>
      <c r="B16703" s="4" t="s">
        <f>=HYPERLINK("http://anyluxury.ru/shop/odezhda/futbolki-dlya-promo/futbolka-zhenskaya-tbolka-lady-fioletovaya-187877/" , "1878.77 Футболка женская T-bolka Lady фиолетовая, размер S")</f>
      </c>
      <c r="C16703" s="4" t="n">
        <v>497.00</v>
      </c>
      <c r="D16703" s="4"/>
    </row>
    <row collapsed="" customFormat="false" customHeight="1" hidden="" ht="14" outlineLevel="0" r="16704">
      <c r="A16704" s="3" t="inlineStr">
        <is>
          <t>16659</t>
        </is>
      </c>
      <c r="B16704" s="4" t="s">
        <f>=HYPERLINK("http://anyluxury.ru/shop/odezhda/futbolki-dlya-promo/futbolka-zhenskaya-tbolka-lady-fioletovaya-187877/" , "1878.77 Футболка женская T-bolka Lady фиолетовая, размер M")</f>
      </c>
      <c r="C16704" s="4" t="n">
        <v>497.00</v>
      </c>
      <c r="D16704" s="4"/>
    </row>
    <row collapsed="" customFormat="false" customHeight="1" hidden="" ht="14" outlineLevel="0" r="16705">
      <c r="A16705" s="3" t="inlineStr">
        <is>
          <t>16660</t>
        </is>
      </c>
      <c r="B16705" s="4" t="s">
        <f>=HYPERLINK("http://anyluxury.ru/shop/odezhda/futbolki-dlya-promo/futbolka-zhenskaya-tbolka-lady-fioletovaya-187877/" , "1878.77 Футболка женская T-bolka Lady фиолетовая, размер L")</f>
      </c>
      <c r="C16705" s="4" t="n">
        <v>497.00</v>
      </c>
      <c r="D16705" s="4"/>
    </row>
    <row collapsed="" customFormat="false" customHeight="1" hidden="" ht="14" outlineLevel="0" r="16706">
      <c r="A16706" s="3" t="inlineStr">
        <is>
          <t>16661</t>
        </is>
      </c>
      <c r="B16706" s="4" t="s">
        <f>=HYPERLINK("http://anyluxury.ru/shop/odezhda/futbolki-dlya-promo/futbolka-zhenskaya-tbolka-lady-fioletovaya-187877/" , "1878.77 Футболка женская T-bolka Lady фиолетовая, размер XL")</f>
      </c>
      <c r="C16706" s="4" t="n">
        <v>497.00</v>
      </c>
      <c r="D16706" s="4"/>
    </row>
    <row collapsed="" customFormat="false" customHeight="1" hidden="" ht="14" outlineLevel="0" r="16707">
      <c r="A16707" s="3" t="inlineStr">
        <is>
          <t>16662</t>
        </is>
      </c>
      <c r="B16707" s="4" t="s">
        <f>=HYPERLINK("http://anyluxury.ru/shop/odezhda/futbolki-dlya-promo/futbolka-zhenskaya-tbolka-lady-fioletovaya-187877/" , "1878.77 Футболка женская T-bolka Lady фиолетовая, размер XXL")</f>
      </c>
      <c r="C16707" s="4" t="n">
        <v>497.00</v>
      </c>
      <c r="D16707" s="4"/>
    </row>
    <row collapsed="" customFormat="false" customHeight="1" hidden="" ht="14" outlineLevel="0" r="16708">
      <c r="A16708" s="3" t="inlineStr">
        <is>
          <t>16663</t>
        </is>
      </c>
      <c r="B16708" s="4" t="s">
        <f>=HYPERLINK("http://anyluxury.ru/shop/odezhda/futbolki-dlya-promo/futbolka-zhenskaya-tbolka-lady-fioletovaya-187877/" , "1878.77 Футболка женская T-bolka Lady фиолетовая, размер 3XL")</f>
      </c>
      <c r="C16708" s="4" t="n">
        <v>497.00</v>
      </c>
      <c r="D16708" s="4"/>
    </row>
    <row collapsed="" customFormat="false" customHeight="1" hidden="" ht="14" outlineLevel="0" r="16709">
      <c r="A16709" s="3" t="inlineStr">
        <is>
          <t>16664</t>
        </is>
      </c>
      <c r="B16709" s="4" t="s">
        <f>=HYPERLINK("http://anyluxury.ru/shop/odezhda/futbolki-dlya-promo/futbolka-zhenskaya-tbolka-lady-zelenoe-yabloko-187894/" , "1878.94 Футболка женская T-bolka Lady зеленое яблоко, размер S")</f>
      </c>
      <c r="C16709" s="4" t="n">
        <v>440.00</v>
      </c>
      <c r="D16709" s="4"/>
    </row>
    <row collapsed="" customFormat="false" customHeight="1" hidden="" ht="14" outlineLevel="0" r="16710">
      <c r="A16710" s="3" t="inlineStr">
        <is>
          <t>16665</t>
        </is>
      </c>
      <c r="B16710" s="4" t="s">
        <f>=HYPERLINK("http://anyluxury.ru/shop/odezhda/futbolki-dlya-promo/futbolka-zhenskaya-tbolka-lady-zelenoe-yabloko-187894/" , "1878.94 Футболка женская T-bolka Lady зеленое яблоко, размер M")</f>
      </c>
      <c r="C16710" s="4" t="n">
        <v>440.00</v>
      </c>
      <c r="D16710" s="4"/>
    </row>
    <row collapsed="" customFormat="false" customHeight="1" hidden="" ht="14" outlineLevel="0" r="16711">
      <c r="A16711" s="3" t="inlineStr">
        <is>
          <t>16666</t>
        </is>
      </c>
      <c r="B16711" s="4" t="s">
        <f>=HYPERLINK("http://anyluxury.ru/shop/odezhda/futbolki-dlya-promo/futbolka-zhenskaya-tbolka-lady-zelenoe-yabloko-187894/" , "1878.94 Футболка женская T-bolka Lady зеленое яблоко, размер L")</f>
      </c>
      <c r="C16711" s="4" t="n">
        <v>440.00</v>
      </c>
      <c r="D16711" s="4"/>
    </row>
    <row collapsed="" customFormat="false" customHeight="1" hidden="" ht="14" outlineLevel="0" r="16712">
      <c r="A16712" s="3" t="inlineStr">
        <is>
          <t>16667</t>
        </is>
      </c>
      <c r="B16712" s="4" t="s">
        <f>=HYPERLINK("http://anyluxury.ru/shop/odezhda/futbolki-dlya-promo/futbolka-zhenskaya-tbolka-lady-zelenoe-yabloko-187894/" , "1878.94 Футболка женская T-bolka Lady зеленое яблоко, размер XL")</f>
      </c>
      <c r="C16712" s="4" t="n">
        <v>440.00</v>
      </c>
      <c r="D16712" s="4"/>
    </row>
    <row collapsed="" customFormat="false" customHeight="1" hidden="" ht="14" outlineLevel="0" r="16713">
      <c r="A16713" s="3" t="inlineStr">
        <is>
          <t>16668</t>
        </is>
      </c>
      <c r="B16713" s="4" t="s">
        <f>=HYPERLINK("http://anyluxury.ru/shop/odezhda/futbolki-dlya-promo/futbolka-zhenskaya-tbolka-lady-zelenoe-yabloko-187894/" , "1878.94 Футболка женская T-bolka Lady зеленое яблоко, размер XL")</f>
      </c>
      <c r="C16713" s="4" t="n">
        <v>440.00</v>
      </c>
      <c r="D16713" s="4"/>
    </row>
    <row collapsed="" customFormat="false" customHeight="1" hidden="" ht="14" outlineLevel="0" r="16714">
      <c r="A16714" s="3" t="inlineStr">
        <is>
          <t>16669</t>
        </is>
      </c>
      <c r="B16714" s="4" t="s">
        <f>=HYPERLINK("http://anyluxury.ru/shop/odezhda/futbolki-dlya-promo/futbolka-detskaya-tbolka-kids-golubaya-250414/" , "2504.14 Футболка детская T-Bolka Kids, голубая, 6 лет")</f>
      </c>
      <c r="C16714" s="4" t="n">
        <v>495.00</v>
      </c>
      <c r="D16714" s="4"/>
    </row>
    <row collapsed="" customFormat="false" customHeight="1" hidden="" ht="14" outlineLevel="0" r="16715">
      <c r="A16715" s="3" t="inlineStr">
        <is>
          <t>16670</t>
        </is>
      </c>
      <c r="B16715" s="4" t="s">
        <f>=HYPERLINK("http://anyluxury.ru/shop/odezhda/futbolki-dlya-promo/futbolka-detskaya-tbolka-kids-golubaya-250414/" , "2504.14 Футболка детская T-Bolka Kids, голубая, 10 лет")</f>
      </c>
      <c r="C16715" s="4" t="n">
        <v>495.00</v>
      </c>
      <c r="D16715" s="4"/>
    </row>
    <row collapsed="" customFormat="false" customHeight="1" hidden="" ht="14" outlineLevel="0" r="16716">
      <c r="A16716" s="3" t="inlineStr">
        <is>
          <t>16671</t>
        </is>
      </c>
      <c r="B16716" s="4" t="s">
        <f>=HYPERLINK("http://anyluxury.ru/shop/odezhda/futbolki-dlya-promo/futbolka-detskaya-tbolka-kids-golubaya-250414/" , "2504.14 Футболка детская T-Bolka Kids, голубая, 12 лет")</f>
      </c>
      <c r="C16716" s="4" t="n">
        <v>495.00</v>
      </c>
      <c r="D16716" s="4"/>
    </row>
    <row collapsed="" customFormat="false" customHeight="1" hidden="" ht="14" outlineLevel="0" r="16717">
      <c r="A16717" s="3" t="inlineStr">
        <is>
          <t>16672</t>
        </is>
      </c>
      <c r="B16717" s="4" t="s">
        <f>=HYPERLINK("http://anyluxury.ru/shop/odezhda/futbolki-dlya-promo/futbolka-detskaya-tbolka-kids-fioletovaya-250477/" , "2504.77 Футболка детская T-Bolka Kids, фиолетовая, 6 лет")</f>
      </c>
      <c r="C16717" s="4" t="n">
        <v>495.00</v>
      </c>
      <c r="D16717" s="4"/>
    </row>
    <row collapsed="" customFormat="false" customHeight="1" hidden="" ht="14" outlineLevel="0" r="16718">
      <c r="A16718" s="3" t="inlineStr">
        <is>
          <t>16673</t>
        </is>
      </c>
      <c r="B16718" s="4" t="s">
        <f>=HYPERLINK("http://anyluxury.ru/shop/odezhda/futbolki-dlya-promo/futbolka-detskaya-tbolka-kids-fioletovaya-250477/" , "2504.77 Футболка детская T-Bolka Kids, фиолетовая, 12 лет")</f>
      </c>
      <c r="C16718" s="4" t="n">
        <v>495.00</v>
      </c>
      <c r="D16718" s="4"/>
    </row>
    <row collapsed="" customFormat="false" customHeight="1" hidden="" ht="14" outlineLevel="0" r="16719">
      <c r="A16719" s="3" t="inlineStr">
        <is>
          <t>16674</t>
        </is>
      </c>
      <c r="B16719" s="4" t="s">
        <f>=HYPERLINK("http://anyluxury.ru/shop/odezhda/futbolki-dlya-promo/futbolka-detskaya-tbolka-kids-fioletovaya-250477/" , "2504.77 Футболка детская T-Bolka Kids, фиолетовая, 14 лет")</f>
      </c>
      <c r="C16719" s="4" t="n">
        <v>495.00</v>
      </c>
      <c r="D16719" s="4"/>
    </row>
    <row collapsed="" customFormat="false" customHeight="1" hidden="" ht="14" outlineLevel="0" r="16720">
      <c r="A16720" s="3" t="inlineStr">
        <is>
          <t>16675</t>
        </is>
      </c>
      <c r="B16720" s="4" t="s">
        <f>=HYPERLINK("http://anyluxury.ru/shop/odezhda/futbolki-dlya-promo/futbolka-detskaya-tbolka-kids-zelenoe-yabloko-250494/" , "2504.94 Футболка детская T-Bolka Kids, зеленое яблоко, 6 лет")</f>
      </c>
      <c r="C16720" s="4" t="n">
        <v>495.00</v>
      </c>
      <c r="D16720" s="4"/>
    </row>
    <row collapsed="" customFormat="false" customHeight="1" hidden="" ht="14" outlineLevel="0" r="16721">
      <c r="A16721" s="3" t="inlineStr">
        <is>
          <t>16676</t>
        </is>
      </c>
      <c r="B16721" s="4" t="s">
        <f>=HYPERLINK("http://anyluxury.ru/shop/odezhda/futbolki-dlya-promo/futbolka-detskaya-tbolka-kids-zelenoe-yabloko-250494/" , "2504.94 Футболка детская T-Bolka Kids, зеленое яблоко, 14 лет")</f>
      </c>
      <c r="C16721" s="4" t="n">
        <v>495.00</v>
      </c>
      <c r="D16721" s="4"/>
    </row>
    <row collapsed="" customFormat="false" customHeight="1" hidden="" ht="14" outlineLevel="0" r="16722">
      <c r="A16722" s="3" t="inlineStr">
        <is>
          <t>16677</t>
        </is>
      </c>
      <c r="B16722" s="4" t="s">
        <f>=HYPERLINK("http://anyluxury.ru/shop/odezhda/futbolki-dlya-promo/futbolka-tbolka-140-golubaya-519014/" , "5190.14 Футболка голубая «T-bolka 140», размер M")</f>
      </c>
      <c r="C16722" s="4" t="n">
        <v>508.00</v>
      </c>
      <c r="D16722" s="4"/>
    </row>
    <row collapsed="" customFormat="false" customHeight="1" hidden="" ht="14" outlineLevel="0" r="16723">
      <c r="A16723" s="3" t="inlineStr">
        <is>
          <t>16678</t>
        </is>
      </c>
      <c r="B16723" s="4" t="s">
        <f>=HYPERLINK("http://anyluxury.ru/shop/odezhda/futbolki-dlya-promo/futbolka-tbolka-140-golubaya-519014/" , "5190.14 Футболка голубая «T-bolka 140», размер L")</f>
      </c>
      <c r="C16723" s="4" t="n">
        <v>508.00</v>
      </c>
      <c r="D16723" s="4"/>
    </row>
    <row collapsed="" customFormat="false" customHeight="1" hidden="" ht="14" outlineLevel="0" r="16724">
      <c r="A16724" s="3" t="inlineStr">
        <is>
          <t>16679</t>
        </is>
      </c>
      <c r="B16724" s="4" t="s">
        <f>=HYPERLINK("http://anyluxury.ru/shop/odezhda/futbolki-dlya-promo/futbolka-tbolka-140-golubaya-519014/" , "5190.14 Футболка голубая «T-bolka 140», размер XL")</f>
      </c>
      <c r="C16724" s="4" t="n">
        <v>508.00</v>
      </c>
      <c r="D16724" s="4"/>
    </row>
    <row collapsed="" customFormat="false" customHeight="1" hidden="" ht="14" outlineLevel="0" r="16725">
      <c r="A16725" s="3" t="inlineStr">
        <is>
          <t>16680</t>
        </is>
      </c>
      <c r="B16725" s="4" t="s">
        <f>=HYPERLINK("http://anyluxury.ru/shop/odezhda/futbolki-dlya-promo/futbolka-tbolka-140-fioletovaya-519077/" , "5190.77 Футболка фиолетовая «T-bolka 140», размер S")</f>
      </c>
      <c r="C16725" s="4" t="n">
        <v>508.00</v>
      </c>
      <c r="D16725" s="4"/>
    </row>
    <row collapsed="" customFormat="false" customHeight="1" hidden="" ht="14" outlineLevel="0" r="16726">
      <c r="A16726" s="3" t="inlineStr">
        <is>
          <t>16681</t>
        </is>
      </c>
      <c r="B16726" s="4" t="s">
        <f>=HYPERLINK("http://anyluxury.ru/shop/odezhda/futbolki-dlya-promo/futbolka-tbolka-140-fioletovaya-519077/" , "5190.77 Футболка фиолетовая «T-bolka 140», размер M")</f>
      </c>
      <c r="C16726" s="4" t="n">
        <v>508.00</v>
      </c>
      <c r="D16726" s="4"/>
    </row>
    <row collapsed="" customFormat="false" customHeight="1" hidden="" ht="14" outlineLevel="0" r="16727">
      <c r="A16727" s="3" t="inlineStr">
        <is>
          <t>16682</t>
        </is>
      </c>
      <c r="B16727" s="4" t="s">
        <f>=HYPERLINK("http://anyluxury.ru/shop/odezhda/futbolki-dlya-promo/futbolka-tbolka-140-fioletovaya-519077/" , "5190.77 Футболка фиолетовая «T-bolka 140», размер XXXL")</f>
      </c>
      <c r="C16727" s="4" t="n">
        <v>508.00</v>
      </c>
      <c r="D16727" s="4"/>
    </row>
    <row collapsed="" customFormat="false" customHeight="1" hidden="" ht="14" outlineLevel="0" r="16728">
      <c r="A16728" s="3" t="inlineStr">
        <is>
          <t>16683</t>
        </is>
      </c>
      <c r="B16728" s="4" t="s">
        <f>=HYPERLINK("http://anyluxury.ru/shop/odezhda/futbolki-dlya-promo/futbolka-tbolka-140-fioletovaya-519077/" , "5190.77 Футболка фиолетовая «T-bolka 140», размер 4XL")</f>
      </c>
      <c r="C16728" s="4" t="n">
        <v>508.00</v>
      </c>
      <c r="D16728" s="4"/>
    </row>
    <row collapsed="" customFormat="false" customHeight="1" hidden="" ht="14" outlineLevel="0" r="16729">
      <c r="A16729" s="3" t="inlineStr">
        <is>
          <t>16684</t>
        </is>
      </c>
      <c r="B16729" s="4" t="s">
        <f>=HYPERLINK("http://anyluxury.ru/shop/odezhda/futbolki-dlya-promo/futbolka-tbolka-140-zelenoe-yabloko-519094/" , "5190.94 Футболка зеленое яблоко «T-bolka 140», размер S")</f>
      </c>
      <c r="C16729" s="4" t="n">
        <v>508.00</v>
      </c>
      <c r="D16729" s="4"/>
    </row>
    <row collapsed="" customFormat="false" customHeight="1" hidden="" ht="14" outlineLevel="0" r="16730">
      <c r="A16730" s="3" t="inlineStr">
        <is>
          <t>16685</t>
        </is>
      </c>
      <c r="B16730" s="4" t="s">
        <f>=HYPERLINK("http://anyluxury.ru/shop/odezhda/futbolki-dlya-promo/futbolka-tbolka-140-zelenoe-yabloko-519094/" , "5190.94 Футболка зеленое яблоко «T-bolka 140», размер M")</f>
      </c>
      <c r="C16730" s="4" t="n">
        <v>508.00</v>
      </c>
      <c r="D16730" s="4"/>
    </row>
    <row collapsed="" customFormat="false" customHeight="1" hidden="" ht="14" outlineLevel="0" r="16731">
      <c r="A16731" s="3" t="inlineStr">
        <is>
          <t>16686</t>
        </is>
      </c>
      <c r="B16731" s="4" t="s">
        <f>=HYPERLINK("http://anyluxury.ru/shop/odezhda/futbolki-dlya-promo/futbolka-tbolka-140-zelenoe-yabloko-519094/" , "5190.94 Футболка зеленое яблоко «T-bolka 140», размер L")</f>
      </c>
      <c r="C16731" s="4" t="n">
        <v>508.00</v>
      </c>
      <c r="D16731" s="4"/>
    </row>
    <row collapsed="" customFormat="false" customHeight="1" hidden="" ht="14" outlineLevel="0" r="16732">
      <c r="A16732" s="3" t="inlineStr">
        <is>
          <t>16687</t>
        </is>
      </c>
      <c r="B16732" s="4" t="s">
        <f>=HYPERLINK("http://anyluxury.ru/shop/odezhda/futbolki-dlya-promo/futbolka-tbolka-140-zelenoe-yabloko-519094/" , "5190.94 Футболка зеленое яблоко «T-bolka 140», размер XL")</f>
      </c>
      <c r="C16732" s="4" t="n">
        <v>508.00</v>
      </c>
      <c r="D16732" s="4"/>
    </row>
    <row collapsed="" customFormat="false" customHeight="1" hidden="" ht="14" outlineLevel="0" r="16733">
      <c r="A16733" s="3" t="inlineStr">
        <is>
          <t>16688</t>
        </is>
      </c>
      <c r="B16733" s="4" t="s">
        <f>=HYPERLINK("http://anyluxury.ru/shop/odezhda/futbolki-dlya-promo/futbolka-tbolka-140-zelenoe-yabloko-519094/" , "5190.94 Футболка зеленое яблоко «T-bolka 140», размер XXL")</f>
      </c>
      <c r="C16733" s="4" t="n">
        <v>508.00</v>
      </c>
      <c r="D16733" s="4"/>
    </row>
    <row collapsed="" customFormat="false" customHeight="1" hidden="" ht="14" outlineLevel="0" r="16734">
      <c r="A16734" s="3" t="inlineStr">
        <is>
          <t>16689</t>
        </is>
      </c>
      <c r="B16734" s="4" t="s">
        <f>=HYPERLINK("http://anyluxury.ru/shop/odezhda/futbolki-dlya-promo/futbolka-tbolka-140-zelenoe-yabloko-519094/" , "5190.94 Футболка зеленое яблоко «T-bolka 140», размер 4XL")</f>
      </c>
      <c r="C16734" s="4" t="n">
        <v>508.00</v>
      </c>
      <c r="D16734" s="4"/>
    </row>
    <row collapsed="" customFormat="false" customHeight="1" hidden="" ht="14" outlineLevel="0" r="16735">
      <c r="A16735" s="3" t="inlineStr">
        <is>
          <t>16690</t>
        </is>
      </c>
      <c r="B16735" s="4" t="s">
        <f>=HYPERLINK("http://anyluxury.ru/shop/odezhda/futbolki-dlya-promo/futbolka-tbolka-160-golubaya-614014/" , "6140.14 Футболка голубая «T-Bolka 160», размер S")</f>
      </c>
      <c r="C16735" s="4" t="n">
        <v>660.00</v>
      </c>
      <c r="D16735" s="4"/>
    </row>
    <row collapsed="" customFormat="false" customHeight="1" hidden="" ht="14" outlineLevel="0" r="16736">
      <c r="A16736" s="3" t="inlineStr">
        <is>
          <t>16691</t>
        </is>
      </c>
      <c r="B16736" s="4" t="s">
        <f>=HYPERLINK("http://anyluxury.ru/shop/odezhda/futbolki-dlya-promo/futbolka-tbolka-160-golubaya-614014/" , "6140.14 Футболка голубая «T-Bolka 160», размер M")</f>
      </c>
      <c r="C16736" s="4" t="n">
        <v>660.00</v>
      </c>
      <c r="D16736" s="4"/>
    </row>
    <row collapsed="" customFormat="false" customHeight="1" hidden="" ht="14" outlineLevel="0" r="16737">
      <c r="A16737" s="3" t="inlineStr">
        <is>
          <t>16692</t>
        </is>
      </c>
      <c r="B16737" s="4" t="s">
        <f>=HYPERLINK("http://anyluxury.ru/shop/odezhda/futbolki-dlya-promo/futbolka-tbolka-160-golubaya-614014/" , "6140.14 Футболка голубая «T-Bolka 160», размер L")</f>
      </c>
      <c r="C16737" s="4" t="n">
        <v>660.00</v>
      </c>
      <c r="D16737" s="4"/>
    </row>
    <row collapsed="" customFormat="false" customHeight="1" hidden="" ht="14" outlineLevel="0" r="16738">
      <c r="A16738" s="3" t="inlineStr">
        <is>
          <t>16693</t>
        </is>
      </c>
      <c r="B16738" s="4" t="s">
        <f>=HYPERLINK("http://anyluxury.ru/shop/odezhda/futbolki-dlya-promo/futbolka-tbolka-160-golubaya-614014/" , "6140.14 Футболка голубая «T-Bolka 160», размер XL")</f>
      </c>
      <c r="C16738" s="4" t="n">
        <v>660.00</v>
      </c>
      <c r="D16738" s="4"/>
    </row>
    <row collapsed="" customFormat="false" customHeight="1" hidden="" ht="14" outlineLevel="0" r="16739">
      <c r="A16739" s="3" t="inlineStr">
        <is>
          <t>16694</t>
        </is>
      </c>
      <c r="B16739" s="4" t="s">
        <f>=HYPERLINK("http://anyluxury.ru/shop/odezhda/futbolki-dlya-promo/futbolka-tbolka-160-golubaya-614014/" , "6140.14 Футболка голубая «T-Bolka 160», размер XXXL")</f>
      </c>
      <c r="C16739" s="4" t="n">
        <v>660.00</v>
      </c>
      <c r="D16739" s="4"/>
    </row>
    <row collapsed="" customFormat="false" customHeight="1" hidden="" ht="14" outlineLevel="0" r="16740">
      <c r="A16740" s="3" t="inlineStr">
        <is>
          <t>16695</t>
        </is>
      </c>
      <c r="B16740" s="4" t="s">
        <f>=HYPERLINK("http://anyluxury.ru/shop/odezhda/futbolki-dlya-promo/futbolka-tbolka-160-golubaya-614014/" , "6140.14 Футболка голубая «T-Bolka 160», размер 4XL")</f>
      </c>
      <c r="C16740" s="4" t="n">
        <v>660.00</v>
      </c>
      <c r="D16740" s="4"/>
    </row>
    <row collapsed="" customFormat="false" customHeight="1" hidden="" ht="14" outlineLevel="0" r="16741">
      <c r="A16741" s="3" t="inlineStr">
        <is>
          <t>16696</t>
        </is>
      </c>
      <c r="B16741" s="4" t="s">
        <f>=HYPERLINK("http://anyluxury.ru/shop/odezhda/futbolki-dlya-promo/futbolka-tbolka-160-fioletovaya-614077/" , "6140.77 Футболка фиолетовая «T-Bolka 160», размер S")</f>
      </c>
      <c r="C16741" s="4" t="n">
        <v>660.00</v>
      </c>
      <c r="D16741" s="4"/>
    </row>
    <row collapsed="" customFormat="false" customHeight="1" hidden="" ht="14" outlineLevel="0" r="16742">
      <c r="A16742" s="3" t="inlineStr">
        <is>
          <t>16697</t>
        </is>
      </c>
      <c r="B16742" s="4" t="s">
        <f>=HYPERLINK("http://anyluxury.ru/shop/odezhda/futbolki-dlya-promo/futbolka-tbolka-160-fioletovaya-614077/" , "6140.77 Футболка фиолетовая «T-Bolka 160», размер XL")</f>
      </c>
      <c r="C16742" s="4" t="n">
        <v>660.00</v>
      </c>
      <c r="D16742" s="4"/>
    </row>
    <row collapsed="" customFormat="false" customHeight="1" hidden="" ht="14" outlineLevel="0" r="16743">
      <c r="A16743" s="3" t="inlineStr">
        <is>
          <t>16698</t>
        </is>
      </c>
      <c r="B16743" s="4" t="s">
        <f>=HYPERLINK("http://anyluxury.ru/shop/odezhda/futbolki-dlya-promo/futbolka-tbolka-160-fioletovaya-614077/" , "6140.77 Футболка фиолетовая «T-Bolka 160», размер XXXL")</f>
      </c>
      <c r="C16743" s="4" t="n">
        <v>660.00</v>
      </c>
      <c r="D16743" s="4"/>
    </row>
    <row collapsed="" customFormat="false" customHeight="1" hidden="" ht="14" outlineLevel="0" r="16744">
      <c r="A16744" s="3" t="inlineStr">
        <is>
          <t>16699</t>
        </is>
      </c>
      <c r="B16744" s="4" t="s">
        <f>=HYPERLINK("http://anyluxury.ru/shop/odezhda/futbolki-dlya-promo/futbolka-tbolka-160-zelenoe-yabloko-614094/" , "6140.94 Футболка зеленое яблоко «T-Bolka 160», размер S")</f>
      </c>
      <c r="C16744" s="4" t="n">
        <v>660.00</v>
      </c>
      <c r="D16744" s="4"/>
    </row>
    <row collapsed="" customFormat="false" customHeight="1" hidden="" ht="14" outlineLevel="0" r="16745">
      <c r="A16745" s="3" t="inlineStr">
        <is>
          <t>16700</t>
        </is>
      </c>
      <c r="B16745" s="4" t="s">
        <f>=HYPERLINK("http://anyluxury.ru/shop/odezhda/futbolki-dlya-promo/futbolka-tbolka-160-zelenoe-yabloko-614094/" , "6140.94 Футболка зеленое яблоко «T-Bolka 160», размер L")</f>
      </c>
      <c r="C16745" s="4" t="n">
        <v>660.00</v>
      </c>
      <c r="D16745" s="4"/>
    </row>
    <row collapsed="" customFormat="false" customHeight="1" hidden="" ht="14" outlineLevel="0" r="16746">
      <c r="A16746" s="3" t="inlineStr">
        <is>
          <t>16701</t>
        </is>
      </c>
      <c r="B16746" s="4" t="s">
        <f>=HYPERLINK("http://anyluxury.ru/shop/odezhda/futbolki-dlya-promo/futbolka-tbolka-160-zelenoe-yabloko-614094/" , "6140.94 Футболка зеленое яблоко «T-Bolka 160», размер XL")</f>
      </c>
      <c r="C16746" s="4" t="n">
        <v>660.00</v>
      </c>
      <c r="D16746" s="4"/>
    </row>
    <row collapsed="" customFormat="false" customHeight="1" hidden="" ht="14" outlineLevel="0" r="16747">
      <c r="A16747" s="3" t="inlineStr">
        <is>
          <t>16702</t>
        </is>
      </c>
      <c r="B16747" s="4" t="s">
        <f>=HYPERLINK("http://anyluxury.ru/shop/odezhda/futbolki-dlya-promo/futbolka-tbolka-160-zelenoe-yabloko-614094/" , "6140.94 Футболка зеленое яблоко «T-Bolka 160», размер XXL")</f>
      </c>
      <c r="C16747" s="4" t="n">
        <v>660.00</v>
      </c>
      <c r="D16747" s="4"/>
    </row>
    <row collapsed="" customFormat="false" customHeight="1" hidden="" ht="14" outlineLevel="0" r="16748">
      <c r="A16748" s="3" t="inlineStr">
        <is>
          <t>16703</t>
        </is>
      </c>
      <c r="B16748" s="4" t="s">
        <f>=HYPERLINK("http://anyluxury.ru/shop/odezhda/futbolki-dlya-promo/futbolka-tbolka-160-zelenoe-yabloko-614094/" , "6140.94 Футболка зеленое яблоко «T-Bolka 160», размер XXXL")</f>
      </c>
      <c r="C16748" s="4" t="n">
        <v>660.00</v>
      </c>
      <c r="D16748" s="4"/>
    </row>
    <row collapsed="" customFormat="false" customHeight="1" hidden="" ht="14" outlineLevel="0" r="16749">
      <c r="A16749" s="3" t="inlineStr">
        <is>
          <t>16704</t>
        </is>
      </c>
      <c r="B16749" s="4" t="s">
        <f>=HYPERLINK("http://anyluxury.ru/shop/odezhda/futbolki-dlya-promo/futbolka-tbolka-160-temnokrasnaya-614051/" , "6140.51 Футболка темно-красная «T-Bolka 160», размер S")</f>
      </c>
      <c r="C16749" s="4" t="n">
        <v>620.00</v>
      </c>
      <c r="D16749" s="4"/>
    </row>
    <row collapsed="" customFormat="false" customHeight="1" hidden="" ht="14" outlineLevel="0" r="16750">
      <c r="A16750" s="3" t="inlineStr">
        <is>
          <t>16705</t>
        </is>
      </c>
      <c r="B16750" s="4" t="s">
        <f>=HYPERLINK("http://anyluxury.ru/shop/odezhda/futbolki-dlya-promo/futbolka-tbolka-160-temnokrasnaya-614051/" , "6140.51 Футболка темно-красная «T-Bolka 160», размер 4XL")</f>
      </c>
      <c r="C16750" s="4" t="n">
        <v>620.00</v>
      </c>
      <c r="D16750" s="4"/>
    </row>
    <row collapsed="" customFormat="false" customHeight="1" hidden="" ht="14" outlineLevel="0" r="16751">
      <c r="A16751" s="3" t="inlineStr">
        <is>
          <t>16706</t>
        </is>
      </c>
      <c r="B16751" s="4" t="s">
        <f>=HYPERLINK("http://anyluxury.ru/shop/odezhda/futbolki-dlya-promo/futbolka-zhenskaya-tbolka-stretch-lady-kobalt-temnosinyaya-189147/" , "1891.47 Футболка женская T-bolka Stretch Lady, кобальт (темно-синяя), размер L")</f>
      </c>
      <c r="C16751" s="4" t="n">
        <v>820.00</v>
      </c>
      <c r="D16751" s="4"/>
    </row>
    <row collapsed="" customFormat="false" customHeight="1" hidden="" ht="14" outlineLevel="0" r="16752">
      <c r="A16752" s="3" t="inlineStr">
        <is>
          <t>16707</t>
        </is>
      </c>
      <c r="B16752" s="4" t="s">
        <f>=HYPERLINK("http://anyluxury.ru/shop/odezhda/futbolki-dlya-promo/futbolka-zhenskaya-tbolka-stretch-lady-kobalt-temnosinyaya-189147/" , "1891.47 Футболка женская T-bolka Stretch Lady, кобальт (темно-синяя), размер XL")</f>
      </c>
      <c r="C16752" s="4" t="n">
        <v>820.00</v>
      </c>
      <c r="D16752" s="4"/>
    </row>
    <row collapsed="" customFormat="false" customHeight="1" hidden="" ht="14" outlineLevel="0" r="16753">
      <c r="A16753" s="3" t="inlineStr">
        <is>
          <t>16708</t>
        </is>
      </c>
      <c r="B16753" s="4" t="s">
        <f>=HYPERLINK("http://anyluxury.ru/shop/odezhda/futbolki-dlya-promo/futbolka-zhenskaya-tbolka-stretch-lady-temnokrasnaya-189151/" , "1891.51 Футболка женская T-bolka Stretch Lady, темно-красная, размер L")</f>
      </c>
      <c r="C16753" s="4" t="n">
        <v>820.00</v>
      </c>
      <c r="D16753" s="4"/>
    </row>
    <row collapsed="" customFormat="false" customHeight="1" hidden="" ht="14" outlineLevel="0" r="16754">
      <c r="A16754" s="3" t="inlineStr">
        <is>
          <t>16709</t>
        </is>
      </c>
      <c r="B16754" s="4" t="s">
        <f>=HYPERLINK("http://anyluxury.ru/shop/odezhda/futbolki-dlya-promo/futbolka-zhenskaya-tbolka-stretch-lady-temnokrasnaya-189151/" , "1891.51 Футболка женская T-bolka Stretch Lady, темно-красная, размер XL")</f>
      </c>
      <c r="C16754" s="4" t="n">
        <v>820.00</v>
      </c>
      <c r="D16754" s="4"/>
    </row>
    <row collapsed="" customFormat="false" customHeight="1" hidden="" ht="14" outlineLevel="0" r="16755">
      <c r="A16755" s="3" t="inlineStr">
        <is>
          <t>16710</t>
        </is>
      </c>
      <c r="B16755" s="4" t="s">
        <f>=HYPERLINK("http://anyluxury.ru/shop/odezhda/futbolki-dlya-promo/futbolka-e150-belaya-tu01t001/" , "TU01T001 Футболка E150 белая, размер 4XL")</f>
      </c>
      <c r="C16755" s="4" t="n">
        <v>705.00</v>
      </c>
      <c r="D16755" s="4"/>
    </row>
    <row collapsed="" customFormat="false" customHeight="1" hidden="" ht="14" outlineLevel="0" r="16756">
      <c r="A16756" s="3" t="inlineStr">
        <is>
          <t>16711</t>
        </is>
      </c>
      <c r="B16756" s="4" t="s">
        <f>=HYPERLINK("http://anyluxury.ru/shop/odezhda/futbolki-dlya-promo/futbolka-e150-chernaya-tu01t002/" , "TU01T002 Футболка E150 черная, размер XXL")</f>
      </c>
      <c r="C16756" s="4" t="n">
        <v>664.00</v>
      </c>
      <c r="D16756" s="4"/>
    </row>
    <row collapsed="" customFormat="false" customHeight="1" hidden="" ht="14" outlineLevel="0" r="16757">
      <c r="A16757" s="3" t="inlineStr">
        <is>
          <t>16712</t>
        </is>
      </c>
      <c r="B16757" s="4" t="s">
        <f>=HYPERLINK("http://anyluxury.ru/shop/odezhda/futbolki-dlya-promo/futbolka-e150-chernaya-tu01t002/" , "TU01T002 Футболка E150 черная, размер XXXL")</f>
      </c>
      <c r="C16757" s="4" t="n">
        <v>850.00</v>
      </c>
      <c r="D16757" s="4"/>
    </row>
    <row collapsed="" customFormat="false" customHeight="1" hidden="" ht="14" outlineLevel="0" r="16758">
      <c r="A16758" s="3" t="inlineStr">
        <is>
          <t>16713</t>
        </is>
      </c>
      <c r="B16758" s="4" t="s">
        <f>=HYPERLINK("http://anyluxury.ru/shop/odezhda/futbolki-dlya-promo/futbolka-e150-chernaya-tu01t002/" , "TU01T002 Футболка E150 черная, размер 4XL")</f>
      </c>
      <c r="C16758" s="4" t="n">
        <v>850.00</v>
      </c>
      <c r="D16758" s="4"/>
    </row>
    <row collapsed="" customFormat="false" customHeight="1" hidden="" ht="14" outlineLevel="0" r="16759">
      <c r="A16759" s="3" t="inlineStr">
        <is>
          <t>16714</t>
        </is>
      </c>
      <c r="B16759" s="4" t="s">
        <f>=HYPERLINK("http://anyluxury.ru/shop/odezhda/futbolki-dlya-promo/futbolka-e150-krasnaya-tu01t004/" , "TU01T004 Футболка E150 красная, размер XS")</f>
      </c>
      <c r="C16759" s="4" t="n">
        <v>560.00</v>
      </c>
      <c r="D16759" s="4"/>
    </row>
    <row collapsed="" customFormat="false" customHeight="1" hidden="" ht="14" outlineLevel="0" r="16760">
      <c r="A16760" s="3" t="inlineStr">
        <is>
          <t>16715</t>
        </is>
      </c>
      <c r="B16760" s="4" t="s">
        <f>=HYPERLINK("http://anyluxury.ru/shop/odezhda/futbolki-dlya-promo/futbolka-e150-krasnaya-tu01t004/" , "TU01T004 Футболка E150 красная, размер S")</f>
      </c>
      <c r="C16760" s="4" t="n">
        <v>560.00</v>
      </c>
      <c r="D16760" s="4"/>
    </row>
    <row collapsed="" customFormat="false" customHeight="1" hidden="" ht="14" outlineLevel="0" r="16761">
      <c r="A16761" s="3" t="inlineStr">
        <is>
          <t>16716</t>
        </is>
      </c>
      <c r="B16761" s="4" t="s">
        <f>=HYPERLINK("http://anyluxury.ru/shop/odezhda/futbolki-dlya-promo/futbolka-e150-krasnaya-tu01t004/" , "TU01T004 Футболка E150 красная, размер XXXL")</f>
      </c>
      <c r="C16761" s="4" t="n">
        <v>716.00</v>
      </c>
      <c r="D16761" s="4"/>
    </row>
    <row collapsed="" customFormat="false" customHeight="1" hidden="" ht="14" outlineLevel="0" r="16762">
      <c r="A16762" s="3" t="inlineStr">
        <is>
          <t>16717</t>
        </is>
      </c>
      <c r="B16762" s="4" t="s">
        <f>=HYPERLINK("http://anyluxury.ru/shop/odezhda/futbolki-dlya-promo/futbolka-e150-krasnaya-tu01t004/" , "TU01T004 Футболка E150 красная, размер 4XL")</f>
      </c>
      <c r="C16762" s="4" t="n">
        <v>716.00</v>
      </c>
      <c r="D16762" s="4"/>
    </row>
    <row collapsed="" customFormat="false" customHeight="1" hidden="" ht="14" outlineLevel="0" r="16763">
      <c r="A16763" s="3" t="inlineStr">
        <is>
          <t>16718</t>
        </is>
      </c>
      <c r="B16763" s="4" t="s">
        <f>=HYPERLINK("http://anyluxury.ru/shop/odezhda/futbolki-dlya-promo/futbolka-e150-krasnaya-tu01t004/" , "TU01T004 Футболка E150 красная, размер 5XL")</f>
      </c>
      <c r="C16763" s="4" t="n">
        <v>716.00</v>
      </c>
      <c r="D16763" s="4"/>
    </row>
    <row collapsed="" customFormat="false" customHeight="1" hidden="" ht="14" outlineLevel="0" r="16764">
      <c r="A16764" s="3" t="inlineStr">
        <is>
          <t>16719</t>
        </is>
      </c>
      <c r="B16764" s="4" t="s">
        <f>=HYPERLINK("http://anyluxury.ru/shop/odezhda/futbolki-dlya-promo/futbolka-e150-zheltaya-tu01t210/" , "TU01T210 Футболка E150 желтая, размер S")</f>
      </c>
      <c r="C16764" s="4" t="n">
        <v>560.00</v>
      </c>
      <c r="D16764" s="4"/>
    </row>
    <row collapsed="" customFormat="false" customHeight="1" hidden="" ht="14" outlineLevel="0" r="16765">
      <c r="A16765" s="3" t="inlineStr">
        <is>
          <t>16720</t>
        </is>
      </c>
      <c r="B16765" s="4" t="s">
        <f>=HYPERLINK("http://anyluxury.ru/shop/odezhda/futbolki-dlya-promo/futbolka-e150-zheltaya-tu01t210/" , "TU01T210 Футболка E150 желтая, размер M")</f>
      </c>
      <c r="C16765" s="4" t="n">
        <v>560.00</v>
      </c>
      <c r="D16765" s="4"/>
    </row>
    <row collapsed="" customFormat="false" customHeight="1" hidden="" ht="14" outlineLevel="0" r="16766">
      <c r="A16766" s="3" t="inlineStr">
        <is>
          <t>16721</t>
        </is>
      </c>
      <c r="B16766" s="4" t="s">
        <f>=HYPERLINK("http://anyluxury.ru/shop/odezhda/futbolki-dlya-promo/futbolka-e150-zheltaya-tu01t210/" , "TU01T210 Футболка E150 желтая, размер L")</f>
      </c>
      <c r="C16766" s="4" t="n">
        <v>560.00</v>
      </c>
      <c r="D16766" s="4"/>
    </row>
    <row collapsed="" customFormat="false" customHeight="1" hidden="" ht="14" outlineLevel="0" r="16767">
      <c r="A16767" s="3" t="inlineStr">
        <is>
          <t>16722</t>
        </is>
      </c>
      <c r="B16767" s="4" t="s">
        <f>=HYPERLINK("http://anyluxury.ru/shop/odezhda/futbolki-dlya-promo/futbolka-e150-zheltaya-tu01t210/" , "TU01T210 Футболка E150 желтая, размер XL")</f>
      </c>
      <c r="C16767" s="4" t="n">
        <v>560.00</v>
      </c>
      <c r="D16767" s="4"/>
    </row>
    <row collapsed="" customFormat="false" customHeight="1" hidden="" ht="14" outlineLevel="0" r="16768">
      <c r="A16768" s="3" t="inlineStr">
        <is>
          <t>16723</t>
        </is>
      </c>
      <c r="B16768" s="4" t="s">
        <f>=HYPERLINK("http://anyluxury.ru/shop/odezhda/futbolki-dlya-promo/futbolka-e150-zheltaya-tu01t210/" , "TU01T210 Футболка E150 желтая, размер XXL")</f>
      </c>
      <c r="C16768" s="4" t="n">
        <v>560.00</v>
      </c>
      <c r="D16768" s="4"/>
    </row>
    <row collapsed="" customFormat="false" customHeight="1" hidden="" ht="14" outlineLevel="0" r="16769">
      <c r="A16769" s="3" t="inlineStr">
        <is>
          <t>16724</t>
        </is>
      </c>
      <c r="B16769" s="4" t="s">
        <f>=HYPERLINK("http://anyluxury.ru/shop/odezhda/futbolki-dlya-promo/futbolka-e150-oranzhevaya-tu01t235/" , "TU01T235 Футболка E150 оранжевая, размер S")</f>
      </c>
      <c r="C16769" s="4" t="n">
        <v>560.00</v>
      </c>
      <c r="D16769" s="4"/>
    </row>
    <row collapsed="" customFormat="false" customHeight="1" hidden="" ht="14" outlineLevel="0" r="16770">
      <c r="A16770" s="3" t="inlineStr">
        <is>
          <t>16725</t>
        </is>
      </c>
      <c r="B16770" s="4" t="s">
        <f>=HYPERLINK("http://anyluxury.ru/shop/odezhda/futbolki-dlya-promo/futbolka-e150-oranzhevaya-tu01t235/" , "TU01T235 Футболка E150 оранжевая, размер L")</f>
      </c>
      <c r="C16770" s="4" t="n">
        <v>560.00</v>
      </c>
      <c r="D16770" s="4"/>
    </row>
    <row collapsed="" customFormat="false" customHeight="1" hidden="" ht="14" outlineLevel="0" r="16771">
      <c r="A16771" s="3" t="inlineStr">
        <is>
          <t>16726</t>
        </is>
      </c>
      <c r="B16771" s="4" t="s">
        <f>=HYPERLINK("http://anyluxury.ru/shop/odezhda/futbolki-dlya-promo/futbolka-e150-oranzhevaya-tu01t235/" , "TU01T235 Футболка E150 оранжевая, размер XL")</f>
      </c>
      <c r="C16771" s="4" t="n">
        <v>560.00</v>
      </c>
      <c r="D16771" s="4"/>
    </row>
    <row collapsed="" customFormat="false" customHeight="1" hidden="" ht="14" outlineLevel="0" r="16772">
      <c r="A16772" s="3" t="inlineStr">
        <is>
          <t>16727</t>
        </is>
      </c>
      <c r="B16772" s="4" t="s">
        <f>=HYPERLINK("http://anyluxury.ru/shop/odezhda/futbolki-dlya-promo/futbolka-e150-oranzhevaya-tu01t235/" , "TU01T235 Футболка E150 оранжевая, размер XXL")</f>
      </c>
      <c r="C16772" s="4" t="n">
        <v>560.00</v>
      </c>
      <c r="D16772" s="4"/>
    </row>
    <row collapsed="" customFormat="false" customHeight="1" hidden="" ht="14" outlineLevel="0" r="16773">
      <c r="A16773" s="3" t="inlineStr">
        <is>
          <t>16728</t>
        </is>
      </c>
      <c r="B16773" s="4" t="s">
        <f>=HYPERLINK("http://anyluxury.ru/shop/odezhda/futbolki-dlya-promo/futbolka-e150-yarkosinyaya-tu01t450/" , "TU01T450 Футболка E150 ярко-синяя, размер XS")</f>
      </c>
      <c r="C16773" s="4" t="n">
        <v>560.00</v>
      </c>
      <c r="D16773" s="4"/>
    </row>
    <row collapsed="" customFormat="false" customHeight="1" hidden="" ht="14" outlineLevel="0" r="16774">
      <c r="A16774" s="3" t="inlineStr">
        <is>
          <t>16729</t>
        </is>
      </c>
      <c r="B16774" s="4" t="s">
        <f>=HYPERLINK("http://anyluxury.ru/shop/odezhda/futbolki-dlya-promo/futbolka-e150-yarkosinyaya-tu01t450/" , "TU01T450 Футболка E150 ярко-синяя, размер S")</f>
      </c>
      <c r="C16774" s="4" t="n">
        <v>560.00</v>
      </c>
      <c r="D16774" s="4"/>
    </row>
    <row collapsed="" customFormat="false" customHeight="1" hidden="" ht="14" outlineLevel="0" r="16775">
      <c r="A16775" s="3" t="inlineStr">
        <is>
          <t>16730</t>
        </is>
      </c>
      <c r="B16775" s="4" t="s">
        <f>=HYPERLINK("http://anyluxury.ru/shop/odezhda/futbolki-dlya-promo/futbolka-e150-yarkosinyaya-tu01t450/" , "TU01T450 Футболка E150 ярко-синяя, размер XXXL")</f>
      </c>
      <c r="C16775" s="4" t="n">
        <v>716.00</v>
      </c>
      <c r="D16775" s="4"/>
    </row>
    <row collapsed="" customFormat="false" customHeight="1" hidden="" ht="14" outlineLevel="0" r="16776">
      <c r="A16776" s="3" t="inlineStr">
        <is>
          <t>16731</t>
        </is>
      </c>
      <c r="B16776" s="4" t="s">
        <f>=HYPERLINK("http://anyluxury.ru/shop/odezhda/futbolki-dlya-promo/futbolka-e150-yarkosinyaya-tu01t450/" , "TU01T450 Футболка E150 ярко-синяя, размер 4XL")</f>
      </c>
      <c r="C16776" s="4" t="n">
        <v>716.00</v>
      </c>
      <c r="D16776" s="4"/>
    </row>
    <row collapsed="" customFormat="false" customHeight="1" hidden="" ht="14" outlineLevel="0" r="16777">
      <c r="A16777" s="3" t="inlineStr">
        <is>
          <t>16732</t>
        </is>
      </c>
      <c r="B16777" s="4" t="s">
        <f>=HYPERLINK("http://anyluxury.ru/shop/odezhda/futbolki-dlya-promo/futbolka-e150-yarkosinyaya-tu01t450/" , "TU01T450 Футболка E150 ярко-синяя, размер 5XL")</f>
      </c>
      <c r="C16777" s="4" t="n">
        <v>716.00</v>
      </c>
      <c r="D16777" s="4"/>
    </row>
    <row collapsed="" customFormat="false" customHeight="1" hidden="" ht="14" outlineLevel="0" r="16778">
      <c r="A16778" s="3" t="inlineStr">
        <is>
          <t>16733</t>
        </is>
      </c>
      <c r="B16778" s="4" t="s">
        <f>=HYPERLINK("http://anyluxury.ru/shop/odezhda/futbolki-dlya-promo/futbolka-e150-zelenoe-yabloko-tu01t511/" , "TU01T511 Футболка E150 зеленое яблоко, размер M")</f>
      </c>
      <c r="C16778" s="4" t="n">
        <v>560.00</v>
      </c>
      <c r="D16778" s="4"/>
    </row>
    <row collapsed="" customFormat="false" customHeight="1" hidden="" ht="14" outlineLevel="0" r="16779">
      <c r="A16779" s="3" t="inlineStr">
        <is>
          <t>16734</t>
        </is>
      </c>
      <c r="B16779" s="4" t="s">
        <f>=HYPERLINK("http://anyluxury.ru/shop/odezhda/futbolki-dlya-promo/futbolka-e150-zelenoe-yabloko-tu01t511/" , "TU01T511 Футболка E150 зеленое яблоко, размер XXL")</f>
      </c>
      <c r="C16779" s="4" t="n">
        <v>560.00</v>
      </c>
      <c r="D16779" s="4"/>
    </row>
    <row collapsed="" customFormat="false" customHeight="1" hidden="" ht="14" outlineLevel="0" r="16780">
      <c r="A16780" s="3" t="inlineStr">
        <is>
          <t>16735</t>
        </is>
      </c>
      <c r="B16780" s="4" t="s">
        <f>=HYPERLINK("http://anyluxury.ru/shop/odezhda/futbolki-dlya-promo/futbolka-e150-zelenaya-tu01t520/" , "TU01T520 Футболка E150 зеленая, размер S")</f>
      </c>
      <c r="C16780" s="4" t="n">
        <v>560.00</v>
      </c>
      <c r="D16780" s="4"/>
    </row>
    <row collapsed="" customFormat="false" customHeight="1" hidden="" ht="14" outlineLevel="0" r="16781">
      <c r="A16781" s="3" t="inlineStr">
        <is>
          <t>16736</t>
        </is>
      </c>
      <c r="B16781" s="4" t="s">
        <f>=HYPERLINK("http://anyluxury.ru/shop/odezhda/futbolki-dlya-promo/futbolka-e150-zelenaya-tu01t520/" , "TU01T520 Футболка E150 зеленая, размер M")</f>
      </c>
      <c r="C16781" s="4" t="n">
        <v>560.00</v>
      </c>
      <c r="D16781" s="4"/>
    </row>
    <row collapsed="" customFormat="false" customHeight="1" hidden="" ht="14" outlineLevel="0" r="16782">
      <c r="A16782" s="3" t="inlineStr">
        <is>
          <t>16737</t>
        </is>
      </c>
      <c r="B16782" s="4" t="s">
        <f>=HYPERLINK("http://anyluxury.ru/shop/odezhda/futbolki-dlya-promo/futbolka-e150-zelenaya-tu01t520/" , "TU01T520 Футболка E150 зеленая, размер XL")</f>
      </c>
      <c r="C16782" s="4" t="n">
        <v>560.00</v>
      </c>
      <c r="D16782" s="4"/>
    </row>
    <row collapsed="" customFormat="false" customHeight="1" hidden="" ht="14" outlineLevel="0" r="16783">
      <c r="A16783" s="3" t="inlineStr">
        <is>
          <t>16738</t>
        </is>
      </c>
      <c r="B16783" s="4" t="s">
        <f>=HYPERLINK("http://anyluxury.ru/shop/odezhda/futbolki-dlya-promo/futbolka-e150-zelenaya-tu01t520/" , "TU01T520 Футболка E150 зеленая, размер XXL")</f>
      </c>
      <c r="C16783" s="4" t="n">
        <v>560.00</v>
      </c>
      <c r="D16783" s="4"/>
    </row>
    <row collapsed="" customFormat="false" customHeight="1" hidden="" ht="14" outlineLevel="0" r="16784">
      <c r="A16784" s="3" t="inlineStr">
        <is>
          <t>16739</t>
        </is>
      </c>
      <c r="B16784" s="4" t="s">
        <f>=HYPERLINK("http://anyluxury.ru/shop/odezhda/futbolki-dlya-promo/futbolka-e150-zelenaya-tu01t520/" , "TU01T520 Футболка E150 зеленая, размер XXXL")</f>
      </c>
      <c r="C16784" s="4" t="n">
        <v>716.00</v>
      </c>
      <c r="D16784" s="4"/>
    </row>
    <row collapsed="" customFormat="false" customHeight="1" hidden="" ht="14" outlineLevel="0" r="16785">
      <c r="A16785" s="3" t="inlineStr">
        <is>
          <t>16740</t>
        </is>
      </c>
      <c r="B16785" s="4" t="s">
        <f>=HYPERLINK("http://anyluxury.ru/shop/odezhda/futbolki-dlya-promo/futbolka-e150-seriy-melanzh-tu01t620/" , "TU01T620 Футболка E150 серый меланж, размер S")</f>
      </c>
      <c r="C16785" s="4" t="n">
        <v>560.00</v>
      </c>
      <c r="D16785" s="4"/>
    </row>
    <row collapsed="" customFormat="false" customHeight="1" hidden="" ht="14" outlineLevel="0" r="16786">
      <c r="A16786" s="3" t="inlineStr">
        <is>
          <t>16741</t>
        </is>
      </c>
      <c r="B16786" s="4" t="s">
        <f>=HYPERLINK("http://anyluxury.ru/shop/odezhda/futbolki-dlya-promo/futbolka-e150-seriy-melanzh-tu01t620/" , "TU01T620 Футболка E150 серый меланж, размер M")</f>
      </c>
      <c r="C16786" s="4" t="n">
        <v>560.00</v>
      </c>
      <c r="D16786" s="4"/>
    </row>
    <row collapsed="" customFormat="false" customHeight="1" hidden="" ht="14" outlineLevel="0" r="16787">
      <c r="A16787" s="3" t="inlineStr">
        <is>
          <t>16742</t>
        </is>
      </c>
      <c r="B16787" s="4" t="s">
        <f>=HYPERLINK("http://anyluxury.ru/shop/odezhda/futbolki-dlya-promo/futbolka-e150-seriy-melanzh-tu01t620/" , "TU01T620 Футболка E150 серый меланж, размер XXXL")</f>
      </c>
      <c r="C16787" s="4" t="n">
        <v>716.00</v>
      </c>
      <c r="D16787" s="4"/>
    </row>
    <row collapsed="" customFormat="false" customHeight="1" hidden="" ht="14" outlineLevel="0" r="16788">
      <c r="A16788" s="3" t="inlineStr">
        <is>
          <t>16743</t>
        </is>
      </c>
      <c r="B16788" s="4" t="s">
        <f>=HYPERLINK("http://anyluxury.ru/shop/odezhda/futbolki-dlya-promo/futbolka-e190-belaya-tu03t001/" , "TU03T001 Футболка E190 белая, размер XS")</f>
      </c>
      <c r="C16788" s="4" t="n">
        <v>661.00</v>
      </c>
      <c r="D16788" s="4"/>
    </row>
    <row collapsed="" customFormat="false" customHeight="1" hidden="" ht="14" outlineLevel="0" r="16789">
      <c r="A16789" s="3" t="inlineStr">
        <is>
          <t>16744</t>
        </is>
      </c>
      <c r="B16789" s="4" t="s">
        <f>=HYPERLINK("http://anyluxury.ru/shop/odezhda/futbolki-dlya-promo/futbolka-e190-belaya-tu03t001/" , "TU03T001 Футболка E190 белая, размер XXXL")</f>
      </c>
      <c r="C16789" s="4" t="n">
        <v>827.00</v>
      </c>
      <c r="D16789" s="4"/>
    </row>
    <row collapsed="" customFormat="false" customHeight="1" hidden="" ht="14" outlineLevel="0" r="16790">
      <c r="A16790" s="3" t="inlineStr">
        <is>
          <t>16745</t>
        </is>
      </c>
      <c r="B16790" s="4" t="s">
        <f>=HYPERLINK("http://anyluxury.ru/shop/odezhda/futbolki-dlya-promo/futbolka-e190-chernaya-tu03t002/" , "TU03T002 Футболка E190 черная, размер S")</f>
      </c>
      <c r="C16790" s="4" t="n">
        <v>765.00</v>
      </c>
      <c r="D16790" s="4"/>
    </row>
    <row collapsed="" customFormat="false" customHeight="1" hidden="" ht="14" outlineLevel="0" r="16791">
      <c r="A16791" s="3" t="inlineStr">
        <is>
          <t>16746</t>
        </is>
      </c>
      <c r="B16791" s="4" t="s">
        <f>=HYPERLINK("http://anyluxury.ru/shop/odezhda/futbolki-dlya-promo/futbolka-e190-temnosinyaya-tu03t003/" , "TU03T003 Футболка E190 темно-синяя, размер S")</f>
      </c>
      <c r="C16791" s="4" t="n">
        <v>627.00</v>
      </c>
      <c r="D16791" s="4"/>
    </row>
    <row collapsed="" customFormat="false" customHeight="1" hidden="" ht="14" outlineLevel="0" r="16792">
      <c r="A16792" s="3" t="inlineStr">
        <is>
          <t>16747</t>
        </is>
      </c>
      <c r="B16792" s="4" t="s">
        <f>=HYPERLINK("http://anyluxury.ru/shop/odezhda/futbolki-dlya-promo/futbolka-e190-krasnaya-tu03t004/" , "TU03T004 Футболка E190 красная, размер XS")</f>
      </c>
      <c r="C16792" s="4" t="n">
        <v>627.00</v>
      </c>
      <c r="D16792" s="4"/>
    </row>
    <row collapsed="" customFormat="false" customHeight="1" hidden="" ht="14" outlineLevel="0" r="16793">
      <c r="A16793" s="3" t="inlineStr">
        <is>
          <t>16748</t>
        </is>
      </c>
      <c r="B16793" s="4" t="s">
        <f>=HYPERLINK("http://anyluxury.ru/shop/odezhda/futbolki-dlya-promo/futbolka-e190-krasnaya-tu03t004/" , "TU03T004 Футболка E190 красная, размер S")</f>
      </c>
      <c r="C16793" s="4" t="n">
        <v>627.00</v>
      </c>
      <c r="D16793" s="4"/>
    </row>
    <row collapsed="" customFormat="false" customHeight="1" hidden="" ht="14" outlineLevel="0" r="16794">
      <c r="A16794" s="3" t="inlineStr">
        <is>
          <t>16749</t>
        </is>
      </c>
      <c r="B16794" s="4" t="s">
        <f>=HYPERLINK("http://anyluxury.ru/shop/odezhda/futbolki-dlya-promo/futbolka-e190-krasnaya-tu03t004/" , "TU03T004 Футболка E190 красная, размер XL")</f>
      </c>
      <c r="C16794" s="4" t="n">
        <v>627.00</v>
      </c>
      <c r="D16794" s="4"/>
    </row>
    <row collapsed="" customFormat="false" customHeight="1" hidden="" ht="14" outlineLevel="0" r="16795">
      <c r="A16795" s="3" t="inlineStr">
        <is>
          <t>16750</t>
        </is>
      </c>
      <c r="B16795" s="4" t="s">
        <f>=HYPERLINK("http://anyluxury.ru/shop/odezhda/futbolki-dlya-promo/futbolka-e190-krasnaya-tu03t004/" , "TU03T004 Футболка E190 красная, размер XXL")</f>
      </c>
      <c r="C16795" s="4" t="n">
        <v>627.00</v>
      </c>
      <c r="D16795" s="4"/>
    </row>
    <row collapsed="" customFormat="false" customHeight="1" hidden="" ht="14" outlineLevel="0" r="16796">
      <c r="A16796" s="3" t="inlineStr">
        <is>
          <t>16751</t>
        </is>
      </c>
      <c r="B16796" s="4" t="s">
        <f>=HYPERLINK("http://anyluxury.ru/shop/odezhda/futbolki-dlya-promo/futbolka-e190-krasnaya-tu03t004/" , "TU03T004 Футболка E190 красная, размер XXXL")</f>
      </c>
      <c r="C16796" s="4" t="n">
        <v>799.00</v>
      </c>
      <c r="D16796" s="4"/>
    </row>
    <row collapsed="" customFormat="false" customHeight="1" hidden="" ht="14" outlineLevel="0" r="16797">
      <c r="A16797" s="3" t="inlineStr">
        <is>
          <t>16752</t>
        </is>
      </c>
      <c r="B16797" s="4" t="s">
        <f>=HYPERLINK("http://anyluxury.ru/shop/odezhda/futbolki-dlya-promo/futbolka-e190-zheltaya-tu03t210/" , "TU03T210 Футболка E190 желтая, размер S")</f>
      </c>
      <c r="C16797" s="4" t="n">
        <v>627.00</v>
      </c>
      <c r="D16797" s="4"/>
    </row>
    <row collapsed="" customFormat="false" customHeight="1" hidden="" ht="14" outlineLevel="0" r="16798">
      <c r="A16798" s="3" t="inlineStr">
        <is>
          <t>16753</t>
        </is>
      </c>
      <c r="B16798" s="4" t="s">
        <f>=HYPERLINK("http://anyluxury.ru/shop/odezhda/futbolki-dlya-promo/futbolka-e190-zheltaya-tu03t210/" , "TU03T210 Футболка E190 желтая, размер M")</f>
      </c>
      <c r="C16798" s="4" t="n">
        <v>627.00</v>
      </c>
      <c r="D16798" s="4"/>
    </row>
    <row collapsed="" customFormat="false" customHeight="1" hidden="" ht="14" outlineLevel="0" r="16799">
      <c r="A16799" s="3" t="inlineStr">
        <is>
          <t>16754</t>
        </is>
      </c>
      <c r="B16799" s="4" t="s">
        <f>=HYPERLINK("http://anyluxury.ru/shop/odezhda/futbolki-dlya-promo/futbolka-e190-zheltaya-tu03t210/" , "TU03T210 Футболка E190 желтая, размер L")</f>
      </c>
      <c r="C16799" s="4" t="n">
        <v>627.00</v>
      </c>
      <c r="D16799" s="4"/>
    </row>
    <row collapsed="" customFormat="false" customHeight="1" hidden="" ht="14" outlineLevel="0" r="16800">
      <c r="A16800" s="3" t="inlineStr">
        <is>
          <t>16755</t>
        </is>
      </c>
      <c r="B16800" s="4" t="s">
        <f>=HYPERLINK("http://anyluxury.ru/shop/odezhda/futbolki-dlya-promo/futbolka-e190-zheltaya-tu03t210/" , "TU03T210 Футболка E190 желтая, размер XL")</f>
      </c>
      <c r="C16800" s="4" t="n">
        <v>627.00</v>
      </c>
      <c r="D16800" s="4"/>
    </row>
    <row collapsed="" customFormat="false" customHeight="1" hidden="" ht="14" outlineLevel="0" r="16801">
      <c r="A16801" s="3" t="inlineStr">
        <is>
          <t>16756</t>
        </is>
      </c>
      <c r="B16801" s="4" t="s">
        <f>=HYPERLINK("http://anyluxury.ru/shop/odezhda/futbolki-dlya-promo/futbolka-e190-zheltaya-tu03t210/" , "TU03T210 Футболка E190 желтая, размер XXL")</f>
      </c>
      <c r="C16801" s="4" t="n">
        <v>627.00</v>
      </c>
      <c r="D16801" s="4"/>
    </row>
    <row collapsed="" customFormat="false" customHeight="1" hidden="" ht="14" outlineLevel="0" r="16802">
      <c r="A16802" s="3" t="inlineStr">
        <is>
          <t>16757</t>
        </is>
      </c>
      <c r="B16802" s="4" t="s">
        <f>=HYPERLINK("http://anyluxury.ru/shop/odezhda/futbolki-dlya-promo/futbolka-e190-oranzhevaya-tu03t235/" , "TU03T235 Футболка E190 оранжевая, размер S")</f>
      </c>
      <c r="C16802" s="4" t="n">
        <v>627.00</v>
      </c>
      <c r="D16802" s="4"/>
    </row>
    <row collapsed="" customFormat="false" customHeight="1" hidden="" ht="14" outlineLevel="0" r="16803">
      <c r="A16803" s="3" t="inlineStr">
        <is>
          <t>16758</t>
        </is>
      </c>
      <c r="B16803" s="4" t="s">
        <f>=HYPERLINK("http://anyluxury.ru/shop/odezhda/futbolki-dlya-promo/futbolka-e190-oranzhevaya-tu03t235/" , "TU03T235 Футболка E190 оранжевая, размер XL")</f>
      </c>
      <c r="C16803" s="4" t="n">
        <v>627.00</v>
      </c>
      <c r="D16803" s="4"/>
    </row>
    <row collapsed="" customFormat="false" customHeight="1" hidden="" ht="14" outlineLevel="0" r="16804">
      <c r="A16804" s="3" t="inlineStr">
        <is>
          <t>16759</t>
        </is>
      </c>
      <c r="B16804" s="4" t="s">
        <f>=HYPERLINK("http://anyluxury.ru/shop/odezhda/futbolki-dlya-promo/futbolka-e190-oranzhevaya-tu03t235/" , "TU03T235 Футболка E190 оранжевая, размер XXL")</f>
      </c>
      <c r="C16804" s="4" t="n">
        <v>627.00</v>
      </c>
      <c r="D16804" s="4"/>
    </row>
    <row collapsed="" customFormat="false" customHeight="1" hidden="" ht="14" outlineLevel="0" r="16805">
      <c r="A16805" s="3" t="inlineStr">
        <is>
          <t>16760</t>
        </is>
      </c>
      <c r="B16805" s="4" t="s">
        <f>=HYPERLINK("http://anyluxury.ru/shop/odezhda/futbolki-dlya-promo/futbolka-e190-yarkosinyaya-tu03t450/" , "TU03T450 Футболка E190 ярко-синяя, размер XS")</f>
      </c>
      <c r="C16805" s="4" t="n">
        <v>627.00</v>
      </c>
      <c r="D16805" s="4"/>
    </row>
    <row collapsed="" customFormat="false" customHeight="1" hidden="" ht="14" outlineLevel="0" r="16806">
      <c r="A16806" s="3" t="inlineStr">
        <is>
          <t>16761</t>
        </is>
      </c>
      <c r="B16806" s="4" t="s">
        <f>=HYPERLINK("http://anyluxury.ru/shop/odezhda/futbolki-dlya-promo/futbolka-e190-yarkosinyaya-tu03t450/" , "TU03T450 Футболка E190 ярко-синяя, размер S")</f>
      </c>
      <c r="C16806" s="4" t="n">
        <v>627.00</v>
      </c>
      <c r="D16806" s="4"/>
    </row>
    <row collapsed="" customFormat="false" customHeight="1" hidden="" ht="14" outlineLevel="0" r="16807">
      <c r="A16807" s="3" t="inlineStr">
        <is>
          <t>16762</t>
        </is>
      </c>
      <c r="B16807" s="4" t="s">
        <f>=HYPERLINK("http://anyluxury.ru/shop/odezhda/futbolki-dlya-promo/futbolka-e190-yarkosinyaya-tu03t450/" , "TU03T450 Футболка E190 ярко-синяя, размер XL")</f>
      </c>
      <c r="C16807" s="4" t="n">
        <v>627.00</v>
      </c>
      <c r="D16807" s="4"/>
    </row>
    <row collapsed="" customFormat="false" customHeight="1" hidden="" ht="14" outlineLevel="0" r="16808">
      <c r="A16808" s="3" t="inlineStr">
        <is>
          <t>16763</t>
        </is>
      </c>
      <c r="B16808" s="4" t="s">
        <f>=HYPERLINK("http://anyluxury.ru/shop/odezhda/futbolki-dlya-promo/futbolka-e190-yarkosinyaya-tu03t450/" , "TU03T450 Футболка E190 ярко-синяя, размер XXL")</f>
      </c>
      <c r="C16808" s="4" t="n">
        <v>627.00</v>
      </c>
      <c r="D16808" s="4"/>
    </row>
    <row collapsed="" customFormat="false" customHeight="1" hidden="" ht="14" outlineLevel="0" r="16809">
      <c r="A16809" s="3" t="inlineStr">
        <is>
          <t>16764</t>
        </is>
      </c>
      <c r="B16809" s="4" t="s">
        <f>=HYPERLINK("http://anyluxury.ru/shop/odezhda/futbolki-dlya-promo/futbolka-e190-yarkosinyaya-tu03t450/" , "TU03T450 Футболка E190 ярко-синяя, размер XXXL")</f>
      </c>
      <c r="C16809" s="4" t="n">
        <v>799.00</v>
      </c>
      <c r="D16809" s="4"/>
    </row>
    <row collapsed="" customFormat="false" customHeight="1" hidden="" ht="14" outlineLevel="0" r="16810">
      <c r="A16810" s="3" t="inlineStr">
        <is>
          <t>16765</t>
        </is>
      </c>
      <c r="B16810" s="4" t="s">
        <f>=HYPERLINK("http://anyluxury.ru/shop/odezhda/futbolki-dlya-promo/futbolka-e190-zelenaya-tu03t520/" , "TU03T520 Футболка E190 зеленая, размер S")</f>
      </c>
      <c r="C16810" s="4" t="n">
        <v>627.00</v>
      </c>
      <c r="D16810" s="4"/>
    </row>
    <row collapsed="" customFormat="false" customHeight="1" hidden="" ht="14" outlineLevel="0" r="16811">
      <c r="A16811" s="3" t="inlineStr">
        <is>
          <t>16766</t>
        </is>
      </c>
      <c r="B16811" s="4" t="s">
        <f>=HYPERLINK("http://anyluxury.ru/shop/odezhda/futbolki-dlya-promo/futbolka-e190-zelenaya-tu03t520/" , "TU03T520 Футболка E190 зеленая, размер M")</f>
      </c>
      <c r="C16811" s="4" t="n">
        <v>627.00</v>
      </c>
      <c r="D16811" s="4"/>
    </row>
    <row collapsed="" customFormat="false" customHeight="1" hidden="" ht="14" outlineLevel="0" r="16812">
      <c r="A16812" s="3" t="inlineStr">
        <is>
          <t>16767</t>
        </is>
      </c>
      <c r="B16812" s="4" t="s">
        <f>=HYPERLINK("http://anyluxury.ru/shop/odezhda/futbolki-dlya-promo/futbolka-e190-zelenaya-tu03t520/" , "TU03T520 Футболка E190 зеленая, размер XXL")</f>
      </c>
      <c r="C16812" s="4" t="n">
        <v>627.00</v>
      </c>
      <c r="D16812" s="4"/>
    </row>
    <row collapsed="" customFormat="false" customHeight="1" hidden="" ht="14" outlineLevel="0" r="16813">
      <c r="A16813" s="3" t="inlineStr">
        <is>
          <t>16768</t>
        </is>
      </c>
      <c r="B16813" s="4" t="s">
        <f>=HYPERLINK("http://anyluxury.ru/shop/odezhda/futbolki-dlya-promo/futbolka-e190-seriy-melanzh-tu03t620/" , "TU03T620 Футболка E190 серый меланж, размер S")</f>
      </c>
      <c r="C16813" s="4" t="n">
        <v>627.00</v>
      </c>
      <c r="D16813" s="4"/>
    </row>
    <row collapsed="" customFormat="false" customHeight="1" hidden="" ht="14" outlineLevel="0" r="16814">
      <c r="A16814" s="3" t="inlineStr">
        <is>
          <t>16769</t>
        </is>
      </c>
      <c r="B16814" s="4" t="s">
        <f>=HYPERLINK("http://anyluxury.ru/shop/odezhda/futbolki-dlya-promo/futbolka-e190-seriy-melanzh-tu03t620/" , "TU03T620 Футболка E190 серый меланж, размер XXL")</f>
      </c>
      <c r="C16814" s="4" t="n">
        <v>627.00</v>
      </c>
      <c r="D16814" s="4"/>
    </row>
    <row collapsed="" customFormat="false" customHeight="1" hidden="" ht="14" outlineLevel="0" r="16815">
      <c r="A16815" s="3" t="inlineStr">
        <is>
          <t>16770</t>
        </is>
      </c>
      <c r="B16815" s="4" t="s">
        <f>=HYPERLINK("http://anyluxury.ru/shop/odezhda/futbolki-dlya-promo/futbolka-zhenskaya-e150-belaya-tw02t001/" , "TW02T001 Футболка E150 женская белая, размер XL")</f>
      </c>
      <c r="C16815" s="4" t="n">
        <v>463.00</v>
      </c>
      <c r="D16815" s="4"/>
    </row>
    <row collapsed="" customFormat="false" customHeight="1" hidden="" ht="14" outlineLevel="0" r="16816">
      <c r="A16816" s="3" t="inlineStr">
        <is>
          <t>16771</t>
        </is>
      </c>
      <c r="B16816" s="4" t="s">
        <f>=HYPERLINK("http://anyluxury.ru/shop/odezhda/futbolki-dlya-promo/futbolka-zhenskaya-e150-chernaya-tw02t002/" , "TW02T002 Футболка E150 женская черная, размер XS")</f>
      </c>
      <c r="C16816" s="4" t="n">
        <v>564.00</v>
      </c>
      <c r="D16816" s="4"/>
    </row>
    <row collapsed="" customFormat="false" customHeight="1" hidden="" ht="14" outlineLevel="0" r="16817">
      <c r="A16817" s="3" t="inlineStr">
        <is>
          <t>16772</t>
        </is>
      </c>
      <c r="B16817" s="4" t="s">
        <f>=HYPERLINK("http://anyluxury.ru/shop/odezhda/futbolki-dlya-promo/futbolka-zhenskaya-e150-chernaya-tw02t002/" , "TW02T002 Футболка E150 женская черная, размер S")</f>
      </c>
      <c r="C16817" s="4" t="n">
        <v>564.00</v>
      </c>
      <c r="D16817" s="4"/>
    </row>
    <row collapsed="" customFormat="false" customHeight="1" hidden="" ht="14" outlineLevel="0" r="16818">
      <c r="A16818" s="3" t="inlineStr">
        <is>
          <t>16773</t>
        </is>
      </c>
      <c r="B16818" s="4" t="s">
        <f>=HYPERLINK("http://anyluxury.ru/shop/odezhda/futbolki-dlya-promo/futbolka-zhenskaya-e150-chernaya-tw02t002/" , "TW02T002 Футболка E150 женская черная, размер XL")</f>
      </c>
      <c r="C16818" s="4" t="n">
        <v>564.00</v>
      </c>
      <c r="D16818" s="4"/>
    </row>
    <row collapsed="" customFormat="false" customHeight="1" hidden="" ht="14" outlineLevel="0" r="16819">
      <c r="A16819" s="3" t="inlineStr">
        <is>
          <t>16774</t>
        </is>
      </c>
      <c r="B16819" s="4" t="s">
        <f>=HYPERLINK("http://anyluxury.ru/shop/odezhda/futbolki-dlya-promo/futbolka-zhenskaya-e150-chernaya-tw02t002/" , "TW02T002 Футболка E150 женская черная, размер XXL")</f>
      </c>
      <c r="C16819" s="4" t="n">
        <v>564.00</v>
      </c>
      <c r="D16819" s="4"/>
    </row>
    <row collapsed="" customFormat="false" customHeight="1" hidden="" ht="14" outlineLevel="0" r="16820">
      <c r="A16820" s="3" t="inlineStr">
        <is>
          <t>16775</t>
        </is>
      </c>
      <c r="B16820" s="4" t="s">
        <f>=HYPERLINK("http://anyluxury.ru/shop/odezhda/futbolki-dlya-promo/futbolka-zhenskaya-e150-chernaya-tw02t002/" , "TW02T002 Футболка E150 женская черная, размер 3XL")</f>
      </c>
      <c r="C16820" s="4" t="n">
        <v>721.00</v>
      </c>
      <c r="D16820" s="4"/>
    </row>
    <row collapsed="" customFormat="false" customHeight="1" hidden="" ht="14" outlineLevel="0" r="16821">
      <c r="A16821" s="3" t="inlineStr">
        <is>
          <t>16776</t>
        </is>
      </c>
      <c r="B16821" s="4" t="s">
        <f>=HYPERLINK("http://anyluxury.ru/shop/odezhda/futbolki-dlya-promo/futbolka-zhenskaya-e150-krasnaya-tw02t004/" , "TW02T004 Футболка E150 женская красная, размер XS")</f>
      </c>
      <c r="C16821" s="4" t="n">
        <v>564.00</v>
      </c>
      <c r="D16821" s="4"/>
    </row>
    <row collapsed="" customFormat="false" customHeight="1" hidden="" ht="14" outlineLevel="0" r="16822">
      <c r="A16822" s="3" t="inlineStr">
        <is>
          <t>16777</t>
        </is>
      </c>
      <c r="B16822" s="4" t="s">
        <f>=HYPERLINK("http://anyluxury.ru/shop/odezhda/futbolki-dlya-promo/futbolka-zhenskaya-e150-krasnaya-tw02t004/" , "TW02T004 Футболка E150 женская красная, размер S")</f>
      </c>
      <c r="C16822" s="4" t="n">
        <v>564.00</v>
      </c>
      <c r="D16822" s="4"/>
    </row>
    <row collapsed="" customFormat="false" customHeight="1" hidden="" ht="14" outlineLevel="0" r="16823">
      <c r="A16823" s="3" t="inlineStr">
        <is>
          <t>16778</t>
        </is>
      </c>
      <c r="B16823" s="4" t="s">
        <f>=HYPERLINK("http://anyluxury.ru/shop/odezhda/futbolki-dlya-promo/futbolka-zhenskaya-e150-krasnaya-tw02t004/" , "TW02T004 Футболка E150 женская красная, размер M")</f>
      </c>
      <c r="C16823" s="4" t="n">
        <v>564.00</v>
      </c>
      <c r="D16823" s="4"/>
    </row>
    <row collapsed="" customFormat="false" customHeight="1" hidden="" ht="14" outlineLevel="0" r="16824">
      <c r="A16824" s="3" t="inlineStr">
        <is>
          <t>16779</t>
        </is>
      </c>
      <c r="B16824" s="4" t="s">
        <f>=HYPERLINK("http://anyluxury.ru/shop/odezhda/futbolki-dlya-promo/futbolka-zhenskaya-e150-krasnaya-tw02t004/" , "TW02T004 Футболка E150 женская красная, размер L")</f>
      </c>
      <c r="C16824" s="4" t="n">
        <v>564.00</v>
      </c>
      <c r="D16824" s="4"/>
    </row>
    <row collapsed="" customFormat="false" customHeight="1" hidden="" ht="14" outlineLevel="0" r="16825">
      <c r="A16825" s="3" t="inlineStr">
        <is>
          <t>16780</t>
        </is>
      </c>
      <c r="B16825" s="4" t="s">
        <f>=HYPERLINK("http://anyluxury.ru/shop/odezhda/futbolki-dlya-promo/futbolka-zhenskaya-e150-krasnaya-tw02t004/" , "TW02T004 Футболка E150 женская красная, размер XL")</f>
      </c>
      <c r="C16825" s="4" t="n">
        <v>564.00</v>
      </c>
      <c r="D16825" s="4"/>
    </row>
    <row collapsed="" customFormat="false" customHeight="1" hidden="" ht="14" outlineLevel="0" r="16826">
      <c r="A16826" s="3" t="inlineStr">
        <is>
          <t>16781</t>
        </is>
      </c>
      <c r="B16826" s="4" t="s">
        <f>=HYPERLINK("http://anyluxury.ru/shop/odezhda/futbolki-dlya-promo/futbolka-zhenskaya-e150-krasnaya-tw02t004/" , "TW02T004 Футболка E150 женская красная, размер 3XL")</f>
      </c>
      <c r="C16826" s="4" t="n">
        <v>721.00</v>
      </c>
      <c r="D16826" s="4"/>
    </row>
    <row collapsed="" customFormat="false" customHeight="1" hidden="" ht="14" outlineLevel="0" r="16827">
      <c r="A16827" s="3" t="inlineStr">
        <is>
          <t>16782</t>
        </is>
      </c>
      <c r="B16827" s="4" t="s">
        <f>=HYPERLINK("http://anyluxury.ru/shop/odezhda/futbolki-dlya-promo/futbolka-zhenskaya-e150-zheltaya-tw02t210/" , "TW02T210 Футболка E150 женская желтая, размер S")</f>
      </c>
      <c r="C16827" s="4" t="n">
        <v>564.00</v>
      </c>
      <c r="D16827" s="4"/>
    </row>
    <row collapsed="" customFormat="false" customHeight="1" hidden="" ht="14" outlineLevel="0" r="16828">
      <c r="A16828" s="3" t="inlineStr">
        <is>
          <t>16783</t>
        </is>
      </c>
      <c r="B16828" s="4" t="s">
        <f>=HYPERLINK("http://anyluxury.ru/shop/odezhda/futbolki-dlya-promo/futbolka-zhenskaya-e150-zheltaya-tw02t210/" , "TW02T210 Футболка E150 женская желтая, размер M")</f>
      </c>
      <c r="C16828" s="4" t="n">
        <v>564.00</v>
      </c>
      <c r="D16828" s="4"/>
    </row>
    <row collapsed="" customFormat="false" customHeight="1" hidden="" ht="14" outlineLevel="0" r="16829">
      <c r="A16829" s="3" t="inlineStr">
        <is>
          <t>16784</t>
        </is>
      </c>
      <c r="B16829" s="4" t="s">
        <f>=HYPERLINK("http://anyluxury.ru/shop/odezhda/futbolki-dlya-promo/futbolka-zhenskaya-e150-zheltaya-tw02t210/" , "TW02T210 Футболка E150 женская желтая, размер L")</f>
      </c>
      <c r="C16829" s="4" t="n">
        <v>564.00</v>
      </c>
      <c r="D16829" s="4"/>
    </row>
    <row collapsed="" customFormat="false" customHeight="1" hidden="" ht="14" outlineLevel="0" r="16830">
      <c r="A16830" s="3" t="inlineStr">
        <is>
          <t>16785</t>
        </is>
      </c>
      <c r="B16830" s="4" t="s">
        <f>=HYPERLINK("http://anyluxury.ru/shop/odezhda/futbolki-dlya-promo/futbolka-zhenskaya-e150-zheltaya-tw02t210/" , "TW02T210 Футболка E150 женская желтая, размер XL")</f>
      </c>
      <c r="C16830" s="4" t="n">
        <v>564.00</v>
      </c>
      <c r="D16830" s="4"/>
    </row>
    <row collapsed="" customFormat="false" customHeight="1" hidden="" ht="14" outlineLevel="0" r="16831">
      <c r="A16831" s="3" t="inlineStr">
        <is>
          <t>16786</t>
        </is>
      </c>
      <c r="B16831" s="4" t="s">
        <f>=HYPERLINK("http://anyluxury.ru/shop/odezhda/futbolki-dlya-promo/futbolka-zhenskaya-e150-zheltaya-tw02t210/" , "TW02T210 Футболка E150 женская желтая, размер XXL")</f>
      </c>
      <c r="C16831" s="4" t="n">
        <v>564.00</v>
      </c>
      <c r="D16831" s="4"/>
    </row>
    <row collapsed="" customFormat="false" customHeight="1" hidden="" ht="14" outlineLevel="0" r="16832">
      <c r="A16832" s="3" t="inlineStr">
        <is>
          <t>16787</t>
        </is>
      </c>
      <c r="B16832" s="4" t="s">
        <f>=HYPERLINK("http://anyluxury.ru/shop/odezhda/futbolki-dlya-promo/futbolka-zhenskaya-e150-zheltaya-tw02t210/" , "TW02T210 Футболка E150 женская желтая, размер XS")</f>
      </c>
      <c r="C16832" s="4" t="n">
        <v>564.00</v>
      </c>
      <c r="D16832" s="4"/>
    </row>
    <row collapsed="" customFormat="false" customHeight="1" hidden="" ht="14" outlineLevel="0" r="16833">
      <c r="A16833" s="3" t="inlineStr">
        <is>
          <t>16788</t>
        </is>
      </c>
      <c r="B16833" s="4" t="s">
        <f>=HYPERLINK("http://anyluxury.ru/shop/odezhda/futbolki-dlya-promo/futbolka-zhenskaya-e150-oranzhevaya-tw02t235/" , "TW02T235 Футболка E150 женская оранжевая, размер S")</f>
      </c>
      <c r="C16833" s="4" t="n">
        <v>564.00</v>
      </c>
      <c r="D16833" s="4"/>
    </row>
    <row collapsed="" customFormat="false" customHeight="1" hidden="" ht="14" outlineLevel="0" r="16834">
      <c r="A16834" s="3" t="inlineStr">
        <is>
          <t>16789</t>
        </is>
      </c>
      <c r="B16834" s="4" t="s">
        <f>=HYPERLINK("http://anyluxury.ru/shop/odezhda/futbolki-dlya-promo/futbolka-zhenskaya-e150-oranzhevaya-tw02t235/" , "TW02T235 Футболка E150 женская оранжевая, размер M")</f>
      </c>
      <c r="C16834" s="4" t="n">
        <v>564.00</v>
      </c>
      <c r="D16834" s="4"/>
    </row>
    <row collapsed="" customFormat="false" customHeight="1" hidden="" ht="14" outlineLevel="0" r="16835">
      <c r="A16835" s="3" t="inlineStr">
        <is>
          <t>16790</t>
        </is>
      </c>
      <c r="B16835" s="4" t="s">
        <f>=HYPERLINK("http://anyluxury.ru/shop/odezhda/futbolki-dlya-promo/futbolka-zhenskaya-e150-oranzhevaya-tw02t235/" , "TW02T235 Футболка E150 женская оранжевая, размер L")</f>
      </c>
      <c r="C16835" s="4" t="n">
        <v>564.00</v>
      </c>
      <c r="D16835" s="4"/>
    </row>
    <row collapsed="" customFormat="false" customHeight="1" hidden="" ht="14" outlineLevel="0" r="16836">
      <c r="A16836" s="3" t="inlineStr">
        <is>
          <t>16791</t>
        </is>
      </c>
      <c r="B16836" s="4" t="s">
        <f>=HYPERLINK("http://anyluxury.ru/shop/odezhda/futbolki-dlya-promo/futbolka-zhenskaya-e150-oranzhevaya-tw02t235/" , "TW02T235 Футболка E150 женская оранжевая, размер XL")</f>
      </c>
      <c r="C16836" s="4" t="n">
        <v>564.00</v>
      </c>
      <c r="D16836" s="4"/>
    </row>
    <row collapsed="" customFormat="false" customHeight="1" hidden="" ht="14" outlineLevel="0" r="16837">
      <c r="A16837" s="3" t="inlineStr">
        <is>
          <t>16792</t>
        </is>
      </c>
      <c r="B16837" s="4" t="s">
        <f>=HYPERLINK("http://anyluxury.ru/shop/odezhda/futbolki-dlya-promo/futbolka-zhenskaya-e150-oranzhevaya-tw02t235/" , "TW02T235 Футболка E150 женская оранжевая, размер XXL")</f>
      </c>
      <c r="C16837" s="4" t="n">
        <v>564.00</v>
      </c>
      <c r="D16837" s="4"/>
    </row>
    <row collapsed="" customFormat="false" customHeight="1" hidden="" ht="14" outlineLevel="0" r="16838">
      <c r="A16838" s="3" t="inlineStr">
        <is>
          <t>16793</t>
        </is>
      </c>
      <c r="B16838" s="4" t="s">
        <f>=HYPERLINK("http://anyluxury.ru/shop/odezhda/futbolki-dlya-promo/futbolka-zhenskaya-e150-oranzhevaya-tw02t235/" , "TW02T235 Футболка E150 женская оранжевая, размер XS")</f>
      </c>
      <c r="C16838" s="4" t="n">
        <v>564.00</v>
      </c>
      <c r="D16838" s="4"/>
    </row>
    <row collapsed="" customFormat="false" customHeight="1" hidden="" ht="14" outlineLevel="0" r="16839">
      <c r="A16839" s="3" t="inlineStr">
        <is>
          <t>16794</t>
        </is>
      </c>
      <c r="B16839" s="4" t="s">
        <f>=HYPERLINK("http://anyluxury.ru/shop/odezhda/futbolki-dlya-promo/futbolka-zhenskaya-e150-yarkosinyaya-tw02t450/" , "TW02T450 Футболка E150 женская ярко-синяя, размер XS")</f>
      </c>
      <c r="C16839" s="4" t="n">
        <v>564.00</v>
      </c>
      <c r="D16839" s="4"/>
    </row>
    <row collapsed="" customFormat="false" customHeight="1" hidden="" ht="14" outlineLevel="0" r="16840">
      <c r="A16840" s="3" t="inlineStr">
        <is>
          <t>16795</t>
        </is>
      </c>
      <c r="B16840" s="4" t="s">
        <f>=HYPERLINK("http://anyluxury.ru/shop/odezhda/futbolki-dlya-promo/futbolka-zhenskaya-e150-yarkosinyaya-tw02t450/" , "TW02T450 Футболка E150 женская ярко-синяя, размер S")</f>
      </c>
      <c r="C16840" s="4" t="n">
        <v>564.00</v>
      </c>
      <c r="D16840" s="4"/>
    </row>
    <row collapsed="" customFormat="false" customHeight="1" hidden="" ht="14" outlineLevel="0" r="16841">
      <c r="A16841" s="3" t="inlineStr">
        <is>
          <t>16796</t>
        </is>
      </c>
      <c r="B16841" s="4" t="s">
        <f>=HYPERLINK("http://anyluxury.ru/shop/odezhda/futbolki-dlya-promo/futbolka-zhenskaya-e150-yarkosinyaya-tw02t450/" , "TW02T450 Футболка E150 женская ярко-синяя, размер M")</f>
      </c>
      <c r="C16841" s="4" t="n">
        <v>564.00</v>
      </c>
      <c r="D16841" s="4"/>
    </row>
    <row collapsed="" customFormat="false" customHeight="1" hidden="" ht="14" outlineLevel="0" r="16842">
      <c r="A16842" s="3" t="inlineStr">
        <is>
          <t>16797</t>
        </is>
      </c>
      <c r="B16842" s="4" t="s">
        <f>=HYPERLINK("http://anyluxury.ru/shop/odezhda/futbolki-dlya-promo/futbolka-zhenskaya-e150-yarkosinyaya-tw02t450/" , "TW02T450 Футболка E150 женская ярко-синяя, размер L")</f>
      </c>
      <c r="C16842" s="4" t="n">
        <v>564.00</v>
      </c>
      <c r="D16842" s="4"/>
    </row>
    <row collapsed="" customFormat="false" customHeight="1" hidden="" ht="14" outlineLevel="0" r="16843">
      <c r="A16843" s="3" t="inlineStr">
        <is>
          <t>16798</t>
        </is>
      </c>
      <c r="B16843" s="4" t="s">
        <f>=HYPERLINK("http://anyluxury.ru/shop/odezhda/futbolki-dlya-promo/futbolka-zhenskaya-e150-yarkosinyaya-tw02t450/" , "TW02T450 Футболка E150 женская ярко-синяя, размер XL")</f>
      </c>
      <c r="C16843" s="4" t="n">
        <v>564.00</v>
      </c>
      <c r="D16843" s="4"/>
    </row>
    <row collapsed="" customFormat="false" customHeight="1" hidden="" ht="14" outlineLevel="0" r="16844">
      <c r="A16844" s="3" t="inlineStr">
        <is>
          <t>16799</t>
        </is>
      </c>
      <c r="B16844" s="4" t="s">
        <f>=HYPERLINK("http://anyluxury.ru/shop/odezhda/futbolki-dlya-promo/futbolka-zhenskaya-e150-yarkosinyaya-tw02t450/" , "TW02T450 Футболка E150 женская ярко-синяя, размер XXL")</f>
      </c>
      <c r="C16844" s="4" t="n">
        <v>564.00</v>
      </c>
      <c r="D16844" s="4"/>
    </row>
    <row collapsed="" customFormat="false" customHeight="1" hidden="" ht="14" outlineLevel="0" r="16845">
      <c r="A16845" s="3" t="inlineStr">
        <is>
          <t>16800</t>
        </is>
      </c>
      <c r="B16845" s="4" t="s">
        <f>=HYPERLINK("http://anyluxury.ru/shop/odezhda/futbolki-dlya-promo/futbolka-zhenskaya-e150-yarkosinyaya-tw02t450/" , "TW02T450 Футболка E150 женская ярко-синяя, размер 3XL")</f>
      </c>
      <c r="C16845" s="4" t="n">
        <v>721.00</v>
      </c>
      <c r="D16845" s="4"/>
    </row>
    <row collapsed="" customFormat="false" customHeight="1" hidden="" ht="14" outlineLevel="0" r="16846">
      <c r="A16846" s="3" t="inlineStr">
        <is>
          <t>16801</t>
        </is>
      </c>
      <c r="B16846" s="4" t="s">
        <f>=HYPERLINK("http://anyluxury.ru/shop/odezhda/futbolki-dlya-promo/futbolka-zhenskaya-e150-zelenoe-yabloko-tw02t511/" , "TW02T511 Футболка E150 женская зеленое яблоко, размер S")</f>
      </c>
      <c r="C16846" s="4" t="n">
        <v>564.00</v>
      </c>
      <c r="D16846" s="4"/>
    </row>
    <row collapsed="" customFormat="false" customHeight="1" hidden="" ht="14" outlineLevel="0" r="16847">
      <c r="A16847" s="3" t="inlineStr">
        <is>
          <t>16802</t>
        </is>
      </c>
      <c r="B16847" s="4" t="s">
        <f>=HYPERLINK("http://anyluxury.ru/shop/odezhda/futbolki-dlya-promo/futbolka-zhenskaya-e150-zelenoe-yabloko-tw02t511/" , "TW02T511 Футболка E150 женская зеленое яблоко, размер M")</f>
      </c>
      <c r="C16847" s="4" t="n">
        <v>564.00</v>
      </c>
      <c r="D16847" s="4"/>
    </row>
    <row collapsed="" customFormat="false" customHeight="1" hidden="" ht="14" outlineLevel="0" r="16848">
      <c r="A16848" s="3" t="inlineStr">
        <is>
          <t>16803</t>
        </is>
      </c>
      <c r="B16848" s="4" t="s">
        <f>=HYPERLINK("http://anyluxury.ru/shop/odezhda/futbolki-dlya-promo/futbolka-zhenskaya-e150-zelenoe-yabloko-tw02t511/" , "TW02T511 Футболка E150 женская зеленое яблоко, размер L")</f>
      </c>
      <c r="C16848" s="4" t="n">
        <v>564.00</v>
      </c>
      <c r="D16848" s="4"/>
    </row>
    <row collapsed="" customFormat="false" customHeight="1" hidden="" ht="14" outlineLevel="0" r="16849">
      <c r="A16849" s="3" t="inlineStr">
        <is>
          <t>16804</t>
        </is>
      </c>
      <c r="B16849" s="4" t="s">
        <f>=HYPERLINK("http://anyluxury.ru/shop/odezhda/futbolki-dlya-promo/futbolka-zhenskaya-e150-zelenoe-yabloko-tw02t511/" , "TW02T511 Футболка E150 женская зеленое яблоко, размер XL")</f>
      </c>
      <c r="C16849" s="4" t="n">
        <v>564.00</v>
      </c>
      <c r="D16849" s="4"/>
    </row>
    <row collapsed="" customFormat="false" customHeight="1" hidden="" ht="14" outlineLevel="0" r="16850">
      <c r="A16850" s="3" t="inlineStr">
        <is>
          <t>16805</t>
        </is>
      </c>
      <c r="B16850" s="4" t="s">
        <f>=HYPERLINK("http://anyluxury.ru/shop/odezhda/futbolki-dlya-promo/futbolka-zhenskaya-e150-zelenoe-yabloko-tw02t511/" , "TW02T511 Футболка E150 женская зеленое яблоко, размер XS")</f>
      </c>
      <c r="C16850" s="4" t="n">
        <v>564.00</v>
      </c>
      <c r="D16850" s="4"/>
    </row>
    <row collapsed="" customFormat="false" customHeight="1" hidden="" ht="14" outlineLevel="0" r="16851">
      <c r="A16851" s="3" t="inlineStr">
        <is>
          <t>16806</t>
        </is>
      </c>
      <c r="B16851" s="4" t="s">
        <f>=HYPERLINK("http://anyluxury.ru/shop/odezhda/futbolki-dlya-promo/futbolka-zhenskaya-e150-zelenoe-yabloko-tw02t511/" , "TW02T511 Футболка E150 женская зеленое яблоко, размер XXL")</f>
      </c>
      <c r="C16851" s="4" t="n">
        <v>564.00</v>
      </c>
      <c r="D16851" s="4"/>
    </row>
    <row collapsed="" customFormat="false" customHeight="1" hidden="" ht="14" outlineLevel="0" r="16852">
      <c r="A16852" s="3" t="inlineStr">
        <is>
          <t>16807</t>
        </is>
      </c>
      <c r="B16852" s="4" t="s">
        <f>=HYPERLINK("http://anyluxury.ru/shop/odezhda/futbolki-dlya-promo/futbolka-zhenskaya-e150-zelenaya-tw02t520/" , "TW02T520 Футболка E150 женская зеленая, размер S")</f>
      </c>
      <c r="C16852" s="4" t="n">
        <v>564.00</v>
      </c>
      <c r="D16852" s="4"/>
    </row>
    <row collapsed="" customFormat="false" customHeight="1" hidden="" ht="14" outlineLevel="0" r="16853">
      <c r="A16853" s="3" t="inlineStr">
        <is>
          <t>16808</t>
        </is>
      </c>
      <c r="B16853" s="4" t="s">
        <f>=HYPERLINK("http://anyluxury.ru/shop/odezhda/futbolki-dlya-promo/futbolka-zhenskaya-e150-zelenaya-tw02t520/" , "TW02T520 Футболка E150 женская зеленая, размер M")</f>
      </c>
      <c r="C16853" s="4" t="n">
        <v>564.00</v>
      </c>
      <c r="D16853" s="4"/>
    </row>
    <row collapsed="" customFormat="false" customHeight="1" hidden="" ht="14" outlineLevel="0" r="16854">
      <c r="A16854" s="3" t="inlineStr">
        <is>
          <t>16809</t>
        </is>
      </c>
      <c r="B16854" s="4" t="s">
        <f>=HYPERLINK("http://anyluxury.ru/shop/odezhda/futbolki-dlya-promo/futbolka-zhenskaya-e150-zelenaya-tw02t520/" , "TW02T520 Футболка E150 женская зеленая, размер L")</f>
      </c>
      <c r="C16854" s="4" t="n">
        <v>564.00</v>
      </c>
      <c r="D16854" s="4"/>
    </row>
    <row collapsed="" customFormat="false" customHeight="1" hidden="" ht="14" outlineLevel="0" r="16855">
      <c r="A16855" s="3" t="inlineStr">
        <is>
          <t>16810</t>
        </is>
      </c>
      <c r="B16855" s="4" t="s">
        <f>=HYPERLINK("http://anyluxury.ru/shop/odezhda/futbolki-dlya-promo/futbolka-zhenskaya-e150-zelenaya-tw02t520/" , "TW02T520 Футболка E150 женская зеленая, размер XL")</f>
      </c>
      <c r="C16855" s="4" t="n">
        <v>564.00</v>
      </c>
      <c r="D16855" s="4"/>
    </row>
    <row collapsed="" customFormat="false" customHeight="1" hidden="" ht="14" outlineLevel="0" r="16856">
      <c r="A16856" s="3" t="inlineStr">
        <is>
          <t>16811</t>
        </is>
      </c>
      <c r="B16856" s="4" t="s">
        <f>=HYPERLINK("http://anyluxury.ru/shop/odezhda/futbolki-dlya-promo/futbolka-zhenskaya-e150-zelenaya-tw02t520/" , "TW02T520 Футболка E150 женская зеленая, размер XXL")</f>
      </c>
      <c r="C16856" s="4" t="n">
        <v>564.00</v>
      </c>
      <c r="D16856" s="4"/>
    </row>
    <row collapsed="" customFormat="false" customHeight="1" hidden="" ht="14" outlineLevel="0" r="16857">
      <c r="A16857" s="3" t="inlineStr">
        <is>
          <t>16812</t>
        </is>
      </c>
      <c r="B16857" s="4" t="s">
        <f>=HYPERLINK("http://anyluxury.ru/shop/odezhda/futbolki-dlya-promo/futbolka-zhenskaya-e150-zelenaya-tw02t520/" , "TW02T520 Футболка E150 женская зеленая, размер XS")</f>
      </c>
      <c r="C16857" s="4" t="n">
        <v>564.00</v>
      </c>
      <c r="D16857" s="4"/>
    </row>
    <row collapsed="" customFormat="false" customHeight="1" hidden="" ht="14" outlineLevel="0" r="16858">
      <c r="A16858" s="3" t="inlineStr">
        <is>
          <t>16813</t>
        </is>
      </c>
      <c r="B16858" s="4" t="s">
        <f>=HYPERLINK("http://anyluxury.ru/shop/odezhda/futbolki-dlya-promo/futbolka-zhenskaya-e150-seriy-melanzh-tw02t620/" , "TW02T620 Футболка E150 женская серый меланж, размер S")</f>
      </c>
      <c r="C16858" s="4" t="n">
        <v>564.00</v>
      </c>
      <c r="D16858" s="4"/>
    </row>
    <row collapsed="" customFormat="false" customHeight="1" hidden="" ht="14" outlineLevel="0" r="16859">
      <c r="A16859" s="3" t="inlineStr">
        <is>
          <t>16814</t>
        </is>
      </c>
      <c r="B16859" s="4" t="s">
        <f>=HYPERLINK("http://anyluxury.ru/shop/odezhda/futbolki-dlya-promo/futbolka-zhenskaya-e150-seriy-melanzh-tw02t620/" , "TW02T620 Футболка E150 женская серый меланж, размер M")</f>
      </c>
      <c r="C16859" s="4" t="n">
        <v>564.00</v>
      </c>
      <c r="D16859" s="4"/>
    </row>
    <row collapsed="" customFormat="false" customHeight="1" hidden="" ht="14" outlineLevel="0" r="16860">
      <c r="A16860" s="3" t="inlineStr">
        <is>
          <t>16815</t>
        </is>
      </c>
      <c r="B16860" s="4" t="s">
        <f>=HYPERLINK("http://anyluxury.ru/shop/odezhda/futbolki-dlya-promo/futbolka-zhenskaya-e150-seriy-melanzh-tw02t620/" , "TW02T620 Футболка E150 женская серый меланж, размер XS")</f>
      </c>
      <c r="C16860" s="4" t="n">
        <v>564.00</v>
      </c>
      <c r="D16860" s="4"/>
    </row>
    <row collapsed="" customFormat="false" customHeight="1" hidden="" ht="14" outlineLevel="0" r="16861">
      <c r="A16861" s="3" t="inlineStr">
        <is>
          <t>16816</t>
        </is>
      </c>
      <c r="B16861" s="4" t="s">
        <f>=HYPERLINK("http://anyluxury.ru/shop/odezhda/futbolki-dlya-promo/futbolka-zhenskaya-e190-belaya-tw04t001/" , "TW04T001 Футболка E190 женская белая, размер S")</f>
      </c>
      <c r="C16861" s="4" t="n">
        <v>550.00</v>
      </c>
      <c r="D16861" s="4"/>
    </row>
    <row collapsed="" customFormat="false" customHeight="1" hidden="" ht="14" outlineLevel="0" r="16862">
      <c r="A16862" s="3" t="inlineStr">
        <is>
          <t>16817</t>
        </is>
      </c>
      <c r="B16862" s="4" t="s">
        <f>=HYPERLINK("http://anyluxury.ru/shop/odezhda/futbolki-dlya-promo/futbolka-zhenskaya-e190-belaya-tw04t001/" , "TW04T001 Футболка E190 женская белая, размер L")</f>
      </c>
      <c r="C16862" s="4" t="n">
        <v>550.00</v>
      </c>
      <c r="D16862" s="4"/>
    </row>
    <row collapsed="" customFormat="false" customHeight="1" hidden="" ht="14" outlineLevel="0" r="16863">
      <c r="A16863" s="3" t="inlineStr">
        <is>
          <t>16818</t>
        </is>
      </c>
      <c r="B16863" s="4" t="s">
        <f>=HYPERLINK("http://anyluxury.ru/shop/odezhda/futbolki-dlya-promo/futbolka-zhenskaya-e190-belaya-tw04t001/" , "TW04T001 Футболка E190 женская белая, размер XL")</f>
      </c>
      <c r="C16863" s="4" t="n">
        <v>550.00</v>
      </c>
      <c r="D16863" s="4"/>
    </row>
    <row collapsed="" customFormat="false" customHeight="1" hidden="" ht="14" outlineLevel="0" r="16864">
      <c r="A16864" s="3" t="inlineStr">
        <is>
          <t>16819</t>
        </is>
      </c>
      <c r="B16864" s="4" t="s">
        <f>=HYPERLINK("http://anyluxury.ru/shop/odezhda/futbolki-dlya-promo/futbolka-zhenskaya-e190-belaya-tw04t001/" , "TW04T001 Футболка E190 женская белая, размер XXL")</f>
      </c>
      <c r="C16864" s="4" t="n">
        <v>550.00</v>
      </c>
      <c r="D16864" s="4"/>
    </row>
    <row collapsed="" customFormat="false" customHeight="1" hidden="" ht="14" outlineLevel="0" r="16865">
      <c r="A16865" s="3" t="inlineStr">
        <is>
          <t>16820</t>
        </is>
      </c>
      <c r="B16865" s="4" t="s">
        <f>=HYPERLINK("http://anyluxury.ru/shop/odezhda/futbolki-dlya-promo/futbolka-zhenskaya-e190-belaya-tw04t001/" , "TW04T001 Футболка E190 женская белая, размер 3XL")</f>
      </c>
      <c r="C16865" s="4" t="n">
        <v>550.00</v>
      </c>
      <c r="D16865" s="4"/>
    </row>
    <row collapsed="" customFormat="false" customHeight="1" hidden="" ht="14" outlineLevel="0" r="16866">
      <c r="A16866" s="3" t="inlineStr">
        <is>
          <t>16821</t>
        </is>
      </c>
      <c r="B16866" s="4" t="s">
        <f>=HYPERLINK("http://anyluxury.ru/shop/odezhda/futbolki-dlya-promo/futbolka-zhenskaya-e190-chernaya-tw04t002/" , "TW04T002 Футболка E190 женская черная, размер L")</f>
      </c>
      <c r="C16866" s="4" t="n">
        <v>644.00</v>
      </c>
      <c r="D16866" s="4"/>
    </row>
    <row collapsed="" customFormat="false" customHeight="1" hidden="" ht="14" outlineLevel="0" r="16867">
      <c r="A16867" s="3" t="inlineStr">
        <is>
          <t>16822</t>
        </is>
      </c>
      <c r="B16867" s="4" t="s">
        <f>=HYPERLINK("http://anyluxury.ru/shop/odezhda/futbolki-dlya-promo/futbolka-zhenskaya-e190-chernaya-tw04t002/" , "TW04T002 Футболка E190 женская черная, размер XL")</f>
      </c>
      <c r="C16867" s="4" t="n">
        <v>644.00</v>
      </c>
      <c r="D16867" s="4"/>
    </row>
    <row collapsed="" customFormat="false" customHeight="1" hidden="" ht="14" outlineLevel="0" r="16868">
      <c r="A16868" s="3" t="inlineStr">
        <is>
          <t>16823</t>
        </is>
      </c>
      <c r="B16868" s="4" t="s">
        <f>=HYPERLINK("http://anyluxury.ru/shop/odezhda/futbolki-dlya-promo/futbolka-zhenskaya-e190-chernaya-tw04t002/" , "TW04T002 Футболка E190 женская черная, размер XXL")</f>
      </c>
      <c r="C16868" s="4" t="n">
        <v>644.00</v>
      </c>
      <c r="D16868" s="4"/>
    </row>
    <row collapsed="" customFormat="false" customHeight="1" hidden="" ht="14" outlineLevel="0" r="16869">
      <c r="A16869" s="3" t="inlineStr">
        <is>
          <t>16824</t>
        </is>
      </c>
      <c r="B16869" s="4" t="s">
        <f>=HYPERLINK("http://anyluxury.ru/shop/odezhda/futbolki-dlya-promo/futbolka-zhenskaya-e190-chernaya-tw04t002/" , "TW04T002 Футболка E190 женская черная, размер 3XL")</f>
      </c>
      <c r="C16869" s="4" t="n">
        <v>644.00</v>
      </c>
      <c r="D16869" s="4"/>
    </row>
    <row collapsed="" customFormat="false" customHeight="1" hidden="" ht="14" outlineLevel="0" r="16870">
      <c r="A16870" s="3" t="inlineStr">
        <is>
          <t>16825</t>
        </is>
      </c>
      <c r="B16870" s="4" t="s">
        <f>=HYPERLINK("http://anyluxury.ru/shop/odezhda/futbolki-dlya-promo/futbolka-zhenskaya-e190-temnosinyaya-tw04t003/" , "TW04T003 Футболка E190 женская темно-синяя, размер S")</f>
      </c>
      <c r="C16870" s="4" t="n">
        <v>644.00</v>
      </c>
      <c r="D16870" s="4"/>
    </row>
    <row collapsed="" customFormat="false" customHeight="1" hidden="" ht="14" outlineLevel="0" r="16871">
      <c r="A16871" s="3" t="inlineStr">
        <is>
          <t>16826</t>
        </is>
      </c>
      <c r="B16871" s="4" t="s">
        <f>=HYPERLINK("http://anyluxury.ru/shop/odezhda/futbolki-dlya-promo/futbolka-zhenskaya-e190-temnosinyaya-tw04t003/" , "TW04T003 Футболка E190 женская темно-синяя, размер M")</f>
      </c>
      <c r="C16871" s="4" t="n">
        <v>644.00</v>
      </c>
      <c r="D16871" s="4"/>
    </row>
    <row collapsed="" customFormat="false" customHeight="1" hidden="" ht="14" outlineLevel="0" r="16872">
      <c r="A16872" s="3" t="inlineStr">
        <is>
          <t>16827</t>
        </is>
      </c>
      <c r="B16872" s="4" t="s">
        <f>=HYPERLINK("http://anyluxury.ru/shop/odezhda/futbolki-dlya-promo/futbolka-zhenskaya-e190-temnosinyaya-tw04t003/" , "TW04T003 Футболка E190 женская темно-синяя, размер L")</f>
      </c>
      <c r="C16872" s="4" t="n">
        <v>644.00</v>
      </c>
      <c r="D16872" s="4"/>
    </row>
    <row collapsed="" customFormat="false" customHeight="1" hidden="" ht="14" outlineLevel="0" r="16873">
      <c r="A16873" s="3" t="inlineStr">
        <is>
          <t>16828</t>
        </is>
      </c>
      <c r="B16873" s="4" t="s">
        <f>=HYPERLINK("http://anyluxury.ru/shop/odezhda/futbolki-dlya-promo/futbolka-zhenskaya-e190-temnosinyaya-tw04t003/" , "TW04T003 Футболка E190 женская темно-синяя, размер XL")</f>
      </c>
      <c r="C16873" s="4" t="n">
        <v>644.00</v>
      </c>
      <c r="D16873" s="4"/>
    </row>
    <row collapsed="" customFormat="false" customHeight="1" hidden="" ht="14" outlineLevel="0" r="16874">
      <c r="A16874" s="3" t="inlineStr">
        <is>
          <t>16829</t>
        </is>
      </c>
      <c r="B16874" s="4" t="s">
        <f>=HYPERLINK("http://anyluxury.ru/shop/odezhda/futbolki-dlya-promo/futbolka-zhenskaya-e190-temnosinyaya-tw04t003/" , "TW04T003 Футболка E190 женская темно-синяя, размер XXL")</f>
      </c>
      <c r="C16874" s="4" t="n">
        <v>644.00</v>
      </c>
      <c r="D16874" s="4"/>
    </row>
    <row collapsed="" customFormat="false" customHeight="1" hidden="" ht="14" outlineLevel="0" r="16875">
      <c r="A16875" s="3" t="inlineStr">
        <is>
          <t>16830</t>
        </is>
      </c>
      <c r="B16875" s="4" t="s">
        <f>=HYPERLINK("http://anyluxury.ru/shop/odezhda/futbolki-dlya-promo/futbolka-zhenskaya-e190-temnosinyaya-tw04t003/" , "TW04T003 Футболка E190 женская темно-синяя, размер XS")</f>
      </c>
      <c r="C16875" s="4" t="n">
        <v>644.00</v>
      </c>
      <c r="D16875" s="4"/>
    </row>
    <row collapsed="" customFormat="false" customHeight="1" hidden="" ht="14" outlineLevel="0" r="16876">
      <c r="A16876" s="3" t="inlineStr">
        <is>
          <t>16831</t>
        </is>
      </c>
      <c r="B16876" s="4" t="s">
        <f>=HYPERLINK("http://anyluxury.ru/shop/odezhda/futbolki-dlya-promo/futbolka-zhenskaya-e190-temnosinyaya-tw04t003/" , "TW04T003 Футболка E190 женская темно-синяя, размер 3XL")</f>
      </c>
      <c r="C16876" s="4" t="n">
        <v>644.00</v>
      </c>
      <c r="D16876" s="4"/>
    </row>
    <row collapsed="" customFormat="false" customHeight="1" hidden="" ht="14" outlineLevel="0" r="16877">
      <c r="A16877" s="3" t="inlineStr">
        <is>
          <t>16832</t>
        </is>
      </c>
      <c r="B16877" s="4" t="s">
        <f>=HYPERLINK("http://anyluxury.ru/shop/odezhda/futbolki-dlya-promo/futbolka-zhenskaya-e190-krasnaya-tw04t004/" , "TW04T004 Футболка E190 женская красная, размер XS")</f>
      </c>
      <c r="C16877" s="4" t="n">
        <v>644.00</v>
      </c>
      <c r="D16877" s="4"/>
    </row>
    <row collapsed="" customFormat="false" customHeight="1" hidden="" ht="14" outlineLevel="0" r="16878">
      <c r="A16878" s="3" t="inlineStr">
        <is>
          <t>16833</t>
        </is>
      </c>
      <c r="B16878" s="4" t="s">
        <f>=HYPERLINK("http://anyluxury.ru/shop/odezhda/futbolki-dlya-promo/futbolka-zhenskaya-e190-krasnaya-tw04t004/" , "TW04T004 Футболка E190 женская красная, размер S")</f>
      </c>
      <c r="C16878" s="4" t="n">
        <v>644.00</v>
      </c>
      <c r="D16878" s="4"/>
    </row>
    <row collapsed="" customFormat="false" customHeight="1" hidden="" ht="14" outlineLevel="0" r="16879">
      <c r="A16879" s="3" t="inlineStr">
        <is>
          <t>16834</t>
        </is>
      </c>
      <c r="B16879" s="4" t="s">
        <f>=HYPERLINK("http://anyluxury.ru/shop/odezhda/futbolki-dlya-promo/futbolka-zhenskaya-e190-krasnaya-tw04t004/" , "TW04T004 Футболка E190 женская красная, размер M")</f>
      </c>
      <c r="C16879" s="4" t="n">
        <v>644.00</v>
      </c>
      <c r="D16879" s="4"/>
    </row>
    <row collapsed="" customFormat="false" customHeight="1" hidden="" ht="14" outlineLevel="0" r="16880">
      <c r="A16880" s="3" t="inlineStr">
        <is>
          <t>16835</t>
        </is>
      </c>
      <c r="B16880" s="4" t="s">
        <f>=HYPERLINK("http://anyluxury.ru/shop/odezhda/futbolki-dlya-promo/futbolka-zhenskaya-e190-krasnaya-tw04t004/" , "TW04T004 Футболка E190 женская красная, размер L")</f>
      </c>
      <c r="C16880" s="4" t="n">
        <v>644.00</v>
      </c>
      <c r="D16880" s="4"/>
    </row>
    <row collapsed="" customFormat="false" customHeight="1" hidden="" ht="14" outlineLevel="0" r="16881">
      <c r="A16881" s="3" t="inlineStr">
        <is>
          <t>16836</t>
        </is>
      </c>
      <c r="B16881" s="4" t="s">
        <f>=HYPERLINK("http://anyluxury.ru/shop/odezhda/futbolki-dlya-promo/futbolka-zhenskaya-e190-krasnaya-tw04t004/" , "TW04T004 Футболка E190 женская красная, размер XL")</f>
      </c>
      <c r="C16881" s="4" t="n">
        <v>644.00</v>
      </c>
      <c r="D16881" s="4"/>
    </row>
    <row collapsed="" customFormat="false" customHeight="1" hidden="" ht="14" outlineLevel="0" r="16882">
      <c r="A16882" s="3" t="inlineStr">
        <is>
          <t>16837</t>
        </is>
      </c>
      <c r="B16882" s="4" t="s">
        <f>=HYPERLINK("http://anyluxury.ru/shop/odezhda/futbolki-dlya-promo/futbolka-zhenskaya-e190-krasnaya-tw04t004/" , "TW04T004 Футболка E190 женская красная, размер XXL")</f>
      </c>
      <c r="C16882" s="4" t="n">
        <v>644.00</v>
      </c>
      <c r="D16882" s="4"/>
    </row>
    <row collapsed="" customFormat="false" customHeight="1" hidden="" ht="14" outlineLevel="0" r="16883">
      <c r="A16883" s="3" t="inlineStr">
        <is>
          <t>16838</t>
        </is>
      </c>
      <c r="B16883" s="4" t="s">
        <f>=HYPERLINK("http://anyluxury.ru/shop/odezhda/futbolki-dlya-promo/futbolka-zhenskaya-e190-krasnaya-tw04t004/" , "TW04T004 Футболка E190 женская красная, размер 3XL")</f>
      </c>
      <c r="C16883" s="4" t="n">
        <v>644.00</v>
      </c>
      <c r="D16883" s="4"/>
    </row>
    <row collapsed="" customFormat="false" customHeight="1" hidden="" ht="14" outlineLevel="0" r="16884">
      <c r="A16884" s="3" t="inlineStr">
        <is>
          <t>16839</t>
        </is>
      </c>
      <c r="B16884" s="4" t="s">
        <f>=HYPERLINK("http://anyluxury.ru/shop/odezhda/futbolki-dlya-promo/futbolka-zhenskaya-e190-zheltaya-tw04t210/" , "TW04T210 Футболка E190 женская желтая, размер S")</f>
      </c>
      <c r="C16884" s="4" t="n">
        <v>644.00</v>
      </c>
      <c r="D16884" s="4"/>
    </row>
    <row collapsed="" customFormat="false" customHeight="1" hidden="" ht="14" outlineLevel="0" r="16885">
      <c r="A16885" s="3" t="inlineStr">
        <is>
          <t>16840</t>
        </is>
      </c>
      <c r="B16885" s="4" t="s">
        <f>=HYPERLINK("http://anyluxury.ru/shop/odezhda/futbolki-dlya-promo/futbolka-zhenskaya-e190-zheltaya-tw04t210/" , "TW04T210 Футболка E190 женская желтая, размер M")</f>
      </c>
      <c r="C16885" s="4" t="n">
        <v>644.00</v>
      </c>
      <c r="D16885" s="4"/>
    </row>
    <row collapsed="" customFormat="false" customHeight="1" hidden="" ht="14" outlineLevel="0" r="16886">
      <c r="A16886" s="3" t="inlineStr">
        <is>
          <t>16841</t>
        </is>
      </c>
      <c r="B16886" s="4" t="s">
        <f>=HYPERLINK("http://anyluxury.ru/shop/odezhda/futbolki-dlya-promo/futbolka-zhenskaya-e190-zheltaya-tw04t210/" , "TW04T210 Футболка E190 женская желтая, размер L")</f>
      </c>
      <c r="C16886" s="4" t="n">
        <v>644.00</v>
      </c>
      <c r="D16886" s="4"/>
    </row>
    <row collapsed="" customFormat="false" customHeight="1" hidden="" ht="14" outlineLevel="0" r="16887">
      <c r="A16887" s="3" t="inlineStr">
        <is>
          <t>16842</t>
        </is>
      </c>
      <c r="B16887" s="4" t="s">
        <f>=HYPERLINK("http://anyluxury.ru/shop/odezhda/futbolki-dlya-promo/futbolka-zhenskaya-e190-zheltaya-tw04t210/" , "TW04T210 Футболка E190 женская желтая, размер XL")</f>
      </c>
      <c r="C16887" s="4" t="n">
        <v>644.00</v>
      </c>
      <c r="D16887" s="4"/>
    </row>
    <row collapsed="" customFormat="false" customHeight="1" hidden="" ht="14" outlineLevel="0" r="16888">
      <c r="A16888" s="3" t="inlineStr">
        <is>
          <t>16843</t>
        </is>
      </c>
      <c r="B16888" s="4" t="s">
        <f>=HYPERLINK("http://anyluxury.ru/shop/odezhda/futbolki-dlya-promo/futbolka-zhenskaya-e190-zheltaya-tw04t210/" , "TW04T210 Футболка E190 женская желтая, размер XXL")</f>
      </c>
      <c r="C16888" s="4" t="n">
        <v>644.00</v>
      </c>
      <c r="D16888" s="4"/>
    </row>
    <row collapsed="" customFormat="false" customHeight="1" hidden="" ht="14" outlineLevel="0" r="16889">
      <c r="A16889" s="3" t="inlineStr">
        <is>
          <t>16844</t>
        </is>
      </c>
      <c r="B16889" s="4" t="s">
        <f>=HYPERLINK("http://anyluxury.ru/shop/odezhda/futbolki-dlya-promo/futbolka-zhenskaya-e190-zheltaya-tw04t210/" , "TW04T210 Футболка E190 женская желтая, размер XS")</f>
      </c>
      <c r="C16889" s="4" t="n">
        <v>644.00</v>
      </c>
      <c r="D16889" s="4"/>
    </row>
    <row collapsed="" customFormat="false" customHeight="1" hidden="" ht="14" outlineLevel="0" r="16890">
      <c r="A16890" s="3" t="inlineStr">
        <is>
          <t>16845</t>
        </is>
      </c>
      <c r="B16890" s="4" t="s">
        <f>=HYPERLINK("http://anyluxury.ru/shop/odezhda/futbolki-dlya-promo/futbolka-zhenskaya-e190-oranzhevaya-tw04t235/" , "TW04T235 Футболка E190 женская оранжевая, размер S")</f>
      </c>
      <c r="C16890" s="4" t="n">
        <v>644.00</v>
      </c>
      <c r="D16890" s="4"/>
    </row>
    <row collapsed="" customFormat="false" customHeight="1" hidden="" ht="14" outlineLevel="0" r="16891">
      <c r="A16891" s="3" t="inlineStr">
        <is>
          <t>16846</t>
        </is>
      </c>
      <c r="B16891" s="4" t="s">
        <f>=HYPERLINK("http://anyluxury.ru/shop/odezhda/futbolki-dlya-promo/futbolka-zhenskaya-e190-oranzhevaya-tw04t235/" , "TW04T235 Футболка E190 женская оранжевая, размер M")</f>
      </c>
      <c r="C16891" s="4" t="n">
        <v>644.00</v>
      </c>
      <c r="D16891" s="4"/>
    </row>
    <row collapsed="" customFormat="false" customHeight="1" hidden="" ht="14" outlineLevel="0" r="16892">
      <c r="A16892" s="3" t="inlineStr">
        <is>
          <t>16847</t>
        </is>
      </c>
      <c r="B16892" s="4" t="s">
        <f>=HYPERLINK("http://anyluxury.ru/shop/odezhda/futbolki-dlya-promo/futbolka-zhenskaya-e190-oranzhevaya-tw04t235/" , "TW04T235 Футболка E190 женская оранжевая, размер L")</f>
      </c>
      <c r="C16892" s="4" t="n">
        <v>644.00</v>
      </c>
      <c r="D16892" s="4"/>
    </row>
    <row collapsed="" customFormat="false" customHeight="1" hidden="" ht="14" outlineLevel="0" r="16893">
      <c r="A16893" s="3" t="inlineStr">
        <is>
          <t>16848</t>
        </is>
      </c>
      <c r="B16893" s="4" t="s">
        <f>=HYPERLINK("http://anyluxury.ru/shop/odezhda/futbolki-dlya-promo/futbolka-zhenskaya-e190-oranzhevaya-tw04t235/" , "TW04T235 Футболка E190 женская оранжевая, размер XL")</f>
      </c>
      <c r="C16893" s="4" t="n">
        <v>644.00</v>
      </c>
      <c r="D16893" s="4"/>
    </row>
    <row collapsed="" customFormat="false" customHeight="1" hidden="" ht="14" outlineLevel="0" r="16894">
      <c r="A16894" s="3" t="inlineStr">
        <is>
          <t>16849</t>
        </is>
      </c>
      <c r="B16894" s="4" t="s">
        <f>=HYPERLINK("http://anyluxury.ru/shop/odezhda/futbolki-dlya-promo/futbolka-zhenskaya-e190-oranzhevaya-tw04t235/" , "TW04T235 Футболка E190 женская оранжевая, размер XXL")</f>
      </c>
      <c r="C16894" s="4" t="n">
        <v>644.00</v>
      </c>
      <c r="D16894" s="4"/>
    </row>
    <row collapsed="" customFormat="false" customHeight="1" hidden="" ht="14" outlineLevel="0" r="16895">
      <c r="A16895" s="3" t="inlineStr">
        <is>
          <t>16850</t>
        </is>
      </c>
      <c r="B16895" s="4" t="s">
        <f>=HYPERLINK("http://anyluxury.ru/shop/odezhda/futbolki-dlya-promo/futbolka-zhenskaya-e190-oranzhevaya-tw04t235/" , "TW04T235 Футболка E190 женская оранжевая, размер XS")</f>
      </c>
      <c r="C16895" s="4" t="n">
        <v>644.00</v>
      </c>
      <c r="D16895" s="4"/>
    </row>
    <row collapsed="" customFormat="false" customHeight="1" hidden="" ht="14" outlineLevel="0" r="16896">
      <c r="A16896" s="3" t="inlineStr">
        <is>
          <t>16851</t>
        </is>
      </c>
      <c r="B16896" s="4" t="s">
        <f>=HYPERLINK("http://anyluxury.ru/shop/odezhda/futbolki-dlya-promo/futbolka-zhenskaya-e190-yarkosinyaya-tw04t450/" , "TW04T450 Футболка E190 женская ярко-синяя, размер XS")</f>
      </c>
      <c r="C16896" s="4" t="n">
        <v>644.00</v>
      </c>
      <c r="D16896" s="4"/>
    </row>
    <row collapsed="" customFormat="false" customHeight="1" hidden="" ht="14" outlineLevel="0" r="16897">
      <c r="A16897" s="3" t="inlineStr">
        <is>
          <t>16852</t>
        </is>
      </c>
      <c r="B16897" s="4" t="s">
        <f>=HYPERLINK("http://anyluxury.ru/shop/odezhda/futbolki-dlya-promo/futbolka-zhenskaya-e190-yarkosinyaya-tw04t450/" , "TW04T450 Футболка E190 женская ярко-синяя, размер S")</f>
      </c>
      <c r="C16897" s="4" t="n">
        <v>644.00</v>
      </c>
      <c r="D16897" s="4"/>
    </row>
    <row collapsed="" customFormat="false" customHeight="1" hidden="" ht="14" outlineLevel="0" r="16898">
      <c r="A16898" s="3" t="inlineStr">
        <is>
          <t>16853</t>
        </is>
      </c>
      <c r="B16898" s="4" t="s">
        <f>=HYPERLINK("http://anyluxury.ru/shop/odezhda/futbolki-dlya-promo/futbolka-zhenskaya-e190-yarkosinyaya-tw04t450/" , "TW04T450 Футболка E190 женская ярко-синяя, размер M")</f>
      </c>
      <c r="C16898" s="4" t="n">
        <v>644.00</v>
      </c>
      <c r="D16898" s="4"/>
    </row>
    <row collapsed="" customFormat="false" customHeight="1" hidden="" ht="14" outlineLevel="0" r="16899">
      <c r="A16899" s="3" t="inlineStr">
        <is>
          <t>16854</t>
        </is>
      </c>
      <c r="B16899" s="4" t="s">
        <f>=HYPERLINK("http://anyluxury.ru/shop/odezhda/futbolki-dlya-promo/futbolka-zhenskaya-e190-yarkosinyaya-tw04t450/" , "TW04T450 Футболка E190 женская ярко-синяя, размер L")</f>
      </c>
      <c r="C16899" s="4" t="n">
        <v>644.00</v>
      </c>
      <c r="D16899" s="4"/>
    </row>
    <row collapsed="" customFormat="false" customHeight="1" hidden="" ht="14" outlineLevel="0" r="16900">
      <c r="A16900" s="3" t="inlineStr">
        <is>
          <t>16855</t>
        </is>
      </c>
      <c r="B16900" s="4" t="s">
        <f>=HYPERLINK("http://anyluxury.ru/shop/odezhda/futbolki-dlya-promo/futbolka-zhenskaya-e190-yarkosinyaya-tw04t450/" , "TW04T450 Футболка E190 женская ярко-синяя, размер XL")</f>
      </c>
      <c r="C16900" s="4" t="n">
        <v>644.00</v>
      </c>
      <c r="D16900" s="4"/>
    </row>
    <row collapsed="" customFormat="false" customHeight="1" hidden="" ht="14" outlineLevel="0" r="16901">
      <c r="A16901" s="3" t="inlineStr">
        <is>
          <t>16856</t>
        </is>
      </c>
      <c r="B16901" s="4" t="s">
        <f>=HYPERLINK("http://anyluxury.ru/shop/odezhda/futbolki-dlya-promo/futbolka-zhenskaya-e190-yarkosinyaya-tw04t450/" , "TW04T450 Футболка E190 женская ярко-синяя, размер XXL")</f>
      </c>
      <c r="C16901" s="4" t="n">
        <v>644.00</v>
      </c>
      <c r="D16901" s="4"/>
    </row>
    <row collapsed="" customFormat="false" customHeight="1" hidden="" ht="14" outlineLevel="0" r="16902">
      <c r="A16902" s="3" t="inlineStr">
        <is>
          <t>16857</t>
        </is>
      </c>
      <c r="B16902" s="4" t="s">
        <f>=HYPERLINK("http://anyluxury.ru/shop/odezhda/futbolki-dlya-promo/futbolka-zhenskaya-e190-yarkosinyaya-tw04t450/" , "TW04T450 Футболка E190 женская ярко-синяя, размер 3XL")</f>
      </c>
      <c r="C16902" s="4" t="n">
        <v>644.00</v>
      </c>
      <c r="D16902" s="4"/>
    </row>
    <row collapsed="" customFormat="false" customHeight="1" hidden="" ht="14" outlineLevel="0" r="16903">
      <c r="A16903" s="3" t="inlineStr">
        <is>
          <t>16858</t>
        </is>
      </c>
      <c r="B16903" s="4" t="s">
        <f>=HYPERLINK("http://anyluxury.ru/shop/odezhda/futbolki-dlya-promo/futbolka-zhenskaya-e190-zelenaya-tw04t520/" , "TW04T520 Футболка E190 женская зеленая, размер S")</f>
      </c>
      <c r="C16903" s="4" t="n">
        <v>644.00</v>
      </c>
      <c r="D16903" s="4"/>
    </row>
    <row collapsed="" customFormat="false" customHeight="1" hidden="" ht="14" outlineLevel="0" r="16904">
      <c r="A16904" s="3" t="inlineStr">
        <is>
          <t>16859</t>
        </is>
      </c>
      <c r="B16904" s="4" t="s">
        <f>=HYPERLINK("http://anyluxury.ru/shop/odezhda/futbolki-dlya-promo/futbolka-zhenskaya-e190-zelenaya-tw04t520/" , "TW04T520 Футболка E190 женская зеленая, размер M")</f>
      </c>
      <c r="C16904" s="4" t="n">
        <v>644.00</v>
      </c>
      <c r="D16904" s="4"/>
    </row>
    <row collapsed="" customFormat="false" customHeight="1" hidden="" ht="14" outlineLevel="0" r="16905">
      <c r="A16905" s="3" t="inlineStr">
        <is>
          <t>16860</t>
        </is>
      </c>
      <c r="B16905" s="4" t="s">
        <f>=HYPERLINK("http://anyluxury.ru/shop/odezhda/futbolki-dlya-promo/futbolka-zhenskaya-e190-zelenaya-tw04t520/" , "TW04T520 Футболка E190 женская зеленая, размер L")</f>
      </c>
      <c r="C16905" s="4" t="n">
        <v>644.00</v>
      </c>
      <c r="D16905" s="4"/>
    </row>
    <row collapsed="" customFormat="false" customHeight="1" hidden="" ht="14" outlineLevel="0" r="16906">
      <c r="A16906" s="3" t="inlineStr">
        <is>
          <t>16861</t>
        </is>
      </c>
      <c r="B16906" s="4" t="s">
        <f>=HYPERLINK("http://anyluxury.ru/shop/odezhda/futbolki-dlya-promo/futbolka-zhenskaya-e190-zelenaya-tw04t520/" , "TW04T520 Футболка E190 женская зеленая, размер XL")</f>
      </c>
      <c r="C16906" s="4" t="n">
        <v>644.00</v>
      </c>
      <c r="D16906" s="4"/>
    </row>
    <row collapsed="" customFormat="false" customHeight="1" hidden="" ht="14" outlineLevel="0" r="16907">
      <c r="A16907" s="3" t="inlineStr">
        <is>
          <t>16862</t>
        </is>
      </c>
      <c r="B16907" s="4" t="s">
        <f>=HYPERLINK("http://anyluxury.ru/shop/odezhda/futbolki-dlya-promo/futbolka-zhenskaya-e190-zelenaya-tw04t520/" , "TW04T520 Футболка E190 женская зеленая, размер XXL")</f>
      </c>
      <c r="C16907" s="4" t="n">
        <v>644.00</v>
      </c>
      <c r="D16907" s="4"/>
    </row>
    <row collapsed="" customFormat="false" customHeight="1" hidden="" ht="14" outlineLevel="0" r="16908">
      <c r="A16908" s="3" t="inlineStr">
        <is>
          <t>16863</t>
        </is>
      </c>
      <c r="B16908" s="4" t="s">
        <f>=HYPERLINK("http://anyluxury.ru/shop/odezhda/futbolki-dlya-promo/futbolka-zhenskaya-e190-zelenaya-tw04t520/" , "TW04T520 Футболка E190 женская зеленая, размер XS")</f>
      </c>
      <c r="C16908" s="4" t="n">
        <v>644.00</v>
      </c>
      <c r="D16908" s="4"/>
    </row>
    <row collapsed="" customFormat="false" customHeight="1" hidden="" ht="14" outlineLevel="0" r="16909">
      <c r="A16909" s="3" t="inlineStr">
        <is>
          <t>16864</t>
        </is>
      </c>
      <c r="B16909" s="4" t="s">
        <f>=HYPERLINK("http://anyluxury.ru/shop/odezhda/futbolki-dlya-promo/futbolka-zhenskaya-e190-seriy-melanzh-tw04t620/" , "TW04T620 Футболка E190 женская серый меланж, размер S")</f>
      </c>
      <c r="C16909" s="4" t="n">
        <v>644.00</v>
      </c>
      <c r="D16909" s="4"/>
    </row>
    <row collapsed="" customFormat="false" customHeight="1" hidden="" ht="14" outlineLevel="0" r="16910">
      <c r="A16910" s="3" t="inlineStr">
        <is>
          <t>16865</t>
        </is>
      </c>
      <c r="B16910" s="4" t="s">
        <f>=HYPERLINK("http://anyluxury.ru/shop/odezhda/futbolki-dlya-promo/futbolka-zhenskaya-e190-seriy-melanzh-tw04t620/" , "TW04T620 Футболка E190 женская серый меланж, размер M")</f>
      </c>
      <c r="C16910" s="4" t="n">
        <v>644.00</v>
      </c>
      <c r="D16910" s="4"/>
    </row>
    <row collapsed="" customFormat="false" customHeight="1" hidden="" ht="14" outlineLevel="0" r="16911">
      <c r="A16911" s="3" t="inlineStr">
        <is>
          <t>16866</t>
        </is>
      </c>
      <c r="B16911" s="4" t="s">
        <f>=HYPERLINK("http://anyluxury.ru/shop/odezhda/futbolki-dlya-promo/futbolka-zhenskaya-e190-seriy-melanzh-tw04t620/" , "TW04T620 Футболка E190 женская серый меланж, размер L")</f>
      </c>
      <c r="C16911" s="4" t="n">
        <v>644.00</v>
      </c>
      <c r="D16911" s="4"/>
    </row>
    <row collapsed="" customFormat="false" customHeight="1" hidden="" ht="14" outlineLevel="0" r="16912">
      <c r="A16912" s="3" t="inlineStr">
        <is>
          <t>16867</t>
        </is>
      </c>
      <c r="B16912" s="4" t="s">
        <f>=HYPERLINK("http://anyluxury.ru/shop/odezhda/futbolki-dlya-promo/futbolka-zhenskaya-e190-seriy-melanzh-tw04t620/" , "TW04T620 Футболка E190 женская серый меланж, размер XS")</f>
      </c>
      <c r="C16912" s="4" t="n">
        <v>644.00</v>
      </c>
      <c r="D16912" s="4"/>
    </row>
    <row collapsed="" customFormat="false" customHeight="1" hidden="" ht="14" outlineLevel="0" r="16913">
      <c r="A16913" s="3" t="inlineStr">
        <is>
          <t>16868</t>
        </is>
      </c>
      <c r="B16913" s="4" t="s">
        <f>=HYPERLINK("http://anyluxury.ru/shop/odezhda/futbolki-dlya-promo/futbolka-e150-temnosinyaya-tu01t006/" , "TU01T006 Футболка E150 темно-синяя, размер XS")</f>
      </c>
      <c r="C16913" s="4" t="n">
        <v>560.00</v>
      </c>
      <c r="D16913" s="4"/>
    </row>
    <row collapsed="" customFormat="false" customHeight="1" hidden="" ht="14" outlineLevel="0" r="16914">
      <c r="A16914" s="3" t="inlineStr">
        <is>
          <t>16869</t>
        </is>
      </c>
      <c r="B16914" s="4" t="s">
        <f>=HYPERLINK("http://anyluxury.ru/shop/odezhda/futbolki-dlya-promo/futbolka-e150-temnosinyaya-tu01t006/" , "TU01T006 Футболка E150 темно-синяя, размер S")</f>
      </c>
      <c r="C16914" s="4" t="n">
        <v>560.00</v>
      </c>
      <c r="D16914" s="4"/>
    </row>
    <row collapsed="" customFormat="false" customHeight="1" hidden="" ht="14" outlineLevel="0" r="16915">
      <c r="A16915" s="3" t="inlineStr">
        <is>
          <t>16870</t>
        </is>
      </c>
      <c r="B16915" s="4" t="s">
        <f>=HYPERLINK("http://anyluxury.ru/shop/odezhda/futbolki-dlya-promo/futbolka-e150-temnosinyaya-tu01t006/" , "TU01T006 Футболка E150 темно-синяя, размер M")</f>
      </c>
      <c r="C16915" s="4" t="n">
        <v>560.00</v>
      </c>
      <c r="D16915" s="4"/>
    </row>
    <row collapsed="" customFormat="false" customHeight="1" hidden="" ht="14" outlineLevel="0" r="16916">
      <c r="A16916" s="3" t="inlineStr">
        <is>
          <t>16871</t>
        </is>
      </c>
      <c r="B16916" s="4" t="s">
        <f>=HYPERLINK("http://anyluxury.ru/shop/odezhda/futbolki-dlya-promo/futbolka-e150-temnosinyaya-tu01t006/" , "TU01T006 Футболка E150 темно-синяя, размер L")</f>
      </c>
      <c r="C16916" s="4" t="n">
        <v>560.00</v>
      </c>
      <c r="D16916" s="4"/>
    </row>
    <row collapsed="" customFormat="false" customHeight="1" hidden="" ht="14" outlineLevel="0" r="16917">
      <c r="A16917" s="3" t="inlineStr">
        <is>
          <t>16872</t>
        </is>
      </c>
      <c r="B16917" s="4" t="s">
        <f>=HYPERLINK("http://anyluxury.ru/shop/odezhda/futbolki-dlya-promo/futbolka-e150-temnosinyaya-tu01t006/" , "TU01T006 Футболка E150 темно-синяя, размер XXL")</f>
      </c>
      <c r="C16917" s="4" t="n">
        <v>560.00</v>
      </c>
      <c r="D16917" s="4"/>
    </row>
    <row collapsed="" customFormat="false" customHeight="1" hidden="" ht="14" outlineLevel="0" r="16918">
      <c r="A16918" s="3" t="inlineStr">
        <is>
          <t>16873</t>
        </is>
      </c>
      <c r="B16918" s="4" t="s">
        <f>=HYPERLINK("http://anyluxury.ru/shop/odezhda/futbolki-dlya-promo/futbolka-e150-temnosinyaya-tu01t006/" , "TU01T006 Футболка E150 темно-синяя, размер 3XL")</f>
      </c>
      <c r="C16918" s="4" t="n">
        <v>716.00</v>
      </c>
      <c r="D16918" s="4"/>
    </row>
    <row collapsed="" customFormat="false" customHeight="1" hidden="" ht="14" outlineLevel="0" r="16919">
      <c r="A16919" s="3" t="inlineStr">
        <is>
          <t>16874</t>
        </is>
      </c>
      <c r="B16919" s="4" t="s">
        <f>=HYPERLINK("http://anyluxury.ru/shop/odezhda/futbolki-dlya-promo/futbolka-e150-temnosinyaya-tu01t006/" , "TU01T006 Футболка E150 темно-синяя, размер 4XL")</f>
      </c>
      <c r="C16919" s="4" t="n">
        <v>716.00</v>
      </c>
      <c r="D16919" s="4"/>
    </row>
    <row collapsed="" customFormat="false" customHeight="1" hidden="" ht="14" outlineLevel="0" r="16920">
      <c r="A16920" s="3" t="inlineStr">
        <is>
          <t>16875</t>
        </is>
      </c>
      <c r="B16920" s="4" t="s">
        <f>=HYPERLINK("http://anyluxury.ru/shop/odezhda/futbolki-dlya-promo/futbolka-e150-temnosinyaya-tu01t006/" , "TU01T006 Футболка E150 темно-синяя, размер 5XL")</f>
      </c>
      <c r="C16920" s="4" t="n">
        <v>716.00</v>
      </c>
      <c r="D16920" s="4"/>
    </row>
    <row collapsed="" customFormat="false" customHeight="1" hidden="" ht="14" outlineLevel="0" r="16921">
      <c r="A16921" s="3" t="inlineStr">
        <is>
          <t>16876</t>
        </is>
      </c>
      <c r="B16921" s="4" t="s">
        <f>=HYPERLINK("http://anyluxury.ru/shop/odezhda/futbolki-dlya-promo/futbolka-zhenskaya-e150-temnosinyaya-tw02t006/" , "TW02T006 Футболка женская E150 темно-синяя, размер XS")</f>
      </c>
      <c r="C16921" s="4" t="n">
        <v>564.00</v>
      </c>
      <c r="D16921" s="4"/>
    </row>
    <row collapsed="" customFormat="false" customHeight="1" hidden="" ht="14" outlineLevel="0" r="16922">
      <c r="A16922" s="3" t="inlineStr">
        <is>
          <t>16877</t>
        </is>
      </c>
      <c r="B16922" s="4" t="s">
        <f>=HYPERLINK("http://anyluxury.ru/shop/odezhda/futbolki-dlya-promo/futbolka-zhenskaya-e150-temnosinyaya-tw02t006/" , "TW02T006 Футболка женская E150 темно-синяя, размер S")</f>
      </c>
      <c r="C16922" s="4" t="n">
        <v>564.00</v>
      </c>
      <c r="D16922" s="4"/>
    </row>
    <row collapsed="" customFormat="false" customHeight="1" hidden="" ht="14" outlineLevel="0" r="16923">
      <c r="A16923" s="3" t="inlineStr">
        <is>
          <t>16878</t>
        </is>
      </c>
      <c r="B16923" s="4" t="s">
        <f>=HYPERLINK("http://anyluxury.ru/shop/odezhda/futbolki-dlya-promo/futbolka-zhenskaya-e150-temnosinyaya-tw02t006/" , "TW02T006 Футболка женская E150 темно-синяя, размер M")</f>
      </c>
      <c r="C16923" s="4" t="n">
        <v>564.00</v>
      </c>
      <c r="D16923" s="4"/>
    </row>
    <row collapsed="" customFormat="false" customHeight="1" hidden="" ht="14" outlineLevel="0" r="16924">
      <c r="A16924" s="3" t="inlineStr">
        <is>
          <t>16879</t>
        </is>
      </c>
      <c r="B16924" s="4" t="s">
        <f>=HYPERLINK("http://anyluxury.ru/shop/odezhda/futbolki-dlya-promo/futbolka-zhenskaya-e150-temnosinyaya-tw02t006/" , "TW02T006 Футболка женская E150 темно-синяя, размер L")</f>
      </c>
      <c r="C16924" s="4" t="n">
        <v>564.00</v>
      </c>
      <c r="D16924" s="4"/>
    </row>
    <row collapsed="" customFormat="false" customHeight="1" hidden="" ht="14" outlineLevel="0" r="16925">
      <c r="A16925" s="3" t="inlineStr">
        <is>
          <t>16880</t>
        </is>
      </c>
      <c r="B16925" s="4" t="s">
        <f>=HYPERLINK("http://anyluxury.ru/shop/odezhda/futbolki-dlya-promo/futbolka-zhenskaya-e150-temnosinyaya-tw02t006/" , "TW02T006 Футболка женская E150 темно-синяя, размер XL")</f>
      </c>
      <c r="C16925" s="4" t="n">
        <v>564.00</v>
      </c>
      <c r="D16925" s="4"/>
    </row>
    <row collapsed="" customFormat="false" customHeight="1" hidden="" ht="14" outlineLevel="0" r="16926">
      <c r="A16926" s="3" t="inlineStr">
        <is>
          <t>16881</t>
        </is>
      </c>
      <c r="B16926" s="4" t="s">
        <f>=HYPERLINK("http://anyluxury.ru/shop/odezhda/futbolki-dlya-promo/futbolka-zhenskaya-e150-temnosinyaya-tw02t006/" , "TW02T006 Футболка женская E150 темно-синяя, размер XXL")</f>
      </c>
      <c r="C16926" s="4" t="n">
        <v>564.00</v>
      </c>
      <c r="D16926" s="4"/>
    </row>
    <row collapsed="" customFormat="false" customHeight="1" hidden="" ht="14" outlineLevel="0" r="16927">
      <c r="A16927" s="3" t="inlineStr">
        <is>
          <t>16882</t>
        </is>
      </c>
      <c r="B16927" s="4" t="s">
        <f>=HYPERLINK("http://anyluxury.ru/shop/odezhda/futbolki-dlya-promo/futbolka-zhenskaya-e150-temnosinyaya-tw02t006/" , "TW02T006 Футболка женская E150 темно-синяя, размер XXXL")</f>
      </c>
      <c r="C16927" s="4" t="n">
        <v>721.00</v>
      </c>
      <c r="D16927" s="4"/>
    </row>
    <row collapsed="" customFormat="false" customHeight="1" hidden="" ht="14" outlineLevel="0" r="16928">
      <c r="A16928" s="3" t="inlineStr">
        <is>
          <t>16883</t>
        </is>
      </c>
      <c r="B16928" s="4" t="s">
        <f>=HYPERLINK("http://anyluxury.ru/shop/odezhda/futbolki-dlya-promo/futbolka-regent-150-seraya-11380342/" , "11380342 Футболка Regent 150, серая, размер XS")</f>
      </c>
      <c r="C16928" s="4" t="n">
        <v>531.00</v>
      </c>
      <c r="D16928" s="4"/>
    </row>
    <row collapsed="" customFormat="false" customHeight="1" hidden="" ht="14" outlineLevel="0" r="16929">
      <c r="A16929" s="3" t="inlineStr">
        <is>
          <t>16884</t>
        </is>
      </c>
      <c r="B16929" s="4" t="s">
        <f>=HYPERLINK("http://anyluxury.ru/shop/odezhda/futbolki-dlya-promo/futbolka-regent-150-seraya-11380342/" , "11380342 Футболка Regent 150, серая, размер S")</f>
      </c>
      <c r="C16929" s="4" t="n">
        <v>531.00</v>
      </c>
      <c r="D16929" s="4"/>
    </row>
    <row collapsed="" customFormat="false" customHeight="1" hidden="" ht="14" outlineLevel="0" r="16930">
      <c r="A16930" s="3" t="inlineStr">
        <is>
          <t>16885</t>
        </is>
      </c>
      <c r="B16930" s="4" t="s">
        <f>=HYPERLINK("http://anyluxury.ru/shop/odezhda/futbolki-dlya-promo/futbolka-regent-150-seraya-11380342/" , "11380342 Футболка Regent 150, серая, размер M")</f>
      </c>
      <c r="C16930" s="4" t="n">
        <v>531.00</v>
      </c>
      <c r="D16930" s="4"/>
    </row>
    <row collapsed="" customFormat="false" customHeight="1" hidden="" ht="14" outlineLevel="0" r="16931">
      <c r="A16931" s="3" t="inlineStr">
        <is>
          <t>16886</t>
        </is>
      </c>
      <c r="B16931" s="4" t="s">
        <f>=HYPERLINK("http://anyluxury.ru/shop/odezhda/futbolki-dlya-promo/futbolka-regent-150-seraya-11380342/" , "11380342 Футболка Regent 150, серая, размер L")</f>
      </c>
      <c r="C16931" s="4" t="n">
        <v>531.00</v>
      </c>
      <c r="D16931" s="4"/>
    </row>
    <row collapsed="" customFormat="false" customHeight="1" hidden="" ht="14" outlineLevel="0" r="16932">
      <c r="A16932" s="3" t="inlineStr">
        <is>
          <t>16887</t>
        </is>
      </c>
      <c r="B16932" s="4" t="s">
        <f>=HYPERLINK("http://anyluxury.ru/shop/odezhda/futbolki-dlya-promo/futbolka-regent-150-seraya-11380342/" , "11380342 Футболка Regent 150, серая, размер XL")</f>
      </c>
      <c r="C16932" s="4" t="n">
        <v>531.00</v>
      </c>
      <c r="D16932" s="4"/>
    </row>
    <row collapsed="" customFormat="false" customHeight="1" hidden="" ht="14" outlineLevel="0" r="16933">
      <c r="A16933" s="3" t="inlineStr">
        <is>
          <t>16888</t>
        </is>
      </c>
      <c r="B16933" s="4" t="s">
        <f>=HYPERLINK("http://anyluxury.ru/shop/odezhda/futbolki-dlya-promo/futbolka-regent-150-seraya-11380342/" , "11380342 Футболка Regent 150, серая, размер XXL")</f>
      </c>
      <c r="C16933" s="4" t="n">
        <v>531.00</v>
      </c>
      <c r="D16933" s="4"/>
    </row>
    <row collapsed="" customFormat="false" customHeight="1" hidden="" ht="14" outlineLevel="0" r="16934">
      <c r="A16934" s="3" t="inlineStr">
        <is>
          <t>16889</t>
        </is>
      </c>
      <c r="B16934" s="4" t="s">
        <f>=HYPERLINK("http://anyluxury.ru/shop/odezhda/futbolki-dlya-promo/futbolka-regent-150-seraya-11380342/" , "11380342 Футболка Regent 150, серая, размер 3XL")</f>
      </c>
      <c r="C16934" s="4" t="n">
        <v>653.00</v>
      </c>
      <c r="D16934" s="4"/>
    </row>
    <row collapsed="" customFormat="false" customHeight="1" hidden="" ht="14" outlineLevel="0" r="16935">
      <c r="A16935" s="3" t="inlineStr">
        <is>
          <t>16890</t>
        </is>
      </c>
      <c r="B16935" s="4" t="s">
        <f>=HYPERLINK("http://anyluxury.ru/shop/odezhda/futbolki-dlya-promo/futbolka-tbolka-140-temnosinyaya-519040/" , "5190.40 Футболка темно-синяя «T-bolka 140», размер S")</f>
      </c>
      <c r="C16935" s="4" t="n">
        <v>508.00</v>
      </c>
      <c r="D16935" s="4"/>
    </row>
    <row collapsed="" customFormat="false" customHeight="1" hidden="" ht="14" outlineLevel="0" r="16936">
      <c r="A16936" s="3" t="inlineStr">
        <is>
          <t>16891</t>
        </is>
      </c>
      <c r="B16936" s="4" t="s">
        <f>=HYPERLINK("http://anyluxury.ru/shop/odezhda/futbolki-dlya-promo/futbolka-tbolka-140-temnosinyaya-519040/" , "5190.40 Футболка темно-синяя «T-bolka 140», размер M")</f>
      </c>
      <c r="C16936" s="4" t="n">
        <v>508.00</v>
      </c>
      <c r="D16936" s="4"/>
    </row>
    <row collapsed="" customFormat="false" customHeight="1" hidden="" ht="14" outlineLevel="0" r="16937">
      <c r="A16937" s="3" t="inlineStr">
        <is>
          <t>16892</t>
        </is>
      </c>
      <c r="B16937" s="4" t="s">
        <f>=HYPERLINK("http://anyluxury.ru/shop/odezhda/futbolki-dlya-promo/futbolka-tbolka-140-temnosinyaya-519040/" , "5190.40 Футболка темно-синяя «T-bolka 140», размер L")</f>
      </c>
      <c r="C16937" s="4" t="n">
        <v>508.00</v>
      </c>
      <c r="D16937" s="4"/>
    </row>
    <row collapsed="" customFormat="false" customHeight="1" hidden="" ht="14" outlineLevel="0" r="16938">
      <c r="A16938" s="3" t="inlineStr">
        <is>
          <t>16893</t>
        </is>
      </c>
      <c r="B16938" s="4" t="s">
        <f>=HYPERLINK("http://anyluxury.ru/shop/odezhda/futbolki-dlya-promo/futbolka-tbolka-140-temnosinyaya-519040/" , "5190.40 Футболка темно-синяя «T-bolka 140», размер XL")</f>
      </c>
      <c r="C16938" s="4" t="n">
        <v>508.00</v>
      </c>
      <c r="D16938" s="4"/>
    </row>
    <row collapsed="" customFormat="false" customHeight="1" hidden="" ht="14" outlineLevel="0" r="16939">
      <c r="A16939" s="3" t="inlineStr">
        <is>
          <t>16894</t>
        </is>
      </c>
      <c r="B16939" s="4" t="s">
        <f>=HYPERLINK("http://anyluxury.ru/shop/odezhda/futbolki-dlya-promo/futbolka-tbolka-140-temnosinyaya-519040/" , "5190.40 Футболка темно-синяя «T-bolka 140», размер 3XL")</f>
      </c>
      <c r="C16939" s="4" t="n">
        <v>508.00</v>
      </c>
      <c r="D16939" s="4"/>
    </row>
    <row collapsed="" customFormat="false" customHeight="1" hidden="" ht="14" outlineLevel="0" r="16940">
      <c r="A16940" s="3" t="inlineStr">
        <is>
          <t>16895</t>
        </is>
      </c>
      <c r="B16940" s="4" t="s">
        <f>=HYPERLINK("http://anyluxury.ru/shop/odezhda/futbolki-dlya-promo/futbolka-tbolka-140-temnosinyaya-519040/" , "5190.40 Футболка темно-синяя «T-bolka 140», размер 4XL")</f>
      </c>
      <c r="C16940" s="4" t="n">
        <v>508.00</v>
      </c>
      <c r="D16940" s="4"/>
    </row>
    <row collapsed="" customFormat="false" customHeight="1" hidden="" ht="14" outlineLevel="0" r="16941">
      <c r="A16941" s="3" t="inlineStr">
        <is>
          <t>16896</t>
        </is>
      </c>
      <c r="B16941" s="4" t="s">
        <f>=HYPERLINK("http://anyluxury.ru/shop/odezhda/futbolki-dlya-promo/futbolka-tbolka-140-temnosinyaya-519040/" , "5190.40 Футболка темно-синяя «T-bolka 140», размер 5XL")</f>
      </c>
      <c r="C16941" s="4" t="n">
        <v>508.00</v>
      </c>
      <c r="D16941" s="4"/>
    </row>
    <row collapsed="" customFormat="false" customHeight="1" hidden="" ht="14" outlineLevel="0" r="16942">
      <c r="A16942" s="3" t="inlineStr">
        <is>
          <t>16897</t>
        </is>
      </c>
      <c r="B16942" s="4" t="s">
        <f>=HYPERLINK("http://anyluxury.ru/shop/odezhda/futbolki-dlya-promo/futbolka-tbolka-180-svetliy-melanzh-699412/" , "6994.12 Футболка T-Bolka 180, светлый меланж, размер S")</f>
      </c>
      <c r="C16942" s="4" t="n">
        <v>630.00</v>
      </c>
      <c r="D16942" s="4"/>
    </row>
    <row collapsed="" customFormat="false" customHeight="1" hidden="" ht="14" outlineLevel="0" r="16943">
      <c r="A16943" s="3" t="inlineStr">
        <is>
          <t>16898</t>
        </is>
      </c>
      <c r="B16943" s="4" t="s">
        <f>=HYPERLINK("http://anyluxury.ru/shop/odezhda/futbolki-dlya-promo/futbolka-tbolka-180-svetliy-melanzh-699412/" , "6994.12 Футболка T-Bolka 180, светлый меланж, размер M")</f>
      </c>
      <c r="C16943" s="4" t="n">
        <v>630.00</v>
      </c>
      <c r="D16943" s="4"/>
    </row>
    <row collapsed="" customFormat="false" customHeight="1" hidden="" ht="14" outlineLevel="0" r="16944">
      <c r="A16944" s="3" t="inlineStr">
        <is>
          <t>16899</t>
        </is>
      </c>
      <c r="B16944" s="4" t="s">
        <f>=HYPERLINK("http://anyluxury.ru/shop/odezhda/futbolki-dlya-promo/futbolka-tbolka-180-svetliy-melanzh-699412/" , "6994.12 Футболка T-Bolka 180, светлый меланж, размер L")</f>
      </c>
      <c r="C16944" s="4" t="n">
        <v>630.00</v>
      </c>
      <c r="D16944" s="4"/>
    </row>
    <row collapsed="" customFormat="false" customHeight="1" hidden="" ht="14" outlineLevel="0" r="16945">
      <c r="A16945" s="3" t="inlineStr">
        <is>
          <t>16900</t>
        </is>
      </c>
      <c r="B16945" s="4" t="s">
        <f>=HYPERLINK("http://anyluxury.ru/shop/odezhda/futbolki-dlya-promo/futbolka-tbolka-180-svetliy-melanzh-699412/" , "6994.12 Футболка T-Bolka 180, светлый меланж, размер XL")</f>
      </c>
      <c r="C16945" s="4" t="n">
        <v>630.00</v>
      </c>
      <c r="D16945" s="4"/>
    </row>
    <row collapsed="" customFormat="false" customHeight="1" hidden="" ht="14" outlineLevel="0" r="16946">
      <c r="A16946" s="3" t="inlineStr">
        <is>
          <t>16901</t>
        </is>
      </c>
      <c r="B16946" s="4" t="s">
        <f>=HYPERLINK("http://anyluxury.ru/shop/odezhda/futbolki-dlya-promo/futbolka-tbolka-180-svetliy-melanzh-699412/" , "6994.12 Футболка T-Bolka 180, светлый меланж, размер XXL")</f>
      </c>
      <c r="C16946" s="4" t="n">
        <v>630.00</v>
      </c>
      <c r="D16946" s="4"/>
    </row>
    <row collapsed="" customFormat="false" customHeight="1" hidden="" ht="14" outlineLevel="0" r="16947">
      <c r="A16947" s="3" t="inlineStr">
        <is>
          <t>16902</t>
        </is>
      </c>
      <c r="B16947" s="4" t="s">
        <f>=HYPERLINK("http://anyluxury.ru/shop/odezhda/futbolki-dlya-promo/futbolka-tbolka-180-svetliy-melanzh-699412/" , "6994.12 Футболка T-Bolka 180, светлый меланж, размер 3XL")</f>
      </c>
      <c r="C16947" s="4" t="n">
        <v>630.00</v>
      </c>
      <c r="D16947" s="4"/>
    </row>
    <row collapsed="" customFormat="false" customHeight="1" hidden="" ht="14" outlineLevel="0" r="16948">
      <c r="A16948" s="3" t="inlineStr">
        <is>
          <t>16903</t>
        </is>
      </c>
      <c r="B16948" s="4" t="s">
        <f>=HYPERLINK("http://anyluxury.ru/shop/odezhda/futbolki-dlya-promo/futbolka-tbolka-180-svetliy-melanzh-699412/" , "6994.12 Футболка T-Bolka 180, светлый меланж, размер 4XL")</f>
      </c>
      <c r="C16948" s="4" t="n">
        <v>630.00</v>
      </c>
      <c r="D16948" s="4"/>
    </row>
    <row collapsed="" customFormat="false" customHeight="1" hidden="" ht="14" outlineLevel="0" r="16949">
      <c r="A16949" s="3" t="inlineStr">
        <is>
          <t>16904</t>
        </is>
      </c>
      <c r="B16949" s="4" t="s">
        <f>=HYPERLINK("http://anyluxury.ru/shop/odezhda/futbolki-dlya-promo/futbolka-tbolka-180-svetliy-melanzh-699412/" , "6994.12 Футболка T-Bolka 180, светлый меланж, размер 5XL")</f>
      </c>
      <c r="C16949" s="4" t="n">
        <v>630.00</v>
      </c>
      <c r="D16949" s="4"/>
    </row>
    <row collapsed="" customFormat="false" customHeight="1" hidden="" ht="14" outlineLevel="0" r="16950">
      <c r="A16950" s="3" t="inlineStr">
        <is>
          <t>16905</t>
        </is>
      </c>
      <c r="B16950" s="4" t="s">
        <f>=HYPERLINK("http://anyluxury.ru/shop/odezhda/futbolki-dlya-promo/futbolka-uniseks-e150-organic-belaya-tu01b001/" , "TU01B001 Футболка унисекс E150 Organic белая, размер S")</f>
      </c>
      <c r="C16950" s="4" t="n">
        <v>741.00</v>
      </c>
      <c r="D16950" s="4"/>
    </row>
    <row collapsed="" customFormat="false" customHeight="1" hidden="" ht="14" outlineLevel="0" r="16951">
      <c r="A16951" s="3" t="inlineStr">
        <is>
          <t>16906</t>
        </is>
      </c>
      <c r="B16951" s="4" t="s">
        <f>=HYPERLINK("http://anyluxury.ru/shop/odezhda/futbolki-dlya-promo/futbolka-uniseks-e150-organic-belaya-tu01b001/" , "TU01B001 Футболка унисекс E150 Organic белая, размер M")</f>
      </c>
      <c r="C16951" s="4" t="n">
        <v>741.00</v>
      </c>
      <c r="D16951" s="4"/>
    </row>
    <row collapsed="" customFormat="false" customHeight="1" hidden="" ht="14" outlineLevel="0" r="16952">
      <c r="A16952" s="3" t="inlineStr">
        <is>
          <t>16907</t>
        </is>
      </c>
      <c r="B16952" s="4" t="s">
        <f>=HYPERLINK("http://anyluxury.ru/shop/odezhda/futbolki-dlya-promo/futbolka-uniseks-e150-organic-belaya-tu01b001/" , "TU01B001 Футболка унисекс E150 Organic белая, размер L")</f>
      </c>
      <c r="C16952" s="4" t="n">
        <v>741.00</v>
      </c>
      <c r="D16952" s="4"/>
    </row>
    <row collapsed="" customFormat="false" customHeight="1" hidden="" ht="14" outlineLevel="0" r="16953">
      <c r="A16953" s="3" t="inlineStr">
        <is>
          <t>16908</t>
        </is>
      </c>
      <c r="B16953" s="4" t="s">
        <f>=HYPERLINK("http://anyluxury.ru/shop/odezhda/futbolki-dlya-promo/futbolka-uniseks-e150-organic-belaya-tu01b001/" , "TU01B001 Футболка унисекс E150 Organic белая, размер XL")</f>
      </c>
      <c r="C16953" s="4" t="n">
        <v>741.00</v>
      </c>
      <c r="D16953" s="4"/>
    </row>
    <row collapsed="" customFormat="false" customHeight="1" hidden="" ht="14" outlineLevel="0" r="16954">
      <c r="A16954" s="3" t="inlineStr">
        <is>
          <t>16909</t>
        </is>
      </c>
      <c r="B16954" s="4" t="s">
        <f>=HYPERLINK("http://anyluxury.ru/shop/odezhda/futbolki-dlya-promo/futbolka-uniseks-e150-organic-belaya-tu01b001/" , "TU01B001 Футболка унисекс E150 Organic белая, размер XXL")</f>
      </c>
      <c r="C16954" s="4" t="n">
        <v>741.00</v>
      </c>
      <c r="D16954" s="4"/>
    </row>
    <row collapsed="" customFormat="false" customHeight="1" hidden="" ht="14" outlineLevel="0" r="16955">
      <c r="A16955" s="3" t="inlineStr">
        <is>
          <t>16910</t>
        </is>
      </c>
      <c r="B16955" s="4" t="s">
        <f>=HYPERLINK("http://anyluxury.ru/shop/odezhda/futbolki-dlya-promo/futbolka-uniseks-e150-organic-belaya-tu01b001/" , "TU01B001 Футболка унисекс E150 Organic белая, размер 3XL")</f>
      </c>
      <c r="C16955" s="4" t="n">
        <v>927.00</v>
      </c>
      <c r="D16955" s="4"/>
    </row>
    <row collapsed="" customFormat="false" customHeight="1" hidden="" ht="14" outlineLevel="0" r="16956">
      <c r="A16956" s="3" t="inlineStr">
        <is>
          <t>16911</t>
        </is>
      </c>
      <c r="B16956" s="4" t="s">
        <f>=HYPERLINK("http://anyluxury.ru/shop/odezhda/futbolki-dlya-promo/futbolka-uniseks-e150-organic-belaya-tu01b001/" , "TU01B001 Футболка унисекс E150 Organic белая, размер 4XL")</f>
      </c>
      <c r="C16956" s="4" t="n">
        <v>927.00</v>
      </c>
      <c r="D16956" s="4"/>
    </row>
    <row collapsed="" customFormat="false" customHeight="1" hidden="" ht="14" outlineLevel="0" r="16957">
      <c r="A16957" s="3" t="inlineStr">
        <is>
          <t>16912</t>
        </is>
      </c>
      <c r="B16957" s="4" t="s">
        <f>=HYPERLINK("http://anyluxury.ru/shop/odezhda/futbolki-dlya-promo/futbolka-uniseks-e150-organic-seriy-melanzh-tu01b610/" , "TU01B610 Футболка унисекс E150 Organic серый меланж, размер XS")</f>
      </c>
      <c r="C16957" s="4" t="n">
        <v>741.00</v>
      </c>
      <c r="D16957" s="4"/>
    </row>
    <row collapsed="" customFormat="false" customHeight="1" hidden="" ht="14" outlineLevel="0" r="16958">
      <c r="A16958" s="3" t="inlineStr">
        <is>
          <t>16913</t>
        </is>
      </c>
      <c r="B16958" s="4" t="s">
        <f>=HYPERLINK("http://anyluxury.ru/shop/odezhda/futbolki-dlya-promo/futbolka-uniseks-e150-organic-seriy-melanzh-tu01b610/" , "TU01B610 Футболка унисекс E150 Organic серый меланж, размер S")</f>
      </c>
      <c r="C16958" s="4" t="n">
        <v>741.00</v>
      </c>
      <c r="D16958" s="4"/>
    </row>
    <row collapsed="" customFormat="false" customHeight="1" hidden="" ht="14" outlineLevel="0" r="16959">
      <c r="A16959" s="3" t="inlineStr">
        <is>
          <t>16914</t>
        </is>
      </c>
      <c r="B16959" s="4" t="s">
        <f>=HYPERLINK("http://anyluxury.ru/shop/odezhda/futbolki-dlya-promo/futbolka-uniseks-e150-organic-seriy-melanzh-tu01b610/" , "TU01B610 Футболка унисекс E150 Organic серый меланж, размер M")</f>
      </c>
      <c r="C16959" s="4" t="n">
        <v>741.00</v>
      </c>
      <c r="D16959" s="4"/>
    </row>
    <row collapsed="" customFormat="false" customHeight="1" hidden="" ht="14" outlineLevel="0" r="16960">
      <c r="A16960" s="3" t="inlineStr">
        <is>
          <t>16915</t>
        </is>
      </c>
      <c r="B16960" s="4" t="s">
        <f>=HYPERLINK("http://anyluxury.ru/shop/odezhda/futbolki-dlya-promo/futbolka-uniseks-e150-organic-seriy-melanzh-tu01b610/" , "TU01B610 Футболка унисекс E150 Organic серый меланж, размер L")</f>
      </c>
      <c r="C16960" s="4" t="n">
        <v>741.00</v>
      </c>
      <c r="D16960" s="4"/>
    </row>
    <row collapsed="" customFormat="false" customHeight="1" hidden="" ht="14" outlineLevel="0" r="16961">
      <c r="A16961" s="3" t="inlineStr">
        <is>
          <t>16916</t>
        </is>
      </c>
      <c r="B16961" s="4" t="s">
        <f>=HYPERLINK("http://anyluxury.ru/shop/odezhda/futbolki-dlya-promo/futbolka-uniseks-e150-organic-seriy-melanzh-tu01b610/" , "TU01B610 Футболка унисекс E150 Organic серый меланж, размер XL")</f>
      </c>
      <c r="C16961" s="4" t="n">
        <v>741.00</v>
      </c>
      <c r="D16961" s="4"/>
    </row>
    <row collapsed="" customFormat="false" customHeight="1" hidden="" ht="14" outlineLevel="0" r="16962">
      <c r="A16962" s="3" t="inlineStr">
        <is>
          <t>16917</t>
        </is>
      </c>
      <c r="B16962" s="4" t="s">
        <f>=HYPERLINK("http://anyluxury.ru/shop/odezhda/futbolki-dlya-promo/futbolka-uniseks-e150-organic-seriy-melanzh-tu01b610/" , "TU01B610 Футболка унисекс E150 Organic серый меланж, размер XXL")</f>
      </c>
      <c r="C16962" s="4" t="n">
        <v>741.00</v>
      </c>
      <c r="D16962" s="4"/>
    </row>
    <row collapsed="" customFormat="false" customHeight="1" hidden="" ht="14" outlineLevel="0" r="16963">
      <c r="A16963" s="3" t="inlineStr">
        <is>
          <t>16918</t>
        </is>
      </c>
      <c r="B16963" s="4" t="s">
        <f>=HYPERLINK("http://anyluxury.ru/shop/odezhda/futbolki-dlya-promo/futbolka-uniseks-e150-organic-seriy-melanzh-tu01b610/" , "TU01B610 Футболка унисекс E150 Organic серый меланж, размер 3XL")</f>
      </c>
      <c r="C16963" s="4" t="n">
        <v>927.00</v>
      </c>
      <c r="D16963" s="4"/>
    </row>
    <row collapsed="" customFormat="false" customHeight="1" hidden="" ht="14" outlineLevel="0" r="16964">
      <c r="A16964" s="3" t="inlineStr">
        <is>
          <t>16919</t>
        </is>
      </c>
      <c r="B16964" s="4" t="s">
        <f>=HYPERLINK("http://anyluxury.ru/shop/odezhda/futbolki-dlya-promo/futbolka-uniseks-e150-organic-seriy-melanzh-tu01b610/" , "TU01B610 Футболка унисекс E150 Organic серый меланж, размер 4XL")</f>
      </c>
      <c r="C16964" s="4" t="n">
        <v>927.00</v>
      </c>
      <c r="D16964" s="4"/>
    </row>
    <row collapsed="" customFormat="false" customHeight="1" hidden="" ht="14" outlineLevel="0" r="16965">
      <c r="A16965" s="3" t="inlineStr">
        <is>
          <t>16920</t>
        </is>
      </c>
      <c r="B16965" s="4" t="s">
        <f>=HYPERLINK("http://anyluxury.ru/shop/odezhda/futbolki-dlya-promo/futbolka-uniseks-e150-organic-seriy-melanzh-tu01b610/" , "TU01B610 Футболка унисекс E150 Organic серый меланж, размер 5XL")</f>
      </c>
      <c r="C16965" s="4" t="n">
        <v>927.00</v>
      </c>
      <c r="D16965" s="4"/>
    </row>
    <row collapsed="" customFormat="false" customHeight="1" hidden="" ht="14" outlineLevel="0" r="16966">
      <c r="A16966" s="3" t="inlineStr">
        <is>
          <t>16921</t>
        </is>
      </c>
      <c r="B16966" s="4" t="s">
        <f>=HYPERLINK("http://anyluxury.ru/shop/odezhda/futbolki-dlya-promo/futbolka-uniseks-e150-organic-krasnaya-tu01b004/" , "TU01B004 Футболка унисекс E150 Organic красная, размер XS")</f>
      </c>
      <c r="C16966" s="4" t="n">
        <v>741.00</v>
      </c>
      <c r="D16966" s="4"/>
    </row>
    <row collapsed="" customFormat="false" customHeight="1" hidden="" ht="14" outlineLevel="0" r="16967">
      <c r="A16967" s="3" t="inlineStr">
        <is>
          <t>16922</t>
        </is>
      </c>
      <c r="B16967" s="4" t="s">
        <f>=HYPERLINK("http://anyluxury.ru/shop/odezhda/futbolki-dlya-promo/futbolka-uniseks-e150-organic-krasnaya-tu01b004/" , "TU01B004 Футболка унисекс E150 Organic красная, размер S")</f>
      </c>
      <c r="C16967" s="4" t="n">
        <v>741.00</v>
      </c>
      <c r="D16967" s="4"/>
    </row>
    <row collapsed="" customFormat="false" customHeight="1" hidden="" ht="14" outlineLevel="0" r="16968">
      <c r="A16968" s="3" t="inlineStr">
        <is>
          <t>16923</t>
        </is>
      </c>
      <c r="B16968" s="4" t="s">
        <f>=HYPERLINK("http://anyluxury.ru/shop/odezhda/futbolki-dlya-promo/futbolka-uniseks-e150-organic-krasnaya-tu01b004/" , "TU01B004 Футболка унисекс E150 Organic красная, размер M")</f>
      </c>
      <c r="C16968" s="4" t="n">
        <v>741.00</v>
      </c>
      <c r="D16968" s="4"/>
    </row>
    <row collapsed="" customFormat="false" customHeight="1" hidden="" ht="14" outlineLevel="0" r="16969">
      <c r="A16969" s="3" t="inlineStr">
        <is>
          <t>16924</t>
        </is>
      </c>
      <c r="B16969" s="4" t="s">
        <f>=HYPERLINK("http://anyluxury.ru/shop/odezhda/futbolki-dlya-promo/futbolka-uniseks-e150-organic-krasnaya-tu01b004/" , "TU01B004 Футболка унисекс E150 Organic красная, размер 3XL")</f>
      </c>
      <c r="C16969" s="4" t="n">
        <v>927.00</v>
      </c>
      <c r="D16969" s="4"/>
    </row>
    <row collapsed="" customFormat="false" customHeight="1" hidden="" ht="14" outlineLevel="0" r="16970">
      <c r="A16970" s="3" t="inlineStr">
        <is>
          <t>16925</t>
        </is>
      </c>
      <c r="B16970" s="4" t="s">
        <f>=HYPERLINK("http://anyluxury.ru/shop/odezhda/futbolki-dlya-promo/futbolka-uniseks-e150-organic-krasnaya-tu01b004/" , "TU01B004 Футболка унисекс E150 Organic красная, размер 4XL")</f>
      </c>
      <c r="C16970" s="4" t="n">
        <v>927.00</v>
      </c>
      <c r="D16970" s="4"/>
    </row>
    <row collapsed="" customFormat="false" customHeight="1" hidden="" ht="14" outlineLevel="0" r="16971">
      <c r="A16971" s="3" t="inlineStr">
        <is>
          <t>16926</t>
        </is>
      </c>
      <c r="B16971" s="4" t="s">
        <f>=HYPERLINK("http://anyluxury.ru/shop/odezhda/futbolki-dlya-promo/futbolka-uniseks-e150-organic-krasnaya-tu01b004/" , "TU01B004 Футболка унисекс E150 Organic красная, размер 5XL")</f>
      </c>
      <c r="C16971" s="4" t="n">
        <v>927.00</v>
      </c>
      <c r="D16971" s="4"/>
    </row>
    <row collapsed="" customFormat="false" customHeight="1" hidden="" ht="14" outlineLevel="0" r="16972">
      <c r="A16972" s="3" t="inlineStr">
        <is>
          <t>16927</t>
        </is>
      </c>
      <c r="B16972" s="4" t="s">
        <f>=HYPERLINK("http://anyluxury.ru/shop/odezhda/futbolki-dlya-promo/futbolka-uniseks-e150-organic-yarkosinyaya-tu01b453/" , "TU01B453 Футболка унисекс E150 Organic ярко-синяя, размер XS")</f>
      </c>
      <c r="C16972" s="4" t="n">
        <v>741.00</v>
      </c>
      <c r="D16972" s="4"/>
    </row>
    <row collapsed="" customFormat="false" customHeight="1" hidden="" ht="14" outlineLevel="0" r="16973">
      <c r="A16973" s="3" t="inlineStr">
        <is>
          <t>16928</t>
        </is>
      </c>
      <c r="B16973" s="4" t="s">
        <f>=HYPERLINK("http://anyluxury.ru/shop/odezhda/futbolki-dlya-promo/futbolka-uniseks-e150-organic-yarkosinyaya-tu01b453/" , "TU01B453 Футболка унисекс E150 Organic ярко-синяя, размер S")</f>
      </c>
      <c r="C16973" s="4" t="n">
        <v>741.00</v>
      </c>
      <c r="D16973" s="4"/>
    </row>
    <row collapsed="" customFormat="false" customHeight="1" hidden="" ht="14" outlineLevel="0" r="16974">
      <c r="A16974" s="3" t="inlineStr">
        <is>
          <t>16929</t>
        </is>
      </c>
      <c r="B16974" s="4" t="s">
        <f>=HYPERLINK("http://anyluxury.ru/shop/odezhda/futbolki-dlya-promo/futbolka-uniseks-e150-organic-yarkosinyaya-tu01b453/" , "TU01B453 Футболка унисекс E150 Organic ярко-синяя, размер M")</f>
      </c>
      <c r="C16974" s="4" t="n">
        <v>741.00</v>
      </c>
      <c r="D16974" s="4"/>
    </row>
    <row collapsed="" customFormat="false" customHeight="1" hidden="" ht="14" outlineLevel="0" r="16975">
      <c r="A16975" s="3" t="inlineStr">
        <is>
          <t>16930</t>
        </is>
      </c>
      <c r="B16975" s="4" t="s">
        <f>=HYPERLINK("http://anyluxury.ru/shop/odezhda/futbolki-dlya-promo/futbolka-uniseks-e150-organic-yarkosinyaya-tu01b453/" , "TU01B453 Футболка унисекс E150 Organic ярко-синяя, размер L")</f>
      </c>
      <c r="C16975" s="4" t="n">
        <v>741.00</v>
      </c>
      <c r="D16975" s="4"/>
    </row>
    <row collapsed="" customFormat="false" customHeight="1" hidden="" ht="14" outlineLevel="0" r="16976">
      <c r="A16976" s="3" t="inlineStr">
        <is>
          <t>16931</t>
        </is>
      </c>
      <c r="B16976" s="4" t="s">
        <f>=HYPERLINK("http://anyluxury.ru/shop/odezhda/futbolki-dlya-promo/futbolka-uniseks-e150-organic-yarkosinyaya-tu01b453/" , "TU01B453 Футболка унисекс E150 Organic ярко-синяя, размер XL")</f>
      </c>
      <c r="C16976" s="4" t="n">
        <v>741.00</v>
      </c>
      <c r="D16976" s="4"/>
    </row>
    <row collapsed="" customFormat="false" customHeight="1" hidden="" ht="14" outlineLevel="0" r="16977">
      <c r="A16977" s="3" t="inlineStr">
        <is>
          <t>16932</t>
        </is>
      </c>
      <c r="B16977" s="4" t="s">
        <f>=HYPERLINK("http://anyluxury.ru/shop/odezhda/futbolki-dlya-promo/futbolka-uniseks-e150-organic-yarkosinyaya-tu01b453/" , "TU01B453 Футболка унисекс E150 Organic ярко-синяя, размер 3XL")</f>
      </c>
      <c r="C16977" s="4" t="n">
        <v>927.00</v>
      </c>
      <c r="D16977" s="4"/>
    </row>
    <row collapsed="" customFormat="false" customHeight="1" hidden="" ht="14" outlineLevel="0" r="16978">
      <c r="A16978" s="3" t="inlineStr">
        <is>
          <t>16933</t>
        </is>
      </c>
      <c r="B16978" s="4" t="s">
        <f>=HYPERLINK("http://anyluxury.ru/shop/odezhda/futbolki-dlya-promo/futbolka-uniseks-e150-organic-yarkosinyaya-tu01b453/" , "TU01B453 Футболка унисекс E150 Organic ярко-синяя, размер 4XL")</f>
      </c>
      <c r="C16978" s="4" t="n">
        <v>927.00</v>
      </c>
      <c r="D16978" s="4"/>
    </row>
    <row collapsed="" customFormat="false" customHeight="1" hidden="" ht="14" outlineLevel="0" r="16979">
      <c r="A16979" s="3" t="inlineStr">
        <is>
          <t>16934</t>
        </is>
      </c>
      <c r="B16979" s="4" t="s">
        <f>=HYPERLINK("http://anyluxury.ru/shop/odezhda/futbolki-dlya-promo/futbolka-uniseks-e150-organic-yarkosinyaya-tu01b453/" , "TU01B453 Футболка унисекс E150 Organic ярко-синяя, размер 5XL")</f>
      </c>
      <c r="C16979" s="4" t="n">
        <v>927.00</v>
      </c>
      <c r="D16979" s="4"/>
    </row>
    <row collapsed="" customFormat="false" customHeight="1" hidden="" ht="14" outlineLevel="0" r="16980">
      <c r="A16980" s="3" t="inlineStr">
        <is>
          <t>16935</t>
        </is>
      </c>
      <c r="B16980" s="4" t="s">
        <f>=HYPERLINK("http://anyluxury.ru/shop/odezhda/futbolki-dlya-promo/futbolka-uniseks-e150-organic-chernaya-tu01b005/" , "TU01B005 Футболка унисекс E150 Organic черная, размер S")</f>
      </c>
      <c r="C16980" s="4" t="n">
        <v>741.00</v>
      </c>
      <c r="D16980" s="4"/>
    </row>
    <row collapsed="" customFormat="false" customHeight="1" hidden="" ht="14" outlineLevel="0" r="16981">
      <c r="A16981" s="3" t="inlineStr">
        <is>
          <t>16936</t>
        </is>
      </c>
      <c r="B16981" s="4" t="s">
        <f>=HYPERLINK("http://anyluxury.ru/shop/odezhda/futbolki-dlya-promo/futbolka-uniseks-e150-organic-chernaya-tu01b005/" , "TU01B005 Футболка унисекс E150 Organic черная, размер M")</f>
      </c>
      <c r="C16981" s="4" t="n">
        <v>741.00</v>
      </c>
      <c r="D16981" s="4"/>
    </row>
    <row collapsed="" customFormat="false" customHeight="1" hidden="" ht="14" outlineLevel="0" r="16982">
      <c r="A16982" s="3" t="inlineStr">
        <is>
          <t>16937</t>
        </is>
      </c>
      <c r="B16982" s="4" t="s">
        <f>=HYPERLINK("http://anyluxury.ru/shop/odezhda/futbolki-dlya-promo/futbolka-uniseks-e150-organic-chernaya-tu01b005/" , "TU01B005 Футболка унисекс E150 Organic черная, размер L")</f>
      </c>
      <c r="C16982" s="4" t="n">
        <v>741.00</v>
      </c>
      <c r="D16982" s="4"/>
    </row>
    <row collapsed="" customFormat="false" customHeight="1" hidden="" ht="14" outlineLevel="0" r="16983">
      <c r="A16983" s="3" t="inlineStr">
        <is>
          <t>16938</t>
        </is>
      </c>
      <c r="B16983" s="4" t="s">
        <f>=HYPERLINK("http://anyluxury.ru/shop/odezhda/futbolki-dlya-promo/futbolka-uniseks-e150-organic-chernaya-tu01b005/" , "TU01B005 Футболка унисекс E150 Organic черная, размер XL")</f>
      </c>
      <c r="C16983" s="4" t="n">
        <v>741.00</v>
      </c>
      <c r="D16983" s="4"/>
    </row>
    <row collapsed="" customFormat="false" customHeight="1" hidden="" ht="14" outlineLevel="0" r="16984">
      <c r="A16984" s="3" t="inlineStr">
        <is>
          <t>16939</t>
        </is>
      </c>
      <c r="B16984" s="4" t="s">
        <f>=HYPERLINK("http://anyluxury.ru/shop/odezhda/futbolki-dlya-promo/futbolka-uniseks-e150-organic-chernaya-tu01b005/" , "TU01B005 Футболка унисекс E150 Organic черная, размер XXL")</f>
      </c>
      <c r="C16984" s="4" t="n">
        <v>741.00</v>
      </c>
      <c r="D16984" s="4"/>
    </row>
    <row collapsed="" customFormat="false" customHeight="1" hidden="" ht="14" outlineLevel="0" r="16985">
      <c r="A16985" s="3" t="inlineStr">
        <is>
          <t>16940</t>
        </is>
      </c>
      <c r="B16985" s="4" t="s">
        <f>=HYPERLINK("http://anyluxury.ru/shop/odezhda/futbolki-dlya-promo/futbolka-uniseks-e150-organic-chernaya-tu01b005/" , "TU01B005 Футболка унисекс E150 Organic черная, размер 4XL")</f>
      </c>
      <c r="C16985" s="4" t="n">
        <v>927.00</v>
      </c>
      <c r="D16985" s="4"/>
    </row>
    <row collapsed="" customFormat="false" customHeight="1" hidden="" ht="14" outlineLevel="0" r="16986">
      <c r="A16986" s="3" t="inlineStr">
        <is>
          <t>16941</t>
        </is>
      </c>
      <c r="B16986" s="4" t="s">
        <f>=HYPERLINK("http://anyluxury.ru/shop/odezhda/futbolki-dlya-promo/futbolka-uniseks-e150-organic-chernaya-tu01b005/" , "TU01B005 Футболка унисекс E150 Organic черная, размер 5XL")</f>
      </c>
      <c r="C16986" s="4" t="n">
        <v>927.00</v>
      </c>
      <c r="D16986" s="4"/>
    </row>
    <row collapsed="" customFormat="false" customHeight="1" hidden="" ht="14" outlineLevel="0" r="16987">
      <c r="A16987" s="3" t="inlineStr">
        <is>
          <t>16942</t>
        </is>
      </c>
      <c r="B16987" s="4" t="s">
        <f>=HYPERLINK("http://anyluxury.ru/shop/odezhda/futbolki-dlya-promo/futbolka-uniseks-e150-organic-temnosinyaya-tu01b006/" , "TU01B006 Футболка унисекс E150 Organic темно-синяя, размер XS")</f>
      </c>
      <c r="C16987" s="4" t="n">
        <v>741.00</v>
      </c>
      <c r="D16987" s="4"/>
    </row>
    <row collapsed="" customFormat="false" customHeight="1" hidden="" ht="14" outlineLevel="0" r="16988">
      <c r="A16988" s="3" t="inlineStr">
        <is>
          <t>16943</t>
        </is>
      </c>
      <c r="B16988" s="4" t="s">
        <f>=HYPERLINK("http://anyluxury.ru/shop/odezhda/futbolki-dlya-promo/futbolka-uniseks-e150-organic-temnosinyaya-tu01b006/" , "TU01B006 Футболка унисекс E150 Organic темно-синяя, размер 3XL")</f>
      </c>
      <c r="C16988" s="4" t="n">
        <v>927.00</v>
      </c>
      <c r="D16988" s="4"/>
    </row>
    <row collapsed="" customFormat="false" customHeight="1" hidden="" ht="14" outlineLevel="0" r="16989">
      <c r="A16989" s="3" t="inlineStr">
        <is>
          <t>16944</t>
        </is>
      </c>
      <c r="B16989" s="4" t="s">
        <f>=HYPERLINK("http://anyluxury.ru/shop/odezhda/futbolki-dlya-promo/futbolka-uniseks-e150-organic-temnosinyaya-tu01b006/" , "TU01B006 Футболка унисекс E150 Organic темно-синяя, размер 4XL")</f>
      </c>
      <c r="C16989" s="4" t="n">
        <v>927.00</v>
      </c>
      <c r="D16989" s="4"/>
    </row>
    <row collapsed="" customFormat="false" customHeight="1" hidden="" ht="14" outlineLevel="0" r="16990">
      <c r="A16990" s="3" t="inlineStr">
        <is>
          <t>16945</t>
        </is>
      </c>
      <c r="B16990" s="4" t="s">
        <f>=HYPERLINK("http://anyluxury.ru/shop/odezhda/futbolki-dlya-promo/futbolka-uniseks-e150-organic-temnosinyaya-tu01b006/" , "TU01B006 Футболка унисекс E150 Organic темно-синяя, размер 5XL")</f>
      </c>
      <c r="C16990" s="4" t="n">
        <v>927.00</v>
      </c>
      <c r="D16990" s="4"/>
    </row>
    <row collapsed="" customFormat="false" customHeight="1" hidden="" ht="14" outlineLevel="0" r="16991">
      <c r="A16991" s="3" t="inlineStr">
        <is>
          <t>16946</t>
        </is>
      </c>
      <c r="B16991" s="4" t="s">
        <f>=HYPERLINK("http://anyluxury.ru/shop/odezhda/futbolki-dlya-promo/futbolka-uniseks-e150-organic-molochnobelaya-tu01b101/" , "TU01B101 Футболка унисекс E150 Organic молочно-белая, размер S")</f>
      </c>
      <c r="C16991" s="4" t="n">
        <v>741.00</v>
      </c>
      <c r="D16991" s="4"/>
    </row>
    <row collapsed="" customFormat="false" customHeight="1" hidden="" ht="14" outlineLevel="0" r="16992">
      <c r="A16992" s="3" t="inlineStr">
        <is>
          <t>16947</t>
        </is>
      </c>
      <c r="B16992" s="4" t="s">
        <f>=HYPERLINK("http://anyluxury.ru/shop/odezhda/futbolki-dlya-promo/futbolka-uniseks-e150-organic-molochnobelaya-tu01b101/" , "TU01B101 Футболка унисекс E150 Organic молочно-белая, размер M")</f>
      </c>
      <c r="C16992" s="4" t="n">
        <v>741.00</v>
      </c>
      <c r="D16992" s="4"/>
    </row>
    <row collapsed="" customFormat="false" customHeight="1" hidden="" ht="14" outlineLevel="0" r="16993">
      <c r="A16993" s="3" t="inlineStr">
        <is>
          <t>16948</t>
        </is>
      </c>
      <c r="B16993" s="4" t="s">
        <f>=HYPERLINK("http://anyluxury.ru/shop/odezhda/futbolki-dlya-promo/futbolka-uniseks-e150-organic-molochnobelaya-tu01b101/" , "TU01B101 Футболка унисекс E150 Organic молочно-белая, размер L")</f>
      </c>
      <c r="C16993" s="4" t="n">
        <v>741.00</v>
      </c>
      <c r="D16993" s="4"/>
    </row>
    <row collapsed="" customFormat="false" customHeight="1" hidden="" ht="14" outlineLevel="0" r="16994">
      <c r="A16994" s="3" t="inlineStr">
        <is>
          <t>16949</t>
        </is>
      </c>
      <c r="B16994" s="4" t="s">
        <f>=HYPERLINK("http://anyluxury.ru/shop/odezhda/futbolki-dlya-promo/futbolka-uniseks-e150-organic-molochnobelaya-tu01b101/" , "TU01B101 Футболка унисекс E150 Organic молочно-белая, размер XL")</f>
      </c>
      <c r="C16994" s="4" t="n">
        <v>741.00</v>
      </c>
      <c r="D16994" s="4"/>
    </row>
    <row collapsed="" customFormat="false" customHeight="1" hidden="" ht="14" outlineLevel="0" r="16995">
      <c r="A16995" s="3" t="inlineStr">
        <is>
          <t>16950</t>
        </is>
      </c>
      <c r="B16995" s="4" t="s">
        <f>=HYPERLINK("http://anyluxury.ru/shop/odezhda/futbolki-dlya-promo/futbolka-uniseks-e150-organic-molochnobelaya-tu01b101/" , "TU01B101 Футболка унисекс E150 Organic молочно-белая, размер XXL")</f>
      </c>
      <c r="C16995" s="4" t="n">
        <v>741.00</v>
      </c>
      <c r="D16995" s="4"/>
    </row>
    <row collapsed="" customFormat="false" customHeight="1" hidden="" ht="14" outlineLevel="0" r="16996">
      <c r="A16996" s="3" t="inlineStr">
        <is>
          <t>16951</t>
        </is>
      </c>
      <c r="B16996" s="4" t="s">
        <f>=HYPERLINK("http://anyluxury.ru/shop/odezhda/futbolki-dlya-promo/futbolka-uniseks-e150-organic-molochnobelaya-tu01b101/" , "TU01B101 Футболка унисекс E150 Organic молочно-белая, размер 3XL")</f>
      </c>
      <c r="C16996" s="4" t="n">
        <v>927.00</v>
      </c>
      <c r="D16996" s="4"/>
    </row>
    <row collapsed="" customFormat="false" customHeight="1" hidden="" ht="14" outlineLevel="0" r="16997">
      <c r="A16997" s="3" t="inlineStr">
        <is>
          <t>16952</t>
        </is>
      </c>
      <c r="B16997" s="4" t="s">
        <f>=HYPERLINK("http://anyluxury.ru/shop/odezhda/futbolki-dlya-promo/futbolka-uniseks-e150-organic-korichnevaya-mokko-tu01b137/" , "TU01B137 Футболка унисекс E150 Organic коричневая (мокко), размер XS")</f>
      </c>
      <c r="C16997" s="4" t="n">
        <v>741.00</v>
      </c>
      <c r="D16997" s="4"/>
    </row>
    <row collapsed="" customFormat="false" customHeight="1" hidden="" ht="14" outlineLevel="0" r="16998">
      <c r="A16998" s="3" t="inlineStr">
        <is>
          <t>16953</t>
        </is>
      </c>
      <c r="B16998" s="4" t="s">
        <f>=HYPERLINK("http://anyluxury.ru/shop/odezhda/futbolki-dlya-promo/futbolka-uniseks-e150-organic-korichnevaya-mokko-tu01b137/" , "TU01B137 Футболка унисекс E150 Organic коричневая (мокко), размер 3XL")</f>
      </c>
      <c r="C16998" s="4" t="n">
        <v>927.00</v>
      </c>
      <c r="D16998" s="4"/>
    </row>
    <row collapsed="" customFormat="false" customHeight="1" hidden="" ht="14" outlineLevel="0" r="16999">
      <c r="A16999" s="3" t="inlineStr">
        <is>
          <t>16954</t>
        </is>
      </c>
      <c r="B16999" s="4" t="s">
        <f>=HYPERLINK("http://anyluxury.ru/shop/odezhda/futbolki-dlya-promo/futbolka-uniseks-e150-organic-zheltaya-tu01b205/" , "TU01B205 Футболка унисекс E150 Organic желтая, размер XS")</f>
      </c>
      <c r="C16999" s="4" t="n">
        <v>685.00</v>
      </c>
      <c r="D16999" s="4"/>
    </row>
    <row collapsed="" customFormat="false" customHeight="1" hidden="" ht="14" outlineLevel="0" r="17000">
      <c r="A17000" s="3" t="inlineStr">
        <is>
          <t>16955</t>
        </is>
      </c>
      <c r="B17000" s="4" t="s">
        <f>=HYPERLINK("http://anyluxury.ru/shop/odezhda/futbolki-dlya-promo/futbolka-uniseks-e150-organic-zheltaya-tu01b205/" , "TU01B205 Футболка унисекс E150 Organic желтая, размер S")</f>
      </c>
      <c r="C17000" s="4" t="n">
        <v>685.00</v>
      </c>
      <c r="D17000" s="4"/>
    </row>
    <row collapsed="" customFormat="false" customHeight="1" hidden="" ht="14" outlineLevel="0" r="17001">
      <c r="A17001" s="3" t="inlineStr">
        <is>
          <t>16956</t>
        </is>
      </c>
      <c r="B17001" s="4" t="s">
        <f>=HYPERLINK("http://anyluxury.ru/shop/odezhda/futbolki-dlya-promo/futbolka-uniseks-e150-organic-zheltaya-tu01b205/" , "TU01B205 Футболка унисекс E150 Organic желтая, размер M")</f>
      </c>
      <c r="C17001" s="4" t="n">
        <v>685.00</v>
      </c>
      <c r="D17001" s="4"/>
    </row>
    <row collapsed="" customFormat="false" customHeight="1" hidden="" ht="14" outlineLevel="0" r="17002">
      <c r="A17002" s="3" t="inlineStr">
        <is>
          <t>16957</t>
        </is>
      </c>
      <c r="B17002" s="4" t="s">
        <f>=HYPERLINK("http://anyluxury.ru/shop/odezhda/futbolki-dlya-promo/futbolka-uniseks-e150-organic-zheltaya-tu01b205/" , "TU01B205 Футболка унисекс E150 Organic желтая, размер L")</f>
      </c>
      <c r="C17002" s="4" t="n">
        <v>685.00</v>
      </c>
      <c r="D17002" s="4"/>
    </row>
    <row collapsed="" customFormat="false" customHeight="1" hidden="" ht="14" outlineLevel="0" r="17003">
      <c r="A17003" s="3" t="inlineStr">
        <is>
          <t>16958</t>
        </is>
      </c>
      <c r="B17003" s="4" t="s">
        <f>=HYPERLINK("http://anyluxury.ru/shop/odezhda/futbolki-dlya-promo/futbolka-uniseks-e150-organic-zheltaya-tu01b205/" , "TU01B205 Футболка унисекс E150 Organic желтая, размер XL")</f>
      </c>
      <c r="C17003" s="4" t="n">
        <v>685.00</v>
      </c>
      <c r="D17003" s="4"/>
    </row>
    <row collapsed="" customFormat="false" customHeight="1" hidden="" ht="14" outlineLevel="0" r="17004">
      <c r="A17004" s="3" t="inlineStr">
        <is>
          <t>16959</t>
        </is>
      </c>
      <c r="B17004" s="4" t="s">
        <f>=HYPERLINK("http://anyluxury.ru/shop/odezhda/futbolki-dlya-promo/futbolka-uniseks-e150-organic-zheltaya-tu01b205/" , "TU01B205 Футболка унисекс E150 Organic желтая, размер XXL")</f>
      </c>
      <c r="C17004" s="4" t="n">
        <v>685.00</v>
      </c>
      <c r="D17004" s="4"/>
    </row>
    <row collapsed="" customFormat="false" customHeight="1" hidden="" ht="14" outlineLevel="0" r="17005">
      <c r="A17005" s="3" t="inlineStr">
        <is>
          <t>16960</t>
        </is>
      </c>
      <c r="B17005" s="4" t="s">
        <f>=HYPERLINK("http://anyluxury.ru/shop/odezhda/futbolki-dlya-promo/futbolka-uniseks-e150-organic-zheltaya-tu01b205/" , "TU01B205 Футболка унисекс E150 Organic желтая, размер 3XL")</f>
      </c>
      <c r="C17005" s="4" t="n">
        <v>863.00</v>
      </c>
      <c r="D17005" s="4"/>
    </row>
    <row collapsed="" customFormat="false" customHeight="1" hidden="" ht="14" outlineLevel="0" r="17006">
      <c r="A17006" s="3" t="inlineStr">
        <is>
          <t>16961</t>
        </is>
      </c>
      <c r="B17006" s="4" t="s">
        <f>=HYPERLINK("http://anyluxury.ru/shop/odezhda/futbolki-dlya-promo/futbolka-uniseks-e150-organic-oranzhevaya-tu01b233/" , "TU01B233 Футболка унисекс E150 Organic оранжевая, размер XS")</f>
      </c>
      <c r="C17006" s="4" t="n">
        <v>741.00</v>
      </c>
      <c r="D17006" s="4"/>
    </row>
    <row collapsed="" customFormat="false" customHeight="1" hidden="" ht="14" outlineLevel="0" r="17007">
      <c r="A17007" s="3" t="inlineStr">
        <is>
          <t>16962</t>
        </is>
      </c>
      <c r="B17007" s="4" t="s">
        <f>=HYPERLINK("http://anyluxury.ru/shop/odezhda/futbolki-dlya-promo/futbolka-uniseks-e150-organic-oranzhevaya-tu01b233/" , "TU01B233 Футболка унисекс E150 Organic оранжевая, размер S")</f>
      </c>
      <c r="C17007" s="4" t="n">
        <v>741.00</v>
      </c>
      <c r="D17007" s="4"/>
    </row>
    <row collapsed="" customFormat="false" customHeight="1" hidden="" ht="14" outlineLevel="0" r="17008">
      <c r="A17008" s="3" t="inlineStr">
        <is>
          <t>16963</t>
        </is>
      </c>
      <c r="B17008" s="4" t="s">
        <f>=HYPERLINK("http://anyluxury.ru/shop/odezhda/futbolki-dlya-promo/futbolka-uniseks-e150-organic-oranzhevaya-tu01b233/" , "TU01B233 Футболка унисекс E150 Organic оранжевая, размер 3XL")</f>
      </c>
      <c r="C17008" s="4" t="n">
        <v>927.00</v>
      </c>
      <c r="D17008" s="4"/>
    </row>
    <row collapsed="" customFormat="false" customHeight="1" hidden="" ht="14" outlineLevel="0" r="17009">
      <c r="A17009" s="3" t="inlineStr">
        <is>
          <t>16964</t>
        </is>
      </c>
      <c r="B17009" s="4" t="s">
        <f>=HYPERLINK("http://anyluxury.ru/shop/odezhda/futbolki-dlya-promo/futbolka-uniseks-e150-organic-rozovaya-tu01b306/" , "TU01B306 Футболка унисекс E150 Organic розовая, размер XS")</f>
      </c>
      <c r="C17009" s="4" t="n">
        <v>741.00</v>
      </c>
      <c r="D17009" s="4"/>
    </row>
    <row collapsed="" customFormat="false" customHeight="1" hidden="" ht="14" outlineLevel="0" r="17010">
      <c r="A17010" s="3" t="inlineStr">
        <is>
          <t>16965</t>
        </is>
      </c>
      <c r="B17010" s="4" t="s">
        <f>=HYPERLINK("http://anyluxury.ru/shop/odezhda/futbolki-dlya-promo/futbolka-uniseks-e150-organic-rozovaya-tu01b306/" , "TU01B306 Футболка унисекс E150 Organic розовая, размер XXL")</f>
      </c>
      <c r="C17010" s="4" t="n">
        <v>741.00</v>
      </c>
      <c r="D17010" s="4"/>
    </row>
    <row collapsed="" customFormat="false" customHeight="1" hidden="" ht="14" outlineLevel="0" r="17011">
      <c r="A17011" s="3" t="inlineStr">
        <is>
          <t>16966</t>
        </is>
      </c>
      <c r="B17011" s="4" t="s">
        <f>=HYPERLINK("http://anyluxury.ru/shop/odezhda/futbolki-dlya-promo/futbolka-uniseks-e150-organic-rozovaya-tu01b306/" , "TU01B306 Футболка унисекс E150 Organic розовая, размер 3XL")</f>
      </c>
      <c r="C17011" s="4" t="n">
        <v>927.00</v>
      </c>
      <c r="D17011" s="4"/>
    </row>
    <row collapsed="" customFormat="false" customHeight="1" hidden="" ht="14" outlineLevel="0" r="17012">
      <c r="A17012" s="3" t="inlineStr">
        <is>
          <t>16967</t>
        </is>
      </c>
      <c r="B17012" s="4" t="s">
        <f>=HYPERLINK("http://anyluxury.ru/shop/odezhda/futbolki-dlya-promo/futbolka-uniseks-e150-organic-yarkorozovaya-fuksiya-tu01b309/" , "TU01B309 Футболка унисекс E150 Organic ярко-розовая (фуксия), размер XS")</f>
      </c>
      <c r="C17012" s="4" t="n">
        <v>685.00</v>
      </c>
      <c r="D17012" s="4"/>
    </row>
    <row collapsed="" customFormat="false" customHeight="1" hidden="" ht="14" outlineLevel="0" r="17013">
      <c r="A17013" s="3" t="inlineStr">
        <is>
          <t>16968</t>
        </is>
      </c>
      <c r="B17013" s="4" t="s">
        <f>=HYPERLINK("http://anyluxury.ru/shop/odezhda/futbolki-dlya-promo/futbolka-uniseks-e150-organic-yarkorozovaya-fuksiya-tu01b309/" , "TU01B309 Футболка унисекс E150 Organic ярко-розовая (фуксия), размер S")</f>
      </c>
      <c r="C17013" s="4" t="n">
        <v>685.00</v>
      </c>
      <c r="D17013" s="4"/>
    </row>
    <row collapsed="" customFormat="false" customHeight="1" hidden="" ht="14" outlineLevel="0" r="17014">
      <c r="A17014" s="3" t="inlineStr">
        <is>
          <t>16969</t>
        </is>
      </c>
      <c r="B17014" s="4" t="s">
        <f>=HYPERLINK("http://anyluxury.ru/shop/odezhda/futbolki-dlya-promo/futbolka-uniseks-e150-organic-yarkorozovaya-fuksiya-tu01b309/" , "TU01B309 Футболка унисекс E150 Organic ярко-розовая (фуксия), размер M")</f>
      </c>
      <c r="C17014" s="4" t="n">
        <v>685.00</v>
      </c>
      <c r="D17014" s="4"/>
    </row>
    <row collapsed="" customFormat="false" customHeight="1" hidden="" ht="14" outlineLevel="0" r="17015">
      <c r="A17015" s="3" t="inlineStr">
        <is>
          <t>16970</t>
        </is>
      </c>
      <c r="B17015" s="4" t="s">
        <f>=HYPERLINK("http://anyluxury.ru/shop/odezhda/futbolki-dlya-promo/futbolka-uniseks-e150-organic-yarkorozovaya-fuksiya-tu01b309/" , "TU01B309 Футболка унисекс E150 Organic ярко-розовая (фуксия), размер L")</f>
      </c>
      <c r="C17015" s="4" t="n">
        <v>685.00</v>
      </c>
      <c r="D17015" s="4"/>
    </row>
    <row collapsed="" customFormat="false" customHeight="1" hidden="" ht="14" outlineLevel="0" r="17016">
      <c r="A17016" s="3" t="inlineStr">
        <is>
          <t>16971</t>
        </is>
      </c>
      <c r="B17016" s="4" t="s">
        <f>=HYPERLINK("http://anyluxury.ru/shop/odezhda/futbolki-dlya-promo/futbolka-uniseks-e150-organic-yarkorozovaya-fuksiya-tu01b309/" , "TU01B309 Футболка унисекс E150 Organic ярко-розовая (фуксия), размер XL")</f>
      </c>
      <c r="C17016" s="4" t="n">
        <v>685.00</v>
      </c>
      <c r="D17016" s="4"/>
    </row>
    <row collapsed="" customFormat="false" customHeight="1" hidden="" ht="14" outlineLevel="0" r="17017">
      <c r="A17017" s="3" t="inlineStr">
        <is>
          <t>16972</t>
        </is>
      </c>
      <c r="B17017" s="4" t="s">
        <f>=HYPERLINK("http://anyluxury.ru/shop/odezhda/futbolki-dlya-promo/futbolka-uniseks-e150-organic-yarkorozovaya-fuksiya-tu01b309/" , "TU01B309 Футболка унисекс E150 Organic ярко-розовая (фуксия), размер XXL")</f>
      </c>
      <c r="C17017" s="4" t="n">
        <v>685.00</v>
      </c>
      <c r="D17017" s="4"/>
    </row>
    <row collapsed="" customFormat="false" customHeight="1" hidden="" ht="14" outlineLevel="0" r="17018">
      <c r="A17018" s="3" t="inlineStr">
        <is>
          <t>16973</t>
        </is>
      </c>
      <c r="B17018" s="4" t="s">
        <f>=HYPERLINK("http://anyluxury.ru/shop/odezhda/futbolki-dlya-promo/futbolka-uniseks-e150-organic-yarkorozovaya-fuksiya-tu01b309/" , "TU01B309 Футболка унисекс E150 Organic ярко-розовая (фуксия), размер 3XL")</f>
      </c>
      <c r="C17018" s="4" t="n">
        <v>863.00</v>
      </c>
      <c r="D17018" s="4"/>
    </row>
    <row collapsed="" customFormat="false" customHeight="1" hidden="" ht="14" outlineLevel="0" r="17019">
      <c r="A17019" s="3" t="inlineStr">
        <is>
          <t>16974</t>
        </is>
      </c>
      <c r="B17019" s="4" t="s">
        <f>=HYPERLINK("http://anyluxury.ru/shop/odezhda/futbolki-dlya-promo/futbolka-uniseks-e150-organic-fioletovaya-tu01b351/" , "TU01B351 Футболка унисекс E150 Organic фиолетовая, размер XS")</f>
      </c>
      <c r="C17019" s="4" t="n">
        <v>685.00</v>
      </c>
      <c r="D17019" s="4"/>
    </row>
    <row collapsed="" customFormat="false" customHeight="1" hidden="" ht="14" outlineLevel="0" r="17020">
      <c r="A17020" s="3" t="inlineStr">
        <is>
          <t>16975</t>
        </is>
      </c>
      <c r="B17020" s="4" t="s">
        <f>=HYPERLINK("http://anyluxury.ru/shop/odezhda/futbolki-dlya-promo/futbolka-uniseks-e150-organic-fioletovaya-tu01b351/" , "TU01B351 Футболка унисекс E150 Organic фиолетовая, размер S")</f>
      </c>
      <c r="C17020" s="4" t="n">
        <v>685.00</v>
      </c>
      <c r="D17020" s="4"/>
    </row>
    <row collapsed="" customFormat="false" customHeight="1" hidden="" ht="14" outlineLevel="0" r="17021">
      <c r="A17021" s="3" t="inlineStr">
        <is>
          <t>16976</t>
        </is>
      </c>
      <c r="B17021" s="4" t="s">
        <f>=HYPERLINK("http://anyluxury.ru/shop/odezhda/futbolki-dlya-promo/futbolka-uniseks-e150-organic-fioletovaya-tu01b351/" , "TU01B351 Футболка унисекс E150 Organic фиолетовая, размер M")</f>
      </c>
      <c r="C17021" s="4" t="n">
        <v>685.00</v>
      </c>
      <c r="D17021" s="4"/>
    </row>
    <row collapsed="" customFormat="false" customHeight="1" hidden="" ht="14" outlineLevel="0" r="17022">
      <c r="A17022" s="3" t="inlineStr">
        <is>
          <t>16977</t>
        </is>
      </c>
      <c r="B17022" s="4" t="s">
        <f>=HYPERLINK("http://anyluxury.ru/shop/odezhda/futbolki-dlya-promo/futbolka-uniseks-e150-organic-fioletovaya-tu01b351/" , "TU01B351 Футболка унисекс E150 Organic фиолетовая, размер L")</f>
      </c>
      <c r="C17022" s="4" t="n">
        <v>685.00</v>
      </c>
      <c r="D17022" s="4"/>
    </row>
    <row collapsed="" customFormat="false" customHeight="1" hidden="" ht="14" outlineLevel="0" r="17023">
      <c r="A17023" s="3" t="inlineStr">
        <is>
          <t>16978</t>
        </is>
      </c>
      <c r="B17023" s="4" t="s">
        <f>=HYPERLINK("http://anyluxury.ru/shop/odezhda/futbolki-dlya-promo/futbolka-uniseks-e150-organic-fioletovaya-tu01b351/" , "TU01B351 Футболка унисекс E150 Organic фиолетовая, размер XL")</f>
      </c>
      <c r="C17023" s="4" t="n">
        <v>685.00</v>
      </c>
      <c r="D17023" s="4"/>
    </row>
    <row collapsed="" customFormat="false" customHeight="1" hidden="" ht="14" outlineLevel="0" r="17024">
      <c r="A17024" s="3" t="inlineStr">
        <is>
          <t>16979</t>
        </is>
      </c>
      <c r="B17024" s="4" t="s">
        <f>=HYPERLINK("http://anyluxury.ru/shop/odezhda/futbolki-dlya-promo/futbolka-uniseks-e150-organic-fioletovaya-tu01b351/" , "TU01B351 Футболка унисекс E150 Organic фиолетовая, размер XXL")</f>
      </c>
      <c r="C17024" s="4" t="n">
        <v>685.00</v>
      </c>
      <c r="D17024" s="4"/>
    </row>
    <row collapsed="" customFormat="false" customHeight="1" hidden="" ht="14" outlineLevel="0" r="17025">
      <c r="A17025" s="3" t="inlineStr">
        <is>
          <t>16980</t>
        </is>
      </c>
      <c r="B17025" s="4" t="s">
        <f>=HYPERLINK("http://anyluxury.ru/shop/odezhda/futbolki-dlya-promo/futbolka-uniseks-e150-organic-fioletovaya-tu01b351/" , "TU01B351 Футболка унисекс E150 Organic фиолетовая, размер 3XL")</f>
      </c>
      <c r="C17025" s="4" t="n">
        <v>863.00</v>
      </c>
      <c r="D17025" s="4"/>
    </row>
    <row collapsed="" customFormat="false" customHeight="1" hidden="" ht="14" outlineLevel="0" r="17026">
      <c r="A17026" s="3" t="inlineStr">
        <is>
          <t>16981</t>
        </is>
      </c>
      <c r="B17026" s="4" t="s">
        <f>=HYPERLINK("http://anyluxury.ru/shop/odezhda/futbolki-dlya-promo/futbolka-uniseks-e150-organic-bordovaya-tu01b370/" , "TU01B370 Футболка унисекс E150 Organic бордовая, размер XS")</f>
      </c>
      <c r="C17026" s="4" t="n">
        <v>741.00</v>
      </c>
      <c r="D17026" s="4"/>
    </row>
    <row collapsed="" customFormat="false" customHeight="1" hidden="" ht="14" outlineLevel="0" r="17027">
      <c r="A17027" s="3" t="inlineStr">
        <is>
          <t>16982</t>
        </is>
      </c>
      <c r="B17027" s="4" t="s">
        <f>=HYPERLINK("http://anyluxury.ru/shop/odezhda/futbolki-dlya-promo/futbolka-uniseks-e150-organic-bordovaya-tu01b370/" , "TU01B370 Футболка унисекс E150 Organic бордовая, размер XXL")</f>
      </c>
      <c r="C17027" s="4" t="n">
        <v>741.00</v>
      </c>
      <c r="D17027" s="4"/>
    </row>
    <row collapsed="" customFormat="false" customHeight="1" hidden="" ht="14" outlineLevel="0" r="17028">
      <c r="A17028" s="3" t="inlineStr">
        <is>
          <t>16983</t>
        </is>
      </c>
      <c r="B17028" s="4" t="s">
        <f>=HYPERLINK("http://anyluxury.ru/shop/odezhda/futbolki-dlya-promo/futbolka-uniseks-e150-organic-bordovaya-tu01b370/" , "TU01B370 Футболка унисекс E150 Organic бордовая, размер 3XL")</f>
      </c>
      <c r="C17028" s="4" t="n">
        <v>927.00</v>
      </c>
      <c r="D17028" s="4"/>
    </row>
    <row collapsed="" customFormat="false" customHeight="1" hidden="" ht="14" outlineLevel="0" r="17029">
      <c r="A17029" s="3" t="inlineStr">
        <is>
          <t>16984</t>
        </is>
      </c>
      <c r="B17029" s="4" t="s">
        <f>=HYPERLINK("http://anyluxury.ru/shop/odezhda/futbolki-dlya-promo/futbolka-uniseks-e150-organic-serogolubaya-tu01b457/" , "TU01B457 Футболка унисекс E150 Organic серо-голубая, размер XS")</f>
      </c>
      <c r="C17029" s="4" t="n">
        <v>741.00</v>
      </c>
      <c r="D17029" s="4"/>
    </row>
    <row collapsed="" customFormat="false" customHeight="1" hidden="" ht="14" outlineLevel="0" r="17030">
      <c r="A17030" s="3" t="inlineStr">
        <is>
          <t>16985</t>
        </is>
      </c>
      <c r="B17030" s="4" t="s">
        <f>=HYPERLINK("http://anyluxury.ru/shop/odezhda/futbolki-dlya-promo/futbolka-uniseks-e150-organic-serogolubaya-tu01b457/" , "TU01B457 Футболка унисекс E150 Organic серо-голубая, размер XXL")</f>
      </c>
      <c r="C17030" s="4" t="n">
        <v>741.00</v>
      </c>
      <c r="D17030" s="4"/>
    </row>
    <row collapsed="" customFormat="false" customHeight="1" hidden="" ht="14" outlineLevel="0" r="17031">
      <c r="A17031" s="3" t="inlineStr">
        <is>
          <t>16986</t>
        </is>
      </c>
      <c r="B17031" s="4" t="s">
        <f>=HYPERLINK("http://anyluxury.ru/shop/odezhda/futbolki-dlya-promo/futbolka-uniseks-e150-organic-serogolubaya-tu01b457/" , "TU01B457 Футболка унисекс E150 Organic серо-голубая, размер 3XL")</f>
      </c>
      <c r="C17031" s="4" t="n">
        <v>927.00</v>
      </c>
      <c r="D17031" s="4"/>
    </row>
    <row collapsed="" customFormat="false" customHeight="1" hidden="" ht="14" outlineLevel="0" r="17032">
      <c r="A17032" s="3" t="inlineStr">
        <is>
          <t>16987</t>
        </is>
      </c>
      <c r="B17032" s="4" t="s">
        <f>=HYPERLINK("http://anyluxury.ru/shop/odezhda/futbolki-dlya-promo/futbolka-uniseks-e150-organic-serozelenaya-tu01b502/" , "TU01B502 Футболка унисекс E150 Organic серо-зеленая, размер XS")</f>
      </c>
      <c r="C17032" s="4" t="n">
        <v>741.00</v>
      </c>
      <c r="D17032" s="4"/>
    </row>
    <row collapsed="" customFormat="false" customHeight="1" hidden="" ht="14" outlineLevel="0" r="17033">
      <c r="A17033" s="3" t="inlineStr">
        <is>
          <t>16988</t>
        </is>
      </c>
      <c r="B17033" s="4" t="s">
        <f>=HYPERLINK("http://anyluxury.ru/shop/odezhda/futbolki-dlya-promo/futbolka-uniseks-e150-organic-serozelenaya-tu01b502/" , "TU01B502 Футболка унисекс E150 Organic серо-зеленая, размер XXL")</f>
      </c>
      <c r="C17033" s="4" t="n">
        <v>741.00</v>
      </c>
      <c r="D17033" s="4"/>
    </row>
    <row collapsed="" customFormat="false" customHeight="1" hidden="" ht="14" outlineLevel="0" r="17034">
      <c r="A17034" s="3" t="inlineStr">
        <is>
          <t>16989</t>
        </is>
      </c>
      <c r="B17034" s="4" t="s">
        <f>=HYPERLINK("http://anyluxury.ru/shop/odezhda/futbolki-dlya-promo/futbolka-uniseks-e150-organic-serozelenaya-tu01b502/" , "TU01B502 Футболка унисекс E150 Organic серо-зеленая, размер 3XL")</f>
      </c>
      <c r="C17034" s="4" t="n">
        <v>927.00</v>
      </c>
      <c r="D17034" s="4"/>
    </row>
    <row collapsed="" customFormat="false" customHeight="1" hidden="" ht="14" outlineLevel="0" r="17035">
      <c r="A17035" s="3" t="inlineStr">
        <is>
          <t>16990</t>
        </is>
      </c>
      <c r="B17035" s="4" t="s">
        <f>=HYPERLINK("http://anyluxury.ru/shop/odezhda/futbolki-dlya-promo/futbolka-uniseks-e150-organic-zelenaya-tu01b515/" , "TU01B515 Футболка унисекс E150 Organic зеленая, размер XS")</f>
      </c>
      <c r="C17035" s="4" t="n">
        <v>685.00</v>
      </c>
      <c r="D17035" s="4"/>
    </row>
    <row collapsed="" customFormat="false" customHeight="1" hidden="" ht="14" outlineLevel="0" r="17036">
      <c r="A17036" s="3" t="inlineStr">
        <is>
          <t>16991</t>
        </is>
      </c>
      <c r="B17036" s="4" t="s">
        <f>=HYPERLINK("http://anyluxury.ru/shop/odezhda/futbolki-dlya-promo/futbolka-uniseks-e150-organic-zelenaya-tu01b515/" , "TU01B515 Футболка унисекс E150 Organic зеленая, размер S")</f>
      </c>
      <c r="C17036" s="4" t="n">
        <v>685.00</v>
      </c>
      <c r="D17036" s="4"/>
    </row>
    <row collapsed="" customFormat="false" customHeight="1" hidden="" ht="14" outlineLevel="0" r="17037">
      <c r="A17037" s="3" t="inlineStr">
        <is>
          <t>16992</t>
        </is>
      </c>
      <c r="B17037" s="4" t="s">
        <f>=HYPERLINK("http://anyluxury.ru/shop/odezhda/futbolki-dlya-promo/futbolka-uniseks-e150-organic-zelenaya-tu01b515/" , "TU01B515 Футболка унисекс E150 Organic зеленая, размер M")</f>
      </c>
      <c r="C17037" s="4" t="n">
        <v>685.00</v>
      </c>
      <c r="D17037" s="4"/>
    </row>
    <row collapsed="" customFormat="false" customHeight="1" hidden="" ht="14" outlineLevel="0" r="17038">
      <c r="A17038" s="3" t="inlineStr">
        <is>
          <t>16993</t>
        </is>
      </c>
      <c r="B17038" s="4" t="s">
        <f>=HYPERLINK("http://anyluxury.ru/shop/odezhda/futbolki-dlya-promo/futbolka-uniseks-e150-organic-zelenaya-tu01b515/" , "TU01B515 Футболка унисекс E150 Organic зеленая, размер L")</f>
      </c>
      <c r="C17038" s="4" t="n">
        <v>685.00</v>
      </c>
      <c r="D17038" s="4"/>
    </row>
    <row collapsed="" customFormat="false" customHeight="1" hidden="" ht="14" outlineLevel="0" r="17039">
      <c r="A17039" s="3" t="inlineStr">
        <is>
          <t>16994</t>
        </is>
      </c>
      <c r="B17039" s="4" t="s">
        <f>=HYPERLINK("http://anyluxury.ru/shop/odezhda/futbolki-dlya-promo/futbolka-uniseks-e150-organic-zelenaya-tu01b515/" , "TU01B515 Футболка унисекс E150 Organic зеленая, размер XL")</f>
      </c>
      <c r="C17039" s="4" t="n">
        <v>685.00</v>
      </c>
      <c r="D17039" s="4"/>
    </row>
    <row collapsed="" customFormat="false" customHeight="1" hidden="" ht="14" outlineLevel="0" r="17040">
      <c r="A17040" s="3" t="inlineStr">
        <is>
          <t>16995</t>
        </is>
      </c>
      <c r="B17040" s="4" t="s">
        <f>=HYPERLINK("http://anyluxury.ru/shop/odezhda/futbolki-dlya-promo/futbolka-uniseks-e150-organic-zelenaya-tu01b515/" , "TU01B515 Футболка унисекс E150 Organic зеленая, размер XXL")</f>
      </c>
      <c r="C17040" s="4" t="n">
        <v>685.00</v>
      </c>
      <c r="D17040" s="4"/>
    </row>
    <row collapsed="" customFormat="false" customHeight="1" hidden="" ht="14" outlineLevel="0" r="17041">
      <c r="A17041" s="3" t="inlineStr">
        <is>
          <t>16996</t>
        </is>
      </c>
      <c r="B17041" s="4" t="s">
        <f>=HYPERLINK("http://anyluxury.ru/shop/odezhda/futbolki-dlya-promo/futbolka-uniseks-e150-organic-zelenaya-tu01b515/" , "TU01B515 Футболка унисекс E150 Organic зеленая, размер 3XL")</f>
      </c>
      <c r="C17041" s="4" t="n">
        <v>863.00</v>
      </c>
      <c r="D17041" s="4"/>
    </row>
    <row collapsed="" customFormat="false" customHeight="1" hidden="" ht="14" outlineLevel="0" r="17042">
      <c r="A17042" s="3" t="inlineStr">
        <is>
          <t>16997</t>
        </is>
      </c>
      <c r="B17042" s="4" t="s">
        <f>=HYPERLINK("http://anyluxury.ru/shop/odezhda/futbolki-dlya-promo/futbolka-uniseks-e150-organic-zelenoe-yabloko-tu01b560/" , "TU01B560 Футболка унисекс E150 Organic зеленое яблоко, размер XS")</f>
      </c>
      <c r="C17042" s="4" t="n">
        <v>741.00</v>
      </c>
      <c r="D17042" s="4"/>
    </row>
    <row collapsed="" customFormat="false" customHeight="1" hidden="" ht="14" outlineLevel="0" r="17043">
      <c r="A17043" s="3" t="inlineStr">
        <is>
          <t>16998</t>
        </is>
      </c>
      <c r="B17043" s="4" t="s">
        <f>=HYPERLINK("http://anyluxury.ru/shop/odezhda/futbolki-dlya-promo/futbolka-uniseks-e150-organic-zelenoe-yabloko-tu01b560/" , "TU01B560 Футболка унисекс E150 Organic зеленое яблоко, размер XL")</f>
      </c>
      <c r="C17043" s="4" t="n">
        <v>741.00</v>
      </c>
      <c r="D17043" s="4"/>
    </row>
    <row collapsed="" customFormat="false" customHeight="1" hidden="" ht="14" outlineLevel="0" r="17044">
      <c r="A17044" s="3" t="inlineStr">
        <is>
          <t>16999</t>
        </is>
      </c>
      <c r="B17044" s="4" t="s">
        <f>=HYPERLINK("http://anyluxury.ru/shop/odezhda/futbolki-dlya-promo/futbolka-uniseks-e150-organic-zelenoe-yabloko-tu01b560/" , "TU01B560 Футболка унисекс E150 Organic зеленое яблоко, размер XXL")</f>
      </c>
      <c r="C17044" s="4" t="n">
        <v>741.00</v>
      </c>
      <c r="D17044" s="4"/>
    </row>
    <row collapsed="" customFormat="false" customHeight="1" hidden="" ht="14" outlineLevel="0" r="17045">
      <c r="A17045" s="3" t="inlineStr">
        <is>
          <t>17000</t>
        </is>
      </c>
      <c r="B17045" s="4" t="s">
        <f>=HYPERLINK("http://anyluxury.ru/shop/odezhda/futbolki-dlya-promo/futbolka-uniseks-e150-organic-zelenoe-yabloko-tu01b560/" , "TU01B560 Футболка унисекс E150 Organic зеленое яблоко, размер 3XL")</f>
      </c>
      <c r="C17045" s="4" t="n">
        <v>927.00</v>
      </c>
      <c r="D17045" s="4"/>
    </row>
    <row collapsed="" customFormat="false" customHeight="1" hidden="" ht="14" outlineLevel="0" r="17046">
      <c r="A17046" s="3" t="inlineStr">
        <is>
          <t>17001</t>
        </is>
      </c>
      <c r="B17046" s="4" t="s">
        <f>=HYPERLINK("http://anyluxury.ru/shop/odezhda/futbolki-dlya-promo/futbolka-uniseks-e150-organic-temnoseraya-tu01b669/" , "TU01B669 Футболка унисекс E150 Organic темно-серая, размер XS")</f>
      </c>
      <c r="C17046" s="4" t="n">
        <v>741.00</v>
      </c>
      <c r="D17046" s="4"/>
    </row>
    <row collapsed="" customFormat="false" customHeight="1" hidden="" ht="14" outlineLevel="0" r="17047">
      <c r="A17047" s="3" t="inlineStr">
        <is>
          <t>17002</t>
        </is>
      </c>
      <c r="B17047" s="4" t="s">
        <f>=HYPERLINK("http://anyluxury.ru/shop/odezhda/futbolki-dlya-promo/futbolka-uniseks-e150-organic-temnoseraya-tu01b669/" , "TU01B669 Футболка унисекс E150 Organic темно-серая, размер S")</f>
      </c>
      <c r="C17047" s="4" t="n">
        <v>741.00</v>
      </c>
      <c r="D17047" s="4"/>
    </row>
    <row collapsed="" customFormat="false" customHeight="1" hidden="" ht="14" outlineLevel="0" r="17048">
      <c r="A17048" s="3" t="inlineStr">
        <is>
          <t>17003</t>
        </is>
      </c>
      <c r="B17048" s="4" t="s">
        <f>=HYPERLINK("http://anyluxury.ru/shop/odezhda/futbolki-dlya-promo/futbolka-uniseks-e150-organic-temnoseraya-tu01b669/" , "TU01B669 Футболка унисекс E150 Organic темно-серая, размер M")</f>
      </c>
      <c r="C17048" s="4" t="n">
        <v>741.00</v>
      </c>
      <c r="D17048" s="4"/>
    </row>
    <row collapsed="" customFormat="false" customHeight="1" hidden="" ht="14" outlineLevel="0" r="17049">
      <c r="A17049" s="3" t="inlineStr">
        <is>
          <t>17004</t>
        </is>
      </c>
      <c r="B17049" s="4" t="s">
        <f>=HYPERLINK("http://anyluxury.ru/shop/odezhda/futbolki-dlya-promo/futbolka-uniseks-e150-organic-temnoseraya-tu01b669/" , "TU01B669 Футболка унисекс E150 Organic темно-серая, размер L")</f>
      </c>
      <c r="C17049" s="4" t="n">
        <v>741.00</v>
      </c>
      <c r="D17049" s="4"/>
    </row>
    <row collapsed="" customFormat="false" customHeight="1" hidden="" ht="14" outlineLevel="0" r="17050">
      <c r="A17050" s="3" t="inlineStr">
        <is>
          <t>17005</t>
        </is>
      </c>
      <c r="B17050" s="4" t="s">
        <f>=HYPERLINK("http://anyluxury.ru/shop/odezhda/futbolki-dlya-promo/futbolka-uniseks-e150-organic-temnoseraya-tu01b669/" , "TU01B669 Футболка унисекс E150 Organic темно-серая, размер XL")</f>
      </c>
      <c r="C17050" s="4" t="n">
        <v>741.00</v>
      </c>
      <c r="D17050" s="4"/>
    </row>
    <row collapsed="" customFormat="false" customHeight="1" hidden="" ht="14" outlineLevel="0" r="17051">
      <c r="A17051" s="3" t="inlineStr">
        <is>
          <t>17006</t>
        </is>
      </c>
      <c r="B17051" s="4" t="s">
        <f>=HYPERLINK("http://anyluxury.ru/shop/odezhda/futbolki-dlya-promo/futbolka-uniseks-e150-organic-temnoseraya-tu01b669/" , "TU01B669 Футболка унисекс E150 Organic темно-серая, размер XXL")</f>
      </c>
      <c r="C17051" s="4" t="n">
        <v>741.00</v>
      </c>
      <c r="D17051" s="4"/>
    </row>
    <row collapsed="" customFormat="false" customHeight="1" hidden="" ht="14" outlineLevel="0" r="17052">
      <c r="A17052" s="3" t="inlineStr">
        <is>
          <t>17007</t>
        </is>
      </c>
      <c r="B17052" s="4" t="s">
        <f>=HYPERLINK("http://anyluxury.ru/shop/odezhda/futbolki-dlya-promo/futbolka-uniseks-e150-organic-temnoseraya-tu01b669/" , "TU01B669 Футболка унисекс E150 Organic темно-серая, размер 3XL")</f>
      </c>
      <c r="C17052" s="4" t="n">
        <v>927.00</v>
      </c>
      <c r="D17052" s="4"/>
    </row>
    <row collapsed="" customFormat="false" customHeight="1" hidden="" ht="14" outlineLevel="0" r="17053">
      <c r="A17053" s="3" t="inlineStr">
        <is>
          <t>17008</t>
        </is>
      </c>
      <c r="B17053" s="4" t="s">
        <f>=HYPERLINK("http://anyluxury.ru/shop/odezhda/futbolki-dlya-promo/futbolka-uniseks-e150-organic-temnozelenaya-tu01b882/" , "TU01B882 Футболка унисекс E150 Organic темно-зеленая, размер XS")</f>
      </c>
      <c r="C17053" s="4" t="n">
        <v>685.00</v>
      </c>
      <c r="D17053" s="4"/>
    </row>
    <row collapsed="" customFormat="false" customHeight="1" hidden="" ht="14" outlineLevel="0" r="17054">
      <c r="A17054" s="3" t="inlineStr">
        <is>
          <t>17009</t>
        </is>
      </c>
      <c r="B17054" s="4" t="s">
        <f>=HYPERLINK("http://anyluxury.ru/shop/odezhda/futbolki-dlya-promo/futbolka-uniseks-e150-organic-temnozelenaya-tu01b882/" , "TU01B882 Футболка унисекс E150 Organic темно-зеленая, размер S")</f>
      </c>
      <c r="C17054" s="4" t="n">
        <v>685.00</v>
      </c>
      <c r="D17054" s="4"/>
    </row>
    <row collapsed="" customFormat="false" customHeight="1" hidden="" ht="14" outlineLevel="0" r="17055">
      <c r="A17055" s="3" t="inlineStr">
        <is>
          <t>17010</t>
        </is>
      </c>
      <c r="B17055" s="4" t="s">
        <f>=HYPERLINK("http://anyluxury.ru/shop/odezhda/futbolki-dlya-promo/futbolka-uniseks-e150-organic-temnozelenaya-tu01b882/" , "TU01B882 Футболка унисекс E150 Organic темно-зеленая, размер M")</f>
      </c>
      <c r="C17055" s="4" t="n">
        <v>685.00</v>
      </c>
      <c r="D17055" s="4"/>
    </row>
    <row collapsed="" customFormat="false" customHeight="1" hidden="" ht="14" outlineLevel="0" r="17056">
      <c r="A17056" s="3" t="inlineStr">
        <is>
          <t>17011</t>
        </is>
      </c>
      <c r="B17056" s="4" t="s">
        <f>=HYPERLINK("http://anyluxury.ru/shop/odezhda/futbolki-dlya-promo/futbolka-uniseks-e150-organic-temnozelenaya-tu01b882/" , "TU01B882 Футболка унисекс E150 Organic темно-зеленая, размер L")</f>
      </c>
      <c r="C17056" s="4" t="n">
        <v>685.00</v>
      </c>
      <c r="D17056" s="4"/>
    </row>
    <row collapsed="" customFormat="false" customHeight="1" hidden="" ht="14" outlineLevel="0" r="17057">
      <c r="A17057" s="3" t="inlineStr">
        <is>
          <t>17012</t>
        </is>
      </c>
      <c r="B17057" s="4" t="s">
        <f>=HYPERLINK("http://anyluxury.ru/shop/odezhda/futbolki-dlya-promo/futbolka-uniseks-e150-organic-temnozelenaya-tu01b882/" , "TU01B882 Футболка унисекс E150 Organic темно-зеленая, размер XL")</f>
      </c>
      <c r="C17057" s="4" t="n">
        <v>685.00</v>
      </c>
      <c r="D17057" s="4"/>
    </row>
    <row collapsed="" customFormat="false" customHeight="1" hidden="" ht="14" outlineLevel="0" r="17058">
      <c r="A17058" s="3" t="inlineStr">
        <is>
          <t>17013</t>
        </is>
      </c>
      <c r="B17058" s="4" t="s">
        <f>=HYPERLINK("http://anyluxury.ru/shop/odezhda/futbolki-dlya-promo/futbolka-uniseks-e150-organic-temnozelenaya-tu01b882/" , "TU01B882 Футболка унисекс E150 Organic темно-зеленая, размер XXL")</f>
      </c>
      <c r="C17058" s="4" t="n">
        <v>685.00</v>
      </c>
      <c r="D17058" s="4"/>
    </row>
    <row collapsed="" customFormat="false" customHeight="1" hidden="" ht="14" outlineLevel="0" r="17059">
      <c r="A17059" s="3" t="inlineStr">
        <is>
          <t>17014</t>
        </is>
      </c>
      <c r="B17059" s="4" t="s">
        <f>=HYPERLINK("http://anyluxury.ru/shop/odezhda/futbolki-dlya-promo/futbolka-uniseks-e150-organic-temnozelenaya-tu01b882/" , "TU01B882 Футболка унисекс E150 Organic темно-зеленая, размер 3XL")</f>
      </c>
      <c r="C17059" s="4" t="n">
        <v>863.00</v>
      </c>
      <c r="D17059" s="4"/>
    </row>
    <row collapsed="" customFormat="false" customHeight="1" hidden="" ht="14" outlineLevel="0" r="17060">
      <c r="A17060" s="3" t="inlineStr">
        <is>
          <t>17015</t>
        </is>
      </c>
      <c r="B17060" s="4" t="s">
        <f>=HYPERLINK("http://anyluxury.ru/shop/odezhda/futbolki-dlya-promo/futbolka-zhenskaya-e150-organic-belaya-tw02b001/" , "TW02B001 Футболка женская E150 Organic, белая, размер XS")</f>
      </c>
      <c r="C17060" s="4" t="n">
        <v>752.00</v>
      </c>
      <c r="D17060" s="4"/>
    </row>
    <row collapsed="" customFormat="false" customHeight="1" hidden="" ht="14" outlineLevel="0" r="17061">
      <c r="A17061" s="3" t="inlineStr">
        <is>
          <t>17016</t>
        </is>
      </c>
      <c r="B17061" s="4" t="s">
        <f>=HYPERLINK("http://anyluxury.ru/shop/odezhda/futbolki-dlya-promo/futbolka-zhenskaya-e150-organic-belaya-tw02b001/" , "TW02B001 Футболка женская E150 Organic, белая, размер L")</f>
      </c>
      <c r="C17061" s="4" t="n">
        <v>752.00</v>
      </c>
      <c r="D17061" s="4"/>
    </row>
    <row collapsed="" customFormat="false" customHeight="1" hidden="" ht="14" outlineLevel="0" r="17062">
      <c r="A17062" s="3" t="inlineStr">
        <is>
          <t>17017</t>
        </is>
      </c>
      <c r="B17062" s="4" t="s">
        <f>=HYPERLINK("http://anyluxury.ru/shop/odezhda/futbolki-dlya-promo/futbolka-zhenskaya-e150-organic-belaya-tw02b001/" , "TW02B001 Футболка женская E150 Organic, белая, размер XL")</f>
      </c>
      <c r="C17062" s="4" t="n">
        <v>752.00</v>
      </c>
      <c r="D17062" s="4"/>
    </row>
    <row collapsed="" customFormat="false" customHeight="1" hidden="" ht="14" outlineLevel="0" r="17063">
      <c r="A17063" s="3" t="inlineStr">
        <is>
          <t>17018</t>
        </is>
      </c>
      <c r="B17063" s="4" t="s">
        <f>=HYPERLINK("http://anyluxury.ru/shop/odezhda/futbolki-dlya-promo/futbolka-zhenskaya-e150-organic-belaya-tw02b001/" , "TW02B001 Футболка женская E150 Organic, белая, размер XXL")</f>
      </c>
      <c r="C17063" s="4" t="n">
        <v>752.00</v>
      </c>
      <c r="D17063" s="4"/>
    </row>
    <row collapsed="" customFormat="false" customHeight="1" hidden="" ht="14" outlineLevel="0" r="17064">
      <c r="A17064" s="3" t="inlineStr">
        <is>
          <t>17019</t>
        </is>
      </c>
      <c r="B17064" s="4" t="s">
        <f>=HYPERLINK("http://anyluxury.ru/shop/odezhda/futbolki-dlya-promo/futbolka-zhenskaya-e150-organic-belaya-tw02b001/" , "TW02B001 Футболка женская E150 Organic, белая, размер 3XL")</f>
      </c>
      <c r="C17064" s="4" t="n">
        <v>904.00</v>
      </c>
      <c r="D17064" s="4"/>
    </row>
    <row collapsed="" customFormat="false" customHeight="1" hidden="" ht="14" outlineLevel="0" r="17065">
      <c r="A17065" s="3" t="inlineStr">
        <is>
          <t>17020</t>
        </is>
      </c>
      <c r="B17065" s="4" t="s">
        <f>=HYPERLINK("http://anyluxury.ru/shop/odezhda/futbolki-dlya-promo/futbolka-zhenskaya-e150-organic-krasnaya-tw02b004/" , "TW02B004 Футболка женская E150 Organic, красная, размер XS")</f>
      </c>
      <c r="C17065" s="4" t="n">
        <v>752.00</v>
      </c>
      <c r="D17065" s="4"/>
    </row>
    <row collapsed="" customFormat="false" customHeight="1" hidden="" ht="14" outlineLevel="0" r="17066">
      <c r="A17066" s="3" t="inlineStr">
        <is>
          <t>17021</t>
        </is>
      </c>
      <c r="B17066" s="4" t="s">
        <f>=HYPERLINK("http://anyluxury.ru/shop/odezhda/futbolki-dlya-promo/futbolka-zhenskaya-e150-organic-krasnaya-tw02b004/" , "TW02B004 Футболка женская E150 Organic, красная, размер S")</f>
      </c>
      <c r="C17066" s="4" t="n">
        <v>752.00</v>
      </c>
      <c r="D17066" s="4"/>
    </row>
    <row collapsed="" customFormat="false" customHeight="1" hidden="" ht="14" outlineLevel="0" r="17067">
      <c r="A17067" s="3" t="inlineStr">
        <is>
          <t>17022</t>
        </is>
      </c>
      <c r="B17067" s="4" t="s">
        <f>=HYPERLINK("http://anyluxury.ru/shop/odezhda/futbolki-dlya-promo/futbolka-zhenskaya-e150-organic-krasnaya-tw02b004/" , "TW02B004 Футболка женская E150 Organic, красная, размер M")</f>
      </c>
      <c r="C17067" s="4" t="n">
        <v>752.00</v>
      </c>
      <c r="D17067" s="4"/>
    </row>
    <row collapsed="" customFormat="false" customHeight="1" hidden="" ht="14" outlineLevel="0" r="17068">
      <c r="A17068" s="3" t="inlineStr">
        <is>
          <t>17023</t>
        </is>
      </c>
      <c r="B17068" s="4" t="s">
        <f>=HYPERLINK("http://anyluxury.ru/shop/odezhda/futbolki-dlya-promo/futbolka-zhenskaya-e150-organic-krasnaya-tw02b004/" , "TW02B004 Футболка женская E150 Organic, красная, размер L")</f>
      </c>
      <c r="C17068" s="4" t="n">
        <v>752.00</v>
      </c>
      <c r="D17068" s="4"/>
    </row>
    <row collapsed="" customFormat="false" customHeight="1" hidden="" ht="14" outlineLevel="0" r="17069">
      <c r="A17069" s="3" t="inlineStr">
        <is>
          <t>17024</t>
        </is>
      </c>
      <c r="B17069" s="4" t="s">
        <f>=HYPERLINK("http://anyluxury.ru/shop/odezhda/futbolki-dlya-promo/futbolka-zhenskaya-e150-organic-krasnaya-tw02b004/" , "TW02B004 Футболка женская E150 Organic, красная, размер XL")</f>
      </c>
      <c r="C17069" s="4" t="n">
        <v>752.00</v>
      </c>
      <c r="D17069" s="4"/>
    </row>
    <row collapsed="" customFormat="false" customHeight="1" hidden="" ht="14" outlineLevel="0" r="17070">
      <c r="A17070" s="3" t="inlineStr">
        <is>
          <t>17025</t>
        </is>
      </c>
      <c r="B17070" s="4" t="s">
        <f>=HYPERLINK("http://anyluxury.ru/shop/odezhda/futbolki-dlya-promo/futbolka-zhenskaya-e150-organic-krasnaya-tw02b004/" , "TW02B004 Футболка женская E150 Organic, красная, размер XXL")</f>
      </c>
      <c r="C17070" s="4" t="n">
        <v>752.00</v>
      </c>
      <c r="D17070" s="4"/>
    </row>
    <row collapsed="" customFormat="false" customHeight="1" hidden="" ht="14" outlineLevel="0" r="17071">
      <c r="A17071" s="3" t="inlineStr">
        <is>
          <t>17026</t>
        </is>
      </c>
      <c r="B17071" s="4" t="s">
        <f>=HYPERLINK("http://anyluxury.ru/shop/odezhda/futbolki-dlya-promo/futbolka-zhenskaya-e150-organic-krasnaya-tw02b004/" , "TW02B004 Футболка женская E150 Organic, красная, размер 3XL")</f>
      </c>
      <c r="C17071" s="4" t="n">
        <v>904.00</v>
      </c>
      <c r="D17071" s="4"/>
    </row>
    <row collapsed="" customFormat="false" customHeight="1" hidden="" ht="14" outlineLevel="0" r="17072">
      <c r="A17072" s="3" t="inlineStr">
        <is>
          <t>17027</t>
        </is>
      </c>
      <c r="B17072" s="4" t="s">
        <f>=HYPERLINK("http://anyluxury.ru/shop/odezhda/futbolki-dlya-promo/futbolka-zhenskaya-e150-organic-chernaya-tw02b005/" , "TW02B005 Футболка женская E150 Organic, черная, размер XS")</f>
      </c>
      <c r="C17072" s="4" t="n">
        <v>752.00</v>
      </c>
      <c r="D17072" s="4"/>
    </row>
    <row collapsed="" customFormat="false" customHeight="1" hidden="" ht="14" outlineLevel="0" r="17073">
      <c r="A17073" s="3" t="inlineStr">
        <is>
          <t>17028</t>
        </is>
      </c>
      <c r="B17073" s="4" t="s">
        <f>=HYPERLINK("http://anyluxury.ru/shop/odezhda/futbolki-dlya-promo/futbolka-zhenskaya-e150-organic-chernaya-tw02b005/" , "TW02B005 Футболка женская E150 Organic, черная, размер L")</f>
      </c>
      <c r="C17073" s="4" t="n">
        <v>752.00</v>
      </c>
      <c r="D17073" s="4"/>
    </row>
    <row collapsed="" customFormat="false" customHeight="1" hidden="" ht="14" outlineLevel="0" r="17074">
      <c r="A17074" s="3" t="inlineStr">
        <is>
          <t>17029</t>
        </is>
      </c>
      <c r="B17074" s="4" t="s">
        <f>=HYPERLINK("http://anyluxury.ru/shop/odezhda/futbolki-dlya-promo/futbolka-zhenskaya-e150-organic-chernaya-tw02b005/" , "TW02B005 Футболка женская E150 Organic, черная, размер XL")</f>
      </c>
      <c r="C17074" s="4" t="n">
        <v>752.00</v>
      </c>
      <c r="D17074" s="4"/>
    </row>
    <row collapsed="" customFormat="false" customHeight="1" hidden="" ht="14" outlineLevel="0" r="17075">
      <c r="A17075" s="3" t="inlineStr">
        <is>
          <t>17030</t>
        </is>
      </c>
      <c r="B17075" s="4" t="s">
        <f>=HYPERLINK("http://anyluxury.ru/shop/odezhda/futbolki-dlya-promo/futbolka-zhenskaya-e150-organic-chernaya-tw02b005/" , "TW02B005 Футболка женская E150 Organic, черная, размер XXL")</f>
      </c>
      <c r="C17075" s="4" t="n">
        <v>752.00</v>
      </c>
      <c r="D17075" s="4"/>
    </row>
    <row collapsed="" customFormat="false" customHeight="1" hidden="" ht="14" outlineLevel="0" r="17076">
      <c r="A17076" s="3" t="inlineStr">
        <is>
          <t>17031</t>
        </is>
      </c>
      <c r="B17076" s="4" t="s">
        <f>=HYPERLINK("http://anyluxury.ru/shop/odezhda/futbolki-dlya-promo/futbolka-zhenskaya-e150-organic-chernaya-tw02b005/" , "TW02B005 Футболка женская E150 Organic, черная, размер 3XL")</f>
      </c>
      <c r="C17076" s="4" t="n">
        <v>904.00</v>
      </c>
      <c r="D17076" s="4"/>
    </row>
    <row collapsed="" customFormat="false" customHeight="1" hidden="" ht="14" outlineLevel="0" r="17077">
      <c r="A17077" s="3" t="inlineStr">
        <is>
          <t>17032</t>
        </is>
      </c>
      <c r="B17077" s="4" t="s">
        <f>=HYPERLINK("http://anyluxury.ru/shop/odezhda/futbolki-dlya-promo/futbolka-zhenskaya-e150-organic-temnosinyaya-tw02b006/" , "TW02B006 Футболка женская E150 Organic, темно-синяя, размер XS")</f>
      </c>
      <c r="C17077" s="4" t="n">
        <v>752.00</v>
      </c>
      <c r="D17077" s="4"/>
    </row>
    <row collapsed="" customFormat="false" customHeight="1" hidden="" ht="14" outlineLevel="0" r="17078">
      <c r="A17078" s="3" t="inlineStr">
        <is>
          <t>17033</t>
        </is>
      </c>
      <c r="B17078" s="4" t="s">
        <f>=HYPERLINK("http://anyluxury.ru/shop/odezhda/futbolki-dlya-promo/futbolka-zhenskaya-e150-organic-temnosinyaya-tw02b006/" , "TW02B006 Футболка женская E150 Organic, темно-синяя, размер S")</f>
      </c>
      <c r="C17078" s="4" t="n">
        <v>752.00</v>
      </c>
      <c r="D17078" s="4"/>
    </row>
    <row collapsed="" customFormat="false" customHeight="1" hidden="" ht="14" outlineLevel="0" r="17079">
      <c r="A17079" s="3" t="inlineStr">
        <is>
          <t>17034</t>
        </is>
      </c>
      <c r="B17079" s="4" t="s">
        <f>=HYPERLINK("http://anyluxury.ru/shop/odezhda/futbolki-dlya-promo/futbolka-zhenskaya-e150-organic-temnosinyaya-tw02b006/" , "TW02B006 Футболка женская E150 Organic, темно-синяя, размер M")</f>
      </c>
      <c r="C17079" s="4" t="n">
        <v>752.00</v>
      </c>
      <c r="D17079" s="4"/>
    </row>
    <row collapsed="" customFormat="false" customHeight="1" hidden="" ht="14" outlineLevel="0" r="17080">
      <c r="A17080" s="3" t="inlineStr">
        <is>
          <t>17035</t>
        </is>
      </c>
      <c r="B17080" s="4" t="s">
        <f>=HYPERLINK("http://anyluxury.ru/shop/odezhda/futbolki-dlya-promo/futbolka-zhenskaya-e150-organic-temnosinyaya-tw02b006/" , "TW02B006 Футболка женская E150 Organic, темно-синяя, размер L")</f>
      </c>
      <c r="C17080" s="4" t="n">
        <v>752.00</v>
      </c>
      <c r="D17080" s="4"/>
    </row>
    <row collapsed="" customFormat="false" customHeight="1" hidden="" ht="14" outlineLevel="0" r="17081">
      <c r="A17081" s="3" t="inlineStr">
        <is>
          <t>17036</t>
        </is>
      </c>
      <c r="B17081" s="4" t="s">
        <f>=HYPERLINK("http://anyluxury.ru/shop/odezhda/futbolki-dlya-promo/futbolka-zhenskaya-e150-organic-temnosinyaya-tw02b006/" , "TW02B006 Футболка женская E150 Organic, темно-синяя, размер XL")</f>
      </c>
      <c r="C17081" s="4" t="n">
        <v>752.00</v>
      </c>
      <c r="D17081" s="4"/>
    </row>
    <row collapsed="" customFormat="false" customHeight="1" hidden="" ht="14" outlineLevel="0" r="17082">
      <c r="A17082" s="3" t="inlineStr">
        <is>
          <t>17037</t>
        </is>
      </c>
      <c r="B17082" s="4" t="s">
        <f>=HYPERLINK("http://anyluxury.ru/shop/odezhda/futbolki-dlya-promo/futbolka-zhenskaya-e150-organic-temnosinyaya-tw02b006/" , "TW02B006 Футболка женская E150 Organic, темно-синяя, размер XXL")</f>
      </c>
      <c r="C17082" s="4" t="n">
        <v>752.00</v>
      </c>
      <c r="D17082" s="4"/>
    </row>
    <row collapsed="" customFormat="false" customHeight="1" hidden="" ht="14" outlineLevel="0" r="17083">
      <c r="A17083" s="3" t="inlineStr">
        <is>
          <t>17038</t>
        </is>
      </c>
      <c r="B17083" s="4" t="s">
        <f>=HYPERLINK("http://anyluxury.ru/shop/odezhda/futbolki-dlya-promo/futbolka-zhenskaya-e150-organic-temnosinyaya-tw02b006/" , "TW02B006 Футболка женская E150 Organic, темно-синяя, размер 3XL")</f>
      </c>
      <c r="C17083" s="4" t="n">
        <v>904.00</v>
      </c>
      <c r="D17083" s="4"/>
    </row>
    <row collapsed="" customFormat="false" customHeight="1" hidden="" ht="14" outlineLevel="0" r="17084">
      <c r="A17084" s="3" t="inlineStr">
        <is>
          <t>17039</t>
        </is>
      </c>
      <c r="B17084" s="4" t="s">
        <f>=HYPERLINK("http://anyluxury.ru/shop/odezhda/futbolki-dlya-promo/futbolka-zhenskaya-e150-organic-molochnobelaya-tw02b101/" , "TW02B101 Футболка женская E150 Organic, молочно-белая, размер XS")</f>
      </c>
      <c r="C17084" s="4" t="n">
        <v>752.00</v>
      </c>
      <c r="D17084" s="4"/>
    </row>
    <row collapsed="" customFormat="false" customHeight="1" hidden="" ht="14" outlineLevel="0" r="17085">
      <c r="A17085" s="3" t="inlineStr">
        <is>
          <t>17040</t>
        </is>
      </c>
      <c r="B17085" s="4" t="s">
        <f>=HYPERLINK("http://anyluxury.ru/shop/odezhda/futbolki-dlya-promo/futbolka-zhenskaya-e150-organic-molochnobelaya-tw02b101/" , "TW02B101 Футболка женская E150 Organic, молочно-белая, размер S")</f>
      </c>
      <c r="C17085" s="4" t="n">
        <v>752.00</v>
      </c>
      <c r="D17085" s="4"/>
    </row>
    <row collapsed="" customFormat="false" customHeight="1" hidden="" ht="14" outlineLevel="0" r="17086">
      <c r="A17086" s="3" t="inlineStr">
        <is>
          <t>17041</t>
        </is>
      </c>
      <c r="B17086" s="4" t="s">
        <f>=HYPERLINK("http://anyluxury.ru/shop/odezhda/futbolki-dlya-promo/futbolka-zhenskaya-e150-organic-molochnobelaya-tw02b101/" , "TW02B101 Футболка женская E150 Organic, молочно-белая, размер M")</f>
      </c>
      <c r="C17086" s="4" t="n">
        <v>752.00</v>
      </c>
      <c r="D17086" s="4"/>
    </row>
    <row collapsed="" customFormat="false" customHeight="1" hidden="" ht="14" outlineLevel="0" r="17087">
      <c r="A17087" s="3" t="inlineStr">
        <is>
          <t>17042</t>
        </is>
      </c>
      <c r="B17087" s="4" t="s">
        <f>=HYPERLINK("http://anyluxury.ru/shop/odezhda/futbolki-dlya-promo/futbolka-zhenskaya-e150-organic-molochnobelaya-tw02b101/" , "TW02B101 Футболка женская E150 Organic, молочно-белая, размер L")</f>
      </c>
      <c r="C17087" s="4" t="n">
        <v>752.00</v>
      </c>
      <c r="D17087" s="4"/>
    </row>
    <row collapsed="" customFormat="false" customHeight="1" hidden="" ht="14" outlineLevel="0" r="17088">
      <c r="A17088" s="3" t="inlineStr">
        <is>
          <t>17043</t>
        </is>
      </c>
      <c r="B17088" s="4" t="s">
        <f>=HYPERLINK("http://anyluxury.ru/shop/odezhda/futbolki-dlya-promo/futbolka-zhenskaya-e150-organic-molochnobelaya-tw02b101/" , "TW02B101 Футболка женская E150 Organic, молочно-белая, размер XXL")</f>
      </c>
      <c r="C17088" s="4" t="n">
        <v>752.00</v>
      </c>
      <c r="D17088" s="4"/>
    </row>
    <row collapsed="" customFormat="false" customHeight="1" hidden="" ht="14" outlineLevel="0" r="17089">
      <c r="A17089" s="3" t="inlineStr">
        <is>
          <t>17044</t>
        </is>
      </c>
      <c r="B17089" s="4" t="s">
        <f>=HYPERLINK("http://anyluxury.ru/shop/odezhda/futbolki-dlya-promo/futbolka-zhenskaya-e150-organic-korichnevaya-mokko-tw02b137/" , "TW02B137 Футболка женская E150 Organic, коричневая (мокко), размер XS")</f>
      </c>
      <c r="C17089" s="4" t="n">
        <v>752.00</v>
      </c>
      <c r="D17089" s="4"/>
    </row>
    <row collapsed="" customFormat="false" customHeight="1" hidden="" ht="14" outlineLevel="0" r="17090">
      <c r="A17090" s="3" t="inlineStr">
        <is>
          <t>17045</t>
        </is>
      </c>
      <c r="B17090" s="4" t="s">
        <f>=HYPERLINK("http://anyluxury.ru/shop/odezhda/futbolki-dlya-promo/futbolka-zhenskaya-e150-organic-korichnevaya-mokko-tw02b137/" , "TW02B137 Футболка женская E150 Organic, коричневая (мокко), размер S")</f>
      </c>
      <c r="C17090" s="4" t="n">
        <v>752.00</v>
      </c>
      <c r="D17090" s="4"/>
    </row>
    <row collapsed="" customFormat="false" customHeight="1" hidden="" ht="14" outlineLevel="0" r="17091">
      <c r="A17091" s="3" t="inlineStr">
        <is>
          <t>17046</t>
        </is>
      </c>
      <c r="B17091" s="4" t="s">
        <f>=HYPERLINK("http://anyluxury.ru/shop/odezhda/futbolki-dlya-promo/futbolka-zhenskaya-e150-organic-korichnevaya-mokko-tw02b137/" , "TW02B137 Футболка женская E150 Organic, коричневая (мокко), размер M")</f>
      </c>
      <c r="C17091" s="4" t="n">
        <v>752.00</v>
      </c>
      <c r="D17091" s="4"/>
    </row>
    <row collapsed="" customFormat="false" customHeight="1" hidden="" ht="14" outlineLevel="0" r="17092">
      <c r="A17092" s="3" t="inlineStr">
        <is>
          <t>17047</t>
        </is>
      </c>
      <c r="B17092" s="4" t="s">
        <f>=HYPERLINK("http://anyluxury.ru/shop/odezhda/futbolki-dlya-promo/futbolka-zhenskaya-e150-organic-korichnevaya-mokko-tw02b137/" , "TW02B137 Футболка женская E150 Organic, коричневая (мокко), размер L")</f>
      </c>
      <c r="C17092" s="4" t="n">
        <v>752.00</v>
      </c>
      <c r="D17092" s="4"/>
    </row>
    <row collapsed="" customFormat="false" customHeight="1" hidden="" ht="14" outlineLevel="0" r="17093">
      <c r="A17093" s="3" t="inlineStr">
        <is>
          <t>17048</t>
        </is>
      </c>
      <c r="B17093" s="4" t="s">
        <f>=HYPERLINK("http://anyluxury.ru/shop/odezhda/futbolki-dlya-promo/futbolka-zhenskaya-e150-organic-zheltaya-tw02b205/" , "TW02B205 Футболка женская E150 Organic, желтая, размер XS")</f>
      </c>
      <c r="C17093" s="4" t="n">
        <v>654.00</v>
      </c>
      <c r="D17093" s="4"/>
    </row>
    <row collapsed="" customFormat="false" customHeight="1" hidden="" ht="14" outlineLevel="0" r="17094">
      <c r="A17094" s="3" t="inlineStr">
        <is>
          <t>17049</t>
        </is>
      </c>
      <c r="B17094" s="4" t="s">
        <f>=HYPERLINK("http://anyluxury.ru/shop/odezhda/futbolki-dlya-promo/futbolka-zhenskaya-e150-organic-zheltaya-tw02b205/" , "TW02B205 Футболка женская E150 Organic, желтая, размер S")</f>
      </c>
      <c r="C17094" s="4" t="n">
        <v>654.00</v>
      </c>
      <c r="D17094" s="4"/>
    </row>
    <row collapsed="" customFormat="false" customHeight="1" hidden="" ht="14" outlineLevel="0" r="17095">
      <c r="A17095" s="3" t="inlineStr">
        <is>
          <t>17050</t>
        </is>
      </c>
      <c r="B17095" s="4" t="s">
        <f>=HYPERLINK("http://anyluxury.ru/shop/odezhda/futbolki-dlya-promo/futbolka-zhenskaya-e150-organic-zheltaya-tw02b205/" , "TW02B205 Футболка женская E150 Organic, желтая, размер M")</f>
      </c>
      <c r="C17095" s="4" t="n">
        <v>654.00</v>
      </c>
      <c r="D17095" s="4"/>
    </row>
    <row collapsed="" customFormat="false" customHeight="1" hidden="" ht="14" outlineLevel="0" r="17096">
      <c r="A17096" s="3" t="inlineStr">
        <is>
          <t>17051</t>
        </is>
      </c>
      <c r="B17096" s="4" t="s">
        <f>=HYPERLINK("http://anyluxury.ru/shop/odezhda/futbolki-dlya-promo/futbolka-zhenskaya-e150-organic-zheltaya-tw02b205/" , "TW02B205 Футболка женская E150 Organic, желтая, размер L")</f>
      </c>
      <c r="C17096" s="4" t="n">
        <v>654.00</v>
      </c>
      <c r="D17096" s="4"/>
    </row>
    <row collapsed="" customFormat="false" customHeight="1" hidden="" ht="14" outlineLevel="0" r="17097">
      <c r="A17097" s="3" t="inlineStr">
        <is>
          <t>17052</t>
        </is>
      </c>
      <c r="B17097" s="4" t="s">
        <f>=HYPERLINK("http://anyluxury.ru/shop/odezhda/futbolki-dlya-promo/futbolka-zhenskaya-e150-organic-zheltaya-tw02b205/" , "TW02B205 Футболка женская E150 Organic, желтая, размер XL")</f>
      </c>
      <c r="C17097" s="4" t="n">
        <v>654.00</v>
      </c>
      <c r="D17097" s="4"/>
    </row>
    <row collapsed="" customFormat="false" customHeight="1" hidden="" ht="14" outlineLevel="0" r="17098">
      <c r="A17098" s="3" t="inlineStr">
        <is>
          <t>17053</t>
        </is>
      </c>
      <c r="B17098" s="4" t="s">
        <f>=HYPERLINK("http://anyluxury.ru/shop/odezhda/futbolki-dlya-promo/futbolka-zhenskaya-e150-organic-zheltaya-tw02b205/" , "TW02B205 Футболка женская E150 Organic, желтая, размер XXL")</f>
      </c>
      <c r="C17098" s="4" t="n">
        <v>654.00</v>
      </c>
      <c r="D17098" s="4"/>
    </row>
    <row collapsed="" customFormat="false" customHeight="1" hidden="" ht="14" outlineLevel="0" r="17099">
      <c r="A17099" s="3" t="inlineStr">
        <is>
          <t>17054</t>
        </is>
      </c>
      <c r="B17099" s="4" t="s">
        <f>=HYPERLINK("http://anyluxury.ru/shop/odezhda/futbolki-dlya-promo/futbolka-zhenskaya-e150-organic-oranzhevaya-tw02b233/" , "TW02B233 Футболка женская E150 Organic, оранжевая, размер XS")</f>
      </c>
      <c r="C17099" s="4" t="n">
        <v>654.00</v>
      </c>
      <c r="D17099" s="4"/>
    </row>
    <row collapsed="" customFormat="false" customHeight="1" hidden="" ht="14" outlineLevel="0" r="17100">
      <c r="A17100" s="3" t="inlineStr">
        <is>
          <t>17055</t>
        </is>
      </c>
      <c r="B17100" s="4" t="s">
        <f>=HYPERLINK("http://anyluxury.ru/shop/odezhda/futbolki-dlya-promo/futbolka-zhenskaya-e150-organic-oranzhevaya-tw02b233/" , "TW02B233 Футболка женская E150 Organic, оранжевая, размер S")</f>
      </c>
      <c r="C17100" s="4" t="n">
        <v>654.00</v>
      </c>
      <c r="D17100" s="4"/>
    </row>
    <row collapsed="" customFormat="false" customHeight="1" hidden="" ht="14" outlineLevel="0" r="17101">
      <c r="A17101" s="3" t="inlineStr">
        <is>
          <t>17056</t>
        </is>
      </c>
      <c r="B17101" s="4" t="s">
        <f>=HYPERLINK("http://anyluxury.ru/shop/odezhda/futbolki-dlya-promo/futbolka-zhenskaya-e150-organic-oranzhevaya-tw02b233/" , "TW02B233 Футболка женская E150 Organic, оранжевая, размер M")</f>
      </c>
      <c r="C17101" s="4" t="n">
        <v>654.00</v>
      </c>
      <c r="D17101" s="4"/>
    </row>
    <row collapsed="" customFormat="false" customHeight="1" hidden="" ht="14" outlineLevel="0" r="17102">
      <c r="A17102" s="3" t="inlineStr">
        <is>
          <t>17057</t>
        </is>
      </c>
      <c r="B17102" s="4" t="s">
        <f>=HYPERLINK("http://anyluxury.ru/shop/odezhda/futbolki-dlya-promo/futbolka-zhenskaya-e150-organic-oranzhevaya-tw02b233/" , "TW02B233 Футболка женская E150 Organic, оранжевая, размер L")</f>
      </c>
      <c r="C17102" s="4" t="n">
        <v>654.00</v>
      </c>
      <c r="D17102" s="4"/>
    </row>
    <row collapsed="" customFormat="false" customHeight="1" hidden="" ht="14" outlineLevel="0" r="17103">
      <c r="A17103" s="3" t="inlineStr">
        <is>
          <t>17058</t>
        </is>
      </c>
      <c r="B17103" s="4" t="s">
        <f>=HYPERLINK("http://anyluxury.ru/shop/odezhda/futbolki-dlya-promo/futbolka-zhenskaya-e150-organic-oranzhevaya-tw02b233/" , "TW02B233 Футболка женская E150 Organic, оранжевая, размер XL")</f>
      </c>
      <c r="C17103" s="4" t="n">
        <v>654.00</v>
      </c>
      <c r="D17103" s="4"/>
    </row>
    <row collapsed="" customFormat="false" customHeight="1" hidden="" ht="14" outlineLevel="0" r="17104">
      <c r="A17104" s="3" t="inlineStr">
        <is>
          <t>17059</t>
        </is>
      </c>
      <c r="B17104" s="4" t="s">
        <f>=HYPERLINK("http://anyluxury.ru/shop/odezhda/futbolki-dlya-promo/futbolka-zhenskaya-e150-organic-oranzhevaya-tw02b233/" , "TW02B233 Футболка женская E150 Organic, оранжевая, размер XXL")</f>
      </c>
      <c r="C17104" s="4" t="n">
        <v>654.00</v>
      </c>
      <c r="D17104" s="4"/>
    </row>
    <row collapsed="" customFormat="false" customHeight="1" hidden="" ht="14" outlineLevel="0" r="17105">
      <c r="A17105" s="3" t="inlineStr">
        <is>
          <t>17060</t>
        </is>
      </c>
      <c r="B17105" s="4" t="s">
        <f>=HYPERLINK("http://anyluxury.ru/shop/odezhda/futbolki-dlya-promo/futbolka-zhenskaya-e150-organic-rozovaya-tw02b306/" , "TW02B306 Футболка женская E150 Organic, розовая, размер XS")</f>
      </c>
      <c r="C17105" s="4" t="n">
        <v>752.00</v>
      </c>
      <c r="D17105" s="4"/>
    </row>
    <row collapsed="" customFormat="false" customHeight="1" hidden="" ht="14" outlineLevel="0" r="17106">
      <c r="A17106" s="3" t="inlineStr">
        <is>
          <t>17061</t>
        </is>
      </c>
      <c r="B17106" s="4" t="s">
        <f>=HYPERLINK("http://anyluxury.ru/shop/odezhda/futbolki-dlya-promo/futbolka-zhenskaya-e150-organic-rozovaya-tw02b306/" , "TW02B306 Футболка женская E150 Organic, розовая, размер S")</f>
      </c>
      <c r="C17106" s="4" t="n">
        <v>752.00</v>
      </c>
      <c r="D17106" s="4"/>
    </row>
    <row collapsed="" customFormat="false" customHeight="1" hidden="" ht="14" outlineLevel="0" r="17107">
      <c r="A17107" s="3" t="inlineStr">
        <is>
          <t>17062</t>
        </is>
      </c>
      <c r="B17107" s="4" t="s">
        <f>=HYPERLINK("http://anyluxury.ru/shop/odezhda/futbolki-dlya-promo/futbolka-zhenskaya-e150-organic-rozovaya-tw02b306/" , "TW02B306 Футболка женская E150 Organic, розовая, размер M")</f>
      </c>
      <c r="C17107" s="4" t="n">
        <v>752.00</v>
      </c>
      <c r="D17107" s="4"/>
    </row>
    <row collapsed="" customFormat="false" customHeight="1" hidden="" ht="14" outlineLevel="0" r="17108">
      <c r="A17108" s="3" t="inlineStr">
        <is>
          <t>17063</t>
        </is>
      </c>
      <c r="B17108" s="4" t="s">
        <f>=HYPERLINK("http://anyluxury.ru/shop/odezhda/futbolki-dlya-promo/futbolka-zhenskaya-e150-organic-rozovaya-tw02b306/" , "TW02B306 Футболка женская E150 Organic, розовая, размер L")</f>
      </c>
      <c r="C17108" s="4" t="n">
        <v>752.00</v>
      </c>
      <c r="D17108" s="4"/>
    </row>
    <row collapsed="" customFormat="false" customHeight="1" hidden="" ht="14" outlineLevel="0" r="17109">
      <c r="A17109" s="3" t="inlineStr">
        <is>
          <t>17064</t>
        </is>
      </c>
      <c r="B17109" s="4" t="s">
        <f>=HYPERLINK("http://anyluxury.ru/shop/odezhda/futbolki-dlya-promo/futbolka-zhenskaya-e150-organic-rozovaya-tw02b306/" , "TW02B306 Футболка женская E150 Organic, розовая, размер XL")</f>
      </c>
      <c r="C17109" s="4" t="n">
        <v>752.00</v>
      </c>
      <c r="D17109" s="4"/>
    </row>
    <row collapsed="" customFormat="false" customHeight="1" hidden="" ht="14" outlineLevel="0" r="17110">
      <c r="A17110" s="3" t="inlineStr">
        <is>
          <t>17065</t>
        </is>
      </c>
      <c r="B17110" s="4" t="s">
        <f>=HYPERLINK("http://anyluxury.ru/shop/odezhda/futbolki-dlya-promo/futbolka-zhenskaya-e150-organic-rozovaya-tw02b306/" , "TW02B306 Футболка женская E150 Organic, розовая, размер XXL")</f>
      </c>
      <c r="C17110" s="4" t="n">
        <v>752.00</v>
      </c>
      <c r="D17110" s="4"/>
    </row>
    <row collapsed="" customFormat="false" customHeight="1" hidden="" ht="14" outlineLevel="0" r="17111">
      <c r="A17111" s="3" t="inlineStr">
        <is>
          <t>17066</t>
        </is>
      </c>
      <c r="B17111" s="4" t="s">
        <f>=HYPERLINK("http://anyluxury.ru/shop/odezhda/futbolki-dlya-promo/futbolka-zhenskaya-e150-organic-yarkorozovaya-fuksiya-tw02b309/" , "TW02B309 Футболка женская E150 Organic, ярко-розовая (фуксия), размер XS")</f>
      </c>
      <c r="C17111" s="4" t="n">
        <v>752.00</v>
      </c>
      <c r="D17111" s="4"/>
    </row>
    <row collapsed="" customFormat="false" customHeight="1" hidden="" ht="14" outlineLevel="0" r="17112">
      <c r="A17112" s="3" t="inlineStr">
        <is>
          <t>17067</t>
        </is>
      </c>
      <c r="B17112" s="4" t="s">
        <f>=HYPERLINK("http://anyluxury.ru/shop/odezhda/futbolki-dlya-promo/futbolka-zhenskaya-e150-organic-yarkorozovaya-fuksiya-tw02b309/" , "TW02B309 Футболка женская E150 Organic, ярко-розовая (фуксия), размер XXL")</f>
      </c>
      <c r="C17112" s="4" t="n">
        <v>752.00</v>
      </c>
      <c r="D17112" s="4"/>
    </row>
    <row collapsed="" customFormat="false" customHeight="1" hidden="" ht="14" outlineLevel="0" r="17113">
      <c r="A17113" s="3" t="inlineStr">
        <is>
          <t>17068</t>
        </is>
      </c>
      <c r="B17113" s="4" t="s">
        <f>=HYPERLINK("http://anyluxury.ru/shop/odezhda/futbolki-dlya-promo/futbolka-zhenskaya-e150-organic-fioletovaya-tw02b351/" , "TW02B351 Футболка женская E150 Organic, фиолетовая, размер XS")</f>
      </c>
      <c r="C17113" s="4" t="n">
        <v>752.00</v>
      </c>
      <c r="D17113" s="4"/>
    </row>
    <row collapsed="" customFormat="false" customHeight="1" hidden="" ht="14" outlineLevel="0" r="17114">
      <c r="A17114" s="3" t="inlineStr">
        <is>
          <t>17069</t>
        </is>
      </c>
      <c r="B17114" s="4" t="s">
        <f>=HYPERLINK("http://anyluxury.ru/shop/odezhda/futbolki-dlya-promo/futbolka-zhenskaya-e150-organic-fioletovaya-tw02b351/" , "TW02B351 Футболка женская E150 Organic, фиолетовая, размер S")</f>
      </c>
      <c r="C17114" s="4" t="n">
        <v>752.00</v>
      </c>
      <c r="D17114" s="4"/>
    </row>
    <row collapsed="" customFormat="false" customHeight="1" hidden="" ht="14" outlineLevel="0" r="17115">
      <c r="A17115" s="3" t="inlineStr">
        <is>
          <t>17070</t>
        </is>
      </c>
      <c r="B17115" s="4" t="s">
        <f>=HYPERLINK("http://anyluxury.ru/shop/odezhda/futbolki-dlya-promo/futbolka-zhenskaya-e150-organic-fioletovaya-tw02b351/" , "TW02B351 Футболка женская E150 Organic, фиолетовая, размер M")</f>
      </c>
      <c r="C17115" s="4" t="n">
        <v>752.00</v>
      </c>
      <c r="D17115" s="4"/>
    </row>
    <row collapsed="" customFormat="false" customHeight="1" hidden="" ht="14" outlineLevel="0" r="17116">
      <c r="A17116" s="3" t="inlineStr">
        <is>
          <t>17071</t>
        </is>
      </c>
      <c r="B17116" s="4" t="s">
        <f>=HYPERLINK("http://anyluxury.ru/shop/odezhda/futbolki-dlya-promo/futbolka-zhenskaya-e150-organic-fioletovaya-tw02b351/" , "TW02B351 Футболка женская E150 Organic, фиолетовая, размер L")</f>
      </c>
      <c r="C17116" s="4" t="n">
        <v>752.00</v>
      </c>
      <c r="D17116" s="4"/>
    </row>
    <row collapsed="" customFormat="false" customHeight="1" hidden="" ht="14" outlineLevel="0" r="17117">
      <c r="A17117" s="3" t="inlineStr">
        <is>
          <t>17072</t>
        </is>
      </c>
      <c r="B17117" s="4" t="s">
        <f>=HYPERLINK("http://anyluxury.ru/shop/odezhda/futbolki-dlya-promo/futbolka-zhenskaya-e150-organic-fioletovaya-tw02b351/" , "TW02B351 Футболка женская E150 Organic, фиолетовая, размер XL")</f>
      </c>
      <c r="C17117" s="4" t="n">
        <v>752.00</v>
      </c>
      <c r="D17117" s="4"/>
    </row>
    <row collapsed="" customFormat="false" customHeight="1" hidden="" ht="14" outlineLevel="0" r="17118">
      <c r="A17118" s="3" t="inlineStr">
        <is>
          <t>17073</t>
        </is>
      </c>
      <c r="B17118" s="4" t="s">
        <f>=HYPERLINK("http://anyluxury.ru/shop/odezhda/futbolki-dlya-promo/futbolka-zhenskaya-e150-organic-fioletovaya-tw02b351/" , "TW02B351 Футболка женская E150 Organic, фиолетовая, размер XXL")</f>
      </c>
      <c r="C17118" s="4" t="n">
        <v>752.00</v>
      </c>
      <c r="D17118" s="4"/>
    </row>
    <row collapsed="" customFormat="false" customHeight="1" hidden="" ht="14" outlineLevel="0" r="17119">
      <c r="A17119" s="3" t="inlineStr">
        <is>
          <t>17074</t>
        </is>
      </c>
      <c r="B17119" s="4" t="s">
        <f>=HYPERLINK("http://anyluxury.ru/shop/odezhda/futbolki-dlya-promo/futbolka-zhenskaya-e150-organic-bordovaya-tw02b370/" , "TW02B370 Футболка женская E150 Organic, бордовая, размер XS")</f>
      </c>
      <c r="C17119" s="4" t="n">
        <v>752.00</v>
      </c>
      <c r="D17119" s="4"/>
    </row>
    <row collapsed="" customFormat="false" customHeight="1" hidden="" ht="14" outlineLevel="0" r="17120">
      <c r="A17120" s="3" t="inlineStr">
        <is>
          <t>17075</t>
        </is>
      </c>
      <c r="B17120" s="4" t="s">
        <f>=HYPERLINK("http://anyluxury.ru/shop/odezhda/futbolki-dlya-promo/futbolka-zhenskaya-e150-organic-bordovaya-tw02b370/" , "TW02B370 Футболка женская E150 Organic, бордовая, размер S")</f>
      </c>
      <c r="C17120" s="4" t="n">
        <v>752.00</v>
      </c>
      <c r="D17120" s="4"/>
    </row>
    <row collapsed="" customFormat="false" customHeight="1" hidden="" ht="14" outlineLevel="0" r="17121">
      <c r="A17121" s="3" t="inlineStr">
        <is>
          <t>17076</t>
        </is>
      </c>
      <c r="B17121" s="4" t="s">
        <f>=HYPERLINK("http://anyluxury.ru/shop/odezhda/futbolki-dlya-promo/futbolka-zhenskaya-e150-organic-bordovaya-tw02b370/" , "TW02B370 Футболка женская E150 Organic, бордовая, размер M")</f>
      </c>
      <c r="C17121" s="4" t="n">
        <v>752.00</v>
      </c>
      <c r="D17121" s="4"/>
    </row>
    <row collapsed="" customFormat="false" customHeight="1" hidden="" ht="14" outlineLevel="0" r="17122">
      <c r="A17122" s="3" t="inlineStr">
        <is>
          <t>17077</t>
        </is>
      </c>
      <c r="B17122" s="4" t="s">
        <f>=HYPERLINK("http://anyluxury.ru/shop/odezhda/futbolki-dlya-promo/futbolka-zhenskaya-e150-organic-bordovaya-tw02b370/" , "TW02B370 Футболка женская E150 Organic, бордовая, размер L")</f>
      </c>
      <c r="C17122" s="4" t="n">
        <v>752.00</v>
      </c>
      <c r="D17122" s="4"/>
    </row>
    <row collapsed="" customFormat="false" customHeight="1" hidden="" ht="14" outlineLevel="0" r="17123">
      <c r="A17123" s="3" t="inlineStr">
        <is>
          <t>17078</t>
        </is>
      </c>
      <c r="B17123" s="4" t="s">
        <f>=HYPERLINK("http://anyluxury.ru/shop/odezhda/futbolki-dlya-promo/futbolka-zhenskaya-e150-organic-bordovaya-tw02b370/" , "TW02B370 Футболка женская E150 Organic, бордовая, размер XL")</f>
      </c>
      <c r="C17123" s="4" t="n">
        <v>752.00</v>
      </c>
      <c r="D17123" s="4"/>
    </row>
    <row collapsed="" customFormat="false" customHeight="1" hidden="" ht="14" outlineLevel="0" r="17124">
      <c r="A17124" s="3" t="inlineStr">
        <is>
          <t>17079</t>
        </is>
      </c>
      <c r="B17124" s="4" t="s">
        <f>=HYPERLINK("http://anyluxury.ru/shop/odezhda/futbolki-dlya-promo/futbolka-zhenskaya-e150-organic-bordovaya-tw02b370/" , "TW02B370 Футболка женская E150 Organic, бордовая, размер XXL")</f>
      </c>
      <c r="C17124" s="4" t="n">
        <v>752.00</v>
      </c>
      <c r="D17124" s="4"/>
    </row>
    <row collapsed="" customFormat="false" customHeight="1" hidden="" ht="14" outlineLevel="0" r="17125">
      <c r="A17125" s="3" t="inlineStr">
        <is>
          <t>17080</t>
        </is>
      </c>
      <c r="B17125" s="4" t="s">
        <f>=HYPERLINK("http://anyluxury.ru/shop/odezhda/futbolki-dlya-promo/futbolka-zhenskaya-e150-organic-yarkosinyaya-tw02b453/" , "TW02B453 Футболка женская E150 Organic, ярко-синяя, размер XS")</f>
      </c>
      <c r="C17125" s="4" t="n">
        <v>752.00</v>
      </c>
      <c r="D17125" s="4"/>
    </row>
    <row collapsed="" customFormat="false" customHeight="1" hidden="" ht="14" outlineLevel="0" r="17126">
      <c r="A17126" s="3" t="inlineStr">
        <is>
          <t>17081</t>
        </is>
      </c>
      <c r="B17126" s="4" t="s">
        <f>=HYPERLINK("http://anyluxury.ru/shop/odezhda/futbolki-dlya-promo/futbolka-zhenskaya-e150-organic-yarkosinyaya-tw02b453/" , "TW02B453 Футболка женская E150 Organic, ярко-синяя, размер S")</f>
      </c>
      <c r="C17126" s="4" t="n">
        <v>752.00</v>
      </c>
      <c r="D17126" s="4"/>
    </row>
    <row collapsed="" customFormat="false" customHeight="1" hidden="" ht="14" outlineLevel="0" r="17127">
      <c r="A17127" s="3" t="inlineStr">
        <is>
          <t>17082</t>
        </is>
      </c>
      <c r="B17127" s="4" t="s">
        <f>=HYPERLINK("http://anyluxury.ru/shop/odezhda/futbolki-dlya-promo/futbolka-zhenskaya-e150-organic-yarkosinyaya-tw02b453/" , "TW02B453 Футболка женская E150 Organic, ярко-синяя, размер M")</f>
      </c>
      <c r="C17127" s="4" t="n">
        <v>752.00</v>
      </c>
      <c r="D17127" s="4"/>
    </row>
    <row collapsed="" customFormat="false" customHeight="1" hidden="" ht="14" outlineLevel="0" r="17128">
      <c r="A17128" s="3" t="inlineStr">
        <is>
          <t>17083</t>
        </is>
      </c>
      <c r="B17128" s="4" t="s">
        <f>=HYPERLINK("http://anyluxury.ru/shop/odezhda/futbolki-dlya-promo/futbolka-zhenskaya-e150-organic-yarkosinyaya-tw02b453/" , "TW02B453 Футболка женская E150 Organic, ярко-синяя, размер L")</f>
      </c>
      <c r="C17128" s="4" t="n">
        <v>752.00</v>
      </c>
      <c r="D17128" s="4"/>
    </row>
    <row collapsed="" customFormat="false" customHeight="1" hidden="" ht="14" outlineLevel="0" r="17129">
      <c r="A17129" s="3" t="inlineStr">
        <is>
          <t>17084</t>
        </is>
      </c>
      <c r="B17129" s="4" t="s">
        <f>=HYPERLINK("http://anyluxury.ru/shop/odezhda/futbolki-dlya-promo/futbolka-zhenskaya-e150-organic-yarkosinyaya-tw02b453/" , "TW02B453 Футболка женская E150 Organic, ярко-синяя, размер XL")</f>
      </c>
      <c r="C17129" s="4" t="n">
        <v>752.00</v>
      </c>
      <c r="D17129" s="4"/>
    </row>
    <row collapsed="" customFormat="false" customHeight="1" hidden="" ht="14" outlineLevel="0" r="17130">
      <c r="A17130" s="3" t="inlineStr">
        <is>
          <t>17085</t>
        </is>
      </c>
      <c r="B17130" s="4" t="s">
        <f>=HYPERLINK("http://anyluxury.ru/shop/odezhda/futbolki-dlya-promo/futbolka-zhenskaya-e150-organic-yarkosinyaya-tw02b453/" , "TW02B453 Футболка женская E150 Organic, ярко-синяя, размер XXL")</f>
      </c>
      <c r="C17130" s="4" t="n">
        <v>752.00</v>
      </c>
      <c r="D17130" s="4"/>
    </row>
    <row collapsed="" customFormat="false" customHeight="1" hidden="" ht="14" outlineLevel="0" r="17131">
      <c r="A17131" s="3" t="inlineStr">
        <is>
          <t>17086</t>
        </is>
      </c>
      <c r="B17131" s="4" t="s">
        <f>=HYPERLINK("http://anyluxury.ru/shop/odezhda/futbolki-dlya-promo/futbolka-zhenskaya-e150-organic-yarkosinyaya-tw02b453/" , "TW02B453 Футболка женская E150 Organic, ярко-синяя, размер 3XL")</f>
      </c>
      <c r="C17131" s="4" t="n">
        <v>904.00</v>
      </c>
      <c r="D17131" s="4"/>
    </row>
    <row collapsed="" customFormat="false" customHeight="1" hidden="" ht="14" outlineLevel="0" r="17132">
      <c r="A17132" s="3" t="inlineStr">
        <is>
          <t>17087</t>
        </is>
      </c>
      <c r="B17132" s="4" t="s">
        <f>=HYPERLINK("http://anyluxury.ru/shop/odezhda/futbolki-dlya-promo/futbolka-zhenskaya-e150-organic-serogolubaya-tw02b457/" , "TW02B457 Футболка женская E150 Organic, серо-голубая, размер XS")</f>
      </c>
      <c r="C17132" s="4" t="n">
        <v>752.00</v>
      </c>
      <c r="D17132" s="4"/>
    </row>
    <row collapsed="" customFormat="false" customHeight="1" hidden="" ht="14" outlineLevel="0" r="17133">
      <c r="A17133" s="3" t="inlineStr">
        <is>
          <t>17088</t>
        </is>
      </c>
      <c r="B17133" s="4" t="s">
        <f>=HYPERLINK("http://anyluxury.ru/shop/odezhda/futbolki-dlya-promo/futbolka-zhenskaya-e150-organic-serogolubaya-tw02b457/" , "TW02B457 Футболка женская E150 Organic, серо-голубая, размер L")</f>
      </c>
      <c r="C17133" s="4" t="n">
        <v>752.00</v>
      </c>
      <c r="D17133" s="4"/>
    </row>
    <row collapsed="" customFormat="false" customHeight="1" hidden="" ht="14" outlineLevel="0" r="17134">
      <c r="A17134" s="3" t="inlineStr">
        <is>
          <t>17089</t>
        </is>
      </c>
      <c r="B17134" s="4" t="s">
        <f>=HYPERLINK("http://anyluxury.ru/shop/odezhda/futbolki-dlya-promo/futbolka-zhenskaya-e150-organic-serogolubaya-tw02b457/" , "TW02B457 Футболка женская E150 Organic, серо-голубая, размер XL")</f>
      </c>
      <c r="C17134" s="4" t="n">
        <v>752.00</v>
      </c>
      <c r="D17134" s="4"/>
    </row>
    <row collapsed="" customFormat="false" customHeight="1" hidden="" ht="14" outlineLevel="0" r="17135">
      <c r="A17135" s="3" t="inlineStr">
        <is>
          <t>17090</t>
        </is>
      </c>
      <c r="B17135" s="4" t="s">
        <f>=HYPERLINK("http://anyluxury.ru/shop/odezhda/futbolki-dlya-promo/futbolka-zhenskaya-e150-organic-serogolubaya-tw02b457/" , "TW02B457 Футболка женская E150 Organic, серо-голубая, размер XXL")</f>
      </c>
      <c r="C17135" s="4" t="n">
        <v>752.00</v>
      </c>
      <c r="D17135" s="4"/>
    </row>
    <row collapsed="" customFormat="false" customHeight="1" hidden="" ht="14" outlineLevel="0" r="17136">
      <c r="A17136" s="3" t="inlineStr">
        <is>
          <t>17091</t>
        </is>
      </c>
      <c r="B17136" s="4" t="s">
        <f>=HYPERLINK("http://anyluxury.ru/shop/odezhda/futbolki-dlya-promo/futbolka-zhenskaya-e150-organic-serozelenaya-tw02b502/" , "TW02B502 Футболка женская E150 Organic, серо-зеленая, размер XS")</f>
      </c>
      <c r="C17136" s="4" t="n">
        <v>752.00</v>
      </c>
      <c r="D17136" s="4"/>
    </row>
    <row collapsed="" customFormat="false" customHeight="1" hidden="" ht="14" outlineLevel="0" r="17137">
      <c r="A17137" s="3" t="inlineStr">
        <is>
          <t>17092</t>
        </is>
      </c>
      <c r="B17137" s="4" t="s">
        <f>=HYPERLINK("http://anyluxury.ru/shop/odezhda/futbolki-dlya-promo/futbolka-zhenskaya-e150-organic-serozelenaya-tw02b502/" , "TW02B502 Футболка женская E150 Organic, серо-зеленая, размер S")</f>
      </c>
      <c r="C17137" s="4" t="n">
        <v>752.00</v>
      </c>
      <c r="D17137" s="4"/>
    </row>
    <row collapsed="" customFormat="false" customHeight="1" hidden="" ht="14" outlineLevel="0" r="17138">
      <c r="A17138" s="3" t="inlineStr">
        <is>
          <t>17093</t>
        </is>
      </c>
      <c r="B17138" s="4" t="s">
        <f>=HYPERLINK("http://anyluxury.ru/shop/odezhda/futbolki-dlya-promo/futbolka-zhenskaya-e150-organic-zelenaya-tw02b515/" , "TW02B515 Футболка женская E150 Organic, зеленая, размер XS")</f>
      </c>
      <c r="C17138" s="4" t="n">
        <v>654.00</v>
      </c>
      <c r="D17138" s="4"/>
    </row>
    <row collapsed="" customFormat="false" customHeight="1" hidden="" ht="14" outlineLevel="0" r="17139">
      <c r="A17139" s="3" t="inlineStr">
        <is>
          <t>17094</t>
        </is>
      </c>
      <c r="B17139" s="4" t="s">
        <f>=HYPERLINK("http://anyluxury.ru/shop/odezhda/futbolki-dlya-promo/futbolka-zhenskaya-e150-organic-zelenaya-tw02b515/" , "TW02B515 Футболка женская E150 Organic, зеленая, размер S")</f>
      </c>
      <c r="C17139" s="4" t="n">
        <v>654.00</v>
      </c>
      <c r="D17139" s="4"/>
    </row>
    <row collapsed="" customFormat="false" customHeight="1" hidden="" ht="14" outlineLevel="0" r="17140">
      <c r="A17140" s="3" t="inlineStr">
        <is>
          <t>17095</t>
        </is>
      </c>
      <c r="B17140" s="4" t="s">
        <f>=HYPERLINK("http://anyluxury.ru/shop/odezhda/futbolki-dlya-promo/futbolka-zhenskaya-e150-organic-zelenaya-tw02b515/" , "TW02B515 Футболка женская E150 Organic, зеленая, размер M")</f>
      </c>
      <c r="C17140" s="4" t="n">
        <v>654.00</v>
      </c>
      <c r="D17140" s="4"/>
    </row>
    <row collapsed="" customFormat="false" customHeight="1" hidden="" ht="14" outlineLevel="0" r="17141">
      <c r="A17141" s="3" t="inlineStr">
        <is>
          <t>17096</t>
        </is>
      </c>
      <c r="B17141" s="4" t="s">
        <f>=HYPERLINK("http://anyluxury.ru/shop/odezhda/futbolki-dlya-promo/futbolka-zhenskaya-e150-organic-zelenaya-tw02b515/" , "TW02B515 Футболка женская E150 Organic, зеленая, размер L")</f>
      </c>
      <c r="C17141" s="4" t="n">
        <v>654.00</v>
      </c>
      <c r="D17141" s="4"/>
    </row>
    <row collapsed="" customFormat="false" customHeight="1" hidden="" ht="14" outlineLevel="0" r="17142">
      <c r="A17142" s="3" t="inlineStr">
        <is>
          <t>17097</t>
        </is>
      </c>
      <c r="B17142" s="4" t="s">
        <f>=HYPERLINK("http://anyluxury.ru/shop/odezhda/futbolki-dlya-promo/futbolka-zhenskaya-e150-organic-zelenaya-tw02b515/" , "TW02B515 Футболка женская E150 Organic, зеленая, размер XL")</f>
      </c>
      <c r="C17142" s="4" t="n">
        <v>654.00</v>
      </c>
      <c r="D17142" s="4"/>
    </row>
    <row collapsed="" customFormat="false" customHeight="1" hidden="" ht="14" outlineLevel="0" r="17143">
      <c r="A17143" s="3" t="inlineStr">
        <is>
          <t>17098</t>
        </is>
      </c>
      <c r="B17143" s="4" t="s">
        <f>=HYPERLINK("http://anyluxury.ru/shop/odezhda/futbolki-dlya-promo/futbolka-zhenskaya-e150-organic-zelenaya-tw02b515/" , "TW02B515 Футболка женская E150 Organic, зеленая, размер XXL")</f>
      </c>
      <c r="C17143" s="4" t="n">
        <v>654.00</v>
      </c>
      <c r="D17143" s="4"/>
    </row>
    <row collapsed="" customFormat="false" customHeight="1" hidden="" ht="14" outlineLevel="0" r="17144">
      <c r="A17144" s="3" t="inlineStr">
        <is>
          <t>17099</t>
        </is>
      </c>
      <c r="B17144" s="4" t="s">
        <f>=HYPERLINK("http://anyluxury.ru/shop/odezhda/futbolki-dlya-promo/futbolka-zhenskaya-e150-organic-zelenoe-yabloko-tw02b560/" , "TW02B560 Футболка женская E150 Organic, зеленое яблоко, размер XS")</f>
      </c>
      <c r="C17144" s="4" t="n">
        <v>752.00</v>
      </c>
      <c r="D17144" s="4"/>
    </row>
    <row collapsed="" customFormat="false" customHeight="1" hidden="" ht="14" outlineLevel="0" r="17145">
      <c r="A17145" s="3" t="inlineStr">
        <is>
          <t>17100</t>
        </is>
      </c>
      <c r="B17145" s="4" t="s">
        <f>=HYPERLINK("http://anyluxury.ru/shop/odezhda/futbolki-dlya-promo/futbolka-zhenskaya-e150-organic-zelenoe-yabloko-tw02b560/" , "TW02B560 Футболка женская E150 Organic, зеленое яблоко, размер S")</f>
      </c>
      <c r="C17145" s="4" t="n">
        <v>752.00</v>
      </c>
      <c r="D17145" s="4"/>
    </row>
    <row collapsed="" customFormat="false" customHeight="1" hidden="" ht="14" outlineLevel="0" r="17146">
      <c r="A17146" s="3" t="inlineStr">
        <is>
          <t>17101</t>
        </is>
      </c>
      <c r="B17146" s="4" t="s">
        <f>=HYPERLINK("http://anyluxury.ru/shop/odezhda/futbolki-dlya-promo/futbolka-zhenskaya-e150-organic-zelenoe-yabloko-tw02b560/" , "TW02B560 Футболка женская E150 Organic, зеленое яблоко, размер M")</f>
      </c>
      <c r="C17146" s="4" t="n">
        <v>752.00</v>
      </c>
      <c r="D17146" s="4"/>
    </row>
    <row collapsed="" customFormat="false" customHeight="1" hidden="" ht="14" outlineLevel="0" r="17147">
      <c r="A17147" s="3" t="inlineStr">
        <is>
          <t>17102</t>
        </is>
      </c>
      <c r="B17147" s="4" t="s">
        <f>=HYPERLINK("http://anyluxury.ru/shop/odezhda/futbolki-dlya-promo/futbolka-zhenskaya-e150-organic-zelenoe-yabloko-tw02b560/" , "TW02B560 Футболка женская E150 Organic, зеленое яблоко, размер L")</f>
      </c>
      <c r="C17147" s="4" t="n">
        <v>752.00</v>
      </c>
      <c r="D17147" s="4"/>
    </row>
    <row collapsed="" customFormat="false" customHeight="1" hidden="" ht="14" outlineLevel="0" r="17148">
      <c r="A17148" s="3" t="inlineStr">
        <is>
          <t>17103</t>
        </is>
      </c>
      <c r="B17148" s="4" t="s">
        <f>=HYPERLINK("http://anyluxury.ru/shop/odezhda/futbolki-dlya-promo/futbolka-zhenskaya-e150-organic-zelenoe-yabloko-tw02b560/" , "TW02B560 Футболка женская E150 Organic, зеленое яблоко, размер XL")</f>
      </c>
      <c r="C17148" s="4" t="n">
        <v>752.00</v>
      </c>
      <c r="D17148" s="4"/>
    </row>
    <row collapsed="" customFormat="false" customHeight="1" hidden="" ht="14" outlineLevel="0" r="17149">
      <c r="A17149" s="3" t="inlineStr">
        <is>
          <t>17104</t>
        </is>
      </c>
      <c r="B17149" s="4" t="s">
        <f>=HYPERLINK("http://anyluxury.ru/shop/odezhda/futbolki-dlya-promo/futbolka-zhenskaya-e150-organic-zelenoe-yabloko-tw02b560/" , "TW02B560 Футболка женская E150 Organic, зеленое яблоко, размер XXL")</f>
      </c>
      <c r="C17149" s="4" t="n">
        <v>752.00</v>
      </c>
      <c r="D17149" s="4"/>
    </row>
    <row collapsed="" customFormat="false" customHeight="1" hidden="" ht="14" outlineLevel="0" r="17150">
      <c r="A17150" s="3" t="inlineStr">
        <is>
          <t>17105</t>
        </is>
      </c>
      <c r="B17150" s="4" t="s">
        <f>=HYPERLINK("http://anyluxury.ru/shop/odezhda/futbolki-dlya-promo/futbolka-zhenskaya-e150-organic-seriy-melanzh-tw02b610/" , "TW02B610 Футболка женская E150 Organic, серый меланж, размер XS")</f>
      </c>
      <c r="C17150" s="4" t="n">
        <v>752.00</v>
      </c>
      <c r="D17150" s="4"/>
    </row>
    <row collapsed="" customFormat="false" customHeight="1" hidden="" ht="14" outlineLevel="0" r="17151">
      <c r="A17151" s="3" t="inlineStr">
        <is>
          <t>17106</t>
        </is>
      </c>
      <c r="B17151" s="4" t="s">
        <f>=HYPERLINK("http://anyluxury.ru/shop/odezhda/futbolki-dlya-promo/futbolka-zhenskaya-e150-organic-seriy-melanzh-tw02b610/" , "TW02B610 Футболка женская E150 Organic, серый меланж, размер S")</f>
      </c>
      <c r="C17151" s="4" t="n">
        <v>752.00</v>
      </c>
      <c r="D17151" s="4"/>
    </row>
    <row collapsed="" customFormat="false" customHeight="1" hidden="" ht="14" outlineLevel="0" r="17152">
      <c r="A17152" s="3" t="inlineStr">
        <is>
          <t>17107</t>
        </is>
      </c>
      <c r="B17152" s="4" t="s">
        <f>=HYPERLINK("http://anyluxury.ru/shop/odezhda/futbolki-dlya-promo/futbolka-zhenskaya-e150-organic-seriy-melanzh-tw02b610/" , "TW02B610 Футболка женская E150 Organic, серый меланж, размер M")</f>
      </c>
      <c r="C17152" s="4" t="n">
        <v>752.00</v>
      </c>
      <c r="D17152" s="4"/>
    </row>
    <row collapsed="" customFormat="false" customHeight="1" hidden="" ht="14" outlineLevel="0" r="17153">
      <c r="A17153" s="3" t="inlineStr">
        <is>
          <t>17108</t>
        </is>
      </c>
      <c r="B17153" s="4" t="s">
        <f>=HYPERLINK("http://anyluxury.ru/shop/odezhda/futbolki-dlya-promo/futbolka-zhenskaya-e150-organic-seriy-melanzh-tw02b610/" , "TW02B610 Футболка женская E150 Organic, серый меланж, размер L")</f>
      </c>
      <c r="C17153" s="4" t="n">
        <v>752.00</v>
      </c>
      <c r="D17153" s="4"/>
    </row>
    <row collapsed="" customFormat="false" customHeight="1" hidden="" ht="14" outlineLevel="0" r="17154">
      <c r="A17154" s="3" t="inlineStr">
        <is>
          <t>17109</t>
        </is>
      </c>
      <c r="B17154" s="4" t="s">
        <f>=HYPERLINK("http://anyluxury.ru/shop/odezhda/futbolki-dlya-promo/futbolka-zhenskaya-e150-organic-seriy-melanzh-tw02b610/" , "TW02B610 Футболка женская E150 Organic, серый меланж, размер XL")</f>
      </c>
      <c r="C17154" s="4" t="n">
        <v>752.00</v>
      </c>
      <c r="D17154" s="4"/>
    </row>
    <row collapsed="" customFormat="false" customHeight="1" hidden="" ht="14" outlineLevel="0" r="17155">
      <c r="A17155" s="3" t="inlineStr">
        <is>
          <t>17110</t>
        </is>
      </c>
      <c r="B17155" s="4" t="s">
        <f>=HYPERLINK("http://anyluxury.ru/shop/odezhda/futbolki-dlya-promo/futbolka-zhenskaya-e150-organic-seriy-melanzh-tw02b610/" , "TW02B610 Футболка женская E150 Organic, серый меланж, размер XXL")</f>
      </c>
      <c r="C17155" s="4" t="n">
        <v>752.00</v>
      </c>
      <c r="D17155" s="4"/>
    </row>
    <row collapsed="" customFormat="false" customHeight="1" hidden="" ht="14" outlineLevel="0" r="17156">
      <c r="A17156" s="3" t="inlineStr">
        <is>
          <t>17111</t>
        </is>
      </c>
      <c r="B17156" s="4" t="s">
        <f>=HYPERLINK("http://anyluxury.ru/shop/odezhda/futbolki-dlya-promo/futbolka-zhenskaya-e150-organic-seriy-melanzh-tw02b610/" , "TW02B610 Футболка женская E150 Organic, серый меланж, размер 3XL")</f>
      </c>
      <c r="C17156" s="4" t="n">
        <v>904.00</v>
      </c>
      <c r="D17156" s="4"/>
    </row>
    <row collapsed="" customFormat="false" customHeight="1" hidden="" ht="14" outlineLevel="0" r="17157">
      <c r="A17157" s="3" t="inlineStr">
        <is>
          <t>17112</t>
        </is>
      </c>
      <c r="B17157" s="4" t="s">
        <f>=HYPERLINK("http://anyluxury.ru/shop/odezhda/futbolki-dlya-promo/futbolka-zhenskaya-e150-organic-temnoseraya-tw02b669/" , "TW02B669 Футболка женская E150 Organic, темно-серая, размер XS")</f>
      </c>
      <c r="C17157" s="4" t="n">
        <v>752.00</v>
      </c>
      <c r="D17157" s="4"/>
    </row>
    <row collapsed="" customFormat="false" customHeight="1" hidden="" ht="14" outlineLevel="0" r="17158">
      <c r="A17158" s="3" t="inlineStr">
        <is>
          <t>17113</t>
        </is>
      </c>
      <c r="B17158" s="4" t="s">
        <f>=HYPERLINK("http://anyluxury.ru/shop/odezhda/futbolki-dlya-promo/futbolka-zhenskaya-e150-organic-temnoseraya-tw02b669/" , "TW02B669 Футболка женская E150 Organic, темно-серая, размер S")</f>
      </c>
      <c r="C17158" s="4" t="n">
        <v>752.00</v>
      </c>
      <c r="D17158" s="4"/>
    </row>
    <row collapsed="" customFormat="false" customHeight="1" hidden="" ht="14" outlineLevel="0" r="17159">
      <c r="A17159" s="3" t="inlineStr">
        <is>
          <t>17114</t>
        </is>
      </c>
      <c r="B17159" s="4" t="s">
        <f>=HYPERLINK("http://anyluxury.ru/shop/odezhda/futbolki-dlya-promo/futbolka-zhenskaya-e150-organic-temnoseraya-tw02b669/" , "TW02B669 Футболка женская E150 Organic, темно-серая, размер M")</f>
      </c>
      <c r="C17159" s="4" t="n">
        <v>752.00</v>
      </c>
      <c r="D17159" s="4"/>
    </row>
    <row collapsed="" customFormat="false" customHeight="1" hidden="" ht="14" outlineLevel="0" r="17160">
      <c r="A17160" s="3" t="inlineStr">
        <is>
          <t>17115</t>
        </is>
      </c>
      <c r="B17160" s="4" t="s">
        <f>=HYPERLINK("http://anyluxury.ru/shop/odezhda/futbolki-dlya-promo/futbolka-zhenskaya-e150-organic-temnoseraya-tw02b669/" , "TW02B669 Футболка женская E150 Organic, темно-серая, размер L")</f>
      </c>
      <c r="C17160" s="4" t="n">
        <v>752.00</v>
      </c>
      <c r="D17160" s="4"/>
    </row>
    <row collapsed="" customFormat="false" customHeight="1" hidden="" ht="14" outlineLevel="0" r="17161">
      <c r="A17161" s="3" t="inlineStr">
        <is>
          <t>17116</t>
        </is>
      </c>
      <c r="B17161" s="4" t="s">
        <f>=HYPERLINK("http://anyluxury.ru/shop/odezhda/futbolki-dlya-promo/futbolka-zhenskaya-e150-organic-temnoseraya-tw02b669/" , "TW02B669 Футболка женская E150 Organic, темно-серая, размер XL")</f>
      </c>
      <c r="C17161" s="4" t="n">
        <v>752.00</v>
      </c>
      <c r="D17161" s="4"/>
    </row>
    <row collapsed="" customFormat="false" customHeight="1" hidden="" ht="14" outlineLevel="0" r="17162">
      <c r="A17162" s="3" t="inlineStr">
        <is>
          <t>17117</t>
        </is>
      </c>
      <c r="B17162" s="4" t="s">
        <f>=HYPERLINK("http://anyluxury.ru/shop/odezhda/futbolki-dlya-promo/futbolka-zhenskaya-e150-organic-temnoseraya-tw02b669/" , "TW02B669 Футболка женская E150 Organic, темно-серая, размер XXL")</f>
      </c>
      <c r="C17162" s="4" t="n">
        <v>752.00</v>
      </c>
      <c r="D17162" s="4"/>
    </row>
    <row collapsed="" customFormat="false" customHeight="1" hidden="" ht="14" outlineLevel="0" r="17163">
      <c r="A17163" s="3" t="inlineStr">
        <is>
          <t>17118</t>
        </is>
      </c>
      <c r="B17163" s="4" t="s">
        <f>=HYPERLINK("http://anyluxury.ru/shop/odezhda/futbolki-dlya-promo/futbolka-zhenskaya-e150-organic-temnozelenaya-tw02b882/" , "TW02B882 Футболка женская E150 Organic, темно-зеленая, размер XS")</f>
      </c>
      <c r="C17163" s="4" t="n">
        <v>654.00</v>
      </c>
      <c r="D17163" s="4"/>
    </row>
    <row collapsed="" customFormat="false" customHeight="1" hidden="" ht="14" outlineLevel="0" r="17164">
      <c r="A17164" s="3" t="inlineStr">
        <is>
          <t>17119</t>
        </is>
      </c>
      <c r="B17164" s="4" t="s">
        <f>=HYPERLINK("http://anyluxury.ru/shop/odezhda/futbolki-dlya-promo/futbolka-zhenskaya-e150-organic-temnozelenaya-tw02b882/" , "TW02B882 Футболка женская E150 Organic, темно-зеленая, размер S")</f>
      </c>
      <c r="C17164" s="4" t="n">
        <v>654.00</v>
      </c>
      <c r="D17164" s="4"/>
    </row>
    <row collapsed="" customFormat="false" customHeight="1" hidden="" ht="14" outlineLevel="0" r="17165">
      <c r="A17165" s="3" t="inlineStr">
        <is>
          <t>17120</t>
        </is>
      </c>
      <c r="B17165" s="4" t="s">
        <f>=HYPERLINK("http://anyluxury.ru/shop/odezhda/futbolki-dlya-promo/futbolka-zhenskaya-e150-organic-temnozelenaya-tw02b882/" , "TW02B882 Футболка женская E150 Organic, темно-зеленая, размер M")</f>
      </c>
      <c r="C17165" s="4" t="n">
        <v>654.00</v>
      </c>
      <c r="D17165" s="4"/>
    </row>
    <row collapsed="" customFormat="false" customHeight="1" hidden="" ht="14" outlineLevel="0" r="17166">
      <c r="A17166" s="3" t="inlineStr">
        <is>
          <t>17121</t>
        </is>
      </c>
      <c r="B17166" s="4" t="s">
        <f>=HYPERLINK("http://anyluxury.ru/shop/odezhda/futbolki-dlya-promo/futbolka-zhenskaya-e150-organic-temnozelenaya-tw02b882/" , "TW02B882 Футболка женская E150 Organic, темно-зеленая, размер L")</f>
      </c>
      <c r="C17166" s="4" t="n">
        <v>654.00</v>
      </c>
      <c r="D17166" s="4"/>
    </row>
    <row collapsed="" customFormat="false" customHeight="1" hidden="" ht="14" outlineLevel="0" r="17167">
      <c r="A17167" s="3" t="inlineStr">
        <is>
          <t>17122</t>
        </is>
      </c>
      <c r="B17167" s="4" t="s">
        <f>=HYPERLINK("http://anyluxury.ru/shop/odezhda/futbolki-dlya-promo/futbolka-zhenskaya-e150-organic-temnozelenaya-tw02b882/" , "TW02B882 Футболка женская E150 Organic, темно-зеленая, размер XL")</f>
      </c>
      <c r="C17167" s="4" t="n">
        <v>654.00</v>
      </c>
      <c r="D17167" s="4"/>
    </row>
    <row collapsed="" customFormat="false" customHeight="1" hidden="" ht="14" outlineLevel="0" r="17168">
      <c r="A17168" s="3" t="inlineStr">
        <is>
          <t>17123</t>
        </is>
      </c>
      <c r="B17168" s="4" t="s">
        <f>=HYPERLINK("http://anyluxury.ru/shop/odezhda/futbolki-dlya-promo/futbolka-zhenskaya-e150-organic-temnozelenaya-tw02b882/" , "TW02B882 Футболка женская E150 Organic, темно-зеленая, размер XXL")</f>
      </c>
      <c r="C17168" s="4" t="n">
        <v>654.00</v>
      </c>
      <c r="D17168" s="4"/>
    </row>
    <row collapsed="" customFormat="false" customHeight="1" hidden="" ht="14" outlineLevel="0" r="17169">
      <c r="A17169" s="3" t="inlineStr">
        <is>
          <t>17124</t>
        </is>
      </c>
      <c r="B17169" s="4" t="s">
        <f>=HYPERLINK("http://anyluxury.ru/shop/odezhda/futbolki-dlya-promo/futbolka-muzhskaya-rainbow-men-temnosinyaya-s-yarkosinim-03108534/" , "03108534 Футболка мужская Rainbow Men, темно-синяя с ярко-синим, размер S")</f>
      </c>
      <c r="C17169" s="4" t="n">
        <v>1508.00</v>
      </c>
      <c r="D17169" s="4"/>
    </row>
    <row collapsed="" customFormat="false" customHeight="1" hidden="" ht="14" outlineLevel="0" r="17170">
      <c r="A17170" s="3" t="inlineStr">
        <is>
          <t>17125</t>
        </is>
      </c>
      <c r="B17170" s="4" t="s">
        <f>=HYPERLINK("http://anyluxury.ru/shop/odezhda/futbolki-dlya-promo/futbolka-muzhskaya-rainbow-men-temnosinyaya-s-yarkosinim-03108534/" , "03108534 Футболка мужская Rainbow Men, темно-синяя с ярко-синим, размер 3XL")</f>
      </c>
      <c r="C17170" s="4" t="n">
        <v>1634.00</v>
      </c>
      <c r="D17170" s="4"/>
    </row>
    <row collapsed="" customFormat="false" customHeight="1" hidden="" ht="14" outlineLevel="0" r="17171">
      <c r="A17171" s="3" t="inlineStr">
        <is>
          <t>17126</t>
        </is>
      </c>
      <c r="B17171" s="4" t="s">
        <f>=HYPERLINK("http://anyluxury.ru/shop/odezhda/futbolki-dlya-promo/futbolka-muzhskaya-rainbow-men-temnosinyaya-s-yarkosinim-03108534/" , "03108534 Футболка мужская Rainbow Men, темно-синяя с ярко-синим, размер 4XL")</f>
      </c>
      <c r="C17171" s="4" t="n">
        <v>1634.00</v>
      </c>
      <c r="D17171" s="4"/>
    </row>
    <row collapsed="" customFormat="false" customHeight="1" hidden="" ht="14" outlineLevel="0" r="17172">
      <c r="A17172" s="3" t="inlineStr">
        <is>
          <t>17127</t>
        </is>
      </c>
      <c r="B17172" s="4" t="s">
        <f>=HYPERLINK("http://anyluxury.ru/shop/odezhda/futbolki-dlya-promo/futbolka-muzhskaya-rainbow-men-belaya-s-mnogocvetnim-03108879/" , "03108879 Футболка мужская Rainbow Men, белая с многоцветным, размер S")</f>
      </c>
      <c r="C17172" s="4" t="n">
        <v>1395.00</v>
      </c>
      <c r="D17172" s="4"/>
    </row>
    <row collapsed="" customFormat="false" customHeight="1" hidden="" ht="14" outlineLevel="0" r="17173">
      <c r="A17173" s="3" t="inlineStr">
        <is>
          <t>17128</t>
        </is>
      </c>
      <c r="B17173" s="4" t="s">
        <f>=HYPERLINK("http://anyluxury.ru/shop/odezhda/futbolki-dlya-promo/futbolka-muzhskaya-rainbow-men-belaya-s-mnogocvetnim-03108879/" , "03108879 Футболка мужская Rainbow Men, белая с многоцветным, размер M")</f>
      </c>
      <c r="C17173" s="4" t="n">
        <v>1395.00</v>
      </c>
      <c r="D17173" s="4"/>
    </row>
    <row collapsed="" customFormat="false" customHeight="1" hidden="" ht="14" outlineLevel="0" r="17174">
      <c r="A17174" s="3" t="inlineStr">
        <is>
          <t>17129</t>
        </is>
      </c>
      <c r="B17174" s="4" t="s">
        <f>=HYPERLINK("http://anyluxury.ru/shop/odezhda/futbolki-dlya-promo/futbolka-muzhskaya-rainbow-men-belaya-s-mnogocvetnim-03108879/" , "03108879 Футболка мужская Rainbow Men, белая с многоцветным, размер L")</f>
      </c>
      <c r="C17174" s="4" t="n">
        <v>1395.00</v>
      </c>
      <c r="D17174" s="4"/>
    </row>
    <row collapsed="" customFormat="false" customHeight="1" hidden="" ht="14" outlineLevel="0" r="17175">
      <c r="A17175" s="3" t="inlineStr">
        <is>
          <t>17130</t>
        </is>
      </c>
      <c r="B17175" s="4" t="s">
        <f>=HYPERLINK("http://anyluxury.ru/shop/odezhda/futbolki-dlya-promo/futbolka-muzhskaya-rainbow-men-belaya-s-mnogocvetnim-03108879/" , "03108879 Футболка мужская Rainbow Men, белая с многоцветным, размер XL")</f>
      </c>
      <c r="C17175" s="4" t="n">
        <v>1395.00</v>
      </c>
      <c r="D17175" s="4"/>
    </row>
    <row collapsed="" customFormat="false" customHeight="1" hidden="" ht="14" outlineLevel="0" r="17176">
      <c r="A17176" s="3" t="inlineStr">
        <is>
          <t>17131</t>
        </is>
      </c>
      <c r="B17176" s="4" t="s">
        <f>=HYPERLINK("http://anyluxury.ru/shop/odezhda/futbolki-dlya-promo/futbolka-muzhskaya-rainbow-men-belaya-s-mnogocvetnim-03108879/" , "03108879 Футболка мужская Rainbow Men, белая с многоцветным, размер XXL")</f>
      </c>
      <c r="C17176" s="4" t="n">
        <v>1395.00</v>
      </c>
      <c r="D17176" s="4"/>
    </row>
    <row collapsed="" customFormat="false" customHeight="1" hidden="" ht="14" outlineLevel="0" r="17177">
      <c r="A17177" s="3" t="inlineStr">
        <is>
          <t>17132</t>
        </is>
      </c>
      <c r="B17177" s="4" t="s">
        <f>=HYPERLINK("http://anyluxury.ru/shop/odezhda/futbolki-dlya-promo/futbolka-muzhskaya-rainbow-men-belaya-s-mnogocvetnim-03108879/" , "03108879 Футболка мужская Rainbow Men, белая с многоцветным, размер 3XL")</f>
      </c>
      <c r="C17177" s="4" t="n">
        <v>1508.00</v>
      </c>
      <c r="D17177" s="4"/>
    </row>
    <row collapsed="" customFormat="false" customHeight="1" hidden="" ht="14" outlineLevel="0" r="17178">
      <c r="A17178" s="3" t="inlineStr">
        <is>
          <t>17133</t>
        </is>
      </c>
      <c r="B17178" s="4" t="s">
        <f>=HYPERLINK("http://anyluxury.ru/shop/odezhda/futbolki-dlya-promo/futbolka-muzhskaya-rainbow-men-belaya-s-mnogocvetnim-03108879/" , "03108879 Футболка мужская Rainbow Men, белая с многоцветным, размер 4XL")</f>
      </c>
      <c r="C17178" s="4" t="n">
        <v>1508.00</v>
      </c>
      <c r="D17178" s="4"/>
    </row>
    <row collapsed="" customFormat="false" customHeight="1" hidden="" ht="14" outlineLevel="0" r="17179">
      <c r="A17179" s="3" t="inlineStr">
        <is>
          <t>17134</t>
        </is>
      </c>
      <c r="B17179" s="4" t="s">
        <f>=HYPERLINK("http://anyluxury.ru/shop/odezhda/futbolki-dlya-promo/futbolka-muzhskaya-rainbow-men-belaya-s-yarkosinim-03108907/" , "03108907 Футболка мужская Rainbow Men, белая с ярко-синим, размер S")</f>
      </c>
      <c r="C17179" s="4" t="n">
        <v>1395.00</v>
      </c>
      <c r="D17179" s="4"/>
    </row>
    <row collapsed="" customFormat="false" customHeight="1" hidden="" ht="14" outlineLevel="0" r="17180">
      <c r="A17180" s="3" t="inlineStr">
        <is>
          <t>17135</t>
        </is>
      </c>
      <c r="B17180" s="4" t="s">
        <f>=HYPERLINK("http://anyluxury.ru/shop/odezhda/futbolki-dlya-promo/futbolka-muzhskaya-rainbow-men-belaya-s-yarkosinim-03108907/" , "03108907 Футболка мужская Rainbow Men, белая с ярко-синим, размер XXL")</f>
      </c>
      <c r="C17180" s="4" t="n">
        <v>1395.00</v>
      </c>
      <c r="D17180" s="4"/>
    </row>
    <row collapsed="" customFormat="false" customHeight="1" hidden="" ht="14" outlineLevel="0" r="17181">
      <c r="A17181" s="3" t="inlineStr">
        <is>
          <t>17136</t>
        </is>
      </c>
      <c r="B17181" s="4" t="s">
        <f>=HYPERLINK("http://anyluxury.ru/shop/odezhda/futbolki-dlya-promo/futbolka-muzhskaya-rainbow-men-belaya-s-yarkosinim-03108907/" , "03108907 Футболка мужская Rainbow Men, белая с ярко-синим, размер 3XL")</f>
      </c>
      <c r="C17181" s="4" t="n">
        <v>1508.00</v>
      </c>
      <c r="D17181" s="4"/>
    </row>
    <row collapsed="" customFormat="false" customHeight="1" hidden="" ht="14" outlineLevel="0" r="17182">
      <c r="A17182" s="3" t="inlineStr">
        <is>
          <t>17137</t>
        </is>
      </c>
      <c r="B17182" s="4" t="s">
        <f>=HYPERLINK("http://anyluxury.ru/shop/odezhda/futbolki-dlya-promo/futbolka-muzhskaya-rainbow-men-belaya-s-yarkosinim-03108907/" , "03108907 Футболка мужская Rainbow Men, белая с ярко-синим, размер 4XL")</f>
      </c>
      <c r="C17182" s="4" t="n">
        <v>1508.00</v>
      </c>
      <c r="D17182" s="4"/>
    </row>
    <row collapsed="" customFormat="false" customHeight="1" hidden="" ht="14" outlineLevel="0" r="17183">
      <c r="A17183" s="3" t="inlineStr">
        <is>
          <t>17138</t>
        </is>
      </c>
      <c r="B17183" s="4" t="s">
        <f>=HYPERLINK("http://anyluxury.ru/shop/odezhda/futbolki-dlya-promo/futbolka-zhenskaya-rainbow-women-temnosinyaya-s-yarkosinim-03109534/" , "03109534 Футболка женская Rainbow Women, темно-синяя с ярко-синим, размер S")</f>
      </c>
      <c r="C17183" s="4" t="n">
        <v>1399.00</v>
      </c>
      <c r="D17183" s="4"/>
    </row>
    <row collapsed="" customFormat="false" customHeight="1" hidden="" ht="14" outlineLevel="0" r="17184">
      <c r="A17184" s="3" t="inlineStr">
        <is>
          <t>17139</t>
        </is>
      </c>
      <c r="B17184" s="4" t="s">
        <f>=HYPERLINK("http://anyluxury.ru/shop/odezhda/futbolki-dlya-promo/futbolka-zhenskaya-rainbow-women-temnosinyaya-s-yarkosinim-03109534/" , "03109534 Футболка женская Rainbow Women, темно-синяя с ярко-синим, размер L")</f>
      </c>
      <c r="C17184" s="4" t="n">
        <v>1399.00</v>
      </c>
      <c r="D17184" s="4"/>
    </row>
    <row collapsed="" customFormat="false" customHeight="1" hidden="" ht="14" outlineLevel="0" r="17185">
      <c r="A17185" s="3" t="inlineStr">
        <is>
          <t>17140</t>
        </is>
      </c>
      <c r="B17185" s="4" t="s">
        <f>=HYPERLINK("http://anyluxury.ru/shop/odezhda/futbolki-dlya-promo/futbolka-zhenskaya-rainbow-women-temnosinyaya-s-yarkosinim-03109534/" , "03109534 Футболка женская Rainbow Women, темно-синяя с ярко-синим, размер XL")</f>
      </c>
      <c r="C17185" s="4" t="n">
        <v>1399.00</v>
      </c>
      <c r="D17185" s="4"/>
    </row>
    <row collapsed="" customFormat="false" customHeight="1" hidden="" ht="14" outlineLevel="0" r="17186">
      <c r="A17186" s="3" t="inlineStr">
        <is>
          <t>17141</t>
        </is>
      </c>
      <c r="B17186" s="4" t="s">
        <f>=HYPERLINK("http://anyluxury.ru/shop/odezhda/futbolki-dlya-promo/futbolka-zhenskaya-rainbow-women-temnosinyaya-s-yarkosinim-03109534/" , "03109534 Футболка женская Rainbow Women, темно-синяя с ярко-синим, размер XXL")</f>
      </c>
      <c r="C17186" s="4" t="n">
        <v>1399.00</v>
      </c>
      <c r="D17186" s="4"/>
    </row>
    <row collapsed="" customFormat="false" customHeight="1" hidden="" ht="14" outlineLevel="0" r="17187">
      <c r="A17187" s="3" t="inlineStr">
        <is>
          <t>17142</t>
        </is>
      </c>
      <c r="B17187" s="4" t="s">
        <f>=HYPERLINK("http://anyluxury.ru/shop/odezhda/futbolki-dlya-promo/futbolka-zhenskaya-rainbow-women-temnosinyaya-s-yarkosinim-03109534/" , "03109534 Футболка женская Rainbow Women, темно-синяя с ярко-синим, размер 3XL")</f>
      </c>
      <c r="C17187" s="4" t="n">
        <v>1525.00</v>
      </c>
      <c r="D17187" s="4"/>
    </row>
    <row collapsed="" customFormat="false" customHeight="1" hidden="" ht="14" outlineLevel="0" r="17188">
      <c r="A17188" s="3" t="inlineStr">
        <is>
          <t>17143</t>
        </is>
      </c>
      <c r="B17188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S")</f>
      </c>
      <c r="C17188" s="4" t="n">
        <v>1399.00</v>
      </c>
      <c r="D17188" s="4"/>
    </row>
    <row collapsed="" customFormat="false" customHeight="1" hidden="" ht="14" outlineLevel="0" r="17189">
      <c r="A17189" s="3" t="inlineStr">
        <is>
          <t>17144</t>
        </is>
      </c>
      <c r="B17189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M")</f>
      </c>
      <c r="C17189" s="4" t="n">
        <v>1399.00</v>
      </c>
      <c r="D17189" s="4"/>
    </row>
    <row collapsed="" customFormat="false" customHeight="1" hidden="" ht="14" outlineLevel="0" r="17190">
      <c r="A17190" s="3" t="inlineStr">
        <is>
          <t>17145</t>
        </is>
      </c>
      <c r="B17190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L")</f>
      </c>
      <c r="C17190" s="4" t="n">
        <v>1399.00</v>
      </c>
      <c r="D17190" s="4"/>
    </row>
    <row collapsed="" customFormat="false" customHeight="1" hidden="" ht="14" outlineLevel="0" r="17191">
      <c r="A17191" s="3" t="inlineStr">
        <is>
          <t>17146</t>
        </is>
      </c>
      <c r="B17191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XL")</f>
      </c>
      <c r="C17191" s="4" t="n">
        <v>1399.00</v>
      </c>
      <c r="D17191" s="4"/>
    </row>
    <row collapsed="" customFormat="false" customHeight="1" hidden="" ht="14" outlineLevel="0" r="17192">
      <c r="A17192" s="3" t="inlineStr">
        <is>
          <t>17147</t>
        </is>
      </c>
      <c r="B17192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XXL")</f>
      </c>
      <c r="C17192" s="4" t="n">
        <v>1399.00</v>
      </c>
      <c r="D17192" s="4"/>
    </row>
    <row collapsed="" customFormat="false" customHeight="1" hidden="" ht="14" outlineLevel="0" r="17193">
      <c r="A17193" s="3" t="inlineStr">
        <is>
          <t>17148</t>
        </is>
      </c>
      <c r="B17193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3XL")</f>
      </c>
      <c r="C17193" s="4" t="n">
        <v>1525.00</v>
      </c>
      <c r="D17193" s="4"/>
    </row>
    <row collapsed="" customFormat="false" customHeight="1" hidden="" ht="14" outlineLevel="0" r="17194">
      <c r="A17194" s="3" t="inlineStr">
        <is>
          <t>17149</t>
        </is>
      </c>
      <c r="B17194" s="4" t="s">
        <f>=HYPERLINK("http://anyluxury.ru/shop/odezhda/futbolki-dlya-promo/futbolka-zhenskaya-rainbow-women-chernaya-s-mnogocvetnim-03109878/" , "03109878 Футболка женская Rainbow Women, черная с многоцветным, размер S")</f>
      </c>
      <c r="C17194" s="4" t="n">
        <v>1399.00</v>
      </c>
      <c r="D17194" s="4"/>
    </row>
    <row collapsed="" customFormat="false" customHeight="1" hidden="" ht="14" outlineLevel="0" r="17195">
      <c r="A17195" s="3" t="inlineStr">
        <is>
          <t>17150</t>
        </is>
      </c>
      <c r="B17195" s="4" t="s">
        <f>=HYPERLINK("http://anyluxury.ru/shop/odezhda/futbolki-dlya-promo/futbolka-zhenskaya-rainbow-women-chernaya-s-mnogocvetnim-03109878/" , "03109878 Футболка женская Rainbow Women, черная с многоцветным, размер M")</f>
      </c>
      <c r="C17195" s="4" t="n">
        <v>1399.00</v>
      </c>
      <c r="D17195" s="4"/>
    </row>
    <row collapsed="" customFormat="false" customHeight="1" hidden="" ht="14" outlineLevel="0" r="17196">
      <c r="A17196" s="3" t="inlineStr">
        <is>
          <t>17151</t>
        </is>
      </c>
      <c r="B17196" s="4" t="s">
        <f>=HYPERLINK("http://anyluxury.ru/shop/odezhda/futbolki-dlya-promo/futbolka-zhenskaya-rainbow-women-chernaya-s-mnogocvetnim-03109878/" , "03109878 Футболка женская Rainbow Women, черная с многоцветным, размер L")</f>
      </c>
      <c r="C17196" s="4" t="n">
        <v>1399.00</v>
      </c>
      <c r="D17196" s="4"/>
    </row>
    <row collapsed="" customFormat="false" customHeight="1" hidden="" ht="14" outlineLevel="0" r="17197">
      <c r="A17197" s="3" t="inlineStr">
        <is>
          <t>17152</t>
        </is>
      </c>
      <c r="B17197" s="4" t="s">
        <f>=HYPERLINK("http://anyluxury.ru/shop/odezhda/futbolki-dlya-promo/futbolka-zhenskaya-rainbow-women-chernaya-s-mnogocvetnim-03109878/" , "03109878 Футболка женская Rainbow Women, черная с многоцветным, размер XL")</f>
      </c>
      <c r="C17197" s="4" t="n">
        <v>1399.00</v>
      </c>
      <c r="D17197" s="4"/>
    </row>
    <row collapsed="" customFormat="false" customHeight="1" hidden="" ht="14" outlineLevel="0" r="17198">
      <c r="A17198" s="3" t="inlineStr">
        <is>
          <t>17153</t>
        </is>
      </c>
      <c r="B17198" s="4" t="s">
        <f>=HYPERLINK("http://anyluxury.ru/shop/odezhda/futbolki-dlya-promo/futbolka-zhenskaya-rainbow-women-chernaya-s-mnogocvetnim-03109878/" , "03109878 Футболка женская Rainbow Women, черная с многоцветным, размер XXL")</f>
      </c>
      <c r="C17198" s="4" t="n">
        <v>1399.00</v>
      </c>
      <c r="D17198" s="4"/>
    </row>
    <row collapsed="" customFormat="false" customHeight="1" hidden="" ht="14" outlineLevel="0" r="17199">
      <c r="A17199" s="3" t="inlineStr">
        <is>
          <t>17154</t>
        </is>
      </c>
      <c r="B17199" s="4" t="s">
        <f>=HYPERLINK("http://anyluxury.ru/shop/odezhda/futbolki-dlya-promo/futbolka-zhenskaya-rainbow-women-chernaya-s-mnogocvetnim-03109878/" , "03109878 Футболка женская Rainbow Women, черная с многоцветным, размер 3XL")</f>
      </c>
      <c r="C17199" s="4" t="n">
        <v>1525.00</v>
      </c>
      <c r="D17199" s="4"/>
    </row>
    <row collapsed="" customFormat="false" customHeight="1" hidden="" ht="14" outlineLevel="0" r="17200">
      <c r="A17200" s="3" t="inlineStr">
        <is>
          <t>17155</t>
        </is>
      </c>
      <c r="B17200" s="4" t="s">
        <f>=HYPERLINK("http://anyluxury.ru/shop/odezhda/futbolki-dlya-promo/futbolka-zhenskaya-rainbow-women-belaya-s-mnogocvetnim-03109879/" , "03109879 Футболка женская Rainbow Women, белая с многоцветным, размер S")</f>
      </c>
      <c r="C17200" s="4" t="n">
        <v>1287.00</v>
      </c>
      <c r="D17200" s="4"/>
    </row>
    <row collapsed="" customFormat="false" customHeight="1" hidden="" ht="14" outlineLevel="0" r="17201">
      <c r="A17201" s="3" t="inlineStr">
        <is>
          <t>17156</t>
        </is>
      </c>
      <c r="B17201" s="4" t="s">
        <f>=HYPERLINK("http://anyluxury.ru/shop/odezhda/futbolki-dlya-promo/futbolka-zhenskaya-rainbow-women-belaya-s-mnogocvetnim-03109879/" , "03109879 Футболка женская Rainbow Women, белая с многоцветным, размер M")</f>
      </c>
      <c r="C17201" s="4" t="n">
        <v>1287.00</v>
      </c>
      <c r="D17201" s="4"/>
    </row>
    <row collapsed="" customFormat="false" customHeight="1" hidden="" ht="14" outlineLevel="0" r="17202">
      <c r="A17202" s="3" t="inlineStr">
        <is>
          <t>17157</t>
        </is>
      </c>
      <c r="B17202" s="4" t="s">
        <f>=HYPERLINK("http://anyluxury.ru/shop/odezhda/futbolki-dlya-promo/futbolka-zhenskaya-rainbow-women-belaya-s-mnogocvetnim-03109879/" , "03109879 Футболка женская Rainbow Women, белая с многоцветным, размер L")</f>
      </c>
      <c r="C17202" s="4" t="n">
        <v>1287.00</v>
      </c>
      <c r="D17202" s="4"/>
    </row>
    <row collapsed="" customFormat="false" customHeight="1" hidden="" ht="14" outlineLevel="0" r="17203">
      <c r="A17203" s="3" t="inlineStr">
        <is>
          <t>17158</t>
        </is>
      </c>
      <c r="B17203" s="4" t="s">
        <f>=HYPERLINK("http://anyluxury.ru/shop/odezhda/futbolki-dlya-promo/futbolka-zhenskaya-rainbow-women-belaya-s-mnogocvetnim-03109879/" , "03109879 Футболка женская Rainbow Women, белая с многоцветным, размер XL")</f>
      </c>
      <c r="C17203" s="4" t="n">
        <v>1287.00</v>
      </c>
      <c r="D17203" s="4"/>
    </row>
    <row collapsed="" customFormat="false" customHeight="1" hidden="" ht="14" outlineLevel="0" r="17204">
      <c r="A17204" s="3" t="inlineStr">
        <is>
          <t>17159</t>
        </is>
      </c>
      <c r="B17204" s="4" t="s">
        <f>=HYPERLINK("http://anyluxury.ru/shop/odezhda/futbolki-dlya-promo/futbolka-zhenskaya-rainbow-women-belaya-s-mnogocvetnim-03109879/" , "03109879 Футболка женская Rainbow Women, белая с многоцветным, размер XXL")</f>
      </c>
      <c r="C17204" s="4" t="n">
        <v>1287.00</v>
      </c>
      <c r="D17204" s="4"/>
    </row>
    <row collapsed="" customFormat="false" customHeight="1" hidden="" ht="14" outlineLevel="0" r="17205">
      <c r="A17205" s="3" t="inlineStr">
        <is>
          <t>17160</t>
        </is>
      </c>
      <c r="B17205" s="4" t="s">
        <f>=HYPERLINK("http://anyluxury.ru/shop/odezhda/futbolki-dlya-promo/futbolka-zhenskaya-rainbow-women-belaya-s-mnogocvetnim-03109879/" , "03109879 Футболка женская Rainbow Women, белая с многоцветным, размер 3XL")</f>
      </c>
      <c r="C17205" s="4" t="n">
        <v>1399.00</v>
      </c>
      <c r="D17205" s="4"/>
    </row>
    <row collapsed="" customFormat="false" customHeight="1" hidden="" ht="14" outlineLevel="0" r="17206">
      <c r="A17206" s="3" t="inlineStr">
        <is>
          <t>17161</t>
        </is>
      </c>
      <c r="B17206" s="4" t="s">
        <f>=HYPERLINK("http://anyluxury.ru/shop/odezhda/futbolki-dlya-promo/futbolka-zhenskaya-rainbow-women-belaya-s-yarkosinim-03109907/" , "03109907 Футболка женская Rainbow Women, белая с ярко-синим, размер S")</f>
      </c>
      <c r="C17206" s="4" t="n">
        <v>1287.00</v>
      </c>
      <c r="D17206" s="4"/>
    </row>
    <row collapsed="" customFormat="false" customHeight="1" hidden="" ht="14" outlineLevel="0" r="17207">
      <c r="A17207" s="3" t="inlineStr">
        <is>
          <t>17162</t>
        </is>
      </c>
      <c r="B17207" s="4" t="s">
        <f>=HYPERLINK("http://anyluxury.ru/shop/odezhda/futbolki-dlya-promo/futbolka-zhenskaya-rainbow-women-belaya-s-yarkosinim-03109907/" , "03109907 Футболка женская Rainbow Women, белая с ярко-синим, размер M")</f>
      </c>
      <c r="C17207" s="4" t="n">
        <v>1287.00</v>
      </c>
      <c r="D17207" s="4"/>
    </row>
    <row collapsed="" customFormat="false" customHeight="1" hidden="" ht="14" outlineLevel="0" r="17208">
      <c r="A17208" s="3" t="inlineStr">
        <is>
          <t>17163</t>
        </is>
      </c>
      <c r="B17208" s="4" t="s">
        <f>=HYPERLINK("http://anyluxury.ru/shop/odezhda/futbolki-dlya-promo/futbolka-zhenskaya-rainbow-women-belaya-s-yarkosinim-03109907/" , "03109907 Футболка женская Rainbow Women, белая с ярко-синим, размер L")</f>
      </c>
      <c r="C17208" s="4" t="n">
        <v>1287.00</v>
      </c>
      <c r="D17208" s="4"/>
    </row>
    <row collapsed="" customFormat="false" customHeight="1" hidden="" ht="14" outlineLevel="0" r="17209">
      <c r="A17209" s="3" t="inlineStr">
        <is>
          <t>17164</t>
        </is>
      </c>
      <c r="B17209" s="4" t="s">
        <f>=HYPERLINK("http://anyluxury.ru/shop/odezhda/futbolki-dlya-promo/futbolka-zhenskaya-rainbow-women-belaya-s-yarkosinim-03109907/" , "03109907 Футболка женская Rainbow Women, белая с ярко-синим, размер XL")</f>
      </c>
      <c r="C17209" s="4" t="n">
        <v>1287.00</v>
      </c>
      <c r="D17209" s="4"/>
    </row>
    <row collapsed="" customFormat="false" customHeight="1" hidden="" ht="14" outlineLevel="0" r="17210">
      <c r="A17210" s="3" t="inlineStr">
        <is>
          <t>17165</t>
        </is>
      </c>
      <c r="B17210" s="4" t="s">
        <f>=HYPERLINK("http://anyluxury.ru/shop/odezhda/futbolki-dlya-promo/futbolka-zhenskaya-rainbow-women-belaya-s-yarkosinim-03109907/" , "03109907 Футболка женская Rainbow Women, белая с ярко-синим, размер XXL")</f>
      </c>
      <c r="C17210" s="4" t="n">
        <v>1287.00</v>
      </c>
      <c r="D17210" s="4"/>
    </row>
    <row collapsed="" customFormat="false" customHeight="1" hidden="" ht="14" outlineLevel="0" r="17211">
      <c r="A17211" s="3" t="inlineStr">
        <is>
          <t>17166</t>
        </is>
      </c>
      <c r="B17211" s="4" t="s">
        <f>=HYPERLINK("http://anyluxury.ru/shop/odezhda/futbolki-dlya-promo/futbolka-zhenskaya-rainbow-women-belaya-s-yarkosinim-03109907/" , "03109907 Футболка женская Rainbow Women, белая с ярко-синим, размер 3XL")</f>
      </c>
      <c r="C17211" s="4" t="n">
        <v>1399.00</v>
      </c>
      <c r="D17211" s="4"/>
    </row>
    <row collapsed="" customFormat="false" customHeight="1" hidden="" ht="14" outlineLevel="0" r="17212">
      <c r="A17212" s="3" t="inlineStr">
        <is>
          <t>17167</t>
        </is>
      </c>
      <c r="B17212" s="4" t="s">
        <f>=HYPERLINK("http://anyluxury.ru/shop/odezhda/futbolki-dlya-promo/futbolka-zhenskaya-rainbow-women-belaya-s-yarkozelenim-03109964/" , "03109964 Футболка женская Rainbow Women, белая с ярко-зеленым, размер S")</f>
      </c>
      <c r="C17212" s="4" t="n">
        <v>1287.00</v>
      </c>
      <c r="D17212" s="4"/>
    </row>
    <row collapsed="" customFormat="false" customHeight="1" hidden="" ht="14" outlineLevel="0" r="17213">
      <c r="A17213" s="3" t="inlineStr">
        <is>
          <t>17168</t>
        </is>
      </c>
      <c r="B17213" s="4" t="s">
        <f>=HYPERLINK("http://anyluxury.ru/shop/odezhda/futbolki-dlya-promo/futbolka-zhenskaya-rainbow-women-belaya-s-yarkozelenim-03109964/" , "03109964 Футболка женская Rainbow Women, белая с ярко-зеленым, размер M")</f>
      </c>
      <c r="C17213" s="4" t="n">
        <v>1287.00</v>
      </c>
      <c r="D17213" s="4"/>
    </row>
    <row collapsed="" customFormat="false" customHeight="1" hidden="" ht="14" outlineLevel="0" r="17214">
      <c r="A17214" s="3" t="inlineStr">
        <is>
          <t>17169</t>
        </is>
      </c>
      <c r="B17214" s="4" t="s">
        <f>=HYPERLINK("http://anyluxury.ru/shop/odezhda/futbolki-dlya-promo/futbolka-zhenskaya-rainbow-women-belaya-s-yarkozelenim-03109964/" , "03109964 Футболка женская Rainbow Women, белая с ярко-зеленым, размер L")</f>
      </c>
      <c r="C17214" s="4" t="n">
        <v>1287.00</v>
      </c>
      <c r="D17214" s="4"/>
    </row>
    <row collapsed="" customFormat="false" customHeight="1" hidden="" ht="14" outlineLevel="0" r="17215">
      <c r="A17215" s="3" t="inlineStr">
        <is>
          <t>17170</t>
        </is>
      </c>
      <c r="B17215" s="4" t="s">
        <f>=HYPERLINK("http://anyluxury.ru/shop/odezhda/futbolki-dlya-promo/futbolka-zhenskaya-rainbow-women-belaya-s-yarkozelenim-03109964/" , "03109964 Футболка женская Rainbow Women, белая с ярко-зеленым, размер XL")</f>
      </c>
      <c r="C17215" s="4" t="n">
        <v>1287.00</v>
      </c>
      <c r="D17215" s="4"/>
    </row>
    <row collapsed="" customFormat="false" customHeight="1" hidden="" ht="14" outlineLevel="0" r="17216">
      <c r="A17216" s="3" t="inlineStr">
        <is>
          <t>17171</t>
        </is>
      </c>
      <c r="B17216" s="4" t="s">
        <f>=HYPERLINK("http://anyluxury.ru/shop/odezhda/futbolki-dlya-promo/futbolka-zhenskaya-rainbow-women-belaya-s-yarkozelenim-03109964/" , "03109964 Футболка женская Rainbow Women, белая с ярко-зеленым, размер XXL")</f>
      </c>
      <c r="C17216" s="4" t="n">
        <v>1287.00</v>
      </c>
      <c r="D17216" s="4"/>
    </row>
    <row collapsed="" customFormat="false" customHeight="1" hidden="" ht="14" outlineLevel="0" r="17217">
      <c r="A17217" s="3" t="inlineStr">
        <is>
          <t>17172</t>
        </is>
      </c>
      <c r="B17217" s="4" t="s">
        <f>=HYPERLINK("http://anyluxury.ru/shop/odezhda/futbolki-dlya-promo/futbolka-zhenskaya-rainbow-women-belaya-s-yarkozelenim-03109964/" , "03109964 Футболка женская Rainbow Women, белая с ярко-зеленым, размер 3XL")</f>
      </c>
      <c r="C17217" s="4" t="n">
        <v>1399.00</v>
      </c>
      <c r="D17217" s="4"/>
    </row>
    <row collapsed="" customFormat="false" customHeight="1" hidden="" ht="14" outlineLevel="0" r="17218">
      <c r="A17218" s="3" t="inlineStr">
        <is>
          <t>17173</t>
        </is>
      </c>
      <c r="B17218" s="4" t="s">
        <f>=HYPERLINK("http://anyluxury.ru/shop/odezhda/futbolki-dlya-promo/futbolka-imperial-190-pilnorozovaya-11500170/" , "11500170 Футболка IMPERIAL 190, пыльно-розовая, размер S")</f>
      </c>
      <c r="C17218" s="4" t="n">
        <v>697.00</v>
      </c>
      <c r="D17218" s="4"/>
    </row>
    <row collapsed="" customFormat="false" customHeight="1" hidden="" ht="14" outlineLevel="0" r="17219">
      <c r="A17219" s="3" t="inlineStr">
        <is>
          <t>17174</t>
        </is>
      </c>
      <c r="B17219" s="4" t="s">
        <f>=HYPERLINK("http://anyluxury.ru/shop/odezhda/futbolki-dlya-promo/futbolka-imperial-190-pilnorozovaya-11500170/" , "11500170 Футболка IMPERIAL 190, пыльно-розовая, размер M")</f>
      </c>
      <c r="C17219" s="4" t="n">
        <v>697.00</v>
      </c>
      <c r="D17219" s="4"/>
    </row>
    <row collapsed="" customFormat="false" customHeight="1" hidden="" ht="14" outlineLevel="0" r="17220">
      <c r="A17220" s="3" t="inlineStr">
        <is>
          <t>17175</t>
        </is>
      </c>
      <c r="B17220" s="4" t="s">
        <f>=HYPERLINK("http://anyluxury.ru/shop/odezhda/futbolki-dlya-promo/futbolka-imperial-190-pilnorozovaya-11500170/" , "11500170 Футболка IMPERIAL 190, пыльно-розовая, размер L")</f>
      </c>
      <c r="C17220" s="4" t="n">
        <v>697.00</v>
      </c>
      <c r="D17220" s="4"/>
    </row>
    <row collapsed="" customFormat="false" customHeight="1" hidden="" ht="14" outlineLevel="0" r="17221">
      <c r="A17221" s="3" t="inlineStr">
        <is>
          <t>17176</t>
        </is>
      </c>
      <c r="B17221" s="4" t="s">
        <f>=HYPERLINK("http://anyluxury.ru/shop/odezhda/futbolki-dlya-promo/futbolka-imperial-190-pilnorozovaya-11500170/" , "11500170 Футболка IMPERIAL 190, пыльно-розовая, размер XL")</f>
      </c>
      <c r="C17221" s="4" t="n">
        <v>697.00</v>
      </c>
      <c r="D17221" s="4"/>
    </row>
    <row collapsed="" customFormat="false" customHeight="1" hidden="" ht="14" outlineLevel="0" r="17222">
      <c r="A17222" s="3" t="inlineStr">
        <is>
          <t>17177</t>
        </is>
      </c>
      <c r="B17222" s="4" t="s">
        <f>=HYPERLINK("http://anyluxury.ru/shop/odezhda/futbolki-dlya-promo/futbolka-imperial-190-pilnorozovaya-11500170/" , "11500170 Футболка IMPERIAL 190, пыльно-розовая, размер XXL")</f>
      </c>
      <c r="C17222" s="4" t="n">
        <v>697.00</v>
      </c>
      <c r="D17222" s="4"/>
    </row>
    <row collapsed="" customFormat="false" customHeight="1" hidden="" ht="14" outlineLevel="0" r="17223">
      <c r="A17223" s="3" t="inlineStr">
        <is>
          <t>17178</t>
        </is>
      </c>
      <c r="B17223" s="4" t="s">
        <f>=HYPERLINK("http://anyluxury.ru/shop/odezhda/futbolki-dlya-promo/futbolka-imperial-190-pilnorozovaya-11500170/" , "11500170 Футболка IMPERIAL 190, пыльно-розовая, размер 3XL")</f>
      </c>
      <c r="C17223" s="4" t="n">
        <v>820.00</v>
      </c>
      <c r="D17223" s="4"/>
    </row>
    <row collapsed="" customFormat="false" customHeight="1" hidden="" ht="14" outlineLevel="0" r="17224">
      <c r="A17224" s="3" t="inlineStr">
        <is>
          <t>17179</t>
        </is>
      </c>
      <c r="B17224" s="4" t="s">
        <f>=HYPERLINK("http://anyluxury.ru/shop/odezhda/futbolki-dlya-promo/futbolka-imperial-190-zeleniy-haki-11500289/" , "11500289 Футболка IMPERIAL 190, зеленый хаки, размер S")</f>
      </c>
      <c r="C17224" s="4" t="n">
        <v>697.00</v>
      </c>
      <c r="D17224" s="4"/>
    </row>
    <row collapsed="" customFormat="false" customHeight="1" hidden="" ht="14" outlineLevel="0" r="17225">
      <c r="A17225" s="3" t="inlineStr">
        <is>
          <t>17180</t>
        </is>
      </c>
      <c r="B17225" s="4" t="s">
        <f>=HYPERLINK("http://anyluxury.ru/shop/odezhda/futbolki-dlya-promo/futbolka-imperial-190-zeleniy-haki-11500289/" , "11500289 Футболка IMPERIAL 190, зеленый хаки, размер M")</f>
      </c>
      <c r="C17225" s="4" t="n">
        <v>697.00</v>
      </c>
      <c r="D17225" s="4"/>
    </row>
    <row collapsed="" customFormat="false" customHeight="1" hidden="" ht="14" outlineLevel="0" r="17226">
      <c r="A17226" s="3" t="inlineStr">
        <is>
          <t>17181</t>
        </is>
      </c>
      <c r="B17226" s="4" t="s">
        <f>=HYPERLINK("http://anyluxury.ru/shop/odezhda/futbolki-dlya-promo/futbolka-imperial-190-zeleniy-haki-11500289/" , "11500289 Футболка IMPERIAL 190, зеленый хаки, размер L")</f>
      </c>
      <c r="C17226" s="4" t="n">
        <v>697.00</v>
      </c>
      <c r="D17226" s="4"/>
    </row>
    <row collapsed="" customFormat="false" customHeight="1" hidden="" ht="14" outlineLevel="0" r="17227">
      <c r="A17227" s="3" t="inlineStr">
        <is>
          <t>17182</t>
        </is>
      </c>
      <c r="B17227" s="4" t="s">
        <f>=HYPERLINK("http://anyluxury.ru/shop/odezhda/futbolki-dlya-promo/futbolka-imperial-190-zeleniy-haki-11500289/" , "11500289 Футболка IMPERIAL 190, зеленый хаки, размер XL")</f>
      </c>
      <c r="C17227" s="4" t="n">
        <v>697.00</v>
      </c>
      <c r="D17227" s="4"/>
    </row>
    <row collapsed="" customFormat="false" customHeight="1" hidden="" ht="14" outlineLevel="0" r="17228">
      <c r="A17228" s="3" t="inlineStr">
        <is>
          <t>17183</t>
        </is>
      </c>
      <c r="B17228" s="4" t="s">
        <f>=HYPERLINK("http://anyluxury.ru/shop/odezhda/futbolki-dlya-promo/futbolka-imperial-190-zeleniy-haki-11500289/" , "11500289 Футболка IMPERIAL 190, зеленый хаки, размер 3XL")</f>
      </c>
      <c r="C17228" s="4" t="n">
        <v>820.00</v>
      </c>
      <c r="D17228" s="4"/>
    </row>
    <row collapsed="" customFormat="false" customHeight="1" hidden="" ht="14" outlineLevel="0" r="17229">
      <c r="A17229" s="3" t="inlineStr">
        <is>
          <t>17184</t>
        </is>
      </c>
      <c r="B17229" s="4" t="s">
        <f>=HYPERLINK("http://anyluxury.ru/shop/odezhda/futbolki-dlya-promo/futbolka-zhenskaya-imperial-women-190-pilnorozovaya-11502170/" , "11502170 Футболка женская Imperial Women 190, пыльно-розовая, размер S")</f>
      </c>
      <c r="C17229" s="4" t="n">
        <v>697.00</v>
      </c>
      <c r="D17229" s="4"/>
    </row>
    <row collapsed="" customFormat="false" customHeight="1" hidden="" ht="14" outlineLevel="0" r="17230">
      <c r="A17230" s="3" t="inlineStr">
        <is>
          <t>17185</t>
        </is>
      </c>
      <c r="B17230" s="4" t="s">
        <f>=HYPERLINK("http://anyluxury.ru/shop/odezhda/futbolki-dlya-promo/futbolka-zhenskaya-imperial-women-190-pilnorozovaya-11502170/" , "11502170 Футболка женская Imperial Women 190, пыльно-розовая, размер XL")</f>
      </c>
      <c r="C17230" s="4" t="n">
        <v>697.00</v>
      </c>
      <c r="D17230" s="4"/>
    </row>
    <row collapsed="" customFormat="false" customHeight="1" hidden="" ht="14" outlineLevel="0" r="17231">
      <c r="A17231" s="3" t="inlineStr">
        <is>
          <t>17186</t>
        </is>
      </c>
      <c r="B17231" s="4" t="s">
        <f>=HYPERLINK("http://anyluxury.ru/shop/odezhda/futbolki-dlya-promo/futbolka-zhenskaya-imperial-women-190-pilnorozovaya-11502170/" , "11502170 Футболка женская Imperial Women 190, пыльно-розовая, размер XXL")</f>
      </c>
      <c r="C17231" s="4" t="n">
        <v>697.00</v>
      </c>
      <c r="D17231" s="4"/>
    </row>
    <row collapsed="" customFormat="false" customHeight="1" hidden="" ht="14" outlineLevel="0" r="17232">
      <c r="A17232" s="3" t="inlineStr">
        <is>
          <t>17187</t>
        </is>
      </c>
      <c r="B17232" s="4" t="s">
        <f>=HYPERLINK("http://anyluxury.ru/shop/odezhda/futbolki-dlya-promo/futbolka-zhenskaya-imperial-women-190-sinyaya-lavandovaya-11502205/" , "11502205 Футболка женская Imperial Women 190, синяя (лавандовая), размер M")</f>
      </c>
      <c r="C17232" s="4" t="n">
        <v>672.00</v>
      </c>
      <c r="D17232" s="4"/>
    </row>
    <row collapsed="" customFormat="false" customHeight="1" hidden="" ht="14" outlineLevel="0" r="17233">
      <c r="A17233" s="3" t="inlineStr">
        <is>
          <t>17188</t>
        </is>
      </c>
      <c r="B17233" s="4" t="s">
        <f>=HYPERLINK("http://anyluxury.ru/shop/odezhda/futbolki-dlya-promo/futbolka-zhenskaya-imperial-women-190-sinyaya-lavandovaya-11502205/" , "11502205 Футболка женская Imperial Women 190, синяя (лавандовая), размер L")</f>
      </c>
      <c r="C17233" s="4" t="n">
        <v>672.00</v>
      </c>
      <c r="D17233" s="4"/>
    </row>
    <row collapsed="" customFormat="false" customHeight="1" hidden="" ht="14" outlineLevel="0" r="17234">
      <c r="A17234" s="3" t="inlineStr">
        <is>
          <t>17189</t>
        </is>
      </c>
      <c r="B17234" s="4" t="s">
        <f>=HYPERLINK("http://anyluxury.ru/shop/odezhda/futbolki-dlya-promo/futbolka-zhenskaya-imperial-women-190-sinyaya-lavandovaya-11502205/" , "11502205 Футболка женская Imperial Women 190, синяя (лавандовая), размер XL")</f>
      </c>
      <c r="C17234" s="4" t="n">
        <v>672.00</v>
      </c>
      <c r="D17234" s="4"/>
    </row>
    <row collapsed="" customFormat="false" customHeight="1" hidden="" ht="14" outlineLevel="0" r="17235">
      <c r="A17235" s="3" t="inlineStr">
        <is>
          <t>17190</t>
        </is>
      </c>
      <c r="B17235" s="4" t="s">
        <f>=HYPERLINK("http://anyluxury.ru/shop/odezhda/futbolki-dlya-promo/futbolka-zhenskaya-imperial-women-190-sinyaya-lavandovaya-11502205/" , "11502205 Футболка женская Imperial Women 190, синяя (лавандовая), размер XXL")</f>
      </c>
      <c r="C17235" s="4" t="n">
        <v>672.00</v>
      </c>
      <c r="D17235" s="4"/>
    </row>
    <row collapsed="" customFormat="false" customHeight="1" hidden="" ht="14" outlineLevel="0" r="17236">
      <c r="A17236" s="3" t="inlineStr">
        <is>
          <t>17191</t>
        </is>
      </c>
      <c r="B17236" s="4" t="s">
        <f>=HYPERLINK("http://anyluxury.ru/shop/odezhda/futbolki-dlya-promo/futbolka-zhenskaya-imperial-women-190-zeleniy-haki-11502289/" , "11502289 Футболка женская Imperial Women 190, зеленый хаки, размер XL")</f>
      </c>
      <c r="C17236" s="4" t="n">
        <v>697.00</v>
      </c>
      <c r="D17236" s="4"/>
    </row>
    <row collapsed="" customFormat="false" customHeight="1" hidden="" ht="14" outlineLevel="0" r="17237">
      <c r="A17237" s="3" t="inlineStr">
        <is>
          <t>17192</t>
        </is>
      </c>
      <c r="B17237" s="4" t="s">
        <f>=HYPERLINK("http://anyluxury.ru/shop/odezhda/futbolki-dlya-promo/futbolka-zhenskaya-imperial-women-190-zeleniy-haki-11502289/" , "11502289 Футболка женская Imperial Women 190, зеленый хаки, размер XXL")</f>
      </c>
      <c r="C17237" s="4" t="n">
        <v>697.00</v>
      </c>
      <c r="D17237" s="4"/>
    </row>
    <row collapsed="" customFormat="false" customHeight="1" hidden="" ht="14" outlineLevel="0" r="17238">
      <c r="A17238" s="3" t="inlineStr">
        <is>
          <t>17193</t>
        </is>
      </c>
      <c r="B17238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S")</f>
      </c>
      <c r="C17238" s="4" t="n">
        <v>672.00</v>
      </c>
      <c r="D17238" s="4"/>
    </row>
    <row collapsed="" customFormat="false" customHeight="1" hidden="" ht="14" outlineLevel="0" r="17239">
      <c r="A17239" s="3" t="inlineStr">
        <is>
          <t>17194</t>
        </is>
      </c>
      <c r="B17239" s="4" t="s">
        <f>=HYPERLINK("http://anyluxury.ru/shop/odezhda/futbolki-dlya-promo/futbolka-zhenskaya-imperial-women-190-korichnevaya-terrakotovaya-11502407/" , "11502407 Футболка женская Imperial Women 190, коричневая (терракотовая, размер M")</f>
      </c>
      <c r="C17239" s="4" t="n">
        <v>672.00</v>
      </c>
      <c r="D17239" s="4"/>
    </row>
    <row collapsed="" customFormat="false" customHeight="1" hidden="" ht="14" outlineLevel="0" r="17240">
      <c r="A17240" s="3" t="inlineStr">
        <is>
          <t>17195</t>
        </is>
      </c>
      <c r="B17240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L")</f>
      </c>
      <c r="C17240" s="4" t="n">
        <v>672.00</v>
      </c>
      <c r="D17240" s="4"/>
    </row>
    <row collapsed="" customFormat="false" customHeight="1" hidden="" ht="14" outlineLevel="0" r="17241">
      <c r="A17241" s="3" t="inlineStr">
        <is>
          <t>17196</t>
        </is>
      </c>
      <c r="B17241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XL")</f>
      </c>
      <c r="C17241" s="4" t="n">
        <v>672.00</v>
      </c>
      <c r="D17241" s="4"/>
    </row>
    <row collapsed="" customFormat="false" customHeight="1" hidden="" ht="14" outlineLevel="0" r="17242">
      <c r="A17242" s="3" t="inlineStr">
        <is>
          <t>17197</t>
        </is>
      </c>
      <c r="B17242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XXL")</f>
      </c>
      <c r="C17242" s="4" t="n">
        <v>672.00</v>
      </c>
      <c r="D17242" s="4"/>
    </row>
    <row collapsed="" customFormat="false" customHeight="1" hidden="" ht="14" outlineLevel="0" r="17243">
      <c r="A17243" s="3" t="inlineStr">
        <is>
          <t>17198</t>
        </is>
      </c>
      <c r="B17243" s="4" t="s">
        <f>=HYPERLINK("http://anyluxury.ru/shop/odezhda/futbolki-dlya-promo/futbolka-muzhskaya-pritalennaya-regent-fit-150-yarkobiryuzovaya-00553321/" , "00553321 Футболка мужская приталенная REGENT FIT 150, ярко-бирюзовая, размер XS")</f>
      </c>
      <c r="C17243" s="4" t="n">
        <v>613.00</v>
      </c>
      <c r="D17243" s="4"/>
    </row>
    <row collapsed="" customFormat="false" customHeight="1" hidden="" ht="14" outlineLevel="0" r="17244">
      <c r="A17244" s="3" t="inlineStr">
        <is>
          <t>17199</t>
        </is>
      </c>
      <c r="B17244" s="4" t="s">
        <f>=HYPERLINK("http://anyluxury.ru/shop/odezhda/futbolki-dlya-promo/futbolka-muzhskaya-pritalennaya-regent-fit-150-korichnevaya-terrakotovaya-00553407/" , "00553407 Футболка мужская приталенная REGENT FIT 150, коричневая (терракотовая), размер XS")</f>
      </c>
      <c r="C17244" s="4" t="n">
        <v>613.00</v>
      </c>
      <c r="D17244" s="4"/>
    </row>
    <row collapsed="" customFormat="false" customHeight="1" hidden="" ht="14" outlineLevel="0" r="17245">
      <c r="A17245" s="3" t="inlineStr">
        <is>
          <t>17200</t>
        </is>
      </c>
      <c r="B17245" s="4" t="s">
        <f>=HYPERLINK("http://anyluxury.ru/shop/odezhda/futbolki-dlya-promo/futbolka-muzhskaya-pritalennaya-regent-fit-150-korichnevaya-terrakotovaya-00553407/" , "00553407 Футболка мужская приталенная REGENT FIT 150, коричневая (терракотовая), размер S")</f>
      </c>
      <c r="C17245" s="4" t="n">
        <v>613.00</v>
      </c>
      <c r="D17245" s="4"/>
    </row>
    <row collapsed="" customFormat="false" customHeight="1" hidden="" ht="14" outlineLevel="0" r="17246">
      <c r="A17246" s="3" t="inlineStr">
        <is>
          <t>17201</t>
        </is>
      </c>
      <c r="B17246" s="4" t="s">
        <f>=HYPERLINK("http://anyluxury.ru/shop/odezhda/futbolki-dlya-promo/futbolka-muzhskaya-pritalennaya-regent-fit-150-korichnevaya-terrakotovaya-00553407/" , "00553407 Футболка мужская приталенная REGENT FIT 150, коричневая (терракотовая), размер XL")</f>
      </c>
      <c r="C17246" s="4" t="n">
        <v>613.00</v>
      </c>
      <c r="D17246" s="4"/>
    </row>
    <row collapsed="" customFormat="false" customHeight="1" hidden="" ht="14" outlineLevel="0" r="17247">
      <c r="A17247" s="3" t="inlineStr">
        <is>
          <t>17202</t>
        </is>
      </c>
      <c r="B17247" s="4" t="s">
        <f>=HYPERLINK("http://anyluxury.ru/shop/odezhda/futbolki-dlya-promo/futbolka-muzhskaya-pritalennaya-regent-fit-150-korichnevaya-terrakotovaya-00553407/" , "00553407 Футболка мужская приталенная REGENT FIT 150, коричневая (терракотовая), размер XXL")</f>
      </c>
      <c r="C17247" s="4" t="n">
        <v>613.00</v>
      </c>
      <c r="D17247" s="4"/>
    </row>
    <row collapsed="" customFormat="false" customHeight="1" hidden="" ht="14" outlineLevel="0" r="17248">
      <c r="A17248" s="3" t="inlineStr">
        <is>
          <t>17203</t>
        </is>
      </c>
      <c r="B17248" s="4" t="s">
        <f>=HYPERLINK("http://anyluxury.ru/shop/odezhda/futbolki-dlya-promo/futbolka-zhenskaya-regent-fit-women-pilnorozovaya-02758170/" , "02758170 Футболка женская REGENT FIT WOMEN, пыльно-розовая, размер S")</f>
      </c>
      <c r="C17248" s="4" t="n">
        <v>605.00</v>
      </c>
      <c r="D17248" s="4"/>
    </row>
    <row collapsed="" customFormat="false" customHeight="1" hidden="" ht="14" outlineLevel="0" r="17249">
      <c r="A17249" s="3" t="inlineStr">
        <is>
          <t>17204</t>
        </is>
      </c>
      <c r="B17249" s="4" t="s">
        <f>=HYPERLINK("http://anyluxury.ru/shop/odezhda/futbolki-dlya-promo/futbolka-zhenskaya-regent-fit-women-pilnorozovaya-02758170/" , "02758170 Футболка женская REGENT FIT WOMEN, пыльно-розовая, размер M")</f>
      </c>
      <c r="C17249" s="4" t="n">
        <v>605.00</v>
      </c>
      <c r="D17249" s="4"/>
    </row>
    <row collapsed="" customFormat="false" customHeight="1" hidden="" ht="14" outlineLevel="0" r="17250">
      <c r="A17250" s="3" t="inlineStr">
        <is>
          <t>17205</t>
        </is>
      </c>
      <c r="B17250" s="4" t="s">
        <f>=HYPERLINK("http://anyluxury.ru/shop/odezhda/futbolki-dlya-promo/futbolka-zhenskaya-regent-fit-women-pilnorozovaya-02758170/" , "02758170 Футболка женская REGENT FIT WOMEN, пыльно-розовая, размер L")</f>
      </c>
      <c r="C17250" s="4" t="n">
        <v>605.00</v>
      </c>
      <c r="D17250" s="4"/>
    </row>
    <row collapsed="" customFormat="false" customHeight="1" hidden="" ht="14" outlineLevel="0" r="17251">
      <c r="A17251" s="3" t="inlineStr">
        <is>
          <t>17206</t>
        </is>
      </c>
      <c r="B17251" s="4" t="s">
        <f>=HYPERLINK("http://anyluxury.ru/shop/odezhda/futbolki-dlya-promo/futbolka-zhenskaya-regent-fit-women-pilnorozovaya-02758170/" , "02758170 Футболка женская REGENT FIT WOMEN, пыльно-розовая, размер XL")</f>
      </c>
      <c r="C17251" s="4" t="n">
        <v>605.00</v>
      </c>
      <c r="D17251" s="4"/>
    </row>
    <row collapsed="" customFormat="false" customHeight="1" hidden="" ht="14" outlineLevel="0" r="17252">
      <c r="A17252" s="3" t="inlineStr">
        <is>
          <t>17207</t>
        </is>
      </c>
      <c r="B17252" s="4" t="s">
        <f>=HYPERLINK("http://anyluxury.ru/shop/odezhda/futbolki-dlya-promo/futbolka-zhenskaya-regent-fit-women-pilnorozovaya-02758170/" , "02758170 Футболка женская REGENT FIT WOMEN, пыльно-розовая, размер XXL")</f>
      </c>
      <c r="C17252" s="4" t="n">
        <v>605.00</v>
      </c>
      <c r="D17252" s="4"/>
    </row>
    <row collapsed="" customFormat="false" customHeight="1" hidden="" ht="14" outlineLevel="0" r="17253">
      <c r="A17253" s="3" t="inlineStr">
        <is>
          <t>17208</t>
        </is>
      </c>
      <c r="B17253" s="4" t="s">
        <f>=HYPERLINK("http://anyluxury.ru/shop/odezhda/futbolki-dlya-promo/futbolka-zhenskaya-regent-fit-women-yarkobiryuzovaya-02758321/" , "02758321 Футболка женская REGENT FIT WOMEN, ярко-бирюзовая, размер S")</f>
      </c>
      <c r="C17253" s="4" t="n">
        <v>628.00</v>
      </c>
      <c r="D17253" s="4"/>
    </row>
    <row collapsed="" customFormat="false" customHeight="1" hidden="" ht="14" outlineLevel="0" r="17254">
      <c r="A17254" s="3" t="inlineStr">
        <is>
          <t>17209</t>
        </is>
      </c>
      <c r="B17254" s="4" t="s">
        <f>=HYPERLINK("http://anyluxury.ru/shop/odezhda/futbolki-dlya-promo/futbolka-zhenskaya-regent-fit-women-yarkobiryuzovaya-02758321/" , "02758321 Футболка женская REGENT FIT WOMEN, ярко-бирюзовая, размер L")</f>
      </c>
      <c r="C17254" s="4" t="n">
        <v>628.00</v>
      </c>
      <c r="D17254" s="4"/>
    </row>
    <row collapsed="" customFormat="false" customHeight="1" hidden="" ht="14" outlineLevel="0" r="17255">
      <c r="A17255" s="3" t="inlineStr">
        <is>
          <t>17210</t>
        </is>
      </c>
      <c r="B17255" s="4" t="s">
        <f>=HYPERLINK("http://anyluxury.ru/shop/odezhda/futbolki-dlya-promo/futbolka-zhenskaya-regent-fit-women-yarkobiryuzovaya-02758321/" , "02758321 Футболка женская REGENT FIT WOMEN, ярко-бирюзовая, размер XXL")</f>
      </c>
      <c r="C17255" s="4" t="n">
        <v>628.00</v>
      </c>
      <c r="D17255" s="4"/>
    </row>
    <row collapsed="" customFormat="false" customHeight="1" hidden="" ht="14" outlineLevel="0" r="17256">
      <c r="A17256" s="3" t="inlineStr">
        <is>
          <t>17211</t>
        </is>
      </c>
      <c r="B17256" s="4" t="s">
        <f>=HYPERLINK("http://anyluxury.ru/shop/odezhda/futbolki-dlya-promo/futbolka-zhenskaya-regent-fit-women-korichnevaya-terrakotovaya-02758407/" , "02758407 Футболка женская REGENT FIT WOMEN, коричневая (терракотовая), размер S")</f>
      </c>
      <c r="C17256" s="4" t="n">
        <v>628.00</v>
      </c>
      <c r="D17256" s="4"/>
    </row>
    <row collapsed="" customFormat="false" customHeight="1" hidden="" ht="14" outlineLevel="0" r="17257">
      <c r="A17257" s="3" t="inlineStr">
        <is>
          <t>17212</t>
        </is>
      </c>
      <c r="B17257" s="4" t="s">
        <f>=HYPERLINK("http://anyluxury.ru/shop/odezhda/futbolki-dlya-promo/futbolka-zhenskaya-regent-fit-women-korichnevaya-terrakotovaya-02758407/" , "02758407 Футболка женская REGENT FIT WOMEN, коричневая (терракотовая), размер M")</f>
      </c>
      <c r="C17257" s="4" t="n">
        <v>628.00</v>
      </c>
      <c r="D17257" s="4"/>
    </row>
    <row collapsed="" customFormat="false" customHeight="1" hidden="" ht="14" outlineLevel="0" r="17258">
      <c r="A17258" s="3" t="inlineStr">
        <is>
          <t>17213</t>
        </is>
      </c>
      <c r="B17258" s="4" t="s">
        <f>=HYPERLINK("http://anyluxury.ru/shop/odezhda/futbolki-dlya-promo/futbolka-zhenskaya-regent-fit-women-korichnevaya-terrakotovaya-02758407/" , "02758407 Футболка женская REGENT FIT WOMEN, коричневая (терракотовая), размер L")</f>
      </c>
      <c r="C17258" s="4" t="n">
        <v>628.00</v>
      </c>
      <c r="D17258" s="4"/>
    </row>
    <row collapsed="" customFormat="false" customHeight="1" hidden="" ht="14" outlineLevel="0" r="17259">
      <c r="A17259" s="3" t="inlineStr">
        <is>
          <t>17214</t>
        </is>
      </c>
      <c r="B17259" s="4" t="s">
        <f>=HYPERLINK("http://anyluxury.ru/shop/odezhda/futbolki-dlya-promo/futbolka-zhenskaya-regent-fit-women-korichnevaya-terrakotovaya-02758407/" , "02758407 Футболка женская REGENT FIT WOMEN, коричневая (терракотовая), размер XL")</f>
      </c>
      <c r="C17259" s="4" t="n">
        <v>628.00</v>
      </c>
      <c r="D17259" s="4"/>
    </row>
    <row collapsed="" customFormat="false" customHeight="1" hidden="" ht="14" outlineLevel="0" r="17260">
      <c r="A17260" s="3" t="inlineStr">
        <is>
          <t>17215</t>
        </is>
      </c>
      <c r="B17260" s="4" t="s">
        <f>=HYPERLINK("http://anyluxury.ru/shop/odezhda/futbolki-dlya-promo/futbolka-zhenskaya-regent-fit-women-korichnevaya-terrakotovaya-02758407/" , "02758407 Футболка женская REGENT FIT WOMEN, коричневая (терракотовая), размер XXL")</f>
      </c>
      <c r="C17260" s="4" t="n">
        <v>628.00</v>
      </c>
      <c r="D17260" s="4"/>
    </row>
    <row collapsed="" customFormat="false" customHeight="1" hidden="" ht="14" outlineLevel="0" r="17261">
      <c r="A17261" s="3" t="inlineStr">
        <is>
          <t>17216</t>
        </is>
      </c>
      <c r="B17261" s="4" t="s">
        <f>=HYPERLINK("http://anyluxury.ru/shop/odezhda/futbolki-dlya-promo/futbolka-uniseks-tbolka-140-temnosinyaya-kobalt-519043/" , "5190.43 Футболка темно-синяя (кобальт) «T-bolka 140», размер S")</f>
      </c>
      <c r="C17261" s="4" t="n">
        <v>473.00</v>
      </c>
      <c r="D17261" s="4"/>
    </row>
    <row collapsed="" customFormat="false" customHeight="1" hidden="" ht="14" outlineLevel="0" r="17262">
      <c r="A17262" s="3" t="inlineStr">
        <is>
          <t>17217</t>
        </is>
      </c>
      <c r="B17262" s="4" t="s">
        <f>=HYPERLINK("http://anyluxury.ru/shop/odezhda/futbolki-dlya-promo/futbolka-uniseks-tbolka-140-temnosinyaya-kobalt-519043/" , "5190.43 Футболка темно-синяя (кобальт) «T-bolka 140», размер 4XL")</f>
      </c>
      <c r="C17262" s="4" t="n">
        <v>473.00</v>
      </c>
      <c r="D17262" s="4"/>
    </row>
    <row collapsed="" customFormat="false" customHeight="1" hidden="" ht="14" outlineLevel="0" r="17263">
      <c r="A17263" s="3" t="inlineStr">
        <is>
          <t>17218</t>
        </is>
      </c>
      <c r="B17263" s="4" t="s">
        <f>=HYPERLINK("http://anyluxury.ru/shop/odezhda/futbolki-dlya-promo/futbolka-uniseks-tbolka-140-temnosinyaya-kobalt-519043/" , "5190.43 Футболка темно-синяя (кобальт) «T-bolka 140», размер L")</f>
      </c>
      <c r="C17263" s="4" t="n">
        <v>473.00</v>
      </c>
      <c r="D17263" s="4"/>
    </row>
    <row collapsed="" customFormat="false" customHeight="1" hidden="" ht="14" outlineLevel="0" r="17264">
      <c r="A17264" s="3" t="inlineStr">
        <is>
          <t>17219</t>
        </is>
      </c>
      <c r="B17264" s="4" t="s">
        <f>=HYPERLINK("http://anyluxury.ru/shop/odezhda/futbolki-dlya-promo/futbolka-uniseks-tbolka-140-temnosinyaya-kobalt-519043/" , "5190.43 Футболка темно-синяя (кобальт) «T-bolka 140», размер XXXL")</f>
      </c>
      <c r="C17264" s="4" t="n">
        <v>473.00</v>
      </c>
      <c r="D17264" s="4"/>
    </row>
    <row collapsed="" customFormat="false" customHeight="1" hidden="" ht="14" outlineLevel="0" r="17265">
      <c r="A17265" s="3" t="inlineStr">
        <is>
          <t>17220</t>
        </is>
      </c>
      <c r="B17265" s="4" t="s">
        <f>=HYPERLINK("http://anyluxury.ru/shop/odezhda/futbolki-dlya-promo/mayka-uniseks-crusader-tt-chernaya-03980309/" , "03980309 Майка унисекс Crusader TT, черная, размер XS")</f>
      </c>
      <c r="C17265" s="4" t="n">
        <v>901.00</v>
      </c>
      <c r="D17265" s="4"/>
    </row>
    <row collapsed="" customFormat="false" customHeight="1" hidden="" ht="14" outlineLevel="0" r="17266">
      <c r="A17266" s="3" t="inlineStr">
        <is>
          <t>17221</t>
        </is>
      </c>
      <c r="B17266" s="4" t="s">
        <f>=HYPERLINK("http://anyluxury.ru/shop/odezhda/futbolki-dlya-promo/mayka-uniseks-crusader-tt-chernaya-03980309/" , "03980309 Майка унисекс Crusader TT, черная, размер S")</f>
      </c>
      <c r="C17266" s="4" t="n">
        <v>901.00</v>
      </c>
      <c r="D17266" s="4"/>
    </row>
    <row collapsed="" customFormat="false" customHeight="1" hidden="" ht="14" outlineLevel="0" r="17267">
      <c r="A17267" s="3" t="inlineStr">
        <is>
          <t>17222</t>
        </is>
      </c>
      <c r="B17267" s="4" t="s">
        <f>=HYPERLINK("http://anyluxury.ru/shop/odezhda/futbolki-dlya-promo/mayka-uniseks-crusader-tt-chernaya-03980309/" , "03980309 Майка унисекс Crusader TT, черная, размер M")</f>
      </c>
      <c r="C17267" s="4" t="n">
        <v>901.00</v>
      </c>
      <c r="D17267" s="4"/>
    </row>
    <row collapsed="" customFormat="false" customHeight="1" hidden="" ht="14" outlineLevel="0" r="17268">
      <c r="A17268" s="3" t="inlineStr">
        <is>
          <t>17223</t>
        </is>
      </c>
      <c r="B17268" s="4" t="s">
        <f>=HYPERLINK("http://anyluxury.ru/shop/odezhda/futbolki-dlya-promo/mayka-uniseks-crusader-tt-chernaya-03980309/" , "03980309 Майка унисекс Crusader TT, черная, размер L")</f>
      </c>
      <c r="C17268" s="4" t="n">
        <v>901.00</v>
      </c>
      <c r="D17268" s="4"/>
    </row>
    <row collapsed="" customFormat="false" customHeight="1" hidden="" ht="14" outlineLevel="0" r="17269">
      <c r="A17269" s="3" t="inlineStr">
        <is>
          <t>17224</t>
        </is>
      </c>
      <c r="B17269" s="4" t="s">
        <f>=HYPERLINK("http://anyluxury.ru/shop/odezhda/futbolki-dlya-promo/mayka-uniseks-crusader-tt-chernaya-03980309/" , "03980309 Майка унисекс Crusader TT, черная, размер XL")</f>
      </c>
      <c r="C17269" s="4" t="n">
        <v>901.00</v>
      </c>
      <c r="D17269" s="4"/>
    </row>
    <row collapsed="" customFormat="false" customHeight="1" hidden="" ht="14" outlineLevel="0" r="17270">
      <c r="A17270" s="3" t="inlineStr">
        <is>
          <t>17225</t>
        </is>
      </c>
      <c r="B17270" s="4" t="s">
        <f>=HYPERLINK("http://anyluxury.ru/shop/odezhda/futbolki-dlya-promo/mayka-uniseks-crusader-tt-chernaya-03980309/" , "03980309 Майка унисекс Crusader TT, черная, размер XXL")</f>
      </c>
      <c r="C17270" s="4" t="n">
        <v>901.00</v>
      </c>
      <c r="D17270" s="4"/>
    </row>
    <row collapsed="" customFormat="false" customHeight="1" hidden="" ht="14" outlineLevel="0" r="17271">
      <c r="A17271" s="3" t="inlineStr">
        <is>
          <t>17226</t>
        </is>
      </c>
      <c r="B17271" s="4" t="s">
        <f>=HYPERLINK("http://anyluxury.ru/shop/odezhda/futbolki-dlya-promo/mayka-uniseks-crusader-tt-chernaya-03980309/" , "03980309 Майка унисекс Crusader TT, черная, размер 3XL")</f>
      </c>
      <c r="C17271" s="4" t="n">
        <v>1043.00</v>
      </c>
      <c r="D17271" s="4"/>
    </row>
    <row collapsed="" customFormat="false" customHeight="1" hidden="" ht="14" outlineLevel="0" r="17272">
      <c r="A17272" s="3" t="inlineStr">
        <is>
          <t>17227</t>
        </is>
      </c>
      <c r="B17272" s="4" t="s">
        <f>=HYPERLINK("http://anyluxury.ru/shop/odezhda/futbolki-dlya-promo/mayka-uniseks-crusader-tt-temnosinyaya-03980319/" , "03980319 Майка унисекс Crusader TT, темно-синяя, размер XS")</f>
      </c>
      <c r="C17272" s="4" t="n">
        <v>901.00</v>
      </c>
      <c r="D17272" s="4"/>
    </row>
    <row collapsed="" customFormat="false" customHeight="1" hidden="" ht="14" outlineLevel="0" r="17273">
      <c r="A17273" s="3" t="inlineStr">
        <is>
          <t>17228</t>
        </is>
      </c>
      <c r="B17273" s="4" t="s">
        <f>=HYPERLINK("http://anyluxury.ru/shop/odezhda/futbolki-dlya-promo/mayka-uniseks-crusader-tt-temnosinyaya-03980319/" , "03980319 Майка унисекс Crusader TT, темно-синяя, размер S")</f>
      </c>
      <c r="C17273" s="4" t="n">
        <v>901.00</v>
      </c>
      <c r="D17273" s="4"/>
    </row>
    <row collapsed="" customFormat="false" customHeight="1" hidden="" ht="14" outlineLevel="0" r="17274">
      <c r="A17274" s="3" t="inlineStr">
        <is>
          <t>17229</t>
        </is>
      </c>
      <c r="B17274" s="4" t="s">
        <f>=HYPERLINK("http://anyluxury.ru/shop/odezhda/futbolki-dlya-promo/mayka-uniseks-crusader-tt-temnosinyaya-03980319/" , "03980319 Майка унисекс Crusader TT, темно-синяя, размер M")</f>
      </c>
      <c r="C17274" s="4" t="n">
        <v>901.00</v>
      </c>
      <c r="D17274" s="4"/>
    </row>
    <row collapsed="" customFormat="false" customHeight="1" hidden="" ht="14" outlineLevel="0" r="17275">
      <c r="A17275" s="3" t="inlineStr">
        <is>
          <t>17230</t>
        </is>
      </c>
      <c r="B17275" s="4" t="s">
        <f>=HYPERLINK("http://anyluxury.ru/shop/odezhda/futbolki-dlya-promo/mayka-uniseks-crusader-tt-temnosinyaya-03980319/" , "03980319 Майка унисекс Crusader TT, темно-синяя, размер L")</f>
      </c>
      <c r="C17275" s="4" t="n">
        <v>901.00</v>
      </c>
      <c r="D17275" s="4"/>
    </row>
    <row collapsed="" customFormat="false" customHeight="1" hidden="" ht="14" outlineLevel="0" r="17276">
      <c r="A17276" s="3" t="inlineStr">
        <is>
          <t>17231</t>
        </is>
      </c>
      <c r="B17276" s="4" t="s">
        <f>=HYPERLINK("http://anyluxury.ru/shop/odezhda/futbolki-dlya-promo/mayka-uniseks-crusader-tt-temnosinyaya-03980319/" , "03980319 Майка унисекс Crusader TT, темно-синяя, размер XL")</f>
      </c>
      <c r="C17276" s="4" t="n">
        <v>901.00</v>
      </c>
      <c r="D17276" s="4"/>
    </row>
    <row collapsed="" customFormat="false" customHeight="1" hidden="" ht="14" outlineLevel="0" r="17277">
      <c r="A17277" s="3" t="inlineStr">
        <is>
          <t>17232</t>
        </is>
      </c>
      <c r="B17277" s="4" t="s">
        <f>=HYPERLINK("http://anyluxury.ru/shop/odezhda/futbolki-dlya-promo/mayka-uniseks-crusader-tt-temnosinyaya-03980319/" , "03980319 Майка унисекс Crusader TT, темно-синяя, размер XXL")</f>
      </c>
      <c r="C17277" s="4" t="n">
        <v>901.00</v>
      </c>
      <c r="D17277" s="4"/>
    </row>
    <row collapsed="" customFormat="false" customHeight="1" hidden="" ht="14" outlineLevel="0" r="17278">
      <c r="A17278" s="3" t="inlineStr">
        <is>
          <t>17233</t>
        </is>
      </c>
      <c r="B17278" s="4" t="s">
        <f>=HYPERLINK("http://anyluxury.ru/shop/odezhda/futbolki-dlya-promo/mayka-uniseks-crusader-tt-temnosinyaya-03980319/" , "03980319 Майка унисекс Crusader TT, темно-синяя, размер 3XL")</f>
      </c>
      <c r="C17278" s="4" t="n">
        <v>1043.00</v>
      </c>
      <c r="D17278" s="4"/>
    </row>
    <row collapsed="" customFormat="false" customHeight="1" hidden="" ht="14" outlineLevel="0" r="17279">
      <c r="A17279" s="3" t="inlineStr">
        <is>
          <t>17234</t>
        </is>
      </c>
      <c r="B17279" s="4" t="s">
        <f>=HYPERLINK("http://anyluxury.ru/shop/odezhda/futbolki-dlya-promo/mayka-uniseks-crusader-tt-seriy-melanzh-03980350/" , "03980350 Майка унисекс Crusader TT, серый меланж, размер XS")</f>
      </c>
      <c r="C17279" s="4" t="n">
        <v>901.00</v>
      </c>
      <c r="D17279" s="4"/>
    </row>
    <row collapsed="" customFormat="false" customHeight="1" hidden="" ht="14" outlineLevel="0" r="17280">
      <c r="A17280" s="3" t="inlineStr">
        <is>
          <t>17235</t>
        </is>
      </c>
      <c r="B17280" s="4" t="s">
        <f>=HYPERLINK("http://anyluxury.ru/shop/odezhda/futbolki-dlya-promo/mayka-uniseks-crusader-tt-seriy-melanzh-03980350/" , "03980350 Майка унисекс Crusader TT, серый меланж, размер S")</f>
      </c>
      <c r="C17280" s="4" t="n">
        <v>901.00</v>
      </c>
      <c r="D17280" s="4"/>
    </row>
    <row collapsed="" customFormat="false" customHeight="1" hidden="" ht="14" outlineLevel="0" r="17281">
      <c r="A17281" s="3" t="inlineStr">
        <is>
          <t>17236</t>
        </is>
      </c>
      <c r="B17281" s="4" t="s">
        <f>=HYPERLINK("http://anyluxury.ru/shop/odezhda/futbolki-dlya-promo/mayka-uniseks-crusader-tt-seriy-melanzh-03980350/" , "03980350 Майка унисекс Crusader TT, серый меланж, размер M")</f>
      </c>
      <c r="C17281" s="4" t="n">
        <v>901.00</v>
      </c>
      <c r="D17281" s="4"/>
    </row>
    <row collapsed="" customFormat="false" customHeight="1" hidden="" ht="14" outlineLevel="0" r="17282">
      <c r="A17282" s="3" t="inlineStr">
        <is>
          <t>17237</t>
        </is>
      </c>
      <c r="B17282" s="4" t="s">
        <f>=HYPERLINK("http://anyluxury.ru/shop/odezhda/futbolki-dlya-promo/mayka-uniseks-crusader-tt-seriy-melanzh-03980350/" , "03980350 Майка унисекс Crusader TT, серый меланж, размер L")</f>
      </c>
      <c r="C17282" s="4" t="n">
        <v>901.00</v>
      </c>
      <c r="D17282" s="4"/>
    </row>
    <row collapsed="" customFormat="false" customHeight="1" hidden="" ht="14" outlineLevel="0" r="17283">
      <c r="A17283" s="3" t="inlineStr">
        <is>
          <t>17238</t>
        </is>
      </c>
      <c r="B17283" s="4" t="s">
        <f>=HYPERLINK("http://anyluxury.ru/shop/odezhda/futbolki-dlya-promo/mayka-uniseks-crusader-tt-seriy-melanzh-03980350/" , "03980350 Майка унисекс Crusader TT, серый меланж, размер XL")</f>
      </c>
      <c r="C17283" s="4" t="n">
        <v>901.00</v>
      </c>
      <c r="D17283" s="4"/>
    </row>
    <row collapsed="" customFormat="false" customHeight="1" hidden="" ht="14" outlineLevel="0" r="17284">
      <c r="A17284" s="3" t="inlineStr">
        <is>
          <t>17239</t>
        </is>
      </c>
      <c r="B17284" s="4" t="s">
        <f>=HYPERLINK("http://anyluxury.ru/shop/odezhda/futbolki-dlya-promo/mayka-uniseks-crusader-tt-seriy-melanzh-03980350/" , "03980350 Майка унисекс Crusader TT, серый меланж, размер XXL")</f>
      </c>
      <c r="C17284" s="4" t="n">
        <v>901.00</v>
      </c>
      <c r="D17284" s="4"/>
    </row>
    <row collapsed="" customFormat="false" customHeight="1" hidden="" ht="14" outlineLevel="0" r="17285">
      <c r="A17285" s="3" t="inlineStr">
        <is>
          <t>17240</t>
        </is>
      </c>
      <c r="B17285" s="4" t="s">
        <f>=HYPERLINK("http://anyluxury.ru/shop/odezhda/futbolki-dlya-promo/mayka-uniseks-crusader-tt-seriy-melanzh-03980350/" , "03980350 Майка унисекс Crusader TT, серый меланж, размер 3XL")</f>
      </c>
      <c r="C17285" s="4" t="n">
        <v>1043.00</v>
      </c>
      <c r="D17285" s="4"/>
    </row>
    <row collapsed="" customFormat="false" customHeight="1" hidden="" ht="14" outlineLevel="0" r="17286">
      <c r="A17286" s="3" t="inlineStr">
        <is>
          <t>17241</t>
        </is>
      </c>
      <c r="B17286" s="4" t="s">
        <f>=HYPERLINK("http://anyluxury.ru/shop/odezhda/futbolki-dlya-promo/mayka-uniseks-crusader-tt-belaya-03980102/" , "03980102 Майка унисекс Crusader TT, белая, размер XS")</f>
      </c>
      <c r="C17286" s="4" t="n">
        <v>810.00</v>
      </c>
      <c r="D17286" s="4"/>
    </row>
    <row collapsed="" customFormat="false" customHeight="1" hidden="" ht="14" outlineLevel="0" r="17287">
      <c r="A17287" s="3" t="inlineStr">
        <is>
          <t>17242</t>
        </is>
      </c>
      <c r="B17287" s="4" t="s">
        <f>=HYPERLINK("http://anyluxury.ru/shop/odezhda/futbolki-dlya-promo/mayka-uniseks-crusader-tt-belaya-03980102/" , "03980102 Майка унисекс Crusader TT, белая, размер S")</f>
      </c>
      <c r="C17287" s="4" t="n">
        <v>810.00</v>
      </c>
      <c r="D17287" s="4"/>
    </row>
    <row collapsed="" customFormat="false" customHeight="1" hidden="" ht="14" outlineLevel="0" r="17288">
      <c r="A17288" s="3" t="inlineStr">
        <is>
          <t>17243</t>
        </is>
      </c>
      <c r="B17288" s="4" t="s">
        <f>=HYPERLINK("http://anyluxury.ru/shop/odezhda/futbolki-dlya-promo/mayka-uniseks-crusader-tt-belaya-03980102/" , "03980102 Майка унисекс Crusader TT, белая, размер M")</f>
      </c>
      <c r="C17288" s="4" t="n">
        <v>810.00</v>
      </c>
      <c r="D17288" s="4"/>
    </row>
    <row collapsed="" customFormat="false" customHeight="1" hidden="" ht="14" outlineLevel="0" r="17289">
      <c r="A17289" s="3" t="inlineStr">
        <is>
          <t>17244</t>
        </is>
      </c>
      <c r="B17289" s="4" t="s">
        <f>=HYPERLINK("http://anyluxury.ru/shop/odezhda/futbolki-dlya-promo/mayka-uniseks-crusader-tt-belaya-03980102/" , "03980102 Майка унисекс Crusader TT, белая, размер L")</f>
      </c>
      <c r="C17289" s="4" t="n">
        <v>810.00</v>
      </c>
      <c r="D17289" s="4"/>
    </row>
    <row collapsed="" customFormat="false" customHeight="1" hidden="" ht="14" outlineLevel="0" r="17290">
      <c r="A17290" s="3" t="inlineStr">
        <is>
          <t>17245</t>
        </is>
      </c>
      <c r="B17290" s="4" t="s">
        <f>=HYPERLINK("http://anyluxury.ru/shop/odezhda/futbolki-dlya-promo/mayka-uniseks-crusader-tt-belaya-03980102/" , "03980102 Майка унисекс Crusader TT, белая, размер XL")</f>
      </c>
      <c r="C17290" s="4" t="n">
        <v>810.00</v>
      </c>
      <c r="D17290" s="4"/>
    </row>
    <row collapsed="" customFormat="false" customHeight="1" hidden="" ht="14" outlineLevel="0" r="17291">
      <c r="A17291" s="3" t="inlineStr">
        <is>
          <t>17246</t>
        </is>
      </c>
      <c r="B17291" s="4" t="s">
        <f>=HYPERLINK("http://anyluxury.ru/shop/odezhda/futbolki-dlya-promo/mayka-uniseks-crusader-tt-belaya-03980102/" , "03980102 Майка унисекс Crusader TT, белая, размер XXL")</f>
      </c>
      <c r="C17291" s="4" t="n">
        <v>810.00</v>
      </c>
      <c r="D17291" s="4"/>
    </row>
    <row collapsed="" customFormat="false" customHeight="1" hidden="" ht="14" outlineLevel="0" r="17292">
      <c r="A17292" s="3" t="inlineStr">
        <is>
          <t>17247</t>
        </is>
      </c>
      <c r="B17292" s="4" t="s">
        <f>=HYPERLINK("http://anyluxury.ru/shop/odezhda/futbolki-dlya-promo/mayka-uniseks-crusader-tt-belaya-03980102/" , "03980102 Майка унисекс Crusader TT, белая, размер 3XL")</f>
      </c>
      <c r="C17292" s="4" t="n">
        <v>933.00</v>
      </c>
      <c r="D17292" s="4"/>
    </row>
    <row collapsed="" customFormat="false" customHeight="1" hidden="" ht="14" outlineLevel="0" r="17293">
      <c r="A17293" s="3" t="inlineStr">
        <is>
          <t>17248</t>
        </is>
      </c>
      <c r="B17293" s="4" t="s">
        <f>=HYPERLINK("http://anyluxury.ru/shop/odezhda/futbolki-dlya-promo/futbolka-uniseks-tbolka-160-sinyaya-614043/" , "6140.43 Футболка T-Bolka 160, синяя, размер L")</f>
      </c>
      <c r="C17293" s="4" t="n">
        <v>660.00</v>
      </c>
      <c r="D17293" s="4"/>
    </row>
    <row collapsed="" customFormat="false" customHeight="1" hidden="" ht="14" outlineLevel="0" r="17294">
      <c r="A17294" s="3" t="inlineStr">
        <is>
          <t>17249</t>
        </is>
      </c>
      <c r="B17294" s="4" t="s">
        <f>=HYPERLINK("http://anyluxury.ru/shop/odezhda/futbolki-dlya-promo/futbolka-uniseks-tbolka-160-sinyaya-614043/" , "6140.43 Футболка T-Bolka 160, синяя, размер S")</f>
      </c>
      <c r="C17294" s="4" t="n">
        <v>660.00</v>
      </c>
      <c r="D17294" s="4"/>
    </row>
    <row collapsed="" customFormat="false" customHeight="1" hidden="" ht="14" outlineLevel="0" r="17295">
      <c r="A17295" s="3" t="inlineStr">
        <is>
          <t>17250</t>
        </is>
      </c>
      <c r="B17295" s="4" t="s">
        <f>=HYPERLINK("http://anyluxury.ru/shop/odezhda/futbolki-dlya-promo/futbolka-uniseks-tbolka-160-temnooranzhevaya-614021/" , "6140.21 Футболка унисекс T-Bolka 160, темно-оранжевая, размер S")</f>
      </c>
      <c r="C17295" s="4" t="n">
        <v>620.00</v>
      </c>
      <c r="D17295" s="4"/>
    </row>
    <row collapsed="" customFormat="false" customHeight="1" hidden="" ht="14" outlineLevel="0" r="17296">
      <c r="A17296" s="3" t="inlineStr">
        <is>
          <t>17251</t>
        </is>
      </c>
      <c r="B17296" s="4" t="s">
        <f>=HYPERLINK("http://anyluxury.ru/shop/odezhda/futbolki-dlya-promo/futbolka-uniseks-tbolka-160-temnooranzhevaya-614021/" , "6140.21 Футболка унисекс T-Bolka 160, темно-оранжевая, размер M")</f>
      </c>
      <c r="C17296" s="4" t="n">
        <v>620.00</v>
      </c>
      <c r="D17296" s="4"/>
    </row>
    <row collapsed="" customFormat="false" customHeight="1" hidden="" ht="14" outlineLevel="0" r="17297">
      <c r="A17297" s="3" t="inlineStr">
        <is>
          <t>17252</t>
        </is>
      </c>
      <c r="B17297" s="4" t="s">
        <f>=HYPERLINK("http://anyluxury.ru/shop/odezhda/futbolki-dlya-promo/futbolka-uniseks-tbolka-160-temnooranzhevaya-614021/" , "6140.21 Футболка унисекс T-Bolka 160, темно-оранжевая, размер XXL")</f>
      </c>
      <c r="C17297" s="4" t="n">
        <v>620.00</v>
      </c>
      <c r="D17297" s="4"/>
    </row>
    <row collapsed="" customFormat="false" customHeight="1" hidden="" ht="14" outlineLevel="0" r="17298">
      <c r="A17298" s="3" t="inlineStr">
        <is>
          <t>17253</t>
        </is>
      </c>
      <c r="B17298" s="4" t="s">
        <f>=HYPERLINK("http://anyluxury.ru/shop/odezhda/futbolki-dlya-promo/futbolka-uniseks-tbolka-160-temnooranzhevaya-614021/" , "6140.21 Футболка унисекс T-Bolka 160, темно-оранжевая, размер 3XL")</f>
      </c>
      <c r="C17298" s="4" t="n">
        <v>620.00</v>
      </c>
      <c r="D17298" s="4"/>
    </row>
    <row collapsed="" customFormat="false" customHeight="1" hidden="" ht="14" outlineLevel="0" r="17299">
      <c r="A17299" s="3" t="inlineStr">
        <is>
          <t>17254</t>
        </is>
      </c>
      <c r="B17299" s="4" t="s">
        <f>=HYPERLINK("http://anyluxury.ru/shop/odezhda/futbolki-dlya-promo/futbolka-uniseks-tbolka-160-temnooranzhevaya-614021/" , "6140.21 Футболка унисекс T-Bolka 160, темно-оранжевая, размер 4XL")</f>
      </c>
      <c r="C17299" s="4" t="n">
        <v>620.00</v>
      </c>
      <c r="D17299" s="4"/>
    </row>
    <row collapsed="" customFormat="false" customHeight="1" hidden="" ht="14" outlineLevel="0" r="17300">
      <c r="A17300" s="3" t="inlineStr">
        <is>
          <t>17255</t>
        </is>
      </c>
      <c r="B17300" s="4" t="s">
        <f>=HYPERLINK("http://anyluxury.ru/shop/odezhda/futbolki-dlya-promo/futbolka-detskaya-tbolka-kids-belaya-tepliy-ottenok-250461/" , "2504.61 Футболка детская T-Bolka Kids, белая (теплый оттенок), 6 лет")</f>
      </c>
      <c r="C17300" s="4" t="n">
        <v>495.00</v>
      </c>
      <c r="D17300" s="4"/>
    </row>
    <row collapsed="" customFormat="false" customHeight="1" hidden="" ht="14" outlineLevel="0" r="17301">
      <c r="A17301" s="3" t="inlineStr">
        <is>
          <t>17256</t>
        </is>
      </c>
      <c r="B17301" s="4" t="s">
        <f>=HYPERLINK("http://anyluxury.ru/shop/odezhda/futbolki-dlya-promo/futbolka-detskaya-tbolka-kids-belaya-tepliy-ottenok-250461/" , "2504.61 Футболка детская T-Bolka Kids, белая (теплый оттенок), 8 лет")</f>
      </c>
      <c r="C17301" s="4" t="n">
        <v>495.00</v>
      </c>
      <c r="D17301" s="4"/>
    </row>
    <row collapsed="" customFormat="false" customHeight="1" hidden="" ht="14" outlineLevel="0" r="17302">
      <c r="A17302" s="3" t="inlineStr">
        <is>
          <t>17257</t>
        </is>
      </c>
      <c r="B17302" s="4" t="s">
        <f>=HYPERLINK("http://anyluxury.ru/shop/odezhda/futbolki-dlya-promo/futbolka-detskaya-tbolka-kids-belaya-tepliy-ottenok-250461/" , "2504.61 Футболка детская T-Bolka Kids, белая (теплый оттенок), 10 лет")</f>
      </c>
      <c r="C17302" s="4" t="n">
        <v>495.00</v>
      </c>
      <c r="D17302" s="4"/>
    </row>
    <row collapsed="" customFormat="false" customHeight="1" hidden="" ht="14" outlineLevel="0" r="17303">
      <c r="A17303" s="3" t="inlineStr">
        <is>
          <t>17258</t>
        </is>
      </c>
      <c r="B17303" s="4" t="s">
        <f>=HYPERLINK("http://anyluxury.ru/shop/odezhda/futbolki-dlya-promo/futbolka-detskaya-tbolka-kids-belaya-tepliy-ottenok-250461/" , "2504.61 Футболка детская T-Bolka Kids, белая (теплый оттенок), 12 лет")</f>
      </c>
      <c r="C17303" s="4" t="n">
        <v>495.00</v>
      </c>
      <c r="D17303" s="4"/>
    </row>
    <row collapsed="" customFormat="false" customHeight="1" hidden="" ht="14" outlineLevel="0" r="17304">
      <c r="A17304" s="3" t="inlineStr">
        <is>
          <t>17259</t>
        </is>
      </c>
      <c r="B17304" s="4" t="s">
        <f>=HYPERLINK("http://anyluxury.ru/shop/odezhda/futbolki-dlya-promo/futbolka-detskaya-tbolka-kids-belaya-tepliy-ottenok-250461/" , "2504.61 Футболка детская T-Bolka Kids, белая (теплый оттенок), 14 лет")</f>
      </c>
      <c r="C17304" s="4" t="n">
        <v>495.00</v>
      </c>
      <c r="D17304" s="4"/>
    </row>
    <row collapsed="" customFormat="false" customHeight="" hidden="" ht="12.1" outlineLevel="0" r="17305">
      <c r="A17305" s="5" t="inlineStr">
        <is>
          <t> -  - Футболки с принтом</t>
        </is>
      </c>
      <c r="B17305" s="6"/>
      <c r="C17305" s="6"/>
      <c r="D17305" s="6"/>
    </row>
    <row collapsed="" customFormat="false" customHeight="1" hidden="" ht="14" outlineLevel="0" r="17306">
      <c r="A17306" s="3" t="inlineStr">
        <is>
          <t>17260</t>
        </is>
      </c>
      <c r="B17306" s="4" t="s">
        <f>=HYPERLINK("http://anyluxury.ru/shop/odezhda/futbolki-s-printom/futbolka-zhenskaya-neochevidnoe-731660/" , "7316.60 Футболка женская «Неочевидное», белая, размер S")</f>
      </c>
      <c r="C17306" s="4" t="n">
        <v>774.00</v>
      </c>
      <c r="D17306" s="4"/>
    </row>
    <row collapsed="" customFormat="false" customHeight="1" hidden="" ht="14" outlineLevel="0" r="17307">
      <c r="A17307" s="3" t="inlineStr">
        <is>
          <t>17261</t>
        </is>
      </c>
      <c r="B17307" s="4" t="s">
        <f>=HYPERLINK("http://anyluxury.ru/shop/odezhda/futbolki-s-printom/futbolka-zhenskaya-neochevidnoe-731660/" , "7316.60 Футболка женская «Неочевидное», белая, размер M")</f>
      </c>
      <c r="C17307" s="4" t="n">
        <v>774.00</v>
      </c>
      <c r="D17307" s="4"/>
    </row>
    <row collapsed="" customFormat="false" customHeight="1" hidden="" ht="14" outlineLevel="0" r="17308">
      <c r="A17308" s="3" t="inlineStr">
        <is>
          <t>17262</t>
        </is>
      </c>
      <c r="B17308" s="4" t="s">
        <f>=HYPERLINK("http://anyluxury.ru/shop/odezhda/futbolki-s-printom/futbolka-zhenskaya-neochevidnoe-731660/" , "7316.60 Футболка женская «Неочевидное», белая, размер L")</f>
      </c>
      <c r="C17308" s="4" t="n">
        <v>774.00</v>
      </c>
      <c r="D17308" s="4"/>
    </row>
    <row collapsed="" customFormat="false" customHeight="1" hidden="" ht="14" outlineLevel="0" r="17309">
      <c r="A17309" s="3" t="inlineStr">
        <is>
          <t>17263</t>
        </is>
      </c>
      <c r="B17309" s="4" t="s">
        <f>=HYPERLINK("http://anyluxury.ru/shop/odezhda/futbolki-s-printom/futbolka-zhenskaya-neochevidnoe-731660/" , "7316.60 Футболка женская «Неочевидное», белая, размер XL")</f>
      </c>
      <c r="C17309" s="4" t="n">
        <v>774.00</v>
      </c>
      <c r="D17309" s="4"/>
    </row>
    <row collapsed="" customFormat="false" customHeight="1" hidden="" ht="14" outlineLevel="0" r="17310">
      <c r="A17310" s="3" t="inlineStr">
        <is>
          <t>17264</t>
        </is>
      </c>
      <c r="B17310" s="4" t="s">
        <f>=HYPERLINK("http://anyluxury.ru/shop/odezhda/futbolki-s-printom/futbolka-zhenskaya-vanpakman-chernaya-733430/" , "7334.30 Футболка женская «Ван-Пакман», черная, размер S")</f>
      </c>
      <c r="C17310" s="4" t="n">
        <v>683.00</v>
      </c>
      <c r="D17310" s="4"/>
    </row>
    <row collapsed="" customFormat="false" customHeight="1" hidden="" ht="14" outlineLevel="0" r="17311">
      <c r="A17311" s="3" t="inlineStr">
        <is>
          <t>17265</t>
        </is>
      </c>
      <c r="B17311" s="4" t="s">
        <f>=HYPERLINK("http://anyluxury.ru/shop/odezhda/futbolki-s-printom/futbolka-zhenskaya-vanpakman-chernaya-733430/" , "7334.30 Футболка женская «Ван-Пакман», черная, размер L")</f>
      </c>
      <c r="C17311" s="4" t="n">
        <v>683.00</v>
      </c>
      <c r="D17311" s="4"/>
    </row>
    <row collapsed="" customFormat="false" customHeight="1" hidden="" ht="14" outlineLevel="0" r="17312">
      <c r="A17312" s="3" t="inlineStr">
        <is>
          <t>17266</t>
        </is>
      </c>
      <c r="B17312" s="4" t="s">
        <f>=HYPERLINK("http://anyluxury.ru/shop/odezhda/futbolki-s-printom/futbolka-muzhskaya-vanpakman-chernaya-733530/" , "7335.30 Футболка мужская «Ван-Пакман», черная, размер S")</f>
      </c>
      <c r="C17312" s="4" t="n">
        <v>636.00</v>
      </c>
      <c r="D17312" s="4"/>
    </row>
    <row collapsed="" customFormat="false" customHeight="1" hidden="" ht="14" outlineLevel="0" r="17313">
      <c r="A17313" s="3" t="inlineStr">
        <is>
          <t>17267</t>
        </is>
      </c>
      <c r="B17313" s="4" t="s">
        <f>=HYPERLINK("http://anyluxury.ru/shop/odezhda/futbolki-s-printom/futbolka-zhenskaya-grand-granat-belaya-s-krasnim-734465/" , "7344.65 Футболка женская Grand Granat, белая с красным, размер XS")</f>
      </c>
      <c r="C17313" s="4" t="n">
        <v>1426.00</v>
      </c>
      <c r="D17313" s="4"/>
    </row>
    <row collapsed="" customFormat="false" customHeight="1" hidden="" ht="14" outlineLevel="0" r="17314">
      <c r="A17314" s="3" t="inlineStr">
        <is>
          <t>17268</t>
        </is>
      </c>
      <c r="B17314" s="4" t="s">
        <f>=HYPERLINK("http://anyluxury.ru/shop/odezhda/futbolki-s-printom/futbolka-zhenskaya-grand-granat-belaya-s-krasnim-734465/" , "7344.65 Футболка женская Grand Granat, белая с красным, размер S")</f>
      </c>
      <c r="C17314" s="4" t="n">
        <v>1426.00</v>
      </c>
      <c r="D17314" s="4"/>
    </row>
    <row collapsed="" customFormat="false" customHeight="1" hidden="" ht="14" outlineLevel="0" r="17315">
      <c r="A17315" s="3" t="inlineStr">
        <is>
          <t>17269</t>
        </is>
      </c>
      <c r="B17315" s="4" t="s">
        <f>=HYPERLINK("http://anyluxury.ru/shop/odezhda/futbolki-s-printom/futbolka-zhenskaya-grand-granat-belaya-s-krasnim-734465/" , "7344.65 Футболка женская Grand Granat, белая с красным, размер M")</f>
      </c>
      <c r="C17315" s="4" t="n">
        <v>1426.00</v>
      </c>
      <c r="D17315" s="4"/>
    </row>
    <row collapsed="" customFormat="false" customHeight="1" hidden="" ht="14" outlineLevel="0" r="17316">
      <c r="A17316" s="3" t="inlineStr">
        <is>
          <t>17270</t>
        </is>
      </c>
      <c r="B17316" s="4" t="s">
        <f>=HYPERLINK("http://anyluxury.ru/shop/odezhda/futbolki-s-printom/futbolka-zhenskaya-grand-granat-belaya-s-krasnim-734465/" , "7344.65 Футболка женская Grand Granat, белая с красным, размер L")</f>
      </c>
      <c r="C17316" s="4" t="n">
        <v>1426.00</v>
      </c>
      <c r="D17316" s="4"/>
    </row>
    <row collapsed="" customFormat="false" customHeight="1" hidden="" ht="14" outlineLevel="0" r="17317">
      <c r="A17317" s="3" t="inlineStr">
        <is>
          <t>17271</t>
        </is>
      </c>
      <c r="B17317" s="4" t="s">
        <f>=HYPERLINK("http://anyluxury.ru/shop/odezhda/futbolki-s-printom/futbolka-zhenskaya-grand-granat-belaya-s-krasnim-734465/" , "7344.65 Футболка женская Grand Granat, белая с красным, размер XL")</f>
      </c>
      <c r="C17317" s="4" t="n">
        <v>1426.00</v>
      </c>
      <c r="D17317" s="4"/>
    </row>
    <row collapsed="" customFormat="false" customHeight="1" hidden="" ht="14" outlineLevel="0" r="17318">
      <c r="A17318" s="3" t="inlineStr">
        <is>
          <t>17272</t>
        </is>
      </c>
      <c r="B17318" s="4" t="s">
        <f>=HYPERLINK("http://anyluxury.ru/shop/odezhda/futbolki-s-printom/futbolka-zhenskaya-grand-granat-belaya-s-krasnim-734465/" , "7344.65 Футболка женская Grand Granat, белая с красным, размер XXL")</f>
      </c>
      <c r="C17318" s="4" t="n">
        <v>1426.00</v>
      </c>
      <c r="D17318" s="4"/>
    </row>
    <row collapsed="" customFormat="false" customHeight="1" hidden="" ht="14" outlineLevel="0" r="17319">
      <c r="A17319" s="3" t="inlineStr">
        <is>
          <t>17273</t>
        </is>
      </c>
      <c r="B17319" s="4" t="s">
        <f>=HYPERLINK("http://anyluxury.ru/shop/odezhda/futbolki-s-printom/futbolka-zhenskaya-grand-granat-belaya-s-sinim-734464/" , "7344.64 Футболка женская Grand Granat, белая с синим, размер XS")</f>
      </c>
      <c r="C17319" s="4" t="n">
        <v>1460.00</v>
      </c>
      <c r="D17319" s="4"/>
    </row>
    <row collapsed="" customFormat="false" customHeight="1" hidden="" ht="14" outlineLevel="0" r="17320">
      <c r="A17320" s="3" t="inlineStr">
        <is>
          <t>17274</t>
        </is>
      </c>
      <c r="B17320" s="4" t="s">
        <f>=HYPERLINK("http://anyluxury.ru/shop/odezhda/futbolki-s-printom/futbolka-zhenskaya-grand-granat-belaya-s-sinim-734464/" , "7344.64 Футболка женская Grand Granat, белая с синим, размер S")</f>
      </c>
      <c r="C17320" s="4" t="n">
        <v>1460.00</v>
      </c>
      <c r="D17320" s="4"/>
    </row>
    <row collapsed="" customFormat="false" customHeight="1" hidden="" ht="14" outlineLevel="0" r="17321">
      <c r="A17321" s="3" t="inlineStr">
        <is>
          <t>17275</t>
        </is>
      </c>
      <c r="B17321" s="4" t="s">
        <f>=HYPERLINK("http://anyluxury.ru/shop/odezhda/futbolki-s-printom/futbolka-zhenskaya-grand-granat-belaya-s-sinim-734464/" , "7344.64 Футболка женская Grand Granat, белая с синим, размер M")</f>
      </c>
      <c r="C17321" s="4" t="n">
        <v>1460.00</v>
      </c>
      <c r="D17321" s="4"/>
    </row>
    <row collapsed="" customFormat="false" customHeight="1" hidden="" ht="14" outlineLevel="0" r="17322">
      <c r="A17322" s="3" t="inlineStr">
        <is>
          <t>17276</t>
        </is>
      </c>
      <c r="B17322" s="4" t="s">
        <f>=HYPERLINK("http://anyluxury.ru/shop/odezhda/futbolki-s-printom/futbolka-zhenskaya-grand-granat-belaya-s-sinim-734464/" , "7344.64 Футболка женская Grand Granat, белая с синим, размер L")</f>
      </c>
      <c r="C17322" s="4" t="n">
        <v>1460.00</v>
      </c>
      <c r="D17322" s="4"/>
    </row>
    <row collapsed="" customFormat="false" customHeight="1" hidden="" ht="14" outlineLevel="0" r="17323">
      <c r="A17323" s="3" t="inlineStr">
        <is>
          <t>17277</t>
        </is>
      </c>
      <c r="B17323" s="4" t="s">
        <f>=HYPERLINK("http://anyluxury.ru/shop/odezhda/futbolki-s-printom/futbolka-zhenskaya-grand-granat-belaya-s-sinim-734464/" , "7344.64 Футболка женская Grand Granat, белая с синим, размер XL")</f>
      </c>
      <c r="C17323" s="4" t="n">
        <v>1460.00</v>
      </c>
      <c r="D17323" s="4"/>
    </row>
    <row collapsed="" customFormat="false" customHeight="1" hidden="" ht="14" outlineLevel="0" r="17324">
      <c r="A17324" s="3" t="inlineStr">
        <is>
          <t>17278</t>
        </is>
      </c>
      <c r="B17324" s="4" t="s">
        <f>=HYPERLINK("http://anyluxury.ru/shop/odezhda/futbolki-s-printom/futbolka-zhenskaya-grand-granat-belaya-s-sinim-734464/" , "7344.64 Футболка женская Grand Granat, белая с синим, размер XXL")</f>
      </c>
      <c r="C17324" s="4" t="n">
        <v>1460.00</v>
      </c>
      <c r="D17324" s="4"/>
    </row>
    <row collapsed="" customFormat="false" customHeight="1" hidden="" ht="14" outlineLevel="0" r="17325">
      <c r="A17325" s="3" t="inlineStr">
        <is>
          <t>17279</t>
        </is>
      </c>
      <c r="B17325" s="4" t="s">
        <f>=HYPERLINK("http://anyluxury.ru/shop/odezhda/futbolki-s-printom/futbolka-zhenskaya-vibrance-chernaya-737930/" , "7379.30 Футболка женская Vibrance, черная, размер S")</f>
      </c>
      <c r="C17325" s="4" t="n">
        <v>927.00</v>
      </c>
      <c r="D17325" s="4"/>
    </row>
    <row collapsed="" customFormat="false" customHeight="1" hidden="" ht="14" outlineLevel="0" r="17326">
      <c r="A17326" s="3" t="inlineStr">
        <is>
          <t>17280</t>
        </is>
      </c>
      <c r="B17326" s="4" t="s">
        <f>=HYPERLINK("http://anyluxury.ru/shop/odezhda/futbolki-s-printom/futbolka-zhenskaya-vibrance-chernaya-737930/" , "7379.30 Футболка женская Vibrance, черная, размер L")</f>
      </c>
      <c r="C17326" s="4" t="n">
        <v>928.00</v>
      </c>
      <c r="D17326" s="4"/>
    </row>
    <row collapsed="" customFormat="false" customHeight="1" hidden="" ht="14" outlineLevel="0" r="17327">
      <c r="A17327" s="3" t="inlineStr">
        <is>
          <t>17281</t>
        </is>
      </c>
      <c r="B17327" s="4" t="s">
        <f>=HYPERLINK("http://anyluxury.ru/shop/odezhda/futbolki-s-printom/futbolka-zhenskaya-beauty-sleep-yarkosinyaya-royal-739444/" , "7394.44 Футболка женская Beauty Sleep, ярко-синяя (royal), размер S")</f>
      </c>
      <c r="C17327" s="4" t="n">
        <v>571.00</v>
      </c>
      <c r="D17327" s="4"/>
    </row>
    <row collapsed="" customFormat="false" customHeight="1" hidden="" ht="14" outlineLevel="0" r="17328">
      <c r="A17328" s="3" t="inlineStr">
        <is>
          <t>17282</t>
        </is>
      </c>
      <c r="B17328" s="4" t="s">
        <f>=HYPERLINK("http://anyluxury.ru/shop/odezhda/futbolki-s-printom/futbolka-zhenskaya-beauty-sleep-yarkosinyaya-royal-739444/" , "7394.44 Футболка женская Beauty Sleep, ярко-синяя (royal), размер M")</f>
      </c>
      <c r="C17328" s="4" t="n">
        <v>571.00</v>
      </c>
      <c r="D17328" s="4"/>
    </row>
    <row collapsed="" customFormat="false" customHeight="1" hidden="" ht="14" outlineLevel="0" r="17329">
      <c r="A17329" s="3" t="inlineStr">
        <is>
          <t>17283</t>
        </is>
      </c>
      <c r="B17329" s="4" t="s">
        <f>=HYPERLINK("http://anyluxury.ru/shop/odezhda/futbolki-s-printom/futbolka-zhenskaya-beauty-sleep-yarkosinyaya-royal-739444/" , "7394.44 Футболка женская Beauty Sleep, ярко-синяя (royal), размер L")</f>
      </c>
      <c r="C17329" s="4" t="n">
        <v>571.00</v>
      </c>
      <c r="D17329" s="4"/>
    </row>
    <row collapsed="" customFormat="false" customHeight="1" hidden="" ht="14" outlineLevel="0" r="17330">
      <c r="A17330" s="3" t="inlineStr">
        <is>
          <t>17284</t>
        </is>
      </c>
      <c r="B17330" s="4" t="s">
        <f>=HYPERLINK("http://anyluxury.ru/shop/odezhda/futbolki-s-printom/futbolka-zhenskaya-beauty-sleep-yarkorozovaya-fuksiya-739457/" , "7394.57 Футболка женская Beauty Sleep, ярко-розовая (фуксия), размер S")</f>
      </c>
      <c r="C17330" s="4" t="n">
        <v>632.00</v>
      </c>
      <c r="D17330" s="4"/>
    </row>
    <row collapsed="" customFormat="false" customHeight="1" hidden="" ht="14" outlineLevel="0" r="17331">
      <c r="A17331" s="3" t="inlineStr">
        <is>
          <t>17285</t>
        </is>
      </c>
      <c r="B17331" s="4" t="s">
        <f>=HYPERLINK("http://anyluxury.ru/shop/odezhda/futbolki-s-printom/futbolka-zhenskaya-beauty-sleep-yarkorozovaya-fuksiya-739457/" , "7394.57 Футболка женская Beauty Sleep, ярко-розовая (фуксия), размер M")</f>
      </c>
      <c r="C17331" s="4" t="n">
        <v>632.00</v>
      </c>
      <c r="D17331" s="4"/>
    </row>
    <row collapsed="" customFormat="false" customHeight="1" hidden="" ht="14" outlineLevel="0" r="17332">
      <c r="A17332" s="3" t="inlineStr">
        <is>
          <t>17286</t>
        </is>
      </c>
      <c r="B17332" s="4" t="s">
        <f>=HYPERLINK("http://anyluxury.ru/shop/odezhda/futbolki-s-printom/futbolka-zhenskaya-beauty-sleep-yarkorozovaya-fuksiya-739457/" , "7394.57 Футболка женская Beauty Sleep, ярко-розовая (фуксия), размер L")</f>
      </c>
      <c r="C17332" s="4" t="n">
        <v>632.00</v>
      </c>
      <c r="D17332" s="4"/>
    </row>
    <row collapsed="" customFormat="false" customHeight="1" hidden="" ht="14" outlineLevel="0" r="17333">
      <c r="A17333" s="3" t="inlineStr">
        <is>
          <t>17287</t>
        </is>
      </c>
      <c r="B17333" s="4" t="s">
        <f>=HYPERLINK("http://anyluxury.ru/shop/odezhda/futbolki-s-printom/futbolka-vmeste-i-vovremya-740914/" , "7409.14 Футболка «Вместе и вовремя», голубая, размер S")</f>
      </c>
      <c r="C17333" s="4" t="n">
        <v>742.00</v>
      </c>
      <c r="D17333" s="4"/>
    </row>
    <row collapsed="" customFormat="false" customHeight="1" hidden="" ht="14" outlineLevel="0" r="17334">
      <c r="A17334" s="3" t="inlineStr">
        <is>
          <t>17288</t>
        </is>
      </c>
      <c r="B17334" s="4" t="s">
        <f>=HYPERLINK("http://anyluxury.ru/shop/odezhda/futbolki-s-printom/futbolka-vmeste-i-vovremya-740914/" , "7409.14 Футболка «Вместе и вовремя», голубая, размер M")</f>
      </c>
      <c r="C17334" s="4" t="n">
        <v>687.00</v>
      </c>
      <c r="D17334" s="4"/>
    </row>
    <row collapsed="" customFormat="false" customHeight="1" hidden="" ht="14" outlineLevel="0" r="17335">
      <c r="A17335" s="3" t="inlineStr">
        <is>
          <t>17289</t>
        </is>
      </c>
      <c r="B17335" s="4" t="s">
        <f>=HYPERLINK("http://anyluxury.ru/shop/odezhda/futbolki-s-printom/futbolka-vmeste-i-vovremya-740914/" , "7409.14 Футболка «Вместе и вовремя», голубая, размер L")</f>
      </c>
      <c r="C17335" s="4" t="n">
        <v>742.00</v>
      </c>
      <c r="D17335" s="4"/>
    </row>
    <row collapsed="" customFormat="false" customHeight="1" hidden="" ht="14" outlineLevel="0" r="17336">
      <c r="A17336" s="3" t="inlineStr">
        <is>
          <t>17290</t>
        </is>
      </c>
      <c r="B17336" s="4" t="s">
        <f>=HYPERLINK("http://anyluxury.ru/shop/odezhda/futbolki-s-printom/futbolka-vmeste-i-vovremya-740914/" , "7409.14 Футболка «Вместе и вовремя», голубая, размер XL")</f>
      </c>
      <c r="C17336" s="4" t="n">
        <v>742.00</v>
      </c>
      <c r="D17336" s="4"/>
    </row>
    <row collapsed="" customFormat="false" customHeight="1" hidden="" ht="14" outlineLevel="0" r="17337">
      <c r="A17337" s="3" t="inlineStr">
        <is>
          <t>17291</t>
        </is>
      </c>
      <c r="B17337" s="4" t="s">
        <f>=HYPERLINK("http://anyluxury.ru/shop/odezhda/futbolki-s-printom/futbolka-vmeste-i-vovremya-740914/" , "7409.14 Футболка «Вместе и вовремя», голубая, размер XXL")</f>
      </c>
      <c r="C17337" s="4" t="n">
        <v>741.00</v>
      </c>
      <c r="D17337" s="4"/>
    </row>
    <row collapsed="" customFormat="false" customHeight="1" hidden="" ht="14" outlineLevel="0" r="17338">
      <c r="A17338" s="3" t="inlineStr">
        <is>
          <t>17292</t>
        </is>
      </c>
      <c r="B17338" s="4" t="s">
        <f>=HYPERLINK("http://anyluxury.ru/shop/odezhda/futbolki-s-printom/futbolka-zhenskaya-trudno-bit-bogom-741160/" , "7411.60 Футболка женская «Трудно быть богом», размер S")</f>
      </c>
      <c r="C17338" s="4" t="n">
        <v>512.00</v>
      </c>
      <c r="D17338" s="4"/>
    </row>
    <row collapsed="" customFormat="false" customHeight="1" hidden="" ht="14" outlineLevel="0" r="17339">
      <c r="A17339" s="3" t="inlineStr">
        <is>
          <t>17293</t>
        </is>
      </c>
      <c r="B17339" s="4" t="s">
        <f>=HYPERLINK("http://anyluxury.ru/shop/odezhda/futbolki-s-printom/futbolka-zhenskaya-trudno-bit-bogom-741160/" , "7411.60 Футболка женская «Трудно быть богом», размер L")</f>
      </c>
      <c r="C17339" s="4" t="n">
        <v>512.00</v>
      </c>
      <c r="D17339" s="4"/>
    </row>
    <row collapsed="" customFormat="false" customHeight="1" hidden="" ht="14" outlineLevel="0" r="17340">
      <c r="A17340" s="3" t="inlineStr">
        <is>
          <t>17294</t>
        </is>
      </c>
      <c r="B17340" s="4" t="s">
        <f>=HYPERLINK("http://anyluxury.ru/shop/odezhda/futbolki-s-printom/futbolka-muzhskaya-futbol-via-matiss-160-yarkosinyaya-741544/" , "7415.44 Футболка мужская «Футбол via Матисс» 160, ярко-синяя, размер S")</f>
      </c>
      <c r="C17340" s="4" t="n">
        <v>633.00</v>
      </c>
      <c r="D17340" s="4"/>
    </row>
    <row collapsed="" customFormat="false" customHeight="1" hidden="" ht="14" outlineLevel="0" r="17341">
      <c r="A17341" s="3" t="inlineStr">
        <is>
          <t>17295</t>
        </is>
      </c>
      <c r="B17341" s="4" t="s">
        <f>=HYPERLINK("http://anyluxury.ru/shop/odezhda/futbolki-s-printom/mayka-muzhskaya-futbol-via-matiss-sinyaya-746540/" , "7465.40 Майка мужская «Футбол via Матисс», синяя, размер M")</f>
      </c>
      <c r="C17341" s="4" t="n">
        <v>656.00</v>
      </c>
      <c r="D17341" s="4"/>
    </row>
    <row collapsed="" customFormat="false" customHeight="1" hidden="" ht="14" outlineLevel="0" r="17342">
      <c r="A17342" s="3" t="inlineStr">
        <is>
          <t>17296</t>
        </is>
      </c>
      <c r="B17342" s="4" t="s">
        <f>=HYPERLINK("http://anyluxury.ru/shop/odezhda/futbolki-s-printom/mayka-muzhskaya-futbol-via-matiss-sinyaya-746540/" , "7465.40 Майка мужская «Футбол via Матисс», синяя, размер L")</f>
      </c>
      <c r="C17342" s="4" t="n">
        <v>656.00</v>
      </c>
      <c r="D17342" s="4"/>
    </row>
    <row collapsed="" customFormat="false" customHeight="1" hidden="" ht="14" outlineLevel="0" r="17343">
      <c r="A17343" s="3" t="inlineStr">
        <is>
          <t>17297</t>
        </is>
      </c>
      <c r="B17343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S")</f>
      </c>
      <c r="C17343" s="4" t="n">
        <v>1196.00</v>
      </c>
      <c r="D17343" s="4"/>
    </row>
    <row collapsed="" customFormat="false" customHeight="1" hidden="" ht="14" outlineLevel="0" r="17344">
      <c r="A17344" s="3" t="inlineStr">
        <is>
          <t>17298</t>
        </is>
      </c>
      <c r="B17344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M")</f>
      </c>
      <c r="C17344" s="4" t="n">
        <v>1196.00</v>
      </c>
      <c r="D17344" s="4"/>
    </row>
    <row collapsed="" customFormat="false" customHeight="1" hidden="" ht="14" outlineLevel="0" r="17345">
      <c r="A17345" s="3" t="inlineStr">
        <is>
          <t>17299</t>
        </is>
      </c>
      <c r="B17345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L")</f>
      </c>
      <c r="C17345" s="4" t="n">
        <v>1196.00</v>
      </c>
      <c r="D17345" s="4"/>
    </row>
    <row collapsed="" customFormat="false" customHeight="1" hidden="" ht="14" outlineLevel="0" r="17346">
      <c r="A17346" s="3" t="inlineStr">
        <is>
          <t>17300</t>
        </is>
      </c>
      <c r="B17346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XL")</f>
      </c>
      <c r="C17346" s="4" t="n">
        <v>1196.00</v>
      </c>
      <c r="D17346" s="4"/>
    </row>
    <row collapsed="" customFormat="false" customHeight="1" hidden="" ht="14" outlineLevel="0" r="17347">
      <c r="A17347" s="3" t="inlineStr">
        <is>
          <t>17301</t>
        </is>
      </c>
      <c r="B17347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XXL")</f>
      </c>
      <c r="C17347" s="4" t="n">
        <v>1196.00</v>
      </c>
      <c r="D17347" s="4"/>
    </row>
    <row collapsed="" customFormat="false" customHeight="1" hidden="" ht="14" outlineLevel="0" r="17348">
      <c r="A17348" s="3" t="inlineStr">
        <is>
          <t>17302</t>
        </is>
      </c>
      <c r="B17348" s="4" t="s">
        <f>=HYPERLINK("http://anyluxury.ru/shop/odezhda/futbolki-s-printom/futbolka-muzhskaya-da-budet-svet-s-lyuminescentnim-printom-785936/" , "7859.36 Футболка «Да будет свет», светонакопительная, размер 3XL")</f>
      </c>
      <c r="C17348" s="4" t="n">
        <v>1196.00</v>
      </c>
      <c r="D17348" s="4"/>
    </row>
    <row collapsed="" customFormat="false" customHeight="1" hidden="" ht="14" outlineLevel="0" r="17349">
      <c r="A17349" s="3" t="inlineStr">
        <is>
          <t>17303</t>
        </is>
      </c>
      <c r="B17349" s="4" t="s">
        <f>=HYPERLINK("http://anyluxury.ru/shop/odezhda/futbolki-s-printom/futbolka-logicart-chernaya-7025830/" , "70258.30 Футболка LogicArt, черная, размер S")</f>
      </c>
      <c r="C17349" s="4" t="n">
        <v>836.00</v>
      </c>
      <c r="D17349" s="4"/>
    </row>
    <row collapsed="" customFormat="false" customHeight="1" hidden="" ht="14" outlineLevel="0" r="17350">
      <c r="A17350" s="3" t="inlineStr">
        <is>
          <t>17304</t>
        </is>
      </c>
      <c r="B17350" s="4" t="s">
        <f>=HYPERLINK("http://anyluxury.ru/shop/odezhda/futbolki-s-printom/futbolka-logicart-chernaya-7025830/" , "70258.30 Футболка LogicArt, черная, размер M")</f>
      </c>
      <c r="C17350" s="4" t="n">
        <v>836.00</v>
      </c>
      <c r="D17350" s="4"/>
    </row>
    <row collapsed="" customFormat="false" customHeight="1" hidden="" ht="14" outlineLevel="0" r="17351">
      <c r="A17351" s="3" t="inlineStr">
        <is>
          <t>17305</t>
        </is>
      </c>
      <c r="B17351" s="4" t="s">
        <f>=HYPERLINK("http://anyluxury.ru/shop/odezhda/futbolki-s-printom/futbolka-logicart-chernaya-7025830/" , "70258.30 Футболка LogicArt, черная, размер L")</f>
      </c>
      <c r="C17351" s="4" t="n">
        <v>836.00</v>
      </c>
      <c r="D17351" s="4"/>
    </row>
    <row collapsed="" customFormat="false" customHeight="1" hidden="" ht="14" outlineLevel="0" r="17352">
      <c r="A17352" s="3" t="inlineStr">
        <is>
          <t>17306</t>
        </is>
      </c>
      <c r="B17352" s="4" t="s">
        <f>=HYPERLINK("http://anyluxury.ru/shop/odezhda/futbolki-s-printom/futbolka-logicart-chernaya-7025830/" , "70258.30 Футболка LogicArt, черная, размер XL")</f>
      </c>
      <c r="C17352" s="4" t="n">
        <v>836.00</v>
      </c>
      <c r="D17352" s="4"/>
    </row>
    <row collapsed="" customFormat="false" customHeight="1" hidden="" ht="14" outlineLevel="0" r="17353">
      <c r="A17353" s="3" t="inlineStr">
        <is>
          <t>17307</t>
        </is>
      </c>
      <c r="B17353" s="4" t="s">
        <f>=HYPERLINK("http://anyluxury.ru/shop/odezhda/futbolki-s-printom/futbolka-zhenskaya-vmeste-i-vovremya-7007514/" , "70075.14 Футболка женская «Вместе и вовремя», размер S")</f>
      </c>
      <c r="C17353" s="4" t="n">
        <v>570.00</v>
      </c>
      <c r="D17353" s="4"/>
    </row>
    <row collapsed="" customFormat="false" customHeight="1" hidden="" ht="14" outlineLevel="0" r="17354">
      <c r="A17354" s="3" t="inlineStr">
        <is>
          <t>17308</t>
        </is>
      </c>
      <c r="B17354" s="4" t="s">
        <f>=HYPERLINK("http://anyluxury.ru/shop/odezhda/futbolki-s-printom/futbolka-zhenskaya-vmeste-i-vovremya-7007514/" , "70075.14 Футболка женская «Вместе и вовремя», размер M")</f>
      </c>
      <c r="C17354" s="4" t="n">
        <v>570.00</v>
      </c>
      <c r="D17354" s="4"/>
    </row>
    <row collapsed="" customFormat="false" customHeight="1" hidden="" ht="14" outlineLevel="0" r="17355">
      <c r="A17355" s="3" t="inlineStr">
        <is>
          <t>17309</t>
        </is>
      </c>
      <c r="B17355" s="4" t="s">
        <f>=HYPERLINK("http://anyluxury.ru/shop/odezhda/futbolki-s-printom/futbolka-zhenskaya-vmeste-i-vovremya-7007514/" , "70075.14 Футболка женская «Вместе и вовремя», размер L")</f>
      </c>
      <c r="C17355" s="4" t="n">
        <v>570.00</v>
      </c>
      <c r="D17355" s="4"/>
    </row>
    <row collapsed="" customFormat="false" customHeight="1" hidden="" ht="14" outlineLevel="0" r="17356">
      <c r="A17356" s="3" t="inlineStr">
        <is>
          <t>17310</t>
        </is>
      </c>
      <c r="B17356" s="4" t="s">
        <f>=HYPERLINK("http://anyluxury.ru/shop/odezhda/futbolki-s-printom/futbolka-zhenskaya-pigsel-seriy-melanzh-7010311/" , "70103.11 Футболка женская «Пигсель», серый, размер M")</f>
      </c>
      <c r="C17356" s="4" t="n">
        <v>550.00</v>
      </c>
      <c r="D17356" s="4"/>
    </row>
    <row collapsed="" customFormat="false" customHeight="1" hidden="" ht="14" outlineLevel="0" r="17357">
      <c r="A17357" s="3" t="inlineStr">
        <is>
          <t>17311</t>
        </is>
      </c>
      <c r="B17357" s="4" t="s">
        <f>=HYPERLINK("http://anyluxury.ru/shop/odezhda/futbolki-s-printom/futbolka-zhenskaya-pigsel-seriy-melanzh-7010311/" , "70103.11 Футболка женская «Пигсель», серый, размер XL")</f>
      </c>
      <c r="C17357" s="4" t="n">
        <v>550.00</v>
      </c>
      <c r="D17357" s="4"/>
    </row>
    <row collapsed="" customFormat="false" customHeight="1" hidden="" ht="14" outlineLevel="0" r="17358">
      <c r="A17358" s="3" t="inlineStr">
        <is>
          <t>17312</t>
        </is>
      </c>
      <c r="B17358" s="4" t="s">
        <f>=HYPERLINK("http://anyluxury.ru/shop/odezhda/futbolki-s-printom/futbolka-zhenskaya-vanpig-belaya-7010460/" , "70104.60 Футболка женская «Ван-Пиг», белый, размер S")</f>
      </c>
      <c r="C17358" s="4" t="n">
        <v>550.00</v>
      </c>
      <c r="D17358" s="4"/>
    </row>
    <row collapsed="" customFormat="false" customHeight="1" hidden="" ht="14" outlineLevel="0" r="17359">
      <c r="A17359" s="3" t="inlineStr">
        <is>
          <t>17313</t>
        </is>
      </c>
      <c r="B17359" s="4" t="s">
        <f>=HYPERLINK("http://anyluxury.ru/shop/odezhda/futbolki-s-printom/futbolka-zhenskaya-vanpig-belaya-7010460/" , "70104.60 Футболка женская «Ван-Пиг», белый, размер M")</f>
      </c>
      <c r="C17359" s="4" t="n">
        <v>550.00</v>
      </c>
      <c r="D17359" s="4"/>
    </row>
    <row collapsed="" customFormat="false" customHeight="1" hidden="" ht="14" outlineLevel="0" r="17360">
      <c r="A17360" s="3" t="inlineStr">
        <is>
          <t>17314</t>
        </is>
      </c>
      <c r="B17360" s="4" t="s">
        <f>=HYPERLINK("http://anyluxury.ru/shop/odezhda/futbolki-s-printom/futbolka-zhenskaya-vanpig-belaya-7010460/" , "70104.60 Футболка женская «Ван-Пиг», белый, размер L")</f>
      </c>
      <c r="C17360" s="4" t="n">
        <v>550.00</v>
      </c>
      <c r="D17360" s="4"/>
    </row>
    <row collapsed="" customFormat="false" customHeight="1" hidden="" ht="14" outlineLevel="0" r="17361">
      <c r="A17361" s="3" t="inlineStr">
        <is>
          <t>17315</t>
        </is>
      </c>
      <c r="B17361" s="4" t="s">
        <f>=HYPERLINK("http://anyluxury.ru/shop/odezhda/futbolki-s-printom/futbolka-zhenskaya-vanpig-belaya-7010460/" , "70104.60 Футболка женская «Ван-Пиг», белый, размер XL")</f>
      </c>
      <c r="C17361" s="4" t="n">
        <v>550.00</v>
      </c>
      <c r="D17361" s="4"/>
    </row>
    <row collapsed="" customFormat="false" customHeight="1" hidden="" ht="14" outlineLevel="0" r="17362">
      <c r="A17362" s="3" t="inlineStr">
        <is>
          <t>17316</t>
        </is>
      </c>
      <c r="B17362" s="4" t="s">
        <f>=HYPERLINK("http://anyluxury.ru/shop/odezhda/futbolki-s-printom/futbolka-zhenskaya-vanpig-sinyaya-7010440/" , "70104.40 Футболка женская «Ван-Пиг», синий, размер S")</f>
      </c>
      <c r="C17362" s="4" t="n">
        <v>550.00</v>
      </c>
      <c r="D17362" s="4"/>
    </row>
    <row collapsed="" customFormat="false" customHeight="1" hidden="" ht="14" outlineLevel="0" r="17363">
      <c r="A17363" s="3" t="inlineStr">
        <is>
          <t>17317</t>
        </is>
      </c>
      <c r="B17363" s="4" t="s">
        <f>=HYPERLINK("http://anyluxury.ru/shop/odezhda/futbolki-s-printom/futbolka-zhenskaya-vanpig-sinyaya-7010440/" , "70104.40 Футболка женская «Ван-Пиг», синий, размер M")</f>
      </c>
      <c r="C17363" s="4" t="n">
        <v>550.00</v>
      </c>
      <c r="D17363" s="4"/>
    </row>
    <row collapsed="" customFormat="false" customHeight="1" hidden="" ht="14" outlineLevel="0" r="17364">
      <c r="A17364" s="3" t="inlineStr">
        <is>
          <t>17318</t>
        </is>
      </c>
      <c r="B17364" s="4" t="s">
        <f>=HYPERLINK("http://anyluxury.ru/shop/odezhda/futbolki-s-printom/futbolka-zhenskaya-vanpig-sinyaya-7010440/" , "70104.40 Футболка женская «Ван-Пиг», синий, размер XL")</f>
      </c>
      <c r="C17364" s="4" t="n">
        <v>550.00</v>
      </c>
      <c r="D17364" s="4"/>
    </row>
    <row collapsed="" customFormat="false" customHeight="1" hidden="" ht="14" outlineLevel="0" r="17365">
      <c r="A17365" s="3" t="inlineStr">
        <is>
          <t>17319</t>
        </is>
      </c>
      <c r="B17365" s="4" t="s">
        <f>=HYPERLINK("http://anyluxury.ru/shop/odezhda/futbolki-s-printom/futbolka-zhenskaya-podsoznatelnost-seriy-melanzh-7012211/" , "70122.11 Футболка женская «Подсознательность», серый меланж, размер S")</f>
      </c>
      <c r="C17365" s="4" t="n">
        <v>626.00</v>
      </c>
      <c r="D17365" s="4"/>
    </row>
    <row collapsed="" customFormat="false" customHeight="1" hidden="" ht="14" outlineLevel="0" r="17366">
      <c r="A17366" s="3" t="inlineStr">
        <is>
          <t>17320</t>
        </is>
      </c>
      <c r="B17366" s="4" t="s">
        <f>=HYPERLINK("http://anyluxury.ru/shop/odezhda/futbolki-s-printom/futbolka-zhenskaya-podsoznatelnost-seriy-melanzh-7012211/" , "70122.11 Футболка женская «Подсознательность», серый меланж, размер M")</f>
      </c>
      <c r="C17366" s="4" t="n">
        <v>626.00</v>
      </c>
      <c r="D17366" s="4"/>
    </row>
    <row collapsed="" customFormat="false" customHeight="1" hidden="" ht="14" outlineLevel="0" r="17367">
      <c r="A17367" s="3" t="inlineStr">
        <is>
          <t>17321</t>
        </is>
      </c>
      <c r="B17367" s="4" t="s">
        <f>=HYPERLINK("http://anyluxury.ru/shop/odezhda/futbolki-s-printom/futbolka-zhenskaya-podsoznatelnost-seriy-melanzh-7012211/" , "70122.11 Футболка женская «Подсознательность», серый меланж, размер L")</f>
      </c>
      <c r="C17367" s="4" t="n">
        <v>626.00</v>
      </c>
      <c r="D17367" s="4"/>
    </row>
    <row collapsed="" customFormat="false" customHeight="1" hidden="" ht="14" outlineLevel="0" r="17368">
      <c r="A17368" s="3" t="inlineStr">
        <is>
          <t>17322</t>
        </is>
      </c>
      <c r="B17368" s="4" t="s">
        <f>=HYPERLINK("http://anyluxury.ru/shop/odezhda/futbolki-s-printom/futbolka-zhenskaya-podsoznatelnost-seriy-melanzh-7012211/" , "70122.11 Футболка женская «Подсознательность», серый меланж, размер XL")</f>
      </c>
      <c r="C17368" s="4" t="n">
        <v>625.00</v>
      </c>
      <c r="D17368" s="4"/>
    </row>
    <row collapsed="" customFormat="false" customHeight="1" hidden="" ht="14" outlineLevel="0" r="17369">
      <c r="A17369" s="3" t="inlineStr">
        <is>
          <t>17323</t>
        </is>
      </c>
      <c r="B17369" s="4" t="s">
        <f>=HYPERLINK("http://anyluxury.ru/shop/odezhda/futbolki-s-printom/futbolka-muzhskaya-podsoznatelnost-seriy-melanzh-7012311/" , "70123.11 Футболка мужская «Подсознательность», серый меланж, размер S")</f>
      </c>
      <c r="C17369" s="4" t="n">
        <v>753.00</v>
      </c>
      <c r="D17369" s="4"/>
    </row>
    <row collapsed="" customFormat="false" customHeight="1" hidden="" ht="14" outlineLevel="0" r="17370">
      <c r="A17370" s="3" t="inlineStr">
        <is>
          <t>17324</t>
        </is>
      </c>
      <c r="B17370" s="4" t="s">
        <f>=HYPERLINK("http://anyluxury.ru/shop/odezhda/futbolki-s-printom/futbolka-artrokstar-ziggi-chernaya-7012130/" , "70121.30 Футболка «Арт-рокстар. Зигги», черная, размер S")</f>
      </c>
      <c r="C17370" s="4" t="n">
        <v>698.00</v>
      </c>
      <c r="D17370" s="4"/>
    </row>
    <row collapsed="" customFormat="false" customHeight="1" hidden="" ht="14" outlineLevel="0" r="17371">
      <c r="A17371" s="3" t="inlineStr">
        <is>
          <t>17325</t>
        </is>
      </c>
      <c r="B17371" s="4" t="s">
        <f>=HYPERLINK("http://anyluxury.ru/shop/odezhda/futbolki-s-printom/futbolka-like-a-lion-chernaya-7011830/" , "70118.30 Футболка Like A Lion, черная, размер S")</f>
      </c>
      <c r="C17371" s="4" t="n">
        <v>1136.00</v>
      </c>
      <c r="D17371" s="4"/>
    </row>
    <row collapsed="" customFormat="false" customHeight="1" hidden="" ht="14" outlineLevel="0" r="17372">
      <c r="A17372" s="3" t="inlineStr">
        <is>
          <t>17326</t>
        </is>
      </c>
      <c r="B17372" s="4" t="s">
        <f>=HYPERLINK("http://anyluxury.ru/shop/odezhda/futbolki-s-printom/futbolka-zhenskaya-na-shag-vperedi-seriy-melanzh-7013011/" , "70130.11 Футболка женская «На шаг впереди», серый меланж, размер M")</f>
      </c>
      <c r="C17372" s="4" t="n">
        <v>593.00</v>
      </c>
      <c r="D17372" s="4"/>
    </row>
    <row collapsed="" customFormat="false" customHeight="1" hidden="" ht="14" outlineLevel="0" r="17373">
      <c r="A17373" s="3" t="inlineStr">
        <is>
          <t>17327</t>
        </is>
      </c>
      <c r="B17373" s="4" t="s">
        <f>=HYPERLINK("http://anyluxury.ru/shop/odezhda/futbolki-s-printom/futbolka-zhenskaya-na-shag-vperedi-seriy-melanzh-7013011/" , "70130.11 Футболка женская «На шаг впереди», серый меланж, размер L")</f>
      </c>
      <c r="C17373" s="4" t="n">
        <v>593.00</v>
      </c>
      <c r="D17373" s="4"/>
    </row>
    <row collapsed="" customFormat="false" customHeight="1" hidden="" ht="14" outlineLevel="0" r="17374">
      <c r="A17374" s="3" t="inlineStr">
        <is>
          <t>17328</t>
        </is>
      </c>
      <c r="B17374" s="4" t="s">
        <f>=HYPERLINK("http://anyluxury.ru/shop/odezhda/futbolki-s-printom/futbolka-iskusstvo-kamuflyazha-seraya-stalnaya-7013513/" , "70135.13 Футболка «Искусство камуфляжа», серая (стальная), размер S")</f>
      </c>
      <c r="C17374" s="4" t="n">
        <v>666.00</v>
      </c>
      <c r="D17374" s="4"/>
    </row>
    <row collapsed="" customFormat="false" customHeight="1" hidden="" ht="14" outlineLevel="0" r="17375">
      <c r="A17375" s="3" t="inlineStr">
        <is>
          <t>17329</t>
        </is>
      </c>
      <c r="B17375" s="4" t="s">
        <f>=HYPERLINK("http://anyluxury.ru/shop/odezhda/futbolki-s-printom/futbolka-zhenskaya-krokodilobegemoti-chernaya-7016530/" , "70165.30 Футболка женская «Крокодилобегемоты», черная, размер S")</f>
      </c>
      <c r="C17375" s="4" t="n">
        <v>1277.00</v>
      </c>
      <c r="D17375" s="4"/>
    </row>
    <row collapsed="" customFormat="false" customHeight="1" hidden="" ht="14" outlineLevel="0" r="17376">
      <c r="A17376" s="3" t="inlineStr">
        <is>
          <t>17330</t>
        </is>
      </c>
      <c r="B17376" s="4" t="s">
        <f>=HYPERLINK("http://anyluxury.ru/shop/odezhda/futbolki-s-printom/futbolka-zhenskaya-krokodilobegemoti-chernaya-7016530/" , "70165.30 Футболка женская «Крокодилобегемоты», черная, размер L")</f>
      </c>
      <c r="C17376" s="4" t="n">
        <v>1277.00</v>
      </c>
      <c r="D17376" s="4"/>
    </row>
    <row collapsed="" customFormat="false" customHeight="1" hidden="" ht="14" outlineLevel="0" r="17377">
      <c r="A17377" s="3" t="inlineStr">
        <is>
          <t>17331</t>
        </is>
      </c>
      <c r="B17377" s="4" t="s">
        <f>=HYPERLINK("http://anyluxury.ru/shop/odezhda/futbolki-s-printom/futbolka-glagolom-zhech-belaya-7016860/" , "70168.60 Футболка «Глаголом жечь», белая, размер S")</f>
      </c>
      <c r="C17377" s="4" t="n">
        <v>659.00</v>
      </c>
      <c r="D17377" s="4"/>
    </row>
    <row collapsed="" customFormat="false" customHeight="1" hidden="" ht="14" outlineLevel="0" r="17378">
      <c r="A17378" s="3" t="inlineStr">
        <is>
          <t>17332</t>
        </is>
      </c>
      <c r="B17378" s="4" t="s">
        <f>=HYPERLINK("http://anyluxury.ru/shop/odezhda/futbolki-s-printom/futbolka-zhenskaya-glagolom-zhech-belaya-7016960/" , "70169.60 Футболка женская «Глаголом жечь», белая, размер S")</f>
      </c>
      <c r="C17378" s="4" t="n">
        <v>670.00</v>
      </c>
      <c r="D17378" s="4"/>
    </row>
    <row collapsed="" customFormat="false" customHeight="1" hidden="" ht="14" outlineLevel="0" r="17379">
      <c r="A17379" s="3" t="inlineStr">
        <is>
          <t>17333</t>
        </is>
      </c>
      <c r="B17379" s="4" t="s">
        <f>=HYPERLINK("http://anyluxury.ru/shop/odezhda/futbolki-s-printom/futbolka-zhenskaya-glagolom-zhech-belaya-7016960/" , "70169.60 Футболка женская «Глаголом жечь», белая, размер L")</f>
      </c>
      <c r="C17379" s="4" t="n">
        <v>670.00</v>
      </c>
      <c r="D17379" s="4"/>
    </row>
    <row collapsed="" customFormat="false" customHeight="1" hidden="" ht="14" outlineLevel="0" r="17380">
      <c r="A17380" s="3" t="inlineStr">
        <is>
          <t>17334</t>
        </is>
      </c>
      <c r="B17380" s="4" t="s">
        <f>=HYPERLINK("http://anyluxury.ru/shop/odezhda/futbolki-s-printom/futbolka-zhenskaya-glagolom-zhech-belaya-7016960/" , "70169.60 Футболка женская «Глаголом жечь», белая, размер XL")</f>
      </c>
      <c r="C17380" s="4" t="n">
        <v>670.00</v>
      </c>
      <c r="D17380" s="4"/>
    </row>
    <row collapsed="" customFormat="false" customHeight="1" hidden="" ht="14" outlineLevel="0" r="17381">
      <c r="A17381" s="3" t="inlineStr">
        <is>
          <t>17335</t>
        </is>
      </c>
      <c r="B17381" s="4" t="s">
        <f>=HYPERLINK("http://anyluxury.ru/shop/odezhda/futbolki-s-printom/futbolka-hardkor-chernaya-7017930/" , "70179.30 Футболка «Хардкор», черная, размер S")</f>
      </c>
      <c r="C17381" s="4" t="n">
        <v>1250.00</v>
      </c>
      <c r="D17381" s="4"/>
    </row>
    <row collapsed="" customFormat="false" customHeight="1" hidden="" ht="14" outlineLevel="0" r="17382">
      <c r="A17382" s="3" t="inlineStr">
        <is>
          <t>17336</t>
        </is>
      </c>
      <c r="B17382" s="4" t="s">
        <f>=HYPERLINK("http://anyluxury.ru/shop/odezhda/futbolki-s-printom/futbolka-hz-chernaya-7019930/" , "70199.30 Футболка «ХЗ», черная, размер S")</f>
      </c>
      <c r="C17382" s="4" t="n">
        <v>700.00</v>
      </c>
      <c r="D17382" s="4"/>
    </row>
    <row collapsed="" customFormat="false" customHeight="1" hidden="" ht="14" outlineLevel="0" r="17383">
      <c r="A17383" s="3" t="inlineStr">
        <is>
          <t>17337</t>
        </is>
      </c>
      <c r="B17383" s="4" t="s">
        <f>=HYPERLINK("http://anyluxury.ru/shop/odezhda/futbolki-s-printom/futbolka-hz-chernaya-7019930/" , "70199.30 Футболка «ХЗ», черная, размер M")</f>
      </c>
      <c r="C17383" s="4" t="n">
        <v>700.00</v>
      </c>
      <c r="D17383" s="4"/>
    </row>
    <row collapsed="" customFormat="false" customHeight="1" hidden="" ht="14" outlineLevel="0" r="17384">
      <c r="A17384" s="3" t="inlineStr">
        <is>
          <t>17338</t>
        </is>
      </c>
      <c r="B17384" s="4" t="s">
        <f>=HYPERLINK("http://anyluxury.ru/shop/odezhda/futbolki-s-printom/futbolka-hz-chernaya-7019930/" , "70199.30 Футболка «ХЗ», черная, размер L")</f>
      </c>
      <c r="C17384" s="4" t="n">
        <v>700.00</v>
      </c>
      <c r="D17384" s="4"/>
    </row>
    <row collapsed="" customFormat="false" customHeight="1" hidden="" ht="14" outlineLevel="0" r="17385">
      <c r="A17385" s="3" t="inlineStr">
        <is>
          <t>17339</t>
        </is>
      </c>
      <c r="B17385" s="4" t="s">
        <f>=HYPERLINK("http://anyluxury.ru/shop/odezhda/futbolki-s-printom/futbolka-hz-chernaya-7019930/" , "70199.30 Футболка «ХЗ», черная, размер XL")</f>
      </c>
      <c r="C17385" s="4" t="n">
        <v>700.00</v>
      </c>
      <c r="D17385" s="4"/>
    </row>
    <row collapsed="" customFormat="false" customHeight="1" hidden="" ht="14" outlineLevel="0" r="17386">
      <c r="A17386" s="3" t="inlineStr">
        <is>
          <t>17340</t>
        </is>
      </c>
      <c r="B17386" s="4" t="s">
        <f>=HYPERLINK("http://anyluxury.ru/shop/odezhda/futbolki-s-printom/futbolka-hz-chernaya-7019930/" , "70199.30 Футболка «ХЗ», черная, размер XXL")</f>
      </c>
      <c r="C17386" s="4" t="n">
        <v>700.00</v>
      </c>
      <c r="D17386" s="4"/>
    </row>
    <row collapsed="" customFormat="false" customHeight="1" hidden="" ht="14" outlineLevel="0" r="17387">
      <c r="A17387" s="3" t="inlineStr">
        <is>
          <t>17341</t>
        </is>
      </c>
      <c r="B17387" s="4" t="s">
        <f>=HYPERLINK("http://anyluxury.ru/shop/odezhda/futbolki-s-printom/futbolka-hz-chernaya-7019930/" , "70199.30 Футболка «ХЗ», черная, размер 3XL")</f>
      </c>
      <c r="C17387" s="4" t="n">
        <v>700.00</v>
      </c>
      <c r="D17387" s="4"/>
    </row>
    <row collapsed="" customFormat="false" customHeight="1" hidden="" ht="14" outlineLevel="0" r="17388">
      <c r="A17388" s="3" t="inlineStr">
        <is>
          <t>17342</t>
        </is>
      </c>
      <c r="B17388" s="4" t="s">
        <f>=HYPERLINK("http://anyluxury.ru/shop/odezhda/futbolki-s-printom/futbolka-look-up-chernaya-7865030/" , "78650.30 Футболка Look Up, черная, размер S")</f>
      </c>
      <c r="C17388" s="4" t="n">
        <v>771.00</v>
      </c>
      <c r="D17388" s="4"/>
    </row>
    <row collapsed="" customFormat="false" customHeight="1" hidden="" ht="14" outlineLevel="0" r="17389">
      <c r="A17389" s="3" t="inlineStr">
        <is>
          <t>17343</t>
        </is>
      </c>
      <c r="B17389" s="4" t="s">
        <f>=HYPERLINK("http://anyluxury.ru/shop/odezhda/futbolki-s-printom/futbolka-zhenskaya-nebodusha-chernaya-7022330/" , "70223.30 Футболка женская «Небо-Душа» (дворы СПб), черная, размер XS")</f>
      </c>
      <c r="C17389" s="4" t="n">
        <v>608.00</v>
      </c>
      <c r="D17389" s="4"/>
    </row>
    <row collapsed="" customFormat="false" customHeight="1" hidden="" ht="14" outlineLevel="0" r="17390">
      <c r="A17390" s="3" t="inlineStr">
        <is>
          <t>17344</t>
        </is>
      </c>
      <c r="B17390" s="4" t="s">
        <f>=HYPERLINK("http://anyluxury.ru/shop/odezhda/futbolki-s-printom/futbolka-zhenskaya-nebodusha-chernaya-7022330/" , "70223.30 Футболка женская «Небо-Душа» (дворы СПб), черная, размер L")</f>
      </c>
      <c r="C17390" s="4" t="n">
        <v>609.00</v>
      </c>
      <c r="D17390" s="4"/>
    </row>
    <row collapsed="" customFormat="false" customHeight="1" hidden="" ht="14" outlineLevel="0" r="17391">
      <c r="A17391" s="3" t="inlineStr">
        <is>
          <t>17345</t>
        </is>
      </c>
      <c r="B17391" s="4" t="s">
        <f>=HYPERLINK("http://anyluxury.ru/shop/odezhda/futbolki-s-printom/futbolka-zhenskaya-nebodusha-chernaya-7022330/" , "70223.30 Футболка женская «Небо-Душа» (дворы СПб), черная, размер XL")</f>
      </c>
      <c r="C17391" s="4" t="n">
        <v>609.00</v>
      </c>
      <c r="D17391" s="4"/>
    </row>
    <row collapsed="" customFormat="false" customHeight="1" hidden="" ht="14" outlineLevel="0" r="17392">
      <c r="A17392" s="3" t="inlineStr">
        <is>
          <t>17346</t>
        </is>
      </c>
      <c r="B17392" s="4" t="s">
        <f>=HYPERLINK("http://anyluxury.ru/shop/odezhda/futbolki-s-printom/futbolka-zhenskaya-nebodusha-chernaya-7022330/" , "70223.30 Футболка женская «Небо-Душа» (дворы СПб), черная, размер XXL")</f>
      </c>
      <c r="C17392" s="4" t="n">
        <v>609.00</v>
      </c>
      <c r="D17392" s="4"/>
    </row>
    <row collapsed="" customFormat="false" customHeight="1" hidden="" ht="14" outlineLevel="0" r="17393">
      <c r="A17393" s="3" t="inlineStr">
        <is>
          <t>17347</t>
        </is>
      </c>
      <c r="B17393" s="4" t="s">
        <f>=HYPERLINK("http://anyluxury.ru/shop/odezhda/futbolki-s-printom/futbolka-zhenskaya-kola-chernaya-7023930/" , "70239.30 Футболка женская «Кола», черная, размер L")</f>
      </c>
      <c r="C17393" s="4" t="n">
        <v>836.00</v>
      </c>
      <c r="D17393" s="4"/>
    </row>
    <row collapsed="" customFormat="false" customHeight="1" hidden="" ht="14" outlineLevel="0" r="17394">
      <c r="A17394" s="3" t="inlineStr">
        <is>
          <t>17348</t>
        </is>
      </c>
      <c r="B17394" s="4" t="s">
        <f>=HYPERLINK("http://anyluxury.ru/shop/odezhda/futbolki-s-printom/futbolka-zhenskaya-kola-chernaya-7023930/" , "70239.30 Футболка женская «Кола», черная, размер XL")</f>
      </c>
      <c r="C17394" s="4" t="n">
        <v>836.00</v>
      </c>
      <c r="D17394" s="4"/>
    </row>
    <row collapsed="" customFormat="false" customHeight="1" hidden="" ht="14" outlineLevel="0" r="17395">
      <c r="A17395" s="3" t="inlineStr">
        <is>
          <t>17349</t>
        </is>
      </c>
      <c r="B17395" s="4" t="s">
        <f>=HYPERLINK("http://anyluxury.ru/shop/odezhda/futbolki-s-printom/futbolka-zhenskaya-neboskrebi-belaya-7024360/" , "70243.60 Футболка женская «Небоскребы», белая, размер S")</f>
      </c>
      <c r="C17395" s="4" t="n">
        <v>723.00</v>
      </c>
      <c r="D17395" s="4"/>
    </row>
    <row collapsed="" customFormat="false" customHeight="1" hidden="" ht="14" outlineLevel="0" r="17396">
      <c r="A17396" s="3" t="inlineStr">
        <is>
          <t>17350</t>
        </is>
      </c>
      <c r="B17396" s="4" t="s">
        <f>=HYPERLINK("http://anyluxury.ru/shop/odezhda/futbolki-s-printom/futbolka-zhenskaya-neboskrebi-belaya-7024360/" , "70243.60 Футболка женская «Небоскребы», белая, размер L")</f>
      </c>
      <c r="C17396" s="4" t="n">
        <v>722.00</v>
      </c>
      <c r="D17396" s="4"/>
    </row>
    <row collapsed="" customFormat="false" customHeight="1" hidden="" ht="14" outlineLevel="0" r="17397">
      <c r="A17397" s="3" t="inlineStr">
        <is>
          <t>17351</t>
        </is>
      </c>
      <c r="B17397" s="4" t="s">
        <f>=HYPERLINK("http://anyluxury.ru/shop/odezhda/futbolki-s-printom/futbolka-zhenskaya-neboskrebi-belaya-7024360/" , "70243.60 Футболка женская «Небоскребы», белая, размер XL")</f>
      </c>
      <c r="C17397" s="4" t="n">
        <v>723.00</v>
      </c>
      <c r="D17397" s="4"/>
    </row>
    <row collapsed="" customFormat="false" customHeight="1" hidden="" ht="14" outlineLevel="0" r="17398">
      <c r="A17398" s="3" t="inlineStr">
        <is>
          <t>17352</t>
        </is>
      </c>
      <c r="B17398" s="4" t="s">
        <f>=HYPERLINK("http://anyluxury.ru/shop/odezhda/futbolki-s-printom/futbolka-soda-chernaya-7027030/" , "70270.30 Футболка «Сода», черная, размер S")</f>
      </c>
      <c r="C17398" s="4" t="n">
        <v>811.00</v>
      </c>
      <c r="D17398" s="4"/>
    </row>
    <row collapsed="" customFormat="false" customHeight="1" hidden="" ht="14" outlineLevel="0" r="17399">
      <c r="A17399" s="3" t="inlineStr">
        <is>
          <t>17353</t>
        </is>
      </c>
      <c r="B17399" s="4" t="s">
        <f>=HYPERLINK("http://anyluxury.ru/shop/odezhda/futbolki-s-printom/futbolka-zhenskaya-soda-krasnaya-7027150/" , "70271.50 Футболка женская «Сода», красная, размер S")</f>
      </c>
      <c r="C17399" s="4" t="n">
        <v>714.00</v>
      </c>
      <c r="D17399" s="4"/>
    </row>
    <row collapsed="" customFormat="false" customHeight="1" hidden="" ht="14" outlineLevel="0" r="17400">
      <c r="A17400" s="3" t="inlineStr">
        <is>
          <t>17354</t>
        </is>
      </c>
      <c r="B17400" s="4" t="s">
        <f>=HYPERLINK("http://anyluxury.ru/shop/odezhda/futbolki-s-printom/futbolka-zhenskaya-soda-krasnaya-7027150/" , "70271.50 Футболка женская «Сода», красная, размер M")</f>
      </c>
      <c r="C17400" s="4" t="n">
        <v>714.00</v>
      </c>
      <c r="D17400" s="4"/>
    </row>
    <row collapsed="" customFormat="false" customHeight="1" hidden="" ht="14" outlineLevel="0" r="17401">
      <c r="A17401" s="3" t="inlineStr">
        <is>
          <t>17355</t>
        </is>
      </c>
      <c r="B17401" s="4" t="s">
        <f>=HYPERLINK("http://anyluxury.ru/shop/odezhda/futbolki-s-printom/futbolka-zhenskaya-soda-krasnaya-7027150/" , "70271.50 Футболка женская «Сода», красная, размер L")</f>
      </c>
      <c r="C17401" s="4" t="n">
        <v>714.00</v>
      </c>
      <c r="D17401" s="4"/>
    </row>
    <row collapsed="" customFormat="false" customHeight="1" hidden="" ht="14" outlineLevel="0" r="17402">
      <c r="A17402" s="3" t="inlineStr">
        <is>
          <t>17356</t>
        </is>
      </c>
      <c r="B17402" s="4" t="s">
        <f>=HYPERLINK("http://anyluxury.ru/shop/odezhda/futbolki-s-printom/futbolka-zhenskaya-soda-krasnaya-7027150/" , "70271.50 Футболка женская «Сода», красная, размер XL")</f>
      </c>
      <c r="C17402" s="4" t="n">
        <v>714.00</v>
      </c>
      <c r="D17402" s="4"/>
    </row>
    <row collapsed="" customFormat="false" customHeight="1" hidden="" ht="14" outlineLevel="0" r="17403">
      <c r="A17403" s="3" t="inlineStr">
        <is>
          <t>17357</t>
        </is>
      </c>
      <c r="B17403" s="4" t="s">
        <f>=HYPERLINK("http://anyluxury.ru/shop/odezhda/futbolki-s-printom/futbolka-zhenskaya-soda-chernaya-7027130/" , "70271.30 Футболка женская «Сода», черная, размер S")</f>
      </c>
      <c r="C17403" s="4" t="n">
        <v>716.00</v>
      </c>
      <c r="D17403" s="4"/>
    </row>
    <row collapsed="" customFormat="false" customHeight="1" hidden="" ht="14" outlineLevel="0" r="17404">
      <c r="A17404" s="3" t="inlineStr">
        <is>
          <t>17358</t>
        </is>
      </c>
      <c r="B17404" s="4" t="s">
        <f>=HYPERLINK("http://anyluxury.ru/shop/odezhda/futbolki-s-printom/futbolka-zhenskaya-soda-chernaya-7027130/" , "70271.30 Футболка женская «Сода», черная, размер L")</f>
      </c>
      <c r="C17404" s="4" t="n">
        <v>717.00</v>
      </c>
      <c r="D17404" s="4"/>
    </row>
    <row collapsed="" customFormat="false" customHeight="1" hidden="" ht="14" outlineLevel="0" r="17405">
      <c r="A17405" s="3" t="inlineStr">
        <is>
          <t>17359</t>
        </is>
      </c>
      <c r="B17405" s="4" t="s">
        <f>=HYPERLINK("http://anyluxury.ru/shop/odezhda/futbolki-s-printom/futbolka-zhenskaya-soda-chernaya-7027130/" , "70271.30 Футболка женская «Сода», черная, размер XL")</f>
      </c>
      <c r="C17405" s="4" t="n">
        <v>716.00</v>
      </c>
      <c r="D17405" s="4"/>
    </row>
    <row collapsed="" customFormat="false" customHeight="1" hidden="" ht="14" outlineLevel="0" r="17406">
      <c r="A17406" s="3" t="inlineStr">
        <is>
          <t>17360</t>
        </is>
      </c>
      <c r="B17406" s="4" t="s">
        <f>=HYPERLINK("http://anyluxury.ru/shop/odezhda/futbolki-s-printom/futbolka-toro-chernaya-7027630/" , "70276.30 Футболка Toro, черная, размер S")</f>
      </c>
      <c r="C17406" s="4" t="n">
        <v>764.00</v>
      </c>
      <c r="D17406" s="4"/>
    </row>
    <row collapsed="" customFormat="false" customHeight="1" hidden="" ht="14" outlineLevel="0" r="17407">
      <c r="A17407" s="3" t="inlineStr">
        <is>
          <t>17361</t>
        </is>
      </c>
      <c r="B17407" s="4" t="s">
        <f>=HYPERLINK("http://anyluxury.ru/shop/odezhda/futbolki-s-printom/futbolka-toro-chernaya-7027630/" , "70276.30 Футболка Toro, черная, размер M")</f>
      </c>
      <c r="C17407" s="4" t="n">
        <v>764.00</v>
      </c>
      <c r="D17407" s="4"/>
    </row>
    <row collapsed="" customFormat="false" customHeight="1" hidden="" ht="14" outlineLevel="0" r="17408">
      <c r="A17408" s="3" t="inlineStr">
        <is>
          <t>17362</t>
        </is>
      </c>
      <c r="B17408" s="4" t="s">
        <f>=HYPERLINK("http://anyluxury.ru/shop/odezhda/futbolki-s-printom/futbolka-toro-chernaya-7027630/" , "70276.30 Футболка Toro, черная, размер L")</f>
      </c>
      <c r="C17408" s="4" t="n">
        <v>764.00</v>
      </c>
      <c r="D17408" s="4"/>
    </row>
    <row collapsed="" customFormat="false" customHeight="1" hidden="" ht="14" outlineLevel="0" r="17409">
      <c r="A17409" s="3" t="inlineStr">
        <is>
          <t>17363</t>
        </is>
      </c>
      <c r="B17409" s="4" t="s">
        <f>=HYPERLINK("http://anyluxury.ru/shop/odezhda/futbolki-s-printom/futbolka-toro-chernaya-7027630/" , "70276.30 Футболка Toro, черная, размер XL")</f>
      </c>
      <c r="C17409" s="4" t="n">
        <v>763.00</v>
      </c>
      <c r="D17409" s="4"/>
    </row>
    <row collapsed="" customFormat="false" customHeight="1" hidden="" ht="14" outlineLevel="0" r="17410">
      <c r="A17410" s="3" t="inlineStr">
        <is>
          <t>17364</t>
        </is>
      </c>
      <c r="B17410" s="4" t="s">
        <f>=HYPERLINK("http://anyluxury.ru/shop/odezhda/futbolki-s-printom/futbolka-zhenskaya-toro-belaya-7027760/" , "70277.60 Футболка женская Toro, белая, размер S")</f>
      </c>
      <c r="C17410" s="4" t="n">
        <v>649.00</v>
      </c>
      <c r="D17410" s="4"/>
    </row>
    <row collapsed="" customFormat="false" customHeight="1" hidden="" ht="14" outlineLevel="0" r="17411">
      <c r="A17411" s="3" t="inlineStr">
        <is>
          <t>17365</t>
        </is>
      </c>
      <c r="B17411" s="4" t="s">
        <f>=HYPERLINK("http://anyluxury.ru/shop/odezhda/futbolki-s-printom/futbolka-zhenskaya-toro-belaya-7027760/" , "70277.60 Футболка женская Toro, белая, размер M")</f>
      </c>
      <c r="C17411" s="4" t="n">
        <v>649.00</v>
      </c>
      <c r="D17411" s="4"/>
    </row>
    <row collapsed="" customFormat="false" customHeight="1" hidden="" ht="14" outlineLevel="0" r="17412">
      <c r="A17412" s="3" t="inlineStr">
        <is>
          <t>17366</t>
        </is>
      </c>
      <c r="B17412" s="4" t="s">
        <f>=HYPERLINK("http://anyluxury.ru/shop/odezhda/futbolki-s-printom/futbolka-zhenskaya-toro-belaya-7027760/" , "70277.60 Футболка женская Toro, белая, размер L")</f>
      </c>
      <c r="C17412" s="4" t="n">
        <v>649.00</v>
      </c>
      <c r="D17412" s="4"/>
    </row>
    <row collapsed="" customFormat="false" customHeight="1" hidden="" ht="14" outlineLevel="0" r="17413">
      <c r="A17413" s="3" t="inlineStr">
        <is>
          <t>17367</t>
        </is>
      </c>
      <c r="B17413" s="4" t="s">
        <f>=HYPERLINK("http://anyluxury.ru/shop/odezhda/futbolki-s-printom/futbolka-zhenskaya-toro-belaya-7027760/" , "70277.60 Футболка женская Toro, белая, размер XL")</f>
      </c>
      <c r="C17413" s="4" t="n">
        <v>649.00</v>
      </c>
      <c r="D17413" s="4"/>
    </row>
    <row collapsed="" customFormat="false" customHeight="1" hidden="" ht="14" outlineLevel="0" r="17414">
      <c r="A17414" s="3" t="inlineStr">
        <is>
          <t>17368</t>
        </is>
      </c>
      <c r="B17414" s="4" t="s">
        <f>=HYPERLINK("http://anyluxury.ru/shop/odezhda/futbolki-s-printom/futbolka-zhenskaya-leon-chernaya-7027930/" , "70279.30 Футболка женская «Леон», черная, размер S")</f>
      </c>
      <c r="C17414" s="4" t="n">
        <v>874.00</v>
      </c>
      <c r="D17414" s="4"/>
    </row>
    <row collapsed="" customFormat="false" customHeight="1" hidden="" ht="14" outlineLevel="0" r="17415">
      <c r="A17415" s="3" t="inlineStr">
        <is>
          <t>17369</t>
        </is>
      </c>
      <c r="B17415" s="4" t="s">
        <f>=HYPERLINK("http://anyluxury.ru/shop/odezhda/futbolki-s-printom/futbolka-zhenskaya-leon-chernaya-7027930/" , "70279.30 Футболка женская «Леон», черная, размер L")</f>
      </c>
      <c r="C17415" s="4" t="n">
        <v>874.00</v>
      </c>
      <c r="D17415" s="4"/>
    </row>
    <row collapsed="" customFormat="false" customHeight="1" hidden="" ht="14" outlineLevel="0" r="17416">
      <c r="A17416" s="3" t="inlineStr">
        <is>
          <t>17370</t>
        </is>
      </c>
      <c r="B17416" s="4" t="s">
        <f>=HYPERLINK("http://anyluxury.ru/shop/odezhda/futbolki-s-printom/futbolka-zhenskaya-leon-chernaya-7027930/" , "70279.30 Футболка женская «Леон», черная, размер XL")</f>
      </c>
      <c r="C17416" s="4" t="n">
        <v>874.00</v>
      </c>
      <c r="D17416" s="4"/>
    </row>
    <row collapsed="" customFormat="false" customHeight="1" hidden="" ht="14" outlineLevel="0" r="17417">
      <c r="A17417" s="3" t="inlineStr">
        <is>
          <t>17371</t>
        </is>
      </c>
      <c r="B17417" s="4" t="s">
        <f>=HYPERLINK("http://anyluxury.ru/shop/odezhda/futbolki-s-printom/futbolka-muzhskaya-pritalennaya-zavtra-pridu-krasiviy-belaya-7000460/" , "70004.60 Футболка мужская приталенная «Завтра приду красивый», белая, размер S")</f>
      </c>
      <c r="C17417" s="4" t="n">
        <v>764.00</v>
      </c>
      <c r="D17417" s="4"/>
    </row>
    <row collapsed="" customFormat="false" customHeight="1" hidden="" ht="14" outlineLevel="0" r="17418">
      <c r="A17418" s="3" t="inlineStr">
        <is>
          <t>17372</t>
        </is>
      </c>
      <c r="B17418" s="4" t="s">
        <f>=HYPERLINK("http://anyluxury.ru/shop/odezhda/futbolki-s-printom/futbolka-zhenskaya-lyubov-tishina-belaya-7001260/" , "70012.60 Футболка женская «Любовь — тишина», белая, размер S")</f>
      </c>
      <c r="C17418" s="4" t="n">
        <v>666.00</v>
      </c>
      <c r="D17418" s="4"/>
    </row>
    <row collapsed="" customFormat="false" customHeight="1" hidden="" ht="14" outlineLevel="0" r="17419">
      <c r="A17419" s="3" t="inlineStr">
        <is>
          <t>17373</t>
        </is>
      </c>
      <c r="B17419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S")</f>
      </c>
      <c r="C17419" s="4" t="n">
        <v>669.00</v>
      </c>
      <c r="D17419" s="4"/>
    </row>
    <row collapsed="" customFormat="false" customHeight="1" hidden="" ht="14" outlineLevel="0" r="17420">
      <c r="A17420" s="3" t="inlineStr">
        <is>
          <t>17374</t>
        </is>
      </c>
      <c r="B17420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XL")</f>
      </c>
      <c r="C17420" s="4" t="n">
        <v>670.00</v>
      </c>
      <c r="D17420" s="4"/>
    </row>
    <row collapsed="" customFormat="false" customHeight="1" hidden="" ht="14" outlineLevel="0" r="17421">
      <c r="A17421" s="3" t="inlineStr">
        <is>
          <t>17375</t>
        </is>
      </c>
      <c r="B17421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XXL")</f>
      </c>
      <c r="C17421" s="4" t="n">
        <v>669.00</v>
      </c>
      <c r="D17421" s="4"/>
    </row>
    <row collapsed="" customFormat="false" customHeight="1" hidden="" ht="14" outlineLevel="0" r="17422">
      <c r="A17422" s="3" t="inlineStr">
        <is>
          <t>17376</t>
        </is>
      </c>
      <c r="B17422" s="4" t="s">
        <f>=HYPERLINK("http://anyluxury.ru/shop/odezhda/futbolki-s-printom/futbolka-zhenskaya-davay-vozmemsya-za-ruki-belaya-7002860/" , "70028.60 Футболка женская «Давай возьмемся за руки», белая, размер S")</f>
      </c>
      <c r="C17422" s="4" t="n">
        <v>666.00</v>
      </c>
      <c r="D17422" s="4"/>
    </row>
    <row collapsed="" customFormat="false" customHeight="1" hidden="" ht="14" outlineLevel="0" r="17423">
      <c r="A17423" s="3" t="inlineStr">
        <is>
          <t>17377</t>
        </is>
      </c>
      <c r="B17423" s="4" t="s">
        <f>=HYPERLINK("http://anyluxury.ru/shop/odezhda/futbolki-s-printom/futbolka-zhenskaya-davay-vozmemsya-za-ruki-belaya-7002860/" , "70028.60 Футболка женская «Давай возьмемся за руки», белая, размер M")</f>
      </c>
      <c r="C17423" s="4" t="n">
        <v>666.00</v>
      </c>
      <c r="D17423" s="4"/>
    </row>
    <row collapsed="" customFormat="false" customHeight="1" hidden="" ht="14" outlineLevel="0" r="17424">
      <c r="A17424" s="3" t="inlineStr">
        <is>
          <t>17378</t>
        </is>
      </c>
      <c r="B17424" s="4" t="s">
        <f>=HYPERLINK("http://anyluxury.ru/shop/odezhda/futbolki-s-printom/futbolka-zhenskaya-davay-vozmemsya-za-ruki-belaya-7002860/" , "70028.60 Футболка женская «Давай возьмемся за руки», белая, размер L")</f>
      </c>
      <c r="C17424" s="4" t="n">
        <v>667.00</v>
      </c>
      <c r="D17424" s="4"/>
    </row>
    <row collapsed="" customFormat="false" customHeight="1" hidden="" ht="14" outlineLevel="0" r="17425">
      <c r="A17425" s="3" t="inlineStr">
        <is>
          <t>17379</t>
        </is>
      </c>
      <c r="B17425" s="4" t="s">
        <f>=HYPERLINK("http://anyluxury.ru/shop/odezhda/futbolki-s-printom/futbolka-zhenskaya-davay-vozmemsya-za-ruki-belaya-7002860/" , "70028.60 Футболка женская «Давай возьмемся за руки», белая, размер XL")</f>
      </c>
      <c r="C17425" s="4" t="n">
        <v>667.00</v>
      </c>
      <c r="D17425" s="4"/>
    </row>
    <row collapsed="" customFormat="false" customHeight="1" hidden="" ht="14" outlineLevel="0" r="17426">
      <c r="A17426" s="3" t="inlineStr">
        <is>
          <t>17380</t>
        </is>
      </c>
      <c r="B17426" s="4" t="s">
        <f>=HYPERLINK("http://anyluxury.ru/shop/odezhda/futbolki-s-printom/futbolka-zhenskaya-grand-granat-new-belaya-s-sinim-1734464/" , "17344.64 Футболка женская Grand Granat New, белая с синим, размер XS")</f>
      </c>
      <c r="C17426" s="4" t="n">
        <v>1136.00</v>
      </c>
      <c r="D17426" s="4"/>
    </row>
    <row collapsed="" customFormat="false" customHeight="1" hidden="" ht="14" outlineLevel="0" r="17427">
      <c r="A17427" s="3" t="inlineStr">
        <is>
          <t>17381</t>
        </is>
      </c>
      <c r="B17427" s="4" t="s">
        <f>=HYPERLINK("http://anyluxury.ru/shop/odezhda/futbolki-s-printom/futbolka-zhenskaya-grand-granat-new-belaya-s-krasnim-1734465/" , "17344.65 Футболка женская Grand Granat New, белая с красным, размер XS")</f>
      </c>
      <c r="C17427" s="4" t="n">
        <v>1154.00</v>
      </c>
      <c r="D17427" s="4"/>
    </row>
    <row collapsed="" customFormat="false" customHeight="1" hidden="" ht="14" outlineLevel="0" r="17428">
      <c r="A17428" s="3" t="inlineStr">
        <is>
          <t>17382</t>
        </is>
      </c>
      <c r="B17428" s="4" t="s">
        <f>=HYPERLINK("http://anyluxury.ru/shop/odezhda/futbolki-s-printom/futbolka-zhenskaya-smotri-vglub-belaya-7003560/" , "70035.60 Футболка женская «Смотри вглубь», белая, размер S")</f>
      </c>
      <c r="C17428" s="4" t="n">
        <v>610.00</v>
      </c>
      <c r="D17428" s="4"/>
    </row>
    <row collapsed="" customFormat="false" customHeight="1" hidden="" ht="14" outlineLevel="0" r="17429">
      <c r="A17429" s="3" t="inlineStr">
        <is>
          <t>17383</t>
        </is>
      </c>
      <c r="B17429" s="4" t="s">
        <f>=HYPERLINK("http://anyluxury.ru/shop/odezhda/futbolki-s-printom/futbolka-zhenskaya-smotri-vglub-belaya-7003560/" , "70035.60 Футболка женская «Смотри вглубь», белая, размер M")</f>
      </c>
      <c r="C17429" s="4" t="n">
        <v>610.00</v>
      </c>
      <c r="D17429" s="4"/>
    </row>
    <row collapsed="" customFormat="false" customHeight="1" hidden="" ht="14" outlineLevel="0" r="17430">
      <c r="A17430" s="3" t="inlineStr">
        <is>
          <t>17384</t>
        </is>
      </c>
      <c r="B17430" s="4" t="s">
        <f>=HYPERLINK("http://anyluxury.ru/shop/odezhda/futbolki-s-printom/futbolka-zhenskaya-smotri-vglub-belaya-7003560/" , "70035.60 Футболка женская «Смотри вглубь», белая, размер L")</f>
      </c>
      <c r="C17430" s="4" t="n">
        <v>610.00</v>
      </c>
      <c r="D17430" s="4"/>
    </row>
    <row collapsed="" customFormat="false" customHeight="1" hidden="" ht="14" outlineLevel="0" r="17431">
      <c r="A17431" s="3" t="inlineStr">
        <is>
          <t>17385</t>
        </is>
      </c>
      <c r="B17431" s="4" t="s">
        <f>=HYPERLINK("http://anyluxury.ru/shop/odezhda/futbolki-s-printom/futbolka-zhenskaya-smotri-vglub-belaya-7003560/" , "70035.60 Футболка женская «Смотри вглубь», белая, размер XL")</f>
      </c>
      <c r="C17431" s="4" t="n">
        <v>610.00</v>
      </c>
      <c r="D17431" s="4"/>
    </row>
    <row collapsed="" customFormat="false" customHeight="1" hidden="" ht="14" outlineLevel="0" r="17432">
      <c r="A17432" s="3" t="inlineStr">
        <is>
          <t>17386</t>
        </is>
      </c>
      <c r="B17432" s="4" t="s">
        <f>=HYPERLINK("http://anyluxury.ru/shop/odezhda/futbolki-s-printom/futbolka-zhenskaya-smotri-vglub-belaya-7003560/" , "70035.60 Футболка женская «Смотри вглубь», белая, размер XXL")</f>
      </c>
      <c r="C17432" s="4" t="n">
        <v>610.00</v>
      </c>
      <c r="D17432" s="4"/>
    </row>
    <row collapsed="" customFormat="false" customHeight="1" hidden="" ht="14" outlineLevel="0" r="17433">
      <c r="A17433" s="3" t="inlineStr">
        <is>
          <t>17387</t>
        </is>
      </c>
      <c r="B17433" s="4" t="s">
        <f>=HYPERLINK("http://anyluxury.ru/shop/odezhda/futbolki-s-printom/futbolka-lionme-zhenskaya-belaya-7003760/" , "70037.60 Футболка LionMe, женская, белая, размер M")</f>
      </c>
      <c r="C17433" s="4" t="n">
        <v>521.00</v>
      </c>
      <c r="D17433" s="4"/>
    </row>
    <row collapsed="" customFormat="false" customHeight="1" hidden="" ht="14" outlineLevel="0" r="17434">
      <c r="A17434" s="3" t="inlineStr">
        <is>
          <t>17388</t>
        </is>
      </c>
      <c r="B17434" s="4" t="s">
        <f>=HYPERLINK("http://anyluxury.ru/shop/odezhda/futbolki-s-printom/futbolka-lionme-zhenskaya-belaya-7003760/" , "70037.60 Футболка LionMe, женская, белая, размер L")</f>
      </c>
      <c r="C17434" s="4" t="n">
        <v>521.00</v>
      </c>
      <c r="D17434" s="4"/>
    </row>
    <row collapsed="" customFormat="false" customHeight="1" hidden="" ht="14" outlineLevel="0" r="17435">
      <c r="A17435" s="3" t="inlineStr">
        <is>
          <t>17389</t>
        </is>
      </c>
      <c r="B17435" s="4" t="s">
        <f>=HYPERLINK("http://anyluxury.ru/shop/odezhda/futbolki-s-printom/futbolka-zhenskaya-feel-the-beat-chernaya-7019730/" , "70197.30 Футболка женская Feel The Beat, черная, размер S")</f>
      </c>
      <c r="C17435" s="4" t="n">
        <v>779.00</v>
      </c>
      <c r="D17435" s="4"/>
    </row>
    <row collapsed="" customFormat="false" customHeight="1" hidden="" ht="14" outlineLevel="0" r="17436">
      <c r="A17436" s="3" t="inlineStr">
        <is>
          <t>17390</t>
        </is>
      </c>
      <c r="B17436" s="4" t="s">
        <f>=HYPERLINK("http://anyluxury.ru/shop/odezhda/futbolki-s-printom/futbolka-zhenskaya-feel-the-beat-chernaya-7019730/" , "70197.30 Футболка женская Feel The Beat, черная, размер M")</f>
      </c>
      <c r="C17436" s="4" t="n">
        <v>779.00</v>
      </c>
      <c r="D17436" s="4"/>
    </row>
    <row collapsed="" customFormat="false" customHeight="1" hidden="" ht="14" outlineLevel="0" r="17437">
      <c r="A17437" s="3" t="inlineStr">
        <is>
          <t>17391</t>
        </is>
      </c>
      <c r="B17437" s="4" t="s">
        <f>=HYPERLINK("http://anyluxury.ru/shop/odezhda/futbolki-s-printom/futbolka-zhenskaya-feel-the-beat-chernaya-7019730/" , "70197.30 Футболка женская Feel The Beat, черная, размер L")</f>
      </c>
      <c r="C17437" s="4" t="n">
        <v>779.00</v>
      </c>
      <c r="D17437" s="4"/>
    </row>
    <row collapsed="" customFormat="false" customHeight="1" hidden="" ht="14" outlineLevel="0" r="17438">
      <c r="A17438" s="3" t="inlineStr">
        <is>
          <t>17392</t>
        </is>
      </c>
      <c r="B17438" s="4" t="s">
        <f>=HYPERLINK("http://anyluxury.ru/shop/odezhda/futbolki-s-printom/futbolka-zhenskaya-podruga-piter-belaya-7004860/" , "70048.60 Футболка женская «Подруга Питер», белая, размер S")</f>
      </c>
      <c r="C17438" s="4" t="n">
        <v>632.00</v>
      </c>
      <c r="D17438" s="4"/>
    </row>
    <row collapsed="" customFormat="false" customHeight="1" hidden="" ht="14" outlineLevel="0" r="17439">
      <c r="A17439" s="3" t="inlineStr">
        <is>
          <t>17393</t>
        </is>
      </c>
      <c r="B17439" s="4" t="s">
        <f>=HYPERLINK("http://anyluxury.ru/shop/odezhda/futbolki-s-printom/futbolka-zhenskaya-podruga-piter-belaya-7004860/" , "70048.60 Футболка женская «Подруга Питер», белая, размер M")</f>
      </c>
      <c r="C17439" s="4" t="n">
        <v>632.00</v>
      </c>
      <c r="D17439" s="4"/>
    </row>
    <row collapsed="" customFormat="false" customHeight="1" hidden="" ht="14" outlineLevel="0" r="17440">
      <c r="A17440" s="3" t="inlineStr">
        <is>
          <t>17394</t>
        </is>
      </c>
      <c r="B17440" s="4" t="s">
        <f>=HYPERLINK("http://anyluxury.ru/shop/odezhda/futbolki-s-printom/futbolka-zhenskaya-podruga-piter-belaya-7004860/" , "70048.60 Футболка женская «Подруга Питер», белая, размер L")</f>
      </c>
      <c r="C17440" s="4" t="n">
        <v>632.00</v>
      </c>
      <c r="D17440" s="4"/>
    </row>
    <row collapsed="" customFormat="false" customHeight="1" hidden="" ht="14" outlineLevel="0" r="17441">
      <c r="A17441" s="3" t="inlineStr">
        <is>
          <t>17395</t>
        </is>
      </c>
      <c r="B17441" s="4" t="s">
        <f>=HYPERLINK("http://anyluxury.ru/shop/odezhda/futbolki-s-printom/futbolka-zhenskaya-podruga-piter-belaya-7004860/" , "70048.60 Футболка женская «Подруга Питер», белая, размер XL")</f>
      </c>
      <c r="C17441" s="4" t="n">
        <v>632.00</v>
      </c>
      <c r="D17441" s="4"/>
    </row>
    <row collapsed="" customFormat="false" customHeight="1" hidden="" ht="14" outlineLevel="0" r="17442">
      <c r="A17442" s="3" t="inlineStr">
        <is>
          <t>17396</t>
        </is>
      </c>
      <c r="B17442" s="4" t="s">
        <f>=HYPERLINK("http://anyluxury.ru/shop/odezhda/futbolki-s-printom/futbolka-letuchiy-gollandec-chernaya-7006630/" , "70066.30 Футболка «Летучий Голландец», черная, размер XS")</f>
      </c>
      <c r="C17442" s="4" t="n">
        <v>836.00</v>
      </c>
      <c r="D17442" s="4"/>
    </row>
    <row collapsed="" customFormat="false" customHeight="1" hidden="" ht="14" outlineLevel="0" r="17443">
      <c r="A17443" s="3" t="inlineStr">
        <is>
          <t>17397</t>
        </is>
      </c>
      <c r="B17443" s="4" t="s">
        <f>=HYPERLINK("http://anyluxury.ru/shop/odezhda/futbolki-s-printom/futbolka-letuchiy-gollandec-chernaya-7006630/" , "70066.30 Футболка «Летучий Голландец», черная, размер S")</f>
      </c>
      <c r="C17443" s="4" t="n">
        <v>836.00</v>
      </c>
      <c r="D17443" s="4"/>
    </row>
    <row collapsed="" customFormat="false" customHeight="1" hidden="" ht="14" outlineLevel="0" r="17444">
      <c r="A17444" s="3" t="inlineStr">
        <is>
          <t>17398</t>
        </is>
      </c>
      <c r="B17444" s="4" t="s">
        <f>=HYPERLINK("http://anyluxury.ru/shop/odezhda/futbolki-s-printom/futbolka-letuchiy-gollandec-chernaya-7006630/" , "70066.30 Футболка «Летучий Голландец», черная, размер M")</f>
      </c>
      <c r="C17444" s="4" t="n">
        <v>836.00</v>
      </c>
      <c r="D17444" s="4"/>
    </row>
    <row collapsed="" customFormat="false" customHeight="1" hidden="" ht="14" outlineLevel="0" r="17445">
      <c r="A17445" s="3" t="inlineStr">
        <is>
          <t>17399</t>
        </is>
      </c>
      <c r="B17445" s="4" t="s">
        <f>=HYPERLINK("http://anyluxury.ru/shop/odezhda/futbolki-s-printom/futbolka-letuchiy-gollandec-chernaya-7006630/" , "70066.30 Футболка «Летучий Голландец», черная, размер L")</f>
      </c>
      <c r="C17445" s="4" t="n">
        <v>836.00</v>
      </c>
      <c r="D17445" s="4"/>
    </row>
    <row collapsed="" customFormat="false" customHeight="1" hidden="" ht="14" outlineLevel="0" r="17446">
      <c r="A17446" s="3" t="inlineStr">
        <is>
          <t>17400</t>
        </is>
      </c>
      <c r="B17446" s="4" t="s">
        <f>=HYPERLINK("http://anyluxury.ru/shop/odezhda/futbolki-s-printom/futbolka-letuchiy-gollandec-chernaya-7006630/" , "70066.30 Футболка «Летучий Голландец», черная, размер XL")</f>
      </c>
      <c r="C17446" s="4" t="n">
        <v>836.00</v>
      </c>
      <c r="D17446" s="4"/>
    </row>
    <row collapsed="" customFormat="false" customHeight="1" hidden="" ht="14" outlineLevel="0" r="17447">
      <c r="A17447" s="3" t="inlineStr">
        <is>
          <t>17401</t>
        </is>
      </c>
      <c r="B17447" s="4" t="s">
        <f>=HYPERLINK("http://anyluxury.ru/shop/odezhda/futbolki-s-printom/futbolka-letucci-chernaya-7191130/" , "71911.30 Футболка Letucci, черная, размер XS")</f>
      </c>
      <c r="C17447" s="4" t="n">
        <v>842.00</v>
      </c>
      <c r="D17447" s="4"/>
    </row>
    <row collapsed="" customFormat="false" customHeight="1" hidden="" ht="14" outlineLevel="0" r="17448">
      <c r="A17448" s="3" t="inlineStr">
        <is>
          <t>17402</t>
        </is>
      </c>
      <c r="B17448" s="4" t="s">
        <f>=HYPERLINK("http://anyluxury.ru/shop/odezhda/futbolki-s-printom/futbolka-letucci-chernaya-7191130/" , "71911.30 Футболка Letucci, черная, размер S")</f>
      </c>
      <c r="C17448" s="4" t="n">
        <v>842.00</v>
      </c>
      <c r="D17448" s="4"/>
    </row>
    <row collapsed="" customFormat="false" customHeight="1" hidden="" ht="14" outlineLevel="0" r="17449">
      <c r="A17449" s="3" t="inlineStr">
        <is>
          <t>17403</t>
        </is>
      </c>
      <c r="B17449" s="4" t="s">
        <f>=HYPERLINK("http://anyluxury.ru/shop/odezhda/futbolki-s-printom/futbolka-letucci-chernaya-7191130/" , "71911.30 Футболка Letucci, черная, размер M")</f>
      </c>
      <c r="C17449" s="4" t="n">
        <v>842.00</v>
      </c>
      <c r="D17449" s="4"/>
    </row>
    <row collapsed="" customFormat="false" customHeight="1" hidden="" ht="14" outlineLevel="0" r="17450">
      <c r="A17450" s="3" t="inlineStr">
        <is>
          <t>17404</t>
        </is>
      </c>
      <c r="B17450" s="4" t="s">
        <f>=HYPERLINK("http://anyluxury.ru/shop/odezhda/futbolki-s-printom/futbolka-letucci-chernaya-7191130/" , "71911.30 Футболка Letucci, черная, размер L")</f>
      </c>
      <c r="C17450" s="4" t="n">
        <v>842.00</v>
      </c>
      <c r="D17450" s="4"/>
    </row>
    <row collapsed="" customFormat="false" customHeight="1" hidden="" ht="14" outlineLevel="0" r="17451">
      <c r="A17451" s="3" t="inlineStr">
        <is>
          <t>17405</t>
        </is>
      </c>
      <c r="B17451" s="4" t="s">
        <f>=HYPERLINK("http://anyluxury.ru/shop/odezhda/futbolki-s-printom/futbolka-bruin-belaya-7006560/" , "70065.60 Футболка Bruin, белая, размер S")</f>
      </c>
      <c r="C17451" s="4" t="n">
        <v>764.00</v>
      </c>
      <c r="D17451" s="4"/>
    </row>
    <row collapsed="" customFormat="false" customHeight="1" hidden="" ht="14" outlineLevel="0" r="17452">
      <c r="A17452" s="3" t="inlineStr">
        <is>
          <t>17406</t>
        </is>
      </c>
      <c r="B17452" s="4" t="s">
        <f>=HYPERLINK("http://anyluxury.ru/shop/odezhda/futbolki-s-printom/futbolka-bruin-belaya-7006560/" , "70065.60 Футболка Bruin, белая, размер M")</f>
      </c>
      <c r="C17452" s="4" t="n">
        <v>764.00</v>
      </c>
      <c r="D17452" s="4"/>
    </row>
    <row collapsed="" customFormat="false" customHeight="1" hidden="" ht="14" outlineLevel="0" r="17453">
      <c r="A17453" s="3" t="inlineStr">
        <is>
          <t>17407</t>
        </is>
      </c>
      <c r="B17453" s="4" t="s">
        <f>=HYPERLINK("http://anyluxury.ru/shop/odezhda/futbolki-s-printom/futbolka-bruin-belaya-7006560/" , "70065.60 Футболка Bruin, белая, размер L")</f>
      </c>
      <c r="C17453" s="4" t="n">
        <v>764.00</v>
      </c>
      <c r="D17453" s="4"/>
    </row>
    <row collapsed="" customFormat="false" customHeight="1" hidden="" ht="14" outlineLevel="0" r="17454">
      <c r="A17454" s="3" t="inlineStr">
        <is>
          <t>17408</t>
        </is>
      </c>
      <c r="B17454" s="4" t="s">
        <f>=HYPERLINK("http://anyluxury.ru/shop/odezhda/futbolki-s-printom/futbolka-bruin-belaya-7006560/" , "70065.60 Футболка Bruin, белая, размер XL")</f>
      </c>
      <c r="C17454" s="4" t="n">
        <v>763.00</v>
      </c>
      <c r="D17454" s="4"/>
    </row>
    <row collapsed="" customFormat="false" customHeight="1" hidden="" ht="14" outlineLevel="0" r="17455">
      <c r="A17455" s="3" t="inlineStr">
        <is>
          <t>17409</t>
        </is>
      </c>
      <c r="B17455" s="4" t="s">
        <f>=HYPERLINK("http://anyluxury.ru/shop/odezhda/futbolki-s-printom/futbolka-bruin-belaya-7006560/" , "70065.60 Футболка Bruin, белая, размер XXL")</f>
      </c>
      <c r="C17455" s="4" t="n">
        <v>763.00</v>
      </c>
      <c r="D17455" s="4"/>
    </row>
    <row collapsed="" customFormat="false" customHeight="1" hidden="" ht="14" outlineLevel="0" r="17456">
      <c r="A17456" s="3" t="inlineStr">
        <is>
          <t>17410</t>
        </is>
      </c>
      <c r="B17456" s="4" t="s">
        <f>=HYPERLINK("http://anyluxury.ru/shop/odezhda/futbolki-s-printom/futbolka-zhenskaya-rombo-perviy-sneg-belaya-7190460/" , "71904.60 Футболка женская «Ромбо. Первый снег», белая, размер S")</f>
      </c>
      <c r="C17456" s="4" t="n">
        <v>601.00</v>
      </c>
      <c r="D17456" s="4"/>
    </row>
    <row collapsed="" customFormat="false" customHeight="1" hidden="" ht="14" outlineLevel="0" r="17457">
      <c r="A17457" s="3" t="inlineStr">
        <is>
          <t>17411</t>
        </is>
      </c>
      <c r="B17457" s="4" t="s">
        <f>=HYPERLINK("http://anyluxury.ru/shop/odezhda/futbolki-s-printom/futbolka-zhenskaya-rombo-perviy-sneg-belaya-7190460/" , "71904.60 Футболка женская «Ромбо. Первый снег», белая, размер M")</f>
      </c>
      <c r="C17457" s="4" t="n">
        <v>601.00</v>
      </c>
      <c r="D17457" s="4"/>
    </row>
    <row collapsed="" customFormat="false" customHeight="1" hidden="" ht="14" outlineLevel="0" r="17458">
      <c r="A17458" s="3" t="inlineStr">
        <is>
          <t>17412</t>
        </is>
      </c>
      <c r="B17458" s="4" t="s">
        <f>=HYPERLINK("http://anyluxury.ru/shop/odezhda/futbolki-s-printom/futbolka-zhenskaya-rombo-perviy-sneg-belaya-7190460/" , "71904.60 Футболка женская «Ромбо. Первый снег», белая, размер L")</f>
      </c>
      <c r="C17458" s="4" t="n">
        <v>601.00</v>
      </c>
      <c r="D17458" s="4"/>
    </row>
    <row collapsed="" customFormat="false" customHeight="1" hidden="" ht="14" outlineLevel="0" r="17459">
      <c r="A17459" s="3" t="inlineStr">
        <is>
          <t>17413</t>
        </is>
      </c>
      <c r="B17459" s="4" t="s">
        <f>=HYPERLINK("http://anyluxury.ru/shop/odezhda/futbolki-s-printom/futbolka-muzhskaya-noviy-god-belaya-7190660/" , "71906.60 Футболка мужская «Новый GOD», белая, размер S")</f>
      </c>
      <c r="C17459" s="4" t="n">
        <v>655.00</v>
      </c>
      <c r="D17459" s="4"/>
    </row>
    <row collapsed="" customFormat="false" customHeight="1" hidden="" ht="14" outlineLevel="0" r="17460">
      <c r="A17460" s="3" t="inlineStr">
        <is>
          <t>17414</t>
        </is>
      </c>
      <c r="B17460" s="4" t="s">
        <f>=HYPERLINK("http://anyluxury.ru/shop/odezhda/futbolki-s-printom/futbolka-muzhskaya-noviy-god-belaya-7190660/" , "71906.60 Футболка мужская «Новый GOD», белая, размер M")</f>
      </c>
      <c r="C17460" s="4" t="n">
        <v>655.00</v>
      </c>
      <c r="D17460" s="4"/>
    </row>
    <row collapsed="" customFormat="false" customHeight="1" hidden="" ht="14" outlineLevel="0" r="17461">
      <c r="A17461" s="3" t="inlineStr">
        <is>
          <t>17415</t>
        </is>
      </c>
      <c r="B17461" s="4" t="s">
        <f>=HYPERLINK("http://anyluxury.ru/shop/odezhda/futbolki-s-printom/futbolka-muzhskaya-noviy-god-belaya-7190660/" , "71906.60 Футболка мужская «Новый GOD», белая, размер L")</f>
      </c>
      <c r="C17461" s="4" t="n">
        <v>655.00</v>
      </c>
      <c r="D17461" s="4"/>
    </row>
    <row collapsed="" customFormat="false" customHeight="1" hidden="" ht="14" outlineLevel="0" r="17462">
      <c r="A17462" s="3" t="inlineStr">
        <is>
          <t>17416</t>
        </is>
      </c>
      <c r="B17462" s="4" t="s">
        <f>=HYPERLINK("http://anyluxury.ru/shop/odezhda/futbolki-s-printom/futbolka-muzhskaya-noviy-god-belaya-7190660/" , "71906.60 Футболка мужская «Новый GOD», белая, размер XL")</f>
      </c>
      <c r="C17462" s="4" t="n">
        <v>655.00</v>
      </c>
      <c r="D17462" s="4"/>
    </row>
    <row collapsed="" customFormat="false" customHeight="1" hidden="" ht="14" outlineLevel="0" r="17463">
      <c r="A17463" s="3" t="inlineStr">
        <is>
          <t>17417</t>
        </is>
      </c>
      <c r="B17463" s="4" t="s">
        <f>=HYPERLINK("http://anyluxury.ru/shop/odezhda/futbolki-s-printom/futbolka-muzhskaya-noviy-god-belaya-7190660/" , "71906.60 Футболка мужская «Новый GOD», белая, размер XXL")</f>
      </c>
      <c r="C17463" s="4" t="n">
        <v>655.00</v>
      </c>
      <c r="D17463" s="4"/>
    </row>
    <row collapsed="" customFormat="false" customHeight="1" hidden="" ht="14" outlineLevel="0" r="17464">
      <c r="A17464" s="3" t="inlineStr">
        <is>
          <t>17418</t>
        </is>
      </c>
      <c r="B17464" s="4" t="s">
        <f>=HYPERLINK("http://anyluxury.ru/shop/odezhda/futbolki-s-printom/futbolka-zhenskaya-noviy-god-belaya-7190760/" , "71907.60 Футболка женская «Новый GOD», белая, размер S")</f>
      </c>
      <c r="C17464" s="4" t="n">
        <v>601.00</v>
      </c>
      <c r="D17464" s="4"/>
    </row>
    <row collapsed="" customFormat="false" customHeight="1" hidden="" ht="14" outlineLevel="0" r="17465">
      <c r="A17465" s="3" t="inlineStr">
        <is>
          <t>17419</t>
        </is>
      </c>
      <c r="B17465" s="4" t="s">
        <f>=HYPERLINK("http://anyluxury.ru/shop/odezhda/futbolki-s-printom/futbolka-zhenskaya-noviy-god-belaya-7190760/" , "71907.60 Футболка женская «Новый GOD», белая, размер M")</f>
      </c>
      <c r="C17465" s="4" t="n">
        <v>601.00</v>
      </c>
      <c r="D17465" s="4"/>
    </row>
    <row collapsed="" customFormat="false" customHeight="1" hidden="" ht="14" outlineLevel="0" r="17466">
      <c r="A17466" s="3" t="inlineStr">
        <is>
          <t>17420</t>
        </is>
      </c>
      <c r="B17466" s="4" t="s">
        <f>=HYPERLINK("http://anyluxury.ru/shop/odezhda/futbolki-s-printom/futbolka-zhenskaya-noviy-god-belaya-7190760/" , "71907.60 Футболка женская «Новый GOD», белая, размер L")</f>
      </c>
      <c r="C17466" s="4" t="n">
        <v>601.00</v>
      </c>
      <c r="D17466" s="4"/>
    </row>
    <row collapsed="" customFormat="false" customHeight="1" hidden="" ht="14" outlineLevel="0" r="17467">
      <c r="A17467" s="3" t="inlineStr">
        <is>
          <t>17421</t>
        </is>
      </c>
      <c r="B17467" s="4" t="s">
        <f>=HYPERLINK("http://anyluxury.ru/shop/odezhda/futbolki-s-printom/futbolka-zhenskaya-noviy-god-belaya-7190760/" , "71907.60 Футболка женская «Новый GOD», белая, размер XL")</f>
      </c>
      <c r="C17467" s="4" t="n">
        <v>601.00</v>
      </c>
      <c r="D17467" s="4"/>
    </row>
    <row collapsed="" customFormat="false" customHeight="1" hidden="" ht="14" outlineLevel="0" r="17468">
      <c r="A17468" s="3" t="inlineStr">
        <is>
          <t>17422</t>
        </is>
      </c>
      <c r="B17468" s="4" t="s">
        <f>=HYPERLINK("http://anyluxury.ru/shop/odezhda/futbolki-s-printom/futbolka-muzhskaya-mishka-na-severe-golubaya-7191214/" , "71912.14 Футболка мужская «Мышка на севере», голубая, размер S")</f>
      </c>
      <c r="C17468" s="4" t="n">
        <v>851.00</v>
      </c>
      <c r="D17468" s="4"/>
    </row>
    <row collapsed="" customFormat="false" customHeight="1" hidden="" ht="14" outlineLevel="0" r="17469">
      <c r="A17469" s="3" t="inlineStr">
        <is>
          <t>17423</t>
        </is>
      </c>
      <c r="B17469" s="4" t="s">
        <f>=HYPERLINK("http://anyluxury.ru/shop/odezhda/futbolki-s-printom/futbolka-muzhskaya-mishka-na-severe-golubaya-7191214/" , "71912.14 Футболка мужская «Мышка на севере», голубая, размер M")</f>
      </c>
      <c r="C17469" s="4" t="n">
        <v>851.00</v>
      </c>
      <c r="D17469" s="4"/>
    </row>
    <row collapsed="" customFormat="false" customHeight="1" hidden="" ht="14" outlineLevel="0" r="17470">
      <c r="A17470" s="3" t="inlineStr">
        <is>
          <t>17424</t>
        </is>
      </c>
      <c r="B17470" s="4" t="s">
        <f>=HYPERLINK("http://anyluxury.ru/shop/odezhda/futbolki-s-printom/futbolka-muzhskaya-mishka-na-severe-golubaya-7191214/" , "71912.14 Футболка мужская «Мышка на севере», голубая, размер L")</f>
      </c>
      <c r="C17470" s="4" t="n">
        <v>851.00</v>
      </c>
      <c r="D17470" s="4"/>
    </row>
    <row collapsed="" customFormat="false" customHeight="1" hidden="" ht="14" outlineLevel="0" r="17471">
      <c r="A17471" s="3" t="inlineStr">
        <is>
          <t>17425</t>
        </is>
      </c>
      <c r="B17471" s="4" t="s">
        <f>=HYPERLINK("http://anyluxury.ru/shop/odezhda/futbolki-s-printom/futbolka-muzhskaya-mishka-na-severe-golubaya-7191214/" , "71912.14 Футболка мужская «Мышка на севере», голубая, размер XL")</f>
      </c>
      <c r="C17471" s="4" t="n">
        <v>851.00</v>
      </c>
      <c r="D17471" s="4"/>
    </row>
    <row collapsed="" customFormat="false" customHeight="1" hidden="" ht="14" outlineLevel="0" r="17472">
      <c r="A17472" s="3" t="inlineStr">
        <is>
          <t>17426</t>
        </is>
      </c>
      <c r="B17472" s="4" t="s">
        <f>=HYPERLINK("http://anyluxury.ru/shop/odezhda/futbolki-s-printom/futbolka-muzhskaya-mishka-na-severe-golubaya-7191214/" , "71912.14 Футболка мужская «Мышка на севере», голубая, размер XXL")</f>
      </c>
      <c r="C17472" s="4" t="n">
        <v>851.00</v>
      </c>
      <c r="D17472" s="4"/>
    </row>
    <row collapsed="" customFormat="false" customHeight="1" hidden="" ht="14" outlineLevel="0" r="17473">
      <c r="A17473" s="3" t="inlineStr">
        <is>
          <t>17427</t>
        </is>
      </c>
      <c r="B17473" s="4" t="s">
        <f>=HYPERLINK("http://anyluxury.ru/shop/odezhda/futbolki-s-printom/futbolka-muzhskaya-nu-nakati-haki-7191599/" , "71915.99 Футболка мужская «Ну, накати!», хаки, размер S")</f>
      </c>
      <c r="C17473" s="4" t="n">
        <v>753.00</v>
      </c>
      <c r="D17473" s="4"/>
    </row>
    <row collapsed="" customFormat="false" customHeight="1" hidden="" ht="14" outlineLevel="0" r="17474">
      <c r="A17474" s="3" t="inlineStr">
        <is>
          <t>17428</t>
        </is>
      </c>
      <c r="B17474" s="4" t="s">
        <f>=HYPERLINK("http://anyluxury.ru/shop/odezhda/futbolki-s-printom/futbolka-zhenskaya-vechnie-cennosti-bogatstvo-belaya-7062503/" , "70625.03 Футболка женская «Вечные ценности. Богатство», белая, размер S")</f>
      </c>
      <c r="C17474" s="4" t="n">
        <v>605.00</v>
      </c>
      <c r="D17474" s="4"/>
    </row>
    <row collapsed="" customFormat="false" customHeight="1" hidden="" ht="14" outlineLevel="0" r="17475">
      <c r="A17475" s="3" t="inlineStr">
        <is>
          <t>17429</t>
        </is>
      </c>
      <c r="B17475" s="4" t="s">
        <f>=HYPERLINK("http://anyluxury.ru/shop/odezhda/futbolki-s-printom/futbolka-zhenskaya-vechnie-cennosti-bogatstvo-belaya-7062503/" , "70625.03 Футболка женская «Вечные ценности. Богатство», белая, размер M")</f>
      </c>
      <c r="C17475" s="4" t="n">
        <v>605.00</v>
      </c>
      <c r="D17475" s="4"/>
    </row>
    <row collapsed="" customFormat="false" customHeight="1" hidden="" ht="14" outlineLevel="0" r="17476">
      <c r="A17476" s="3" t="inlineStr">
        <is>
          <t>17430</t>
        </is>
      </c>
      <c r="B17476" s="4" t="s">
        <f>=HYPERLINK("http://anyluxury.ru/shop/odezhda/futbolki-s-printom/futbolka-zhenskaya-vechnie-cennosti-bogatstvo-belaya-7062503/" , "70625.03 Футболка женская «Вечные ценности. Богатство», белая, размер L")</f>
      </c>
      <c r="C17476" s="4" t="n">
        <v>605.00</v>
      </c>
      <c r="D17476" s="4"/>
    </row>
    <row collapsed="" customFormat="false" customHeight="1" hidden="" ht="14" outlineLevel="0" r="17477">
      <c r="A17477" s="3" t="inlineStr">
        <is>
          <t>17431</t>
        </is>
      </c>
      <c r="B17477" s="4" t="s">
        <f>=HYPERLINK("http://anyluxury.ru/shop/odezhda/futbolki-s-printom/mayka-muzhskaya-vechnie-cennosti-schaste-belaya-7062602/" , "70626.02 Майка мужская «Вечные ценности. Счастье», белая, размер S")</f>
      </c>
      <c r="C17477" s="4" t="n">
        <v>695.00</v>
      </c>
      <c r="D17477" s="4"/>
    </row>
    <row collapsed="" customFormat="false" customHeight="1" hidden="" ht="14" outlineLevel="0" r="17478">
      <c r="A17478" s="3" t="inlineStr">
        <is>
          <t>17432</t>
        </is>
      </c>
      <c r="B17478" s="4" t="s">
        <f>=HYPERLINK("http://anyluxury.ru/shop/odezhda/futbolki-s-printom/mayka-muzhskaya-vechnie-cennosti-schaste-belaya-7062602/" , "70626.02 Майка мужская «Вечные ценности. Счастье», белая, размер M")</f>
      </c>
      <c r="C17478" s="4" t="n">
        <v>695.00</v>
      </c>
      <c r="D17478" s="4"/>
    </row>
    <row collapsed="" customFormat="false" customHeight="1" hidden="" ht="14" outlineLevel="0" r="17479">
      <c r="A17479" s="3" t="inlineStr">
        <is>
          <t>17433</t>
        </is>
      </c>
      <c r="B17479" s="4" t="s">
        <f>=HYPERLINK("http://anyluxury.ru/shop/odezhda/futbolki-s-printom/mayka-muzhskaya-vechnie-cennosti-schaste-belaya-7062602/" , "70626.02 Майка мужская «Вечные ценности. Счастье», белая, размер L")</f>
      </c>
      <c r="C17479" s="4" t="n">
        <v>695.00</v>
      </c>
      <c r="D17479" s="4"/>
    </row>
    <row collapsed="" customFormat="false" customHeight="1" hidden="" ht="14" outlineLevel="0" r="17480">
      <c r="A17480" s="3" t="inlineStr">
        <is>
          <t>17434</t>
        </is>
      </c>
      <c r="B17480" s="4" t="s">
        <f>=HYPERLINK("http://anyluxury.ru/shop/odezhda/futbolki-s-printom/mayka-muzhskaya-vechnie-cennosti-schaste-belaya-7062602/" , "70626.02 Майка мужская «Вечные ценности. Счастье», белая, размер XL")</f>
      </c>
      <c r="C17480" s="4" t="n">
        <v>695.00</v>
      </c>
      <c r="D17480" s="4"/>
    </row>
    <row collapsed="" customFormat="false" customHeight="1" hidden="" ht="14" outlineLevel="0" r="17481">
      <c r="A17481" s="3" t="inlineStr">
        <is>
          <t>17435</t>
        </is>
      </c>
      <c r="B17481" s="4" t="s">
        <f>=HYPERLINK("http://anyluxury.ru/shop/odezhda/futbolki-s-printom/mayka-muzhskaya-vechnie-cennosti-schaste-belaya-7062602/" , "70626.02 Майка мужская «Вечные ценности. Счастье», белая, размер XXL")</f>
      </c>
      <c r="C17481" s="4" t="n">
        <v>695.00</v>
      </c>
      <c r="D17481" s="4"/>
    </row>
    <row collapsed="" customFormat="false" customHeight="1" hidden="" ht="14" outlineLevel="0" r="17482">
      <c r="A17482" s="3" t="inlineStr">
        <is>
          <t>17436</t>
        </is>
      </c>
      <c r="B17482" s="4" t="s">
        <f>=HYPERLINK("http://anyluxury.ru/shop/odezhda/futbolki-s-printom/mayka-muzhskaya-vechnie-cennosti-bogatstvo-belaya-7062603/" , "70626.03 Майка мужская «Вечные ценности. Богатство», белая, размер S")</f>
      </c>
      <c r="C17482" s="4" t="n">
        <v>679.00</v>
      </c>
      <c r="D17482" s="4"/>
    </row>
    <row collapsed="" customFormat="false" customHeight="1" hidden="" ht="14" outlineLevel="0" r="17483">
      <c r="A17483" s="3" t="inlineStr">
        <is>
          <t>17437</t>
        </is>
      </c>
      <c r="B17483" s="4" t="s">
        <f>=HYPERLINK("http://anyluxury.ru/shop/odezhda/futbolki-s-printom/mayka-muzhskaya-vechnie-cennosti-bogatstvo-belaya-7062603/" , "70626.03 Майка мужская «Вечные ценности. Богатство», белая, размер M")</f>
      </c>
      <c r="C17483" s="4" t="n">
        <v>679.00</v>
      </c>
      <c r="D17483" s="4"/>
    </row>
    <row collapsed="" customFormat="false" customHeight="1" hidden="" ht="14" outlineLevel="0" r="17484">
      <c r="A17484" s="3" t="inlineStr">
        <is>
          <t>17438</t>
        </is>
      </c>
      <c r="B17484" s="4" t="s">
        <f>=HYPERLINK("http://anyluxury.ru/shop/odezhda/futbolki-s-printom/mayka-muzhskaya-vechnie-cennosti-bogatstvo-belaya-7062603/" , "70626.03 Майка мужская «Вечные ценности. Богатство», белая, размер L")</f>
      </c>
      <c r="C17484" s="4" t="n">
        <v>679.00</v>
      </c>
      <c r="D17484" s="4"/>
    </row>
    <row collapsed="" customFormat="false" customHeight="1" hidden="" ht="14" outlineLevel="0" r="17485">
      <c r="A17485" s="3" t="inlineStr">
        <is>
          <t>17439</t>
        </is>
      </c>
      <c r="B17485" s="4" t="s">
        <f>=HYPERLINK("http://anyluxury.ru/shop/odezhda/futbolki-s-printom/mayka-muzhskaya-vechnie-cennosti-bogatstvo-belaya-7062603/" , "70626.03 Майка мужская «Вечные ценности. Богатство», белая, размер XL")</f>
      </c>
      <c r="C17485" s="4" t="n">
        <v>679.00</v>
      </c>
      <c r="D17485" s="4"/>
    </row>
    <row collapsed="" customFormat="false" customHeight="1" hidden="" ht="14" outlineLevel="0" r="17486">
      <c r="A17486" s="3" t="inlineStr">
        <is>
          <t>17440</t>
        </is>
      </c>
      <c r="B17486" s="4" t="s">
        <f>=HYPERLINK("http://anyluxury.ru/shop/odezhda/futbolki-s-printom/mayka-muzhskaya-vechnie-cennosti-bogatstvo-belaya-7062603/" , "70626.03 Майка мужская «Вечные ценности. Богатство», белая, размер XXL")</f>
      </c>
      <c r="C17486" s="4" t="n">
        <v>679.00</v>
      </c>
      <c r="D17486" s="4"/>
    </row>
    <row collapsed="" customFormat="false" customHeight="1" hidden="" ht="14" outlineLevel="0" r="17487">
      <c r="A17487" s="3" t="inlineStr">
        <is>
          <t>17441</t>
        </is>
      </c>
      <c r="B17487" s="4" t="s">
        <f>=HYPERLINK("http://anyluxury.ru/shop/odezhda/futbolki-s-printom/mayka-muzhskaya-vechnie-cennosti-lyubov-belaya-7062601/" , "70626.01 Майка мужская «Вечные ценности. Любовь», белая, размер S")</f>
      </c>
      <c r="C17487" s="4" t="n">
        <v>648.00</v>
      </c>
      <c r="D17487" s="4"/>
    </row>
    <row collapsed="" customFormat="false" customHeight="1" hidden="" ht="14" outlineLevel="0" r="17488">
      <c r="A17488" s="3" t="inlineStr">
        <is>
          <t>17442</t>
        </is>
      </c>
      <c r="B17488" s="4" t="s">
        <f>=HYPERLINK("http://anyluxury.ru/shop/odezhda/futbolki-s-printom/mayka-muzhskaya-vechnie-cennosti-lyubov-belaya-7062601/" , "70626.01 Майка мужская «Вечные ценности. Любовь», белая, размер M")</f>
      </c>
      <c r="C17488" s="4" t="n">
        <v>648.00</v>
      </c>
      <c r="D17488" s="4"/>
    </row>
    <row collapsed="" customFormat="false" customHeight="1" hidden="" ht="14" outlineLevel="0" r="17489">
      <c r="A17489" s="3" t="inlineStr">
        <is>
          <t>17443</t>
        </is>
      </c>
      <c r="B17489" s="4" t="s">
        <f>=HYPERLINK("http://anyluxury.ru/shop/odezhda/futbolki-s-printom/mayka-muzhskaya-vechnie-cennosti-lyubov-belaya-7062601/" , "70626.01 Майка мужская «Вечные ценности. Любовь», белая, размер L")</f>
      </c>
      <c r="C17489" s="4" t="n">
        <v>648.00</v>
      </c>
      <c r="D17489" s="4"/>
    </row>
    <row collapsed="" customFormat="false" customHeight="1" hidden="" ht="14" outlineLevel="0" r="17490">
      <c r="A17490" s="3" t="inlineStr">
        <is>
          <t>17444</t>
        </is>
      </c>
      <c r="B17490" s="4" t="s">
        <f>=HYPERLINK("http://anyluxury.ru/shop/odezhda/futbolki-s-printom/mayka-muzhskaya-vechnie-cennosti-lyubov-belaya-7062601/" , "70626.01 Майка мужская «Вечные ценности. Любовь», белая, размер XXL")</f>
      </c>
      <c r="C17490" s="4" t="n">
        <v>648.00</v>
      </c>
      <c r="D17490" s="4"/>
    </row>
    <row collapsed="" customFormat="false" customHeight="1" hidden="" ht="14" outlineLevel="0" r="17491">
      <c r="A17491" s="3" t="inlineStr">
        <is>
          <t>17445</t>
        </is>
      </c>
      <c r="B17491" s="4" t="s">
        <f>=HYPERLINK("http://anyluxury.ru/shop/odezhda/futbolki-s-printom/futbolka-zhenskaya-optical-mouse-seriy-melanzh-7193011/" , "71930.11 Футболка женская Optical Mouse, серый меланж, размер S")</f>
      </c>
      <c r="C17491" s="4" t="n">
        <v>958.00</v>
      </c>
      <c r="D17491" s="4"/>
    </row>
    <row collapsed="" customFormat="false" customHeight="1" hidden="" ht="14" outlineLevel="0" r="17492">
      <c r="A17492" s="3" t="inlineStr">
        <is>
          <t>17446</t>
        </is>
      </c>
      <c r="B17492" s="4" t="s">
        <f>=HYPERLINK("http://anyluxury.ru/shop/odezhda/futbolki-s-printom/futbolka-zhenskaya-optical-mouse-seriy-melanzh-7193011/" , "71930.11 Футболка женская Optical Mouse, серый меланж, размер M")</f>
      </c>
      <c r="C17492" s="4" t="n">
        <v>958.00</v>
      </c>
      <c r="D17492" s="4"/>
    </row>
    <row collapsed="" customFormat="false" customHeight="1" hidden="" ht="14" outlineLevel="0" r="17493">
      <c r="A17493" s="3" t="inlineStr">
        <is>
          <t>17447</t>
        </is>
      </c>
      <c r="B17493" s="4" t="s">
        <f>=HYPERLINK("http://anyluxury.ru/shop/odezhda/futbolki-s-printom/futbolka-zhenskaya-optical-mouse-seriy-melanzh-7193011/" , "71930.11 Футболка женская Optical Mouse, серый меланж, размер L")</f>
      </c>
      <c r="C17493" s="4" t="n">
        <v>958.00</v>
      </c>
      <c r="D17493" s="4"/>
    </row>
    <row collapsed="" customFormat="false" customHeight="1" hidden="" ht="14" outlineLevel="0" r="17494">
      <c r="A17494" s="3" t="inlineStr">
        <is>
          <t>17448</t>
        </is>
      </c>
      <c r="B17494" s="4" t="s">
        <f>=HYPERLINK("http://anyluxury.ru/shop/odezhda/futbolki-s-printom/futbolka-zhenskaya-optical-mouse-seriy-melanzh-7193011/" , "71930.11 Футболка женская Optical Mouse, серый меланж, размер XL")</f>
      </c>
      <c r="C17494" s="4" t="n">
        <v>958.00</v>
      </c>
      <c r="D17494" s="4"/>
    </row>
    <row collapsed="" customFormat="false" customHeight="1" hidden="" ht="14" outlineLevel="0" r="17495">
      <c r="A17495" s="3" t="inlineStr">
        <is>
          <t>17449</t>
        </is>
      </c>
      <c r="B17495" s="4" t="s">
        <f>=HYPERLINK("http://anyluxury.ru/shop/odezhda/futbolki-s-printom/futbolka-zhenskaya-an-angel-belaya-7194160/" , "71941.60 Футболка женская An Аngel, белая, размер S")</f>
      </c>
      <c r="C17495" s="4" t="n">
        <v>622.00</v>
      </c>
      <c r="D17495" s="4"/>
    </row>
    <row collapsed="" customFormat="false" customHeight="1" hidden="" ht="14" outlineLevel="0" r="17496">
      <c r="A17496" s="3" t="inlineStr">
        <is>
          <t>17450</t>
        </is>
      </c>
      <c r="B17496" s="4" t="s">
        <f>=HYPERLINK("http://anyluxury.ru/shop/odezhda/futbolki-s-printom/futbolka-zhenskaya-an-angel-belaya-7194160/" , "71941.60 Футболка женская An Аngel, белая, размер M")</f>
      </c>
      <c r="C17496" s="4" t="n">
        <v>622.00</v>
      </c>
      <c r="D17496" s="4"/>
    </row>
    <row collapsed="" customFormat="false" customHeight="1" hidden="" ht="14" outlineLevel="0" r="17497">
      <c r="A17497" s="3" t="inlineStr">
        <is>
          <t>17451</t>
        </is>
      </c>
      <c r="B17497" s="4" t="s">
        <f>=HYPERLINK("http://anyluxury.ru/shop/odezhda/futbolki-s-printom/futbolka-zhenskaya-an-angel-belaya-7194160/" , "71941.60 Футболка женская An Аngel, белая, размер L")</f>
      </c>
      <c r="C17497" s="4" t="n">
        <v>623.00</v>
      </c>
      <c r="D17497" s="4"/>
    </row>
    <row collapsed="" customFormat="false" customHeight="1" hidden="" ht="14" outlineLevel="0" r="17498">
      <c r="A17498" s="3" t="inlineStr">
        <is>
          <t>17452</t>
        </is>
      </c>
      <c r="B17498" s="4" t="s">
        <f>=HYPERLINK("http://anyluxury.ru/shop/odezhda/futbolki-s-printom/futbolka-vechnie-cennosti-lyubov-belaya-7062701/" , "70627.01 Футболка «Вечные ценности. Любовь», белая, размер S")</f>
      </c>
      <c r="C17498" s="4" t="n">
        <v>693.00</v>
      </c>
      <c r="D17498" s="4"/>
    </row>
    <row collapsed="" customFormat="false" customHeight="1" hidden="" ht="14" outlineLevel="0" r="17499">
      <c r="A17499" s="3" t="inlineStr">
        <is>
          <t>17453</t>
        </is>
      </c>
      <c r="B17499" s="4" t="s">
        <f>=HYPERLINK("http://anyluxury.ru/shop/odezhda/futbolki-s-printom/futbolka-zhenskaya-vechnie-cennosti-schaste-belaya-7062502/" , "70625.02 Футболка женская «Вечные ценности. Счастье», белая, размер S")</f>
      </c>
      <c r="C17499" s="4" t="n">
        <v>626.00</v>
      </c>
      <c r="D17499" s="4"/>
    </row>
    <row collapsed="" customFormat="false" customHeight="1" hidden="" ht="14" outlineLevel="0" r="17500">
      <c r="A17500" s="3" t="inlineStr">
        <is>
          <t>17454</t>
        </is>
      </c>
      <c r="B17500" s="4" t="s">
        <f>=HYPERLINK("http://anyluxury.ru/shop/odezhda/futbolki-s-printom/futbolka-zhenskaya-vechnie-cennosti-schaste-belaya-7062502/" , "70625.02 Футболка женская «Вечные ценности. Счастье», белая, размер M")</f>
      </c>
      <c r="C17500" s="4" t="n">
        <v>626.00</v>
      </c>
      <c r="D17500" s="4"/>
    </row>
    <row collapsed="" customFormat="false" customHeight="1" hidden="" ht="14" outlineLevel="0" r="17501">
      <c r="A17501" s="3" t="inlineStr">
        <is>
          <t>17455</t>
        </is>
      </c>
      <c r="B17501" s="4" t="s">
        <f>=HYPERLINK("http://anyluxury.ru/shop/odezhda/futbolki-s-printom/futbolka-zhenskaya-vechnie-cennosti-schaste-belaya-7062502/" , "70625.02 Футболка женская «Вечные ценности. Счастье», белая, размер L")</f>
      </c>
      <c r="C17501" s="4" t="n">
        <v>626.00</v>
      </c>
      <c r="D17501" s="4"/>
    </row>
    <row collapsed="" customFormat="false" customHeight="1" hidden="" ht="14" outlineLevel="0" r="17502">
      <c r="A17502" s="3" t="inlineStr">
        <is>
          <t>17456</t>
        </is>
      </c>
      <c r="B17502" s="4" t="s">
        <f>=HYPERLINK("http://anyluxury.ru/shop/odezhda/futbolki-s-printom/futbolka-zhenskaya-vechnie-cennosti-schaste-belaya-7062502/" , "70625.02 Футболка женская «Вечные ценности. Счастье», белая, размер XL")</f>
      </c>
      <c r="C17502" s="4" t="n">
        <v>626.00</v>
      </c>
      <c r="D17502" s="4"/>
    </row>
    <row collapsed="" customFormat="false" customHeight="1" hidden="" ht="14" outlineLevel="0" r="17503">
      <c r="A17503" s="3" t="inlineStr">
        <is>
          <t>17457</t>
        </is>
      </c>
      <c r="B17503" s="4" t="s">
        <f>=HYPERLINK("http://anyluxury.ru/shop/odezhda/futbolki-s-printom/futbolka-zhenskaya-hatelove-golubaya-7053014/" , "70530.14 Футболка женская Hate-Love, голубая, размер S")</f>
      </c>
      <c r="C17503" s="4" t="n">
        <v>796.00</v>
      </c>
      <c r="D17503" s="4"/>
    </row>
    <row collapsed="" customFormat="false" customHeight="1" hidden="" ht="14" outlineLevel="0" r="17504">
      <c r="A17504" s="3" t="inlineStr">
        <is>
          <t>17458</t>
        </is>
      </c>
      <c r="B17504" s="4" t="s">
        <f>=HYPERLINK("http://anyluxury.ru/shop/odezhda/futbolki-s-printom/futbolka-zhenskaya-hatelove-golubaya-7053014/" , "70530.14 Футболка женская Hate-Love, голубая, размер M")</f>
      </c>
      <c r="C17504" s="4" t="n">
        <v>796.00</v>
      </c>
      <c r="D17504" s="4"/>
    </row>
    <row collapsed="" customFormat="false" customHeight="1" hidden="" ht="14" outlineLevel="0" r="17505">
      <c r="A17505" s="3" t="inlineStr">
        <is>
          <t>17459</t>
        </is>
      </c>
      <c r="B17505" s="4" t="s">
        <f>=HYPERLINK("http://anyluxury.ru/shop/odezhda/futbolki-s-printom/futbolka-zhenskaya-hatelove-golubaya-7053014/" , "70530.14 Футболка женская Hate-Love, голубая, размер L")</f>
      </c>
      <c r="C17505" s="4" t="n">
        <v>796.00</v>
      </c>
      <c r="D17505" s="4"/>
    </row>
    <row collapsed="" customFormat="false" customHeight="1" hidden="" ht="14" outlineLevel="0" r="17506">
      <c r="A17506" s="3" t="inlineStr">
        <is>
          <t>17460</t>
        </is>
      </c>
      <c r="B17506" s="4" t="s">
        <f>=HYPERLINK("http://anyluxury.ru/shop/odezhda/futbolki-s-printom/futbolka-zhenskaya-hatelove-golubaya-7053014/" , "70530.14 Футболка женская Hate-Love, голубая, размер XL")</f>
      </c>
      <c r="C17506" s="4" t="n">
        <v>796.00</v>
      </c>
      <c r="D17506" s="4"/>
    </row>
    <row collapsed="" customFormat="false" customHeight="1" hidden="" ht="14" outlineLevel="0" r="17507">
      <c r="A17507" s="3" t="inlineStr">
        <is>
          <t>17461</t>
        </is>
      </c>
      <c r="B17507" s="4" t="s">
        <f>=HYPERLINK("http://anyluxury.ru/shop/odezhda/futbolki-s-printom/futbolka-pritalennaya-old-patents-coffee-mill-cherniy-melanzh-7075212/" , "70752.12 Футболка приталенная Old Patents. Coffee Mill, черный меланж, размер S")</f>
      </c>
      <c r="C17507" s="4" t="n">
        <v>808.00</v>
      </c>
      <c r="D17507" s="4"/>
    </row>
    <row collapsed="" customFormat="false" customHeight="1" hidden="" ht="14" outlineLevel="0" r="17508">
      <c r="A17508" s="3" t="inlineStr">
        <is>
          <t>17462</t>
        </is>
      </c>
      <c r="B17508" s="4" t="s">
        <f>=HYPERLINK("http://anyluxury.ru/shop/odezhda/futbolki-s-printom/futbolka-pritalennaya-old-patents-knife-melanzh-haki-7075399/" , "70753.99 Футболка приталенная Old Patents. Knife, меланж хаки, размер S")</f>
      </c>
      <c r="C17508" s="4" t="n">
        <v>796.00</v>
      </c>
      <c r="D17508" s="4"/>
    </row>
    <row collapsed="" customFormat="false" customHeight="1" hidden="" ht="14" outlineLevel="0" r="17509">
      <c r="A17509" s="3" t="inlineStr">
        <is>
          <t>17463</t>
        </is>
      </c>
      <c r="B17509" s="4" t="s">
        <f>=HYPERLINK("http://anyluxury.ru/shop/odezhda/futbolki-s-printom/futbolka-pritalennaya-old-patents-knife-melanzh-haki-7075399/" , "70753.99 Футболка приталенная Old Patents. Knife, меланж хаки, размер M")</f>
      </c>
      <c r="C17509" s="4" t="n">
        <v>796.00</v>
      </c>
      <c r="D17509" s="4"/>
    </row>
    <row collapsed="" customFormat="false" customHeight="1" hidden="" ht="14" outlineLevel="0" r="17510">
      <c r="A17510" s="3" t="inlineStr">
        <is>
          <t>17464</t>
        </is>
      </c>
      <c r="B17510" s="4" t="s">
        <f>=HYPERLINK("http://anyluxury.ru/shop/odezhda/futbolki-s-printom/futbolka-pritalennaya-old-patents-lighter-siniy-melanzh-7075440/" , "70754.40 Футболка приталенная Old Patents. Lighter, синий меланж, размер S")</f>
      </c>
      <c r="C17510" s="4" t="n">
        <v>811.00</v>
      </c>
      <c r="D17510" s="4"/>
    </row>
    <row collapsed="" customFormat="false" customHeight="1" hidden="" ht="14" outlineLevel="0" r="17511">
      <c r="A17511" s="3" t="inlineStr">
        <is>
          <t>17465</t>
        </is>
      </c>
      <c r="B17511" s="4" t="s">
        <f>=HYPERLINK("http://anyluxury.ru/shop/odezhda/futbolki-s-printom/futbolka-pritalennaya-old-patents-wheel-goluboy-melanzh-7075514/" , "70755.14 Футболка приталенная Old Patents. Wheel, голубой меланж, размер S")</f>
      </c>
      <c r="C17511" s="4" t="n">
        <v>804.00</v>
      </c>
      <c r="D17511" s="4"/>
    </row>
    <row collapsed="" customFormat="false" customHeight="1" hidden="" ht="14" outlineLevel="0" r="17512">
      <c r="A17512" s="3" t="inlineStr">
        <is>
          <t>17466</t>
        </is>
      </c>
      <c r="B17512" s="4" t="s">
        <f>=HYPERLINK("http://anyluxury.ru/shop/odezhda/futbolki-s-printom/futbolka-muzhskaya-hard-work-7700711/" , "77007.11 Футболка мужская Hard Work, размер S")</f>
      </c>
      <c r="C17512" s="4" t="n">
        <v>891.00</v>
      </c>
      <c r="D17512" s="4"/>
    </row>
    <row collapsed="" customFormat="false" customHeight="1" hidden="" ht="14" outlineLevel="0" r="17513">
      <c r="A17513" s="3" t="inlineStr">
        <is>
          <t>17467</t>
        </is>
      </c>
      <c r="B17513" s="4" t="s">
        <f>=HYPERLINK("http://anyluxury.ru/shop/odezhda/futbolki-s-printom/futbolka-moscow-boy-yarkosinyaya-7005044/" , "70050.44 Футболка Moscow Boy, ярко-синяя, размер S")</f>
      </c>
      <c r="C17513" s="4" t="n">
        <v>736.00</v>
      </c>
      <c r="D17513" s="4"/>
    </row>
    <row collapsed="" customFormat="false" customHeight="1" hidden="" ht="14" outlineLevel="0" r="17514">
      <c r="A17514" s="3" t="inlineStr">
        <is>
          <t>17468</t>
        </is>
      </c>
      <c r="B17514" s="4" t="s">
        <f>=HYPERLINK("http://anyluxury.ru/shop/odezhda/futbolki-s-printom/futbolka-moscow-boy-yarkosinyaya-7005044/" , "70050.44 Футболка Moscow Boy, ярко-синяя, размер M")</f>
      </c>
      <c r="C17514" s="4" t="n">
        <v>681.00</v>
      </c>
      <c r="D17514" s="4"/>
    </row>
    <row collapsed="" customFormat="false" customHeight="1" hidden="" ht="14" outlineLevel="0" r="17515">
      <c r="A17515" s="3" t="inlineStr">
        <is>
          <t>17469</t>
        </is>
      </c>
      <c r="B17515" s="4" t="s">
        <f>=HYPERLINK("http://anyluxury.ru/shop/odezhda/futbolki-s-printom/futbolka-gidonisti-belaya-7005760/" , "70057.60 Футболка «Гидонисты», белая, размер S")</f>
      </c>
      <c r="C17515" s="4" t="n">
        <v>548.00</v>
      </c>
      <c r="D17515" s="4"/>
    </row>
    <row collapsed="" customFormat="false" customHeight="1" hidden="" ht="14" outlineLevel="0" r="17516">
      <c r="A17516" s="3" t="inlineStr">
        <is>
          <t>17470</t>
        </is>
      </c>
      <c r="B17516" s="4" t="s">
        <f>=HYPERLINK("http://anyluxury.ru/shop/odezhda/futbolki-s-printom/futbolka-gidonisti-belaya-7005760/" , "70057.60 Футболка «Гидонисты», белая, размер M")</f>
      </c>
      <c r="C17516" s="4" t="n">
        <v>548.00</v>
      </c>
      <c r="D17516" s="4"/>
    </row>
    <row collapsed="" customFormat="false" customHeight="1" hidden="" ht="14" outlineLevel="0" r="17517">
      <c r="A17517" s="3" t="inlineStr">
        <is>
          <t>17471</t>
        </is>
      </c>
      <c r="B17517" s="4" t="s">
        <f>=HYPERLINK("http://anyluxury.ru/shop/odezhda/futbolki-s-printom/futbolka-yo-ho-hohloma-belaya-7006860/" , "70068.60 Футболка Yo Ho Hohloma, белая, размер XS")</f>
      </c>
      <c r="C17517" s="4" t="n">
        <v>768.00</v>
      </c>
      <c r="D17517" s="4"/>
    </row>
    <row collapsed="" customFormat="false" customHeight="1" hidden="" ht="14" outlineLevel="0" r="17518">
      <c r="A17518" s="3" t="inlineStr">
        <is>
          <t>17472</t>
        </is>
      </c>
      <c r="B17518" s="4" t="s">
        <f>=HYPERLINK("http://anyluxury.ru/shop/odezhda/futbolki-s-printom/futbolka-yo-ho-hohloma-belaya-7006860/" , "70068.60 Футболка Yo Ho Hohloma, белая, размер S")</f>
      </c>
      <c r="C17518" s="4" t="n">
        <v>768.00</v>
      </c>
      <c r="D17518" s="4"/>
    </row>
    <row collapsed="" customFormat="false" customHeight="1" hidden="" ht="14" outlineLevel="0" r="17519">
      <c r="A17519" s="3" t="inlineStr">
        <is>
          <t>17473</t>
        </is>
      </c>
      <c r="B17519" s="4" t="s">
        <f>=HYPERLINK("http://anyluxury.ru/shop/odezhda/futbolki-s-printom/futbolka-zhenskaya-artist-bear-seriy-melanzh-7062911/" , "70629.11 Футболка женская Artist Bear, серый меланж, размер S")</f>
      </c>
      <c r="C17519" s="4" t="n">
        <v>811.00</v>
      </c>
      <c r="D17519" s="4"/>
    </row>
    <row collapsed="" customFormat="false" customHeight="1" hidden="" ht="14" outlineLevel="0" r="17520">
      <c r="A17520" s="3" t="inlineStr">
        <is>
          <t>17474</t>
        </is>
      </c>
      <c r="B17520" s="4" t="s">
        <f>=HYPERLINK("http://anyluxury.ru/shop/odezhda/futbolki-s-printom/futbolka-zhenskaya-artist-bear-seriy-melanzh-7062911/" , "70629.11 Футболка женская Artist Bear, серый меланж, размер M")</f>
      </c>
      <c r="C17520" s="4" t="n">
        <v>811.00</v>
      </c>
      <c r="D17520" s="4"/>
    </row>
    <row collapsed="" customFormat="false" customHeight="1" hidden="" ht="14" outlineLevel="0" r="17521">
      <c r="A17521" s="3" t="inlineStr">
        <is>
          <t>17475</t>
        </is>
      </c>
      <c r="B17521" s="4" t="s">
        <f>=HYPERLINK("http://anyluxury.ru/shop/odezhda/futbolki-s-printom/futbolka-zhenskaya-artist-bear-seriy-melanzh-7062911/" , "70629.11 Футболка женская Artist Bear, серый меланж, размер L")</f>
      </c>
      <c r="C17521" s="4" t="n">
        <v>811.00</v>
      </c>
      <c r="D17521" s="4"/>
    </row>
    <row collapsed="" customFormat="false" customHeight="1" hidden="" ht="14" outlineLevel="0" r="17522">
      <c r="A17522" s="3" t="inlineStr">
        <is>
          <t>17476</t>
        </is>
      </c>
      <c r="B17522" s="4" t="s">
        <f>=HYPERLINK("http://anyluxury.ru/shop/odezhda/futbolki-s-printom/futbolka-zhenskaya-artist-bear-seriy-melanzh-7062911/" , "70629.11 Футболка женская Artist Bear, серый меланж, размер XL")</f>
      </c>
      <c r="C17522" s="4" t="n">
        <v>812.00</v>
      </c>
      <c r="D17522" s="4"/>
    </row>
    <row collapsed="" customFormat="false" customHeight="1" hidden="" ht="14" outlineLevel="0" r="17523">
      <c r="A17523" s="3" t="inlineStr">
        <is>
          <t>17477</t>
        </is>
      </c>
      <c r="B17523" s="4" t="s">
        <f>=HYPERLINK("http://anyluxury.ru/shop/odezhda/futbolki-s-printom/futbolka-muzhskaya-pritalennaya-ping-win-goluboy-melanzh-7191714/" , "71917.14 Футболка мужская приталенная Ping Win, голубой меланж, размер S")</f>
      </c>
      <c r="C17523" s="4" t="n">
        <v>754.00</v>
      </c>
      <c r="D17523" s="4"/>
    </row>
    <row collapsed="" customFormat="false" customHeight="1" hidden="" ht="14" outlineLevel="0" r="17524">
      <c r="A17524" s="3" t="inlineStr">
        <is>
          <t>17478</t>
        </is>
      </c>
      <c r="B17524" s="4" t="s">
        <f>=HYPERLINK("http://anyluxury.ru/shop/odezhda/futbolki-s-printom/futbolka-muzhskaya-pritalennaya-ping-win-goluboy-melanzh-7191714/" , "71917.14 Футболка мужская приталенная Ping Win, голубой меланж, размер M")</f>
      </c>
      <c r="C17524" s="4" t="n">
        <v>754.00</v>
      </c>
      <c r="D17524" s="4"/>
    </row>
    <row collapsed="" customFormat="false" customHeight="1" hidden="" ht="14" outlineLevel="0" r="17525">
      <c r="A17525" s="3" t="inlineStr">
        <is>
          <t>17479</t>
        </is>
      </c>
      <c r="B17525" s="4" t="s">
        <f>=HYPERLINK("http://anyluxury.ru/shop/odezhda/futbolki-s-printom/futbolka-ping-win-rozoviy-melanzh-7191815/" , "71918.15 Футболка Ping Win, розовый меланж, размер XS")</f>
      </c>
      <c r="C17525" s="4" t="n">
        <v>754.00</v>
      </c>
      <c r="D17525" s="4"/>
    </row>
    <row collapsed="" customFormat="false" customHeight="1" hidden="" ht="14" outlineLevel="0" r="17526">
      <c r="A17526" s="3" t="inlineStr">
        <is>
          <t>17480</t>
        </is>
      </c>
      <c r="B17526" s="4" t="s">
        <f>=HYPERLINK("http://anyluxury.ru/shop/odezhda/futbolki-s-printom/futbolka-ping-win-rozoviy-melanzh-7191815/" , "71918.15 Футболка Ping Win, розовый меланж, размер S")</f>
      </c>
      <c r="C17526" s="4" t="n">
        <v>754.00</v>
      </c>
      <c r="D17526" s="4"/>
    </row>
    <row collapsed="" customFormat="false" customHeight="1" hidden="" ht="14" outlineLevel="0" r="17527">
      <c r="A17527" s="3" t="inlineStr">
        <is>
          <t>17481</t>
        </is>
      </c>
      <c r="B17527" s="4" t="s">
        <f>=HYPERLINK("http://anyluxury.ru/shop/odezhda/futbolki-s-printom/futbolka-ping-win-rozoviy-melanzh-7191815/" , "71918.15 Футболка Ping Win, розовый меланж, размер M")</f>
      </c>
      <c r="C17527" s="4" t="n">
        <v>754.00</v>
      </c>
      <c r="D17527" s="4"/>
    </row>
    <row collapsed="" customFormat="false" customHeight="1" hidden="" ht="14" outlineLevel="0" r="17528">
      <c r="A17528" s="3" t="inlineStr">
        <is>
          <t>17482</t>
        </is>
      </c>
      <c r="B17528" s="4" t="s">
        <f>=HYPERLINK("http://anyluxury.ru/shop/odezhda/futbolki-s-printom/futbolka-ping-win-rozoviy-melanzh-7191815/" , "71918.15 Футболка Ping Win, розовый меланж, размер L")</f>
      </c>
      <c r="C17528" s="4" t="n">
        <v>754.00</v>
      </c>
      <c r="D17528" s="4"/>
    </row>
    <row collapsed="" customFormat="false" customHeight="1" hidden="" ht="14" outlineLevel="0" r="17529">
      <c r="A17529" s="3" t="inlineStr">
        <is>
          <t>17483</t>
        </is>
      </c>
      <c r="B17529" s="4" t="s">
        <f>=HYPERLINK("http://anyluxury.ru/shop/odezhda/futbolki-s-printom/futbolka-ping-win-rozoviy-melanzh-7191815/" , "71918.15 Футболка Ping Win, розовый меланж, размер XL")</f>
      </c>
      <c r="C17529" s="4" t="n">
        <v>754.00</v>
      </c>
      <c r="D17529" s="4"/>
    </row>
    <row collapsed="" customFormat="false" customHeight="1" hidden="" ht="14" outlineLevel="0" r="17530">
      <c r="A17530" s="3" t="inlineStr">
        <is>
          <t>17484</t>
        </is>
      </c>
      <c r="B17530" s="4" t="s">
        <f>=HYPERLINK("http://anyluxury.ru/shop/odezhda/futbolki-s-printom/futbolka-zhenskaya-vibrance-yarkosinyaya-royal-7004544/" , "70045.44 Футболка женская Vibrance, ярко-синяя (royal), размер S")</f>
      </c>
      <c r="C17530" s="4" t="n">
        <v>714.00</v>
      </c>
      <c r="D17530" s="4"/>
    </row>
    <row collapsed="" customFormat="false" customHeight="1" hidden="" ht="14" outlineLevel="0" r="17531">
      <c r="A17531" s="3" t="inlineStr">
        <is>
          <t>17485</t>
        </is>
      </c>
      <c r="B17531" s="4" t="s">
        <f>=HYPERLINK("http://anyluxury.ru/shop/odezhda/futbolki-s-printom/futbolka-zhenskaya-vibrance-yarkosinyaya-royal-7004544/" , "70045.44 Футболка женская Vibrance, ярко-синяя (royal), размер XL")</f>
      </c>
      <c r="C17531" s="4" t="n">
        <v>713.00</v>
      </c>
      <c r="D17531" s="4"/>
    </row>
    <row collapsed="" customFormat="false" customHeight="1" hidden="" ht="14" outlineLevel="0" r="17532">
      <c r="A17532" s="3" t="inlineStr">
        <is>
          <t>17486</t>
        </is>
      </c>
      <c r="B17532" s="4" t="s">
        <f>=HYPERLINK("http://anyluxury.ru/shop/odezhda/futbolki-s-printom/futbolka-cherez-odno-mesto-belaya-7061760/" , "70617.60 Футболка «Через одно место», белая, размер XS")</f>
      </c>
      <c r="C17532" s="4" t="n">
        <v>681.00</v>
      </c>
      <c r="D17532" s="4"/>
    </row>
    <row collapsed="" customFormat="false" customHeight="1" hidden="" ht="14" outlineLevel="0" r="17533">
      <c r="A17533" s="3" t="inlineStr">
        <is>
          <t>17487</t>
        </is>
      </c>
      <c r="B17533" s="4" t="s">
        <f>=HYPERLINK("http://anyluxury.ru/shop/odezhda/futbolki-s-printom/futbolka-zhenskaya-i-dont-see-you-belaya-7062860/" , "70628.60 Футболка женская I Don't See You, белая, размер S")</f>
      </c>
      <c r="C17533" s="4" t="n">
        <v>698.00</v>
      </c>
      <c r="D17533" s="4"/>
    </row>
    <row collapsed="" customFormat="false" customHeight="1" hidden="" ht="14" outlineLevel="0" r="17534">
      <c r="A17534" s="3" t="inlineStr">
        <is>
          <t>17488</t>
        </is>
      </c>
      <c r="B17534" s="4" t="s">
        <f>=HYPERLINK("http://anyluxury.ru/shop/odezhda/futbolki-s-printom/futbolka-zhenskaya-i-dont-see-you-belaya-7062860/" , "70628.60 Футболка женскаяI Don't See You, белая, размер M")</f>
      </c>
      <c r="C17534" s="4" t="n">
        <v>698.00</v>
      </c>
      <c r="D17534" s="4"/>
    </row>
    <row collapsed="" customFormat="false" customHeight="1" hidden="" ht="14" outlineLevel="0" r="17535">
      <c r="A17535" s="3" t="inlineStr">
        <is>
          <t>17489</t>
        </is>
      </c>
      <c r="B17535" s="4" t="s">
        <f>=HYPERLINK("http://anyluxury.ru/shop/odezhda/futbolki-s-printom/futbolka-zhenskaya-i-dont-see-you-belaya-7062860/" , "70628.60 Футболка женская I Don't See You, белая, размер L")</f>
      </c>
      <c r="C17535" s="4" t="n">
        <v>698.00</v>
      </c>
      <c r="D17535" s="4"/>
    </row>
    <row collapsed="" customFormat="false" customHeight="1" hidden="" ht="14" outlineLevel="0" r="17536">
      <c r="A17536" s="3" t="inlineStr">
        <is>
          <t>17490</t>
        </is>
      </c>
      <c r="B17536" s="4" t="s">
        <f>=HYPERLINK("http://anyluxury.ru/shop/odezhda/futbolki-s-printom/futbolka-zhenskaya-i-dont-see-you-belaya-7062860/" , "70628.60 Футболка женская I Don't See You, белая, размер XL")</f>
      </c>
      <c r="C17536" s="4" t="n">
        <v>698.00</v>
      </c>
      <c r="D17536" s="4"/>
    </row>
    <row collapsed="" customFormat="false" customHeight="1" hidden="" ht="14" outlineLevel="0" r="17537">
      <c r="A17537" s="3" t="inlineStr">
        <is>
          <t>17491</t>
        </is>
      </c>
      <c r="B17537" s="4" t="s">
        <f>=HYPERLINK("http://anyluxury.ru/shop/odezhda/futbolki-s-printom/futbolka-arial-obitaniya-belaya-7192660/" , "71926.60 Футболка Arial обитания, белая, размер S")</f>
      </c>
      <c r="C17537" s="4" t="n">
        <v>658.00</v>
      </c>
      <c r="D17537" s="4"/>
    </row>
    <row collapsed="" customFormat="false" customHeight="1" hidden="" ht="14" outlineLevel="0" r="17538">
      <c r="A17538" s="3" t="inlineStr">
        <is>
          <t>17492</t>
        </is>
      </c>
      <c r="B17538" s="4" t="s">
        <f>=HYPERLINK("http://anyluxury.ru/shop/odezhda/futbolki-s-printom/futbolka-arial-obitaniya-belaya-7192660/" , "71926.60 Футболка Arial обитания, белая, размер M")</f>
      </c>
      <c r="C17538" s="4" t="n">
        <v>658.00</v>
      </c>
      <c r="D17538" s="4"/>
    </row>
    <row collapsed="" customFormat="false" customHeight="1" hidden="" ht="14" outlineLevel="0" r="17539">
      <c r="A17539" s="3" t="inlineStr">
        <is>
          <t>17493</t>
        </is>
      </c>
      <c r="B17539" s="4" t="s">
        <f>=HYPERLINK("http://anyluxury.ru/shop/odezhda/futbolki-s-printom/futbolka-arial-obitaniya-belaya-7192660/" , "71926.60 Футболка Arial обитания, белая, размер L")</f>
      </c>
      <c r="C17539" s="4" t="n">
        <v>658.00</v>
      </c>
      <c r="D17539" s="4"/>
    </row>
    <row collapsed="" customFormat="false" customHeight="1" hidden="" ht="14" outlineLevel="0" r="17540">
      <c r="A17540" s="3" t="inlineStr">
        <is>
          <t>17494</t>
        </is>
      </c>
      <c r="B17540" s="4" t="s">
        <f>=HYPERLINK("http://anyluxury.ru/shop/odezhda/futbolki-s-printom/futbolka-arial-obitaniya-belaya-7192660/" , "71926.60 Футболка Arial обитания, белая, размер XL")</f>
      </c>
      <c r="C17540" s="4" t="n">
        <v>658.00</v>
      </c>
      <c r="D17540" s="4"/>
    </row>
    <row collapsed="" customFormat="false" customHeight="1" hidden="" ht="14" outlineLevel="0" r="17541">
      <c r="A17541" s="3" t="inlineStr">
        <is>
          <t>17495</t>
        </is>
      </c>
      <c r="B17541" s="4" t="s">
        <f>=HYPERLINK("http://anyluxury.ru/shop/odezhda/futbolki-s-printom/futbolka-arial-obitaniya-belaya-7192660/" , "71926.60 Футболка Arial обитания, белая, размер XXL")</f>
      </c>
      <c r="C17541" s="4" t="n">
        <v>658.00</v>
      </c>
      <c r="D17541" s="4"/>
    </row>
    <row collapsed="" customFormat="false" customHeight="1" hidden="" ht="14" outlineLevel="0" r="17542">
      <c r="A17542" s="3" t="inlineStr">
        <is>
          <t>17496</t>
        </is>
      </c>
      <c r="B17542" s="4" t="s">
        <f>=HYPERLINK("http://anyluxury.ru/shop/odezhda/futbolki-s-printom/mayka-zhenskaya-vibrance-belaya-7004260/" , "70042.60 Майка женская Vibrance, белая, размер S")</f>
      </c>
      <c r="C17542" s="4" t="n">
        <v>782.00</v>
      </c>
      <c r="D17542" s="4"/>
    </row>
    <row collapsed="" customFormat="false" customHeight="1" hidden="" ht="14" outlineLevel="0" r="17543">
      <c r="A17543" s="3" t="inlineStr">
        <is>
          <t>17497</t>
        </is>
      </c>
      <c r="B17543" s="4" t="s">
        <f>=HYPERLINK("http://anyluxury.ru/shop/odezhda/futbolki-s-printom/mayka-zhenskaya-vibrance-belaya-7004260/" , "70042.60 Майка женская Vibrance, белая, размер M")</f>
      </c>
      <c r="C17543" s="4" t="n">
        <v>783.00</v>
      </c>
      <c r="D17543" s="4"/>
    </row>
    <row collapsed="" customFormat="false" customHeight="1" hidden="" ht="14" outlineLevel="0" r="17544">
      <c r="A17544" s="3" t="inlineStr">
        <is>
          <t>17498</t>
        </is>
      </c>
      <c r="B17544" s="4" t="s">
        <f>=HYPERLINK("http://anyluxury.ru/shop/odezhda/futbolki-s-printom/mayka-zhenskaya-vibrance-belaya-7004260/" , "70042.60 Майка женская Vibrance, белая, размер XL")</f>
      </c>
      <c r="C17544" s="4" t="n">
        <v>783.00</v>
      </c>
      <c r="D17544" s="4"/>
    </row>
    <row collapsed="" customFormat="false" customHeight="1" hidden="" ht="14" outlineLevel="0" r="17545">
      <c r="A17545" s="3" t="inlineStr">
        <is>
          <t>17499</t>
        </is>
      </c>
      <c r="B17545" s="4" t="s">
        <f>=HYPERLINK("http://anyluxury.ru/shop/odezhda/futbolki-s-printom/futbolka-kofe-s-soboy-belaya-7031260/" , "70312.60 Футболка «Кофе с собой» белая, размер XL")</f>
      </c>
      <c r="C17545" s="4" t="n">
        <v>666.00</v>
      </c>
      <c r="D17545" s="4"/>
    </row>
    <row collapsed="" customFormat="false" customHeight="1" hidden="" ht="14" outlineLevel="0" r="17546">
      <c r="A17546" s="3" t="inlineStr">
        <is>
          <t>17500</t>
        </is>
      </c>
      <c r="B17546" s="4" t="s">
        <f>=HYPERLINK("http://anyluxury.ru/shop/odezhda/futbolki-s-printom/futbolka-kofe-s-soboy-belaya-7031260/" , "70312.60 Футболка «Кофе с собой» белая, размер XXL")</f>
      </c>
      <c r="C17546" s="4" t="n">
        <v>666.00</v>
      </c>
      <c r="D17546" s="4"/>
    </row>
    <row collapsed="" customFormat="false" customHeight="1" hidden="" ht="14" outlineLevel="0" r="17547">
      <c r="A17547" s="3" t="inlineStr">
        <is>
          <t>17501</t>
        </is>
      </c>
      <c r="B17547" s="4" t="s">
        <f>=HYPERLINK("http://anyluxury.ru/shop/odezhda/futbolki-s-printom/futbolka-zhenskaya-udivitelnaya-koshka-belaya-7077560/" , "70775.60 Футболка женская «Удивительная кошка», белая, размер S")</f>
      </c>
      <c r="C17547" s="4" t="n">
        <v>792.00</v>
      </c>
      <c r="D17547" s="4"/>
    </row>
    <row collapsed="" customFormat="false" customHeight="1" hidden="" ht="14" outlineLevel="0" r="17548">
      <c r="A17548" s="3" t="inlineStr">
        <is>
          <t>17502</t>
        </is>
      </c>
      <c r="B17548" s="4" t="s">
        <f>=HYPERLINK("http://anyluxury.ru/shop/odezhda/futbolki-s-printom/futbolka-zhenskaya-udivitelnaya-koshka-belaya-7077560/" , "70775.60 Футболка женская «Удивительная кошка», белая, размер M")</f>
      </c>
      <c r="C17548" s="4" t="n">
        <v>792.00</v>
      </c>
      <c r="D17548" s="4"/>
    </row>
    <row collapsed="" customFormat="false" customHeight="1" hidden="" ht="14" outlineLevel="0" r="17549">
      <c r="A17549" s="3" t="inlineStr">
        <is>
          <t>17503</t>
        </is>
      </c>
      <c r="B17549" s="4" t="s">
        <f>=HYPERLINK("http://anyluxury.ru/shop/odezhda/futbolki-s-printom/futbolka-zhenskaya-udivitelnaya-koshka-belaya-7077560/" , "70775.60 Футболка женская «Удивительная кошка», белая, размер L")</f>
      </c>
      <c r="C17549" s="4" t="n">
        <v>792.00</v>
      </c>
      <c r="D17549" s="4"/>
    </row>
    <row collapsed="" customFormat="false" customHeight="1" hidden="" ht="14" outlineLevel="0" r="17550">
      <c r="A17550" s="3" t="inlineStr">
        <is>
          <t>17504</t>
        </is>
      </c>
      <c r="B17550" s="4" t="s">
        <f>=HYPERLINK("http://anyluxury.ru/shop/odezhda/futbolki-s-printom/futbolka-zhenskaya-udivitelnaya-koshka-belaya-7077560/" , "70775.60 Футболка женская «Удивительная кошка», белая, размер XL")</f>
      </c>
      <c r="C17550" s="4" t="n">
        <v>792.00</v>
      </c>
      <c r="D17550" s="4"/>
    </row>
    <row collapsed="" customFormat="false" customHeight="1" hidden="" ht="14" outlineLevel="0" r="17551">
      <c r="A17551" s="3" t="inlineStr">
        <is>
          <t>17505</t>
        </is>
      </c>
      <c r="B17551" s="4" t="s">
        <f>=HYPERLINK("http://anyluxury.ru/shop/odezhda/futbolki-s-printom/futbolka-zhenskaya-no-drugs-belaya-7031960/" , "70319.60 Футболка женская No Drugs, белая, размер S")</f>
      </c>
      <c r="C17551" s="4" t="n">
        <v>626.00</v>
      </c>
      <c r="D17551" s="4"/>
    </row>
    <row collapsed="" customFormat="false" customHeight="1" hidden="" ht="14" outlineLevel="0" r="17552">
      <c r="A17552" s="3" t="inlineStr">
        <is>
          <t>17506</t>
        </is>
      </c>
      <c r="B17552" s="4" t="s">
        <f>=HYPERLINK("http://anyluxury.ru/shop/odezhda/futbolki-s-printom/futbolka-zhenskaya-no-drugs-belaya-7031960/" , "70319.60 Футболка женская No Drugs, белая, размер M")</f>
      </c>
      <c r="C17552" s="4" t="n">
        <v>626.00</v>
      </c>
      <c r="D17552" s="4"/>
    </row>
    <row collapsed="" customFormat="false" customHeight="1" hidden="" ht="14" outlineLevel="0" r="17553">
      <c r="A17553" s="3" t="inlineStr">
        <is>
          <t>17507</t>
        </is>
      </c>
      <c r="B17553" s="4" t="s">
        <f>=HYPERLINK("http://anyluxury.ru/shop/odezhda/futbolki-s-printom/futbolka-zhenskaya-no-drugs-belaya-7031960/" , "70319.60 Футболка женская No Drugs, белая, размер L")</f>
      </c>
      <c r="C17553" s="4" t="n">
        <v>626.00</v>
      </c>
      <c r="D17553" s="4"/>
    </row>
    <row collapsed="" customFormat="false" customHeight="1" hidden="" ht="14" outlineLevel="0" r="17554">
      <c r="A17554" s="3" t="inlineStr">
        <is>
          <t>17508</t>
        </is>
      </c>
      <c r="B17554" s="4" t="s">
        <f>=HYPERLINK("http://anyluxury.ru/shop/odezhda/futbolki-s-printom/futbolka-zhenskaya-no-drugs-belaya-7031960/" , "70319.60 Футболка женская No Drugs, белая, размер XL")</f>
      </c>
      <c r="C17554" s="4" t="n">
        <v>626.00</v>
      </c>
      <c r="D17554" s="4"/>
    </row>
    <row collapsed="" customFormat="false" customHeight="1" hidden="" ht="14" outlineLevel="0" r="17555">
      <c r="A17555" s="3" t="inlineStr">
        <is>
          <t>17509</t>
        </is>
      </c>
      <c r="B17555" s="4" t="s">
        <f>=HYPERLINK("http://anyluxury.ru/shop/odezhda/futbolki-s-printom/futbolka-zhenskaya-like-a-penguin-chernaya-7192130/" , "71921.30 Футболка женская Like a Penguin, черная, размер S")</f>
      </c>
      <c r="C17555" s="4" t="n">
        <v>764.00</v>
      </c>
      <c r="D17555" s="4"/>
    </row>
    <row collapsed="" customFormat="false" customHeight="1" hidden="" ht="14" outlineLevel="0" r="17556">
      <c r="A17556" s="3" t="inlineStr">
        <is>
          <t>17510</t>
        </is>
      </c>
      <c r="B17556" s="4" t="s">
        <f>=HYPERLINK("http://anyluxury.ru/shop/odezhda/futbolki-s-printom/futbolka-zhenskaya-like-a-penguin-chernaya-7192130/" , "71921.30 Футболка женская Like a Penguin, черная, размер M")</f>
      </c>
      <c r="C17556" s="4" t="n">
        <v>764.00</v>
      </c>
      <c r="D17556" s="4"/>
    </row>
    <row collapsed="" customFormat="false" customHeight="1" hidden="" ht="14" outlineLevel="0" r="17557">
      <c r="A17557" s="3" t="inlineStr">
        <is>
          <t>17511</t>
        </is>
      </c>
      <c r="B17557" s="4" t="s">
        <f>=HYPERLINK("http://anyluxury.ru/shop/odezhda/futbolki-s-printom/futbolka-zhenskaya-like-a-penguin-chernaya-7192130/" , "71921.30 Футболка женская Like a Penguin, черная, размер L")</f>
      </c>
      <c r="C17557" s="4" t="n">
        <v>764.00</v>
      </c>
      <c r="D17557" s="4"/>
    </row>
    <row collapsed="" customFormat="false" customHeight="1" hidden="" ht="14" outlineLevel="0" r="17558">
      <c r="A17558" s="3" t="inlineStr">
        <is>
          <t>17512</t>
        </is>
      </c>
      <c r="B17558" s="4" t="s">
        <f>=HYPERLINK("http://anyluxury.ru/shop/odezhda/futbolki-s-printom/futbolka-zhenskaya-like-a-penguin-chernaya-7192130/" , "71921.30 Футболка женская Like a Penguin, черная, размер XL")</f>
      </c>
      <c r="C17558" s="4" t="n">
        <v>764.00</v>
      </c>
      <c r="D17558" s="4"/>
    </row>
    <row collapsed="" customFormat="false" customHeight="1" hidden="" ht="14" outlineLevel="0" r="17559">
      <c r="A17559" s="3" t="inlineStr">
        <is>
          <t>17513</t>
        </is>
      </c>
      <c r="B17559" s="4" t="s">
        <f>=HYPERLINK("http://anyluxury.ru/shop/odezhda/futbolki-s-printom/futbolka-no-drugs-belaya-7030960/" , "70309.60 Футболка No Drugs, белая, размер S")</f>
      </c>
      <c r="C17559" s="4" t="n">
        <v>676.00</v>
      </c>
      <c r="D17559" s="4"/>
    </row>
    <row collapsed="" customFormat="false" customHeight="1" hidden="" ht="14" outlineLevel="0" r="17560">
      <c r="A17560" s="3" t="inlineStr">
        <is>
          <t>17514</t>
        </is>
      </c>
      <c r="B17560" s="4" t="s">
        <f>=HYPERLINK("http://anyluxury.ru/shop/odezhda/futbolki-s-printom/futbolka-no-drugs-belaya-7030960/" , "70309.60 Футболка No Drugs, белая, размер L")</f>
      </c>
      <c r="C17560" s="4" t="n">
        <v>676.00</v>
      </c>
      <c r="D17560" s="4"/>
    </row>
    <row collapsed="" customFormat="false" customHeight="1" hidden="" ht="14" outlineLevel="0" r="17561">
      <c r="A17561" s="3" t="inlineStr">
        <is>
          <t>17515</t>
        </is>
      </c>
      <c r="B17561" s="4" t="s">
        <f>=HYPERLINK("http://anyluxury.ru/shop/odezhda/futbolki-s-printom/futbolka-no-drugs-belaya-7030960/" , "70309.60 Футболка No Drugs, белая, размер XL")</f>
      </c>
      <c r="C17561" s="4" t="n">
        <v>675.00</v>
      </c>
      <c r="D17561" s="4"/>
    </row>
    <row collapsed="" customFormat="false" customHeight="1" hidden="" ht="14" outlineLevel="0" r="17562">
      <c r="A17562" s="3" t="inlineStr">
        <is>
          <t>17516</t>
        </is>
      </c>
      <c r="B17562" s="4" t="s">
        <f>=HYPERLINK("http://anyluxury.ru/shop/odezhda/futbolki-s-printom/futbolka-no-drugs-belaya-7030960/" , "70309.60 Футболка No Drugs, белая, размер XXL")</f>
      </c>
      <c r="C17562" s="4" t="n">
        <v>676.00</v>
      </c>
      <c r="D17562" s="4"/>
    </row>
    <row collapsed="" customFormat="false" customHeight="1" hidden="" ht="14" outlineLevel="0" r="17563">
      <c r="A17563" s="3" t="inlineStr">
        <is>
          <t>17517</t>
        </is>
      </c>
      <c r="B17563" s="4" t="s">
        <f>=HYPERLINK("http://anyluxury.ru/shop/odezhda/futbolki-s-printom/futbolka-volka-futbolka-seriy-melanzh-7194311/" , "71943.11 Футболка «Волка футболка», серый меланж, размер S")</f>
      </c>
      <c r="C17563" s="4" t="n">
        <v>1429.00</v>
      </c>
      <c r="D17563" s="4"/>
    </row>
    <row collapsed="" customFormat="false" customHeight="1" hidden="" ht="14" outlineLevel="0" r="17564">
      <c r="A17564" s="3" t="inlineStr">
        <is>
          <t>17518</t>
        </is>
      </c>
      <c r="B17564" s="4" t="s">
        <f>=HYPERLINK("http://anyluxury.ru/shop/odezhda/futbolki-s-printom/futbolka-volka-futbolka-seriy-melanzh-7194311/" , "71943.11 Футболка «Волка футболка», серый меланж, размер M")</f>
      </c>
      <c r="C17564" s="4" t="n">
        <v>1429.00</v>
      </c>
      <c r="D17564" s="4"/>
    </row>
    <row collapsed="" customFormat="false" customHeight="1" hidden="" ht="14" outlineLevel="0" r="17565">
      <c r="A17565" s="3" t="inlineStr">
        <is>
          <t>17519</t>
        </is>
      </c>
      <c r="B17565" s="4" t="s">
        <f>=HYPERLINK("http://anyluxury.ru/shop/odezhda/futbolki-s-printom/futbolka-volka-futbolka-seriy-melanzh-7194311/" , "71943.11 Футболка «Волка футболка», серый меланж, размер L")</f>
      </c>
      <c r="C17565" s="4" t="n">
        <v>1429.00</v>
      </c>
      <c r="D17565" s="4"/>
    </row>
    <row collapsed="" customFormat="false" customHeight="1" hidden="" ht="14" outlineLevel="0" r="17566">
      <c r="A17566" s="3" t="inlineStr">
        <is>
          <t>17520</t>
        </is>
      </c>
      <c r="B17566" s="4" t="s">
        <f>=HYPERLINK("http://anyluxury.ru/shop/odezhda/futbolki-s-printom/futbolka-zhenskaya-giganti-vselennoy-belaya-7040560/" , "70405.60 Футболка женская «Гиганты Вселенной», белая, размер S")</f>
      </c>
      <c r="C17566" s="4" t="n">
        <v>736.00</v>
      </c>
      <c r="D17566" s="4"/>
    </row>
    <row collapsed="" customFormat="false" customHeight="1" hidden="" ht="14" outlineLevel="0" r="17567">
      <c r="A17567" s="3" t="inlineStr">
        <is>
          <t>17521</t>
        </is>
      </c>
      <c r="B17567" s="4" t="s">
        <f>=HYPERLINK("http://anyluxury.ru/shop/odezhda/futbolki-s-printom/futbolka-zhenskaya-giganti-vselennoy-belaya-7040560/" , "70405.60 Футболка женская «Гиганты Вселенной», белая, размер M")</f>
      </c>
      <c r="C17567" s="4" t="n">
        <v>736.00</v>
      </c>
      <c r="D17567" s="4"/>
    </row>
    <row collapsed="" customFormat="false" customHeight="1" hidden="" ht="14" outlineLevel="0" r="17568">
      <c r="A17568" s="3" t="inlineStr">
        <is>
          <t>17522</t>
        </is>
      </c>
      <c r="B17568" s="4" t="s">
        <f>=HYPERLINK("http://anyluxury.ru/shop/odezhda/futbolki-s-printom/futbolka-zhenskaya-giganti-vselennoy-belaya-7040560/" , "70405.60 Футболка женская «Гиганты Вселенной», белая, размер L")</f>
      </c>
      <c r="C17568" s="4" t="n">
        <v>736.00</v>
      </c>
      <c r="D17568" s="4"/>
    </row>
    <row collapsed="" customFormat="false" customHeight="1" hidden="" ht="14" outlineLevel="0" r="17569">
      <c r="A17569" s="3" t="inlineStr">
        <is>
          <t>17523</t>
        </is>
      </c>
      <c r="B17569" s="4" t="s">
        <f>=HYPERLINK("http://anyluxury.ru/shop/odezhda/futbolki-s-printom/futbolka-zhenskaya-giganti-vselennoy-belaya-7040560/" , "70405.60 Футболка женская «Гиганты Вселенной», белая, размер XL")</f>
      </c>
      <c r="C17569" s="4" t="n">
        <v>736.00</v>
      </c>
      <c r="D17569" s="4"/>
    </row>
    <row collapsed="" customFormat="false" customHeight="1" hidden="" ht="14" outlineLevel="0" r="17570">
      <c r="A17570" s="3" t="inlineStr">
        <is>
          <t>17524</t>
        </is>
      </c>
      <c r="B17570" s="4" t="s">
        <f>=HYPERLINK("http://anyluxury.ru/shop/odezhda/futbolki-s-printom/futbolka-suprematism-belaya-7035060/" , "70350.60 Футболка Suprematism, белая, размер S")</f>
      </c>
      <c r="C17570" s="4" t="n">
        <v>670.00</v>
      </c>
      <c r="D17570" s="4"/>
    </row>
    <row collapsed="" customFormat="false" customHeight="1" hidden="" ht="14" outlineLevel="0" r="17571">
      <c r="A17571" s="3" t="inlineStr">
        <is>
          <t>17525</t>
        </is>
      </c>
      <c r="B17571" s="4" t="s">
        <f>=HYPERLINK("http://anyluxury.ru/shop/odezhda/futbolki-s-printom/futbolka-suprematism-belaya-7035060/" , "70350.60 Футболка Suprematism, белая, размер M")</f>
      </c>
      <c r="C17571" s="4" t="n">
        <v>670.00</v>
      </c>
      <c r="D17571" s="4"/>
    </row>
    <row collapsed="" customFormat="false" customHeight="1" hidden="" ht="14" outlineLevel="0" r="17572">
      <c r="A17572" s="3" t="inlineStr">
        <is>
          <t>17526</t>
        </is>
      </c>
      <c r="B17572" s="4" t="s">
        <f>=HYPERLINK("http://anyluxury.ru/shop/odezhda/futbolki-s-printom/futbolka-suprematism-belaya-7035060/" , "70350.60 Футболка Suprematism, белая, размер L")</f>
      </c>
      <c r="C17572" s="4" t="n">
        <v>670.00</v>
      </c>
      <c r="D17572" s="4"/>
    </row>
    <row collapsed="" customFormat="false" customHeight="1" hidden="" ht="14" outlineLevel="0" r="17573">
      <c r="A17573" s="3" t="inlineStr">
        <is>
          <t>17527</t>
        </is>
      </c>
      <c r="B17573" s="4" t="s">
        <f>=HYPERLINK("http://anyluxury.ru/shop/odezhda/futbolki-s-printom/futbolka-suprematism-belaya-7035060/" , "70350.60 Футболка Suprematism, белая, размер XL")</f>
      </c>
      <c r="C17573" s="4" t="n">
        <v>670.00</v>
      </c>
      <c r="D17573" s="4"/>
    </row>
    <row collapsed="" customFormat="false" customHeight="1" hidden="" ht="14" outlineLevel="0" r="17574">
      <c r="A17574" s="3" t="inlineStr">
        <is>
          <t>17528</t>
        </is>
      </c>
      <c r="B17574" s="4" t="s">
        <f>=HYPERLINK("http://anyluxury.ru/shop/odezhda/futbolki-s-printom/futbolka-suprematism-belaya-7035060/" , "70350.60 Футболка Suprematism, белая, размер XXL")</f>
      </c>
      <c r="C17574" s="4" t="n">
        <v>670.00</v>
      </c>
      <c r="D17574" s="4"/>
    </row>
    <row collapsed="" customFormat="false" customHeight="1" hidden="" ht="14" outlineLevel="0" r="17575">
      <c r="A17575" s="3" t="inlineStr">
        <is>
          <t>17529</t>
        </is>
      </c>
      <c r="B17575" s="4" t="s">
        <f>=HYPERLINK("http://anyluxury.ru/shop/odezhda/futbolki-s-printom/futbolka-muzhskaya-nosorock-seriy-melanzh-7032711/" , "70327.11 Футболка мужская NosoRock, серый меланж, размер S")</f>
      </c>
      <c r="C17575" s="4" t="n">
        <v>774.00</v>
      </c>
      <c r="D17575" s="4"/>
    </row>
    <row collapsed="" customFormat="false" customHeight="1" hidden="" ht="14" outlineLevel="0" r="17576">
      <c r="A17576" s="3" t="inlineStr">
        <is>
          <t>17530</t>
        </is>
      </c>
      <c r="B17576" s="4" t="s">
        <f>=HYPERLINK("http://anyluxury.ru/shop/odezhda/futbolki-s-printom/futbolka-muzhskaya-nosorock-seriy-melanzh-7032711/" , "70327.11 Футболка мужская NosoRock, серый меланж, размер M")</f>
      </c>
      <c r="C17576" s="4" t="n">
        <v>774.00</v>
      </c>
      <c r="D17576" s="4"/>
    </row>
    <row collapsed="" customFormat="false" customHeight="1" hidden="" ht="14" outlineLevel="0" r="17577">
      <c r="A17577" s="3" t="inlineStr">
        <is>
          <t>17531</t>
        </is>
      </c>
      <c r="B17577" s="4" t="s">
        <f>=HYPERLINK("http://anyluxury.ru/shop/odezhda/futbolki-s-printom/mayka-zhenskaya-artrokstar-kiss-me-chernaya-7035730/" , "70357.30 Майка женская «Арт-рокстар. Kiss Me», черная, размер S")</f>
      </c>
      <c r="C17577" s="4" t="n">
        <v>834.00</v>
      </c>
      <c r="D17577" s="4"/>
    </row>
    <row collapsed="" customFormat="false" customHeight="1" hidden="" ht="14" outlineLevel="0" r="17578">
      <c r="A17578" s="3" t="inlineStr">
        <is>
          <t>17532</t>
        </is>
      </c>
      <c r="B17578" s="4" t="s">
        <f>=HYPERLINK("http://anyluxury.ru/shop/odezhda/futbolki-s-printom/mayka-zhenskaya-artrokstar-kiss-me-chernaya-7035730/" , "70357.30 Майка женская «Арт-рокстар. Kiss Me», черная, размер M")</f>
      </c>
      <c r="C17578" s="4" t="n">
        <v>834.00</v>
      </c>
      <c r="D17578" s="4"/>
    </row>
    <row collapsed="" customFormat="false" customHeight="1" hidden="" ht="14" outlineLevel="0" r="17579">
      <c r="A17579" s="3" t="inlineStr">
        <is>
          <t>17533</t>
        </is>
      </c>
      <c r="B17579" s="4" t="s">
        <f>=HYPERLINK("http://anyluxury.ru/shop/odezhda/futbolki-s-printom/futbolka-zhenskaya-artrokstar-kiss-me-chernaya-7035930/" , "70359.30 Футболка женская «Арт-рокстар. Kiss me», черная, размер S")</f>
      </c>
      <c r="C17579" s="4" t="n">
        <v>724.00</v>
      </c>
      <c r="D17579" s="4"/>
    </row>
    <row collapsed="" customFormat="false" customHeight="1" hidden="" ht="14" outlineLevel="0" r="17580">
      <c r="A17580" s="3" t="inlineStr">
        <is>
          <t>17534</t>
        </is>
      </c>
      <c r="B17580" s="4" t="s">
        <f>=HYPERLINK("http://anyluxury.ru/shop/odezhda/futbolki-s-printom/futbolka-zhenskaya-artrokstar-kiss-me-chernaya-7035930/" , "70359.30 Футболка женская «Арт-рокстар. Kiss me», черная, размер M")</f>
      </c>
      <c r="C17580" s="4" t="n">
        <v>724.00</v>
      </c>
      <c r="D17580" s="4"/>
    </row>
    <row collapsed="" customFormat="false" customHeight="1" hidden="" ht="14" outlineLevel="0" r="17581">
      <c r="A17581" s="3" t="inlineStr">
        <is>
          <t>17535</t>
        </is>
      </c>
      <c r="B17581" s="4" t="s">
        <f>=HYPERLINK("http://anyluxury.ru/shop/odezhda/futbolki-s-printom/futbolka-zhenskaya-artrokstar-kiss-me-chernaya-7035930/" , "70359.30 Футболка женская «Арт-рокстар. Kiss me», черная, размер L")</f>
      </c>
      <c r="C17581" s="4" t="n">
        <v>724.00</v>
      </c>
      <c r="D17581" s="4"/>
    </row>
    <row collapsed="" customFormat="false" customHeight="1" hidden="" ht="14" outlineLevel="0" r="17582">
      <c r="A17582" s="3" t="inlineStr">
        <is>
          <t>17536</t>
        </is>
      </c>
      <c r="B17582" s="4" t="s">
        <f>=HYPERLINK("http://anyluxury.ru/shop/odezhda/futbolki-s-printom/futbolka-zhenskaya-artrokstar-kiss-me-chernaya-7035930/" , "70359.30 Футболка женская «Арт-рокстар. Kiss me», черная, размер XL")</f>
      </c>
      <c r="C17582" s="4" t="n">
        <v>724.00</v>
      </c>
      <c r="D17582" s="4"/>
    </row>
    <row collapsed="" customFormat="false" customHeight="1" hidden="" ht="14" outlineLevel="0" r="17583">
      <c r="A17583" s="3" t="inlineStr">
        <is>
          <t>17537</t>
        </is>
      </c>
      <c r="B17583" s="4" t="s">
        <f>=HYPERLINK("http://anyluxury.ru/shop/odezhda/futbolki-s-printom/futbolka-muzhskaya-deep-thinker-zelenaya-7077991/" , "70779.91 Футболка мужская Deep Thinker, зеленая, размер S")</f>
      </c>
      <c r="C17583" s="4" t="n">
        <v>764.00</v>
      </c>
      <c r="D17583" s="4"/>
    </row>
    <row collapsed="" customFormat="false" customHeight="1" hidden="" ht="14" outlineLevel="0" r="17584">
      <c r="A17584" s="3" t="inlineStr">
        <is>
          <t>17538</t>
        </is>
      </c>
      <c r="B17584" s="4" t="s">
        <f>=HYPERLINK("http://anyluxury.ru/shop/odezhda/futbolki-s-printom/futbolka-muzhskaya-deep-thinker-zelenaya-7077991/" , "70779.91 Футболка мужская Deep Thinker, зеленая, размер M")</f>
      </c>
      <c r="C17584" s="4" t="n">
        <v>765.00</v>
      </c>
      <c r="D17584" s="4"/>
    </row>
    <row collapsed="" customFormat="false" customHeight="1" hidden="" ht="14" outlineLevel="0" r="17585">
      <c r="A17585" s="3" t="inlineStr">
        <is>
          <t>17539</t>
        </is>
      </c>
      <c r="B17585" s="4" t="s">
        <f>=HYPERLINK("http://anyluxury.ru/shop/odezhda/futbolki-s-printom/futbolka-muzhskaya-deep-thinker-zelenaya-7077991/" , "70779.91 Футболка мужская Deep Thinker, зеленая, размер XXL")</f>
      </c>
      <c r="C17585" s="4" t="n">
        <v>765.00</v>
      </c>
      <c r="D17585" s="4"/>
    </row>
    <row collapsed="" customFormat="false" customHeight="1" hidden="" ht="14" outlineLevel="0" r="17586">
      <c r="A17586" s="3" t="inlineStr">
        <is>
          <t>17540</t>
        </is>
      </c>
      <c r="B17586" s="4" t="s">
        <f>=HYPERLINK("http://anyluxury.ru/shop/odezhda/futbolki-s-printom/futbolka-zhenskaya-kabi-ya-bila-carica-belaya-7064160/" , "70641.60 Футболка женская «Кабы я была царица», белая, размер S")</f>
      </c>
      <c r="C17586" s="4" t="n">
        <v>604.00</v>
      </c>
      <c r="D17586" s="4"/>
    </row>
    <row collapsed="" customFormat="false" customHeight="1" hidden="" ht="14" outlineLevel="0" r="17587">
      <c r="A17587" s="3" t="inlineStr">
        <is>
          <t>17541</t>
        </is>
      </c>
      <c r="B17587" s="4" t="s">
        <f>=HYPERLINK("http://anyluxury.ru/shop/odezhda/futbolki-s-printom/futbolka-zhenskaya-kabi-ya-bila-carica-belaya-7064160/" , "70641.60 Футболка женская «Кабы я была царица», белая, размер M")</f>
      </c>
      <c r="C17587" s="4" t="n">
        <v>604.00</v>
      </c>
      <c r="D17587" s="4"/>
    </row>
    <row collapsed="" customFormat="false" customHeight="1" hidden="" ht="14" outlineLevel="0" r="17588">
      <c r="A17588" s="3" t="inlineStr">
        <is>
          <t>17542</t>
        </is>
      </c>
      <c r="B17588" s="4" t="s">
        <f>=HYPERLINK("http://anyluxury.ru/shop/odezhda/futbolki-s-printom/futbolka-zhenskaya-kabi-ya-bila-carica-belaya-7064160/" , "70641.60 Футболка женская «Кабы я была царица», белая, размер XL")</f>
      </c>
      <c r="C17588" s="4" t="n">
        <v>604.00</v>
      </c>
      <c r="D17588" s="4"/>
    </row>
    <row collapsed="" customFormat="false" customHeight="1" hidden="" ht="14" outlineLevel="0" r="17589">
      <c r="A17589" s="3" t="inlineStr">
        <is>
          <t>17543</t>
        </is>
      </c>
      <c r="B17589" s="4" t="s">
        <f>=HYPERLINK("http://anyluxury.ru/shop/odezhda/futbolki-s-printom/futbolka-zhenskaya-lyubitelnica-belaya-7057460/" , "70574.60 Футболка женская «Любительница», белая, размер S")</f>
      </c>
      <c r="C17589" s="4" t="n">
        <v>577.00</v>
      </c>
      <c r="D17589" s="4"/>
    </row>
    <row collapsed="" customFormat="false" customHeight="1" hidden="" ht="14" outlineLevel="0" r="17590">
      <c r="A17590" s="3" t="inlineStr">
        <is>
          <t>17544</t>
        </is>
      </c>
      <c r="B17590" s="4" t="s">
        <f>=HYPERLINK("http://anyluxury.ru/shop/odezhda/futbolki-s-printom/futbolka-zhenskaya-lyubitelnica-belaya-7057460/" , "70574.60 Футболка женская «Любительница», белая, размер M")</f>
      </c>
      <c r="C17590" s="4" t="n">
        <v>578.00</v>
      </c>
      <c r="D17590" s="4"/>
    </row>
    <row collapsed="" customFormat="false" customHeight="1" hidden="" ht="14" outlineLevel="0" r="17591">
      <c r="A17591" s="3" t="inlineStr">
        <is>
          <t>17545</t>
        </is>
      </c>
      <c r="B17591" s="4" t="s">
        <f>=HYPERLINK("http://anyluxury.ru/shop/odezhda/futbolki-s-printom/futbolka-zhenskaya-lyubitelnica-belaya-7057460/" , "70574.60 Футболка женская «Любительница», белая, размер L")</f>
      </c>
      <c r="C17591" s="4" t="n">
        <v>578.00</v>
      </c>
      <c r="D17591" s="4"/>
    </row>
    <row collapsed="" customFormat="false" customHeight="1" hidden="" ht="14" outlineLevel="0" r="17592">
      <c r="A17592" s="3" t="inlineStr">
        <is>
          <t>17546</t>
        </is>
      </c>
      <c r="B17592" s="4" t="s">
        <f>=HYPERLINK("http://anyluxury.ru/shop/odezhda/futbolki-s-printom/futbolka-zhenskaya-nogiotushey-belaya-7058260/" , "70582.60 Футболка женская «Ногиотушей», белая, размер S")</f>
      </c>
      <c r="C17592" s="4" t="n">
        <v>1142.00</v>
      </c>
      <c r="D17592" s="4"/>
    </row>
    <row collapsed="" customFormat="false" customHeight="1" hidden="" ht="14" outlineLevel="0" r="17593">
      <c r="A17593" s="3" t="inlineStr">
        <is>
          <t>17547</t>
        </is>
      </c>
      <c r="B17593" s="4" t="s">
        <f>=HYPERLINK("http://anyluxury.ru/shop/odezhda/futbolki-s-printom/futbolka-zhenskaya-nogiotushey-belaya-7058260/" , "70582.60 Футболка женская «Ногиотушей», белая, размер M")</f>
      </c>
      <c r="C17593" s="4" t="n">
        <v>1142.00</v>
      </c>
      <c r="D17593" s="4"/>
    </row>
    <row collapsed="" customFormat="false" customHeight="1" hidden="" ht="14" outlineLevel="0" r="17594">
      <c r="A17594" s="3" t="inlineStr">
        <is>
          <t>17548</t>
        </is>
      </c>
      <c r="B17594" s="4" t="s">
        <f>=HYPERLINK("http://anyluxury.ru/shop/odezhda/futbolki-s-printom/futbolka-zhenskaya-nogiotushey-belaya-7058260/" , "70582.60 Футболка женская «Ногиотушей», белая, размер L")</f>
      </c>
      <c r="C17594" s="4" t="n">
        <v>1142.00</v>
      </c>
      <c r="D17594" s="4"/>
    </row>
    <row collapsed="" customFormat="false" customHeight="1" hidden="" ht="14" outlineLevel="0" r="17595">
      <c r="A17595" s="3" t="inlineStr">
        <is>
          <t>17549</t>
        </is>
      </c>
      <c r="B17595" s="4" t="s">
        <f>=HYPERLINK("http://anyluxury.ru/shop/odezhda/futbolki-s-printom/futbolka-zhenskaya-nogiotushey-belaya-7058260/" , "70582.60 Футболка женская «Ногиотушей», белая, размер XL")</f>
      </c>
      <c r="C17595" s="4" t="n">
        <v>1142.00</v>
      </c>
      <c r="D17595" s="4"/>
    </row>
    <row collapsed="" customFormat="false" customHeight="1" hidden="" ht="14" outlineLevel="0" r="17596">
      <c r="A17596" s="3" t="inlineStr">
        <is>
          <t>17550</t>
        </is>
      </c>
      <c r="B17596" s="4" t="s">
        <f>=HYPERLINK("http://anyluxury.ru/shop/odezhda/futbolki-s-printom/futbolka-avariyniy-vidoh-belaya-7060060/" , "70600.60 Футболка «Аварийный выдох», белая, размер S")</f>
      </c>
      <c r="C17596" s="4" t="n">
        <v>670.00</v>
      </c>
      <c r="D17596" s="4"/>
    </row>
    <row collapsed="" customFormat="false" customHeight="1" hidden="" ht="14" outlineLevel="0" r="17597">
      <c r="A17597" s="3" t="inlineStr">
        <is>
          <t>17551</t>
        </is>
      </c>
      <c r="B17597" s="4" t="s">
        <f>=HYPERLINK("http://anyluxury.ru/shop/odezhda/futbolki-s-printom/futbolka-avariyniy-vidoh-belaya-7060060/" , "70600.60 Футболка «Аварийный выдох», белая, размер M")</f>
      </c>
      <c r="C17597" s="4" t="n">
        <v>670.00</v>
      </c>
      <c r="D17597" s="4"/>
    </row>
    <row collapsed="" customFormat="false" customHeight="1" hidden="" ht="14" outlineLevel="0" r="17598">
      <c r="A17598" s="3" t="inlineStr">
        <is>
          <t>17552</t>
        </is>
      </c>
      <c r="B17598" s="4" t="s">
        <f>=HYPERLINK("http://anyluxury.ru/shop/odezhda/futbolki-s-printom/futbolka-avariyniy-vidoh-belaya-7060060/" , "70600.60 Футболка «Аварийный выдох», белая, размер L")</f>
      </c>
      <c r="C17598" s="4" t="n">
        <v>670.00</v>
      </c>
      <c r="D17598" s="4"/>
    </row>
    <row collapsed="" customFormat="false" customHeight="1" hidden="" ht="14" outlineLevel="0" r="17599">
      <c r="A17599" s="3" t="inlineStr">
        <is>
          <t>17553</t>
        </is>
      </c>
      <c r="B17599" s="4" t="s">
        <f>=HYPERLINK("http://anyluxury.ru/shop/odezhda/futbolki-s-printom/futbolka-avariyniy-vidoh-belaya-7060060/" , "70600.60 Футболка «Аварийный выдох», белая, размер XL")</f>
      </c>
      <c r="C17599" s="4" t="n">
        <v>670.00</v>
      </c>
      <c r="D17599" s="4"/>
    </row>
    <row collapsed="" customFormat="false" customHeight="1" hidden="" ht="14" outlineLevel="0" r="17600">
      <c r="A17600" s="3" t="inlineStr">
        <is>
          <t>17554</t>
        </is>
      </c>
      <c r="B17600" s="4" t="s">
        <f>=HYPERLINK("http://anyluxury.ru/shop/odezhda/futbolki-s-printom/futbolka-avariyniy-vidoh-belaya-7060060/" , "70600.60 Футболка «Аварийный выдох», белая, размер XXL")</f>
      </c>
      <c r="C17600" s="4" t="n">
        <v>670.00</v>
      </c>
      <c r="D17600" s="4"/>
    </row>
    <row collapsed="" customFormat="false" customHeight="1" hidden="" ht="14" outlineLevel="0" r="17601">
      <c r="A17601" s="3" t="inlineStr">
        <is>
          <t>17555</t>
        </is>
      </c>
      <c r="B17601" s="4" t="s">
        <f>=HYPERLINK("http://anyluxury.ru/shop/odezhda/futbolki-s-printom/futbolka-bro-temnosinyaya-7059440/" , "70594.40 Футболка «Бро», темно-синяя, размер S")</f>
      </c>
      <c r="C17601" s="4" t="n">
        <v>1327.00</v>
      </c>
      <c r="D17601" s="4"/>
    </row>
    <row collapsed="" customFormat="false" customHeight="1" hidden="" ht="14" outlineLevel="0" r="17602">
      <c r="A17602" s="3" t="inlineStr">
        <is>
          <t>17556</t>
        </is>
      </c>
      <c r="B17602" s="4" t="s">
        <f>=HYPERLINK("http://anyluxury.ru/shop/odezhda/futbolki-s-printom/futbolka-bro-temnosinyaya-7059440/" , "70594.40 Футболка «Бро», темно-синяя, размер M")</f>
      </c>
      <c r="C17602" s="4" t="n">
        <v>1327.00</v>
      </c>
      <c r="D17602" s="4"/>
    </row>
    <row collapsed="" customFormat="false" customHeight="1" hidden="" ht="14" outlineLevel="0" r="17603">
      <c r="A17603" s="3" t="inlineStr">
        <is>
          <t>17557</t>
        </is>
      </c>
      <c r="B17603" s="4" t="s">
        <f>=HYPERLINK("http://anyluxury.ru/shop/odezhda/futbolki-s-printom/futbolka-bro-temnosinyaya-7059440/" , "70594.40 Футболка «Бро», темно-синяя, размер L")</f>
      </c>
      <c r="C17603" s="4" t="n">
        <v>1327.00</v>
      </c>
      <c r="D17603" s="4"/>
    </row>
    <row collapsed="" customFormat="false" customHeight="1" hidden="" ht="14" outlineLevel="0" r="17604">
      <c r="A17604" s="3" t="inlineStr">
        <is>
          <t>17558</t>
        </is>
      </c>
      <c r="B17604" s="4" t="s">
        <f>=HYPERLINK("http://anyluxury.ru/shop/odezhda/futbolki-s-printom/futbolka-bro-temnosinyaya-7059440/" , "70594.40 Футболка «Бро», темно-синяя, размер XL")</f>
      </c>
      <c r="C17604" s="4" t="n">
        <v>1327.00</v>
      </c>
      <c r="D17604" s="4"/>
    </row>
    <row collapsed="" customFormat="false" customHeight="1" hidden="" ht="14" outlineLevel="0" r="17605">
      <c r="A17605" s="3" t="inlineStr">
        <is>
          <t>17559</t>
        </is>
      </c>
      <c r="B17605" s="4" t="s">
        <f>=HYPERLINK("http://anyluxury.ru/shop/odezhda/futbolki-s-printom/futbolka-bro-temnosinyaya-7059440/" , "70594.40 Футболка «Бро», темно-синяя, размер XXL")</f>
      </c>
      <c r="C17605" s="4" t="n">
        <v>1327.00</v>
      </c>
      <c r="D17605" s="4"/>
    </row>
    <row collapsed="" customFormat="false" customHeight="1" hidden="" ht="14" outlineLevel="0" r="17606">
      <c r="A17606" s="3" t="inlineStr">
        <is>
          <t>17560</t>
        </is>
      </c>
      <c r="B17606" s="4" t="s">
        <f>=HYPERLINK("http://anyluxury.ru/shop/odezhda/futbolki-s-printom/futbolka-zhenskaya-prosto-carica-belaya-7064260/" , "70642.60 Футболка женская «Просто царица», белая, размер S")</f>
      </c>
      <c r="C17606" s="4" t="n">
        <v>577.00</v>
      </c>
      <c r="D17606" s="4"/>
    </row>
    <row collapsed="" customFormat="false" customHeight="1" hidden="" ht="14" outlineLevel="0" r="17607">
      <c r="A17607" s="3" t="inlineStr">
        <is>
          <t>17561</t>
        </is>
      </c>
      <c r="B17607" s="4" t="s">
        <f>=HYPERLINK("http://anyluxury.ru/shop/odezhda/futbolki-s-printom/futbolka-prosto-car-belaya-7064360/" , "70643.60 Футболка «Просто царь», белая, размер S")</f>
      </c>
      <c r="C17607" s="4" t="n">
        <v>714.00</v>
      </c>
      <c r="D17607" s="4"/>
    </row>
    <row collapsed="" customFormat="false" customHeight="1" hidden="" ht="14" outlineLevel="0" r="17608">
      <c r="A17608" s="3" t="inlineStr">
        <is>
          <t>17562</t>
        </is>
      </c>
      <c r="B17608" s="4" t="s">
        <f>=HYPERLINK("http://anyluxury.ru/shop/odezhda/futbolki-s-printom/futbolka-vihoda-est-chernaya-7059830/" , "70598.30 Футболка «Выхода есть», черная, размер S")</f>
      </c>
      <c r="C17608" s="4" t="n">
        <v>754.00</v>
      </c>
      <c r="D17608" s="4"/>
    </row>
    <row collapsed="" customFormat="false" customHeight="1" hidden="" ht="14" outlineLevel="0" r="17609">
      <c r="A17609" s="3" t="inlineStr">
        <is>
          <t>17563</t>
        </is>
      </c>
      <c r="B17609" s="4" t="s">
        <f>=HYPERLINK("http://anyluxury.ru/shop/odezhda/futbolki-s-printom/futbolka-muzhskaya-artrokstar-kiss-me-chernaya-7035830/" , "70358.30 Футболка мужская «Арт-рокстар. Kiss Me», черная, размер S")</f>
      </c>
      <c r="C17609" s="4" t="n">
        <v>736.00</v>
      </c>
      <c r="D17609" s="4"/>
    </row>
    <row collapsed="" customFormat="false" customHeight="1" hidden="" ht="14" outlineLevel="0" r="17610">
      <c r="A17610" s="3" t="inlineStr">
        <is>
          <t>17564</t>
        </is>
      </c>
      <c r="B17610" s="4" t="s">
        <f>=HYPERLINK("http://anyluxury.ru/shop/odezhda/futbolki-s-printom/futbolka-muzhskaya-artrokstar-kiss-me-chernaya-7035830/" , "70358.30 Футболка мужская «Арт-рокстар. Kiss Me», черная, размер M")</f>
      </c>
      <c r="C17610" s="4" t="n">
        <v>736.00</v>
      </c>
      <c r="D17610" s="4"/>
    </row>
    <row collapsed="" customFormat="false" customHeight="1" hidden="" ht="14" outlineLevel="0" r="17611">
      <c r="A17611" s="3" t="inlineStr">
        <is>
          <t>17565</t>
        </is>
      </c>
      <c r="B17611" s="4" t="s">
        <f>=HYPERLINK("http://anyluxury.ru/shop/odezhda/futbolki-s-printom/futbolka-muzhskaya-artrokstar-kiss-me-chernaya-7035830/" , "70358.30 Футболка мужская «Арт-рокстар. Kiss Me», черная, размер L")</f>
      </c>
      <c r="C17611" s="4" t="n">
        <v>736.00</v>
      </c>
      <c r="D17611" s="4"/>
    </row>
    <row collapsed="" customFormat="false" customHeight="1" hidden="" ht="14" outlineLevel="0" r="17612">
      <c r="A17612" s="3" t="inlineStr">
        <is>
          <t>17566</t>
        </is>
      </c>
      <c r="B17612" s="4" t="s">
        <f>=HYPERLINK("http://anyluxury.ru/shop/odezhda/futbolki-s-printom/futbolka-muzhskaya-artrokstar-kiss-me-chernaya-7035830/" , "70358.30 Футболка мужская «Арт-рокстар. Kiss Me», черная, размер XL")</f>
      </c>
      <c r="C17612" s="4" t="n">
        <v>737.00</v>
      </c>
      <c r="D17612" s="4"/>
    </row>
    <row collapsed="" customFormat="false" customHeight="1" hidden="" ht="14" outlineLevel="0" r="17613">
      <c r="A17613" s="3" t="inlineStr">
        <is>
          <t>17567</t>
        </is>
      </c>
      <c r="B17613" s="4" t="s">
        <f>=HYPERLINK("http://anyluxury.ru/shop/odezhda/futbolki-s-printom/futbolka-muzhskaya-artrokstar-kiss-me-chernaya-7035830/" , "70358.30 Футболка мужская «Арт-рокстар. Kiss Me», черная, размер XXL")</f>
      </c>
      <c r="C17613" s="4" t="n">
        <v>736.00</v>
      </c>
      <c r="D17613" s="4"/>
    </row>
    <row collapsed="" customFormat="false" customHeight="1" hidden="" ht="14" outlineLevel="0" r="17614">
      <c r="A17614" s="3" t="inlineStr">
        <is>
          <t>17568</t>
        </is>
      </c>
      <c r="B17614" s="4" t="s">
        <f>=HYPERLINK("http://anyluxury.ru/shop/odezhda/futbolki-s-printom/futbolka-zhenskaya-babon-temnosinyaya-7059140/" , "70591.40 Футболка женская «Бабон», темно-синяя, размер S")</f>
      </c>
      <c r="C17614" s="4" t="n">
        <v>648.00</v>
      </c>
      <c r="D17614" s="4"/>
    </row>
    <row collapsed="" customFormat="false" customHeight="1" hidden="" ht="14" outlineLevel="0" r="17615">
      <c r="A17615" s="3" t="inlineStr">
        <is>
          <t>17569</t>
        </is>
      </c>
      <c r="B17615" s="4" t="s">
        <f>=HYPERLINK("http://anyluxury.ru/shop/odezhda/futbolki-s-printom/futbolka-dedon-temnosinyaya-7059540/" , "70595.40 Футболка «Дедон», темно-синяя, размер S")</f>
      </c>
      <c r="C17615" s="4" t="n">
        <v>920.00</v>
      </c>
      <c r="D17615" s="4"/>
    </row>
    <row collapsed="" customFormat="false" customHeight="1" hidden="" ht="14" outlineLevel="0" r="17616">
      <c r="A17616" s="3" t="inlineStr">
        <is>
          <t>17570</t>
        </is>
      </c>
      <c r="B17616" s="4" t="s">
        <f>=HYPERLINK("http://anyluxury.ru/shop/odezhda/futbolki-s-printom/futbolka-dedon-temnosinyaya-7059540/" , "70595.40 Футболка «Дедон», темно-синяя, размер M")</f>
      </c>
      <c r="C17616" s="4" t="n">
        <v>920.00</v>
      </c>
      <c r="D17616" s="4"/>
    </row>
    <row collapsed="" customFormat="false" customHeight="1" hidden="" ht="14" outlineLevel="0" r="17617">
      <c r="A17617" s="3" t="inlineStr">
        <is>
          <t>17571</t>
        </is>
      </c>
      <c r="B17617" s="4" t="s">
        <f>=HYPERLINK("http://anyluxury.ru/shop/odezhda/futbolki-s-printom/futbolka-dedon-temnosinyaya-7059540/" , "70595.40 Футболка «Дедон», темно-синяя, размер L")</f>
      </c>
      <c r="C17617" s="4" t="n">
        <v>861.00</v>
      </c>
      <c r="D17617" s="4"/>
    </row>
    <row collapsed="" customFormat="false" customHeight="1" hidden="" ht="14" outlineLevel="0" r="17618">
      <c r="A17618" s="3" t="inlineStr">
        <is>
          <t>17572</t>
        </is>
      </c>
      <c r="B17618" s="4" t="s">
        <f>=HYPERLINK("http://anyluxury.ru/shop/odezhda/futbolki-s-printom/futbolka-zhenskaya-vibrance-temnorozovaya-fuksiya-7044657/" , "70446.57 Футболка женская Vibrance, темно-розовая (фуксия), размер S")</f>
      </c>
      <c r="C17618" s="4" t="n">
        <v>708.00</v>
      </c>
      <c r="D17618" s="4"/>
    </row>
    <row collapsed="" customFormat="false" customHeight="1" hidden="" ht="14" outlineLevel="0" r="17619">
      <c r="A17619" s="3" t="inlineStr">
        <is>
          <t>17573</t>
        </is>
      </c>
      <c r="B17619" s="4" t="s">
        <f>=HYPERLINK("http://anyluxury.ru/shop/odezhda/futbolki-s-printom/futbolka-zhenskaya-vibrance-temnorozovaya-fuksiya-7044657/" , "70446.57 Футболка женская Vibrance, темно-розовая (фуксия), размер M")</f>
      </c>
      <c r="C17619" s="4" t="n">
        <v>708.00</v>
      </c>
      <c r="D17619" s="4"/>
    </row>
    <row collapsed="" customFormat="false" customHeight="1" hidden="" ht="14" outlineLevel="0" r="17620">
      <c r="A17620" s="3" t="inlineStr">
        <is>
          <t>17574</t>
        </is>
      </c>
      <c r="B17620" s="4" t="s">
        <f>=HYPERLINK("http://anyluxury.ru/shop/odezhda/futbolki-s-printom/futbolka-zhenskaya-vibrance-temnorozovaya-fuksiya-7044657/" , "70446.57 Футболка женская Vibrance, темно-розовая (фуксия), размер L")</f>
      </c>
      <c r="C17620" s="4" t="n">
        <v>708.00</v>
      </c>
      <c r="D17620" s="4"/>
    </row>
    <row collapsed="" customFormat="false" customHeight="1" hidden="" ht="14" outlineLevel="0" r="17621">
      <c r="A17621" s="3" t="inlineStr">
        <is>
          <t>17575</t>
        </is>
      </c>
      <c r="B17621" s="4" t="s">
        <f>=HYPERLINK("http://anyluxury.ru/shop/odezhda/futbolki-s-printom/futbolka-zhenskaya-vibrance-zelenoe-yabloko-7044794/" , "70447.94 Футболка женская Vibrance, зеленое яблоко, размер S")</f>
      </c>
      <c r="C17621" s="4" t="n">
        <v>708.00</v>
      </c>
      <c r="D17621" s="4"/>
    </row>
    <row collapsed="" customFormat="false" customHeight="1" hidden="" ht="14" outlineLevel="0" r="17622">
      <c r="A17622" s="3" t="inlineStr">
        <is>
          <t>17576</t>
        </is>
      </c>
      <c r="B17622" s="4" t="s">
        <f>=HYPERLINK("http://anyluxury.ru/shop/odezhda/futbolki-s-printom/futbolka-zhenskaya-vibrance-zelenoe-yabloko-7044794/" , "70447.94 Футболка женская Vibrance, зеленое яблоко, размер M")</f>
      </c>
      <c r="C17622" s="4" t="n">
        <v>990.00</v>
      </c>
      <c r="D17622" s="4"/>
    </row>
    <row collapsed="" customFormat="false" customHeight="1" hidden="" ht="14" outlineLevel="0" r="17623">
      <c r="A17623" s="3" t="inlineStr">
        <is>
          <t>17577</t>
        </is>
      </c>
      <c r="B17623" s="4" t="s">
        <f>=HYPERLINK("http://anyluxury.ru/shop/odezhda/futbolki-s-printom/futbolka-zhenskaya-vibrance-zelenoe-yabloko-7044794/" , "70447.94 Футболка женская Vibrance, зеленое яблоко, размер L")</f>
      </c>
      <c r="C17623" s="4" t="n">
        <v>708.00</v>
      </c>
      <c r="D17623" s="4"/>
    </row>
    <row collapsed="" customFormat="false" customHeight="1" hidden="" ht="14" outlineLevel="0" r="17624">
      <c r="A17624" s="3" t="inlineStr">
        <is>
          <t>17578</t>
        </is>
      </c>
      <c r="B17624" s="4" t="s">
        <f>=HYPERLINK("http://anyluxury.ru/shop/odezhda/futbolki-s-printom/futbolka-zhenskaya-vibrance-zelenoe-yabloko-7044794/" , "70447.94 Футболка женская Vibrance, зеленое яблоко, размер XL")</f>
      </c>
      <c r="C17624" s="4" t="n">
        <v>708.00</v>
      </c>
      <c r="D17624" s="4"/>
    </row>
    <row collapsed="" customFormat="false" customHeight="1" hidden="" ht="14" outlineLevel="0" r="17625">
      <c r="A17625" s="3" t="inlineStr">
        <is>
          <t>17579</t>
        </is>
      </c>
      <c r="B17625" s="4" t="s">
        <f>=HYPERLINK("http://anyluxury.ru/shop/odezhda/futbolki-s-printom/futbolka-zhenskaya-cvetochnaya-azbuka-n-belaya-7038960/" , "70389.60 Футболка женская «Цветочная азбука: Н», белая, размер S")</f>
      </c>
      <c r="C17625" s="4" t="n">
        <v>585.00</v>
      </c>
      <c r="D17625" s="4"/>
    </row>
    <row collapsed="" customFormat="false" customHeight="1" hidden="" ht="14" outlineLevel="0" r="17626">
      <c r="A17626" s="3" t="inlineStr">
        <is>
          <t>17580</t>
        </is>
      </c>
      <c r="B17626" s="4" t="s">
        <f>=HYPERLINK("http://anyluxury.ru/shop/odezhda/futbolki-s-printom/futbolka-zhenskaya-cvetochnaya-azbuka-n-belaya-7038960/" , "70389.60 Футболка женская «Цветочная азбука: Н», белая, размер M")</f>
      </c>
      <c r="C17626" s="4" t="n">
        <v>585.00</v>
      </c>
      <c r="D17626" s="4"/>
    </row>
    <row collapsed="" customFormat="false" customHeight="1" hidden="" ht="14" outlineLevel="0" r="17627">
      <c r="A17627" s="3" t="inlineStr">
        <is>
          <t>17581</t>
        </is>
      </c>
      <c r="B17627" s="4" t="s">
        <f>=HYPERLINK("http://anyluxury.ru/shop/odezhda/futbolki-s-printom/futbolka-zhenskaya-cvetochnaya-azbuka-n-belaya-7038960/" , "70389.60 Футболка женская «Цветочная азбука: Н», белая, размер L")</f>
      </c>
      <c r="C17627" s="4" t="n">
        <v>585.00</v>
      </c>
      <c r="D17627" s="4"/>
    </row>
    <row collapsed="" customFormat="false" customHeight="1" hidden="" ht="14" outlineLevel="0" r="17628">
      <c r="A17628" s="3" t="inlineStr">
        <is>
          <t>17582</t>
        </is>
      </c>
      <c r="B17628" s="4" t="s">
        <f>=HYPERLINK("http://anyluxury.ru/shop/odezhda/futbolki-s-printom/futbolka-zhenskaya-cvetochnaya-azbuka-n-belaya-7038960/" , "70389.60 Футболка женская «Цветочная азбука: Н», белая, размер XL")</f>
      </c>
      <c r="C17628" s="4" t="n">
        <v>585.00</v>
      </c>
      <c r="D17628" s="4"/>
    </row>
    <row collapsed="" customFormat="false" customHeight="1" hidden="" ht="14" outlineLevel="0" r="17629">
      <c r="A17629" s="3" t="inlineStr">
        <is>
          <t>17583</t>
        </is>
      </c>
      <c r="B17629" s="4" t="s">
        <f>=HYPERLINK("http://anyluxury.ru/shop/odezhda/futbolki-s-printom/mayka-zhenskaya-vibrance-chernaya-7004430/" , "70044.30 Майка женская Vibrance, черная, размер S")</f>
      </c>
      <c r="C17629" s="4" t="n">
        <v>958.00</v>
      </c>
      <c r="D17629" s="4"/>
    </row>
    <row collapsed="" customFormat="false" customHeight="1" hidden="" ht="14" outlineLevel="0" r="17630">
      <c r="A17630" s="3" t="inlineStr">
        <is>
          <t>17584</t>
        </is>
      </c>
      <c r="B17630" s="4" t="s">
        <f>=HYPERLINK("http://anyluxury.ru/shop/odezhda/futbolki-s-printom/futbolka-muzhskaya-ketcalkoatl-siniy-melanzh-7032340/" , "70323.40 Футболка мужская «Кетцалькоатль», синий меланж, размер S")</f>
      </c>
      <c r="C17630" s="4" t="n">
        <v>704.00</v>
      </c>
      <c r="D17630" s="4"/>
    </row>
    <row collapsed="" customFormat="false" customHeight="1" hidden="" ht="14" outlineLevel="0" r="17631">
      <c r="A17631" s="3" t="inlineStr">
        <is>
          <t>17585</t>
        </is>
      </c>
      <c r="B17631" s="4" t="s">
        <f>=HYPERLINK("http://anyluxury.ru/shop/odezhda/futbolki-s-printom/futbolka-zhenskaya-teshha-temnosinyaya-7059240/" , "70592.40 Футболка женская «Теща», темно-синяя, размер S")</f>
      </c>
      <c r="C17631" s="4" t="n">
        <v>690.00</v>
      </c>
      <c r="D17631" s="4"/>
    </row>
    <row collapsed="" customFormat="false" customHeight="1" hidden="" ht="14" outlineLevel="0" r="17632">
      <c r="A17632" s="3" t="inlineStr">
        <is>
          <t>17586</t>
        </is>
      </c>
      <c r="B17632" s="4" t="s">
        <f>=HYPERLINK("http://anyluxury.ru/shop/odezhda/futbolki-s-printom/futbolka-zhenskaya-teshha-temnosinyaya-7059240/" , "70592.40 Футболка женская «Теща», темно-синяя, размер M")</f>
      </c>
      <c r="C17632" s="4" t="n">
        <v>690.00</v>
      </c>
      <c r="D17632" s="4"/>
    </row>
    <row collapsed="" customFormat="false" customHeight="1" hidden="" ht="14" outlineLevel="0" r="17633">
      <c r="A17633" s="3" t="inlineStr">
        <is>
          <t>17587</t>
        </is>
      </c>
      <c r="B17633" s="4" t="s">
        <f>=HYPERLINK("http://anyluxury.ru/shop/odezhda/futbolki-s-printom/futbolka-zhenskaya-teshha-temnosinyaya-7059240/" , "70592.40 Футболка женская «Теща», темно-синяя, размер L")</f>
      </c>
      <c r="C17633" s="4" t="n">
        <v>690.00</v>
      </c>
      <c r="D17633" s="4"/>
    </row>
    <row collapsed="" customFormat="false" customHeight="1" hidden="" ht="14" outlineLevel="0" r="17634">
      <c r="A17634" s="3" t="inlineStr">
        <is>
          <t>17588</t>
        </is>
      </c>
      <c r="B17634" s="4" t="s">
        <f>=HYPERLINK("http://anyluxury.ru/shop/odezhda/futbolki-s-printom/futbolka-goryachka-belaya-belaya-7058460/" , "70584.60 Футболка «Горячка белая», белая, размер S")</f>
      </c>
      <c r="C17634" s="4" t="n">
        <v>667.00</v>
      </c>
      <c r="D17634" s="4"/>
    </row>
    <row collapsed="" customFormat="false" customHeight="1" hidden="" ht="14" outlineLevel="0" r="17635">
      <c r="A17635" s="3" t="inlineStr">
        <is>
          <t>17589</t>
        </is>
      </c>
      <c r="B17635" s="4" t="s">
        <f>=HYPERLINK("http://anyluxury.ru/shop/odezhda/futbolki-s-printom/futbolka-goryachka-belaya-belaya-7058460/" , "70584.60 Футболка «Горячка белая», белая, размер M")</f>
      </c>
      <c r="C17635" s="4" t="n">
        <v>667.00</v>
      </c>
      <c r="D17635" s="4"/>
    </row>
    <row collapsed="" customFormat="false" customHeight="1" hidden="" ht="14" outlineLevel="0" r="17636">
      <c r="A17636" s="3" t="inlineStr">
        <is>
          <t>17590</t>
        </is>
      </c>
      <c r="B17636" s="4" t="s">
        <f>=HYPERLINK("http://anyluxury.ru/shop/odezhda/futbolki-s-printom/futbolka-goryachka-belaya-belaya-7058460/" , "70584.60 Футболка «Горячка белая», белая, размер L")</f>
      </c>
      <c r="C17636" s="4" t="n">
        <v>667.00</v>
      </c>
      <c r="D17636" s="4"/>
    </row>
    <row collapsed="" customFormat="false" customHeight="1" hidden="" ht="14" outlineLevel="0" r="17637">
      <c r="A17637" s="3" t="inlineStr">
        <is>
          <t>17591</t>
        </is>
      </c>
      <c r="B17637" s="4" t="s">
        <f>=HYPERLINK("http://anyluxury.ru/shop/odezhda/futbolki-s-printom/futbolka-goryachka-belaya-belaya-7058460/" , "70584.60 Футболка «Горячка белая», белая, размер XL")</f>
      </c>
      <c r="C17637" s="4" t="n">
        <v>667.00</v>
      </c>
      <c r="D17637" s="4"/>
    </row>
    <row collapsed="" customFormat="false" customHeight="1" hidden="" ht="14" outlineLevel="0" r="17638">
      <c r="A17638" s="3" t="inlineStr">
        <is>
          <t>17592</t>
        </is>
      </c>
      <c r="B17638" s="4" t="s">
        <f>=HYPERLINK("http://anyluxury.ru/shop/odezhda/futbolki-s-printom/futbolka-goryachka-belaya-belaya-7058460/" , "70584.60 Футболка «Горячка белая», белая, размер XXL")</f>
      </c>
      <c r="C17638" s="4" t="n">
        <v>667.00</v>
      </c>
      <c r="D17638" s="4"/>
    </row>
    <row collapsed="" customFormat="false" customHeight="1" hidden="" ht="14" outlineLevel="0" r="17639">
      <c r="A17639" s="3" t="inlineStr">
        <is>
          <t>17593</t>
        </is>
      </c>
      <c r="B17639" s="4" t="s">
        <f>=HYPERLINK("http://anyluxury.ru/shop/odezhda/futbolki-s-printom/futbolka-i-dont-see-you-belaya-7064860/" , "70648.60 Футболка I Don't See You, белая, размер S")</f>
      </c>
      <c r="C17639" s="4" t="n">
        <v>723.00</v>
      </c>
      <c r="D17639" s="4"/>
    </row>
    <row collapsed="" customFormat="false" customHeight="1" hidden="" ht="14" outlineLevel="0" r="17640">
      <c r="A17640" s="3" t="inlineStr">
        <is>
          <t>17594</t>
        </is>
      </c>
      <c r="B17640" s="4" t="s">
        <f>=HYPERLINK("http://anyluxury.ru/shop/odezhda/futbolki-s-printom/futbolka-i-dont-see-you-belaya-7064860/" , "70648.60 Футболка I Don't See You, белая, размер M")</f>
      </c>
      <c r="C17640" s="4" t="n">
        <v>723.00</v>
      </c>
      <c r="D17640" s="4"/>
    </row>
    <row collapsed="" customFormat="false" customHeight="1" hidden="" ht="14" outlineLevel="0" r="17641">
      <c r="A17641" s="3" t="inlineStr">
        <is>
          <t>17595</t>
        </is>
      </c>
      <c r="B17641" s="4" t="s">
        <f>=HYPERLINK("http://anyluxury.ru/shop/odezhda/futbolki-s-printom/futbolka-i-dont-see-you-belaya-7064860/" , "70648.60 Футболка I Don't See You, белая, размер L")</f>
      </c>
      <c r="C17641" s="4" t="n">
        <v>723.00</v>
      </c>
      <c r="D17641" s="4"/>
    </row>
    <row collapsed="" customFormat="false" customHeight="1" hidden="" ht="14" outlineLevel="0" r="17642">
      <c r="A17642" s="3" t="inlineStr">
        <is>
          <t>17596</t>
        </is>
      </c>
      <c r="B17642" s="4" t="s">
        <f>=HYPERLINK("http://anyluxury.ru/shop/odezhda/futbolki-s-printom/futbolka-i-dont-see-you-belaya-7064860/" , "70648.60 Футболка I Don't See You, белая, размер XL")</f>
      </c>
      <c r="C17642" s="4" t="n">
        <v>723.00</v>
      </c>
      <c r="D17642" s="4"/>
    </row>
    <row collapsed="" customFormat="false" customHeight="1" hidden="" ht="14" outlineLevel="0" r="17643">
      <c r="A17643" s="3" t="inlineStr">
        <is>
          <t>17597</t>
        </is>
      </c>
      <c r="B17643" s="4" t="s">
        <f>=HYPERLINK("http://anyluxury.ru/shop/odezhda/futbolki-s-printom/futbolka-i-dont-see-you-belaya-7064860/" , "70648.60 Футболка I Don't See You, белая, размер XXL")</f>
      </c>
      <c r="C17643" s="4" t="n">
        <v>723.00</v>
      </c>
      <c r="D17643" s="4"/>
    </row>
    <row collapsed="" customFormat="false" customHeight="1" hidden="" ht="14" outlineLevel="0" r="17644">
      <c r="A17644" s="3" t="inlineStr">
        <is>
          <t>17598</t>
        </is>
      </c>
      <c r="B17644" s="4" t="s">
        <f>=HYPERLINK("http://anyluxury.ru/shop/odezhda/futbolki-s-printom/futbolka-zhenskaya-morskie-obitateli-belaya-s-temnosinim-7033064/" , "70330.64 Футболка женская «Морские обитатели», размер S")</f>
      </c>
      <c r="C17644" s="4" t="n">
        <v>1283.00</v>
      </c>
      <c r="D17644" s="4"/>
    </row>
    <row collapsed="" customFormat="false" customHeight="1" hidden="" ht="14" outlineLevel="0" r="17645">
      <c r="A17645" s="3" t="inlineStr">
        <is>
          <t>17599</t>
        </is>
      </c>
      <c r="B17645" s="4" t="s">
        <f>=HYPERLINK("http://anyluxury.ru/shop/odezhda/futbolki-s-printom/futbolka-zhenskaya-morskie-obitateli-belaya-s-temnosinim-7033064/" , "70330.64 Футболка женская «Морские обитатели», размер M")</f>
      </c>
      <c r="C17645" s="4" t="n">
        <v>1283.00</v>
      </c>
      <c r="D17645" s="4"/>
    </row>
    <row collapsed="" customFormat="false" customHeight="1" hidden="" ht="14" outlineLevel="0" r="17646">
      <c r="A17646" s="3" t="inlineStr">
        <is>
          <t>17600</t>
        </is>
      </c>
      <c r="B17646" s="4" t="s">
        <f>=HYPERLINK("http://anyluxury.ru/shop/odezhda/futbolki-s-printom/futbolka-zhenskaya-s-dlinnim-rukavom-morskie-obitateli-belaya-s-temnosinim-7032865/" , "70328.65 Футболка с длинным рукавом «Морские обитатели», женская, размер S")</f>
      </c>
      <c r="C17646" s="4" t="n">
        <v>1566.00</v>
      </c>
      <c r="D17646" s="4"/>
    </row>
    <row collapsed="" customFormat="false" customHeight="1" hidden="" ht="14" outlineLevel="0" r="17647">
      <c r="A17647" s="3" t="inlineStr">
        <is>
          <t>17601</t>
        </is>
      </c>
      <c r="B17647" s="4" t="s">
        <f>=HYPERLINK("http://anyluxury.ru/shop/odezhda/futbolki-s-printom/futbolka-cugcvang-belaya-7033760/" , "70337.60 Футболка «Цугцванг», белая, размер S")</f>
      </c>
      <c r="C17647" s="4" t="n">
        <v>630.00</v>
      </c>
      <c r="D17647" s="4"/>
    </row>
    <row collapsed="" customFormat="false" customHeight="1" hidden="" ht="14" outlineLevel="0" r="17648">
      <c r="A17648" s="3" t="inlineStr">
        <is>
          <t>17602</t>
        </is>
      </c>
      <c r="B17648" s="4" t="s">
        <f>=HYPERLINK("http://anyluxury.ru/shop/odezhda/futbolki-s-printom/futbolka-cugcvang-belaya-7033760/" , "70337.60 Футболка «Цугцванг», белая, размер M")</f>
      </c>
      <c r="C17648" s="4" t="n">
        <v>630.00</v>
      </c>
      <c r="D17648" s="4"/>
    </row>
    <row collapsed="" customFormat="false" customHeight="1" hidden="" ht="14" outlineLevel="0" r="17649">
      <c r="A17649" s="3" t="inlineStr">
        <is>
          <t>17603</t>
        </is>
      </c>
      <c r="B17649" s="4" t="s">
        <f>=HYPERLINK("http://anyluxury.ru/shop/odezhda/futbolki-s-printom/futbolka-cugcvang-belaya-7033760/" , "70337.60 Футболка «Цугцванг», белая, размер XL")</f>
      </c>
      <c r="C17649" s="4" t="n">
        <v>631.00</v>
      </c>
      <c r="D17649" s="4"/>
    </row>
    <row collapsed="" customFormat="false" customHeight="1" hidden="" ht="14" outlineLevel="0" r="17650">
      <c r="A17650" s="3" t="inlineStr">
        <is>
          <t>17604</t>
        </is>
      </c>
      <c r="B17650" s="4" t="s">
        <f>=HYPERLINK("http://anyluxury.ru/shop/odezhda/futbolki-s-printom/futbolka-zhenskaya-butterflies-temnosinyaya-7037040/" , "70370.40 Футболка женская Butterflies, темно-синяя, размер S")</f>
      </c>
      <c r="C17650" s="4" t="n">
        <v>714.00</v>
      </c>
      <c r="D17650" s="4"/>
    </row>
    <row collapsed="" customFormat="false" customHeight="1" hidden="" ht="14" outlineLevel="0" r="17651">
      <c r="A17651" s="3" t="inlineStr">
        <is>
          <t>17605</t>
        </is>
      </c>
      <c r="B17651" s="4" t="s">
        <f>=HYPERLINK("http://anyluxury.ru/shop/odezhda/futbolki-s-printom/futbolka-zhenskaya-butterflies-temnosinyaya-7037040/" , "70370.40 Футболка женская Butterflies, темно-синяя, размер M")</f>
      </c>
      <c r="C17651" s="4" t="n">
        <v>714.00</v>
      </c>
      <c r="D17651" s="4"/>
    </row>
    <row collapsed="" customFormat="false" customHeight="1" hidden="" ht="14" outlineLevel="0" r="17652">
      <c r="A17652" s="3" t="inlineStr">
        <is>
          <t>17606</t>
        </is>
      </c>
      <c r="B17652" s="4" t="s">
        <f>=HYPERLINK("http://anyluxury.ru/shop/odezhda/futbolki-s-printom/futbolka-zhenskaya-butterflies-temnosinyaya-7037040/" , "70370.40 Футболка женская Butterflies, темно-синяя, размер L")</f>
      </c>
      <c r="C17652" s="4" t="n">
        <v>713.00</v>
      </c>
      <c r="D17652" s="4"/>
    </row>
    <row collapsed="" customFormat="false" customHeight="1" hidden="" ht="14" outlineLevel="0" r="17653">
      <c r="A17653" s="3" t="inlineStr">
        <is>
          <t>17607</t>
        </is>
      </c>
      <c r="B17653" s="4" t="s">
        <f>=HYPERLINK("http://anyluxury.ru/shop/odezhda/futbolki-s-printom/futbolka-zhenskaya-butterflies-temnosinyaya-7037040/" , "70370.40 Футболка женская Butterflies, темно-синяя, размер XL")</f>
      </c>
      <c r="C17653" s="4" t="n">
        <v>714.00</v>
      </c>
      <c r="D17653" s="4"/>
    </row>
    <row collapsed="" customFormat="false" customHeight="1" hidden="" ht="14" outlineLevel="0" r="17654">
      <c r="A17654" s="3" t="inlineStr">
        <is>
          <t>17608</t>
        </is>
      </c>
      <c r="B17654" s="4" t="s">
        <f>=HYPERLINK("http://anyluxury.ru/shop/odezhda/futbolki-s-printom/futbolka-zhenskaya-zavist-belaya-7037160/" , "70371.60 Футболка женская «Зависть белая», белая, размер S")</f>
      </c>
      <c r="C17654" s="4" t="n">
        <v>546.00</v>
      </c>
      <c r="D17654" s="4"/>
    </row>
    <row collapsed="" customFormat="false" customHeight="1" hidden="" ht="14" outlineLevel="0" r="17655">
      <c r="A17655" s="3" t="inlineStr">
        <is>
          <t>17609</t>
        </is>
      </c>
      <c r="B17655" s="4" t="s">
        <f>=HYPERLINK("http://anyluxury.ru/shop/odezhda/futbolki-s-printom/futbolka-zhenskaya-zavist-belaya-7037160/" , "70371.60 Футболка женская «Зависть белая», белая, размер M")</f>
      </c>
      <c r="C17655" s="4" t="n">
        <v>546.00</v>
      </c>
      <c r="D17655" s="4"/>
    </row>
    <row collapsed="" customFormat="false" customHeight="1" hidden="" ht="14" outlineLevel="0" r="17656">
      <c r="A17656" s="3" t="inlineStr">
        <is>
          <t>17610</t>
        </is>
      </c>
      <c r="B17656" s="4" t="s">
        <f>=HYPERLINK("http://anyluxury.ru/shop/odezhda/futbolki-s-printom/futbolka-zhenskaya-zavist-belaya-7037160/" , "70371.60 Футболка женская «Зависть белая», белая, размер L")</f>
      </c>
      <c r="C17656" s="4" t="n">
        <v>546.00</v>
      </c>
      <c r="D17656" s="4"/>
    </row>
    <row collapsed="" customFormat="false" customHeight="1" hidden="" ht="14" outlineLevel="0" r="17657">
      <c r="A17657" s="3" t="inlineStr">
        <is>
          <t>17611</t>
        </is>
      </c>
      <c r="B17657" s="4" t="s">
        <f>=HYPERLINK("http://anyluxury.ru/shop/odezhda/futbolki-s-printom/futbolka-zhenskaya-zavist-belaya-7037160/" , "70371.60 Футболка женская «Зависть белая», белая, размер XL")</f>
      </c>
      <c r="C17657" s="4" t="n">
        <v>546.00</v>
      </c>
      <c r="D17657" s="4"/>
    </row>
    <row collapsed="" customFormat="false" customHeight="1" hidden="" ht="14" outlineLevel="0" r="17658">
      <c r="A17658" s="3" t="inlineStr">
        <is>
          <t>17612</t>
        </is>
      </c>
      <c r="B17658" s="4" t="s">
        <f>=HYPERLINK("http://anyluxury.ru/shop/odezhda/futbolki-s-printom/futbolka-muzhskaya-ghost-of-love-chernaya-7037830/" , "70378.30 Футболка мужская Ghost of Love, черная, размер S")</f>
      </c>
      <c r="C17658" s="4" t="n">
        <v>714.00</v>
      </c>
      <c r="D17658" s="4"/>
    </row>
    <row collapsed="" customFormat="false" customHeight="1" hidden="" ht="14" outlineLevel="0" r="17659">
      <c r="A17659" s="3" t="inlineStr">
        <is>
          <t>17613</t>
        </is>
      </c>
      <c r="B17659" s="4" t="s">
        <f>=HYPERLINK("http://anyluxury.ru/shop/odezhda/futbolki-s-printom/futbolka-muzhskaya-ghost-of-love-chernaya-7037830/" , "70378.30 Футболка мужская Ghost of Love, черная, размер XL")</f>
      </c>
      <c r="C17659" s="4" t="n">
        <v>713.00</v>
      </c>
      <c r="D17659" s="4"/>
    </row>
    <row collapsed="" customFormat="false" customHeight="1" hidden="" ht="14" outlineLevel="0" r="17660">
      <c r="A17660" s="3" t="inlineStr">
        <is>
          <t>17614</t>
        </is>
      </c>
      <c r="B17660" s="4" t="s">
        <f>=HYPERLINK("http://anyluxury.ru/shop/odezhda/futbolki-s-printom/futbolka-pritalennaya-ghost-of-love-cherniy-melanzh-7037912/" , "70379.12 Футболка приталенная Ghost of Love, черный меланж, размер S")</f>
      </c>
      <c r="C17660" s="4" t="n">
        <v>754.00</v>
      </c>
      <c r="D17660" s="4"/>
    </row>
    <row collapsed="" customFormat="false" customHeight="1" hidden="" ht="14" outlineLevel="0" r="17661">
      <c r="A17661" s="3" t="inlineStr">
        <is>
          <t>17615</t>
        </is>
      </c>
      <c r="B17661" s="4" t="s">
        <f>=HYPERLINK("http://anyluxury.ru/shop/odezhda/futbolki-s-printom/futbolka-pritalennaya-ghost-of-love-cherniy-melanzh-7037912/" , "70379.12 Футболка приталенная Ghost of Love, черный меланж, размер XXL")</f>
      </c>
      <c r="C17661" s="4" t="n">
        <v>754.00</v>
      </c>
      <c r="D17661" s="4"/>
    </row>
    <row collapsed="" customFormat="false" customHeight="1" hidden="" ht="14" outlineLevel="0" r="17662">
      <c r="A17662" s="3" t="inlineStr">
        <is>
          <t>17616</t>
        </is>
      </c>
      <c r="B17662" s="4" t="s">
        <f>=HYPERLINK("http://anyluxury.ru/shop/odezhda/futbolki-s-printom/futbolka-tattoo-inverted-chernaya-7048430/" , "70484.30 Футболка Tattoo Inverted, черная, размер S")</f>
      </c>
      <c r="C17662" s="4" t="n">
        <v>917.00</v>
      </c>
      <c r="D17662" s="4"/>
    </row>
    <row collapsed="" customFormat="false" customHeight="1" hidden="" ht="14" outlineLevel="0" r="17663">
      <c r="A17663" s="3" t="inlineStr">
        <is>
          <t>17617</t>
        </is>
      </c>
      <c r="B17663" s="4" t="s">
        <f>=HYPERLINK("http://anyluxury.ru/shop/odezhda/futbolki-s-printom/futbolka-tattoo-inverted-chernaya-7048430/" , "70484.30 Футболка Tattoo Inverted, черная, размер M")</f>
      </c>
      <c r="C17663" s="4" t="n">
        <v>917.00</v>
      </c>
      <c r="D17663" s="4"/>
    </row>
    <row collapsed="" customFormat="false" customHeight="1" hidden="" ht="14" outlineLevel="0" r="17664">
      <c r="A17664" s="3" t="inlineStr">
        <is>
          <t>17618</t>
        </is>
      </c>
      <c r="B17664" s="4" t="s">
        <f>=HYPERLINK("http://anyluxury.ru/shop/odezhda/futbolki-s-printom/futbolka-tattoo-inverted-chernaya-7048430/" , "70484.30 Футболка Tattoo Inverted, черная, размер L")</f>
      </c>
      <c r="C17664" s="4" t="n">
        <v>917.00</v>
      </c>
      <c r="D17664" s="4"/>
    </row>
    <row collapsed="" customFormat="false" customHeight="1" hidden="" ht="14" outlineLevel="0" r="17665">
      <c r="A17665" s="3" t="inlineStr">
        <is>
          <t>17619</t>
        </is>
      </c>
      <c r="B17665" s="4" t="s">
        <f>=HYPERLINK("http://anyluxury.ru/shop/odezhda/futbolki-s-printom/futbolka-tattoo-inverted-chernaya-7048430/" , "70484.30 Футболка Tattoo Inverted, черная, размер XL")</f>
      </c>
      <c r="C17665" s="4" t="n">
        <v>917.00</v>
      </c>
      <c r="D17665" s="4"/>
    </row>
    <row collapsed="" customFormat="false" customHeight="1" hidden="" ht="14" outlineLevel="0" r="17666">
      <c r="A17666" s="3" t="inlineStr">
        <is>
          <t>17620</t>
        </is>
      </c>
      <c r="B17666" s="4" t="s">
        <f>=HYPERLINK("http://anyluxury.ru/shop/odezhda/futbolki-s-printom/futbolka-tattoo-inverted-chernaya-7048430/" , "70484.30 Футболка Tattoo Inverted, черная, размер XXL")</f>
      </c>
      <c r="C17666" s="4" t="n">
        <v>917.00</v>
      </c>
      <c r="D17666" s="4"/>
    </row>
    <row collapsed="" customFormat="false" customHeight="1" hidden="" ht="14" outlineLevel="0" r="17667">
      <c r="A17667" s="3" t="inlineStr">
        <is>
          <t>17621</t>
        </is>
      </c>
      <c r="B17667" s="4" t="s">
        <f>=HYPERLINK("http://anyluxury.ru/shop/odezhda/futbolki-s-printom/futbolka-zhenskaya-uzor-rozovaya-7052056/" , "70520.56 Футболка женская «Узор», розовая, размер S")</f>
      </c>
      <c r="C17667" s="4" t="n">
        <v>783.00</v>
      </c>
      <c r="D17667" s="4"/>
    </row>
    <row collapsed="" customFormat="false" customHeight="1" hidden="" ht="14" outlineLevel="0" r="17668">
      <c r="A17668" s="3" t="inlineStr">
        <is>
          <t>17622</t>
        </is>
      </c>
      <c r="B17668" s="4" t="s">
        <f>=HYPERLINK("http://anyluxury.ru/shop/odezhda/futbolki-s-printom/futbolka-zhenskaya-uzor-rozovaya-7052056/" , "70520.56 Футболка женская «Узор», розовая, размер M")</f>
      </c>
      <c r="C17668" s="4" t="n">
        <v>783.00</v>
      </c>
      <c r="D17668" s="4"/>
    </row>
    <row collapsed="" customFormat="false" customHeight="1" hidden="" ht="14" outlineLevel="0" r="17669">
      <c r="A17669" s="3" t="inlineStr">
        <is>
          <t>17623</t>
        </is>
      </c>
      <c r="B17669" s="4" t="s">
        <f>=HYPERLINK("http://anyluxury.ru/shop/odezhda/futbolki-s-printom/futbolka-zhenskaya-uzor-rozovaya-7052056/" , "70520.56 Футболка женская «Узор», розовая, размер L")</f>
      </c>
      <c r="C17669" s="4" t="n">
        <v>783.00</v>
      </c>
      <c r="D17669" s="4"/>
    </row>
    <row collapsed="" customFormat="false" customHeight="1" hidden="" ht="14" outlineLevel="0" r="17670">
      <c r="A17670" s="3" t="inlineStr">
        <is>
          <t>17624</t>
        </is>
      </c>
      <c r="B17670" s="4" t="s">
        <f>=HYPERLINK("http://anyluxury.ru/shop/odezhda/futbolki-s-printom/futbolka-zhenskaya-uzor-rozovaya-7052056/" , "70520.56 Футболка женская «Узор», розовая, размер XL")</f>
      </c>
      <c r="C17670" s="4" t="n">
        <v>783.00</v>
      </c>
      <c r="D17670" s="4"/>
    </row>
    <row collapsed="" customFormat="false" customHeight="1" hidden="" ht="14" outlineLevel="0" r="17671">
      <c r="A17671" s="3" t="inlineStr">
        <is>
          <t>17625</t>
        </is>
      </c>
      <c r="B17671" s="4" t="s">
        <f>=HYPERLINK("http://anyluxury.ru/shop/odezhda/futbolki-s-printom/futbolka-zhenskaya-cvetochnaya-azbuka-a-chernaya-7038330/" , "70383.30 Футболка женская «Цветочная азбука: А», черная, размер S")</f>
      </c>
      <c r="C17671" s="4" t="n">
        <v>714.00</v>
      </c>
      <c r="D17671" s="4"/>
    </row>
    <row collapsed="" customFormat="false" customHeight="1" hidden="" ht="14" outlineLevel="0" r="17672">
      <c r="A17672" s="3" t="inlineStr">
        <is>
          <t>17626</t>
        </is>
      </c>
      <c r="B17672" s="4" t="s">
        <f>=HYPERLINK("http://anyluxury.ru/shop/odezhda/futbolki-s-printom/futbolka-zhenskaya-cvetochnaya-azbuka-a-chernaya-7038330/" , "70383.30 Футболка женская «Цветочная азбука: А», черная, размер M")</f>
      </c>
      <c r="C17672" s="4" t="n">
        <v>714.00</v>
      </c>
      <c r="D17672" s="4"/>
    </row>
    <row collapsed="" customFormat="false" customHeight="1" hidden="" ht="14" outlineLevel="0" r="17673">
      <c r="A17673" s="3" t="inlineStr">
        <is>
          <t>17627</t>
        </is>
      </c>
      <c r="B17673" s="4" t="s">
        <f>=HYPERLINK("http://anyluxury.ru/shop/odezhda/futbolki-s-printom/futbolka-zhenskaya-cvetochnaya-azbuka-a-chernaya-7038330/" , "70383.30 Футболка женская «Цветочная азбука: А», черная, размер L")</f>
      </c>
      <c r="C17673" s="4" t="n">
        <v>714.00</v>
      </c>
      <c r="D17673" s="4"/>
    </row>
    <row collapsed="" customFormat="false" customHeight="1" hidden="" ht="14" outlineLevel="0" r="17674">
      <c r="A17674" s="3" t="inlineStr">
        <is>
          <t>17628</t>
        </is>
      </c>
      <c r="B17674" s="4" t="s">
        <f>=HYPERLINK("http://anyluxury.ru/shop/odezhda/futbolki-s-printom/futbolka-zhenskaya-cvetochnaya-azbuka-a-chernaya-7038330/" , "70383.30 Футболка женская «Цветочная азбука: А», черная, размер XL")</f>
      </c>
      <c r="C17674" s="4" t="n">
        <v>714.00</v>
      </c>
      <c r="D17674" s="4"/>
    </row>
    <row collapsed="" customFormat="false" customHeight="1" hidden="" ht="14" outlineLevel="0" r="17675">
      <c r="A17675" s="3" t="inlineStr">
        <is>
          <t>17629</t>
        </is>
      </c>
      <c r="B17675" s="4" t="s">
        <f>=HYPERLINK("http://anyluxury.ru/shop/odezhda/futbolki-s-printom/futbolka-zhenskaya-cvetochnaya-azbuka-a-belaya-7038460/" , "70384.60 Футболка женская «Цветочная азбука: А», белая, размер S")</f>
      </c>
      <c r="C17675" s="4" t="n">
        <v>580.00</v>
      </c>
      <c r="D17675" s="4"/>
    </row>
    <row collapsed="" customFormat="false" customHeight="1" hidden="" ht="14" outlineLevel="0" r="17676">
      <c r="A17676" s="3" t="inlineStr">
        <is>
          <t>17630</t>
        </is>
      </c>
      <c r="B17676" s="4" t="s">
        <f>=HYPERLINK("http://anyluxury.ru/shop/odezhda/futbolki-s-printom/futbolka-zhenskaya-cvetochnaya-azbuka-a-belaya-7038460/" , "70384.60 Футболка женская «Цветочная азбука: А», белая, размер M")</f>
      </c>
      <c r="C17676" s="4" t="n">
        <v>580.00</v>
      </c>
      <c r="D17676" s="4"/>
    </row>
    <row collapsed="" customFormat="false" customHeight="1" hidden="" ht="14" outlineLevel="0" r="17677">
      <c r="A17677" s="3" t="inlineStr">
        <is>
          <t>17631</t>
        </is>
      </c>
      <c r="B17677" s="4" t="s">
        <f>=HYPERLINK("http://anyluxury.ru/shop/odezhda/futbolki-s-printom/futbolka-zhenskaya-cvetochnaya-azbuka-a-belaya-7038460/" , "70384.60 Футболка женская «Цветочная азбука: А», белая, размер L")</f>
      </c>
      <c r="C17677" s="4" t="n">
        <v>580.00</v>
      </c>
      <c r="D17677" s="4"/>
    </row>
    <row collapsed="" customFormat="false" customHeight="1" hidden="" ht="14" outlineLevel="0" r="17678">
      <c r="A17678" s="3" t="inlineStr">
        <is>
          <t>17632</t>
        </is>
      </c>
      <c r="B17678" s="4" t="s">
        <f>=HYPERLINK("http://anyluxury.ru/shop/odezhda/futbolki-s-printom/futbolka-zhenskaya-cvetochnaya-azbuka-a-belaya-7038460/" , "70384.60 Футболка женская «Цветочная азбука: А», белая, размер XL")</f>
      </c>
      <c r="C17678" s="4" t="n">
        <v>580.00</v>
      </c>
      <c r="D17678" s="4"/>
    </row>
    <row collapsed="" customFormat="false" customHeight="1" hidden="" ht="14" outlineLevel="0" r="17679">
      <c r="A17679" s="3" t="inlineStr">
        <is>
          <t>17633</t>
        </is>
      </c>
      <c r="B17679" s="4" t="s">
        <f>=HYPERLINK("http://anyluxury.ru/shop/odezhda/futbolki-s-printom/futbolka-zhenskaya-cvetochnaya-azbuka-n-chernaya-7039030/" , "70390.30 Футболка женская «Цветочная азбука Н», черная, размер S")</f>
      </c>
      <c r="C17679" s="4" t="n">
        <v>698.00</v>
      </c>
      <c r="D17679" s="4"/>
    </row>
    <row collapsed="" customFormat="false" customHeight="1" hidden="" ht="14" outlineLevel="0" r="17680">
      <c r="A17680" s="3" t="inlineStr">
        <is>
          <t>17634</t>
        </is>
      </c>
      <c r="B17680" s="4" t="s">
        <f>=HYPERLINK("http://anyluxury.ru/shop/odezhda/futbolki-s-printom/futbolka-zhenskaya-cvetochnaya-azbuka-n-chernaya-7039030/" , "70390.30 Футболка женская «Цветочная азбука Н», черная, размер M")</f>
      </c>
      <c r="C17680" s="4" t="n">
        <v>698.00</v>
      </c>
      <c r="D17680" s="4"/>
    </row>
    <row collapsed="" customFormat="false" customHeight="1" hidden="" ht="14" outlineLevel="0" r="17681">
      <c r="A17681" s="3" t="inlineStr">
        <is>
          <t>17635</t>
        </is>
      </c>
      <c r="B17681" s="4" t="s">
        <f>=HYPERLINK("http://anyluxury.ru/shop/odezhda/futbolki-s-printom/futbolka-zhenskaya-cvetochnaya-azbuka-n-chernaya-7039030/" , "70390.30 Футболка женская «Цветочная азбука Н», черная, размер L")</f>
      </c>
      <c r="C17681" s="4" t="n">
        <v>698.00</v>
      </c>
      <c r="D17681" s="4"/>
    </row>
    <row collapsed="" customFormat="false" customHeight="1" hidden="" ht="14" outlineLevel="0" r="17682">
      <c r="A17682" s="3" t="inlineStr">
        <is>
          <t>17636</t>
        </is>
      </c>
      <c r="B17682" s="4" t="s">
        <f>=HYPERLINK("http://anyluxury.ru/shop/odezhda/futbolki-s-printom/futbolka-zhenskaya-chakraday-cherniy-melanzh-7041212/" , "70412.12 Футболка женская Chakraday, черный меланж, размер S")</f>
      </c>
      <c r="C17682" s="4" t="n">
        <v>801.00</v>
      </c>
      <c r="D17682" s="4"/>
    </row>
    <row collapsed="" customFormat="false" customHeight="1" hidden="" ht="14" outlineLevel="0" r="17683">
      <c r="A17683" s="3" t="inlineStr">
        <is>
          <t>17637</t>
        </is>
      </c>
      <c r="B17683" s="4" t="s">
        <f>=HYPERLINK("http://anyluxury.ru/shop/odezhda/futbolki-s-printom/futbolka-zhenskaya-flower-power-rozovaya-7042415/" , "70424.15 Футболка женская Flower Power, розовая, размер S")</f>
      </c>
      <c r="C17683" s="4" t="n">
        <v>773.00</v>
      </c>
      <c r="D17683" s="4"/>
    </row>
    <row collapsed="" customFormat="false" customHeight="1" hidden="" ht="14" outlineLevel="0" r="17684">
      <c r="A17684" s="3" t="inlineStr">
        <is>
          <t>17638</t>
        </is>
      </c>
      <c r="B17684" s="4" t="s">
        <f>=HYPERLINK("http://anyluxury.ru/shop/odezhda/futbolki-s-printom/futbolka-zhenskaya-flower-power-rozovaya-7042415/" , "70424.15 Футболка женская Flower Power, розовая, размер L")</f>
      </c>
      <c r="C17684" s="4" t="n">
        <v>773.00</v>
      </c>
      <c r="D17684" s="4"/>
    </row>
    <row collapsed="" customFormat="false" customHeight="1" hidden="" ht="14" outlineLevel="0" r="17685">
      <c r="A17685" s="3" t="inlineStr">
        <is>
          <t>17639</t>
        </is>
      </c>
      <c r="B17685" s="4" t="s">
        <f>=HYPERLINK("http://anyluxury.ru/shop/odezhda/futbolki-s-printom/futbolka-az-esm-chernaya-7037430/" , "70374.30 Футболка «Азъ есмъ», черная, размер S")</f>
      </c>
      <c r="C17685" s="4" t="n">
        <v>723.00</v>
      </c>
      <c r="D17685" s="4"/>
    </row>
    <row collapsed="" customFormat="false" customHeight="1" hidden="" ht="14" outlineLevel="0" r="17686">
      <c r="A17686" s="3" t="inlineStr">
        <is>
          <t>17640</t>
        </is>
      </c>
      <c r="B17686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S")</f>
      </c>
      <c r="C17686" s="4" t="n">
        <v>669.00</v>
      </c>
      <c r="D17686" s="4"/>
    </row>
    <row collapsed="" customFormat="false" customHeight="1" hidden="" ht="14" outlineLevel="0" r="17687">
      <c r="A17687" s="3" t="inlineStr">
        <is>
          <t>17641</t>
        </is>
      </c>
      <c r="B17687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M")</f>
      </c>
      <c r="C17687" s="4" t="n">
        <v>669.00</v>
      </c>
      <c r="D17687" s="4"/>
    </row>
    <row collapsed="" customFormat="false" customHeight="1" hidden="" ht="14" outlineLevel="0" r="17688">
      <c r="A17688" s="3" t="inlineStr">
        <is>
          <t>17642</t>
        </is>
      </c>
      <c r="B17688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L")</f>
      </c>
      <c r="C17688" s="4" t="n">
        <v>669.00</v>
      </c>
      <c r="D17688" s="4"/>
    </row>
    <row collapsed="" customFormat="false" customHeight="1" hidden="" ht="14" outlineLevel="0" r="17689">
      <c r="A17689" s="3" t="inlineStr">
        <is>
          <t>17643</t>
        </is>
      </c>
      <c r="B17689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XL")</f>
      </c>
      <c r="C17689" s="4" t="n">
        <v>669.00</v>
      </c>
      <c r="D17689" s="4"/>
    </row>
    <row collapsed="" customFormat="false" customHeight="1" hidden="" ht="14" outlineLevel="0" r="17690">
      <c r="A17690" s="3" t="inlineStr">
        <is>
          <t>17644</t>
        </is>
      </c>
      <c r="B17690" s="4" t="s">
        <f>=HYPERLINK("http://anyluxury.ru/shop/odezhda/futbolki-s-printom/futbolka-zhenskaya-zhenshhina-horosheet-golubaya-7044314/" , "70443.14 Футболка женская «Женщина хорошеет», голубая, размер S")</f>
      </c>
      <c r="C17690" s="4" t="n">
        <v>839.00</v>
      </c>
      <c r="D17690" s="4"/>
    </row>
    <row collapsed="" customFormat="false" customHeight="1" hidden="" ht="14" outlineLevel="0" r="17691">
      <c r="A17691" s="3" t="inlineStr">
        <is>
          <t>17645</t>
        </is>
      </c>
      <c r="B17691" s="4" t="s">
        <f>=HYPERLINK("http://anyluxury.ru/shop/odezhda/futbolki-s-printom/futbolka-zhenskaya-zhenshhina-horosheet-golubaya-7044314/" , "70443.14 Футболка женская «Женщина хорошеет», голубая, размер M")</f>
      </c>
      <c r="C17691" s="4" t="n">
        <v>839.00</v>
      </c>
      <c r="D17691" s="4"/>
    </row>
    <row collapsed="" customFormat="false" customHeight="1" hidden="" ht="14" outlineLevel="0" r="17692">
      <c r="A17692" s="3" t="inlineStr">
        <is>
          <t>17646</t>
        </is>
      </c>
      <c r="B17692" s="4" t="s">
        <f>=HYPERLINK("http://anyluxury.ru/shop/odezhda/futbolki-s-printom/futbolka-zhenskaya-zhenshhina-horosheet-golubaya-7044314/" , "70443.14 Футболка женская «Женщина хорошеет», голубая, размер L")</f>
      </c>
      <c r="C17692" s="4" t="n">
        <v>839.00</v>
      </c>
      <c r="D17692" s="4"/>
    </row>
    <row collapsed="" customFormat="false" customHeight="1" hidden="" ht="14" outlineLevel="0" r="17693">
      <c r="A17693" s="3" t="inlineStr">
        <is>
          <t>17647</t>
        </is>
      </c>
      <c r="B17693" s="4" t="s">
        <f>=HYPERLINK("http://anyluxury.ru/shop/odezhda/futbolki-s-printom/futbolka-zhenskaya-zhenshhina-horosheet-golubaya-7044314/" , "70443.14 Футболка женская «Женщина хорошеет», голубая, размер XL")</f>
      </c>
      <c r="C17693" s="4" t="n">
        <v>839.00</v>
      </c>
      <c r="D17693" s="4"/>
    </row>
    <row collapsed="" customFormat="false" customHeight="1" hidden="" ht="14" outlineLevel="0" r="17694">
      <c r="A17694" s="3" t="inlineStr">
        <is>
          <t>17648</t>
        </is>
      </c>
      <c r="B17694" s="4" t="s">
        <f>=HYPERLINK("http://anyluxury.ru/shop/odezhda/futbolki-s-printom/futbolka-zhenskaya-ishhi-sut-belaya-s-krasnim-7045250/" , "70452.50 Футболка женская «Ищи суть», белая с красным, размер S")</f>
      </c>
      <c r="C17694" s="4" t="n">
        <v>579.00</v>
      </c>
      <c r="D17694" s="4"/>
    </row>
    <row collapsed="" customFormat="false" customHeight="1" hidden="" ht="14" outlineLevel="0" r="17695">
      <c r="A17695" s="3" t="inlineStr">
        <is>
          <t>17649</t>
        </is>
      </c>
      <c r="B17695" s="4" t="s">
        <f>=HYPERLINK("http://anyluxury.ru/shop/odezhda/futbolki-s-printom/futbolka-zhenskaya-ishhi-sut-belaya-s-krasnim-7045250/" , "70452.50 Футболка женская «Ищи суть», белая с красным, размер M")</f>
      </c>
      <c r="C17695" s="4" t="n">
        <v>579.00</v>
      </c>
      <c r="D17695" s="4"/>
    </row>
    <row collapsed="" customFormat="false" customHeight="1" hidden="" ht="14" outlineLevel="0" r="17696">
      <c r="A17696" s="3" t="inlineStr">
        <is>
          <t>17650</t>
        </is>
      </c>
      <c r="B17696" s="4" t="s">
        <f>=HYPERLINK("http://anyluxury.ru/shop/odezhda/futbolki-s-printom/futbolka-zhenskaya-para-belaya-7046960/" , "70469.60 Футболка женская «Пара», белая, размер S")</f>
      </c>
      <c r="C17696" s="4" t="n">
        <v>817.00</v>
      </c>
      <c r="D17696" s="4"/>
    </row>
    <row collapsed="" customFormat="false" customHeight="1" hidden="" ht="14" outlineLevel="0" r="17697">
      <c r="A17697" s="3" t="inlineStr">
        <is>
          <t>17651</t>
        </is>
      </c>
      <c r="B17697" s="4" t="s">
        <f>=HYPERLINK("http://anyluxury.ru/shop/odezhda/futbolki-s-printom/futbolka-zhenskaya-para-belaya-7046960/" , "70469.60 Футболка женская «Пара», белая, размер M")</f>
      </c>
      <c r="C17697" s="4" t="n">
        <v>817.00</v>
      </c>
      <c r="D17697" s="4"/>
    </row>
    <row collapsed="" customFormat="false" customHeight="1" hidden="" ht="14" outlineLevel="0" r="17698">
      <c r="A17698" s="3" t="inlineStr">
        <is>
          <t>17652</t>
        </is>
      </c>
      <c r="B17698" s="4" t="s">
        <f>=HYPERLINK("http://anyluxury.ru/shop/odezhda/futbolki-s-printom/futbolka-zhenskaya-para-belaya-7046960/" , "70469.60 Футболка женская «Пара», белая, размер L")</f>
      </c>
      <c r="C17698" s="4" t="n">
        <v>817.00</v>
      </c>
      <c r="D17698" s="4"/>
    </row>
    <row collapsed="" customFormat="false" customHeight="1" hidden="" ht="14" outlineLevel="0" r="17699">
      <c r="A17699" s="3" t="inlineStr">
        <is>
          <t>17653</t>
        </is>
      </c>
      <c r="B17699" s="4" t="s">
        <f>=HYPERLINK("http://anyluxury.ru/shop/odezhda/futbolki-s-printom/futbolka-zhenskaya-para-belaya-7046960/" , "70469.60 Футболка женская «Пара», белая, размер XL")</f>
      </c>
      <c r="C17699" s="4" t="n">
        <v>817.00</v>
      </c>
      <c r="D17699" s="4"/>
    </row>
    <row collapsed="" customFormat="false" customHeight="1" hidden="" ht="14" outlineLevel="0" r="17700">
      <c r="A17700" s="3" t="inlineStr">
        <is>
          <t>17654</t>
        </is>
      </c>
      <c r="B17700" s="4" t="s">
        <f>=HYPERLINK("http://anyluxury.ru/shop/odezhda/futbolki-s-printom/futbolka-leningradskiy-pochtalon-seriy-melanzh-7047011/" , "70470.11 Футболка «Ленинградский почтальон», серый меланж, размер S")</f>
      </c>
      <c r="C17700" s="4" t="n">
        <v>714.00</v>
      </c>
      <c r="D17700" s="4"/>
    </row>
    <row collapsed="" customFormat="false" customHeight="1" hidden="" ht="14" outlineLevel="0" r="17701">
      <c r="A17701" s="3" t="inlineStr">
        <is>
          <t>17655</t>
        </is>
      </c>
      <c r="B17701" s="4" t="s">
        <f>=HYPERLINK("http://anyluxury.ru/shop/odezhda/futbolki-s-printom/futbolka-zhenskaya-pristup-leni-belaya-7047260/" , "70472.60 Футболка женская «Приступ лени», белая, размер S")</f>
      </c>
      <c r="C17701" s="4" t="n">
        <v>588.00</v>
      </c>
      <c r="D17701" s="4"/>
    </row>
    <row collapsed="" customFormat="false" customHeight="1" hidden="" ht="14" outlineLevel="0" r="17702">
      <c r="A17702" s="3" t="inlineStr">
        <is>
          <t>17656</t>
        </is>
      </c>
      <c r="B17702" s="4" t="s">
        <f>=HYPERLINK("http://anyluxury.ru/shop/odezhda/futbolki-s-printom/futbolka-zhenskaya-pristup-leni-belaya-7047260/" , "70472.60 Футболка женская «Приступ лени», белая, размер M")</f>
      </c>
      <c r="C17702" s="4" t="n">
        <v>588.00</v>
      </c>
      <c r="D17702" s="4"/>
    </row>
    <row collapsed="" customFormat="false" customHeight="1" hidden="" ht="14" outlineLevel="0" r="17703">
      <c r="A17703" s="3" t="inlineStr">
        <is>
          <t>17657</t>
        </is>
      </c>
      <c r="B17703" s="4" t="s">
        <f>=HYPERLINK("http://anyluxury.ru/shop/odezhda/futbolki-s-printom/futbolka-zhenskaya-pristup-leni-belaya-7047260/" , "70472.60 Футболка женская «Приступ лени», белая, размер L")</f>
      </c>
      <c r="C17703" s="4" t="n">
        <v>588.00</v>
      </c>
      <c r="D17703" s="4"/>
    </row>
    <row collapsed="" customFormat="false" customHeight="1" hidden="" ht="14" outlineLevel="0" r="17704">
      <c r="A17704" s="3" t="inlineStr">
        <is>
          <t>17658</t>
        </is>
      </c>
      <c r="B17704" s="4" t="s">
        <f>=HYPERLINK("http://anyluxury.ru/shop/odezhda/futbolki-s-printom/futbolka-zhenskaya-pristup-leni-belaya-7047260/" , "70472.60 Футболка женская «Приступ лени», белая, размер XL")</f>
      </c>
      <c r="C17704" s="4" t="n">
        <v>588.00</v>
      </c>
      <c r="D17704" s="4"/>
    </row>
    <row collapsed="" customFormat="false" customHeight="1" hidden="" ht="14" outlineLevel="0" r="17705">
      <c r="A17705" s="3" t="inlineStr">
        <is>
          <t>17659</t>
        </is>
      </c>
      <c r="B17705" s="4" t="s">
        <f>=HYPERLINK("http://anyluxury.ru/shop/odezhda/futbolki-s-printom/futbolka-zhenskaya-serie-budni-seriy-melanzh-7048911/" , "70489.11 Футболка женская «Серые будни», серый меланж, размер S")</f>
      </c>
      <c r="C17705" s="4" t="n">
        <v>758.00</v>
      </c>
      <c r="D17705" s="4"/>
    </row>
    <row collapsed="" customFormat="false" customHeight="1" hidden="" ht="14" outlineLevel="0" r="17706">
      <c r="A17706" s="3" t="inlineStr">
        <is>
          <t>17660</t>
        </is>
      </c>
      <c r="B17706" s="4" t="s">
        <f>=HYPERLINK("http://anyluxury.ru/shop/odezhda/futbolki-s-printom/futbolka-zhenskaya-serie-budni-seriy-melanzh-7048911/" , "70489.11 Футболка женская «Серые будни», серый меланж, размер L")</f>
      </c>
      <c r="C17706" s="4" t="n">
        <v>758.00</v>
      </c>
      <c r="D17706" s="4"/>
    </row>
    <row collapsed="" customFormat="false" customHeight="1" hidden="" ht="14" outlineLevel="0" r="17707">
      <c r="A17707" s="3" t="inlineStr">
        <is>
          <t>17661</t>
        </is>
      </c>
      <c r="B17707" s="4" t="s">
        <f>=HYPERLINK("http://anyluxury.ru/shop/odezhda/futbolki-s-printom/futbolka-zhenskaya-serie-budni-seriy-melanzh-7048911/" , "70489.11 Футболка женская «Серые будни», серый меланж, размер XL")</f>
      </c>
      <c r="C17707" s="4" t="n">
        <v>758.00</v>
      </c>
      <c r="D17707" s="4"/>
    </row>
    <row collapsed="" customFormat="false" customHeight="1" hidden="" ht="14" outlineLevel="0" r="17708">
      <c r="A17708" s="3" t="inlineStr">
        <is>
          <t>17662</t>
        </is>
      </c>
      <c r="B17708" s="4" t="s">
        <f>=HYPERLINK("http://anyluxury.ru/shop/odezhda/futbolki-s-printom/futbolka-muzhskaya-hrabroe-serdce-belaya-7049760/" , "70497.60 Футболка мужская «Храброе сердце», белая, размер S")</f>
      </c>
      <c r="C17708" s="4" t="n">
        <v>613.00</v>
      </c>
      <c r="D17708" s="4"/>
    </row>
    <row collapsed="" customFormat="false" customHeight="1" hidden="" ht="14" outlineLevel="0" r="17709">
      <c r="A17709" s="3" t="inlineStr">
        <is>
          <t>17663</t>
        </is>
      </c>
      <c r="B17709" s="4" t="s">
        <f>=HYPERLINK("http://anyluxury.ru/shop/odezhda/futbolki-s-printom/futbolka-muzhskaya-hrabroe-serdce-belaya-7049760/" , "70497.60 Футболка мужская «Храброе сердце», белая, размер M")</f>
      </c>
      <c r="C17709" s="4" t="n">
        <v>613.00</v>
      </c>
      <c r="D17709" s="4"/>
    </row>
    <row collapsed="" customFormat="false" customHeight="1" hidden="" ht="14" outlineLevel="0" r="17710">
      <c r="A17710" s="3" t="inlineStr">
        <is>
          <t>17664</t>
        </is>
      </c>
      <c r="B17710" s="4" t="s">
        <f>=HYPERLINK("http://anyluxury.ru/shop/odezhda/futbolki-s-printom/futbolka-muzhskaya-hrabroe-serdce-belaya-7049760/" , "70497.60 Футболка мужская «Храброе сердце», белая, размер L")</f>
      </c>
      <c r="C17710" s="4" t="n">
        <v>613.00</v>
      </c>
      <c r="D17710" s="4"/>
    </row>
    <row collapsed="" customFormat="false" customHeight="1" hidden="" ht="14" outlineLevel="0" r="17711">
      <c r="A17711" s="3" t="inlineStr">
        <is>
          <t>17665</t>
        </is>
      </c>
      <c r="B17711" s="4" t="s">
        <f>=HYPERLINK("http://anyluxury.ru/shop/odezhda/futbolki-s-printom/futbolka-muzhskaya-hrabroe-serdce-belaya-7049760/" , "70497.60 Футболка мужская «Храброе сердце», белая, размер XL")</f>
      </c>
      <c r="C17711" s="4" t="n">
        <v>613.00</v>
      </c>
      <c r="D17711" s="4"/>
    </row>
    <row collapsed="" customFormat="false" customHeight="1" hidden="" ht="14" outlineLevel="0" r="17712">
      <c r="A17712" s="3" t="inlineStr">
        <is>
          <t>17666</t>
        </is>
      </c>
      <c r="B17712" s="4" t="s">
        <f>=HYPERLINK("http://anyluxury.ru/shop/odezhda/futbolki-s-printom/futbolka-zhenskaya-i-look-fabulous-golubaya-7053114/" , "70531.14 Футболка женская I Look Fabulous, голубая, размер S")</f>
      </c>
      <c r="C17712" s="4" t="n">
        <v>771.00</v>
      </c>
      <c r="D17712" s="4"/>
    </row>
    <row collapsed="" customFormat="false" customHeight="1" hidden="" ht="14" outlineLevel="0" r="17713">
      <c r="A17713" s="3" t="inlineStr">
        <is>
          <t>17667</t>
        </is>
      </c>
      <c r="B17713" s="4" t="s">
        <f>=HYPERLINK("http://anyluxury.ru/shop/odezhda/futbolki-s-printom/futbolka-zhenskaya-i-look-fabulous-golubaya-7053114/" , "70531.14 Футболка женская I Look Fabulous, голубая, размер M")</f>
      </c>
      <c r="C17713" s="4" t="n">
        <v>771.00</v>
      </c>
      <c r="D17713" s="4"/>
    </row>
    <row collapsed="" customFormat="false" customHeight="1" hidden="" ht="14" outlineLevel="0" r="17714">
      <c r="A17714" s="3" t="inlineStr">
        <is>
          <t>17668</t>
        </is>
      </c>
      <c r="B17714" s="4" t="s">
        <f>=HYPERLINK("http://anyluxury.ru/shop/odezhda/futbolki-s-printom/futbolka-zhenskaya-i-look-fabulous-golubaya-7053114/" , "70531.14 Футболка женская I Look Fabulous, голубая, размер L")</f>
      </c>
      <c r="C17714" s="4" t="n">
        <v>771.00</v>
      </c>
      <c r="D17714" s="4"/>
    </row>
    <row collapsed="" customFormat="false" customHeight="1" hidden="" ht="14" outlineLevel="0" r="17715">
      <c r="A17715" s="3" t="inlineStr">
        <is>
          <t>17669</t>
        </is>
      </c>
      <c r="B17715" s="4" t="s">
        <f>=HYPERLINK("http://anyluxury.ru/shop/odezhda/futbolki-s-printom/futbolka-zhenskaya-i-look-fabulous-golubaya-7053114/" , "70531.14 Футболка женская I Look Fabulous, голубая, размер XL")</f>
      </c>
      <c r="C17715" s="4" t="n">
        <v>771.00</v>
      </c>
      <c r="D17715" s="4"/>
    </row>
    <row collapsed="" customFormat="false" customHeight="1" hidden="" ht="14" outlineLevel="0" r="17716">
      <c r="A17716" s="3" t="inlineStr">
        <is>
          <t>17670</t>
        </is>
      </c>
      <c r="B17716" s="4" t="s">
        <f>=HYPERLINK("http://anyluxury.ru/shop/odezhda/futbolki-s-printom/futbolka-s-dlinnim-rukavom-dno-dna-belaya-s-yarkosinim-7064469/" , "70644.69 Футболка с длинным рукавом «Дно дна», белая с ярко-синим, размер S")</f>
      </c>
      <c r="C17716" s="4" t="n">
        <v>1061.00</v>
      </c>
      <c r="D17716" s="4"/>
    </row>
    <row collapsed="" customFormat="false" customHeight="1" hidden="" ht="14" outlineLevel="0" r="17717">
      <c r="A17717" s="3" t="inlineStr">
        <is>
          <t>17671</t>
        </is>
      </c>
      <c r="B17717" s="4" t="s">
        <f>=HYPERLINK("http://anyluxury.ru/shop/odezhda/futbolki-s-printom/futbolka-s-dlinnim-rukavom-dno-dna-belaya-s-yarkosinim-7064469/" , "70644.69 Футболка с длинным рукавом «Дно дна», белая с ярко-синим, размер M")</f>
      </c>
      <c r="C17717" s="4" t="n">
        <v>1061.00</v>
      </c>
      <c r="D17717" s="4"/>
    </row>
    <row collapsed="" customFormat="false" customHeight="1" hidden="" ht="14" outlineLevel="0" r="17718">
      <c r="A17718" s="3" t="inlineStr">
        <is>
          <t>17672</t>
        </is>
      </c>
      <c r="B17718" s="4" t="s">
        <f>=HYPERLINK("http://anyluxury.ru/shop/odezhda/futbolki-s-printom/futbolka-zhenskaya-bear-belaya-7034160/" , "70341.60 Футболка женская Bear, белая, размер S")</f>
      </c>
      <c r="C17718" s="4" t="n">
        <v>1139.00</v>
      </c>
      <c r="D17718" s="4"/>
    </row>
    <row collapsed="" customFormat="false" customHeight="1" hidden="" ht="14" outlineLevel="0" r="17719">
      <c r="A17719" s="3" t="inlineStr">
        <is>
          <t>17673</t>
        </is>
      </c>
      <c r="B17719" s="4" t="s">
        <f>=HYPERLINK("http://anyluxury.ru/shop/odezhda/futbolki-s-printom/futbolka-zhenskaya-bear-belaya-7034160/" , "70341.60 Футболка женская Bear, белая, размер M")</f>
      </c>
      <c r="C17719" s="4" t="n">
        <v>1139.00</v>
      </c>
      <c r="D17719" s="4"/>
    </row>
    <row collapsed="" customFormat="false" customHeight="1" hidden="" ht="14" outlineLevel="0" r="17720">
      <c r="A17720" s="3" t="inlineStr">
        <is>
          <t>17674</t>
        </is>
      </c>
      <c r="B17720" s="4" t="s">
        <f>=HYPERLINK("http://anyluxury.ru/shop/odezhda/futbolki-s-printom/futbolka-zhenskaya-bear-belaya-7034160/" , "70341.60 Футболка женская Bear, белая, размер L")</f>
      </c>
      <c r="C17720" s="4" t="n">
        <v>1139.00</v>
      </c>
      <c r="D17720" s="4"/>
    </row>
    <row collapsed="" customFormat="false" customHeight="1" hidden="" ht="14" outlineLevel="0" r="17721">
      <c r="A17721" s="3" t="inlineStr">
        <is>
          <t>17675</t>
        </is>
      </c>
      <c r="B17721" s="4" t="s">
        <f>=HYPERLINK("http://anyluxury.ru/shop/odezhda/futbolki-s-printom/futbolka-zhenskaya-bear-belaya-7034160/" , "70341.60 Футболка женская Bear, белая, размер XL")</f>
      </c>
      <c r="C17721" s="4" t="n">
        <v>1139.00</v>
      </c>
      <c r="D17721" s="4"/>
    </row>
    <row collapsed="" customFormat="false" customHeight="1" hidden="" ht="14" outlineLevel="0" r="17722">
      <c r="A17722" s="3" t="inlineStr">
        <is>
          <t>17676</t>
        </is>
      </c>
      <c r="B17722" s="4" t="s">
        <f>=HYPERLINK("http://anyluxury.ru/shop/odezhda/futbolki-s-printom/futbolka-tattoo-belaya-7048360/" , "70483.60 Футболка Tattoo, белая, размер S")</f>
      </c>
      <c r="C17722" s="4" t="n">
        <v>848.00</v>
      </c>
      <c r="D17722" s="4"/>
    </row>
    <row collapsed="" customFormat="false" customHeight="1" hidden="" ht="14" outlineLevel="0" r="17723">
      <c r="A17723" s="3" t="inlineStr">
        <is>
          <t>17677</t>
        </is>
      </c>
      <c r="B17723" s="4" t="s">
        <f>=HYPERLINK("http://anyluxury.ru/shop/odezhda/futbolki-s-printom/futbolka-tattoo-belaya-7048360/" , "70483.60 Футболка Tattoo, белая, размер M")</f>
      </c>
      <c r="C17723" s="4" t="n">
        <v>848.00</v>
      </c>
      <c r="D17723" s="4"/>
    </row>
    <row collapsed="" customFormat="false" customHeight="1" hidden="" ht="14" outlineLevel="0" r="17724">
      <c r="A17724" s="3" t="inlineStr">
        <is>
          <t>17678</t>
        </is>
      </c>
      <c r="B17724" s="4" t="s">
        <f>=HYPERLINK("http://anyluxury.ru/shop/odezhda/futbolki-s-printom/futbolka-tattoo-belaya-7048360/" , "70483.60 Футболка Tattoo, белая, размер L")</f>
      </c>
      <c r="C17724" s="4" t="n">
        <v>848.00</v>
      </c>
      <c r="D17724" s="4"/>
    </row>
    <row collapsed="" customFormat="false" customHeight="1" hidden="" ht="14" outlineLevel="0" r="17725">
      <c r="A17725" s="3" t="inlineStr">
        <is>
          <t>17679</t>
        </is>
      </c>
      <c r="B17725" s="4" t="s">
        <f>=HYPERLINK("http://anyluxury.ru/shop/odezhda/futbolki-s-printom/futbolka-tattoo-belaya-7048360/" , "70483.60 Футболка Tattoo, белая, размер XL")</f>
      </c>
      <c r="C17725" s="4" t="n">
        <v>848.00</v>
      </c>
      <c r="D17725" s="4"/>
    </row>
    <row collapsed="" customFormat="false" customHeight="1" hidden="" ht="14" outlineLevel="0" r="17726">
      <c r="A17726" s="3" t="inlineStr">
        <is>
          <t>17680</t>
        </is>
      </c>
      <c r="B17726" s="4" t="s">
        <f>=HYPERLINK("http://anyluxury.ru/shop/odezhda/futbolki-s-printom/futbolka-tattoo-belaya-7048360/" , "70483.60 Футболка Tattoo, белая, размер XXL")</f>
      </c>
      <c r="C17726" s="4" t="n">
        <v>848.00</v>
      </c>
      <c r="D17726" s="4"/>
    </row>
    <row collapsed="" customFormat="false" customHeight="1" hidden="" ht="14" outlineLevel="0" r="17727">
      <c r="A17727" s="3" t="inlineStr">
        <is>
          <t>17681</t>
        </is>
      </c>
      <c r="B17727" s="4" t="s">
        <f>=HYPERLINK("http://anyluxury.ru/shop/odezhda/futbolki-s-printom/futbolka-uzor-zelenaya-7052191/" , "70521.91 Футболка «Узор», зеленая, размер S")</f>
      </c>
      <c r="C17727" s="4" t="n">
        <v>817.00</v>
      </c>
      <c r="D17727" s="4"/>
    </row>
    <row collapsed="" customFormat="false" customHeight="1" hidden="" ht="14" outlineLevel="0" r="17728">
      <c r="A17728" s="3" t="inlineStr">
        <is>
          <t>17682</t>
        </is>
      </c>
      <c r="B17728" s="4" t="s">
        <f>=HYPERLINK("http://anyluxury.ru/shop/odezhda/futbolki-s-printom/futbolka-uzor-zelenaya-7052191/" , "70521.91 Футболка «Узор», зеленая, размер M")</f>
      </c>
      <c r="C17728" s="4" t="n">
        <v>817.00</v>
      </c>
      <c r="D17728" s="4"/>
    </row>
    <row collapsed="" customFormat="false" customHeight="1" hidden="" ht="14" outlineLevel="0" r="17729">
      <c r="A17729" s="3" t="inlineStr">
        <is>
          <t>17683</t>
        </is>
      </c>
      <c r="B17729" s="4" t="s">
        <f>=HYPERLINK("http://anyluxury.ru/shop/odezhda/futbolki-s-printom/futbolka-uzor-zelenaya-7052191/" , "70521.91 Футболка «Узор», зеленая, размер L")</f>
      </c>
      <c r="C17729" s="4" t="n">
        <v>817.00</v>
      </c>
      <c r="D17729" s="4"/>
    </row>
    <row collapsed="" customFormat="false" customHeight="1" hidden="" ht="14" outlineLevel="0" r="17730">
      <c r="A17730" s="3" t="inlineStr">
        <is>
          <t>17684</t>
        </is>
      </c>
      <c r="B17730" s="4" t="s">
        <f>=HYPERLINK("http://anyluxury.ru/shop/odezhda/futbolki-s-printom/futbolka-uzor-zelenaya-7052191/" , "70521.91 Футболка «Узор», зеленая, размер XL")</f>
      </c>
      <c r="C17730" s="4" t="n">
        <v>817.00</v>
      </c>
      <c r="D17730" s="4"/>
    </row>
    <row collapsed="" customFormat="false" customHeight="1" hidden="" ht="14" outlineLevel="0" r="17731">
      <c r="A17731" s="3" t="inlineStr">
        <is>
          <t>17685</t>
        </is>
      </c>
      <c r="B17731" s="4" t="s">
        <f>=HYPERLINK("http://anyluxury.ru/shop/odezhda/futbolki-s-printom/futbolka-uzor-zelenaya-7052191/" , "70521.91 Футболка «Узор», зеленая, размер XXL")</f>
      </c>
      <c r="C17731" s="4" t="n">
        <v>817.00</v>
      </c>
      <c r="D17731" s="4"/>
    </row>
    <row collapsed="" customFormat="false" customHeight="1" hidden="" ht="14" outlineLevel="0" r="17732">
      <c r="A17732" s="3" t="inlineStr">
        <is>
          <t>17686</t>
        </is>
      </c>
      <c r="B17732" s="4" t="s">
        <f>=HYPERLINK("http://anyluxury.ru/shop/odezhda/futbolki-s-printom/futbolka-zhenskaya-prestuplyu-i-nakazhu-belaya-7047160/" , "70471.60 Футболка женская «Преступлю и накажу», белая, размер S")</f>
      </c>
      <c r="C17732" s="4" t="n">
        <v>739.00</v>
      </c>
      <c r="D17732" s="4"/>
    </row>
    <row collapsed="" customFormat="false" customHeight="1" hidden="" ht="14" outlineLevel="0" r="17733">
      <c r="A17733" s="3" t="inlineStr">
        <is>
          <t>17687</t>
        </is>
      </c>
      <c r="B17733" s="4" t="s">
        <f>=HYPERLINK("http://anyluxury.ru/shop/odezhda/futbolki-s-printom/futbolka-zhenskaya-prestuplyu-i-nakazhu-belaya-7047160/" , "70471.60 Футболка женская «Преступлю и накажу», белая, размер M")</f>
      </c>
      <c r="C17733" s="4" t="n">
        <v>739.00</v>
      </c>
      <c r="D17733" s="4"/>
    </row>
    <row collapsed="" customFormat="false" customHeight="1" hidden="" ht="14" outlineLevel="0" r="17734">
      <c r="A17734" s="3" t="inlineStr">
        <is>
          <t>17688</t>
        </is>
      </c>
      <c r="B17734" s="4" t="s">
        <f>=HYPERLINK("http://anyluxury.ru/shop/odezhda/futbolki-s-printom/futbolka-zhenskaya-prestuplyu-i-nakazhu-belaya-7047160/" , "70471.60 Футболка женская «Преступлю и накажу», белая, размер L")</f>
      </c>
      <c r="C17734" s="4" t="n">
        <v>739.00</v>
      </c>
      <c r="D17734" s="4"/>
    </row>
    <row collapsed="" customFormat="false" customHeight="1" hidden="" ht="14" outlineLevel="0" r="17735">
      <c r="A17735" s="3" t="inlineStr">
        <is>
          <t>17689</t>
        </is>
      </c>
      <c r="B17735" s="4" t="s">
        <f>=HYPERLINK("http://anyluxury.ru/shop/odezhda/futbolki-s-printom/futbolka-zhenskaya-prestuplyu-i-nakazhu-belaya-7047160/" , "70471.60 Футболка женская «Преступлю и накажу», белая, размер XL")</f>
      </c>
      <c r="C17735" s="4" t="n">
        <v>739.00</v>
      </c>
      <c r="D17735" s="4"/>
    </row>
    <row collapsed="" customFormat="false" customHeight="1" hidden="" ht="14" outlineLevel="0" r="17736">
      <c r="A17736" s="3" t="inlineStr">
        <is>
          <t>17690</t>
        </is>
      </c>
      <c r="B17736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S")</f>
      </c>
      <c r="C17736" s="4" t="n">
        <v>1327.00</v>
      </c>
      <c r="D17736" s="4"/>
    </row>
    <row collapsed="" customFormat="false" customHeight="1" hidden="" ht="14" outlineLevel="0" r="17737">
      <c r="A17737" s="3" t="inlineStr">
        <is>
          <t>17691</t>
        </is>
      </c>
      <c r="B17737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M")</f>
      </c>
      <c r="C17737" s="4" t="n">
        <v>1327.00</v>
      </c>
      <c r="D17737" s="4"/>
    </row>
    <row collapsed="" customFormat="false" customHeight="1" hidden="" ht="14" outlineLevel="0" r="17738">
      <c r="A17738" s="3" t="inlineStr">
        <is>
          <t>17692</t>
        </is>
      </c>
      <c r="B17738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L")</f>
      </c>
      <c r="C17738" s="4" t="n">
        <v>1327.00</v>
      </c>
      <c r="D17738" s="4"/>
    </row>
    <row collapsed="" customFormat="false" customHeight="1" hidden="" ht="14" outlineLevel="0" r="17739">
      <c r="A17739" s="3" t="inlineStr">
        <is>
          <t>17693</t>
        </is>
      </c>
      <c r="B17739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XL")</f>
      </c>
      <c r="C17739" s="4" t="n">
        <v>1327.00</v>
      </c>
      <c r="D17739" s="4"/>
    </row>
    <row collapsed="" customFormat="false" customHeight="1" hidden="" ht="14" outlineLevel="0" r="17740">
      <c r="A17740" s="3" t="inlineStr">
        <is>
          <t>17694</t>
        </is>
      </c>
      <c r="B17740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XXL")</f>
      </c>
      <c r="C17740" s="4" t="n">
        <v>1327.00</v>
      </c>
      <c r="D17740" s="4"/>
    </row>
    <row collapsed="" customFormat="false" customHeight="1" hidden="" ht="14" outlineLevel="0" r="17741">
      <c r="A17741" s="3" t="inlineStr">
        <is>
          <t>17695</t>
        </is>
      </c>
      <c r="B17741" s="4" t="s">
        <f>=HYPERLINK("http://anyluxury.ru/shop/odezhda/futbolki-s-printom/futbolka-hochu-tak-zhe-no-podrugomu-seriy-melanzh-7049511/" , "70495.11 Футболка «Хочу так же, но по-другому», серый меланж, размер M")</f>
      </c>
      <c r="C17741" s="4" t="n">
        <v>764.00</v>
      </c>
      <c r="D17741" s="4"/>
    </row>
    <row collapsed="" customFormat="false" customHeight="1" hidden="" ht="14" outlineLevel="0" r="17742">
      <c r="A17742" s="3" t="inlineStr">
        <is>
          <t>17696</t>
        </is>
      </c>
      <c r="B17742" s="4" t="s">
        <f>=HYPERLINK("http://anyluxury.ru/shop/odezhda/futbolki-s-printom/futbolka-zhenskaya-hrabroe-serdce-belaya-7049860/" , "70498.60 Футболка женская «Храброе сердце», белая, размер S")</f>
      </c>
      <c r="C17742" s="4" t="n">
        <v>640.00</v>
      </c>
      <c r="D17742" s="4"/>
    </row>
    <row collapsed="" customFormat="false" customHeight="1" hidden="" ht="14" outlineLevel="0" r="17743">
      <c r="A17743" s="3" t="inlineStr">
        <is>
          <t>17697</t>
        </is>
      </c>
      <c r="B17743" s="4" t="s">
        <f>=HYPERLINK("http://anyluxury.ru/shop/odezhda/futbolki-s-printom/futbolka-zhenskaya-hrabroe-serdce-belaya-7049860/" , "70498.60 Футболка женская «Храброе сердце», белая, размер M")</f>
      </c>
      <c r="C17743" s="4" t="n">
        <v>640.00</v>
      </c>
      <c r="D17743" s="4"/>
    </row>
    <row collapsed="" customFormat="false" customHeight="1" hidden="" ht="14" outlineLevel="0" r="17744">
      <c r="A17744" s="3" t="inlineStr">
        <is>
          <t>17698</t>
        </is>
      </c>
      <c r="B17744" s="4" t="s">
        <f>=HYPERLINK("http://anyluxury.ru/shop/odezhda/futbolki-s-printom/futbolka-zhenskaya-hrabroe-serdce-belaya-7049860/" , "70498.60 Футболка женская «Храброе сердце», белая, размер L")</f>
      </c>
      <c r="C17744" s="4" t="n">
        <v>640.00</v>
      </c>
      <c r="D17744" s="4"/>
    </row>
    <row collapsed="" customFormat="false" customHeight="1" hidden="" ht="14" outlineLevel="0" r="17745">
      <c r="A17745" s="3" t="inlineStr">
        <is>
          <t>17699</t>
        </is>
      </c>
      <c r="B17745" s="4" t="s">
        <f>=HYPERLINK("http://anyluxury.ru/shop/odezhda/futbolki-s-printom/futbolka-zhenskaya-hrabroe-serdce-belaya-7049860/" , "70498.60 Футболка женская «Храброе сердце», белая, размер XL")</f>
      </c>
      <c r="C17745" s="4" t="n">
        <v>640.00</v>
      </c>
      <c r="D17745" s="4"/>
    </row>
    <row collapsed="" customFormat="false" customHeight="1" hidden="" ht="14" outlineLevel="0" r="17746">
      <c r="A17746" s="3" t="inlineStr">
        <is>
          <t>17700</t>
        </is>
      </c>
      <c r="B17746" s="4" t="s">
        <f>=HYPERLINK("http://anyluxury.ru/shop/odezhda/futbolki-s-printom/futbolka-human-chernaya-7067630/" , "70676.30 Футболка Human, черная, размер S")</f>
      </c>
      <c r="C17746" s="4" t="n">
        <v>768.00</v>
      </c>
      <c r="D17746" s="4"/>
    </row>
    <row collapsed="" customFormat="false" customHeight="1" hidden="" ht="14" outlineLevel="0" r="17747">
      <c r="A17747" s="3" t="inlineStr">
        <is>
          <t>17701</t>
        </is>
      </c>
      <c r="B17747" s="4" t="s">
        <f>=HYPERLINK("http://anyluxury.ru/shop/odezhda/futbolki-s-printom/futbolka-zhenskaya-big-dream-belaya-7069360/" , "70693.60 Футболка женская Big Dream, белая, размер S")</f>
      </c>
      <c r="C17747" s="4" t="n">
        <v>577.00</v>
      </c>
      <c r="D17747" s="4"/>
    </row>
    <row collapsed="" customFormat="false" customHeight="1" hidden="" ht="14" outlineLevel="0" r="17748">
      <c r="A17748" s="3" t="inlineStr">
        <is>
          <t>17702</t>
        </is>
      </c>
      <c r="B17748" s="4" t="s">
        <f>=HYPERLINK("http://anyluxury.ru/shop/odezhda/futbolki-s-printom/futbolka-zhenskaya-big-dream-belaya-7069360/" , "70693.60 Футболка женская Big Dream, белая, размер M")</f>
      </c>
      <c r="C17748" s="4" t="n">
        <v>577.00</v>
      </c>
      <c r="D17748" s="4"/>
    </row>
    <row collapsed="" customFormat="false" customHeight="1" hidden="" ht="14" outlineLevel="0" r="17749">
      <c r="A17749" s="3" t="inlineStr">
        <is>
          <t>17703</t>
        </is>
      </c>
      <c r="B17749" s="4" t="s">
        <f>=HYPERLINK("http://anyluxury.ru/shop/odezhda/futbolki-s-printom/futbolka-zhenskaya-big-dream-belaya-7069360/" , "70693.60 Футболка женская Big Dream, белая, размер L")</f>
      </c>
      <c r="C17749" s="4" t="n">
        <v>577.00</v>
      </c>
      <c r="D17749" s="4"/>
    </row>
    <row collapsed="" customFormat="false" customHeight="1" hidden="" ht="14" outlineLevel="0" r="17750">
      <c r="A17750" s="3" t="inlineStr">
        <is>
          <t>17704</t>
        </is>
      </c>
      <c r="B17750" s="4" t="s">
        <f>=HYPERLINK("http://anyluxury.ru/shop/odezhda/futbolki-s-printom/futbolka-zhenskaya-big-dream-belaya-7069360/" , "70693.60 Футболка женская Big Dream, белая, размер XL")</f>
      </c>
      <c r="C17750" s="4" t="n">
        <v>577.00</v>
      </c>
      <c r="D17750" s="4"/>
    </row>
    <row collapsed="" customFormat="false" customHeight="1" hidden="" ht="14" outlineLevel="0" r="17751">
      <c r="A17751" s="3" t="inlineStr">
        <is>
          <t>17705</t>
        </is>
      </c>
      <c r="B17751" s="4" t="s">
        <f>=HYPERLINK("http://anyluxury.ru/shop/odezhda/futbolki-s-printom/futbolka-zhenskaya-dobro-dolzhno-bit-s-kablukami-belaya-7069560/" , "70695.60 Футболка женская «Добро должно быть с каблуками», белая, размер S")</f>
      </c>
      <c r="C17751" s="4" t="n">
        <v>577.00</v>
      </c>
      <c r="D17751" s="4"/>
    </row>
    <row collapsed="" customFormat="false" customHeight="1" hidden="" ht="14" outlineLevel="0" r="17752">
      <c r="A17752" s="3" t="inlineStr">
        <is>
          <t>17706</t>
        </is>
      </c>
      <c r="B17752" s="4" t="s">
        <f>=HYPERLINK("http://anyluxury.ru/shop/odezhda/futbolki-s-printom/futbolka-zhenskaya-dobro-dolzhno-bit-s-kablukami-belaya-7069560/" , "70695.60 Футболка женская «Добро должно быть с каблуками», белая, размер XL")</f>
      </c>
      <c r="C17752" s="4" t="n">
        <v>577.00</v>
      </c>
      <c r="D17752" s="4"/>
    </row>
    <row collapsed="" customFormat="false" customHeight="1" hidden="" ht="14" outlineLevel="0" r="17753">
      <c r="A17753" s="3" t="inlineStr">
        <is>
          <t>17707</t>
        </is>
      </c>
      <c r="B17753" s="4" t="s">
        <f>=HYPERLINK("http://anyluxury.ru/shop/odezhda/futbolki-s-printom/futbolka-heminguey-chernaya-7069730/" , "70697.30 Футболка «Хемингуэй», черная, размер S")</f>
      </c>
      <c r="C17753" s="4" t="n">
        <v>774.00</v>
      </c>
      <c r="D17753" s="4"/>
    </row>
    <row collapsed="" customFormat="false" customHeight="1" hidden="" ht="14" outlineLevel="0" r="17754">
      <c r="A17754" s="3" t="inlineStr">
        <is>
          <t>17708</t>
        </is>
      </c>
      <c r="B17754" s="4" t="s">
        <f>=HYPERLINK("http://anyluxury.ru/shop/odezhda/futbolki-s-printom/futbolka-zhenskaya-preodolen-seriy-melanzh-7076211/" , "70762.11 Футболка женская «Преодолень», серый меланж, размер S")</f>
      </c>
      <c r="C17754" s="4" t="n">
        <v>883.00</v>
      </c>
      <c r="D17754" s="4"/>
    </row>
    <row collapsed="" customFormat="false" customHeight="1" hidden="" ht="14" outlineLevel="0" r="17755">
      <c r="A17755" s="3" t="inlineStr">
        <is>
          <t>17709</t>
        </is>
      </c>
      <c r="B17755" s="4" t="s">
        <f>=HYPERLINK("http://anyluxury.ru/shop/odezhda/futbolki-s-printom/futbolka-zhenskaya-preodolen-seriy-melanzh-7076211/" , "70762.11 Футболка женская «Преодолень», серый меланж, размер M")</f>
      </c>
      <c r="C17755" s="4" t="n">
        <v>883.00</v>
      </c>
      <c r="D17755" s="4"/>
    </row>
    <row collapsed="" customFormat="false" customHeight="1" hidden="" ht="14" outlineLevel="0" r="17756">
      <c r="A17756" s="3" t="inlineStr">
        <is>
          <t>17710</t>
        </is>
      </c>
      <c r="B17756" s="4" t="s">
        <f>=HYPERLINK("http://anyluxury.ru/shop/odezhda/futbolki-s-printom/futbolka-zhenskaya-preodolen-seriy-melanzh-7076211/" , "70762.11 Футболка женская «Преодолень», серый меланж, размер L")</f>
      </c>
      <c r="C17756" s="4" t="n">
        <v>883.00</v>
      </c>
      <c r="D17756" s="4"/>
    </row>
    <row collapsed="" customFormat="false" customHeight="1" hidden="" ht="14" outlineLevel="0" r="17757">
      <c r="A17757" s="3" t="inlineStr">
        <is>
          <t>17711</t>
        </is>
      </c>
      <c r="B17757" s="4" t="s">
        <f>=HYPERLINK("http://anyluxury.ru/shop/odezhda/futbolki-s-printom/futbolka-zhenskaya-preodolen-seriy-melanzh-7076211/" , "70762.11 Футболка женская «Преодолень», серый меланж, размер XL")</f>
      </c>
      <c r="C17757" s="4" t="n">
        <v>883.00</v>
      </c>
      <c r="D17757" s="4"/>
    </row>
    <row collapsed="" customFormat="false" customHeight="1" hidden="" ht="14" outlineLevel="0" r="17758">
      <c r="A17758" s="3" t="inlineStr">
        <is>
          <t>17712</t>
        </is>
      </c>
      <c r="B17758" s="4" t="s">
        <f>=HYPERLINK("http://anyluxury.ru/shop/odezhda/futbolki-s-printom/futbolka-zhenskaya-osen-hochetsya-leta-melanzh-haki-7076599/" , "70765.99 Футболка женская «Осень хочется лета», меланж хаки, размер S")</f>
      </c>
      <c r="C17758" s="4" t="n">
        <v>795.00</v>
      </c>
      <c r="D17758" s="4"/>
    </row>
    <row collapsed="" customFormat="false" customHeight="1" hidden="" ht="14" outlineLevel="0" r="17759">
      <c r="A17759" s="3" t="inlineStr">
        <is>
          <t>17713</t>
        </is>
      </c>
      <c r="B17759" s="4" t="s">
        <f>=HYPERLINK("http://anyluxury.ru/shop/odezhda/futbolki-s-printom/futbolka-zhenskaya-osen-hochetsya-leta-melanzh-haki-7076599/" , "70765.99 Футболка женская «Осень хочется лета», меланж хаки, размер M")</f>
      </c>
      <c r="C17759" s="4" t="n">
        <v>795.00</v>
      </c>
      <c r="D17759" s="4"/>
    </row>
    <row collapsed="" customFormat="false" customHeight="1" hidden="" ht="14" outlineLevel="0" r="17760">
      <c r="A17760" s="3" t="inlineStr">
        <is>
          <t>17714</t>
        </is>
      </c>
      <c r="B17760" s="4" t="s">
        <f>=HYPERLINK("http://anyluxury.ru/shop/odezhda/futbolki-s-printom/futbolka-zhenskaya-osen-hochetsya-leta-melanzh-haki-7076599/" , "70765.99 Футболка женская «Осень хочется лета», меланж хаки, размер L")</f>
      </c>
      <c r="C17760" s="4" t="n">
        <v>795.00</v>
      </c>
      <c r="D17760" s="4"/>
    </row>
    <row collapsed="" customFormat="false" customHeight="1" hidden="" ht="14" outlineLevel="0" r="17761">
      <c r="A17761" s="3" t="inlineStr">
        <is>
          <t>17715</t>
        </is>
      </c>
      <c r="B17761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S")</f>
      </c>
      <c r="C17761" s="4" t="n">
        <v>821.00</v>
      </c>
      <c r="D17761" s="4"/>
    </row>
    <row collapsed="" customFormat="false" customHeight="1" hidden="" ht="14" outlineLevel="0" r="17762">
      <c r="A17762" s="3" t="inlineStr">
        <is>
          <t>17716</t>
        </is>
      </c>
      <c r="B17762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M")</f>
      </c>
      <c r="C17762" s="4" t="n">
        <v>821.00</v>
      </c>
      <c r="D17762" s="4"/>
    </row>
    <row collapsed="" customFormat="false" customHeight="1" hidden="" ht="14" outlineLevel="0" r="17763">
      <c r="A17763" s="3" t="inlineStr">
        <is>
          <t>17717</t>
        </is>
      </c>
      <c r="B17763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L")</f>
      </c>
      <c r="C17763" s="4" t="n">
        <v>821.00</v>
      </c>
      <c r="D17763" s="4"/>
    </row>
    <row collapsed="" customFormat="false" customHeight="1" hidden="" ht="14" outlineLevel="0" r="17764">
      <c r="A17764" s="3" t="inlineStr">
        <is>
          <t>17718</t>
        </is>
      </c>
      <c r="B17764" s="4" t="s">
        <f>=HYPERLINK("http://anyluxury.ru/shop/odezhda/futbolki-s-printom/futbolka-zhenskaya-antikva-a-seriy-melanzh-7043311/" , "70433.11 Футболка женская «Антиква А», серый меланж, размер S")</f>
      </c>
      <c r="C17764" s="4" t="n">
        <v>711.00</v>
      </c>
      <c r="D17764" s="4"/>
    </row>
    <row collapsed="" customFormat="false" customHeight="1" hidden="" ht="14" outlineLevel="0" r="17765">
      <c r="A17765" s="3" t="inlineStr">
        <is>
          <t>17719</t>
        </is>
      </c>
      <c r="B17765" s="4" t="s">
        <f>=HYPERLINK("http://anyluxury.ru/shop/odezhda/futbolki-s-printom/futbolka-zhenskaya-antikva-a-seriy-melanzh-7043311/" , "70433.11 Футболка женская «Антиква А», серый меланж, размер M")</f>
      </c>
      <c r="C17765" s="4" t="n">
        <v>711.00</v>
      </c>
      <c r="D17765" s="4"/>
    </row>
    <row collapsed="" customFormat="false" customHeight="1" hidden="" ht="14" outlineLevel="0" r="17766">
      <c r="A17766" s="3" t="inlineStr">
        <is>
          <t>17720</t>
        </is>
      </c>
      <c r="B17766" s="4" t="s">
        <f>=HYPERLINK("http://anyluxury.ru/shop/odezhda/futbolki-s-printom/futbolka-zhenskaya-antikva-a-seriy-melanzh-7043311/" , "70433.11 Футболка женская «Антиква А», серый меланж, размер L")</f>
      </c>
      <c r="C17766" s="4" t="n">
        <v>711.00</v>
      </c>
      <c r="D17766" s="4"/>
    </row>
    <row collapsed="" customFormat="false" customHeight="1" hidden="" ht="14" outlineLevel="0" r="17767">
      <c r="A17767" s="3" t="inlineStr">
        <is>
          <t>17721</t>
        </is>
      </c>
      <c r="B17767" s="4" t="s">
        <f>=HYPERLINK("http://anyluxury.ru/shop/odezhda/futbolki-s-printom/futbolka-muzhskaya-antikva-a-seriy-melanzh-7043411/" , "70434.11 Футболка мужская «Антиква А», серый меланж, размер S")</f>
      </c>
      <c r="C17767" s="4" t="n">
        <v>723.00</v>
      </c>
      <c r="D17767" s="4"/>
    </row>
    <row collapsed="" customFormat="false" customHeight="1" hidden="" ht="14" outlineLevel="0" r="17768">
      <c r="A17768" s="3" t="inlineStr">
        <is>
          <t>17722</t>
        </is>
      </c>
      <c r="B17768" s="4" t="s">
        <f>=HYPERLINK("http://anyluxury.ru/shop/odezhda/futbolki-s-printom/futbolka-muzhskaya-antikva-a-seriy-melanzh-7043411/" , "70434.11 Футболка мужская «Антиква А», серый меланж, размер M")</f>
      </c>
      <c r="C17768" s="4" t="n">
        <v>723.00</v>
      </c>
      <c r="D17768" s="4"/>
    </row>
    <row collapsed="" customFormat="false" customHeight="1" hidden="" ht="14" outlineLevel="0" r="17769">
      <c r="A17769" s="3" t="inlineStr">
        <is>
          <t>17723</t>
        </is>
      </c>
      <c r="B17769" s="4" t="s">
        <f>=HYPERLINK("http://anyluxury.ru/shop/odezhda/futbolki-s-printom/futbolka-u-matrosov-net-voprosov-belaya-7049260/" , "70492.60 Футболка «У матросов нет вопросов», белая, размер S")</f>
      </c>
      <c r="C17769" s="4" t="n">
        <v>767.00</v>
      </c>
      <c r="D17769" s="4"/>
    </row>
    <row collapsed="" customFormat="false" customHeight="1" hidden="" ht="14" outlineLevel="0" r="17770">
      <c r="A17770" s="3" t="inlineStr">
        <is>
          <t>17724</t>
        </is>
      </c>
      <c r="B17770" s="4" t="s">
        <f>=HYPERLINK("http://anyluxury.ru/shop/odezhda/futbolki-s-printom/futbolka-u-matrosov-net-voprosov-belaya-7049260/" , "70492.60 Футболка «У матросов нет вопросов», белая, размер M")</f>
      </c>
      <c r="C17770" s="4" t="n">
        <v>767.00</v>
      </c>
      <c r="D17770" s="4"/>
    </row>
    <row collapsed="" customFormat="false" customHeight="1" hidden="" ht="14" outlineLevel="0" r="17771">
      <c r="A17771" s="3" t="inlineStr">
        <is>
          <t>17725</t>
        </is>
      </c>
      <c r="B17771" s="4" t="s">
        <f>=HYPERLINK("http://anyluxury.ru/shop/odezhda/futbolki-s-printom/futbolka-zhenskaya-kote-rozovaya-7079315/" , "70793.15 Футболка женская «Котэ», розовая, размер S")</f>
      </c>
      <c r="C17771" s="4" t="n">
        <v>808.00</v>
      </c>
      <c r="D17771" s="4"/>
    </row>
    <row collapsed="" customFormat="false" customHeight="1" hidden="" ht="14" outlineLevel="0" r="17772">
      <c r="A17772" s="3" t="inlineStr">
        <is>
          <t>17726</t>
        </is>
      </c>
      <c r="B17772" s="4" t="s">
        <f>=HYPERLINK("http://anyluxury.ru/shop/odezhda/futbolki-s-printom/futbolka-zhenskaya-kote-rozovaya-7079315/" , "70793.15 Футболка женская «Котэ», розовая, размер XL")</f>
      </c>
      <c r="C17772" s="4" t="n">
        <v>808.00</v>
      </c>
      <c r="D17772" s="4"/>
    </row>
    <row collapsed="" customFormat="false" customHeight="1" hidden="" ht="14" outlineLevel="0" r="17773">
      <c r="A17773" s="3" t="inlineStr">
        <is>
          <t>17727</t>
        </is>
      </c>
      <c r="B17773" s="4" t="s">
        <f>=HYPERLINK("http://anyluxury.ru/shop/odezhda/futbolki-s-printom/futbolka-shut-chernaya-7067130/" , "70671.30 Футболка «Шут», черная, размер S")</f>
      </c>
      <c r="C17773" s="4" t="n">
        <v>1117.00</v>
      </c>
      <c r="D17773" s="4"/>
    </row>
    <row collapsed="" customFormat="false" customHeight="1" hidden="" ht="14" outlineLevel="0" r="17774">
      <c r="A17774" s="3" t="inlineStr">
        <is>
          <t>17728</t>
        </is>
      </c>
      <c r="B17774" s="4" t="s">
        <f>=HYPERLINK("http://anyluxury.ru/shop/odezhda/futbolki-s-printom/futbolka-shut-chernaya-7067130/" , "70671.30 Футболка «Шут», черная, размер M")</f>
      </c>
      <c r="C17774" s="4" t="n">
        <v>1117.00</v>
      </c>
      <c r="D17774" s="4"/>
    </row>
    <row collapsed="" customFormat="false" customHeight="1" hidden="" ht="14" outlineLevel="0" r="17775">
      <c r="A17775" s="3" t="inlineStr">
        <is>
          <t>17729</t>
        </is>
      </c>
      <c r="B17775" s="4" t="s">
        <f>=HYPERLINK("http://anyluxury.ru/shop/odezhda/futbolki-s-printom/futbolka-shut-chernaya-7067130/" , "70671.30 Футболка «Шут», черная, размер L")</f>
      </c>
      <c r="C17775" s="4" t="n">
        <v>1117.00</v>
      </c>
      <c r="D17775" s="4"/>
    </row>
    <row collapsed="" customFormat="false" customHeight="1" hidden="" ht="14" outlineLevel="0" r="17776">
      <c r="A17776" s="3" t="inlineStr">
        <is>
          <t>17730</t>
        </is>
      </c>
      <c r="B17776" s="4" t="s">
        <f>=HYPERLINK("http://anyluxury.ru/shop/odezhda/futbolki-s-printom/futbolka-shut-chernaya-7067130/" , "70671.30 Футболка «Шут», черная, размер XL")</f>
      </c>
      <c r="C17776" s="4" t="n">
        <v>1117.00</v>
      </c>
      <c r="D17776" s="4"/>
    </row>
    <row collapsed="" customFormat="false" customHeight="1" hidden="" ht="14" outlineLevel="0" r="17777">
      <c r="A17777" s="3" t="inlineStr">
        <is>
          <t>17731</t>
        </is>
      </c>
      <c r="B17777" s="4" t="s">
        <f>=HYPERLINK("http://anyluxury.ru/shop/odezhda/futbolki-s-printom/futbolka-shut-chernaya-7067130/" , "70671.30 Футболка «Шут», черная, размер XXL")</f>
      </c>
      <c r="C17777" s="4" t="n">
        <v>1117.00</v>
      </c>
      <c r="D17777" s="4"/>
    </row>
    <row collapsed="" customFormat="false" customHeight="1" hidden="" ht="14" outlineLevel="0" r="17778">
      <c r="A17778" s="3" t="inlineStr">
        <is>
          <t>17732</t>
        </is>
      </c>
      <c r="B17778" s="4" t="s">
        <f>=HYPERLINK("http://anyluxury.ru/shop/odezhda/futbolki-s-printom/futbolka-street-racing-art-belaya-7081760/" , "70817.60 Футболка Street Racing Art, белая, размер S")</f>
      </c>
      <c r="C17778" s="4" t="n">
        <v>848.00</v>
      </c>
      <c r="D17778" s="4"/>
    </row>
    <row collapsed="" customFormat="false" customHeight="1" hidden="" ht="14" outlineLevel="0" r="17779">
      <c r="A17779" s="3" t="inlineStr">
        <is>
          <t>17733</t>
        </is>
      </c>
      <c r="B17779" s="4" t="s">
        <f>=HYPERLINK("http://anyluxury.ru/shop/odezhda/futbolki-s-printom/futbolka-street-racing-art-belaya-7081760/" , "70817.60 Футболка Street Racing Art, белая, размер L")</f>
      </c>
      <c r="C17779" s="4" t="n">
        <v>848.00</v>
      </c>
      <c r="D17779" s="4"/>
    </row>
    <row collapsed="" customFormat="false" customHeight="1" hidden="" ht="14" outlineLevel="0" r="17780">
      <c r="A17780" s="3" t="inlineStr">
        <is>
          <t>17734</t>
        </is>
      </c>
      <c r="B17780" s="4" t="s">
        <f>=HYPERLINK("http://anyluxury.ru/shop/odezhda/futbolki-s-printom/futbolka-street-racing-art-belaya-7081760/" , "70817.60 Футболка Street Racing Art, белая, размер XXL")</f>
      </c>
      <c r="C17780" s="4" t="n">
        <v>848.00</v>
      </c>
      <c r="D17780" s="4"/>
    </row>
    <row collapsed="" customFormat="false" customHeight="1" hidden="" ht="14" outlineLevel="0" r="17781">
      <c r="A17781" s="3" t="inlineStr">
        <is>
          <t>17735</t>
        </is>
      </c>
      <c r="B17781" s="4" t="s">
        <f>=HYPERLINK("http://anyluxury.ru/shop/odezhda/futbolki-s-printom/futbolka-melamed-massive-attack-chernaya-7090130/" , "70901.30 Футболка «Меламед. Massive Attack», черная, размер S")</f>
      </c>
      <c r="C17781" s="4" t="n">
        <v>977.00</v>
      </c>
      <c r="D17781" s="4"/>
    </row>
    <row collapsed="" customFormat="false" customHeight="1" hidden="" ht="14" outlineLevel="0" r="17782">
      <c r="A17782" s="3" t="inlineStr">
        <is>
          <t>17736</t>
        </is>
      </c>
      <c r="B17782" s="4" t="s">
        <f>=HYPERLINK("http://anyluxury.ru/shop/odezhda/futbolki-s-printom/futbolka-melamed-massive-attack-chernaya-7090130/" , "70901.30 Футболка «Меламед. Massive Attack», черная, размер M")</f>
      </c>
      <c r="C17782" s="4" t="n">
        <v>977.00</v>
      </c>
      <c r="D17782" s="4"/>
    </row>
    <row collapsed="" customFormat="false" customHeight="1" hidden="" ht="14" outlineLevel="0" r="17783">
      <c r="A17783" s="3" t="inlineStr">
        <is>
          <t>17737</t>
        </is>
      </c>
      <c r="B17783" s="4" t="s">
        <f>=HYPERLINK("http://anyluxury.ru/shop/odezhda/futbolki-s-printom/futbolka-melamed-massive-attack-chernaya-7090130/" , "70901.30 Футболка «Меламед. Massive Attack», черная, размер L")</f>
      </c>
      <c r="C17783" s="4" t="n">
        <v>977.00</v>
      </c>
      <c r="D17783" s="4"/>
    </row>
    <row collapsed="" customFormat="false" customHeight="1" hidden="" ht="14" outlineLevel="0" r="17784">
      <c r="A17784" s="3" t="inlineStr">
        <is>
          <t>17738</t>
        </is>
      </c>
      <c r="B17784" s="4" t="s">
        <f>=HYPERLINK("http://anyluxury.ru/shop/odezhda/futbolki-s-printom/futbolka-melamed-massive-attack-chernaya-7090130/" , "70901.30 Футболка «Меламед. Massive Attack», черная, размер XXL")</f>
      </c>
      <c r="C17784" s="4" t="n">
        <v>977.00</v>
      </c>
      <c r="D17784" s="4"/>
    </row>
    <row collapsed="" customFormat="false" customHeight="1" hidden="" ht="14" outlineLevel="0" r="17785">
      <c r="A17785" s="3" t="inlineStr">
        <is>
          <t>17739</t>
        </is>
      </c>
      <c r="B17785" s="4" t="s">
        <f>=HYPERLINK("http://anyluxury.ru/shop/odezhda/futbolki-s-printom/futbolka-melamed-the-beatles-belaya-7090260/" , "70902.60 Футболка «Меламед. The Beatles», белая, размер S")</f>
      </c>
      <c r="C17785" s="4" t="n">
        <v>1292.00</v>
      </c>
      <c r="D17785" s="4"/>
    </row>
    <row collapsed="" customFormat="false" customHeight="1" hidden="" ht="14" outlineLevel="0" r="17786">
      <c r="A17786" s="3" t="inlineStr">
        <is>
          <t>17740</t>
        </is>
      </c>
      <c r="B17786" s="4" t="s">
        <f>=HYPERLINK("http://anyluxury.ru/shop/odezhda/futbolki-s-printom/futbolka-melamed-the-beatles-belaya-7090260/" , "70902.60 Футболка «Меламед. The Beatles», белая, размер L")</f>
      </c>
      <c r="C17786" s="4" t="n">
        <v>1292.00</v>
      </c>
      <c r="D17786" s="4"/>
    </row>
    <row collapsed="" customFormat="false" customHeight="1" hidden="" ht="14" outlineLevel="0" r="17787">
      <c r="A17787" s="3" t="inlineStr">
        <is>
          <t>17741</t>
        </is>
      </c>
      <c r="B17787" s="4" t="s">
        <f>=HYPERLINK("http://anyluxury.ru/shop/odezhda/futbolki-s-printom/futbolka-melamed-the-beatles-belaya-7090260/" , "70902.60 Футболка «Меламед. The Beatles», белая, размер XL")</f>
      </c>
      <c r="C17787" s="4" t="n">
        <v>1292.00</v>
      </c>
      <c r="D17787" s="4"/>
    </row>
    <row collapsed="" customFormat="false" customHeight="1" hidden="" ht="14" outlineLevel="0" r="17788">
      <c r="A17788" s="3" t="inlineStr">
        <is>
          <t>17742</t>
        </is>
      </c>
      <c r="B17788" s="4" t="s">
        <f>=HYPERLINK("http://anyluxury.ru/shop/odezhda/futbolki-s-printom/futbolka-melamed-the-beatles-belaya-7090260/" , "70902.60 Футболка «Меламед. The Beatles», белая, размер XXL")</f>
      </c>
      <c r="C17788" s="4" t="n">
        <v>1292.00</v>
      </c>
      <c r="D17788" s="4"/>
    </row>
    <row collapsed="" customFormat="false" customHeight="1" hidden="" ht="14" outlineLevel="0" r="17789">
      <c r="A17789" s="3" t="inlineStr">
        <is>
          <t>17743</t>
        </is>
      </c>
      <c r="B17789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S")</f>
      </c>
      <c r="C17789" s="4" t="n">
        <v>851.00</v>
      </c>
      <c r="D17789" s="4"/>
    </row>
    <row collapsed="" customFormat="false" customHeight="1" hidden="" ht="14" outlineLevel="0" r="17790">
      <c r="A17790" s="3" t="inlineStr">
        <is>
          <t>17744</t>
        </is>
      </c>
      <c r="B17790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L")</f>
      </c>
      <c r="C17790" s="4" t="n">
        <v>851.00</v>
      </c>
      <c r="D17790" s="4"/>
    </row>
    <row collapsed="" customFormat="false" customHeight="1" hidden="" ht="14" outlineLevel="0" r="17791">
      <c r="A17791" s="3" t="inlineStr">
        <is>
          <t>17745</t>
        </is>
      </c>
      <c r="B17791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XL")</f>
      </c>
      <c r="C17791" s="4" t="n">
        <v>851.00</v>
      </c>
      <c r="D17791" s="4"/>
    </row>
    <row collapsed="" customFormat="false" customHeight="1" hidden="" ht="14" outlineLevel="0" r="17792">
      <c r="A17792" s="3" t="inlineStr">
        <is>
          <t>17746</t>
        </is>
      </c>
      <c r="B17792" s="4" t="s">
        <f>=HYPERLINK("http://anyluxury.ru/shop/odezhda/futbolki-s-printom/futbolka-zhenskaya-melamed-bjork-belaya-7090460/" , "70904.60 Футболка женская «Меламед. Bjork», белая, размер M")</f>
      </c>
      <c r="C17792" s="4" t="n">
        <v>1177.00</v>
      </c>
      <c r="D17792" s="4"/>
    </row>
    <row collapsed="" customFormat="false" customHeight="1" hidden="" ht="14" outlineLevel="0" r="17793">
      <c r="A17793" s="3" t="inlineStr">
        <is>
          <t>17747</t>
        </is>
      </c>
      <c r="B17793" s="4" t="s">
        <f>=HYPERLINK("http://anyluxury.ru/shop/odezhda/futbolki-s-printom/futbolka-zhenskaya-melamed-bjork-belaya-7090460/" , "70904.60 Футболка женская «Меламед. Bjork», белая, размер L")</f>
      </c>
      <c r="C17793" s="4" t="n">
        <v>1177.00</v>
      </c>
      <c r="D17793" s="4"/>
    </row>
    <row collapsed="" customFormat="false" customHeight="1" hidden="" ht="14" outlineLevel="0" r="17794">
      <c r="A17794" s="3" t="inlineStr">
        <is>
          <t>17748</t>
        </is>
      </c>
      <c r="B17794" s="4" t="s">
        <f>=HYPERLINK("http://anyluxury.ru/shop/odezhda/futbolki-s-printom/futbolka-zhenskaya-melamed-bjork-belaya-7090460/" , "70904.60 Футболка женская «Меламед. Bjork», белая, размер XL")</f>
      </c>
      <c r="C17794" s="4" t="n">
        <v>1177.00</v>
      </c>
      <c r="D17794" s="4"/>
    </row>
    <row collapsed="" customFormat="false" customHeight="1" hidden="" ht="14" outlineLevel="0" r="17795">
      <c r="A17795" s="3" t="inlineStr">
        <is>
          <t>17749</t>
        </is>
      </c>
      <c r="B17795" s="4" t="s">
        <f>=HYPERLINK("http://anyluxury.ru/shop/odezhda/futbolki-s-printom/futbolka-zhenskaya-melamed-bjork-belaya-7090460/" , "70904.60 Футболка женская «Меламед. Bjork», белая, размер XXL")</f>
      </c>
      <c r="C17795" s="4" t="n">
        <v>1177.00</v>
      </c>
      <c r="D17795" s="4"/>
    </row>
    <row collapsed="" customFormat="false" customHeight="1" hidden="" ht="14" outlineLevel="0" r="17796">
      <c r="A17796" s="3" t="inlineStr">
        <is>
          <t>17750</t>
        </is>
      </c>
      <c r="B17796" s="4" t="s">
        <f>=HYPERLINK("http://anyluxury.ru/shop/odezhda/futbolki-s-printom/futbolka-melamed-jim-morrison-belaya-7090660/" , "70906.60 Футболка «Меламед. Jim Morrison», белая, размер XL")</f>
      </c>
      <c r="C17796" s="4" t="n">
        <v>970.00</v>
      </c>
      <c r="D17796" s="4"/>
    </row>
    <row collapsed="" customFormat="false" customHeight="1" hidden="" ht="14" outlineLevel="0" r="17797">
      <c r="A17797" s="3" t="inlineStr">
        <is>
          <t>17751</t>
        </is>
      </c>
      <c r="B17797" s="4" t="s">
        <f>=HYPERLINK("http://anyluxury.ru/shop/odezhda/futbolki-s-printom/futbolka-melamed-jim-morrison-belaya-7090660/" , "70906.60 Футболка «Меламед. Jim Morrison», белая, размер XXL")</f>
      </c>
      <c r="C17797" s="4" t="n">
        <v>970.00</v>
      </c>
      <c r="D17797" s="4"/>
    </row>
    <row collapsed="" customFormat="false" customHeight="1" hidden="" ht="14" outlineLevel="0" r="17798">
      <c r="A17798" s="3" t="inlineStr">
        <is>
          <t>17752</t>
        </is>
      </c>
      <c r="B17798" s="4" t="s">
        <f>=HYPERLINK("http://anyluxury.ru/shop/odezhda/futbolki-s-printom/futbolka-melamed-jimi-hendrix-belaya-7090760/" , "70907.60 Футболка «Меламед. Jimi Hendrix», белая, размер S")</f>
      </c>
      <c r="C17798" s="4" t="n">
        <v>1563.00</v>
      </c>
      <c r="D17798" s="4"/>
    </row>
    <row collapsed="" customFormat="false" customHeight="1" hidden="" ht="14" outlineLevel="0" r="17799">
      <c r="A17799" s="3" t="inlineStr">
        <is>
          <t>17753</t>
        </is>
      </c>
      <c r="B17799" s="4" t="s">
        <f>=HYPERLINK("http://anyluxury.ru/shop/odezhda/futbolki-s-printom/futbolka-melamed-jimi-hendrix-belaya-7090760/" , "70907.60 Футболка «Меламед. Jimi Hendrix», белая, размер XXL")</f>
      </c>
      <c r="C17799" s="4" t="n">
        <v>1563.00</v>
      </c>
      <c r="D17799" s="4"/>
    </row>
    <row collapsed="" customFormat="false" customHeight="1" hidden="" ht="14" outlineLevel="0" r="17800">
      <c r="A17800" s="3" t="inlineStr">
        <is>
          <t>17754</t>
        </is>
      </c>
      <c r="B17800" s="4" t="s">
        <f>=HYPERLINK("http://anyluxury.ru/shop/odezhda/futbolki-s-printom/futbolka-melamed-jimi-hendrix-cherniy-melanzh-7090812/" , "70908.12 Футболка «Меламед. Jimi Hendrix», черный меланж, размер XL")</f>
      </c>
      <c r="C17800" s="4" t="n">
        <v>923.00</v>
      </c>
      <c r="D17800" s="4"/>
    </row>
    <row collapsed="" customFormat="false" customHeight="1" hidden="" ht="14" outlineLevel="0" r="17801">
      <c r="A17801" s="3" t="inlineStr">
        <is>
          <t>17755</t>
        </is>
      </c>
      <c r="B17801" s="4" t="s">
        <f>=HYPERLINK("http://anyluxury.ru/shop/odezhda/futbolki-s-printom/futbolka-melamed-jimi-hendrix-cherniy-melanzh-7090812/" , "70908.12 Футболка «Меламед. Jimi Hendrix», черный меланж, размер XXL")</f>
      </c>
      <c r="C17801" s="4" t="n">
        <v>923.00</v>
      </c>
      <c r="D17801" s="4"/>
    </row>
    <row collapsed="" customFormat="false" customHeight="1" hidden="" ht="14" outlineLevel="0" r="17802">
      <c r="A17802" s="3" t="inlineStr">
        <is>
          <t>17756</t>
        </is>
      </c>
      <c r="B17802" s="4" t="s">
        <f>=HYPERLINK("http://anyluxury.ru/shop/odezhda/futbolki-s-printom/futbolka-melamed-john-lennon-yoko-ono-belaya-7090960/" , "70909.60 Футболка «Меламед. John Lennon, Yoko Ono», белая, размер S")</f>
      </c>
      <c r="C17802" s="4" t="n">
        <v>952.00</v>
      </c>
      <c r="D17802" s="4"/>
    </row>
    <row collapsed="" customFormat="false" customHeight="1" hidden="" ht="14" outlineLevel="0" r="17803">
      <c r="A17803" s="3" t="inlineStr">
        <is>
          <t>17757</t>
        </is>
      </c>
      <c r="B17803" s="4" t="s">
        <f>=HYPERLINK("http://anyluxury.ru/shop/odezhda/futbolki-s-printom/futbolka-melamed-john-lennon-yoko-ono-belaya-7090960/" , "70909.60 Футболка «Меламед. John Lennon, Yoko Ono», белая, размер M")</f>
      </c>
      <c r="C17803" s="4" t="n">
        <v>952.00</v>
      </c>
      <c r="D17803" s="4"/>
    </row>
    <row collapsed="" customFormat="false" customHeight="1" hidden="" ht="14" outlineLevel="0" r="17804">
      <c r="A17804" s="3" t="inlineStr">
        <is>
          <t>17758</t>
        </is>
      </c>
      <c r="B17804" s="4" t="s">
        <f>=HYPERLINK("http://anyluxury.ru/shop/odezhda/futbolki-s-printom/futbolka-melamed-john-lennon-yoko-ono-belaya-7090960/" , "70909.60 Футболка «Меламед. John Lennon, Yoko Ono», белая, размер L")</f>
      </c>
      <c r="C17804" s="4" t="n">
        <v>952.00</v>
      </c>
      <c r="D17804" s="4"/>
    </row>
    <row collapsed="" customFormat="false" customHeight="1" hidden="" ht="14" outlineLevel="0" r="17805">
      <c r="A17805" s="3" t="inlineStr">
        <is>
          <t>17759</t>
        </is>
      </c>
      <c r="B17805" s="4" t="s">
        <f>=HYPERLINK("http://anyluxury.ru/shop/odezhda/futbolki-s-printom/futbolka-melamed-john-lennon-yoko-ono-belaya-7090960/" , "70909.60 Футболка «Меламед. John Lennon, Yoko Ono», белая, размер XL")</f>
      </c>
      <c r="C17805" s="4" t="n">
        <v>952.00</v>
      </c>
      <c r="D17805" s="4"/>
    </row>
    <row collapsed="" customFormat="false" customHeight="1" hidden="" ht="14" outlineLevel="0" r="17806">
      <c r="A17806" s="3" t="inlineStr">
        <is>
          <t>17760</t>
        </is>
      </c>
      <c r="B17806" s="4" t="s">
        <f>=HYPERLINK("http://anyluxury.ru/shop/odezhda/futbolki-s-printom/futbolka-melamed-john-lennon-yoko-ono-belaya-7090960/" , "70909.60 Футболка «Меламед. John Lennon, Yoko Ono», белая, размер XXL")</f>
      </c>
      <c r="C17806" s="4" t="n">
        <v>952.00</v>
      </c>
      <c r="D17806" s="4"/>
    </row>
    <row collapsed="" customFormat="false" customHeight="1" hidden="" ht="14" outlineLevel="0" r="17807">
      <c r="A17807" s="3" t="inlineStr">
        <is>
          <t>17761</t>
        </is>
      </c>
      <c r="B17807" s="4" t="s">
        <f>=HYPERLINK("http://anyluxury.ru/shop/odezhda/futbolki-s-printom/futbolka-melamed-john-lennon-yoko-ono-belaya-7090960/" , "70909.60 Футболка «Меламед. John Lennon, Yoko Ono», белая, размер 3XL")</f>
      </c>
      <c r="C17807" s="4" t="n">
        <v>1990.00</v>
      </c>
      <c r="D17807" s="4"/>
    </row>
    <row collapsed="" customFormat="false" customHeight="1" hidden="" ht="14" outlineLevel="0" r="17808">
      <c r="A17808" s="3" t="inlineStr">
        <is>
          <t>17762</t>
        </is>
      </c>
      <c r="B17808" s="4" t="s">
        <f>=HYPERLINK("http://anyluxury.ru/shop/odezhda/futbolki-s-printom/futbolka-melamed-kraftwerk-krasnaya-7091050/" , "70910.50 Футболка «Меламед. Kraftwerk», красная, размер S")</f>
      </c>
      <c r="C17808" s="4" t="n">
        <v>977.00</v>
      </c>
      <c r="D17808" s="4"/>
    </row>
    <row collapsed="" customFormat="false" customHeight="1" hidden="" ht="14" outlineLevel="0" r="17809">
      <c r="A17809" s="3" t="inlineStr">
        <is>
          <t>17763</t>
        </is>
      </c>
      <c r="B17809" s="4" t="s">
        <f>=HYPERLINK("http://anyluxury.ru/shop/odezhda/futbolki-s-printom/futbolka-melamed-kraftwerk-krasnaya-7091050/" , "70910.50 Футболка «Меламед. Kraftwerk», красная, размер M")</f>
      </c>
      <c r="C17809" s="4" t="n">
        <v>977.00</v>
      </c>
      <c r="D17809" s="4"/>
    </row>
    <row collapsed="" customFormat="false" customHeight="1" hidden="" ht="14" outlineLevel="0" r="17810">
      <c r="A17810" s="3" t="inlineStr">
        <is>
          <t>17764</t>
        </is>
      </c>
      <c r="B17810" s="4" t="s">
        <f>=HYPERLINK("http://anyluxury.ru/shop/odezhda/futbolki-s-printom/futbolka-melamed-kraftwerk-krasnaya-7091050/" , "70910.50 Футболка «Меламед. Kraftwerk», красная, размер L")</f>
      </c>
      <c r="C17810" s="4" t="n">
        <v>977.00</v>
      </c>
      <c r="D17810" s="4"/>
    </row>
    <row collapsed="" customFormat="false" customHeight="1" hidden="" ht="14" outlineLevel="0" r="17811">
      <c r="A17811" s="3" t="inlineStr">
        <is>
          <t>17765</t>
        </is>
      </c>
      <c r="B17811" s="4" t="s">
        <f>=HYPERLINK("http://anyluxury.ru/shop/odezhda/futbolki-s-printom/futbolka-melamed-kurt-cobain-temnoseraya-7091118/" , "70911.18 Футболка «Меламед. Kurt Cobain», темно-серая, размер S")</f>
      </c>
      <c r="C17811" s="4" t="n">
        <v>1280.00</v>
      </c>
      <c r="D17811" s="4"/>
    </row>
    <row collapsed="" customFormat="false" customHeight="1" hidden="" ht="14" outlineLevel="0" r="17812">
      <c r="A17812" s="3" t="inlineStr">
        <is>
          <t>17766</t>
        </is>
      </c>
      <c r="B17812" s="4" t="s">
        <f>=HYPERLINK("http://anyluxury.ru/shop/odezhda/futbolki-s-printom/futbolka-melamed-kurt-cobain-temnoseraya-7091118/" , "70911.18 Футболка «Меламед. Kurt Cobain», темно-серая, размер M")</f>
      </c>
      <c r="C17812" s="4" t="n">
        <v>1280.00</v>
      </c>
      <c r="D17812" s="4"/>
    </row>
    <row collapsed="" customFormat="false" customHeight="1" hidden="" ht="14" outlineLevel="0" r="17813">
      <c r="A17813" s="3" t="inlineStr">
        <is>
          <t>17767</t>
        </is>
      </c>
      <c r="B17813" s="4" t="s">
        <f>=HYPERLINK("http://anyluxury.ru/shop/odezhda/futbolki-s-printom/futbolka-melamed-kurt-cobain-temnoseraya-7091118/" , "70911.18 Футболка «Меламед. Kurt Cobain», темно-серая, размер L")</f>
      </c>
      <c r="C17813" s="4" t="n">
        <v>1280.00</v>
      </c>
      <c r="D17813" s="4"/>
    </row>
    <row collapsed="" customFormat="false" customHeight="1" hidden="" ht="14" outlineLevel="0" r="17814">
      <c r="A17814" s="3" t="inlineStr">
        <is>
          <t>17768</t>
        </is>
      </c>
      <c r="B17814" s="4" t="s">
        <f>=HYPERLINK("http://anyluxury.ru/shop/odezhda/futbolki-s-printom/futbolka-melamed-kurt-cobain-temnoseraya-7091118/" , "70911.18 Футболка «Меламед. Kurt Cobain», темно-серая, размер XL")</f>
      </c>
      <c r="C17814" s="4" t="n">
        <v>1280.00</v>
      </c>
      <c r="D17814" s="4"/>
    </row>
    <row collapsed="" customFormat="false" customHeight="1" hidden="" ht="14" outlineLevel="0" r="17815">
      <c r="A17815" s="3" t="inlineStr">
        <is>
          <t>17769</t>
        </is>
      </c>
      <c r="B17815" s="4" t="s">
        <f>=HYPERLINK("http://anyluxury.ru/shop/odezhda/futbolki-s-printom/futbolka-melamed-kurt-cobain-temnoseraya-7091118/" , "70911.18 Футболка «Меламед. Kurt Cobain», темно-серая, размер XXL")</f>
      </c>
      <c r="C17815" s="4" t="n">
        <v>1280.00</v>
      </c>
      <c r="D17815" s="4"/>
    </row>
    <row collapsed="" customFormat="false" customHeight="1" hidden="" ht="14" outlineLevel="0" r="17816">
      <c r="A17816" s="3" t="inlineStr">
        <is>
          <t>17770</t>
        </is>
      </c>
      <c r="B17816" s="4" t="s">
        <f>=HYPERLINK("http://anyluxury.ru/shop/odezhda/futbolki-s-printom/futbolka-melamed-egor-letov-belaya-7091260/" , "70912.60 Футболка «Меламед. Егор Летов», белая, размер S")</f>
      </c>
      <c r="C17816" s="4" t="n">
        <v>2156.00</v>
      </c>
      <c r="D17816" s="4"/>
    </row>
    <row collapsed="" customFormat="false" customHeight="1" hidden="" ht="14" outlineLevel="0" r="17817">
      <c r="A17817" s="3" t="inlineStr">
        <is>
          <t>17771</t>
        </is>
      </c>
      <c r="B17817" s="4" t="s">
        <f>=HYPERLINK("http://anyluxury.ru/shop/odezhda/futbolki-s-printom/futbolka-melamed-egor-letov-belaya-7091260/" , "70912.60 Футболка «Меламед. Егор Летов», белая, размер M")</f>
      </c>
      <c r="C17817" s="4" t="n">
        <v>2159.00</v>
      </c>
      <c r="D17817" s="4"/>
    </row>
    <row collapsed="" customFormat="false" customHeight="1" hidden="" ht="14" outlineLevel="0" r="17818">
      <c r="A17818" s="3" t="inlineStr">
        <is>
          <t>17772</t>
        </is>
      </c>
      <c r="B17818" s="4" t="s">
        <f>=HYPERLINK("http://anyluxury.ru/shop/odezhda/futbolki-s-printom/futbolka-melamed-egor-letov-belaya-7091260/" , "70912.60 Футболка «Меламед. Егор Летов», белая, размер L")</f>
      </c>
      <c r="C17818" s="4" t="n">
        <v>2159.00</v>
      </c>
      <c r="D17818" s="4"/>
    </row>
    <row collapsed="" customFormat="false" customHeight="1" hidden="" ht="14" outlineLevel="0" r="17819">
      <c r="A17819" s="3" t="inlineStr">
        <is>
          <t>17773</t>
        </is>
      </c>
      <c r="B17819" s="4" t="s">
        <f>=HYPERLINK("http://anyluxury.ru/shop/odezhda/futbolki-s-printom/futbolka-melamed-egor-letov-belaya-7091260/" , "70912.60 Футболка «Меламед. Егор Летов», белая, размер XXL")</f>
      </c>
      <c r="C17819" s="4" t="n">
        <v>2159.00</v>
      </c>
      <c r="D17819" s="4"/>
    </row>
    <row collapsed="" customFormat="false" customHeight="1" hidden="" ht="14" outlineLevel="0" r="17820">
      <c r="A17820" s="3" t="inlineStr">
        <is>
          <t>17774</t>
        </is>
      </c>
      <c r="B17820" s="4" t="s">
        <f>=HYPERLINK("http://anyluxury.ru/shop/odezhda/futbolki-s-printom/futbolka-melamed-nick-cave-belaya-7091360/" , "70913.60 Футболка «Меламед. Nick Cave», белая, размер S")</f>
      </c>
      <c r="C17820" s="4" t="n">
        <v>1519.00</v>
      </c>
      <c r="D17820" s="4"/>
    </row>
    <row collapsed="" customFormat="false" customHeight="1" hidden="" ht="14" outlineLevel="0" r="17821">
      <c r="A17821" s="3" t="inlineStr">
        <is>
          <t>17775</t>
        </is>
      </c>
      <c r="B17821" s="4" t="s">
        <f>=HYPERLINK("http://anyluxury.ru/shop/odezhda/futbolki-s-printom/futbolka-melamed-nick-cave-belaya-7091360/" , "70913.60 Футболка «Меламед. Nick Cave», белая, размер M")</f>
      </c>
      <c r="C17821" s="4" t="n">
        <v>1519.00</v>
      </c>
      <c r="D17821" s="4"/>
    </row>
    <row collapsed="" customFormat="false" customHeight="1" hidden="" ht="14" outlineLevel="0" r="17822">
      <c r="A17822" s="3" t="inlineStr">
        <is>
          <t>17776</t>
        </is>
      </c>
      <c r="B17822" s="4" t="s">
        <f>=HYPERLINK("http://anyluxury.ru/shop/odezhda/futbolki-s-printom/futbolka-melamed-nick-cave-belaya-7091360/" , "70913.60 Футболка «Меламед. Nick Cave», белая, размер L")</f>
      </c>
      <c r="C17822" s="4" t="n">
        <v>1519.00</v>
      </c>
      <c r="D17822" s="4"/>
    </row>
    <row collapsed="" customFormat="false" customHeight="1" hidden="" ht="14" outlineLevel="0" r="17823">
      <c r="A17823" s="3" t="inlineStr">
        <is>
          <t>17777</t>
        </is>
      </c>
      <c r="B17823" s="4" t="s">
        <f>=HYPERLINK("http://anyluxury.ru/shop/odezhda/futbolki-s-printom/futbolka-melamed-nick-cave-belaya-7091360/" , "70913.60 Футболка «Меламед. Nick Cave», белая, размер XXL")</f>
      </c>
      <c r="C17823" s="4" t="n">
        <v>1519.00</v>
      </c>
      <c r="D17823" s="4"/>
    </row>
    <row collapsed="" customFormat="false" customHeight="1" hidden="" ht="14" outlineLevel="0" r="17824">
      <c r="A17824" s="3" t="inlineStr">
        <is>
          <t>17778</t>
        </is>
      </c>
      <c r="B17824" s="4" t="s">
        <f>=HYPERLINK("http://anyluxury.ru/shop/odezhda/futbolki-s-printom/futbolka-melamed-nick-cave-temnosiniy-melanzh-7091440/" , "70914.40 Футболка «Меламед. Nick Cave», темно-синий меланж, размер S")</f>
      </c>
      <c r="C17824" s="4" t="n">
        <v>1186.00</v>
      </c>
      <c r="D17824" s="4"/>
    </row>
    <row collapsed="" customFormat="false" customHeight="1" hidden="" ht="14" outlineLevel="0" r="17825">
      <c r="A17825" s="3" t="inlineStr">
        <is>
          <t>17779</t>
        </is>
      </c>
      <c r="B17825" s="4" t="s">
        <f>=HYPERLINK("http://anyluxury.ru/shop/odezhda/futbolki-s-printom/futbolka-melamed-nick-cave-temnosiniy-melanzh-7091440/" , "70914.40 Футболка «Меламед. Nick Cave», темно-синий меланж, размер M")</f>
      </c>
      <c r="C17825" s="4" t="n">
        <v>1186.00</v>
      </c>
      <c r="D17825" s="4"/>
    </row>
    <row collapsed="" customFormat="false" customHeight="1" hidden="" ht="14" outlineLevel="0" r="17826">
      <c r="A17826" s="3" t="inlineStr">
        <is>
          <t>17780</t>
        </is>
      </c>
      <c r="B17826" s="4" t="s">
        <f>=HYPERLINK("http://anyluxury.ru/shop/odezhda/futbolki-s-printom/futbolka-melamed-nick-cave-temnosiniy-melanzh-7091440/" , "70914.40 Футболка «Меламед. Nick Cave», темно-синий меланж, размер L")</f>
      </c>
      <c r="C17826" s="4" t="n">
        <v>1186.00</v>
      </c>
      <c r="D17826" s="4"/>
    </row>
    <row collapsed="" customFormat="false" customHeight="1" hidden="" ht="14" outlineLevel="0" r="17827">
      <c r="A17827" s="3" t="inlineStr">
        <is>
          <t>17781</t>
        </is>
      </c>
      <c r="B17827" s="4" t="s">
        <f>=HYPERLINK("http://anyluxury.ru/shop/odezhda/futbolki-s-printom/futbolka-melamed-nick-cave-temnosiniy-melanzh-7091440/" , "70914.40 Футболка «Меламед. Nick Cave», темно-синий меланж, размер XL")</f>
      </c>
      <c r="C17827" s="4" t="n">
        <v>1186.00</v>
      </c>
      <c r="D17827" s="4"/>
    </row>
    <row collapsed="" customFormat="false" customHeight="1" hidden="" ht="14" outlineLevel="0" r="17828">
      <c r="A17828" s="3" t="inlineStr">
        <is>
          <t>17782</t>
        </is>
      </c>
      <c r="B17828" s="4" t="s">
        <f>=HYPERLINK("http://anyluxury.ru/shop/odezhda/futbolki-s-printom/futbolka-melamed-nick-cave-temnosiniy-melanzh-7091440/" , "70914.40 Футболка «Меламед. Nick Cave», темно-синий меланж, размер XXL")</f>
      </c>
      <c r="C17828" s="4" t="n">
        <v>1186.00</v>
      </c>
      <c r="D17828" s="4"/>
    </row>
    <row collapsed="" customFormat="false" customHeight="1" hidden="" ht="14" outlineLevel="0" r="17829">
      <c r="A17829" s="3" t="inlineStr">
        <is>
          <t>17783</t>
        </is>
      </c>
      <c r="B17829" s="4" t="s">
        <f>=HYPERLINK("http://anyluxury.ru/shop/odezhda/futbolki-s-printom/futbolka-zhenskaya-melamed-nina-simone-belaya-7091560/" , "70915.60 Футболка женская «Меламед. Nina Simone», белая, размер S")</f>
      </c>
      <c r="C17829" s="4" t="n">
        <v>1177.00</v>
      </c>
      <c r="D17829" s="4"/>
    </row>
    <row collapsed="" customFormat="false" customHeight="1" hidden="" ht="14" outlineLevel="0" r="17830">
      <c r="A17830" s="3" t="inlineStr">
        <is>
          <t>17784</t>
        </is>
      </c>
      <c r="B17830" s="4" t="s">
        <f>=HYPERLINK("http://anyluxury.ru/shop/odezhda/futbolki-s-printom/futbolka-zhenskaya-melamed-nina-simone-belaya-7091560/" , "70915.60 Футболка женская «Меламед. Nina Simone», белая, размер M")</f>
      </c>
      <c r="C17830" s="4" t="n">
        <v>1177.00</v>
      </c>
      <c r="D17830" s="4"/>
    </row>
    <row collapsed="" customFormat="false" customHeight="1" hidden="" ht="14" outlineLevel="0" r="17831">
      <c r="A17831" s="3" t="inlineStr">
        <is>
          <t>17785</t>
        </is>
      </c>
      <c r="B17831" s="4" t="s">
        <f>=HYPERLINK("http://anyluxury.ru/shop/odezhda/futbolki-s-printom/futbolka-zhenskaya-melamed-nina-simone-belaya-7091560/" , "70915.60 Футболка женская «Меламед. Nina Simone», белая, размер L")</f>
      </c>
      <c r="C17831" s="4" t="n">
        <v>1177.00</v>
      </c>
      <c r="D17831" s="4"/>
    </row>
    <row collapsed="" customFormat="false" customHeight="1" hidden="" ht="14" outlineLevel="0" r="17832">
      <c r="A17832" s="3" t="inlineStr">
        <is>
          <t>17786</t>
        </is>
      </c>
      <c r="B17832" s="4" t="s">
        <f>=HYPERLINK("http://anyluxury.ru/shop/odezhda/futbolki-s-printom/futbolka-zhenskaya-melamed-nina-simone-belaya-7091560/" , "70915.60 Футболка женская «Меламед. Nina Simone», белая, размер XL")</f>
      </c>
      <c r="C17832" s="4" t="n">
        <v>1177.00</v>
      </c>
      <c r="D17832" s="4"/>
    </row>
    <row collapsed="" customFormat="false" customHeight="1" hidden="" ht="14" outlineLevel="0" r="17833">
      <c r="A17833" s="3" t="inlineStr">
        <is>
          <t>17787</t>
        </is>
      </c>
      <c r="B17833" s="4" t="s">
        <f>=HYPERLINK("http://anyluxury.ru/shop/odezhda/futbolki-s-printom/futbolka-zhenskaya-melamed-prince-rozovaya-7091656/" , "70916.56 Футболка женская «Меламед. Prince», розовая, размер S")</f>
      </c>
      <c r="C17833" s="4" t="n">
        <v>820.00</v>
      </c>
      <c r="D17833" s="4"/>
    </row>
    <row collapsed="" customFormat="false" customHeight="1" hidden="" ht="14" outlineLevel="0" r="17834">
      <c r="A17834" s="3" t="inlineStr">
        <is>
          <t>17788</t>
        </is>
      </c>
      <c r="B17834" s="4" t="s">
        <f>=HYPERLINK("http://anyluxury.ru/shop/odezhda/futbolki-s-printom/futbolka-zhenskaya-melamed-prince-rozovaya-7091656/" , "70916.56 Футболка женская «Меламед. Prince», розовая, размер M")</f>
      </c>
      <c r="C17834" s="4" t="n">
        <v>820.00</v>
      </c>
      <c r="D17834" s="4"/>
    </row>
    <row collapsed="" customFormat="false" customHeight="1" hidden="" ht="14" outlineLevel="0" r="17835">
      <c r="A17835" s="3" t="inlineStr">
        <is>
          <t>17789</t>
        </is>
      </c>
      <c r="B17835" s="4" t="s">
        <f>=HYPERLINK("http://anyluxury.ru/shop/odezhda/futbolki-s-printom/futbolka-zhenskaya-melamed-prince-rozovaya-7091656/" , "70916.56 Футболка женская «Меламед. Prince», розовая, размер L")</f>
      </c>
      <c r="C17835" s="4" t="n">
        <v>820.00</v>
      </c>
      <c r="D17835" s="4"/>
    </row>
    <row collapsed="" customFormat="false" customHeight="1" hidden="" ht="14" outlineLevel="0" r="17836">
      <c r="A17836" s="3" t="inlineStr">
        <is>
          <t>17790</t>
        </is>
      </c>
      <c r="B17836" s="4" t="s">
        <f>=HYPERLINK("http://anyluxury.ru/shop/odezhda/futbolki-s-printom/futbolka-zhenskaya-melamed-prince-rozovaya-7091656/" , "70916.56 Футболка женская «Меламед. Prince», розовая, размер XL")</f>
      </c>
      <c r="C17836" s="4" t="n">
        <v>820.00</v>
      </c>
      <c r="D17836" s="4"/>
    </row>
    <row collapsed="" customFormat="false" customHeight="1" hidden="" ht="14" outlineLevel="0" r="17837">
      <c r="A17837" s="3" t="inlineStr">
        <is>
          <t>17791</t>
        </is>
      </c>
      <c r="B17837" s="4" t="s">
        <f>=HYPERLINK("http://anyluxury.ru/shop/odezhda/futbolki-s-printom/futbolka-zhenskaya-melamed-prince-rozovaya-7091656/" , "70916.56 Футболка женская «Меламед. Prince», розовая, размер XXL")</f>
      </c>
      <c r="C17837" s="4" t="n">
        <v>820.00</v>
      </c>
      <c r="D17837" s="4"/>
    </row>
    <row collapsed="" customFormat="false" customHeight="1" hidden="" ht="14" outlineLevel="0" r="17838">
      <c r="A17838" s="3" t="inlineStr">
        <is>
          <t>17792</t>
        </is>
      </c>
      <c r="B17838" s="4" t="s">
        <f>=HYPERLINK("http://anyluxury.ru/shop/odezhda/futbolki-s-printom/futbolka-zhenskaya-melamed-sophie-ellisbextor-belaya-7091760/" , "70917.60 Футболка женская «Меламед. Sophie Ellis-Bextor», белая, размер S")</f>
      </c>
      <c r="C17838" s="4" t="n">
        <v>1177.00</v>
      </c>
      <c r="D17838" s="4"/>
    </row>
    <row collapsed="" customFormat="false" customHeight="1" hidden="" ht="14" outlineLevel="0" r="17839">
      <c r="A17839" s="3" t="inlineStr">
        <is>
          <t>17793</t>
        </is>
      </c>
      <c r="B17839" s="4" t="s">
        <f>=HYPERLINK("http://anyluxury.ru/shop/odezhda/futbolki-s-printom/futbolka-zhenskaya-melamed-sophie-ellisbextor-belaya-7091760/" , "70917.60 Футболка женская «Меламед. Sophie Ellis-Bextor», белая, размер M")</f>
      </c>
      <c r="C17839" s="4" t="n">
        <v>1177.00</v>
      </c>
      <c r="D17839" s="4"/>
    </row>
    <row collapsed="" customFormat="false" customHeight="1" hidden="" ht="14" outlineLevel="0" r="17840">
      <c r="A17840" s="3" t="inlineStr">
        <is>
          <t>17794</t>
        </is>
      </c>
      <c r="B17840" s="4" t="s">
        <f>=HYPERLINK("http://anyluxury.ru/shop/odezhda/futbolki-s-printom/futbolka-zhenskaya-melamed-sophie-ellisbextor-belaya-7091760/" , "70917.60 Футболка женская «Меламед. Sophie Ellis-Bextor», белая, размер L")</f>
      </c>
      <c r="C17840" s="4" t="n">
        <v>1177.00</v>
      </c>
      <c r="D17840" s="4"/>
    </row>
    <row collapsed="" customFormat="false" customHeight="1" hidden="" ht="14" outlineLevel="0" r="17841">
      <c r="A17841" s="3" t="inlineStr">
        <is>
          <t>17795</t>
        </is>
      </c>
      <c r="B17841" s="4" t="s">
        <f>=HYPERLINK("http://anyluxury.ru/shop/odezhda/futbolki-s-printom/futbolka-zhenskaya-melamed-sophie-ellisbextor-belaya-7091760/" , "70917.60 Футболка женская «Меламед. Sophie Ellis-Bextor», белая, размер XL")</f>
      </c>
      <c r="C17841" s="4" t="n">
        <v>1177.00</v>
      </c>
      <c r="D17841" s="4"/>
    </row>
    <row collapsed="" customFormat="false" customHeight="1" hidden="" ht="14" outlineLevel="0" r="17842">
      <c r="A17842" s="3" t="inlineStr">
        <is>
          <t>17796</t>
        </is>
      </c>
      <c r="B17842" s="4" t="s">
        <f>=HYPERLINK("http://anyluxury.ru/shop/odezhda/futbolki-s-printom/futbolka-zhenskaya-melamed-sophie-ellisbextor-belaya-7091760/" , "70917.60 Футболка женская «Меламед. Sophie Ellis-Bextor», белая, размер XXL")</f>
      </c>
      <c r="C17842" s="4" t="n">
        <v>1177.00</v>
      </c>
      <c r="D17842" s="4"/>
    </row>
    <row collapsed="" customFormat="false" customHeight="1" hidden="" ht="14" outlineLevel="0" r="17843">
      <c r="A17843" s="3" t="inlineStr">
        <is>
          <t>17797</t>
        </is>
      </c>
      <c r="B17843" s="4" t="s">
        <f>=HYPERLINK("http://anyluxury.ru/shop/odezhda/futbolki-s-printom/futbolka-melamed-viktor-coy-belaya-7091960/" , "70919.60 Футболка «Меламед. Виктор Цой», белая, размер S")</f>
      </c>
      <c r="C17843" s="4" t="n">
        <v>1562.00</v>
      </c>
      <c r="D17843" s="4"/>
    </row>
    <row collapsed="" customFormat="false" customHeight="1" hidden="" ht="14" outlineLevel="0" r="17844">
      <c r="A17844" s="3" t="inlineStr">
        <is>
          <t>17798</t>
        </is>
      </c>
      <c r="B17844" s="4" t="s">
        <f>=HYPERLINK("http://anyluxury.ru/shop/odezhda/futbolki-s-printom/futbolka-melamed-viktor-coy-belaya-7091960/" , "70919.60 Футболка «Меламед. Виктор Цой», белая, размер M")</f>
      </c>
      <c r="C17844" s="4" t="n">
        <v>1562.00</v>
      </c>
      <c r="D17844" s="4"/>
    </row>
    <row collapsed="" customFormat="false" customHeight="1" hidden="" ht="14" outlineLevel="0" r="17845">
      <c r="A17845" s="3" t="inlineStr">
        <is>
          <t>17799</t>
        </is>
      </c>
      <c r="B17845" s="4" t="s">
        <f>=HYPERLINK("http://anyluxury.ru/shop/odezhda/futbolki-s-printom/futbolka-melamed-viktor-coy-belaya-7091960/" , "70919.60 Футболка «Меламед. Виктор Цой», белая, размер L")</f>
      </c>
      <c r="C17845" s="4" t="n">
        <v>1562.00</v>
      </c>
      <c r="D17845" s="4"/>
    </row>
    <row collapsed="" customFormat="false" customHeight="1" hidden="" ht="14" outlineLevel="0" r="17846">
      <c r="A17846" s="3" t="inlineStr">
        <is>
          <t>17800</t>
        </is>
      </c>
      <c r="B17846" s="4" t="s">
        <f>=HYPERLINK("http://anyluxury.ru/shop/odezhda/futbolki-s-printom/futbolka-melamed-viktor-coy-belaya-7091960/" , "70919.60 Футболка «Меламед. Виктор Цой», белая, размер XL")</f>
      </c>
      <c r="C17846" s="4" t="n">
        <v>1562.00</v>
      </c>
      <c r="D17846" s="4"/>
    </row>
    <row collapsed="" customFormat="false" customHeight="1" hidden="" ht="14" outlineLevel="0" r="17847">
      <c r="A17847" s="3" t="inlineStr">
        <is>
          <t>17801</t>
        </is>
      </c>
      <c r="B17847" s="4" t="s">
        <f>=HYPERLINK("http://anyluxury.ru/shop/odezhda/futbolki-s-printom/futbolka-melamed-viktor-coy-belaya-7091960/" , "70919.60 Футболка «Меламед. Виктор Цой», белая, размер XXL")</f>
      </c>
      <c r="C17847" s="4" t="n">
        <v>1562.00</v>
      </c>
      <c r="D17847" s="4"/>
    </row>
    <row collapsed="" customFormat="false" customHeight="1" hidden="" ht="14" outlineLevel="0" r="17848">
      <c r="A17848" s="3" t="inlineStr">
        <is>
          <t>17802</t>
        </is>
      </c>
      <c r="B17848" s="4" t="s">
        <f>=HYPERLINK("http://anyluxury.ru/shop/odezhda/futbolki-s-printom/futbolka-zhenskaya-lyubofmorkof-rozovaya-7086615/" , "70866.15 Футболка женская «Любоф-моркоф», розовая, размер S")</f>
      </c>
      <c r="C17848" s="4" t="n">
        <v>773.00</v>
      </c>
      <c r="D17848" s="4"/>
    </row>
    <row collapsed="" customFormat="false" customHeight="1" hidden="" ht="14" outlineLevel="0" r="17849">
      <c r="A17849" s="3" t="inlineStr">
        <is>
          <t>17803</t>
        </is>
      </c>
      <c r="B17849" s="4" t="s">
        <f>=HYPERLINK("http://anyluxury.ru/shop/odezhda/futbolki-s-printom/futbolka-zhenskaya-lyubofmorkof-rozovaya-7086615/" , "70866.15 Футболка женская «Любоф-моркоф», розовая, размер L")</f>
      </c>
      <c r="C17849" s="4" t="n">
        <v>773.00</v>
      </c>
      <c r="D17849" s="4"/>
    </row>
    <row collapsed="" customFormat="false" customHeight="1" hidden="" ht="14" outlineLevel="0" r="17850">
      <c r="A17850" s="3" t="inlineStr">
        <is>
          <t>17804</t>
        </is>
      </c>
      <c r="B17850" s="4" t="s">
        <f>=HYPERLINK("http://anyluxury.ru/shop/odezhda/futbolki-s-printom/futbolka-zhenskaya-lyubofmorkof-rozovaya-7086615/" , "70866.15 Футболка женская «Любоф-моркоф», розовая, размер XL")</f>
      </c>
      <c r="C17850" s="4" t="n">
        <v>773.00</v>
      </c>
      <c r="D17850" s="4"/>
    </row>
    <row collapsed="" customFormat="false" customHeight="1" hidden="" ht="14" outlineLevel="0" r="17851">
      <c r="A17851" s="3" t="inlineStr">
        <is>
          <t>17805</t>
        </is>
      </c>
      <c r="B17851" s="4" t="s">
        <f>=HYPERLINK("http://anyluxury.ru/shop/odezhda/futbolki-s-printom/futbolka-zhenskaya-lyubofmorkof-ii-rozovaya-7086915/" , "70869.15 Футболка женская «Любоф-моркоф II», розовая, размер S")</f>
      </c>
      <c r="C17851" s="4" t="n">
        <v>808.00</v>
      </c>
      <c r="D17851" s="4"/>
    </row>
    <row collapsed="" customFormat="false" customHeight="1" hidden="" ht="14" outlineLevel="0" r="17852">
      <c r="A17852" s="3" t="inlineStr">
        <is>
          <t>17806</t>
        </is>
      </c>
      <c r="B17852" s="4" t="s">
        <f>=HYPERLINK("http://anyluxury.ru/shop/odezhda/futbolki-s-printom/futbolka-zhenskaya-lyubofmorkof-ii-rozovaya-7086915/" , "70869.15 Футболка женская «Любоф-моркоф II», розовая, размер M")</f>
      </c>
      <c r="C17852" s="4" t="n">
        <v>808.00</v>
      </c>
      <c r="D17852" s="4"/>
    </row>
    <row collapsed="" customFormat="false" customHeight="1" hidden="" ht="14" outlineLevel="0" r="17853">
      <c r="A17853" s="3" t="inlineStr">
        <is>
          <t>17807</t>
        </is>
      </c>
      <c r="B17853" s="4" t="s">
        <f>=HYPERLINK("http://anyluxury.ru/shop/odezhda/futbolki-s-printom/futbolka-zhenskaya-lyubofmorkof-ii-rozovaya-7086915/" , "70869.15 Футболка женская «Любоф-моркоф II», розовая, размер L")</f>
      </c>
      <c r="C17853" s="4" t="n">
        <v>808.00</v>
      </c>
      <c r="D17853" s="4"/>
    </row>
    <row collapsed="" customFormat="false" customHeight="1" hidden="" ht="14" outlineLevel="0" r="17854">
      <c r="A17854" s="3" t="inlineStr">
        <is>
          <t>17808</t>
        </is>
      </c>
      <c r="B17854" s="4" t="s">
        <f>=HYPERLINK("http://anyluxury.ru/shop/odezhda/futbolki-s-printom/futbolka-zhenskaya-lyubofmorkof-ii-rozovaya-7086915/" , "70869.15 Футболка женская «Любоф-моркоф II», розовая, размер XL")</f>
      </c>
      <c r="C17854" s="4" t="n">
        <v>808.00</v>
      </c>
      <c r="D17854" s="4"/>
    </row>
    <row collapsed="" customFormat="false" customHeight="1" hidden="" ht="14" outlineLevel="0" r="17855">
      <c r="A17855" s="3" t="inlineStr">
        <is>
          <t>17809</t>
        </is>
      </c>
      <c r="B17855" s="4" t="s">
        <f>=HYPERLINK("http://anyluxury.ru/shop/odezhda/futbolki-s-printom/futbolka-zhenskaya-ti-u-menya-vot-zdes-seriy-melanzh-7088911/" , "70889.11 Футболка женская «Ты у меня вот здесь», серый меланж, размер S")</f>
      </c>
      <c r="C17855" s="4" t="n">
        <v>663.00</v>
      </c>
      <c r="D17855" s="4"/>
    </row>
    <row collapsed="" customFormat="false" customHeight="1" hidden="" ht="14" outlineLevel="0" r="17856">
      <c r="A17856" s="3" t="inlineStr">
        <is>
          <t>17810</t>
        </is>
      </c>
      <c r="B17856" s="4" t="s">
        <f>=HYPERLINK("http://anyluxury.ru/shop/odezhda/futbolki-s-printom/futbolka-zhenskaya-ti-u-menya-vot-zdes-seriy-melanzh-7088911/" , "70889.11 Футболка женская «Ты у меня вот здесь», серый меланж, размер M")</f>
      </c>
      <c r="C17856" s="4" t="n">
        <v>664.00</v>
      </c>
      <c r="D17856" s="4"/>
    </row>
    <row collapsed="" customFormat="false" customHeight="1" hidden="" ht="14" outlineLevel="0" r="17857">
      <c r="A17857" s="3" t="inlineStr">
        <is>
          <t>17811</t>
        </is>
      </c>
      <c r="B17857" s="4" t="s">
        <f>=HYPERLINK("http://anyluxury.ru/shop/odezhda/futbolki-s-printom/futbolka-zhenskaya-ti-u-menya-vot-zdes-seriy-melanzh-7088911/" , "70889.11 Футболка женская «Ты у меня вот здесь», серый меланж, размер L")</f>
      </c>
      <c r="C17857" s="4" t="n">
        <v>664.00</v>
      </c>
      <c r="D17857" s="4"/>
    </row>
    <row collapsed="" customFormat="false" customHeight="1" hidden="" ht="14" outlineLevel="0" r="17858">
      <c r="A17858" s="3" t="inlineStr">
        <is>
          <t>17812</t>
        </is>
      </c>
      <c r="B17858" s="4" t="s">
        <f>=HYPERLINK("http://anyluxury.ru/shop/odezhda/futbolki-s-printom/futbolka-zhenskaya-ti-u-menya-vot-zdes-seriy-melanzh-7088911/" , "70889.11 Футболка женская «Ты у меня вот здесь», серый меланж, размер XL")</f>
      </c>
      <c r="C17858" s="4" t="n">
        <v>663.00</v>
      </c>
      <c r="D17858" s="4"/>
    </row>
    <row collapsed="" customFormat="false" customHeight="1" hidden="" ht="14" outlineLevel="0" r="17859">
      <c r="A17859" s="3" t="inlineStr">
        <is>
          <t>17813</t>
        </is>
      </c>
      <c r="B17859" s="4" t="s">
        <f>=HYPERLINK("http://anyluxury.ru/shop/odezhda/futbolki-s-printom/futbolka-zhenskaya-leon-belaya-ver2-7014766/" , "70147.66 Футболка женская «Леон», белая, ver 2, размер XL")</f>
      </c>
      <c r="C17859" s="4" t="n">
        <v>927.00</v>
      </c>
      <c r="D17859" s="4"/>
    </row>
    <row collapsed="" customFormat="false" customHeight="1" hidden="" ht="14" outlineLevel="0" r="17860">
      <c r="A17860" s="3" t="inlineStr">
        <is>
          <t>17814</t>
        </is>
      </c>
      <c r="B17860" s="4" t="s">
        <f>=HYPERLINK("http://anyluxury.ru/shop/odezhda/futbolki-s-printom/futbolka-hz-dvustoronnyaya-krasnaya-s-sinim-7093550/" , "70935.50 Футболка «ХЗ» двусторонняя, красная с синим, размер S")</f>
      </c>
      <c r="C17860" s="4" t="n">
        <v>820.00</v>
      </c>
      <c r="D17860" s="4"/>
    </row>
    <row collapsed="" customFormat="false" customHeight="1" hidden="" ht="14" outlineLevel="0" r="17861">
      <c r="A17861" s="3" t="inlineStr">
        <is>
          <t>17815</t>
        </is>
      </c>
      <c r="B17861" s="4" t="s">
        <f>=HYPERLINK("http://anyluxury.ru/shop/odezhda/futbolki-s-printom/futbolka-a-god-is-high-granatovokrasnaya-7096551/" , "70965.51 Футболка A God is High, гранатово-красная, размер S")</f>
      </c>
      <c r="C17861" s="4" t="n">
        <v>980.00</v>
      </c>
      <c r="D17861" s="4"/>
    </row>
    <row collapsed="" customFormat="false" customHeight="1" hidden="" ht="14" outlineLevel="0" r="17862">
      <c r="A17862" s="3" t="inlineStr">
        <is>
          <t>17816</t>
        </is>
      </c>
      <c r="B17862" s="4" t="s">
        <f>=HYPERLINK("http://anyluxury.ru/shop/odezhda/futbolki-s-printom/futbolka-a-god-is-high-granatovokrasnaya-7096551/" , "70965.51 Футболка A God is High, гранатово-красная, размер M")</f>
      </c>
      <c r="C17862" s="4" t="n">
        <v>980.00</v>
      </c>
      <c r="D17862" s="4"/>
    </row>
    <row collapsed="" customFormat="false" customHeight="1" hidden="" ht="14" outlineLevel="0" r="17863">
      <c r="A17863" s="3" t="inlineStr">
        <is>
          <t>17817</t>
        </is>
      </c>
      <c r="B17863" s="4" t="s">
        <f>=HYPERLINK("http://anyluxury.ru/shop/odezhda/futbolki-s-printom/futbolka-a-god-is-high-granatovokrasnaya-7096551/" , "70965.51 Футболка A God is High, гранатово-красная, размер L")</f>
      </c>
      <c r="C17863" s="4" t="n">
        <v>980.00</v>
      </c>
      <c r="D17863" s="4"/>
    </row>
    <row collapsed="" customFormat="false" customHeight="1" hidden="" ht="14" outlineLevel="0" r="17864">
      <c r="A17864" s="3" t="inlineStr">
        <is>
          <t>17818</t>
        </is>
      </c>
      <c r="B17864" s="4" t="s">
        <f>=HYPERLINK("http://anyluxury.ru/shop/odezhda/futbolki-s-printom/futbolka-a-god-is-high-granatovokrasnaya-7096551/" , "70965.51 Футболка A God is High, гранатово-красная, размер XL")</f>
      </c>
      <c r="C17864" s="4" t="n">
        <v>980.00</v>
      </c>
      <c r="D17864" s="4"/>
    </row>
    <row collapsed="" customFormat="false" customHeight="1" hidden="" ht="14" outlineLevel="0" r="17865">
      <c r="A17865" s="3" t="inlineStr">
        <is>
          <t>17819</t>
        </is>
      </c>
      <c r="B17865" s="4" t="s">
        <f>=HYPERLINK("http://anyluxury.ru/shop/odezhda/futbolki-s-printom/futbolka-a-god-is-high-granatovokrasnaya-7096551/" , "70965.51 Футболка A God is High, гранатово-красная, размер XXL")</f>
      </c>
      <c r="C17865" s="4" t="n">
        <v>980.00</v>
      </c>
      <c r="D17865" s="4"/>
    </row>
    <row collapsed="" customFormat="false" customHeight="1" hidden="" ht="14" outlineLevel="0" r="17866">
      <c r="A17866" s="3" t="inlineStr">
        <is>
          <t>17820</t>
        </is>
      </c>
      <c r="B17866" s="4" t="s">
        <f>=HYPERLINK("http://anyluxury.ru/shop/odezhda/futbolki-s-printom/futbolka-hello-i-love-you-seriy-melanzh-7096811/" , "70968.11 Футболка Hello! I Love You!, серый меланж, размер S")</f>
      </c>
      <c r="C17866" s="4" t="n">
        <v>980.00</v>
      </c>
      <c r="D17866" s="4"/>
    </row>
    <row collapsed="" customFormat="false" customHeight="1" hidden="" ht="14" outlineLevel="0" r="17867">
      <c r="A17867" s="3" t="inlineStr">
        <is>
          <t>17821</t>
        </is>
      </c>
      <c r="B17867" s="4" t="s">
        <f>=HYPERLINK("http://anyluxury.ru/shop/odezhda/futbolki-s-printom/futbolka-hello-i-love-you-seriy-melanzh-7096811/" , "70968.11 Футболка Hello! I Love You!, серый меланж, размер M")</f>
      </c>
      <c r="C17867" s="4" t="n">
        <v>980.00</v>
      </c>
      <c r="D17867" s="4"/>
    </row>
    <row collapsed="" customFormat="false" customHeight="1" hidden="" ht="14" outlineLevel="0" r="17868">
      <c r="A17868" s="3" t="inlineStr">
        <is>
          <t>17822</t>
        </is>
      </c>
      <c r="B17868" s="4" t="s">
        <f>=HYPERLINK("http://anyluxury.ru/shop/odezhda/futbolki-s-printom/futbolka-hello-i-love-you-seriy-melanzh-7096811/" , "70968.11 Футболка Hello! I Love You!, серый меланж, размер L")</f>
      </c>
      <c r="C17868" s="4" t="n">
        <v>979.00</v>
      </c>
      <c r="D17868" s="4"/>
    </row>
    <row collapsed="" customFormat="false" customHeight="1" hidden="" ht="14" outlineLevel="0" r="17869">
      <c r="A17869" s="3" t="inlineStr">
        <is>
          <t>17823</t>
        </is>
      </c>
      <c r="B17869" s="4" t="s">
        <f>=HYPERLINK("http://anyluxury.ru/shop/odezhda/futbolki-s-printom/futbolka-hello-i-love-you-seriy-melanzh-7096811/" , "70968.11 Футболка Hello! I Love You!, серый меланж, размер XL")</f>
      </c>
      <c r="C17869" s="4" t="n">
        <v>980.00</v>
      </c>
      <c r="D17869" s="4"/>
    </row>
    <row collapsed="" customFormat="false" customHeight="1" hidden="" ht="14" outlineLevel="0" r="17870">
      <c r="A17870" s="3" t="inlineStr">
        <is>
          <t>17824</t>
        </is>
      </c>
      <c r="B17870" s="4" t="s">
        <f>=HYPERLINK("http://anyluxury.ru/shop/odezhda/futbolki-s-printom/futbolka-hello-i-love-you-seriy-melanzh-7096811/" , "70968.11 Футболка Hello! I Love You!, серый меланж, размер XXL")</f>
      </c>
      <c r="C17870" s="4" t="n">
        <v>980.00</v>
      </c>
      <c r="D17870" s="4"/>
    </row>
    <row collapsed="" customFormat="false" customHeight="1" hidden="" ht="14" outlineLevel="0" r="17871">
      <c r="A17871" s="3" t="inlineStr">
        <is>
          <t>17825</t>
        </is>
      </c>
      <c r="B17871" s="4" t="s">
        <f>=HYPERLINK("http://anyluxury.ru/shop/odezhda/futbolki-s-printom/futbolka-dont-you-dare-to-underrate-us-pesochnaya-7096910/" , "70969.10 Футболка Don't You Dare to Underrate Us, песочная, размер XXL")</f>
      </c>
      <c r="C17871" s="4" t="n">
        <v>955.00</v>
      </c>
      <c r="D17871" s="4"/>
    </row>
    <row collapsed="" customFormat="false" customHeight="1" hidden="" ht="14" outlineLevel="0" r="17872">
      <c r="A17872" s="3" t="inlineStr">
        <is>
          <t>17826</t>
        </is>
      </c>
      <c r="B17872" s="4" t="s">
        <f>=HYPERLINK("http://anyluxury.ru/shop/odezhda/futbolki-s-printom/futbolka-zharptica-seriy-melanzh-7100811/" , "71008.11 Футболка «Жар-птица», серый меланж, размер S")</f>
      </c>
      <c r="C17872" s="4" t="n">
        <v>952.00</v>
      </c>
      <c r="D17872" s="4"/>
    </row>
    <row collapsed="" customFormat="false" customHeight="1" hidden="" ht="14" outlineLevel="0" r="17873">
      <c r="A17873" s="3" t="inlineStr">
        <is>
          <t>17827</t>
        </is>
      </c>
      <c r="B17873" s="4" t="s">
        <f>=HYPERLINK("http://anyluxury.ru/shop/odezhda/futbolki-s-printom/futbolka-zharptica-seriy-melanzh-7100811/" , "71008.11 Футболка «Жар-птица», серый меланж, размер M")</f>
      </c>
      <c r="C17873" s="4" t="n">
        <v>952.00</v>
      </c>
      <c r="D17873" s="4"/>
    </row>
    <row collapsed="" customFormat="false" customHeight="1" hidden="" ht="14" outlineLevel="0" r="17874">
      <c r="A17874" s="3" t="inlineStr">
        <is>
          <t>17828</t>
        </is>
      </c>
      <c r="B17874" s="4" t="s">
        <f>=HYPERLINK("http://anyluxury.ru/shop/odezhda/futbolki-s-printom/futbolka-zharptica-seriy-melanzh-7100811/" , "71008.11 Футболка «Жар-птица», серый меланж, размер L")</f>
      </c>
      <c r="C17874" s="4" t="n">
        <v>952.00</v>
      </c>
      <c r="D17874" s="4"/>
    </row>
    <row collapsed="" customFormat="false" customHeight="1" hidden="" ht="14" outlineLevel="0" r="17875">
      <c r="A17875" s="3" t="inlineStr">
        <is>
          <t>17829</t>
        </is>
      </c>
      <c r="B17875" s="4" t="s">
        <f>=HYPERLINK("http://anyluxury.ru/shop/odezhda/futbolki-s-printom/futbolka-zharptica-seriy-melanzh-7100811/" , "71008.11 Футболка «Жар-птица», серый меланж, размер XL")</f>
      </c>
      <c r="C17875" s="4" t="n">
        <v>952.00</v>
      </c>
      <c r="D17875" s="4"/>
    </row>
    <row collapsed="" customFormat="false" customHeight="1" hidden="" ht="14" outlineLevel="0" r="17876">
      <c r="A17876" s="3" t="inlineStr">
        <is>
          <t>17830</t>
        </is>
      </c>
      <c r="B17876" s="4" t="s">
        <f>=HYPERLINK("http://anyluxury.ru/shop/odezhda/futbolki-s-printom/futbolka-zharptica-seriy-melanzh-7100811/" , "71008.11 Футболка «Жар-птица», серый меланж, размер XXL")</f>
      </c>
      <c r="C17876" s="4" t="n">
        <v>953.00</v>
      </c>
      <c r="D17876" s="4"/>
    </row>
    <row collapsed="" customFormat="false" customHeight="1" hidden="" ht="14" outlineLevel="0" r="17877">
      <c r="A17877" s="3" t="inlineStr">
        <is>
          <t>17831</t>
        </is>
      </c>
      <c r="B17877" s="4" t="s">
        <f>=HYPERLINK("http://anyluxury.ru/shop/odezhda/futbolki-s-printom/futbolka-im-ok-belaya-7103660/" , "71036.60 Футболка I'm OK, белая, размер S")</f>
      </c>
      <c r="C17877" s="4" t="n">
        <v>842.00</v>
      </c>
      <c r="D17877" s="4"/>
    </row>
    <row collapsed="" customFormat="false" customHeight="1" hidden="" ht="14" outlineLevel="0" r="17878">
      <c r="A17878" s="3" t="inlineStr">
        <is>
          <t>17832</t>
        </is>
      </c>
      <c r="B17878" s="4" t="s">
        <f>=HYPERLINK("http://anyluxury.ru/shop/odezhda/futbolki-s-printom/futbolka-im-ok-belaya-7103660/" , "71036.60 Футболка I'm OK, белая, размер M")</f>
      </c>
      <c r="C17878" s="4" t="n">
        <v>842.00</v>
      </c>
      <c r="D17878" s="4"/>
    </row>
    <row collapsed="" customFormat="false" customHeight="1" hidden="" ht="14" outlineLevel="0" r="17879">
      <c r="A17879" s="3" t="inlineStr">
        <is>
          <t>17833</t>
        </is>
      </c>
      <c r="B17879" s="4" t="s">
        <f>=HYPERLINK("http://anyluxury.ru/shop/odezhda/futbolki-s-printom/futbolka-im-ok-belaya-7103660/" , "71036.60 Футболка I'm OK, белая, размер L")</f>
      </c>
      <c r="C17879" s="4" t="n">
        <v>842.00</v>
      </c>
      <c r="D17879" s="4"/>
    </row>
    <row collapsed="" customFormat="false" customHeight="1" hidden="" ht="14" outlineLevel="0" r="17880">
      <c r="A17880" s="3" t="inlineStr">
        <is>
          <t>17834</t>
        </is>
      </c>
      <c r="B17880" s="4" t="s">
        <f>=HYPERLINK("http://anyluxury.ru/shop/odezhda/futbolki-s-printom/futbolka-im-ok-belaya-7103660/" , "71036.60 Футболка I'm OK белая, размер XL")</f>
      </c>
      <c r="C17880" s="4" t="n">
        <v>842.00</v>
      </c>
      <c r="D17880" s="4"/>
    </row>
    <row collapsed="" customFormat="false" customHeight="1" hidden="" ht="14" outlineLevel="0" r="17881">
      <c r="A17881" s="3" t="inlineStr">
        <is>
          <t>17835</t>
        </is>
      </c>
      <c r="B17881" s="4" t="s">
        <f>=HYPERLINK("http://anyluxury.ru/shop/odezhda/futbolki-s-printom/futbolka-im-ok-belaya-7103660/" , "71036.60 Футболка I'm OK, белая, размер XXL")</f>
      </c>
      <c r="C17881" s="4" t="n">
        <v>842.00</v>
      </c>
      <c r="D17881" s="4"/>
    </row>
    <row collapsed="" customFormat="false" customHeight="1" hidden="" ht="14" outlineLevel="0" r="17882">
      <c r="A17882" s="3" t="inlineStr">
        <is>
          <t>17836</t>
        </is>
      </c>
      <c r="B17882" s="4" t="s">
        <f>=HYPERLINK("http://anyluxury.ru/shop/odezhda/futbolki-s-printom/futbolka-im-ok-chernaya-7103630/" , "71036.30 Футболка I'm OK, черная, размер S")</f>
      </c>
      <c r="C17882" s="4" t="n">
        <v>1009.00</v>
      </c>
      <c r="D17882" s="4"/>
    </row>
    <row collapsed="" customFormat="false" customHeight="1" hidden="" ht="14" outlineLevel="0" r="17883">
      <c r="A17883" s="3" t="inlineStr">
        <is>
          <t>17837</t>
        </is>
      </c>
      <c r="B17883" s="4" t="s">
        <f>=HYPERLINK("http://anyluxury.ru/shop/odezhda/futbolki-s-printom/futbolka-im-ok-chernaya-7103630/" , "71036.30 Футболка I'm OK, черная, размер M")</f>
      </c>
      <c r="C17883" s="4" t="n">
        <v>1009.00</v>
      </c>
      <c r="D17883" s="4"/>
    </row>
    <row collapsed="" customFormat="false" customHeight="1" hidden="" ht="14" outlineLevel="0" r="17884">
      <c r="A17884" s="3" t="inlineStr">
        <is>
          <t>17838</t>
        </is>
      </c>
      <c r="B17884" s="4" t="s">
        <f>=HYPERLINK("http://anyluxury.ru/shop/odezhda/futbolki-s-printom/futbolka-im-ok-chernaya-7103630/" , "71036.30 Футболка I'm OK, черная, размер XXL")</f>
      </c>
      <c r="C17884" s="4" t="n">
        <v>1009.00</v>
      </c>
      <c r="D17884" s="4"/>
    </row>
    <row collapsed="" customFormat="false" customHeight="1" hidden="" ht="14" outlineLevel="0" r="17885">
      <c r="A17885" s="3" t="inlineStr">
        <is>
          <t>17839</t>
        </is>
      </c>
      <c r="B17885" s="4" t="s">
        <f>=HYPERLINK("http://anyluxury.ru/shop/odezhda/futbolki-s-printom/futbolka-mi-vse-slegka-togo-temnosinyaya-7096340/" , "70963.40 Футболка «Мы все слегка того», темно-синяя, размер S")</f>
      </c>
      <c r="C17885" s="4" t="n">
        <v>980.00</v>
      </c>
      <c r="D17885" s="4"/>
    </row>
    <row collapsed="" customFormat="false" customHeight="1" hidden="" ht="14" outlineLevel="0" r="17886">
      <c r="A17886" s="3" t="inlineStr">
        <is>
          <t>17840</t>
        </is>
      </c>
      <c r="B17886" s="4" t="s">
        <f>=HYPERLINK("http://anyluxury.ru/shop/odezhda/futbolki-s-printom/futbolka-mi-vse-slegka-togo-temnosinyaya-7096340/" , "70963.40 Футболка «Мы все слегка того», темно-синяя, размер XXL")</f>
      </c>
      <c r="C17886" s="4" t="n">
        <v>980.00</v>
      </c>
      <c r="D17886" s="4"/>
    </row>
    <row collapsed="" customFormat="false" customHeight="1" hidden="" ht="14" outlineLevel="0" r="17887">
      <c r="A17887" s="3" t="inlineStr">
        <is>
          <t>17841</t>
        </is>
      </c>
      <c r="B17887" s="4" t="s">
        <f>=HYPERLINK("http://anyluxury.ru/shop/odezhda/futbolki-s-printom/futbolka-saperavi-bordovaya-7105255/" , "71052.55 Футболка «Саперави», бордовая, размер S")</f>
      </c>
      <c r="C17887" s="4" t="n">
        <v>870.00</v>
      </c>
      <c r="D17887" s="4"/>
    </row>
    <row collapsed="" customFormat="false" customHeight="1" hidden="" ht="14" outlineLevel="0" r="17888">
      <c r="A17888" s="3" t="inlineStr">
        <is>
          <t>17842</t>
        </is>
      </c>
      <c r="B17888" s="4" t="s">
        <f>=HYPERLINK("http://anyluxury.ru/shop/odezhda/futbolki-s-printom/futbolka-svet-ozaril-so-svetyashhimsya-printom-chernaya-7108202/" , "71082.02 Футболка «Свет озарил» со светящимся принтом, черная, размер S")</f>
      </c>
      <c r="C17888" s="4" t="n">
        <v>764.00</v>
      </c>
      <c r="D17888" s="4"/>
    </row>
    <row collapsed="" customFormat="false" customHeight="1" hidden="" ht="14" outlineLevel="0" r="17889">
      <c r="A17889" s="3" t="inlineStr">
        <is>
          <t>17843</t>
        </is>
      </c>
      <c r="B17889" s="4" t="s">
        <f>=HYPERLINK("http://anyluxury.ru/shop/odezhda/futbolki-s-printom/futbolka-kacheli-belaya-7106760/" , "71067.60 Футболка «Качели», белая, размер S")</f>
      </c>
      <c r="C17889" s="4" t="n">
        <v>1562.00</v>
      </c>
      <c r="D17889" s="4"/>
    </row>
    <row collapsed="" customFormat="false" customHeight="1" hidden="" ht="14" outlineLevel="0" r="17890">
      <c r="A17890" s="3" t="inlineStr">
        <is>
          <t>17844</t>
        </is>
      </c>
      <c r="B17890" s="4" t="s">
        <f>=HYPERLINK("http://anyluxury.ru/shop/odezhda/futbolki-s-printom/futbolka-kacheli-belaya-7106760/" , "71067.60 Футболка «Качели», белая, размер M")</f>
      </c>
      <c r="C17890" s="4" t="n">
        <v>1562.00</v>
      </c>
      <c r="D17890" s="4"/>
    </row>
    <row collapsed="" customFormat="false" customHeight="1" hidden="" ht="14" outlineLevel="0" r="17891">
      <c r="A17891" s="3" t="inlineStr">
        <is>
          <t>17845</t>
        </is>
      </c>
      <c r="B17891" s="4" t="s">
        <f>=HYPERLINK("http://anyluxury.ru/shop/odezhda/futbolki-s-printom/futbolka-kacheli-belaya-7106760/" , "71067.60 Футболка «Качели», белая, размер L")</f>
      </c>
      <c r="C17891" s="4" t="n">
        <v>1562.00</v>
      </c>
      <c r="D17891" s="4"/>
    </row>
    <row collapsed="" customFormat="false" customHeight="1" hidden="" ht="14" outlineLevel="0" r="17892">
      <c r="A17892" s="3" t="inlineStr">
        <is>
          <t>17846</t>
        </is>
      </c>
      <c r="B17892" s="4" t="s">
        <f>=HYPERLINK("http://anyluxury.ru/shop/odezhda/futbolki-s-printom/futbolka-kacheli-belaya-7106760/" , "71067.60 Футболка «Качели», белая, размер XL")</f>
      </c>
      <c r="C17892" s="4" t="n">
        <v>1562.00</v>
      </c>
      <c r="D17892" s="4"/>
    </row>
    <row collapsed="" customFormat="false" customHeight="1" hidden="" ht="14" outlineLevel="0" r="17893">
      <c r="A17893" s="3" t="inlineStr">
        <is>
          <t>17847</t>
        </is>
      </c>
      <c r="B17893" s="4" t="s">
        <f>=HYPERLINK("http://anyluxury.ru/shop/odezhda/futbolki-s-printom/futbolka-kacheli-belaya-7106760/" , "71067.60 Футболка «Качели», белая, размер XXL")</f>
      </c>
      <c r="C17893" s="4" t="n">
        <v>1562.00</v>
      </c>
      <c r="D17893" s="4"/>
    </row>
    <row collapsed="" customFormat="false" customHeight="1" hidden="" ht="14" outlineLevel="0" r="17894">
      <c r="A17894" s="3" t="inlineStr">
        <is>
          <t>17848</t>
        </is>
      </c>
      <c r="B17894" s="4" t="s">
        <f>=HYPERLINK("http://anyluxury.ru/shop/odezhda/futbolki-s-printom/futbolka-kavaler-belaya-7106860/" , "71068.60 Футболка «Кавалер», белая, размер S")</f>
      </c>
      <c r="C17894" s="4" t="n">
        <v>1562.00</v>
      </c>
      <c r="D17894" s="4"/>
    </row>
    <row collapsed="" customFormat="false" customHeight="1" hidden="" ht="14" outlineLevel="0" r="17895">
      <c r="A17895" s="3" t="inlineStr">
        <is>
          <t>17849</t>
        </is>
      </c>
      <c r="B17895" s="4" t="s">
        <f>=HYPERLINK("http://anyluxury.ru/shop/odezhda/futbolki-s-printom/futbolka-kavaler-belaya-7106860/" , "71068.60 Футболка «Кавалер», белая, размер M")</f>
      </c>
      <c r="C17895" s="4" t="n">
        <v>1562.00</v>
      </c>
      <c r="D17895" s="4"/>
    </row>
    <row collapsed="" customFormat="false" customHeight="1" hidden="" ht="14" outlineLevel="0" r="17896">
      <c r="A17896" s="3" t="inlineStr">
        <is>
          <t>17850</t>
        </is>
      </c>
      <c r="B17896" s="4" t="s">
        <f>=HYPERLINK("http://anyluxury.ru/shop/odezhda/futbolki-s-printom/futbolka-kavaler-belaya-7106860/" , "71068.60 Футболка «Кавалер», белая, размер L")</f>
      </c>
      <c r="C17896" s="4" t="n">
        <v>1562.00</v>
      </c>
      <c r="D17896" s="4"/>
    </row>
    <row collapsed="" customFormat="false" customHeight="1" hidden="" ht="14" outlineLevel="0" r="17897">
      <c r="A17897" s="3" t="inlineStr">
        <is>
          <t>17851</t>
        </is>
      </c>
      <c r="B17897" s="4" t="s">
        <f>=HYPERLINK("http://anyluxury.ru/shop/odezhda/futbolki-s-printom/futbolka-kavaler-belaya-7106860/" , "71068.60 Футболка «Кавалер», белая, размер XL")</f>
      </c>
      <c r="C17897" s="4" t="n">
        <v>1562.00</v>
      </c>
      <c r="D17897" s="4"/>
    </row>
    <row collapsed="" customFormat="false" customHeight="1" hidden="" ht="14" outlineLevel="0" r="17898">
      <c r="A17898" s="3" t="inlineStr">
        <is>
          <t>17852</t>
        </is>
      </c>
      <c r="B17898" s="4" t="s">
        <f>=HYPERLINK("http://anyluxury.ru/shop/odezhda/futbolki-s-printom/futbolka-kavaler-belaya-7106860/" , "71068.60 Футболка «Кавалер», белая, размер XXL")</f>
      </c>
      <c r="C17898" s="4" t="n">
        <v>1562.00</v>
      </c>
      <c r="D17898" s="4"/>
    </row>
    <row collapsed="" customFormat="false" customHeight="1" hidden="" ht="14" outlineLevel="0" r="17899">
      <c r="A17899" s="3" t="inlineStr">
        <is>
          <t>17853</t>
        </is>
      </c>
      <c r="B17899" s="4" t="s">
        <f>=HYPERLINK("http://anyluxury.ru/shop/odezhda/futbolki-s-printom/futbolka-serenada-chernaya-7106930/" , "71069.30 Футболка «Серенада», черная, размер S")</f>
      </c>
      <c r="C17899" s="4" t="n">
        <v>1086.00</v>
      </c>
      <c r="D17899" s="4"/>
    </row>
    <row collapsed="" customFormat="false" customHeight="1" hidden="" ht="14" outlineLevel="0" r="17900">
      <c r="A17900" s="3" t="inlineStr">
        <is>
          <t>17854</t>
        </is>
      </c>
      <c r="B17900" s="4" t="s">
        <f>=HYPERLINK("http://anyluxury.ru/shop/odezhda/futbolki-s-printom/futbolka-serenada-chernaya-7106930/" , "71069.30 Футболка «Серенада», черная, размер M")</f>
      </c>
      <c r="C17900" s="4" t="n">
        <v>1086.00</v>
      </c>
      <c r="D17900" s="4"/>
    </row>
    <row collapsed="" customFormat="false" customHeight="1" hidden="" ht="14" outlineLevel="0" r="17901">
      <c r="A17901" s="3" t="inlineStr">
        <is>
          <t>17855</t>
        </is>
      </c>
      <c r="B17901" s="4" t="s">
        <f>=HYPERLINK("http://anyluxury.ru/shop/odezhda/futbolki-s-printom/futbolka-serenada-chernaya-7106930/" , "71069.30 Футболка «Серенада», черная, размер XL")</f>
      </c>
      <c r="C17901" s="4" t="n">
        <v>1086.00</v>
      </c>
      <c r="D17901" s="4"/>
    </row>
    <row collapsed="" customFormat="false" customHeight="1" hidden="" ht="14" outlineLevel="0" r="17902">
      <c r="A17902" s="3" t="inlineStr">
        <is>
          <t>17856</t>
        </is>
      </c>
      <c r="B17902" s="4" t="s">
        <f>=HYPERLINK("http://anyluxury.ru/shop/odezhda/futbolki-s-printom/futbolka-serenada-belaya-7106960/" , "71069.60 Футболка «Серенада», белая, размер S")</f>
      </c>
      <c r="C17902" s="4" t="n">
        <v>980.00</v>
      </c>
      <c r="D17902" s="4"/>
    </row>
    <row collapsed="" customFormat="false" customHeight="1" hidden="" ht="14" outlineLevel="0" r="17903">
      <c r="A17903" s="3" t="inlineStr">
        <is>
          <t>17857</t>
        </is>
      </c>
      <c r="B17903" s="4" t="s">
        <f>=HYPERLINK("http://anyluxury.ru/shop/odezhda/futbolki-s-printom/futbolka-serenada-belaya-7106960/" , "71069.60 Футболка «Серенада», белая, размер M")</f>
      </c>
      <c r="C17903" s="4" t="n">
        <v>979.00</v>
      </c>
      <c r="D17903" s="4"/>
    </row>
    <row collapsed="" customFormat="false" customHeight="1" hidden="" ht="14" outlineLevel="0" r="17904">
      <c r="A17904" s="3" t="inlineStr">
        <is>
          <t>17858</t>
        </is>
      </c>
      <c r="B17904" s="4" t="s">
        <f>=HYPERLINK("http://anyluxury.ru/shop/odezhda/futbolki-s-printom/futbolka-serenada-belaya-7106960/" , "71069.60 Футболка «Серенада», белая, размер L")</f>
      </c>
      <c r="C17904" s="4" t="n">
        <v>979.00</v>
      </c>
      <c r="D17904" s="4"/>
    </row>
    <row collapsed="" customFormat="false" customHeight="1" hidden="" ht="14" outlineLevel="0" r="17905">
      <c r="A17905" s="3" t="inlineStr">
        <is>
          <t>17859</t>
        </is>
      </c>
      <c r="B17905" s="4" t="s">
        <f>=HYPERLINK("http://anyluxury.ru/shop/odezhda/futbolki-s-printom/futbolka-serenada-belaya-7106960/" , "71069.60 Футболка «Серенада», белая, размер XL")</f>
      </c>
      <c r="C17905" s="4" t="n">
        <v>980.00</v>
      </c>
      <c r="D17905" s="4"/>
    </row>
    <row collapsed="" customFormat="false" customHeight="1" hidden="" ht="14" outlineLevel="0" r="17906">
      <c r="A17906" s="3" t="inlineStr">
        <is>
          <t>17860</t>
        </is>
      </c>
      <c r="B17906" s="4" t="s">
        <f>=HYPERLINK("http://anyluxury.ru/shop/odezhda/futbolki-s-printom/futbolka-serenada-belaya-7106960/" , "71069.60 Футболка «Серенада», белая, размер XXL")</f>
      </c>
      <c r="C17906" s="4" t="n">
        <v>980.00</v>
      </c>
      <c r="D17906" s="4"/>
    </row>
    <row collapsed="" customFormat="false" customHeight="1" hidden="" ht="14" outlineLevel="0" r="17907">
      <c r="A17907" s="3" t="inlineStr">
        <is>
          <t>17861</t>
        </is>
      </c>
      <c r="B17907" s="4" t="s">
        <f>=HYPERLINK("http://anyluxury.ru/shop/odezhda/futbolki-s-printom/futbolka-pritalennaya-old-patents-knife-cherniy-melanzh-7075330/" , "70753.30 Футболка приталенная Old Patents. Knife, черный меланж, размер S")</f>
      </c>
      <c r="C17907" s="4" t="n">
        <v>817.00</v>
      </c>
      <c r="D17907" s="4"/>
    </row>
    <row collapsed="" customFormat="false" customHeight="1" hidden="" ht="14" outlineLevel="0" r="17908">
      <c r="A17908" s="3" t="inlineStr">
        <is>
          <t>17862</t>
        </is>
      </c>
      <c r="B17908" s="4" t="s">
        <f>=HYPERLINK("http://anyluxury.ru/shop/odezhda/futbolki-s-printom/futbolka-show-me-the-money-seriy-melanzh-7119111/" , "71191.11 Футболка Show Me The Money, серый меланж, размер S")</f>
      </c>
      <c r="C17908" s="4" t="n">
        <v>695.00</v>
      </c>
      <c r="D17908" s="4"/>
    </row>
    <row collapsed="" customFormat="false" customHeight="1" hidden="" ht="14" outlineLevel="0" r="17909">
      <c r="A17909" s="3" t="inlineStr">
        <is>
          <t>17863</t>
        </is>
      </c>
      <c r="B17909" s="4" t="s">
        <f>=HYPERLINK("http://anyluxury.ru/shop/odezhda/futbolki-s-printom/futbolka-lyublyu-lyubov-belaya-7121060/" , "71210.60 Футболка «Люблю любовь», белая, размер S")</f>
      </c>
      <c r="C17909" s="4" t="n">
        <v>723.00</v>
      </c>
      <c r="D17909" s="4"/>
    </row>
    <row collapsed="" customFormat="false" customHeight="1" hidden="" ht="14" outlineLevel="0" r="17910">
      <c r="A17910" s="3" t="inlineStr">
        <is>
          <t>17864</t>
        </is>
      </c>
      <c r="B17910" s="4" t="s">
        <f>=HYPERLINK("http://anyluxury.ru/shop/odezhda/futbolki-s-printom/futbolka-lyublyu-lyubov-belaya-7121060/" , "71210.60 Футболка «Люблю любовь», белая, размер M")</f>
      </c>
      <c r="C17910" s="4" t="n">
        <v>723.00</v>
      </c>
      <c r="D17910" s="4"/>
    </row>
    <row collapsed="" customFormat="false" customHeight="1" hidden="" ht="14" outlineLevel="0" r="17911">
      <c r="A17911" s="3" t="inlineStr">
        <is>
          <t>17865</t>
        </is>
      </c>
      <c r="B17911" s="4" t="s">
        <f>=HYPERLINK("http://anyluxury.ru/shop/odezhda/futbolki-s-printom/futbolka-lyublyu-lyubov-belaya-7121060/" , "71210.60 Футболка «Люблю любовь», белая, размер L")</f>
      </c>
      <c r="C17911" s="4" t="n">
        <v>723.00</v>
      </c>
      <c r="D17911" s="4"/>
    </row>
    <row collapsed="" customFormat="false" customHeight="1" hidden="" ht="14" outlineLevel="0" r="17912">
      <c r="A17912" s="3" t="inlineStr">
        <is>
          <t>17866</t>
        </is>
      </c>
      <c r="B17912" s="4" t="s">
        <f>=HYPERLINK("http://anyluxury.ru/shop/odezhda/futbolki-s-printom/futbolka-lyublyu-lyubov-belaya-7121060/" , "71210.60 Футболка «Люблю любовь», белая, размер XL")</f>
      </c>
      <c r="C17912" s="4" t="n">
        <v>723.00</v>
      </c>
      <c r="D17912" s="4"/>
    </row>
    <row collapsed="" customFormat="false" customHeight="1" hidden="" ht="14" outlineLevel="0" r="17913">
      <c r="A17913" s="3" t="inlineStr">
        <is>
          <t>17867</t>
        </is>
      </c>
      <c r="B17913" s="4" t="s">
        <f>=HYPERLINK("http://anyluxury.ru/shop/odezhda/futbolki-s-printom/futbolka-lyublyu-lyubov-belaya-7121060/" , "71210.60 Футболка «Люблю любовь», белая, размер XXL")</f>
      </c>
      <c r="C17913" s="4" t="n">
        <v>723.00</v>
      </c>
      <c r="D17913" s="4"/>
    </row>
    <row collapsed="" customFormat="false" customHeight="1" hidden="" ht="14" outlineLevel="0" r="17914">
      <c r="A17914" s="3" t="inlineStr">
        <is>
          <t>17868</t>
        </is>
      </c>
      <c r="B17914" s="4" t="s">
        <f>=HYPERLINK("http://anyluxury.ru/shop/odezhda/futbolki-s-printom/futbolka-koroleva-belaya-7128560/" , "71285.60 Футболка «Королева», белая, размер M")</f>
      </c>
      <c r="C17914" s="4" t="n">
        <v>858.00</v>
      </c>
      <c r="D17914" s="4"/>
    </row>
    <row collapsed="" customFormat="false" customHeight="1" hidden="" ht="14" outlineLevel="0" r="17915">
      <c r="A17915" s="3" t="inlineStr">
        <is>
          <t>17869</t>
        </is>
      </c>
      <c r="B17915" s="4" t="s">
        <f>=HYPERLINK("http://anyluxury.ru/shop/odezhda/futbolki-s-printom/futbolka-koroleva-belaya-7128560/" , "71285.60 Футболка «Королева», белая, размер XXL")</f>
      </c>
      <c r="C17915" s="4" t="n">
        <v>858.00</v>
      </c>
      <c r="D17915" s="4"/>
    </row>
    <row collapsed="" customFormat="false" customHeight="1" hidden="" ht="14" outlineLevel="0" r="17916">
      <c r="A17916" s="3" t="inlineStr">
        <is>
          <t>17870</t>
        </is>
      </c>
      <c r="B17916" s="4" t="s">
        <f>=HYPERLINK("http://anyluxury.ru/shop/odezhda/futbolki-s-printom/futbolka-novaya-klassika-velosezon-xvi-belaya-7129460/" , "71294.60 Футболка «Новая классика. Велосезон XVI», белая, размер S")</f>
      </c>
      <c r="C17916" s="4" t="n">
        <v>969.00</v>
      </c>
      <c r="D17916" s="4"/>
    </row>
    <row collapsed="" customFormat="false" customHeight="1" hidden="" ht="14" outlineLevel="0" r="17917">
      <c r="A17917" s="3" t="inlineStr">
        <is>
          <t>17871</t>
        </is>
      </c>
      <c r="B17917" s="4" t="s">
        <f>=HYPERLINK("http://anyluxury.ru/shop/odezhda/futbolki-s-printom/futbolka-novaya-klassika-velosezon-xvi-belaya-7129460/" , "71294.60 Футболка «Новая классика. Велосезон XVI», белая, размер XL")</f>
      </c>
      <c r="C17917" s="4" t="n">
        <v>969.00</v>
      </c>
      <c r="D17917" s="4"/>
    </row>
    <row collapsed="" customFormat="false" customHeight="1" hidden="" ht="14" outlineLevel="0" r="17918">
      <c r="A17918" s="3" t="inlineStr">
        <is>
          <t>17872</t>
        </is>
      </c>
      <c r="B17918" s="4" t="s">
        <f>=HYPERLINK("http://anyluxury.ru/shop/odezhda/futbolki-s-printom/futbolka-novaya-klassika-velosezon-xvi-belaya-7129460/" , "71294.60 Футболка «Новая классика. Велосезон XVI», белая, размер XXL")</f>
      </c>
      <c r="C17918" s="4" t="n">
        <v>969.00</v>
      </c>
      <c r="D17918" s="4"/>
    </row>
    <row collapsed="" customFormat="false" customHeight="1" hidden="" ht="14" outlineLevel="0" r="17919">
      <c r="A17919" s="3" t="inlineStr">
        <is>
          <t>17873</t>
        </is>
      </c>
      <c r="B17919" s="4" t="s">
        <f>=HYPERLINK("http://anyluxury.ru/shop/odezhda/futbolki-s-printom/futbolka-novaya-klassika-freestyle-belaya-7129461/" , "71294.61 Футболка «Новая классика. Freestyle», белая, размер S")</f>
      </c>
      <c r="C17919" s="4" t="n">
        <v>971.00</v>
      </c>
      <c r="D17919" s="4"/>
    </row>
    <row collapsed="" customFormat="false" customHeight="1" hidden="" ht="14" outlineLevel="0" r="17920">
      <c r="A17920" s="3" t="inlineStr">
        <is>
          <t>17874</t>
        </is>
      </c>
      <c r="B17920" s="4" t="s">
        <f>=HYPERLINK("http://anyluxury.ru/shop/odezhda/futbolki-s-printom/futbolka-novaya-klassika-freestyle-belaya-7129461/" , "71294.61 Футболка «Новая классика. Freestyle», белая, размер M")</f>
      </c>
      <c r="C17920" s="4" t="n">
        <v>971.00</v>
      </c>
      <c r="D17920" s="4"/>
    </row>
    <row collapsed="" customFormat="false" customHeight="1" hidden="" ht="14" outlineLevel="0" r="17921">
      <c r="A17921" s="3" t="inlineStr">
        <is>
          <t>17875</t>
        </is>
      </c>
      <c r="B17921" s="4" t="s">
        <f>=HYPERLINK("http://anyluxury.ru/shop/odezhda/futbolki-s-printom/futbolka-novaya-klassika-freestyle-belaya-7129461/" , "71294.61 Футболка «Новая классика. Freestyle», белая, размер L")</f>
      </c>
      <c r="C17921" s="4" t="n">
        <v>971.00</v>
      </c>
      <c r="D17921" s="4"/>
    </row>
    <row collapsed="" customFormat="false" customHeight="1" hidden="" ht="14" outlineLevel="0" r="17922">
      <c r="A17922" s="3" t="inlineStr">
        <is>
          <t>17876</t>
        </is>
      </c>
      <c r="B17922" s="4" t="s">
        <f>=HYPERLINK("http://anyluxury.ru/shop/odezhda/futbolki-s-printom/futbolka-novaya-klassika-freestyle-belaya-7129461/" , "71294.61 Футболка «Новая классика. Freestyle», белая, размер XL")</f>
      </c>
      <c r="C17922" s="4" t="n">
        <v>971.00</v>
      </c>
      <c r="D17922" s="4"/>
    </row>
    <row collapsed="" customFormat="false" customHeight="1" hidden="" ht="14" outlineLevel="0" r="17923">
      <c r="A17923" s="3" t="inlineStr">
        <is>
          <t>17877</t>
        </is>
      </c>
      <c r="B17923" s="4" t="s">
        <f>=HYPERLINK("http://anyluxury.ru/shop/odezhda/futbolki-s-printom/futbolka-novaya-klassika-freestyle-belaya-7129461/" , "71294.61 Футболка «Новая классика. Freestyle», белая, размер XXL")</f>
      </c>
      <c r="C17923" s="4" t="n">
        <v>971.00</v>
      </c>
      <c r="D17923" s="4"/>
    </row>
    <row collapsed="" customFormat="false" customHeight="1" hidden="" ht="14" outlineLevel="0" r="17924">
      <c r="A17924" s="3" t="inlineStr">
        <is>
          <t>17878</t>
        </is>
      </c>
      <c r="B17924" s="4" t="s">
        <f>=HYPERLINK("http://anyluxury.ru/shop/odezhda/futbolki-s-printom/futbolka-ya-ne-idealen-chernaya-7131430/" , "71314.30 Футболка «Я не идеален», черная, размер S")</f>
      </c>
      <c r="C17924" s="4" t="n">
        <v>656.00</v>
      </c>
      <c r="D17924" s="4"/>
    </row>
    <row collapsed="" customFormat="false" customHeight="1" hidden="" ht="14" outlineLevel="0" r="17925">
      <c r="A17925" s="3" t="inlineStr">
        <is>
          <t>17879</t>
        </is>
      </c>
      <c r="B17925" s="4" t="s">
        <f>=HYPERLINK("http://anyluxury.ru/shop/odezhda/futbolki-s-printom/futbolka-ya-ne-idealen-chernaya-7131430/" , "71314.30 Футболка «Я не идеален», черная, размер M")</f>
      </c>
      <c r="C17925" s="4" t="n">
        <v>656.00</v>
      </c>
      <c r="D17925" s="4"/>
    </row>
    <row collapsed="" customFormat="false" customHeight="1" hidden="" ht="14" outlineLevel="0" r="17926">
      <c r="A17926" s="3" t="inlineStr">
        <is>
          <t>17880</t>
        </is>
      </c>
      <c r="B17926" s="4" t="s">
        <f>=HYPERLINK("http://anyluxury.ru/shop/odezhda/futbolki-s-printom/futbolka-emoe-mama-zvonit-chernaya-7133130/" , "71331.30 Футболка «Е-мое, мама звонит», черная, размер M")</f>
      </c>
      <c r="C17926" s="4" t="n">
        <v>751.00</v>
      </c>
      <c r="D17926" s="4"/>
    </row>
    <row collapsed="" customFormat="false" customHeight="1" hidden="" ht="14" outlineLevel="0" r="17927">
      <c r="A17927" s="3" t="inlineStr">
        <is>
          <t>17881</t>
        </is>
      </c>
      <c r="B17927" s="4" t="s">
        <f>=HYPERLINK("http://anyluxury.ru/shop/odezhda/futbolki-s-printom/futbolka-emoe-mama-zvonit-chernaya-7133130/" , "71331.30 Футболка «Е-мое, мама звонит», черная, размер L")</f>
      </c>
      <c r="C17927" s="4" t="n">
        <v>751.00</v>
      </c>
      <c r="D17927" s="4"/>
    </row>
    <row collapsed="" customFormat="false" customHeight="1" hidden="" ht="14" outlineLevel="0" r="17928">
      <c r="A17928" s="3" t="inlineStr">
        <is>
          <t>17882</t>
        </is>
      </c>
      <c r="B17928" s="4" t="s">
        <f>=HYPERLINK("http://anyluxury.ru/shop/odezhda/futbolki-s-printom/futbolka-emoe-mama-zvonit-chernaya-7133130/" , "71331.30 Футболка «Е-мое, мама звонит», черная, размер XL")</f>
      </c>
      <c r="C17928" s="4" t="n">
        <v>751.00</v>
      </c>
      <c r="D17928" s="4"/>
    </row>
    <row collapsed="" customFormat="false" customHeight="1" hidden="" ht="14" outlineLevel="0" r="17929">
      <c r="A17929" s="3" t="inlineStr">
        <is>
          <t>17883</t>
        </is>
      </c>
      <c r="B17929" s="4" t="s">
        <f>=HYPERLINK("http://anyluxury.ru/shop/odezhda/futbolki-s-printom/futbolka-zhenskaya-melamed-zhanna-aguzarova-yarkorozovaya-fuksiya-7133457/" , "71334.57 Футболка женская «Меламед. Жанна Агузарова», ярко-розовая (фуксия), размер XL")</f>
      </c>
      <c r="C17929" s="4" t="n">
        <v>883.00</v>
      </c>
      <c r="D17929" s="4"/>
    </row>
    <row collapsed="" customFormat="false" customHeight="1" hidden="" ht="14" outlineLevel="0" r="17930">
      <c r="A17930" s="3" t="inlineStr">
        <is>
          <t>17884</t>
        </is>
      </c>
      <c r="B17930" s="4" t="s">
        <f>=HYPERLINK("http://anyluxury.ru/shop/odezhda/futbolki-s-printom/futbolka-melamed-nol-belaya-7133760/" , "71337.60 Футболка «Меламед. Ноль», белая, размер S")</f>
      </c>
      <c r="C17930" s="4" t="n">
        <v>983.00</v>
      </c>
      <c r="D17930" s="4"/>
    </row>
    <row collapsed="" customFormat="false" customHeight="1" hidden="" ht="14" outlineLevel="0" r="17931">
      <c r="A17931" s="3" t="inlineStr">
        <is>
          <t>17885</t>
        </is>
      </c>
      <c r="B17931" s="4" t="s">
        <f>=HYPERLINK("http://anyluxury.ru/shop/odezhda/futbolki-s-printom/futbolka-melamed-nol-belaya-7133760/" , "71337.60 Футболка «Меламед. Ноль», белая, размер M")</f>
      </c>
      <c r="C17931" s="4" t="n">
        <v>983.00</v>
      </c>
      <c r="D17931" s="4"/>
    </row>
    <row collapsed="" customFormat="false" customHeight="1" hidden="" ht="14" outlineLevel="0" r="17932">
      <c r="A17932" s="3" t="inlineStr">
        <is>
          <t>17886</t>
        </is>
      </c>
      <c r="B17932" s="4" t="s">
        <f>=HYPERLINK("http://anyluxury.ru/shop/odezhda/futbolki-s-printom/futbolka-melamed-nol-belaya-7133760/" , "71337.60 Футболка «Меламед. Ноль», белая, размер L")</f>
      </c>
      <c r="C17932" s="4" t="n">
        <v>984.00</v>
      </c>
      <c r="D17932" s="4"/>
    </row>
    <row collapsed="" customFormat="false" customHeight="1" hidden="" ht="14" outlineLevel="0" r="17933">
      <c r="A17933" s="3" t="inlineStr">
        <is>
          <t>17887</t>
        </is>
      </c>
      <c r="B17933" s="4" t="s">
        <f>=HYPERLINK("http://anyluxury.ru/shop/odezhda/futbolki-s-printom/futbolka-moonlight-belaya-7137160/" , "71371.60 Футболка Moonlight, белая, размер L")</f>
      </c>
      <c r="C17933" s="4" t="n">
        <v>1294.00</v>
      </c>
      <c r="D17933" s="4"/>
    </row>
    <row collapsed="" customFormat="false" customHeight="1" hidden="" ht="14" outlineLevel="0" r="17934">
      <c r="A17934" s="3" t="inlineStr">
        <is>
          <t>17888</t>
        </is>
      </c>
      <c r="B17934" s="4" t="s">
        <f>=HYPERLINK("http://anyluxury.ru/shop/odezhda/futbolki-s-printom/futbolka-one-step-belaya-7137260/" , "71372.60 Футболка One Step, белая, размер S")</f>
      </c>
      <c r="C17934" s="4" t="n">
        <v>1293.00</v>
      </c>
      <c r="D17934" s="4"/>
    </row>
    <row collapsed="" customFormat="false" customHeight="1" hidden="" ht="14" outlineLevel="0" r="17935">
      <c r="A17935" s="3" t="inlineStr">
        <is>
          <t>17889</t>
        </is>
      </c>
      <c r="B17935" s="4" t="s">
        <f>=HYPERLINK("http://anyluxury.ru/shop/odezhda/futbolki-s-printom/futbolka-one-step-belaya-7137260/" , "71372.60 Футболка One Step, белая, размер M")</f>
      </c>
      <c r="C17935" s="4" t="n">
        <v>1294.00</v>
      </c>
      <c r="D17935" s="4"/>
    </row>
    <row collapsed="" customFormat="false" customHeight="1" hidden="" ht="14" outlineLevel="0" r="17936">
      <c r="A17936" s="3" t="inlineStr">
        <is>
          <t>17890</t>
        </is>
      </c>
      <c r="B17936" s="4" t="s">
        <f>=HYPERLINK("http://anyluxury.ru/shop/odezhda/futbolki-s-printom/futbolka-a-pomnish-rannee-utro-belaya-7137360/" , "71373.60 Футболка «А помнишь? Раннее утро», белая, размер M")</f>
      </c>
      <c r="C17936" s="4" t="n">
        <v>1391.00</v>
      </c>
      <c r="D17936" s="4"/>
    </row>
    <row collapsed="" customFormat="false" customHeight="1" hidden="" ht="14" outlineLevel="0" r="17937">
      <c r="A17937" s="3" t="inlineStr">
        <is>
          <t>17891</t>
        </is>
      </c>
      <c r="B17937" s="4" t="s">
        <f>=HYPERLINK("http://anyluxury.ru/shop/odezhda/futbolki-s-printom/futbolka-a-pomnish-rannee-utro-belaya-7137360/" , "71373.60 Футболка «А помнишь? Раннее утро», белая, размер L")</f>
      </c>
      <c r="C17937" s="4" t="n">
        <v>1391.00</v>
      </c>
      <c r="D17937" s="4"/>
    </row>
    <row collapsed="" customFormat="false" customHeight="1" hidden="" ht="14" outlineLevel="0" r="17938">
      <c r="A17938" s="3" t="inlineStr">
        <is>
          <t>17892</t>
        </is>
      </c>
      <c r="B17938" s="4" t="s">
        <f>=HYPERLINK("http://anyluxury.ru/shop/odezhda/futbolki-s-printom/futbolka-a-pomnish-rezko-poholodalo-belaya-7137361/" , "71373.61 Футболка «А помнишь? Резко похолодало», белая, размер S")</f>
      </c>
      <c r="C17938" s="4" t="n">
        <v>1033.00</v>
      </c>
      <c r="D17938" s="4"/>
    </row>
    <row collapsed="" customFormat="false" customHeight="1" hidden="" ht="14" outlineLevel="0" r="17939">
      <c r="A17939" s="3" t="inlineStr">
        <is>
          <t>17893</t>
        </is>
      </c>
      <c r="B17939" s="4" t="s">
        <f>=HYPERLINK("http://anyluxury.ru/shop/odezhda/futbolki-s-printom/futbolka-a-pomnish-rezko-poholodalo-belaya-7137361/" , "71373.61 Футболка «А помнишь? Резко похолодало», белая, размер M")</f>
      </c>
      <c r="C17939" s="4" t="n">
        <v>1033.00</v>
      </c>
      <c r="D17939" s="4"/>
    </row>
    <row collapsed="" customFormat="false" customHeight="1" hidden="" ht="14" outlineLevel="0" r="17940">
      <c r="A17940" s="3" t="inlineStr">
        <is>
          <t>17894</t>
        </is>
      </c>
      <c r="B17940" s="4" t="s">
        <f>=HYPERLINK("http://anyluxury.ru/shop/odezhda/futbolki-s-printom/futbolka-a-pomnish-rezko-poholodalo-belaya-7137361/" , "71373.61 Футболка «А помнишь? Резко похолодало», белая, размер L")</f>
      </c>
      <c r="C17940" s="4" t="n">
        <v>1033.00</v>
      </c>
      <c r="D17940" s="4"/>
    </row>
    <row collapsed="" customFormat="false" customHeight="1" hidden="" ht="14" outlineLevel="0" r="17941">
      <c r="A17941" s="3" t="inlineStr">
        <is>
          <t>17895</t>
        </is>
      </c>
      <c r="B17941" s="4" t="s">
        <f>=HYPERLINK("http://anyluxury.ru/shop/odezhda/futbolki-s-printom/futbolka-oversayz-dama-s-gornostaem-chernaya-7139230/" , "71392.30 Футболка оверсайз «Дама с горностаем», черная, размер XS/S")</f>
      </c>
      <c r="C17941" s="4" t="n">
        <v>2329.00</v>
      </c>
      <c r="D17941" s="4"/>
    </row>
    <row collapsed="" customFormat="false" customHeight="1" hidden="" ht="14" outlineLevel="0" r="17942">
      <c r="A17942" s="3" t="inlineStr">
        <is>
          <t>17896</t>
        </is>
      </c>
      <c r="B17942" s="4" t="s">
        <f>=HYPERLINK("http://anyluxury.ru/shop/odezhda/futbolki-s-printom/futbolka-oversayz-dama-s-gornostaem-chernaya-7139230/" , "71392.30 Футболка оверсайз «Дама с горностаем», черная, размер M/L")</f>
      </c>
      <c r="C17942" s="4" t="n">
        <v>2329.00</v>
      </c>
      <c r="D17942" s="4"/>
    </row>
    <row collapsed="" customFormat="false" customHeight="1" hidden="" ht="14" outlineLevel="0" r="17943">
      <c r="A17943" s="3" t="inlineStr">
        <is>
          <t>17897</t>
        </is>
      </c>
      <c r="B17943" s="4" t="s">
        <f>=HYPERLINK("http://anyluxury.ru/shop/odezhda/futbolki-s-printom/futbolka-oversayz-dama-s-gornostaem-chernaya-7139230/" , "71392.30 Футболка оверсайз «Дама с горностаем», черная, размер XL/XXL")</f>
      </c>
      <c r="C17943" s="4" t="n">
        <v>2329.00</v>
      </c>
      <c r="D17943" s="4"/>
    </row>
    <row collapsed="" customFormat="false" customHeight="1" hidden="" ht="14" outlineLevel="0" r="17944">
      <c r="A17944" s="3" t="inlineStr">
        <is>
          <t>17898</t>
        </is>
      </c>
      <c r="B17944" s="4" t="s">
        <f>=HYPERLINK("http://anyluxury.ru/shop/odezhda/futbolki-s-printom/futbolka-oversayz-leon-chernaya-7144030/" , "71440.30 Футболка оверсайз «Леон», черная, размер XS/S")</f>
      </c>
      <c r="C17944" s="4" t="n">
        <v>1472.00</v>
      </c>
      <c r="D17944" s="4"/>
    </row>
    <row collapsed="" customFormat="false" customHeight="1" hidden="" ht="14" outlineLevel="0" r="17945">
      <c r="A17945" s="3" t="inlineStr">
        <is>
          <t>17899</t>
        </is>
      </c>
      <c r="B17945" s="4" t="s">
        <f>=HYPERLINK("http://anyluxury.ru/shop/odezhda/futbolki-s-printom/futbolka-oversayz-leon-chernaya-7144030/" , "71440.30 Футболка оверсайз «Леон», черная, размер M/L")</f>
      </c>
      <c r="C17945" s="4" t="n">
        <v>1472.00</v>
      </c>
      <c r="D17945" s="4"/>
    </row>
    <row collapsed="" customFormat="false" customHeight="1" hidden="" ht="14" outlineLevel="0" r="17946">
      <c r="A17946" s="3" t="inlineStr">
        <is>
          <t>17900</t>
        </is>
      </c>
      <c r="B17946" s="4" t="s">
        <f>=HYPERLINK("http://anyluxury.ru/shop/odezhda/futbolki-s-printom/futbolka-oversayz-leon-chernaya-7144030/" , "71440.30 Футболка оверсайз «Леон», черная, размер XL/XXL")</f>
      </c>
      <c r="C17946" s="4" t="n">
        <v>1472.00</v>
      </c>
      <c r="D17946" s="4"/>
    </row>
    <row collapsed="" customFormat="false" customHeight="1" hidden="" ht="14" outlineLevel="0" r="17947">
      <c r="A17947" s="3" t="inlineStr">
        <is>
          <t>17901</t>
        </is>
      </c>
      <c r="B17947" s="4" t="s">
        <f>=HYPERLINK("http://anyluxury.ru/shop/odezhda/futbolki-s-printom/futbolka-oversayz-valsiruem-molochnobelaya-7144361/" , "71443.61 Футболка оверсайз «Вальсируем», молочно-белая, размер XS/S")</f>
      </c>
      <c r="C17947" s="4" t="n">
        <v>1594.00</v>
      </c>
      <c r="D17947" s="4"/>
    </row>
    <row collapsed="" customFormat="false" customHeight="1" hidden="" ht="14" outlineLevel="0" r="17948">
      <c r="A17948" s="3" t="inlineStr">
        <is>
          <t>17902</t>
        </is>
      </c>
      <c r="B17948" s="4" t="s">
        <f>=HYPERLINK("http://anyluxury.ru/shop/odezhda/futbolki-s-printom/futbolka-oversayz-valsiruem-molochnobelaya-7144361/" , "71443.61 Футболка оверсайз «Вальсируем», молочно-белая, размер M/L")</f>
      </c>
      <c r="C17948" s="4" t="n">
        <v>1594.00</v>
      </c>
      <c r="D17948" s="4"/>
    </row>
    <row collapsed="" customFormat="false" customHeight="1" hidden="" ht="14" outlineLevel="0" r="17949">
      <c r="A17949" s="3" t="inlineStr">
        <is>
          <t>17903</t>
        </is>
      </c>
      <c r="B17949" s="4" t="s">
        <f>=HYPERLINK("http://anyluxury.ru/shop/odezhda/futbolki-s-printom/futbolka-oversayz-vnutrenniy-rim-chernaya-7144730/" , "71447.30 Футболка оверсайз «Внутренний Рим», черная, размер XS/S")</f>
      </c>
      <c r="C17949" s="4" t="n">
        <v>1436.00</v>
      </c>
      <c r="D17949" s="4"/>
    </row>
    <row collapsed="" customFormat="false" customHeight="1" hidden="" ht="14" outlineLevel="0" r="17950">
      <c r="A17950" s="3" t="inlineStr">
        <is>
          <t>17904</t>
        </is>
      </c>
      <c r="B17950" s="4" t="s">
        <f>=HYPERLINK("http://anyluxury.ru/shop/odezhda/futbolki-s-printom/futbolka-oversayz-vnutrenniy-rim-chernaya-7144730/" , "71447.30 Футболка оверсайз «Внутренний Рим», черная, размер M/L")</f>
      </c>
      <c r="C17950" s="4" t="n">
        <v>1436.00</v>
      </c>
      <c r="D17950" s="4"/>
    </row>
    <row collapsed="" customFormat="false" customHeight="1" hidden="" ht="14" outlineLevel="0" r="17951">
      <c r="A17951" s="3" t="inlineStr">
        <is>
          <t>17905</t>
        </is>
      </c>
      <c r="B17951" s="4" t="s">
        <f>=HYPERLINK("http://anyluxury.ru/shop/odezhda/futbolki-s-printom/futbolka-oversayz-vnutrenniy-rim-chernaya-7144730/" , "71447.30 Футболка оверсайз «Внутренний Рим», черная, размер XL/XXL")</f>
      </c>
      <c r="C17951" s="4" t="n">
        <v>1436.00</v>
      </c>
      <c r="D17951" s="4"/>
    </row>
    <row collapsed="" customFormat="false" customHeight="1" hidden="" ht="14" outlineLevel="0" r="17952">
      <c r="A17952" s="3" t="inlineStr">
        <is>
          <t>17906</t>
        </is>
      </c>
      <c r="B17952" s="4" t="s">
        <f>=HYPERLINK("http://anyluxury.ru/shop/odezhda/futbolki-s-printom/futbolka-oversayz-vo-vsem-belom-molochnobelaya-7144961/" , "71449.61 Футболка оверсайз «Во всем белом», молочно-белая, размер XS/S")</f>
      </c>
      <c r="C17952" s="4" t="n">
        <v>1439.00</v>
      </c>
      <c r="D17952" s="4"/>
    </row>
    <row collapsed="" customFormat="false" customHeight="1" hidden="" ht="14" outlineLevel="0" r="17953">
      <c r="A17953" s="3" t="inlineStr">
        <is>
          <t>17907</t>
        </is>
      </c>
      <c r="B17953" s="4" t="s">
        <f>=HYPERLINK("http://anyluxury.ru/shop/odezhda/futbolki-s-printom/futbolka-oversayz-vo-vsem-belom-molochnobelaya-7144961/" , "71449.61 Футболка оверсайз «Во всем белом», молочно-белая, размер M/L")</f>
      </c>
      <c r="C17953" s="4" t="n">
        <v>1439.00</v>
      </c>
      <c r="D17953" s="4"/>
    </row>
    <row collapsed="" customFormat="false" customHeight="1" hidden="" ht="14" outlineLevel="0" r="17954">
      <c r="A17954" s="3" t="inlineStr">
        <is>
          <t>17908</t>
        </is>
      </c>
      <c r="B17954" s="4" t="s">
        <f>=HYPERLINK("http://anyluxury.ru/shop/odezhda/futbolki-s-printom/futbolka-oversayz-deadline-chernaya-7145030/" , "71450.30 Футболка оверсайз Deadline, черная, размер XS/S")</f>
      </c>
      <c r="C17954" s="4" t="n">
        <v>1856.00</v>
      </c>
      <c r="D17954" s="4"/>
    </row>
    <row collapsed="" customFormat="false" customHeight="1" hidden="" ht="14" outlineLevel="0" r="17955">
      <c r="A17955" s="3" t="inlineStr">
        <is>
          <t>17909</t>
        </is>
      </c>
      <c r="B17955" s="4" t="s">
        <f>=HYPERLINK("http://anyluxury.ru/shop/odezhda/futbolki-s-printom/futbolka-oversayz-deadline-chernaya-7145030/" , "71450.30 Футболка оверсайз Deadline, черная, размер M/L")</f>
      </c>
      <c r="C17955" s="4" t="n">
        <v>1856.00</v>
      </c>
      <c r="D17955" s="4"/>
    </row>
    <row collapsed="" customFormat="false" customHeight="1" hidden="" ht="14" outlineLevel="0" r="17956">
      <c r="A17956" s="3" t="inlineStr">
        <is>
          <t>17910</t>
        </is>
      </c>
      <c r="B17956" s="4" t="s">
        <f>=HYPERLINK("http://anyluxury.ru/shop/odezhda/futbolki-s-printom/futbolka-oversayz-deadline-chernaya-7145030/" , "71450.30 Футболка оверсайз Deadline, черная, размер XL/XXL")</f>
      </c>
      <c r="C17956" s="4" t="n">
        <v>1856.00</v>
      </c>
      <c r="D17956" s="4"/>
    </row>
    <row collapsed="" customFormat="false" customHeight="1" hidden="" ht="14" outlineLevel="0" r="17957">
      <c r="A17957" s="3" t="inlineStr">
        <is>
          <t>17911</t>
        </is>
      </c>
      <c r="B17957" s="4" t="s">
        <f>=HYPERLINK("http://anyluxury.ru/shop/odezhda/futbolki-s-printom/futbolka-oversayz-cute-fire-vseh-szhech-chernaya-7145230/" , "71452.30 Футболка оверсайз «Cute Fire. Всех сжечь», черная, размер XS/S")</f>
      </c>
      <c r="C17957" s="4" t="n">
        <v>1374.00</v>
      </c>
      <c r="D17957" s="4"/>
    </row>
    <row collapsed="" customFormat="false" customHeight="1" hidden="" ht="14" outlineLevel="0" r="17958">
      <c r="A17958" s="3" t="inlineStr">
        <is>
          <t>17912</t>
        </is>
      </c>
      <c r="B17958" s="4" t="s">
        <f>=HYPERLINK("http://anyluxury.ru/shop/odezhda/futbolki-s-printom/futbolka-oversayz-cute-fire-vseh-szhech-chernaya-7145230/" , "71452.30 Футболка оверсайз «Cute Fire. Всех сжечь», черная, размер M/L")</f>
      </c>
      <c r="C17958" s="4" t="n">
        <v>1374.00</v>
      </c>
      <c r="D17958" s="4"/>
    </row>
    <row collapsed="" customFormat="false" customHeight="1" hidden="" ht="14" outlineLevel="0" r="17959">
      <c r="A17959" s="3" t="inlineStr">
        <is>
          <t>17913</t>
        </is>
      </c>
      <c r="B17959" s="4" t="s">
        <f>=HYPERLINK("http://anyluxury.ru/shop/odezhda/futbolki-s-printom/futbolka-oversayz-cute-fire-vseh-szhech-chernaya-7145230/" , "71452.30 Футболка оверсайз «Cute Fire. Всех сжечь», черная, размер XL/XXL")</f>
      </c>
      <c r="C17959" s="4" t="n">
        <v>1374.00</v>
      </c>
      <c r="D17959" s="4"/>
    </row>
    <row collapsed="" customFormat="false" customHeight="1" hidden="" ht="14" outlineLevel="0" r="17960">
      <c r="A17960" s="3" t="inlineStr">
        <is>
          <t>17914</t>
        </is>
      </c>
      <c r="B17960" s="4" t="s">
        <f>=HYPERLINK("http://anyluxury.ru/shop/odezhda/futbolki-s-printom/futbolka-oversayz-he-is-so-pretty-david-chernaya-7143230/" , "71432.30 Футболка оверсайз «He is So Pretty. Давид», черная, размер XS/S")</f>
      </c>
      <c r="C17960" s="4" t="n">
        <v>1693.00</v>
      </c>
      <c r="D17960" s="4"/>
    </row>
    <row collapsed="" customFormat="false" customHeight="1" hidden="" ht="14" outlineLevel="0" r="17961">
      <c r="A17961" s="3" t="inlineStr">
        <is>
          <t>17915</t>
        </is>
      </c>
      <c r="B17961" s="4" t="s">
        <f>=HYPERLINK("http://anyluxury.ru/shop/odezhda/futbolki-s-printom/futbolka-oversayz-he-is-so-pretty-david-chernaya-7143230/" , "71432.30 Футболка оверсайз «He is So Pretty. Давид», черная, размер XL/XXL")</f>
      </c>
      <c r="C17961" s="4" t="n">
        <v>1693.00</v>
      </c>
      <c r="D17961" s="4"/>
    </row>
    <row collapsed="" customFormat="false" customHeight="1" hidden="" ht="14" outlineLevel="0" r="17962">
      <c r="A17962" s="3" t="inlineStr">
        <is>
          <t>17916</t>
        </is>
      </c>
      <c r="B17962" s="4" t="s">
        <f>=HYPERLINK("http://anyluxury.ru/shop/odezhda/futbolki-s-printom/futbolka-run-away-7140702/" , "71407.02 Футболка Run Away, размер M")</f>
      </c>
      <c r="C17962" s="4" t="n">
        <v>1457.00</v>
      </c>
      <c r="D17962" s="4"/>
    </row>
    <row collapsed="" customFormat="false" customHeight="1" hidden="" ht="14" outlineLevel="0" r="17963">
      <c r="A17963" s="3" t="inlineStr">
        <is>
          <t>17917</t>
        </is>
      </c>
      <c r="B17963" s="4" t="s">
        <f>=HYPERLINK("http://anyluxury.ru/shop/odezhda/futbolki-s-printom/futbolka-run-away-7140702/" , "71407.02 Футболка Run Away, размер L")</f>
      </c>
      <c r="C17963" s="4" t="n">
        <v>1457.00</v>
      </c>
      <c r="D17963" s="4"/>
    </row>
    <row collapsed="" customFormat="false" customHeight="1" hidden="" ht="14" outlineLevel="0" r="17964">
      <c r="A17964" s="3" t="inlineStr">
        <is>
          <t>17918</t>
        </is>
      </c>
      <c r="B17964" s="4" t="s">
        <f>=HYPERLINK("http://anyluxury.ru/shop/odezhda/futbolki-s-printom/futbolka-run-away-7140702/" , "71407.02 Футболка Run Away, размер XL")</f>
      </c>
      <c r="C17964" s="4" t="n">
        <v>1457.00</v>
      </c>
      <c r="D17964" s="4"/>
    </row>
    <row collapsed="" customFormat="false" customHeight="1" hidden="" ht="14" outlineLevel="0" r="17965">
      <c r="A17965" s="3" t="inlineStr">
        <is>
          <t>17919</t>
        </is>
      </c>
      <c r="B17965" s="4" t="s">
        <f>=HYPERLINK("http://anyluxury.ru/shop/odezhda/futbolki-s-printom/futbolka-dozhd-7140901/" , "71409.01 Футболка «Дождь», размер M")</f>
      </c>
      <c r="C17965" s="4" t="n">
        <v>1108.00</v>
      </c>
      <c r="D17965" s="4"/>
    </row>
    <row collapsed="" customFormat="false" customHeight="1" hidden="" ht="14" outlineLevel="0" r="17966">
      <c r="A17966" s="3" t="inlineStr">
        <is>
          <t>17920</t>
        </is>
      </c>
      <c r="B17966" s="4" t="s">
        <f>=HYPERLINK("http://anyluxury.ru/shop/odezhda/futbolki-s-printom/futbolka-dozhd-7140901/" , "71409.01 Футболка «Дождь», размер L")</f>
      </c>
      <c r="C17966" s="4" t="n">
        <v>1108.00</v>
      </c>
      <c r="D17966" s="4"/>
    </row>
    <row collapsed="" customFormat="false" customHeight="1" hidden="" ht="14" outlineLevel="0" r="17967">
      <c r="A17967" s="3" t="inlineStr">
        <is>
          <t>17921</t>
        </is>
      </c>
      <c r="B17967" s="4" t="s">
        <f>=HYPERLINK("http://anyluxury.ru/shop/odezhda/futbolki-s-printom/futbolka-dozhd-7140901/" , "71409.01 Футболка «Дождь», размер XL")</f>
      </c>
      <c r="C17967" s="4" t="n">
        <v>1108.00</v>
      </c>
      <c r="D17967" s="4"/>
    </row>
    <row collapsed="" customFormat="false" customHeight="1" hidden="" ht="14" outlineLevel="0" r="17968">
      <c r="A17968" s="3" t="inlineStr">
        <is>
          <t>17922</t>
        </is>
      </c>
      <c r="B17968" s="4" t="s">
        <f>=HYPERLINK("http://anyluxury.ru/shop/odezhda/futbolki-s-printom/futbolka-dozhd-7140901/" , "71409.01 Футболка «Дождь», размер XXL")</f>
      </c>
      <c r="C17968" s="4" t="n">
        <v>1108.00</v>
      </c>
      <c r="D17968" s="4"/>
    </row>
    <row collapsed="" customFormat="false" customHeight="1" hidden="" ht="14" outlineLevel="0" r="17969">
      <c r="A17969" s="3" t="inlineStr">
        <is>
          <t>17923</t>
        </is>
      </c>
      <c r="B17969" s="4" t="s">
        <f>=HYPERLINK("http://anyluxury.ru/shop/odezhda/futbolki-s-printom/futbolka-stilliver-belaya-7134961/" , "71349.61 Футболка «Стилливер», белая, размер S")</f>
      </c>
      <c r="C17969" s="4" t="n">
        <v>1292.00</v>
      </c>
      <c r="D17969" s="4"/>
    </row>
    <row collapsed="" customFormat="false" customHeight="1" hidden="" ht="14" outlineLevel="0" r="17970">
      <c r="A17970" s="3" t="inlineStr">
        <is>
          <t>17924</t>
        </is>
      </c>
      <c r="B17970" s="4" t="s">
        <f>=HYPERLINK("http://anyluxury.ru/shop/odezhda/futbolki-s-printom/futbolka-stilliver-belaya-7134961/" , "71349.61 Футболка «Стилливер», белая, размер M")</f>
      </c>
      <c r="C17970" s="4" t="n">
        <v>1292.00</v>
      </c>
      <c r="D17970" s="4"/>
    </row>
    <row collapsed="" customFormat="false" customHeight="1" hidden="" ht="14" outlineLevel="0" r="17971">
      <c r="A17971" s="3" t="inlineStr">
        <is>
          <t>17925</t>
        </is>
      </c>
      <c r="B17971" s="4" t="s">
        <f>=HYPERLINK("http://anyluxury.ru/shop/odezhda/futbolki-s-printom/futbolka-stilliver-belaya-7134961/" , "71349.61 Футболка «Стилливер», белая, размер L")</f>
      </c>
      <c r="C17971" s="4" t="n">
        <v>1292.00</v>
      </c>
      <c r="D17971" s="4"/>
    </row>
    <row collapsed="" customFormat="false" customHeight="1" hidden="" ht="14" outlineLevel="0" r="17972">
      <c r="A17972" s="3" t="inlineStr">
        <is>
          <t>17926</t>
        </is>
      </c>
      <c r="B17972" s="4" t="s">
        <f>=HYPERLINK("http://anyluxury.ru/shop/odezhda/futbolki-s-printom/futbolka-oversayz-pochti-polniy-pi-molochnobelaya-7150461/" , "71504.61 Футболка оверсайз «Почти полный Пи», молочно-белая, размер XS/S")</f>
      </c>
      <c r="C17972" s="4" t="n">
        <v>1803.00</v>
      </c>
      <c r="D17972" s="4"/>
    </row>
    <row collapsed="" customFormat="false" customHeight="1" hidden="" ht="14" outlineLevel="0" r="17973">
      <c r="A17973" s="3" t="inlineStr">
        <is>
          <t>17927</t>
        </is>
      </c>
      <c r="B17973" s="4" t="s">
        <f>=HYPERLINK("http://anyluxury.ru/shop/odezhda/futbolki-s-printom/futbolka-oversayz-pochti-polniy-pi-molochnobelaya-7150461/" , "71504.61 Футболка оверсайз «Почти полный Пи», молочно-белая, размер M/L")</f>
      </c>
      <c r="C17973" s="4" t="n">
        <v>1803.00</v>
      </c>
      <c r="D17973" s="4"/>
    </row>
    <row collapsed="" customFormat="false" customHeight="1" hidden="" ht="14" outlineLevel="0" r="17974">
      <c r="A17974" s="3" t="inlineStr">
        <is>
          <t>17928</t>
        </is>
      </c>
      <c r="B17974" s="4" t="s">
        <f>=HYPERLINK("http://anyluxury.ru/shop/odezhda/futbolki-s-printom/futbolka-oversayz-pochti-polniy-pi-molochnobelaya-7150461/" , "71504.61 Футболка оверсайз «Почти полный Пи», молочно-белая, размер XL/XXL")</f>
      </c>
      <c r="C17974" s="4" t="n">
        <v>1803.00</v>
      </c>
      <c r="D17974" s="4"/>
    </row>
    <row collapsed="" customFormat="false" customHeight="1" hidden="" ht="14" outlineLevel="0" r="17975">
      <c r="A17975" s="3" t="inlineStr">
        <is>
          <t>17929</t>
        </is>
      </c>
      <c r="B17975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XS/S")</f>
      </c>
      <c r="C17975" s="4" t="n">
        <v>1458.00</v>
      </c>
      <c r="D17975" s="4"/>
    </row>
    <row collapsed="" customFormat="false" customHeight="1" hidden="" ht="14" outlineLevel="0" r="17976">
      <c r="A17976" s="3" t="inlineStr">
        <is>
          <t>17930</t>
        </is>
      </c>
      <c r="B17976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M/L")</f>
      </c>
      <c r="C17976" s="4" t="n">
        <v>1458.00</v>
      </c>
      <c r="D17976" s="4"/>
    </row>
    <row collapsed="" customFormat="false" customHeight="1" hidden="" ht="14" outlineLevel="0" r="17977">
      <c r="A17977" s="3" t="inlineStr">
        <is>
          <t>17931</t>
        </is>
      </c>
      <c r="B17977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XL/XXL")</f>
      </c>
      <c r="C17977" s="4" t="n">
        <v>1458.00</v>
      </c>
      <c r="D17977" s="4"/>
    </row>
    <row collapsed="" customFormat="false" customHeight="1" hidden="" ht="14" outlineLevel="0" r="17978">
      <c r="A17978" s="3" t="inlineStr">
        <is>
          <t>17932</t>
        </is>
      </c>
      <c r="B17978" s="4" t="s">
        <f>=HYPERLINK("http://anyluxury.ru/shop/odezhda/futbolki-s-printom/futbolka-sklonniy-k-pobegat-belaya-7148160/" , "71481.60 Футболка «Склонный к побегать», белая, размер S")</f>
      </c>
      <c r="C17978" s="4" t="n">
        <v>950.00</v>
      </c>
      <c r="D17978" s="4"/>
    </row>
    <row collapsed="" customFormat="false" customHeight="1" hidden="" ht="14" outlineLevel="0" r="17979">
      <c r="A17979" s="3" t="inlineStr">
        <is>
          <t>17933</t>
        </is>
      </c>
      <c r="B17979" s="4" t="s">
        <f>=HYPERLINK("http://anyluxury.ru/shop/odezhda/futbolki-s-printom/futbolka-sklonniy-k-pobegat-belaya-7148160/" , "71481.60 Футболка «Склонный к побегать», белая, размер M")</f>
      </c>
      <c r="C17979" s="4" t="n">
        <v>948.00</v>
      </c>
      <c r="D17979" s="4"/>
    </row>
    <row collapsed="" customFormat="false" customHeight="1" hidden="" ht="14" outlineLevel="0" r="17980">
      <c r="A17980" s="3" t="inlineStr">
        <is>
          <t>17934</t>
        </is>
      </c>
      <c r="B17980" s="4" t="s">
        <f>=HYPERLINK("http://anyluxury.ru/shop/odezhda/futbolki-s-printom/futbolka-sklonniy-k-pobegat-belaya-7148160/" , "71481.60 Футболка «Склонный к побегать», белая, размер L")</f>
      </c>
      <c r="C17980" s="4" t="n">
        <v>950.00</v>
      </c>
      <c r="D17980" s="4"/>
    </row>
    <row collapsed="" customFormat="false" customHeight="1" hidden="" ht="14" outlineLevel="0" r="17981">
      <c r="A17981" s="3" t="inlineStr">
        <is>
          <t>17935</t>
        </is>
      </c>
      <c r="B17981" s="4" t="s">
        <f>=HYPERLINK("http://anyluxury.ru/shop/odezhda/futbolki-s-printom/futbolka-sklonniy-k-pobegat-belaya-7148160/" , "71481.60 Футболка «Склонный к побегать», белая, размер XL")</f>
      </c>
      <c r="C17981" s="4" t="n">
        <v>950.00</v>
      </c>
      <c r="D17981" s="4"/>
    </row>
    <row collapsed="" customFormat="false" customHeight="1" hidden="" ht="14" outlineLevel="0" r="17982">
      <c r="A17982" s="3" t="inlineStr">
        <is>
          <t>17936</t>
        </is>
      </c>
      <c r="B17982" s="4" t="s">
        <f>=HYPERLINK("http://anyluxury.ru/shop/odezhda/futbolki-s-printom/futbolka-sklonniy-k-pobegat-belaya-7148160/" , "71481.60 Футболка «Склонный к побегать», белая, размер XXL")</f>
      </c>
      <c r="C17982" s="4" t="n">
        <v>950.00</v>
      </c>
      <c r="D17982" s="4"/>
    </row>
    <row collapsed="" customFormat="false" customHeight="" hidden="" ht="12.1" outlineLevel="0" r="17983">
      <c r="A17983" s="5" t="inlineStr">
        <is>
          <t> -  - Шарфы</t>
        </is>
      </c>
      <c r="B17983" s="6"/>
      <c r="C17983" s="6"/>
      <c r="D17983" s="6"/>
    </row>
    <row collapsed="" customFormat="false" customHeight="1" hidden="" ht="14" outlineLevel="0" r="17984">
      <c r="A17984" s="3" t="inlineStr">
        <is>
          <t>17937</t>
        </is>
      </c>
      <c r="B17984" s="4" t="s">
        <f>=HYPERLINK("http://anyluxury.ru/shop/odezhda/sharfy/shapkasharf-s-utyazhkoy-blizzard-chernaya-662130/" , "6621.30 Шапка-шарф с утяжкой Blizzard, черная")</f>
      </c>
      <c r="C17984" s="4" t="n">
        <v>524.00</v>
      </c>
      <c r="D17984" s="4"/>
    </row>
    <row collapsed="" customFormat="false" customHeight="1" hidden="" ht="14" outlineLevel="0" r="17985">
      <c r="A17985" s="3" t="inlineStr">
        <is>
          <t>17938</t>
        </is>
      </c>
      <c r="B17985" s="4" t="s">
        <f>=HYPERLINK("http://anyluxury.ru/shop/odezhda/sharfy/palantin-classic-krasniy-z475550/" , "Z4755.50 Палантин Classic, красный")</f>
      </c>
      <c r="C17985" s="4" t="n">
        <v>4979.00</v>
      </c>
      <c r="D17985" s="4"/>
    </row>
    <row collapsed="" customFormat="false" customHeight="1" hidden="" ht="14" outlineLevel="0" r="17986">
      <c r="A17986" s="3" t="inlineStr">
        <is>
          <t>17939</t>
        </is>
      </c>
      <c r="B17986" s="4" t="s">
        <f>=HYPERLINK("http://anyluxury.ru/shop/odezhda/sharfy/sharf-best-yarkosiniy-673344/" , "6733.44 Шарф Best, ярко-синий")</f>
      </c>
      <c r="C17986" s="4" t="n">
        <v>255.00</v>
      </c>
      <c r="D17986" s="4"/>
    </row>
    <row collapsed="" customFormat="false" customHeight="1" hidden="" ht="14" outlineLevel="0" r="17987">
      <c r="A17987" s="3" t="inlineStr">
        <is>
          <t>17940</t>
        </is>
      </c>
      <c r="B17987" s="4" t="s">
        <f>=HYPERLINK("http://anyluxury.ru/shop/odezhda/sharfy/sharfsnud-caffelatte-3049/" , "3049 Шарф-снуд Caffelatte")</f>
      </c>
      <c r="C17987" s="4" t="n">
        <v>4377.00</v>
      </c>
      <c r="D17987" s="4"/>
    </row>
    <row collapsed="" customFormat="false" customHeight="1" hidden="" ht="14" outlineLevel="0" r="17988">
      <c r="A17988" s="3" t="inlineStr">
        <is>
          <t>17941</t>
        </is>
      </c>
      <c r="B17988" s="4" t="s">
        <f>=HYPERLINK("http://anyluxury.ru/shop/odezhda/sharfy/sharf-bristol-svetlobezheviy-z3619211/" , "Z36192.11 Шарф Bristol, светло-бежевый")</f>
      </c>
      <c r="C17988" s="4" t="n">
        <v>2449.00</v>
      </c>
      <c r="D17988" s="4"/>
    </row>
    <row collapsed="" customFormat="false" customHeight="1" hidden="" ht="14" outlineLevel="0" r="17989">
      <c r="A17989" s="3" t="inlineStr">
        <is>
          <t>17942</t>
        </is>
      </c>
      <c r="B17989" s="4" t="s">
        <f>=HYPERLINK("http://anyluxury.ru/shop/odezhda/sharfy/sharf-bristol-v-plastikovoy-korobke-siniy-z3619740/" , "Z36197.40 Шарф Bristol в пластиковой коробке, синий")</f>
      </c>
      <c r="C17989" s="4" t="n">
        <v>2330.00</v>
      </c>
      <c r="D17989" s="4"/>
    </row>
    <row collapsed="" customFormat="false" customHeight="1" hidden="" ht="14" outlineLevel="0" r="17990">
      <c r="A17990" s="3" t="inlineStr">
        <is>
          <t>17943</t>
        </is>
      </c>
      <c r="B17990" s="4" t="s">
        <f>=HYPERLINK("http://anyluxury.ru/shop/odezhda/sharfy/sharf-siver-krasniy-685650/" , "6856.50 Шарф Siver, красный")</f>
      </c>
      <c r="C17990" s="4" t="n">
        <v>468.00</v>
      </c>
      <c r="D17990" s="4"/>
    </row>
    <row collapsed="" customFormat="false" customHeight="1" hidden="" ht="14" outlineLevel="0" r="17991">
      <c r="A17991" s="3" t="inlineStr">
        <is>
          <t>17944</t>
        </is>
      </c>
      <c r="B17991" s="4" t="s">
        <f>=HYPERLINK("http://anyluxury.ru/shop/odezhda/sharfy/sharf-siver-yarkosiniy-685640/" , "6856.40 Шарф Siver, ярко-синий")</f>
      </c>
      <c r="C17991" s="4" t="n">
        <v>468.00</v>
      </c>
      <c r="D17991" s="4"/>
    </row>
    <row collapsed="" customFormat="false" customHeight="1" hidden="" ht="14" outlineLevel="0" r="17992">
      <c r="A17992" s="3" t="inlineStr">
        <is>
          <t>17945</t>
        </is>
      </c>
      <c r="B17992" s="4" t="s">
        <f>=HYPERLINK("http://anyluxury.ru/shop/odezhda/sharfy/sharf-siver-seriy-685610/" , "6856.10 Шарф Siver, серый")</f>
      </c>
      <c r="C17992" s="4" t="n">
        <v>468.00</v>
      </c>
      <c r="D17992" s="4"/>
    </row>
    <row collapsed="" customFormat="false" customHeight="1" hidden="" ht="14" outlineLevel="0" r="17993">
      <c r="A17993" s="3" t="inlineStr">
        <is>
          <t>17946</t>
        </is>
      </c>
      <c r="B17993" s="4" t="s">
        <f>=HYPERLINK("http://anyluxury.ru/shop/odezhda/sharfy/sharf-siver-beliy-685660/" , "6856.60 Шарф Siver, белый")</f>
      </c>
      <c r="C17993" s="4" t="n">
        <v>468.00</v>
      </c>
      <c r="D17993" s="4"/>
    </row>
    <row collapsed="" customFormat="false" customHeight="1" hidden="" ht="14" outlineLevel="0" r="17994">
      <c r="A17994" s="3" t="inlineStr">
        <is>
          <t>17947</t>
        </is>
      </c>
      <c r="B17994" s="4" t="s">
        <f>=HYPERLINK("http://anyluxury.ru/shop/odezhda/sharfy/snud-brugge-molochnobeliy-704060/" , "7040.60 Снуд Brugge, молочно-белый")</f>
      </c>
      <c r="C17994" s="4" t="n">
        <v>1453.00</v>
      </c>
      <c r="D17994" s="4"/>
    </row>
    <row collapsed="" customFormat="false" customHeight="1" hidden="" ht="14" outlineLevel="0" r="17995">
      <c r="A17995" s="3" t="inlineStr">
        <is>
          <t>17948</t>
        </is>
      </c>
      <c r="B17995" s="4" t="s">
        <f>=HYPERLINK("http://anyluxury.ru/shop/odezhda/sharfy/snud-brugge-goluboy-704014/" , "7040.14 Снуд Brugge, голубой")</f>
      </c>
      <c r="C17995" s="4" t="n">
        <v>1453.00</v>
      </c>
      <c r="D17995" s="4"/>
    </row>
    <row collapsed="" customFormat="false" customHeight="1" hidden="" ht="14" outlineLevel="0" r="17996">
      <c r="A17996" s="3" t="inlineStr">
        <is>
          <t>17949</t>
        </is>
      </c>
      <c r="B17996" s="4" t="s">
        <f>=HYPERLINK("http://anyluxury.ru/shop/odezhda/sharfy/snud-brugge-bordoviy-704055/" , "7040.55 Снуд Brugge, бордовый")</f>
      </c>
      <c r="C17996" s="4" t="n">
        <v>1453.00</v>
      </c>
      <c r="D17996" s="4"/>
    </row>
    <row collapsed="" customFormat="false" customHeight="1" hidden="" ht="14" outlineLevel="0" r="17997">
      <c r="A17997" s="3" t="inlineStr">
        <is>
          <t>17950</t>
        </is>
      </c>
      <c r="B17997" s="4" t="s">
        <f>=HYPERLINK("http://anyluxury.ru/shop/odezhda/sharfy/snud-brugge-zeleniy-704090/" , "7040.90 Снуд Brugge, зеленый")</f>
      </c>
      <c r="C17997" s="4" t="n">
        <v>1453.00</v>
      </c>
      <c r="D17997" s="4"/>
    </row>
    <row collapsed="" customFormat="false" customHeight="1" hidden="" ht="14" outlineLevel="0" r="17998">
      <c r="A17998" s="3" t="inlineStr">
        <is>
          <t>17951</t>
        </is>
      </c>
      <c r="B17998" s="4" t="s">
        <f>=HYPERLINK("http://anyluxury.ru/shop/odezhda/sharfy/sharf-happy-view-krasniy-s-zelenim-797485/" , "7974.85 Шарф Happy View, красный с зеленым")</f>
      </c>
      <c r="C17998" s="4" t="n">
        <v>1487.00</v>
      </c>
      <c r="D17998" s="4"/>
    </row>
    <row collapsed="" customFormat="false" customHeight="1" hidden="" ht="14" outlineLevel="0" r="17999">
      <c r="A17999" s="3" t="inlineStr">
        <is>
          <t>17952</t>
        </is>
      </c>
      <c r="B17999" s="4" t="s">
        <f>=HYPERLINK("http://anyluxury.ru/shop/odezhda/sharfy/sharf-stout-seriy-melanzh-798210/" , "7982.10 Шарф Stout, серый меланж")</f>
      </c>
      <c r="C17999" s="4" t="n">
        <v>2150.00</v>
      </c>
      <c r="D17999" s="4"/>
    </row>
    <row collapsed="" customFormat="false" customHeight="1" hidden="" ht="14" outlineLevel="0" r="18000">
      <c r="A18000" s="3" t="inlineStr">
        <is>
          <t>17953</t>
        </is>
      </c>
      <c r="B18000" s="4" t="s">
        <f>=HYPERLINK("http://anyluxury.ru/shop/odezhda/sharfy/sharf-stout-krasniy-798250/" , "7982.50 Шарф Stout, красный")</f>
      </c>
      <c r="C18000" s="4" t="n">
        <v>2150.00</v>
      </c>
      <c r="D18000" s="4"/>
    </row>
    <row collapsed="" customFormat="false" customHeight="1" hidden="" ht="14" outlineLevel="0" r="18001">
      <c r="A18001" s="3" t="inlineStr">
        <is>
          <t>17954</t>
        </is>
      </c>
      <c r="B18001" s="4" t="s">
        <f>=HYPERLINK("http://anyluxury.ru/shop/odezhda/sharfy/sharf-stout-molochniy-798260/" , "7982.60 Шарф Stout, молочно-белый")</f>
      </c>
      <c r="C18001" s="4" t="n">
        <v>2150.00</v>
      </c>
      <c r="D18001" s="4"/>
    </row>
    <row collapsed="" customFormat="false" customHeight="1" hidden="" ht="14" outlineLevel="0" r="18002">
      <c r="A18002" s="3" t="inlineStr">
        <is>
          <t>17955</t>
        </is>
      </c>
      <c r="B18002" s="4" t="s">
        <f>=HYPERLINK("http://anyluxury.ru/shop/odezhda/sharfy/sharf-stout-zeleniy-798290/" , "7982.90 Шарф Stout, зеленый")</f>
      </c>
      <c r="C18002" s="4" t="n">
        <v>2150.00</v>
      </c>
      <c r="D18002" s="4"/>
    </row>
    <row collapsed="" customFormat="false" customHeight="1" hidden="" ht="14" outlineLevel="0" r="18003">
      <c r="A18003" s="3" t="inlineStr">
        <is>
          <t>17956</t>
        </is>
      </c>
      <c r="B18003" s="4" t="s">
        <f>=HYPERLINK("http://anyluxury.ru/shop/odezhda/sharfy/sharf-nordkyn-seriy-1045111/" , "10451.11 Шарф Nordkyn, серый")</f>
      </c>
      <c r="C18003" s="4" t="n">
        <v>1392.00</v>
      </c>
      <c r="D18003" s="4"/>
    </row>
    <row collapsed="" customFormat="false" customHeight="1" hidden="" ht="14" outlineLevel="0" r="18004">
      <c r="A18004" s="3" t="inlineStr">
        <is>
          <t>17957</t>
        </is>
      </c>
      <c r="B18004" s="4" t="s">
        <f>=HYPERLINK("http://anyluxury.ru/shop/odezhda/sharfy/sharf-nordkyn-bezheviy-1045110/" , "10451.10 Шарф Nordkyn, бежевый")</f>
      </c>
      <c r="C18004" s="4" t="n">
        <v>1392.00</v>
      </c>
      <c r="D18004" s="4"/>
    </row>
    <row collapsed="" customFormat="false" customHeight="1" hidden="" ht="14" outlineLevel="0" r="18005">
      <c r="A18005" s="3" t="inlineStr">
        <is>
          <t>17958</t>
        </is>
      </c>
      <c r="B18005" s="4" t="s">
        <f>=HYPERLINK("http://anyluxury.ru/shop/odezhda/sharfy/sharf-nordkyn-krasniy-1045150/" , "10451.50 Шарф Nordkyn, красный")</f>
      </c>
      <c r="C18005" s="4" t="n">
        <v>1392.00</v>
      </c>
      <c r="D18005" s="4"/>
    </row>
    <row collapsed="" customFormat="false" customHeight="1" hidden="" ht="14" outlineLevel="0" r="18006">
      <c r="A18006" s="3" t="inlineStr">
        <is>
          <t>17959</t>
        </is>
      </c>
      <c r="B18006" s="4" t="s">
        <f>=HYPERLINK("http://anyluxury.ru/shop/odezhda/sharfy/sharf-nordkyn-siniy-1045140/" , "10451.40 Шарф Nordkyn, темно-синий")</f>
      </c>
      <c r="C18006" s="4" t="n">
        <v>1392.00</v>
      </c>
      <c r="D18006" s="4"/>
    </row>
    <row collapsed="" customFormat="false" customHeight="1" hidden="" ht="14" outlineLevel="0" r="18007">
      <c r="A18007" s="3" t="inlineStr">
        <is>
          <t>17960</t>
        </is>
      </c>
      <c r="B18007" s="4" t="s">
        <f>=HYPERLINK("http://anyluxury.ru/shop/odezhda/sharfy/sharf-nordkyn-molochnobeliy-1045160/" , "10451.60 Шарф Nordkyn, молочно-белый")</f>
      </c>
      <c r="C18007" s="4" t="n">
        <v>1392.00</v>
      </c>
      <c r="D18007" s="4"/>
    </row>
    <row collapsed="" customFormat="false" customHeight="1" hidden="" ht="14" outlineLevel="0" r="18008">
      <c r="A18008" s="3" t="inlineStr">
        <is>
          <t>17961</t>
        </is>
      </c>
      <c r="B18008" s="4" t="s">
        <f>=HYPERLINK("http://anyluxury.ru/shop/odezhda/sharfy/sharf-stout-cherniy-798230/" , "7982.30 Шарф Stout, черный")</f>
      </c>
      <c r="C18008" s="4" t="n">
        <v>2150.00</v>
      </c>
      <c r="D18008" s="4"/>
    </row>
    <row collapsed="" customFormat="false" customHeight="1" hidden="" ht="14" outlineLevel="0" r="18009">
      <c r="A18009" s="3" t="inlineStr">
        <is>
          <t>17962</t>
        </is>
      </c>
      <c r="B18009" s="4" t="s">
        <f>=HYPERLINK("http://anyluxury.ru/shop/odezhda/sharfy/snud-fargo-bordoviy-1079355/" , "10793.55 Снуд Fargo, бордовый")</f>
      </c>
      <c r="C18009" s="4" t="n">
        <v>1190.00</v>
      </c>
      <c r="D18009" s="4"/>
    </row>
    <row collapsed="" customFormat="false" customHeight="1" hidden="" ht="14" outlineLevel="0" r="18010">
      <c r="A18010" s="3" t="inlineStr">
        <is>
          <t>17963</t>
        </is>
      </c>
      <c r="B18010" s="4" t="s">
        <f>=HYPERLINK("http://anyluxury.ru/shop/odezhda/sharfy/sharf-graceful-krasniy-1589753/" , "15897.53 Шарф Graceful, красный")</f>
      </c>
      <c r="C18010" s="4" t="n">
        <v>5109.00</v>
      </c>
      <c r="D18010" s="4"/>
    </row>
    <row collapsed="" customFormat="false" customHeight="1" hidden="" ht="14" outlineLevel="0" r="18011">
      <c r="A18011" s="3" t="inlineStr">
        <is>
          <t>17964</t>
        </is>
      </c>
      <c r="B18011" s="4" t="s">
        <f>=HYPERLINK("http://anyluxury.ru/shop/odezhda/sharfy/sharf-graceful-bordoviy-1589756/" , "15897.56 Шарф Graceful, бордовый")</f>
      </c>
      <c r="C18011" s="4" t="n">
        <v>5109.00</v>
      </c>
      <c r="D18011" s="4"/>
    </row>
    <row collapsed="" customFormat="false" customHeight="1" hidden="" ht="14" outlineLevel="0" r="18012">
      <c r="A18012" s="3" t="inlineStr">
        <is>
          <t>17965</t>
        </is>
      </c>
      <c r="B18012" s="4" t="s">
        <f>=HYPERLINK("http://anyluxury.ru/shop/odezhda/sharfy/sharf-graceful-bezheviy-1589716/" , "15897.16 Шарф Graceful, бежевый")</f>
      </c>
      <c r="C18012" s="4" t="n">
        <v>5109.00</v>
      </c>
      <c r="D18012" s="4"/>
    </row>
    <row collapsed="" customFormat="false" customHeight="1" hidden="" ht="14" outlineLevel="0" r="18013">
      <c r="A18013" s="3" t="inlineStr">
        <is>
          <t>17966</t>
        </is>
      </c>
      <c r="B18013" s="4" t="s">
        <f>=HYPERLINK("http://anyluxury.ru/shop/odezhda/sharfy/sharf-graceful-zeleniy-olivkoviy-1589790/" , "15897.90 Шарф Graceful, зеленый (оливковый)")</f>
      </c>
      <c r="C18013" s="4" t="n">
        <v>4685.00</v>
      </c>
      <c r="D18013" s="4"/>
    </row>
    <row collapsed="" customFormat="false" customHeight="1" hidden="" ht="14" outlineLevel="0" r="18014">
      <c r="A18014" s="3" t="inlineStr">
        <is>
          <t>17967</t>
        </is>
      </c>
      <c r="B18014" s="4" t="s">
        <f>=HYPERLINK("http://anyluxury.ru/shop/odezhda/sharfy/sharf-graceful-seriy-1589713/" , "15897.13 Шарф Graceful, серый")</f>
      </c>
      <c r="C18014" s="4" t="n">
        <v>5109.00</v>
      </c>
      <c r="D18014" s="4"/>
    </row>
    <row collapsed="" customFormat="false" customHeight="1" hidden="" ht="14" outlineLevel="0" r="18015">
      <c r="A18015" s="3" t="inlineStr">
        <is>
          <t>17968</t>
        </is>
      </c>
      <c r="B18015" s="4" t="s">
        <f>=HYPERLINK("http://anyluxury.ru/shop/odezhda/sharfy/sharf-graceful-siniy-1589740/" , "15897.40 Шарф Graceful, синий")</f>
      </c>
      <c r="C18015" s="4" t="n">
        <v>5109.00</v>
      </c>
      <c r="D18015" s="4"/>
    </row>
    <row collapsed="" customFormat="false" customHeight="1" hidden="" ht="14" outlineLevel="0" r="18016">
      <c r="A18016" s="3" t="inlineStr">
        <is>
          <t>17969</t>
        </is>
      </c>
      <c r="B18016" s="4" t="s">
        <f>=HYPERLINK("http://anyluxury.ru/shop/odezhda/sharfy/sharf-noble-bordoviy-1589856/" , "15898.56 Шарф Noble, бордовый")</f>
      </c>
      <c r="C18016" s="4" t="n">
        <v>3851.00</v>
      </c>
      <c r="D18016" s="4"/>
    </row>
    <row collapsed="" customFormat="false" customHeight="1" hidden="" ht="14" outlineLevel="0" r="18017">
      <c r="A18017" s="3" t="inlineStr">
        <is>
          <t>17970</t>
        </is>
      </c>
      <c r="B18017" s="4" t="s">
        <f>=HYPERLINK("http://anyluxury.ru/shop/odezhda/sharfy/sharf-noble-bezheviy-1589816/" , "15898.16 Шарф Noble, бежевый")</f>
      </c>
      <c r="C18017" s="4" t="n">
        <v>3851.00</v>
      </c>
      <c r="D18017" s="4"/>
    </row>
    <row collapsed="" customFormat="false" customHeight="1" hidden="" ht="14" outlineLevel="0" r="18018">
      <c r="A18018" s="3" t="inlineStr">
        <is>
          <t>17971</t>
        </is>
      </c>
      <c r="B18018" s="4" t="s">
        <f>=HYPERLINK("http://anyluxury.ru/shop/odezhda/sharfy/palantin-gorgeous-goluboy-1589941/" , "15899.41 Палантин Gorgeous, голубой")</f>
      </c>
      <c r="C18018" s="4" t="n">
        <v>6120.00</v>
      </c>
      <c r="D18018" s="4"/>
    </row>
    <row collapsed="" customFormat="false" customHeight="1" hidden="" ht="14" outlineLevel="0" r="18019">
      <c r="A18019" s="3" t="inlineStr">
        <is>
          <t>17972</t>
        </is>
      </c>
      <c r="B18019" s="4" t="s">
        <f>=HYPERLINK("http://anyluxury.ru/shop/odezhda/sharfy/sharf-noble-cherniy-1589831/" , "15898.31 Шарф Noble, черный")</f>
      </c>
      <c r="C18019" s="4" t="n">
        <v>3851.00</v>
      </c>
      <c r="D18019" s="4"/>
    </row>
    <row collapsed="" customFormat="false" customHeight="1" hidden="" ht="14" outlineLevel="0" r="18020">
      <c r="A18020" s="3" t="inlineStr">
        <is>
          <t>17973</t>
        </is>
      </c>
      <c r="B18020" s="4" t="s">
        <f>=HYPERLINK("http://anyluxury.ru/shop/odezhda/sharfy/sharf-noble-zeleniy-1589890/" , "15898.90 Шарф Noble, зеленый")</f>
      </c>
      <c r="C18020" s="4" t="n">
        <v>3851.00</v>
      </c>
      <c r="D18020" s="4"/>
    </row>
    <row collapsed="" customFormat="false" customHeight="1" hidden="" ht="14" outlineLevel="0" r="18021">
      <c r="A18021" s="3" t="inlineStr">
        <is>
          <t>17974</t>
        </is>
      </c>
      <c r="B18021" s="4" t="s">
        <f>=HYPERLINK("http://anyluxury.ru/shop/odezhda/sharfy/sharf-glenn-biryuzoviy-2054849/" , "20548.49 Шарф Glenn, бирюзовый")</f>
      </c>
      <c r="C18021" s="4" t="n">
        <v>1319.00</v>
      </c>
      <c r="D18021" s="4"/>
    </row>
    <row collapsed="" customFormat="false" customHeight="1" hidden="" ht="14" outlineLevel="0" r="18022">
      <c r="A18022" s="3" t="inlineStr">
        <is>
          <t>17975</t>
        </is>
      </c>
      <c r="B18022" s="4" t="s">
        <f>=HYPERLINK("http://anyluxury.ru/shop/odezhda/sharfy/sharf-glenn-zheltiy-2054888/" , "20548.88 Шарф Glenn, желтый")</f>
      </c>
      <c r="C18022" s="4" t="n">
        <v>1319.00</v>
      </c>
      <c r="D18022" s="4"/>
    </row>
    <row collapsed="" customFormat="false" customHeight="1" hidden="" ht="14" outlineLevel="0" r="18023">
      <c r="A18023" s="3" t="inlineStr">
        <is>
          <t>17976</t>
        </is>
      </c>
      <c r="B18023" s="4" t="s">
        <f>=HYPERLINK("http://anyluxury.ru/shop/odezhda/sharfy/sharf-glenn-rozoviy-2054856/" , "20548.56 Шарф Glenn, розовый")</f>
      </c>
      <c r="C18023" s="4" t="n">
        <v>880.00</v>
      </c>
      <c r="D18023" s="4"/>
    </row>
    <row collapsed="" customFormat="false" customHeight="1" hidden="" ht="14" outlineLevel="0" r="18024">
      <c r="A18024" s="3" t="inlineStr">
        <is>
          <t>17977</t>
        </is>
      </c>
      <c r="B18024" s="4" t="s">
        <f>=HYPERLINK("http://anyluxury.ru/shop/odezhda/sharfy/sharf-montmartre-seriy-cfe936h/" , "CFE936H Шарф Montmartre, серый")</f>
      </c>
      <c r="C18024" s="4" t="n">
        <v>11943.00</v>
      </c>
      <c r="D18024" s="4"/>
    </row>
    <row collapsed="" customFormat="false" customHeight="1" hidden="" ht="14" outlineLevel="0" r="18025">
      <c r="A18025" s="3" t="inlineStr">
        <is>
          <t>17978</t>
        </is>
      </c>
      <c r="B18025" s="4" t="s">
        <f>=HYPERLINK("http://anyluxury.ru/shop/odezhda/sharfy/sharf-tuilerie-goluboy-cfe837m/" , "CFE837M Шарф Tuilerie, голубой")</f>
      </c>
      <c r="C18025" s="4" t="n">
        <v>11583.00</v>
      </c>
      <c r="D18025" s="4"/>
    </row>
    <row collapsed="" customFormat="false" customHeight="1" hidden="" ht="14" outlineLevel="0" r="18026">
      <c r="A18026" s="3" t="inlineStr">
        <is>
          <t>17979</t>
        </is>
      </c>
      <c r="B18026" s="4" t="s">
        <f>=HYPERLINK("http://anyluxury.ru/shop/odezhda/sharfy/sharf-tuilerie-korichneviy-cfe837z/" , "CFE837Z Шарф Tuilerie, коричневый")</f>
      </c>
      <c r="C18026" s="4" t="n">
        <v>11583.00</v>
      </c>
      <c r="D18026" s="4"/>
    </row>
    <row collapsed="" customFormat="false" customHeight="1" hidden="" ht="14" outlineLevel="0" r="18027">
      <c r="A18027" s="3" t="inlineStr">
        <is>
          <t>17980</t>
        </is>
      </c>
      <c r="B18027" s="4" t="s">
        <f>=HYPERLINK("http://anyluxury.ru/shop/odezhda/sharfy/sharf-aurelia-gun-beliy-ufg818d/" , "UFG818D Шарф Aurelia Gun, белый")</f>
      </c>
      <c r="C18027" s="4" t="n">
        <v>9224.00</v>
      </c>
      <c r="D18027" s="4"/>
    </row>
    <row collapsed="" customFormat="false" customHeight="1" hidden="" ht="14" outlineLevel="0" r="18028">
      <c r="A18028" s="3" t="inlineStr">
        <is>
          <t>17981</t>
        </is>
      </c>
      <c r="B18028" s="4" t="s">
        <f>=HYPERLINK("http://anyluxury.ru/shop/odezhda/sharfy/sharf-life-explorer-yarkosiniy-1166044/" , "11660.44 Шарф Life Explorer, ярко-синий (василек)")</f>
      </c>
      <c r="C18028" s="4" t="n">
        <v>991.00</v>
      </c>
      <c r="D18028" s="4"/>
    </row>
    <row collapsed="" customFormat="false" customHeight="1" hidden="" ht="14" outlineLevel="0" r="18029">
      <c r="A18029" s="3" t="inlineStr">
        <is>
          <t>17982</t>
        </is>
      </c>
      <c r="B18029" s="4" t="s">
        <f>=HYPERLINK("http://anyluxury.ru/shop/odezhda/sharfy/sharf-life-explorer-fioletoviy-1166077/" , "11660.77 Шарф Life Explorer, фиолетовый")</f>
      </c>
      <c r="C18029" s="4" t="n">
        <v>991.00</v>
      </c>
      <c r="D18029" s="4"/>
    </row>
    <row collapsed="" customFormat="false" customHeight="1" hidden="" ht="14" outlineLevel="0" r="18030">
      <c r="A18030" s="3" t="inlineStr">
        <is>
          <t>17983</t>
        </is>
      </c>
      <c r="B18030" s="4" t="s">
        <f>=HYPERLINK("http://anyluxury.ru/shop/odezhda/sharfy/sharf-life-explorer-zheltiy-1166080/" , "11660.80 Шарф Life Explorer, желтый")</f>
      </c>
      <c r="C18030" s="4" t="n">
        <v>991.00</v>
      </c>
      <c r="D18030" s="4"/>
    </row>
    <row collapsed="" customFormat="false" customHeight="1" hidden="" ht="14" outlineLevel="0" r="18031">
      <c r="A18031" s="3" t="inlineStr">
        <is>
          <t>17984</t>
        </is>
      </c>
      <c r="B18031" s="4" t="s">
        <f>=HYPERLINK("http://anyluxury.ru/shop/odezhda/sharfy/sharf-life-explorer-zeleniy-1166090/" , "11660.90 Шарф Life Explorer, зеленый (салатовый)")</f>
      </c>
      <c r="C18031" s="4" t="n">
        <v>991.00</v>
      </c>
      <c r="D18031" s="4"/>
    </row>
    <row collapsed="" customFormat="false" customHeight="1" hidden="" ht="14" outlineLevel="0" r="18032">
      <c r="A18032" s="3" t="inlineStr">
        <is>
          <t>17985</t>
        </is>
      </c>
      <c r="B18032" s="4" t="s">
        <f>=HYPERLINK("http://anyluxury.ru/shop/odezhda/sharfy/sharf-heat-trick-svetloseriy-melanzh-1287610/" , "12876.10 Шарф Heat Trick, светло-серый меланж")</f>
      </c>
      <c r="C18032" s="4" t="n">
        <v>1359.00</v>
      </c>
      <c r="D18032" s="4"/>
    </row>
    <row collapsed="" customFormat="false" customHeight="1" hidden="" ht="14" outlineLevel="0" r="18033">
      <c r="A18033" s="3" t="inlineStr">
        <is>
          <t>17986</t>
        </is>
      </c>
      <c r="B18033" s="4" t="s">
        <f>=HYPERLINK("http://anyluxury.ru/shop/odezhda/sharfy/sharf-heat-trick-temnoseriy-melanzh-1287613/" , "12876.13 Шарф Heat Trick, серый меланж")</f>
      </c>
      <c r="C18033" s="4" t="n">
        <v>1359.00</v>
      </c>
      <c r="D18033" s="4"/>
    </row>
    <row collapsed="" customFormat="false" customHeight="1" hidden="" ht="14" outlineLevel="0" r="18034">
      <c r="A18034" s="3" t="inlineStr">
        <is>
          <t>17987</t>
        </is>
      </c>
      <c r="B18034" s="4" t="s">
        <f>=HYPERLINK("http://anyluxury.ru/shop/odezhda/sharfy/sharf-heat-trick-bezheviy-melanzh-1287616/" , "12876.16 Шарф Heat Trick, бежевый меланж")</f>
      </c>
      <c r="C18034" s="4" t="n">
        <v>1228.00</v>
      </c>
      <c r="D18034" s="4"/>
    </row>
    <row collapsed="" customFormat="false" customHeight="1" hidden="" ht="14" outlineLevel="0" r="18035">
      <c r="A18035" s="3" t="inlineStr">
        <is>
          <t>17988</t>
        </is>
      </c>
      <c r="B18035" s="4" t="s">
        <f>=HYPERLINK("http://anyluxury.ru/shop/odezhda/sharfy/sharf-heat-trick-cherniy-melanzh-1287630/" , "12876.30 Шарф Heat Trick, черный меланж")</f>
      </c>
      <c r="C18035" s="4" t="n">
        <v>1228.00</v>
      </c>
      <c r="D18035" s="4"/>
    </row>
    <row collapsed="" customFormat="false" customHeight="1" hidden="" ht="14" outlineLevel="0" r="18036">
      <c r="A18036" s="3" t="inlineStr">
        <is>
          <t>17989</t>
        </is>
      </c>
      <c r="B18036" s="4" t="s">
        <f>=HYPERLINK("http://anyluxury.ru/shop/odezhda/sharfy/sharf-heat-trick-siniy-melanzh-1287641/" , "12876.41 Шарф Heat Trick, синий меланж")</f>
      </c>
      <c r="C18036" s="4" t="n">
        <v>1359.00</v>
      </c>
      <c r="D18036" s="4"/>
    </row>
    <row collapsed="" customFormat="false" customHeight="1" hidden="" ht="14" outlineLevel="0" r="18037">
      <c r="A18037" s="3" t="inlineStr">
        <is>
          <t>17990</t>
        </is>
      </c>
      <c r="B18037" s="4" t="s">
        <f>=HYPERLINK("http://anyluxury.ru/shop/odezhda/sharfy/sharf-heat-trick-krasniy-1287650/" , "12876.50 Шарф Heat Trick, красный")</f>
      </c>
      <c r="C18037" s="4" t="n">
        <v>1359.00</v>
      </c>
      <c r="D18037" s="4"/>
    </row>
    <row collapsed="" customFormat="false" customHeight="1" hidden="" ht="14" outlineLevel="0" r="18038">
      <c r="A18038" s="3" t="inlineStr">
        <is>
          <t>17991</t>
        </is>
      </c>
      <c r="B18038" s="4" t="s">
        <f>=HYPERLINK("http://anyluxury.ru/shop/odezhda/sharfy/sharf-heat-trick-molochnobeliy-1287660/" , "12876.60 Шарф Heat Trick, молочно-белый")</f>
      </c>
      <c r="C18038" s="4" t="n">
        <v>1359.00</v>
      </c>
      <c r="D18038" s="4"/>
    </row>
    <row collapsed="" customFormat="false" customHeight="1" hidden="" ht="14" outlineLevel="0" r="18039">
      <c r="A18039" s="3" t="inlineStr">
        <is>
          <t>17992</t>
        </is>
      </c>
      <c r="B18039" s="4" t="s">
        <f>=HYPERLINK("http://anyluxury.ru/shop/odezhda/sharfy/sharf-glenn-cherniy-2054830/" , "20548.30 Шарф Glenn, черный")</f>
      </c>
      <c r="C18039" s="4" t="n">
        <v>1319.00</v>
      </c>
      <c r="D18039" s="4"/>
    </row>
    <row collapsed="" customFormat="false" customHeight="1" hidden="" ht="14" outlineLevel="0" r="18040">
      <c r="A18040" s="3" t="inlineStr">
        <is>
          <t>17993</t>
        </is>
      </c>
      <c r="B18040" s="4" t="s">
        <f>=HYPERLINK("http://anyluxury.ru/shop/odezhda/sharfy/sharf-real-talk-seriy-5480010/" , "54800.10 Шарф Real Talk, серый")</f>
      </c>
      <c r="C18040" s="4" t="n">
        <v>630.00</v>
      </c>
      <c r="D18040" s="4"/>
    </row>
    <row collapsed="" customFormat="false" customHeight="1" hidden="" ht="14" outlineLevel="0" r="18041">
      <c r="A18041" s="3" t="inlineStr">
        <is>
          <t>17994</t>
        </is>
      </c>
      <c r="B18041" s="4" t="s">
        <f>=HYPERLINK("http://anyluxury.ru/shop/odezhda/sharfy/sharf-real-talk-bezheviy-5480011/" , "54800.11 Шарф Real Talk, бежевый")</f>
      </c>
      <c r="C18041" s="4" t="n">
        <v>630.00</v>
      </c>
      <c r="D18041" s="4"/>
    </row>
    <row collapsed="" customFormat="false" customHeight="1" hidden="" ht="14" outlineLevel="0" r="18042">
      <c r="A18042" s="3" t="inlineStr">
        <is>
          <t>17995</t>
        </is>
      </c>
      <c r="B18042" s="4" t="s">
        <f>=HYPERLINK("http://anyluxury.ru/shop/odezhda/sharfy/sharf-real-talk-goluboy-5480014/" , "54800.14 Шарф Real Talk, голубой")</f>
      </c>
      <c r="C18042" s="4" t="n">
        <v>630.00</v>
      </c>
      <c r="D18042" s="4"/>
    </row>
    <row collapsed="" customFormat="false" customHeight="1" hidden="" ht="14" outlineLevel="0" r="18043">
      <c r="A18043" s="3" t="inlineStr">
        <is>
          <t>17996</t>
        </is>
      </c>
      <c r="B18043" s="4" t="s">
        <f>=HYPERLINK("http://anyluxury.ru/shop/odezhda/sharfy/sharf-real-talk-oranzheviy-5480020/" , "54800.20 Шарф Real Talk, оранжевый")</f>
      </c>
      <c r="C18043" s="4" t="n">
        <v>630.00</v>
      </c>
      <c r="D18043" s="4"/>
    </row>
    <row collapsed="" customFormat="false" customHeight="1" hidden="" ht="14" outlineLevel="0" r="18044">
      <c r="A18044" s="3" t="inlineStr">
        <is>
          <t>17997</t>
        </is>
      </c>
      <c r="B18044" s="4" t="s">
        <f>=HYPERLINK("http://anyluxury.ru/shop/odezhda/sharfy/sharf-real-talk-cherniy-5480030/" , "54800.30 Шарф Real Talk, черный")</f>
      </c>
      <c r="C18044" s="4" t="n">
        <v>630.00</v>
      </c>
      <c r="D18044" s="4"/>
    </row>
    <row collapsed="" customFormat="false" customHeight="1" hidden="" ht="14" outlineLevel="0" r="18045">
      <c r="A18045" s="3" t="inlineStr">
        <is>
          <t>17998</t>
        </is>
      </c>
      <c r="B18045" s="4" t="s">
        <f>=HYPERLINK("http://anyluxury.ru/shop/odezhda/sharfy/sharf-real-talk-siniy-5480040/" , "54800.40 Шарф Real Talk, синий")</f>
      </c>
      <c r="C18045" s="4" t="n">
        <v>630.00</v>
      </c>
      <c r="D18045" s="4"/>
    </row>
    <row collapsed="" customFormat="false" customHeight="1" hidden="" ht="14" outlineLevel="0" r="18046">
      <c r="A18046" s="3" t="inlineStr">
        <is>
          <t>17999</t>
        </is>
      </c>
      <c r="B18046" s="4" t="s">
        <f>=HYPERLINK("http://anyluxury.ru/shop/odezhda/sharfy/sharf-real-talk-temnosiniy-5480044/" , "54800.44 Шарф Real Talk, темно-синий")</f>
      </c>
      <c r="C18046" s="4" t="n">
        <v>630.00</v>
      </c>
      <c r="D18046" s="4"/>
    </row>
    <row collapsed="" customFormat="false" customHeight="1" hidden="" ht="14" outlineLevel="0" r="18047">
      <c r="A18047" s="3" t="inlineStr">
        <is>
          <t>18000</t>
        </is>
      </c>
      <c r="B18047" s="4" t="s">
        <f>=HYPERLINK("http://anyluxury.ru/shop/odezhda/sharfy/sharf-real-talk-gorchichniy-5480082/" , "54800.82 Шарф Real Talk, горчичный")</f>
      </c>
      <c r="C18047" s="4" t="n">
        <v>630.00</v>
      </c>
      <c r="D18047" s="4"/>
    </row>
    <row collapsed="" customFormat="false" customHeight="1" hidden="" ht="14" outlineLevel="0" r="18048">
      <c r="A18048" s="3" t="inlineStr">
        <is>
          <t>18001</t>
        </is>
      </c>
      <c r="B18048" s="4" t="s">
        <f>=HYPERLINK("http://anyluxury.ru/shop/odezhda/sharfy/sharf-nordkapp-seriy-1440211/" , "14402.11 Шарф Nordkapp, серый")</f>
      </c>
      <c r="C18048" s="4" t="n">
        <v>790.00</v>
      </c>
      <c r="D18048" s="4"/>
    </row>
    <row collapsed="" customFormat="false" customHeight="1" hidden="" ht="14" outlineLevel="0" r="18049">
      <c r="A18049" s="3" t="inlineStr">
        <is>
          <t>18002</t>
        </is>
      </c>
      <c r="B18049" s="4" t="s">
        <f>=HYPERLINK("http://anyluxury.ru/shop/odezhda/sharfy/sharf-nordkapp-cherniy-1440230/" , "14402.30 Шарф Nordkapp, черный")</f>
      </c>
      <c r="C18049" s="4" t="n">
        <v>790.00</v>
      </c>
      <c r="D18049" s="4"/>
    </row>
    <row collapsed="" customFormat="false" customHeight="1" hidden="" ht="14" outlineLevel="0" r="18050">
      <c r="A18050" s="3" t="inlineStr">
        <is>
          <t>18003</t>
        </is>
      </c>
      <c r="B18050" s="4" t="s">
        <f>=HYPERLINK("http://anyluxury.ru/shop/odezhda/sharfy/sharf-nordkapp-temnosiniy-1440240/" , "14402.40 Шарф Nordkapp, темно-синий")</f>
      </c>
      <c r="C18050" s="4" t="n">
        <v>790.00</v>
      </c>
      <c r="D18050" s="4"/>
    </row>
    <row collapsed="" customFormat="false" customHeight="1" hidden="" ht="14" outlineLevel="0" r="18051">
      <c r="A18051" s="3" t="inlineStr">
        <is>
          <t>18004</t>
        </is>
      </c>
      <c r="B18051" s="4" t="s">
        <f>=HYPERLINK("http://anyluxury.ru/shop/odezhda/sharfy/sharf-nordkapp-yarkosiniy-1440244/" , "14402.44 Шарф Nordkapp, синий")</f>
      </c>
      <c r="C18051" s="4" t="n">
        <v>790.00</v>
      </c>
      <c r="D18051" s="4"/>
    </row>
    <row collapsed="" customFormat="false" customHeight="1" hidden="" ht="14" outlineLevel="0" r="18052">
      <c r="A18052" s="3" t="inlineStr">
        <is>
          <t>18005</t>
        </is>
      </c>
      <c r="B18052" s="4" t="s">
        <f>=HYPERLINK("http://anyluxury.ru/shop/odezhda/sharfy/sharf-nordkapp-krasniy-1440250/" , "14402.50 Шарф Nordkapp, красный")</f>
      </c>
      <c r="C18052" s="4" t="n">
        <v>790.00</v>
      </c>
      <c r="D18052" s="4"/>
    </row>
    <row collapsed="" customFormat="false" customHeight="1" hidden="" ht="14" outlineLevel="0" r="18053">
      <c r="A18053" s="3" t="inlineStr">
        <is>
          <t>18006</t>
        </is>
      </c>
      <c r="B18053" s="4" t="s">
        <f>=HYPERLINK("http://anyluxury.ru/shop/odezhda/sharfy/sharf-nordkapp-molochnobeliy-1440260/" , "14402.60 Шарф Nordkapp, молочно-белый")</f>
      </c>
      <c r="C18053" s="4" t="n">
        <v>790.00</v>
      </c>
      <c r="D18053" s="4"/>
    </row>
    <row collapsed="" customFormat="false" customHeight="1" hidden="" ht="14" outlineLevel="0" r="18054">
      <c r="A18054" s="3" t="inlineStr">
        <is>
          <t>18007</t>
        </is>
      </c>
      <c r="B18054" s="4" t="s">
        <f>=HYPERLINK("http://anyluxury.ru/shop/odezhda/sharfy/sharf-lima-cherniy-4115330/" , "41153.30 Шарф Lima, черный")</f>
      </c>
      <c r="C18054" s="4" t="n">
        <v>790.00</v>
      </c>
      <c r="D18054" s="4"/>
    </row>
    <row collapsed="" customFormat="false" customHeight="1" hidden="" ht="14" outlineLevel="0" r="18055">
      <c r="A18055" s="3" t="inlineStr">
        <is>
          <t>18008</t>
        </is>
      </c>
      <c r="B18055" s="4" t="s">
        <f>=HYPERLINK("http://anyluxury.ru/shop/odezhda/sharfy/sharf-lima-siniy-4115340/" , "41153.40 Шарф Lima, синий")</f>
      </c>
      <c r="C18055" s="4" t="n">
        <v>790.00</v>
      </c>
      <c r="D18055" s="4"/>
    </row>
    <row collapsed="" customFormat="false" customHeight="1" hidden="" ht="14" outlineLevel="0" r="18056">
      <c r="A18056" s="3" t="inlineStr">
        <is>
          <t>18009</t>
        </is>
      </c>
      <c r="B18056" s="4" t="s">
        <f>=HYPERLINK("http://anyluxury.ru/shop/odezhda/sharfy/sharf-eira-bordoviy-2021155/" , "20211.55 Шарф Eira, бордовый")</f>
      </c>
      <c r="C18056" s="4" t="n">
        <v>891.00</v>
      </c>
      <c r="D18056" s="4"/>
    </row>
    <row collapsed="" customFormat="false" customHeight="1" hidden="" ht="14" outlineLevel="0" r="18057">
      <c r="A18057" s="3" t="inlineStr">
        <is>
          <t>18010</t>
        </is>
      </c>
      <c r="B18057" s="4" t="s">
        <f>=HYPERLINK("http://anyluxury.ru/shop/odezhda/sharfy/sharf-eira-zeleniy-olivkoviy-2021190/" , "20211.90 Шарф Eira, зеленый (оливковый)")</f>
      </c>
      <c r="C18057" s="4" t="n">
        <v>891.00</v>
      </c>
      <c r="D18057" s="4"/>
    </row>
    <row collapsed="" customFormat="false" customHeight="1" hidden="" ht="14" outlineLevel="0" r="18058">
      <c r="A18058" s="3" t="inlineStr">
        <is>
          <t>18011</t>
        </is>
      </c>
      <c r="B18058" s="4" t="s">
        <f>=HYPERLINK("http://anyluxury.ru/shop/odezhda/sharfy/sharf-cordelia-bezheviy-1800400/" , "18004.00 Шарф Cordelia, бежевый")</f>
      </c>
      <c r="C18058" s="4" t="n">
        <v>3249.00</v>
      </c>
      <c r="D18058" s="4"/>
    </row>
    <row collapsed="" customFormat="false" customHeight="1" hidden="" ht="14" outlineLevel="0" r="18059">
      <c r="A18059" s="3" t="inlineStr">
        <is>
          <t>18012</t>
        </is>
      </c>
      <c r="B18059" s="4" t="s">
        <f>=HYPERLINK("http://anyluxury.ru/shop/odezhda/sharfy/sharf-cordelia-cherniy-1800430/" , "18004.30 Шарф Cordelia, черный")</f>
      </c>
      <c r="C18059" s="4" t="n">
        <v>3249.00</v>
      </c>
      <c r="D18059" s="4"/>
    </row>
    <row collapsed="" customFormat="false" customHeight="1" hidden="" ht="14" outlineLevel="0" r="18060">
      <c r="A18060" s="3" t="inlineStr">
        <is>
          <t>18013</t>
        </is>
      </c>
      <c r="B18060" s="4" t="s">
        <f>=HYPERLINK("http://anyluxury.ru/shop/odezhda/sharfy/sharf-cordelia-siniy-1800440/" , "18004.40 Шарф Cordelia, синий")</f>
      </c>
      <c r="C18060" s="4" t="n">
        <v>3249.00</v>
      </c>
      <c r="D18060" s="4"/>
    </row>
    <row collapsed="" customFormat="false" customHeight="1" hidden="" ht="14" outlineLevel="0" r="18061">
      <c r="A18061" s="3" t="inlineStr">
        <is>
          <t>18014</t>
        </is>
      </c>
      <c r="B18061" s="4" t="s">
        <f>=HYPERLINK("http://anyluxury.ru/shop/odezhda/sharfy/sharf-alpine-seriy-1800511/" , "18005.11 Шарф Alpine, серый")</f>
      </c>
      <c r="C18061" s="4" t="n">
        <v>3319.00</v>
      </c>
      <c r="D18061" s="4"/>
    </row>
    <row collapsed="" customFormat="false" customHeight="1" hidden="" ht="14" outlineLevel="0" r="18062">
      <c r="A18062" s="3" t="inlineStr">
        <is>
          <t>18015</t>
        </is>
      </c>
      <c r="B18062" s="4" t="s">
        <f>=HYPERLINK("http://anyluxury.ru/shop/odezhda/sharfy/sharf-alpine-siniy-1800540/" , "18005.40 Шарф Alpine, синий")</f>
      </c>
      <c r="C18062" s="4" t="n">
        <v>3319.00</v>
      </c>
      <c r="D18062" s="4"/>
    </row>
    <row collapsed="" customFormat="false" customHeight="1" hidden="" ht="14" outlineLevel="0" r="18063">
      <c r="A18063" s="3" t="inlineStr">
        <is>
          <t>18016</t>
        </is>
      </c>
      <c r="B18063" s="4" t="s">
        <f>=HYPERLINK("http://anyluxury.ru/shop/odezhda/sharfy/sharf-alpine-beliy-1800560/" , "18005.60 Шарф Alpine, белый")</f>
      </c>
      <c r="C18063" s="4" t="n">
        <v>3319.00</v>
      </c>
      <c r="D18063" s="4"/>
    </row>
    <row collapsed="" customFormat="false" customHeight="1" hidden="" ht="14" outlineLevel="0" r="18064">
      <c r="A18064" s="3" t="inlineStr">
        <is>
          <t>18017</t>
        </is>
      </c>
      <c r="B18064" s="4" t="s">
        <f>=HYPERLINK("http://anyluxury.ru/shop/odezhda/sharfy/sharf-life-explorer-rozoviy-1166015/" , "11660.15 Шарф Life Explorer, розовый")</f>
      </c>
      <c r="C18064" s="4" t="n">
        <v>991.00</v>
      </c>
      <c r="D18064" s="4"/>
    </row>
    <row collapsed="" customFormat="false" customHeight="1" hidden="" ht="14" outlineLevel="0" r="18065">
      <c r="A18065" s="3" t="inlineStr">
        <is>
          <t>18018</t>
        </is>
      </c>
      <c r="B18065" s="4" t="s">
        <f>=HYPERLINK("http://anyluxury.ru/shop/odezhda/sharfy/snud-vozduh-krasniy-1218655/" , "12186.55 Снуд Vozduh 1.0, красный")</f>
      </c>
      <c r="C18065" s="4" t="n">
        <v>980.00</v>
      </c>
      <c r="D18065" s="4"/>
    </row>
    <row collapsed="" customFormat="false" customHeight="1" hidden="" ht="14" outlineLevel="0" r="18066">
      <c r="A18066" s="3" t="inlineStr">
        <is>
          <t>18019</t>
        </is>
      </c>
      <c r="B18066" s="4" t="s">
        <f>=HYPERLINK("http://anyluxury.ru/shop/odezhda/sharfy/snud-vozduh-temnobiryuzoviy-1218642/" , "12186.42 Снуд Vozduh 1.0, темно-бирюзовый")</f>
      </c>
      <c r="C18066" s="4" t="n">
        <v>980.00</v>
      </c>
      <c r="D18066" s="4"/>
    </row>
    <row collapsed="" customFormat="false" customHeight="1" hidden="" ht="14" outlineLevel="0" r="18067">
      <c r="A18067" s="3" t="inlineStr">
        <is>
          <t>18020</t>
        </is>
      </c>
      <c r="B18067" s="4" t="s">
        <f>=HYPERLINK("http://anyluxury.ru/shop/odezhda/sharfy/sharf-nordkyn-siniy-melanzh-1045144/" , "10451.44 Шарф Nordkyn, синий меланж")</f>
      </c>
      <c r="C18067" s="4" t="n">
        <v>1392.00</v>
      </c>
      <c r="D18067" s="4"/>
    </row>
    <row collapsed="" customFormat="false" customHeight="1" hidden="" ht="14" outlineLevel="0" r="18068">
      <c r="A18068" s="3" t="inlineStr">
        <is>
          <t>18021</t>
        </is>
      </c>
      <c r="B18068" s="4" t="s">
        <f>=HYPERLINK("http://anyluxury.ru/shop/odezhda/sharfy/sharf-nordkyn-bordoviy-1045155/" , "10451.55 Шарф Nordkyn, бордовый")</f>
      </c>
      <c r="C18068" s="4" t="n">
        <v>1392.00</v>
      </c>
      <c r="D18068" s="4"/>
    </row>
    <row collapsed="" customFormat="false" customHeight="1" hidden="" ht="14" outlineLevel="0" r="18069">
      <c r="A18069" s="3" t="inlineStr">
        <is>
          <t>18022</t>
        </is>
      </c>
      <c r="B18069" s="4" t="s">
        <f>=HYPERLINK("http://anyluxury.ru/shop/odezhda/sharfy/sharf-nordkyn-zeleniy-olivkoviy-1045190/" , "10451.90 Шарф Nordkyn, зеленый (оливковый)")</f>
      </c>
      <c r="C18069" s="4" t="n">
        <v>1392.00</v>
      </c>
      <c r="D18069" s="4"/>
    </row>
    <row collapsed="" customFormat="false" customHeight="1" hidden="" ht="14" outlineLevel="0" r="18070">
      <c r="A18070" s="3" t="inlineStr">
        <is>
          <t>18023</t>
        </is>
      </c>
      <c r="B18070" s="4" t="s">
        <f>=HYPERLINK("http://anyluxury.ru/shop/odezhda/sharfy/sharf-onego-seriy-5300311/" , "53003.11 Шарф Onego, серый")</f>
      </c>
      <c r="C18070" s="4" t="n">
        <v>954.00</v>
      </c>
      <c r="D18070" s="4"/>
    </row>
    <row collapsed="" customFormat="false" customHeight="1" hidden="" ht="14" outlineLevel="0" r="18071">
      <c r="A18071" s="3" t="inlineStr">
        <is>
          <t>18024</t>
        </is>
      </c>
      <c r="B18071" s="4" t="s">
        <f>=HYPERLINK("http://anyluxury.ru/shop/odezhda/sharfy/sharf-snappy-temnoseriy-s-oranzhevim-7626221/" , "76262.21 Шарф Snappy, темно-серый с оранжевым")</f>
      </c>
      <c r="C18071" s="4" t="n">
        <v>792.00</v>
      </c>
      <c r="D18071" s="4"/>
    </row>
    <row collapsed="" customFormat="false" customHeight="1" hidden="" ht="14" outlineLevel="0" r="18072">
      <c r="A18072" s="3" t="inlineStr">
        <is>
          <t>18025</t>
        </is>
      </c>
      <c r="B18072" s="4" t="s">
        <f>=HYPERLINK("http://anyluxury.ru/shop/odezhda/sharfy/sharf-snappy-beliy-s-chernim-7626236/" , "76262.36 Шарф Snappy, белый с черным")</f>
      </c>
      <c r="C18072" s="4" t="n">
        <v>792.00</v>
      </c>
      <c r="D18072" s="4"/>
    </row>
    <row collapsed="" customFormat="false" customHeight="1" hidden="" ht="14" outlineLevel="0" r="18073">
      <c r="A18073" s="3" t="inlineStr">
        <is>
          <t>18026</t>
        </is>
      </c>
      <c r="B18073" s="4" t="s">
        <f>=HYPERLINK("http://anyluxury.ru/shop/odezhda/sharfy/sharf-snappy-fuksiya-s-sinim-7626245/" , "76262.45 Шарф Snappy, фуксия с синим")</f>
      </c>
      <c r="C18073" s="4" t="n">
        <v>792.00</v>
      </c>
      <c r="D18073" s="4"/>
    </row>
    <row collapsed="" customFormat="false" customHeight="1" hidden="" ht="14" outlineLevel="0" r="18074">
      <c r="A18074" s="3" t="inlineStr">
        <is>
          <t>18027</t>
        </is>
      </c>
      <c r="B18074" s="4" t="s">
        <f>=HYPERLINK("http://anyluxury.ru/shop/odezhda/sharfy/sharf-snappy-zheltiy-s-sinim-7626248/" , "76262.48 Шарф Snappy, желтый с синим")</f>
      </c>
      <c r="C18074" s="4" t="n">
        <v>792.00</v>
      </c>
      <c r="D18074" s="4"/>
    </row>
    <row collapsed="" customFormat="false" customHeight="1" hidden="" ht="14" outlineLevel="0" r="18075">
      <c r="A18075" s="3" t="inlineStr">
        <is>
          <t>18028</t>
        </is>
      </c>
      <c r="B18075" s="4" t="s">
        <f>=HYPERLINK("http://anyluxury.ru/shop/odezhda/sharfy/sharf-snappy-zeleniy-s-sinim-7626249/" , "76262.49 Шарф Snappy, зеленый с синим")</f>
      </c>
      <c r="C18075" s="4" t="n">
        <v>792.00</v>
      </c>
      <c r="D18075" s="4"/>
    </row>
    <row collapsed="" customFormat="false" customHeight="1" hidden="" ht="14" outlineLevel="0" r="18076">
      <c r="A18076" s="3" t="inlineStr">
        <is>
          <t>18029</t>
        </is>
      </c>
      <c r="B18076" s="4" t="s">
        <f>=HYPERLINK("http://anyluxury.ru/shop/odezhda/sharfy/sharf-snappy-zheltiy-s-krasnim-7626258/" , "76262.58 Шарф Snappy, желтый с красным")</f>
      </c>
      <c r="C18076" s="4" t="n">
        <v>792.00</v>
      </c>
      <c r="D18076" s="4"/>
    </row>
    <row collapsed="" customFormat="false" customHeight="1" hidden="" ht="14" outlineLevel="0" r="18077">
      <c r="A18077" s="3" t="inlineStr">
        <is>
          <t>18030</t>
        </is>
      </c>
      <c r="B18077" s="4" t="s">
        <f>=HYPERLINK("http://anyluxury.ru/shop/odezhda/sharfy/sharf-snappy-zeleniy-s-salatovim-7626299/" , "76262.99 Шарф Snappy, зеленый с салатовым")</f>
      </c>
      <c r="C18077" s="4" t="n">
        <v>792.00</v>
      </c>
      <c r="D18077" s="4"/>
    </row>
    <row collapsed="" customFormat="false" customHeight="1" hidden="" ht="14" outlineLevel="0" r="18078">
      <c r="A18078" s="3" t="inlineStr">
        <is>
          <t>18031</t>
        </is>
      </c>
      <c r="B18078" s="4" t="s">
        <f>=HYPERLINK("http://anyluxury.ru/shop/odezhda/sharfy/sharf-yong-oranzheviy-2051120/" , "20511.20 Шарф Yong, оранжевый")</f>
      </c>
      <c r="C18078" s="4" t="n">
        <v>590.00</v>
      </c>
      <c r="D18078" s="4"/>
    </row>
    <row collapsed="" customFormat="false" customHeight="1" hidden="" ht="14" outlineLevel="0" r="18079">
      <c r="A18079" s="3" t="inlineStr">
        <is>
          <t>18032</t>
        </is>
      </c>
      <c r="B18079" s="4" t="s">
        <f>=HYPERLINK("http://anyluxury.ru/shop/odezhda/sharfy/sharf-yong-cherniy-2051130/" , "20511.30 Шарф Yong, черный")</f>
      </c>
      <c r="C18079" s="4" t="n">
        <v>590.00</v>
      </c>
      <c r="D18079" s="4"/>
    </row>
    <row collapsed="" customFormat="false" customHeight="1" hidden="" ht="14" outlineLevel="0" r="18080">
      <c r="A18080" s="3" t="inlineStr">
        <is>
          <t>18033</t>
        </is>
      </c>
      <c r="B18080" s="4" t="s">
        <f>=HYPERLINK("http://anyluxury.ru/shop/odezhda/sharfy/sharf-yong-siniy-2051140/" , "20511.40 Шарф Yong, синий")</f>
      </c>
      <c r="C18080" s="4" t="n">
        <v>590.00</v>
      </c>
      <c r="D18080" s="4"/>
    </row>
    <row collapsed="" customFormat="false" customHeight="1" hidden="" ht="14" outlineLevel="0" r="18081">
      <c r="A18081" s="3" t="inlineStr">
        <is>
          <t>18034</t>
        </is>
      </c>
      <c r="B18081" s="4" t="s">
        <f>=HYPERLINK("http://anyluxury.ru/shop/odezhda/sharfy/sharf-yong-krasniy-2051150/" , "20511.50 Шарф Yong, красный (алый)")</f>
      </c>
      <c r="C18081" s="4" t="n">
        <v>590.00</v>
      </c>
      <c r="D18081" s="4"/>
    </row>
    <row collapsed="" customFormat="false" customHeight="1" hidden="" ht="14" outlineLevel="0" r="18082">
      <c r="A18082" s="3" t="inlineStr">
        <is>
          <t>18035</t>
        </is>
      </c>
      <c r="B18082" s="4" t="s">
        <f>=HYPERLINK("http://anyluxury.ru/shop/odezhda/sharfy/sharf-yong-fioletoviy-2051174/" , "20511.74 Шарф Yong, фиолетовый")</f>
      </c>
      <c r="C18082" s="4" t="n">
        <v>590.00</v>
      </c>
      <c r="D18082" s="4"/>
    </row>
    <row collapsed="" customFormat="false" customHeight="1" hidden="" ht="14" outlineLevel="0" r="18083">
      <c r="A18083" s="3" t="inlineStr">
        <is>
          <t>18036</t>
        </is>
      </c>
      <c r="B18083" s="4" t="s">
        <f>=HYPERLINK("http://anyluxury.ru/shop/odezhda/sharfy/sharf-yong-zheltiy-2051180/" , "20511.80 Шарф Yong, желтый")</f>
      </c>
      <c r="C18083" s="4" t="n">
        <v>590.00</v>
      </c>
      <c r="D18083" s="4"/>
    </row>
    <row collapsed="" customFormat="false" customHeight="1" hidden="" ht="14" outlineLevel="0" r="18084">
      <c r="A18084" s="3" t="inlineStr">
        <is>
          <t>18037</t>
        </is>
      </c>
      <c r="B18084" s="4" t="s">
        <f>=HYPERLINK("http://anyluxury.ru/shop/odezhda/sharfy/sharf-yong-zeleniy-salatoviy-2051190/" , "20511.90 Шарф Yong, светло-зеленый (салатовый)")</f>
      </c>
      <c r="C18084" s="4" t="n">
        <v>590.00</v>
      </c>
      <c r="D18084" s="4"/>
    </row>
    <row collapsed="" customFormat="false" customHeight="1" hidden="" ht="14" outlineLevel="0" r="18085">
      <c r="A18085" s="3" t="inlineStr">
        <is>
          <t>18038</t>
        </is>
      </c>
      <c r="B18085" s="4" t="s">
        <f>=HYPERLINK("http://anyluxury.ru/shop/odezhda/sharfy/sharf-na-zakaz-tricksy-classic-s-akril-1881701/" , "18817.01 Шарф на заказ Tricksy Classic Fint, S, акрил")</f>
      </c>
      <c r="C18085" s="4" t="n">
        <v>787.00</v>
      </c>
      <c r="D18085" s="4"/>
    </row>
    <row collapsed="" customFormat="false" customHeight="1" hidden="" ht="14" outlineLevel="0" r="18086">
      <c r="A18086" s="3" t="inlineStr">
        <is>
          <t>18039</t>
        </is>
      </c>
      <c r="B18086" s="4" t="s">
        <f>=HYPERLINK("http://anyluxury.ru/shop/odezhda/sharfy/sharf-na-zakaz-tricksy-classic-s-polusherst-1881702/" , "18817.02 Шарф на заказ Tricksy Classic Fint, S, полушерсть")</f>
      </c>
      <c r="C18086" s="4" t="n">
        <v>1024.00</v>
      </c>
      <c r="D18086" s="4"/>
    </row>
    <row collapsed="" customFormat="false" customHeight="1" hidden="" ht="14" outlineLevel="0" r="18087">
      <c r="A18087" s="3" t="inlineStr">
        <is>
          <t>18040</t>
        </is>
      </c>
      <c r="B18087" s="4" t="s">
        <f>=HYPERLINK("http://anyluxury.ru/shop/odezhda/sharfy/sharf-na-zakaz-tricksy-classic-m-akril-1881801/" , "18818.01 Шарф на заказ Tricksy Classic Fint, M, акрил")</f>
      </c>
      <c r="C18087" s="4" t="n">
        <v>1159.00</v>
      </c>
      <c r="D18087" s="4"/>
    </row>
    <row collapsed="" customFormat="false" customHeight="1" hidden="" ht="14" outlineLevel="0" r="18088">
      <c r="A18088" s="3" t="inlineStr">
        <is>
          <t>18041</t>
        </is>
      </c>
      <c r="B18088" s="4" t="s">
        <f>=HYPERLINK("http://anyluxury.ru/shop/odezhda/sharfy/sharf-na-zakaz-tricksy-classic-m-polusherst-1881802/" , "18818.02 Шарф на заказ Tricksy Classic Fint, M, полушерсть")</f>
      </c>
      <c r="C18088" s="4" t="n">
        <v>1434.00</v>
      </c>
      <c r="D18088" s="4"/>
    </row>
    <row collapsed="" customFormat="false" customHeight="1" hidden="" ht="14" outlineLevel="0" r="18089">
      <c r="A18089" s="3" t="inlineStr">
        <is>
          <t>18042</t>
        </is>
      </c>
      <c r="B18089" s="4" t="s">
        <f>=HYPERLINK("http://anyluxury.ru/shop/odezhda/sharfy/sharf-na-zakaz-tricksy-classic-l-akril-1881901/" , "18819.01 Шарф на заказ Tricksy Classic Fint, L")</f>
      </c>
      <c r="C18089" s="4" t="n">
        <v>1331.00</v>
      </c>
      <c r="D18089" s="4"/>
    </row>
    <row collapsed="" customFormat="false" customHeight="1" hidden="" ht="14" outlineLevel="0" r="18090">
      <c r="A18090" s="3" t="inlineStr">
        <is>
          <t>18043</t>
        </is>
      </c>
      <c r="B18090" s="4" t="s">
        <f>=HYPERLINK("http://anyluxury.ru/shop/odezhda/sharfy/sharf-na-zakaz-tricksy-classic-l-polusherst-1881902/" , "18819.02 Шарф на заказ Tricksy Classic Fint, L, полушерсть")</f>
      </c>
      <c r="C18090" s="4" t="n">
        <v>2066.00</v>
      </c>
      <c r="D18090" s="4"/>
    </row>
    <row collapsed="" customFormat="false" customHeight="1" hidden="" ht="14" outlineLevel="0" r="18091">
      <c r="A18091" s="3" t="inlineStr">
        <is>
          <t>18044</t>
        </is>
      </c>
      <c r="B18091" s="4" t="s">
        <f>=HYPERLINK("http://anyluxury.ru/shop/odezhda/sharfy/sharf-na-zakaz-tricksy-light-s-akril-1882101/" , "18821.01 Шарф на заказ Tricksy Light, S, акрил")</f>
      </c>
      <c r="C18091" s="4" t="n">
        <v>783.00</v>
      </c>
      <c r="D18091" s="4"/>
    </row>
    <row collapsed="" customFormat="false" customHeight="1" hidden="" ht="14" outlineLevel="0" r="18092">
      <c r="A18092" s="3" t="inlineStr">
        <is>
          <t>18045</t>
        </is>
      </c>
      <c r="B18092" s="4" t="s">
        <f>=HYPERLINK("http://anyluxury.ru/shop/odezhda/sharfy/sharf-na-zakaz-tricksy-light-s-polusherst-1882102/" , "18821.02 Шарф на заказ Tricksy Light, S, полушерсть")</f>
      </c>
      <c r="C18092" s="4" t="n">
        <v>911.00</v>
      </c>
      <c r="D18092" s="4"/>
    </row>
    <row collapsed="" customFormat="false" customHeight="1" hidden="" ht="14" outlineLevel="0" r="18093">
      <c r="A18093" s="3" t="inlineStr">
        <is>
          <t>18046</t>
        </is>
      </c>
      <c r="B18093" s="4" t="s">
        <f>=HYPERLINK("http://anyluxury.ru/shop/odezhda/sharfy/sharf-na-zakaz-tricksy-light-m-akril-1882201/" , "18822.01 Шарф на заказ Tricksy Light, M, акрил")</f>
      </c>
      <c r="C18093" s="4" t="n">
        <v>893.00</v>
      </c>
      <c r="D18093" s="4"/>
    </row>
    <row collapsed="" customFormat="false" customHeight="1" hidden="" ht="14" outlineLevel="0" r="18094">
      <c r="A18094" s="3" t="inlineStr">
        <is>
          <t>18047</t>
        </is>
      </c>
      <c r="B18094" s="4" t="s">
        <f>=HYPERLINK("http://anyluxury.ru/shop/odezhda/sharfy/sharf-na-zakaz-tricksy-light-m-polusherst-1882202/" , "18822.02 Шарф на заказ Tricksy Light, M, полушерсть")</f>
      </c>
      <c r="C18094" s="4" t="n">
        <v>1115.00</v>
      </c>
      <c r="D18094" s="4"/>
    </row>
    <row collapsed="" customFormat="false" customHeight="1" hidden="" ht="14" outlineLevel="0" r="18095">
      <c r="A18095" s="3" t="inlineStr">
        <is>
          <t>18048</t>
        </is>
      </c>
      <c r="B18095" s="4" t="s">
        <f>=HYPERLINK("http://anyluxury.ru/shop/odezhda/sharfy/sharf-na-zakaz-tricksy-light-xl-akril-1882301/" , "18823.01 Шарф на заказ Tricksy Light, XL, акрил")</f>
      </c>
      <c r="C18095" s="4" t="n">
        <v>1531.00</v>
      </c>
      <c r="D18095" s="4"/>
    </row>
    <row collapsed="" customFormat="false" customHeight="1" hidden="" ht="14" outlineLevel="0" r="18096">
      <c r="A18096" s="3" t="inlineStr">
        <is>
          <t>18049</t>
        </is>
      </c>
      <c r="B18096" s="4" t="s">
        <f>=HYPERLINK("http://anyluxury.ru/shop/odezhda/sharfy/sharf-na-zakaz-tricksy-terra-net-l-akril-1882401/" , "18824.01 Шарф на заказ Tricksy Terra Net, L, акрил")</f>
      </c>
      <c r="C18096" s="4" t="n">
        <v>938.00</v>
      </c>
      <c r="D18096" s="4"/>
    </row>
    <row collapsed="" customFormat="false" customHeight="1" hidden="" ht="14" outlineLevel="0" r="18097">
      <c r="A18097" s="3" t="inlineStr">
        <is>
          <t>18050</t>
        </is>
      </c>
      <c r="B18097" s="4" t="s">
        <f>=HYPERLINK("http://anyluxury.ru/shop/odezhda/sharfy/sharf-na-zakaz-tricksy-terra-net-l-polusherst-1882402/" , "18824.02 Шарф на заказ Tricksy Terra Net, L, полушерсть")</f>
      </c>
      <c r="C18097" s="4" t="n">
        <v>1334.00</v>
      </c>
      <c r="D18097" s="4"/>
    </row>
    <row collapsed="" customFormat="false" customHeight="1" hidden="" ht="14" outlineLevel="0" r="18098">
      <c r="A18098" s="3" t="inlineStr">
        <is>
          <t>18051</t>
        </is>
      </c>
      <c r="B18098" s="4" t="s">
        <f>=HYPERLINK("http://anyluxury.ru/shop/odezhda/sharfy/sharf-na-zakaz-tricksy-rand-s-akril-1883701/" , "18837.01 Шарф на заказ Tricksy Rand, S, акрил")</f>
      </c>
      <c r="C18098" s="4" t="n">
        <v>620.00</v>
      </c>
      <c r="D18098" s="4"/>
    </row>
    <row collapsed="" customFormat="false" customHeight="1" hidden="" ht="14" outlineLevel="0" r="18099">
      <c r="A18099" s="3" t="inlineStr">
        <is>
          <t>18052</t>
        </is>
      </c>
      <c r="B18099" s="4" t="s">
        <f>=HYPERLINK("http://anyluxury.ru/shop/odezhda/sharfy/sharf-na-zakaz-tricksy-rand-s-polusherst-1883702/" , "18837.02 Шарф на заказ Tricksy Rand, S, полушерсть")</f>
      </c>
      <c r="C18099" s="4" t="n">
        <v>895.00</v>
      </c>
      <c r="D18099" s="4"/>
    </row>
    <row collapsed="" customFormat="false" customHeight="1" hidden="" ht="14" outlineLevel="0" r="18100">
      <c r="A18100" s="3" t="inlineStr">
        <is>
          <t>18053</t>
        </is>
      </c>
      <c r="B18100" s="4" t="s">
        <f>=HYPERLINK("http://anyluxury.ru/shop/odezhda/sharfy/sharf-na-zakaz-tricksy-rand-m-akril-1883801/" , "18838.01 Шарф на заказ Tricksy Rand, M, акрил")</f>
      </c>
      <c r="C18100" s="4" t="n">
        <v>713.00</v>
      </c>
      <c r="D18100" s="4"/>
    </row>
    <row collapsed="" customFormat="false" customHeight="1" hidden="" ht="14" outlineLevel="0" r="18101">
      <c r="A18101" s="3" t="inlineStr">
        <is>
          <t>18054</t>
        </is>
      </c>
      <c r="B18101" s="4" t="s">
        <f>=HYPERLINK("http://anyluxury.ru/shop/odezhda/sharfy/sharf-na-zakaz-tricksy-rand-m-polusherst-1883802/" , "18838.02 Шарф на заказ Tricksy Rand, M, полушерсть")</f>
      </c>
      <c r="C18101" s="4" t="n">
        <v>928.00</v>
      </c>
      <c r="D18101" s="4"/>
    </row>
    <row collapsed="" customFormat="false" customHeight="1" hidden="" ht="14" outlineLevel="0" r="18102">
      <c r="A18102" s="3" t="inlineStr">
        <is>
          <t>18055</t>
        </is>
      </c>
      <c r="B18102" s="4" t="s">
        <f>=HYPERLINK("http://anyluxury.ru/shop/odezhda/sharfy/sharf-capris-seriy-2008411/" , "20084.11 Шарф Capris, серый")</f>
      </c>
      <c r="C18102" s="4" t="n">
        <v>3534.00</v>
      </c>
      <c r="D18102" s="4"/>
    </row>
    <row collapsed="" customFormat="false" customHeight="1" hidden="" ht="14" outlineLevel="0" r="18103">
      <c r="A18103" s="3" t="inlineStr">
        <is>
          <t>18056</t>
        </is>
      </c>
      <c r="B18103" s="4" t="s">
        <f>=HYPERLINK("http://anyluxury.ru/shop/odezhda/sharfy/sharf-capris-molochnobeliy-2008460/" , "20084.60 Шарф Capris, молочно-белый (ванильный)")</f>
      </c>
      <c r="C18103" s="4" t="n">
        <v>3534.00</v>
      </c>
      <c r="D18103" s="4"/>
    </row>
    <row collapsed="" customFormat="false" customHeight="1" hidden="" ht="14" outlineLevel="0" r="18104">
      <c r="A18104" s="3" t="inlineStr">
        <is>
          <t>18057</t>
        </is>
      </c>
      <c r="B18104" s="4" t="s">
        <f>=HYPERLINK("http://anyluxury.ru/shop/odezhda/sharfy/sharf-capris-zheltiy-2008480/" , "20084.80 Шарф Capris, желтый")</f>
      </c>
      <c r="C18104" s="4" t="n">
        <v>3504.00</v>
      </c>
      <c r="D18104" s="4"/>
    </row>
    <row collapsed="" customFormat="false" customHeight="1" hidden="" ht="14" outlineLevel="0" r="18105">
      <c r="A18105" s="3" t="inlineStr">
        <is>
          <t>18058</t>
        </is>
      </c>
      <c r="B18105" s="4" t="s">
        <f>=HYPERLINK("http://anyluxury.ru/shop/odezhda/sharfy/sharf-bernard-temnosiniy-2008644/" , "20086.44 Шарф Bernard, темно-синий")</f>
      </c>
      <c r="C18105" s="4" t="n">
        <v>2390.00</v>
      </c>
      <c r="D18105" s="4"/>
    </row>
    <row collapsed="" customFormat="false" customHeight="1" hidden="" ht="14" outlineLevel="0" r="18106">
      <c r="A18106" s="3" t="inlineStr">
        <is>
          <t>18059</t>
        </is>
      </c>
      <c r="B18106" s="4" t="s">
        <f>=HYPERLINK("http://anyluxury.ru/shop/odezhda/sharfy/sharf-bernard-korichneviy-terrakota-2008655/" , "20086.55 Шарф Bernard, коричневый (терракота)")</f>
      </c>
      <c r="C18106" s="4" t="n">
        <v>2390.00</v>
      </c>
      <c r="D18106" s="4"/>
    </row>
    <row collapsed="" customFormat="false" customHeight="1" hidden="" ht="14" outlineLevel="0" r="18107">
      <c r="A18107" s="3" t="inlineStr">
        <is>
          <t>18060</t>
        </is>
      </c>
      <c r="B18107" s="4" t="s">
        <f>=HYPERLINK("http://anyluxury.ru/shop/odezhda/sharfy/sharf-bernard-molochnobeliy-2008660/" , "20086.60 Шарф Bernard, молочно-белый")</f>
      </c>
      <c r="C18107" s="4" t="n">
        <v>2390.00</v>
      </c>
      <c r="D18107" s="4"/>
    </row>
    <row collapsed="" customFormat="false" customHeight="1" hidden="" ht="14" outlineLevel="0" r="18108">
      <c r="A18108" s="3" t="inlineStr">
        <is>
          <t>18061</t>
        </is>
      </c>
      <c r="B18108" s="4" t="s">
        <f>=HYPERLINK("http://anyluxury.ru/shop/odezhda/sharfy/sharf-na-zakaz-tricksy-light-xl-polusherst-1882302/" , "18823.02 Шарф на заказ Tricksy Light, XL, полушерсть")</f>
      </c>
      <c r="C18108" s="4" t="n">
        <v>1714.00</v>
      </c>
      <c r="D18108" s="4"/>
    </row>
    <row collapsed="" customFormat="false" customHeight="1" hidden="" ht="14" outlineLevel="0" r="18109">
      <c r="A18109" s="3" t="inlineStr">
        <is>
          <t>18062</t>
        </is>
      </c>
      <c r="B18109" s="4" t="s">
        <f>=HYPERLINK("http://anyluxury.ru/shop/odezhda/sharfy/snud-na-zakaz-brugge-plus-akril-1882701/" , "18827.01 Снуд на заказ Brugge Plus, акрил")</f>
      </c>
      <c r="C18109" s="4" t="n">
        <v>969.00</v>
      </c>
      <c r="D18109" s="4"/>
    </row>
    <row collapsed="" customFormat="false" customHeight="1" hidden="" ht="14" outlineLevel="0" r="18110">
      <c r="A18110" s="3" t="inlineStr">
        <is>
          <t>18063</t>
        </is>
      </c>
      <c r="B18110" s="4" t="s">
        <f>=HYPERLINK("http://anyluxury.ru/shop/odezhda/sharfy/snud-na-zakaz-brugge-plus-polusherst-1882702/" , "18827.02 Снуд на заказ Brugge Plus, полушерсть")</f>
      </c>
      <c r="C18110" s="4" t="n">
        <v>1417.00</v>
      </c>
      <c r="D18110" s="4"/>
    </row>
    <row collapsed="" customFormat="false" customHeight="1" hidden="" ht="14" outlineLevel="0" r="18111">
      <c r="A18111" s="3" t="inlineStr">
        <is>
          <t>18064</t>
        </is>
      </c>
      <c r="B18111" s="4" t="s">
        <f>=HYPERLINK("http://anyluxury.ru/shop/odezhda/sharfy/snud-na-zakaz-gent-akril-1882801/" , "18828.01 Снуд на заказ Gent, акрил")</f>
      </c>
      <c r="C18111" s="4" t="n">
        <v>1594.00</v>
      </c>
      <c r="D18111" s="4"/>
    </row>
    <row collapsed="" customFormat="false" customHeight="1" hidden="" ht="14" outlineLevel="0" r="18112">
      <c r="A18112" s="3" t="inlineStr">
        <is>
          <t>18065</t>
        </is>
      </c>
      <c r="B18112" s="4" t="s">
        <f>=HYPERLINK("http://anyluxury.ru/shop/odezhda/sharfy/snud-na-zakaz-gent-polusherst-1882802/" , "18828.02 Снуд на заказ Gent, полушерсть")</f>
      </c>
      <c r="C18112" s="4" t="n">
        <v>2151.00</v>
      </c>
      <c r="D18112" s="4"/>
    </row>
    <row collapsed="" customFormat="false" customHeight="1" hidden="" ht="14" outlineLevel="0" r="18113">
      <c r="A18113" s="3" t="inlineStr">
        <is>
          <t>18066</t>
        </is>
      </c>
      <c r="B18113" s="4" t="s">
        <f>=HYPERLINK("http://anyluxury.ru/shop/odezhda/sharfy/sharf-charming-korichneviy-s-oranzhevim-1598652/" , "15986.52 Шарф Charming, коричневый с оранжевым")</f>
      </c>
      <c r="C18113" s="4" t="n">
        <v>4048.00</v>
      </c>
      <c r="D18113" s="4"/>
    </row>
    <row collapsed="" customFormat="false" customHeight="1" hidden="" ht="14" outlineLevel="0" r="18114">
      <c r="A18114" s="3" t="inlineStr">
        <is>
          <t>18067</t>
        </is>
      </c>
      <c r="B18114" s="4" t="s">
        <f>=HYPERLINK("http://anyluxury.ru/shop/odezhda/sharfy/palantin-charming-cherniy-s-bezhevim-1598731/" , "15987.31 Палантин Charming, черный с бежевым")</f>
      </c>
      <c r="C18114" s="4" t="n">
        <v>8294.00</v>
      </c>
      <c r="D18114" s="4"/>
    </row>
    <row collapsed="" customFormat="false" customHeight="1" hidden="" ht="14" outlineLevel="0" r="18115">
      <c r="A18115" s="3" t="inlineStr">
        <is>
          <t>18068</t>
        </is>
      </c>
      <c r="B18115" s="4" t="s">
        <f>=HYPERLINK("http://anyluxury.ru/shop/odezhda/sharfy/palantin-charming-korichneviy-s-oranzhevim-1598752/" , "15987.52 Палантин Charming, коричневый с оранжевым")</f>
      </c>
      <c r="C18115" s="4" t="n">
        <v>8294.00</v>
      </c>
      <c r="D18115" s="4"/>
    </row>
    <row collapsed="" customFormat="false" customHeight="1" hidden="" ht="14" outlineLevel="0" r="18116">
      <c r="A18116" s="3" t="inlineStr">
        <is>
          <t>18069</t>
        </is>
      </c>
      <c r="B18116" s="4" t="s">
        <f>=HYPERLINK("http://anyluxury.ru/shop/odezhda/sharfy/sharf-na-zakaz-tricksy-classic-net-l-akril-1891501/" , "18915.01 Шарф на заказ Tricksy Classic Net, L, акрил")</f>
      </c>
      <c r="C18116" s="4" t="n">
        <v>1848.00</v>
      </c>
      <c r="D18116" s="4"/>
    </row>
    <row collapsed="" customFormat="false" customHeight="1" hidden="" ht="14" outlineLevel="0" r="18117">
      <c r="A18117" s="3" t="inlineStr">
        <is>
          <t>18070</t>
        </is>
      </c>
      <c r="B18117" s="4" t="s">
        <f>=HYPERLINK("http://anyluxury.ru/shop/odezhda/sharfy/sharf-na-zakaz-tricksy-classic-net-l-polusherst-1891502/" , "18915.02 Шарф на заказ Tricksy Classic Net, L, полушерсть")</f>
      </c>
      <c r="C18117" s="4" t="n">
        <v>2662.00</v>
      </c>
      <c r="D18117" s="4"/>
    </row>
    <row collapsed="" customFormat="false" customHeight="1" hidden="" ht="14" outlineLevel="0" r="18118">
      <c r="A18118" s="3" t="inlineStr">
        <is>
          <t>18071</t>
        </is>
      </c>
      <c r="B18118" s="4" t="s">
        <f>=HYPERLINK("http://anyluxury.ru/shop/odezhda/sharfy/sharf-na-zakaz-tricksy-classic-net-xxl-akril-1891601/" , "18916.01 Шарф на заказ Tricksy Classic Net, XXL, акрил")</f>
      </c>
      <c r="C18118" s="4" t="n">
        <v>2576.00</v>
      </c>
      <c r="D18118" s="4"/>
    </row>
    <row collapsed="" customFormat="false" customHeight="1" hidden="" ht="14" outlineLevel="0" r="18119">
      <c r="A18119" s="3" t="inlineStr">
        <is>
          <t>18072</t>
        </is>
      </c>
      <c r="B18119" s="4" t="s">
        <f>=HYPERLINK("http://anyluxury.ru/shop/odezhda/sharfy/sharf-na-zakaz-tricksy-classic-net-xxl-polusherst-1891602/" , "18916.02 Шарф на заказ Tricksy Classic Net, XXL, полушерсть")</f>
      </c>
      <c r="C18119" s="4" t="n">
        <v>3740.00</v>
      </c>
      <c r="D18119" s="4"/>
    </row>
    <row collapsed="" customFormat="false" customHeight="1" hidden="" ht="14" outlineLevel="0" r="18120">
      <c r="A18120" s="3" t="inlineStr">
        <is>
          <t>18073</t>
        </is>
      </c>
      <c r="B18120" s="4" t="s">
        <f>=HYPERLINK("http://anyluxury.ru/shop/odezhda/sharfy/sharf-s-polnocvetnoy-pechatyu-shleif-na-zakaz-1895101/" , "18951.01 Шарф с полноцветной печатью Shleif на заказ")</f>
      </c>
      <c r="C18120" s="4" t="n">
        <v>576.00</v>
      </c>
      <c r="D18120" s="4"/>
    </row>
    <row collapsed="" customFormat="false" customHeight="1" hidden="" ht="14" outlineLevel="0" r="18121">
      <c r="A18121" s="3" t="inlineStr">
        <is>
          <t>18074</t>
        </is>
      </c>
      <c r="B18121" s="4" t="s">
        <f>=HYPERLINK("http://anyluxury.ru/shop/odezhda/sharfy/sharf-life-explorer-biryuzoviy-1166049/" , "11660.49 Шарф Life Explorer, бирюзовый")</f>
      </c>
      <c r="C18121" s="4" t="n">
        <v>991.00</v>
      </c>
      <c r="D18121" s="4"/>
    </row>
    <row collapsed="" customFormat="false" customHeight="1" hidden="" ht="14" outlineLevel="0" r="18122">
      <c r="A18122" s="3" t="inlineStr">
        <is>
          <t>18075</t>
        </is>
      </c>
      <c r="B18122" s="4" t="s">
        <f>=HYPERLINK("http://anyluxury.ru/shop/odezhda/sharfy/sharf-snappy-siniy-s-zelenim-7626294/" , "76262.94 Шарф Snappy, синий с зеленым")</f>
      </c>
      <c r="C18122" s="4" t="n">
        <v>792.00</v>
      </c>
      <c r="D18122" s="4"/>
    </row>
    <row collapsed="" customFormat="false" customHeight="1" hidden="" ht="14" outlineLevel="0" r="18123">
      <c r="A18123" s="3" t="inlineStr">
        <is>
          <t>18076</t>
        </is>
      </c>
      <c r="B18123" s="4" t="s">
        <f>=HYPERLINK("http://anyluxury.ru/shop/odezhda/sharfy/sharf-life-explorer-zeleniy-myatniy-1166095/" , "11660.95 Шарф Life Explorer, зеленый (мятный)")</f>
      </c>
      <c r="C18123" s="4" t="n">
        <v>991.00</v>
      </c>
      <c r="D18123" s="4"/>
    </row>
    <row collapsed="" customFormat="false" customHeight="1" hidden="" ht="14" outlineLevel="0" r="18124">
      <c r="A18124" s="3" t="inlineStr">
        <is>
          <t>18077</t>
        </is>
      </c>
      <c r="B18124" s="4" t="s">
        <f>=HYPERLINK("http://anyluxury.ru/shop/odezhda/sharfy/sharf-life-explorer-krasnooranzheviy-1166025/" , "11660.25 Шарф Life Explorer, красно-оранжевый")</f>
      </c>
      <c r="C18124" s="4" t="n">
        <v>991.00</v>
      </c>
      <c r="D18124" s="4"/>
    </row>
    <row collapsed="" customFormat="false" customHeight="1" hidden="" ht="14" outlineLevel="0" r="18125">
      <c r="A18125" s="3" t="inlineStr">
        <is>
          <t>18078</t>
        </is>
      </c>
      <c r="B18125" s="4" t="s">
        <f>=HYPERLINK("http://anyluxury.ru/shop/odezhda/sharfy/sharf-yong-rozoviy-2051115/" , "20511.15 Шарф Yong, розовый")</f>
      </c>
      <c r="C18125" s="4" t="n">
        <v>590.00</v>
      </c>
      <c r="D18125" s="4"/>
    </row>
    <row collapsed="" customFormat="false" customHeight="1" hidden="" ht="14" outlineLevel="0" r="18126">
      <c r="A18126" s="3" t="inlineStr">
        <is>
          <t>18079</t>
        </is>
      </c>
      <c r="B18126" s="4" t="s">
        <f>=HYPERLINK("http://anyluxury.ru/shop/odezhda/sharfy/sharf-yong-goluboy-2051114/" , "20511.14 Шарф Yong, голубой")</f>
      </c>
      <c r="C18126" s="4" t="n">
        <v>590.00</v>
      </c>
      <c r="D18126" s="4"/>
    </row>
    <row collapsed="" customFormat="false" customHeight="1" hidden="" ht="14" outlineLevel="0" r="18127">
      <c r="A18127" s="3" t="inlineStr">
        <is>
          <t>18080</t>
        </is>
      </c>
      <c r="B18127" s="4" t="s">
        <f>=HYPERLINK("http://anyluxury.ru/shop/odezhda/sharfy/sharf-yong-svetlozheltiy-2051186/" , "20511.86 Шарф Yong, светло-желтый")</f>
      </c>
      <c r="C18127" s="4" t="n">
        <v>590.00</v>
      </c>
      <c r="D18127" s="4"/>
    </row>
    <row collapsed="" customFormat="false" customHeight="1" hidden="" ht="14" outlineLevel="0" r="18128">
      <c r="A18128" s="3" t="inlineStr">
        <is>
          <t>18081</t>
        </is>
      </c>
      <c r="B18128" s="4" t="s">
        <f>=HYPERLINK("http://anyluxury.ru/shop/odezhda/sharfy/sharf-yong-temnosiniy-lazurniy-2051144/" , "20511.44 Шарф Yong, темно-синий (лазурный)")</f>
      </c>
      <c r="C18128" s="4" t="n">
        <v>590.00</v>
      </c>
      <c r="D18128" s="4"/>
    </row>
    <row collapsed="" customFormat="false" customHeight="1" hidden="" ht="14" outlineLevel="0" r="18129">
      <c r="A18129" s="3" t="inlineStr">
        <is>
          <t>18082</t>
        </is>
      </c>
      <c r="B18129" s="4" t="s">
        <f>=HYPERLINK("http://anyluxury.ru/shop/odezhda/sharfy/sharf-nordkapp-oranzheviy-kirpichniy-1440220/" , "14402.20 Шарф Nordkapp, оранжевый (кирпичный)")</f>
      </c>
      <c r="C18129" s="4" t="n">
        <v>790.00</v>
      </c>
      <c r="D18129" s="4"/>
    </row>
    <row collapsed="" customFormat="false" customHeight="1" hidden="" ht="14" outlineLevel="0" r="18130">
      <c r="A18130" s="3" t="inlineStr">
        <is>
          <t>18083</t>
        </is>
      </c>
      <c r="B18130" s="4" t="s">
        <f>=HYPERLINK("http://anyluxury.ru/shop/odezhda/sharfy/sharf-nobilis-biryuzoviy-s-terrakotovim-1909198/" , "19091.98 Шарф Nobilis, бирюзовый с терракотовым")</f>
      </c>
      <c r="C18130" s="4" t="n">
        <v>2593.00</v>
      </c>
      <c r="D18130" s="4"/>
    </row>
    <row collapsed="" customFormat="false" customHeight="1" hidden="" ht="14" outlineLevel="0" r="18131">
      <c r="A18131" s="3" t="inlineStr">
        <is>
          <t>18084</t>
        </is>
      </c>
      <c r="B18131" s="4" t="s">
        <f>=HYPERLINK("http://anyluxury.ru/shop/odezhda/sharfy/sharf-nobilis-beliy-s-serim-1909161/" , "19091.61 Шарф Nobilis, белый с серым")</f>
      </c>
      <c r="C18131" s="4" t="n">
        <v>2593.00</v>
      </c>
      <c r="D18131" s="4"/>
    </row>
    <row collapsed="" customFormat="false" customHeight="1" hidden="" ht="14" outlineLevel="0" r="18132">
      <c r="A18132" s="3" t="inlineStr">
        <is>
          <t>18085</t>
        </is>
      </c>
      <c r="B18132" s="4" t="s">
        <f>=HYPERLINK("http://anyluxury.ru/shop/odezhda/sharfy/sharf-nobilis-cherniy-s-serim-melanzhem-1909131/" , "19091.31 Шарф Nobilis, черный с серым меланжем")</f>
      </c>
      <c r="C18132" s="4" t="n">
        <v>2593.00</v>
      </c>
      <c r="D18132" s="4"/>
    </row>
    <row collapsed="" customFormat="false" customHeight="1" hidden="" ht="14" outlineLevel="0" r="18133">
      <c r="A18133" s="3" t="inlineStr">
        <is>
          <t>18086</t>
        </is>
      </c>
      <c r="B18133" s="4" t="s">
        <f>=HYPERLINK("http://anyluxury.ru/shop/odezhda/sharfy/sharf-loren-molochniy-1807860/" , "18078.60 Шарф Loren, молочно-белый (ванильный)")</f>
      </c>
      <c r="C18133" s="4" t="n">
        <v>3257.00</v>
      </c>
      <c r="D18133" s="4"/>
    </row>
    <row collapsed="" customFormat="false" customHeight="1" hidden="" ht="14" outlineLevel="0" r="18134">
      <c r="A18134" s="3" t="inlineStr">
        <is>
          <t>18087</t>
        </is>
      </c>
      <c r="B18134" s="4" t="s">
        <f>=HYPERLINK("http://anyluxury.ru/shop/odezhda/sharfy/sharf-loren-seriy-1807810/" , "18078.10 Шарф Loren, серый")</f>
      </c>
      <c r="C18134" s="4" t="n">
        <v>3257.00</v>
      </c>
      <c r="D18134" s="4"/>
    </row>
    <row collapsed="" customFormat="false" customHeight="1" hidden="" ht="14" outlineLevel="0" r="18135">
      <c r="A18135" s="3" t="inlineStr">
        <is>
          <t>18088</t>
        </is>
      </c>
      <c r="B18135" s="4" t="s">
        <f>=HYPERLINK("http://anyluxury.ru/shop/odezhda/sharfy/sharf-loren-korichneviy-1807859/" , "18078.59 Шарф Loren, коричневый")</f>
      </c>
      <c r="C18135" s="4" t="n">
        <v>3257.00</v>
      </c>
      <c r="D18135" s="4"/>
    </row>
    <row collapsed="" customFormat="false" customHeight="1" hidden="" ht="14" outlineLevel="0" r="18136">
      <c r="A18136" s="3" t="inlineStr">
        <is>
          <t>18089</t>
        </is>
      </c>
      <c r="B18136" s="4" t="s">
        <f>=HYPERLINK("http://anyluxury.ru/shop/odezhda/sharfy/sharf-tommi-siniy-melanzh-1900840/" , "19008.40 Шарф Tommi, синий меланж")</f>
      </c>
      <c r="C18136" s="4" t="n">
        <v>1935.00</v>
      </c>
      <c r="D18136" s="4"/>
    </row>
    <row collapsed="" customFormat="false" customHeight="1" hidden="" ht="14" outlineLevel="0" r="18137">
      <c r="A18137" s="3" t="inlineStr">
        <is>
          <t>18090</t>
        </is>
      </c>
      <c r="B18137" s="4" t="s">
        <f>=HYPERLINK("http://anyluxury.ru/shop/odezhda/sharfy/sharf-tommi-molochnobeliy-1900861/" , "19008.61 Шарф Tommi, молочно-белый (ванильный)")</f>
      </c>
      <c r="C18137" s="4" t="n">
        <v>2013.00</v>
      </c>
      <c r="D18137" s="4"/>
    </row>
    <row collapsed="" customFormat="false" customHeight="1" hidden="" ht="14" outlineLevel="0" r="18138">
      <c r="A18138" s="3" t="inlineStr">
        <is>
          <t>18091</t>
        </is>
      </c>
      <c r="B18138" s="4" t="s">
        <f>=HYPERLINK("http://anyluxury.ru/shop/odezhda/sharfy/sharf-tommi-seriy-melanzh-1900813/" , "19008.13 Шарф Tommi, серый меланж")</f>
      </c>
      <c r="C18138" s="4" t="n">
        <v>1935.00</v>
      </c>
      <c r="D18138" s="4"/>
    </row>
    <row collapsed="" customFormat="false" customHeight="1" hidden="" ht="14" outlineLevel="0" r="18139">
      <c r="A18139" s="3" t="inlineStr">
        <is>
          <t>18092</t>
        </is>
      </c>
      <c r="B18139" s="4" t="s">
        <f>=HYPERLINK("http://anyluxury.ru/shop/odezhda/sharfy/sharf-tommi-bezheviy-melanzh-1900816/" , "19008.16 Шарф Tommi, бежевый меланж")</f>
      </c>
      <c r="C18139" s="4" t="n">
        <v>2013.00</v>
      </c>
      <c r="D18139" s="4"/>
    </row>
    <row collapsed="" customFormat="false" customHeight="1" hidden="" ht="14" outlineLevel="0" r="18140">
      <c r="A18140" s="3" t="inlineStr">
        <is>
          <t>18093</t>
        </is>
      </c>
      <c r="B18140" s="4" t="s">
        <f>=HYPERLINK("http://anyluxury.ru/shop/odezhda/sharfy/sharf-tommi-goluboy-melanzh-1900814/" , "19008.14 Шарф Tommi, голубой меланж")</f>
      </c>
      <c r="C18140" s="4" t="n">
        <v>2013.00</v>
      </c>
      <c r="D18140" s="4"/>
    </row>
    <row collapsed="" customFormat="false" customHeight="1" hidden="" ht="14" outlineLevel="0" r="18141">
      <c r="A18141" s="3" t="inlineStr">
        <is>
          <t>18094</t>
        </is>
      </c>
      <c r="B18141" s="4" t="s">
        <f>=HYPERLINK("http://anyluxury.ru/shop/odezhda/sharfy/sharf-shelter-cherniy-1468130/" , "14681.30 Шарф Shelter, черный")</f>
      </c>
      <c r="C18141" s="4" t="n">
        <v>1290.00</v>
      </c>
      <c r="D18141" s="4"/>
    </row>
    <row collapsed="" customFormat="false" customHeight="1" hidden="" ht="14" outlineLevel="0" r="18142">
      <c r="A18142" s="3" t="inlineStr">
        <is>
          <t>18095</t>
        </is>
      </c>
      <c r="B18142" s="4" t="s">
        <f>=HYPERLINK("http://anyluxury.ru/shop/odezhda/sharfy/sharf-shelter-beliy-1468160/" , "14681.60 Шарф Shelter, белый")</f>
      </c>
      <c r="C18142" s="4" t="n">
        <v>1290.00</v>
      </c>
      <c r="D18142" s="4"/>
    </row>
    <row collapsed="" customFormat="false" customHeight="1" hidden="" ht="14" outlineLevel="0" r="18143">
      <c r="A18143" s="3" t="inlineStr">
        <is>
          <t>18096</t>
        </is>
      </c>
      <c r="B18143" s="4" t="s">
        <f>=HYPERLINK("http://anyluxury.ru/shop/odezhda/sharfy/sharf-bereg-molochniy-s-serim-1717661/" , "17176.61 Шарф Bereg, молочный с серым")</f>
      </c>
      <c r="C18143" s="4" t="n">
        <v>2321.00</v>
      </c>
      <c r="D18143" s="4"/>
    </row>
    <row collapsed="" customFormat="false" customHeight="1" hidden="" ht="14" outlineLevel="0" r="18144">
      <c r="A18144" s="3" t="inlineStr">
        <is>
          <t>18097</t>
        </is>
      </c>
      <c r="B18144" s="4" t="s">
        <f>=HYPERLINK("http://anyluxury.ru/shop/odezhda/sharfy/sharf-bereg-seriy-s-sinim-1717641/" , "17176.41 Шарф Bereg, серый с синим")</f>
      </c>
      <c r="C18144" s="4" t="n">
        <v>2321.00</v>
      </c>
      <c r="D18144" s="4"/>
    </row>
    <row collapsed="" customFormat="false" customHeight="1" hidden="" ht="14" outlineLevel="0" r="18145">
      <c r="A18145" s="3" t="inlineStr">
        <is>
          <t>18098</t>
        </is>
      </c>
      <c r="B18145" s="4" t="s">
        <f>=HYPERLINK("http://anyluxury.ru/shop/odezhda/sharfy/sharf-nordkyn-cherniy-1045130/" , "10451.30 Шарф Nordkyn, черный")</f>
      </c>
      <c r="C18145" s="4" t="n">
        <v>1392.00</v>
      </c>
      <c r="D18145" s="4"/>
    </row>
    <row collapsed="" customFormat="false" customHeight="1" hidden="" ht="14" outlineLevel="0" r="18146">
      <c r="A18146" s="3" t="inlineStr">
        <is>
          <t>18099</t>
        </is>
      </c>
      <c r="B18146" s="4" t="s">
        <f>=HYPERLINK("http://anyluxury.ru/shop/odezhda/sharfy/sharf-bristol-svetlobezheviy-ver2-23619212/" , "236192.12 Шарф Bristol, светло-бежевый, ver.2")</f>
      </c>
      <c r="C18146" s="4" t="n">
        <v>2449.00</v>
      </c>
      <c r="D18146" s="4"/>
    </row>
    <row collapsed="" customFormat="false" customHeight="1" hidden="" ht="14" outlineLevel="0" r="18147">
      <c r="A18147" s="3" t="inlineStr">
        <is>
          <t>18100</t>
        </is>
      </c>
      <c r="B18147" s="4" t="s">
        <f>=HYPERLINK("http://anyluxury.ru/shop/odezhda/sharfy/sharf-tommi-zeleniy-1900890/" , "19008.90 Шарф Tommi, зеленый")</f>
      </c>
      <c r="C18147" s="4" t="n">
        <v>2013.00</v>
      </c>
      <c r="D18147" s="4"/>
    </row>
    <row collapsed="" customFormat="false" customHeight="1" hidden="" ht="14" outlineLevel="0" r="18148">
      <c r="A18148" s="3" t="inlineStr">
        <is>
          <t>18101</t>
        </is>
      </c>
      <c r="B18148" s="4" t="s">
        <f>=HYPERLINK("http://anyluxury.ru/shop/odezhda/sharfy/sharf-joyful-na-zakaz-akril-1887301/" , "18873.01 Шарф Joyful на заказ, акрил")</f>
      </c>
      <c r="C18148" s="4" t="n">
        <v>1721.00</v>
      </c>
      <c r="D18148" s="4"/>
    </row>
    <row collapsed="" customFormat="false" customHeight="1" hidden="" ht="14" outlineLevel="0" r="18149">
      <c r="A18149" s="3" t="inlineStr">
        <is>
          <t>18102</t>
        </is>
      </c>
      <c r="B18149" s="4" t="s">
        <f>=HYPERLINK("http://anyluxury.ru/shop/odezhda/sharfy/sharf-joyful-na-zakaz-polusherst-1887302/" , "18873.02 Шарф Joyful на заказ, полушерсть")</f>
      </c>
      <c r="C18149" s="4" t="n">
        <v>2713.00</v>
      </c>
      <c r="D18149" s="4"/>
    </row>
    <row collapsed="" customFormat="false" customHeight="1" hidden="" ht="14" outlineLevel="0" r="18150">
      <c r="A18150" s="3" t="inlineStr">
        <is>
          <t>18103</t>
        </is>
      </c>
      <c r="B18150" s="4" t="s">
        <f>=HYPERLINK("http://anyluxury.ru/shop/odezhda/sharfy/palantin-s-bahromoy-na-zakaz-rinn-fint-akril-1823901/" , "18239.01 Палантин с бахромой на заказ Rinn Fint, акрил")</f>
      </c>
      <c r="C18150" s="4" t="n">
        <v>1861.00</v>
      </c>
      <c r="D18150" s="4"/>
    </row>
    <row collapsed="" customFormat="false" customHeight="1" hidden="" ht="14" outlineLevel="0" r="18151">
      <c r="A18151" s="3" t="inlineStr">
        <is>
          <t>18104</t>
        </is>
      </c>
      <c r="B18151" s="4" t="s">
        <f>=HYPERLINK("http://anyluxury.ru/shop/odezhda/sharfy/palantin-s-bahromoy-na-zakaz-rinn-fint-polusherst-1823902/" , "18239.02 Палантин с бахромой на заказ Rinn Fint, полушерсть")</f>
      </c>
      <c r="C18151" s="4" t="n">
        <v>2829.00</v>
      </c>
      <c r="D18151" s="4"/>
    </row>
    <row collapsed="" customFormat="false" customHeight="1" hidden="" ht="14" outlineLevel="0" r="18152">
      <c r="A18152" s="3" t="inlineStr">
        <is>
          <t>18105</t>
        </is>
      </c>
      <c r="B18152" s="4" t="s">
        <f>=HYPERLINK("http://anyluxury.ru/shop/odezhda/sharfy/sharf-cordelia-svetloseriy-1800410/" , "18004.10 Шарф Cordelia, светло-серый")</f>
      </c>
      <c r="C18152" s="4" t="n">
        <v>3249.00</v>
      </c>
      <c r="D18152" s="4"/>
    </row>
    <row collapsed="" customFormat="false" customHeight="1" hidden="" ht="14" outlineLevel="0" r="18153">
      <c r="A18153" s="3" t="inlineStr">
        <is>
          <t>18106</t>
        </is>
      </c>
      <c r="B18153" s="4" t="s">
        <f>=HYPERLINK("http://anyluxury.ru/shop/odezhda/sharfy/sharf-flette-zheltiy-1569480/" , "15694.80 Шарф Flette, желтый")</f>
      </c>
      <c r="C18153" s="4" t="n">
        <v>1933.00</v>
      </c>
      <c r="D18153" s="4"/>
    </row>
    <row collapsed="" customFormat="false" customHeight="1" hidden="" ht="14" outlineLevel="0" r="18154">
      <c r="A18154" s="3" t="inlineStr">
        <is>
          <t>18107</t>
        </is>
      </c>
      <c r="B18154" s="4" t="s">
        <f>=HYPERLINK("http://anyluxury.ru/shop/odezhda/sharfy/sharf-flette-siniy-vasilek-1569440/" , "15694.40 Шарф Flette, синий (василек)")</f>
      </c>
      <c r="C18154" s="4" t="n">
        <v>1933.00</v>
      </c>
      <c r="D18154" s="4"/>
    </row>
    <row collapsed="" customFormat="false" customHeight="1" hidden="" ht="14" outlineLevel="0" r="18155">
      <c r="A18155" s="3" t="inlineStr">
        <is>
          <t>18108</t>
        </is>
      </c>
      <c r="B18155" s="4" t="s">
        <f>=HYPERLINK("http://anyluxury.ru/shop/odezhda/sharfy/sharf-flette-zeleniy-1569490/" , "15694.90 Шарф Flette, зеленый")</f>
      </c>
      <c r="C18155" s="4" t="n">
        <v>1933.00</v>
      </c>
      <c r="D18155" s="4"/>
    </row>
    <row collapsed="" customFormat="false" customHeight="1" hidden="" ht="14" outlineLevel="0" r="18156">
      <c r="A18156" s="3" t="inlineStr">
        <is>
          <t>18109</t>
        </is>
      </c>
      <c r="B18156" s="4" t="s">
        <f>=HYPERLINK("http://anyluxury.ru/shop/odezhda/sharfy/sharf-flette-cherniy-1569430/" , "15694.30 Шарф Flette, черный")</f>
      </c>
      <c r="C18156" s="4" t="n">
        <v>1933.00</v>
      </c>
      <c r="D18156" s="4"/>
    </row>
    <row collapsed="" customFormat="false" customHeight="1" hidden="" ht="14" outlineLevel="0" r="18157">
      <c r="A18157" s="3" t="inlineStr">
        <is>
          <t>18110</t>
        </is>
      </c>
      <c r="B18157" s="4" t="s">
        <f>=HYPERLINK("http://anyluxury.ru/shop/odezhda/sharfy/sharf-flette-krasniy-1569450/" , "15694.50 Шарф Flette, красный (алый)")</f>
      </c>
      <c r="C18157" s="4" t="n">
        <v>1933.00</v>
      </c>
      <c r="D18157" s="4"/>
    </row>
    <row collapsed="" customFormat="false" customHeight="1" hidden="" ht="14" outlineLevel="0" r="18158">
      <c r="A18158" s="3" t="inlineStr">
        <is>
          <t>18111</t>
        </is>
      </c>
      <c r="B18158" s="4" t="s">
        <f>=HYPERLINK("http://anyluxury.ru/shop/odezhda/sharfy/sharf-flette-molochnobeliy-1569461/" , "15694.61 Шарф Flette, молочно-белый")</f>
      </c>
      <c r="C18158" s="4" t="n">
        <v>1933.00</v>
      </c>
      <c r="D18158" s="4"/>
    </row>
    <row collapsed="" customFormat="false" customHeight="1" hidden="" ht="14" outlineLevel="0" r="18159">
      <c r="A18159" s="3" t="inlineStr">
        <is>
          <t>18112</t>
        </is>
      </c>
      <c r="B18159" s="4" t="s">
        <f>=HYPERLINK("http://anyluxury.ru/shop/odezhda/sharfy/sharf-urban-flow-zheltiy-1666280/" , "16662.80 Шарф Urban Flow, желтый")</f>
      </c>
      <c r="C18159" s="4" t="n">
        <v>598.00</v>
      </c>
      <c r="D18159" s="4"/>
    </row>
    <row collapsed="" customFormat="false" customHeight="1" hidden="" ht="14" outlineLevel="0" r="18160">
      <c r="A18160" s="3" t="inlineStr">
        <is>
          <t>18113</t>
        </is>
      </c>
      <c r="B18160" s="4" t="s">
        <f>=HYPERLINK("http://anyluxury.ru/shop/odezhda/sharfy/sharf-urban-flow-oranzheviy-1666220/" , "16662.20 Шарф Urban Flow, оранжевый")</f>
      </c>
      <c r="C18160" s="4" t="n">
        <v>598.00</v>
      </c>
      <c r="D18160" s="4"/>
    </row>
    <row collapsed="" customFormat="false" customHeight="1" hidden="" ht="14" outlineLevel="0" r="18161">
      <c r="A18161" s="3" t="inlineStr">
        <is>
          <t>18114</t>
        </is>
      </c>
      <c r="B18161" s="4" t="s">
        <f>=HYPERLINK("http://anyluxury.ru/shop/odezhda/sharfy/sharf-urban-flow-krasniy-1666250/" , "16662.50 Шарф Urban Flow, красный")</f>
      </c>
      <c r="C18161" s="4" t="n">
        <v>598.00</v>
      </c>
      <c r="D18161" s="4"/>
    </row>
    <row collapsed="" customFormat="false" customHeight="1" hidden="" ht="14" outlineLevel="0" r="18162">
      <c r="A18162" s="3" t="inlineStr">
        <is>
          <t>18115</t>
        </is>
      </c>
      <c r="B18162" s="4" t="s">
        <f>=HYPERLINK("http://anyluxury.ru/shop/odezhda/sharfy/sharf-urban-flow-zeleniy-1666290/" , "16662.90 Шарф Urban Flow, зеленый")</f>
      </c>
      <c r="C18162" s="4" t="n">
        <v>598.00</v>
      </c>
      <c r="D18162" s="4"/>
    </row>
    <row collapsed="" customFormat="false" customHeight="1" hidden="" ht="14" outlineLevel="0" r="18163">
      <c r="A18163" s="3" t="inlineStr">
        <is>
          <t>18116</t>
        </is>
      </c>
      <c r="B18163" s="4" t="s">
        <f>=HYPERLINK("http://anyluxury.ru/shop/odezhda/sharfy/sharf-urban-flow-salatoviy-neon-1666294/" , "16662.94 Шарф Urban Flow, салатовый неон")</f>
      </c>
      <c r="C18163" s="4" t="n">
        <v>598.00</v>
      </c>
      <c r="D18163" s="4"/>
    </row>
    <row collapsed="" customFormat="false" customHeight="1" hidden="" ht="14" outlineLevel="0" r="18164">
      <c r="A18164" s="3" t="inlineStr">
        <is>
          <t>18117</t>
        </is>
      </c>
      <c r="B18164" s="4" t="s">
        <f>=HYPERLINK("http://anyluxury.ru/shop/odezhda/sharfy/sharf-urban-flow-temnosiniy-melanzh-1666240/" , "16662.40 Шарф Urban Flow, темно-синий меланж")</f>
      </c>
      <c r="C18164" s="4" t="n">
        <v>598.00</v>
      </c>
      <c r="D18164" s="4"/>
    </row>
    <row collapsed="" customFormat="false" customHeight="1" hidden="" ht="14" outlineLevel="0" r="18165">
      <c r="A18165" s="3" t="inlineStr">
        <is>
          <t>18118</t>
        </is>
      </c>
      <c r="B18165" s="4" t="s">
        <f>=HYPERLINK("http://anyluxury.ru/shop/odezhda/sharfy/sharf-urban-flow-cherniy-1666230/" , "16662.30 Шарф Urban Flow, черный")</f>
      </c>
      <c r="C18165" s="4" t="n">
        <v>598.00</v>
      </c>
      <c r="D18165" s="4"/>
    </row>
    <row collapsed="" customFormat="false" customHeight="1" hidden="" ht="14" outlineLevel="0" r="18166">
      <c r="A18166" s="3" t="inlineStr">
        <is>
          <t>18119</t>
        </is>
      </c>
      <c r="B18166" s="4" t="s">
        <f>=HYPERLINK("http://anyluxury.ru/shop/odezhda/sharfy/sharf-urban-flow-molochnobeliy-1666261/" , "16662.61 Шарф Urban Flow, молочно-белый")</f>
      </c>
      <c r="C18166" s="4" t="n">
        <v>598.00</v>
      </c>
      <c r="D18166" s="4"/>
    </row>
    <row collapsed="" customFormat="false" customHeight="1" hidden="" ht="14" outlineLevel="0" r="18167">
      <c r="A18167" s="3" t="inlineStr">
        <is>
          <t>18120</t>
        </is>
      </c>
      <c r="B18167" s="4" t="s">
        <f>=HYPERLINK("http://anyluxury.ru/shop/odezhda/sharfy/sharf-urban-flow-temnoseriy-melanzh-1666233/" , "16662.33 Шарф Urban Flow, темно-серый меланж")</f>
      </c>
      <c r="C18167" s="4" t="n">
        <v>598.00</v>
      </c>
      <c r="D18167" s="4"/>
    </row>
    <row collapsed="" customFormat="false" customHeight="1" hidden="" ht="14" outlineLevel="0" r="18168">
      <c r="A18168" s="3" t="inlineStr">
        <is>
          <t>18121</t>
        </is>
      </c>
      <c r="B18168" s="4" t="s">
        <f>=HYPERLINK("http://anyluxury.ru/shop/odezhda/sharfy/sharf-urban-flow-yarkosiniy-1666244/" , "16662.44 Шарф Urban Flow, ярко-синий")</f>
      </c>
      <c r="C18168" s="4" t="n">
        <v>598.00</v>
      </c>
      <c r="D18168" s="4"/>
    </row>
    <row collapsed="" customFormat="false" customHeight="1" hidden="" ht="14" outlineLevel="0" r="18169">
      <c r="A18169" s="3" t="inlineStr">
        <is>
          <t>18122</t>
        </is>
      </c>
      <c r="B18169" s="4" t="s">
        <f>=HYPERLINK("http://anyluxury.ru/shop/odezhda/sharfy/shapkasharf-s-utyazhkoy-blizzard-temnoseraya-662111/" , "6621.11 Шапка-шарф с утяжкой Blizzard, темно-серая")</f>
      </c>
      <c r="C18169" s="4" t="n">
        <v>524.00</v>
      </c>
      <c r="D18169" s="4"/>
    </row>
    <row collapsed="" customFormat="false" customHeight="1" hidden="" ht="14" outlineLevel="0" r="18170">
      <c r="A18170" s="3" t="inlineStr">
        <is>
          <t>18123</t>
        </is>
      </c>
      <c r="B18170" s="4" t="s">
        <f>=HYPERLINK("http://anyluxury.ru/shop/odezhda/sharfy/shapkasharf-s-utyazhkoy-blizzard-krasnaya-662150/" , "6621.50 Шапка-шарф с утяжкой Blizzard, красная")</f>
      </c>
      <c r="C18170" s="4" t="n">
        <v>524.00</v>
      </c>
      <c r="D18170" s="4"/>
    </row>
    <row collapsed="" customFormat="false" customHeight="1" hidden="" ht="14" outlineLevel="0" r="18171">
      <c r="A18171" s="3" t="inlineStr">
        <is>
          <t>18124</t>
        </is>
      </c>
      <c r="B18171" s="4" t="s">
        <f>=HYPERLINK("http://anyluxury.ru/shop/odezhda/sharfy/baff-nesse-cherniy-1573630/" , "15736.30 Бафф Nesse, черный")</f>
      </c>
      <c r="C18171" s="4" t="n">
        <v>480.00</v>
      </c>
      <c r="D18171" s="4"/>
    </row>
    <row collapsed="" customFormat="false" customHeight="1" hidden="" ht="14" outlineLevel="0" r="18172">
      <c r="A18172" s="3" t="inlineStr">
        <is>
          <t>18125</t>
        </is>
      </c>
      <c r="B18172" s="4" t="s">
        <f>=HYPERLINK("http://anyluxury.ru/shop/odezhda/sharfy/baff-nesse-temnosiniy-1573640/" , "15736.40 Бафф Nesse, темно-синий")</f>
      </c>
      <c r="C18172" s="4" t="n">
        <v>480.00</v>
      </c>
      <c r="D18172" s="4"/>
    </row>
    <row collapsed="" customFormat="false" customHeight="1" hidden="" ht="14" outlineLevel="0" r="18173">
      <c r="A18173" s="3" t="inlineStr">
        <is>
          <t>18126</t>
        </is>
      </c>
      <c r="B18173" s="4" t="s">
        <f>=HYPERLINK("http://anyluxury.ru/shop/odezhda/sharfy/baff-nesse-seriy-1573611/" , "15736.11 Бафф Nesse, серый")</f>
      </c>
      <c r="C18173" s="4" t="n">
        <v>480.00</v>
      </c>
      <c r="D18173" s="4"/>
    </row>
    <row collapsed="" customFormat="false" customHeight="" hidden="" ht="12.1" outlineLevel="0" r="18174">
      <c r="A18174" s="5" t="inlineStr">
        <is>
          <t> -  - Рубашки поло</t>
        </is>
      </c>
      <c r="B18174" s="6"/>
      <c r="C18174" s="6"/>
      <c r="D18174" s="6"/>
    </row>
    <row collapsed="" customFormat="false" customHeight="1" hidden="" ht="14" outlineLevel="0" r="18175">
      <c r="A18175" s="3" t="inlineStr">
        <is>
          <t>18127</t>
        </is>
      </c>
      <c r="B18175" s="4" t="s">
        <f>=HYPERLINK("http://anyluxury.ru/shop/odezhda/rubashki-polo/rubashka-polo-muzhskaya-summer-170-belaya-137960/" , "1379.60 Рубашка поло мужская SUMMER 170 белая, размер XS")</f>
      </c>
      <c r="C18175" s="4" t="n">
        <v>999.00</v>
      </c>
      <c r="D18175" s="4"/>
    </row>
    <row collapsed="" customFormat="false" customHeight="1" hidden="" ht="14" outlineLevel="0" r="18176">
      <c r="A18176" s="3" t="inlineStr">
        <is>
          <t>18128</t>
        </is>
      </c>
      <c r="B18176" s="4" t="s">
        <f>=HYPERLINK("http://anyluxury.ru/shop/odezhda/rubashki-polo/rubashka-polo-muzhskaya-summer-170-belaya-137960/" , "1379.60 Рубашка поло мужская SUMMER 170 белая, размер S")</f>
      </c>
      <c r="C18176" s="4" t="n">
        <v>999.00</v>
      </c>
      <c r="D18176" s="4"/>
    </row>
    <row collapsed="" customFormat="false" customHeight="1" hidden="" ht="14" outlineLevel="0" r="18177">
      <c r="A18177" s="3" t="inlineStr">
        <is>
          <t>18129</t>
        </is>
      </c>
      <c r="B18177" s="4" t="s">
        <f>=HYPERLINK("http://anyluxury.ru/shop/odezhda/rubashki-polo/rubashka-polo-muzhskaya-summer-170-belaya-137960/" , "1379.60 Рубашка поло мужская SUMMER 170 белая, размер M")</f>
      </c>
      <c r="C18177" s="4" t="n">
        <v>999.00</v>
      </c>
      <c r="D18177" s="4"/>
    </row>
    <row collapsed="" customFormat="false" customHeight="1" hidden="" ht="14" outlineLevel="0" r="18178">
      <c r="A18178" s="3" t="inlineStr">
        <is>
          <t>18130</t>
        </is>
      </c>
      <c r="B18178" s="4" t="s">
        <f>=HYPERLINK("http://anyluxury.ru/shop/odezhda/rubashki-polo/rubashka-polo-muzhskaya-summer-170-belaya-137960/" , "1379.60 Рубашка поло мужская SUMMER 170 белая, размер L")</f>
      </c>
      <c r="C18178" s="4" t="n">
        <v>999.00</v>
      </c>
      <c r="D18178" s="4"/>
    </row>
    <row collapsed="" customFormat="false" customHeight="1" hidden="" ht="14" outlineLevel="0" r="18179">
      <c r="A18179" s="3" t="inlineStr">
        <is>
          <t>18131</t>
        </is>
      </c>
      <c r="B18179" s="4" t="s">
        <f>=HYPERLINK("http://anyluxury.ru/shop/odezhda/rubashki-polo/rubashka-polo-muzhskaya-summer-170-belaya-137960/" , "1379.60 Рубашка поло мужская SUMMER 170 белая, размер XL")</f>
      </c>
      <c r="C18179" s="4" t="n">
        <v>999.00</v>
      </c>
      <c r="D18179" s="4"/>
    </row>
    <row collapsed="" customFormat="false" customHeight="1" hidden="" ht="14" outlineLevel="0" r="18180">
      <c r="A18180" s="3" t="inlineStr">
        <is>
          <t>18132</t>
        </is>
      </c>
      <c r="B18180" s="4" t="s">
        <f>=HYPERLINK("http://anyluxury.ru/shop/odezhda/rubashki-polo/rubashka-polo-muzhskaya-summer-170-belaya-137960/" , "1379.60 Рубашка поло мужская SUMMER 170 белая, размер XXL")</f>
      </c>
      <c r="C18180" s="4" t="n">
        <v>999.00</v>
      </c>
      <c r="D18180" s="4"/>
    </row>
    <row collapsed="" customFormat="false" customHeight="1" hidden="" ht="14" outlineLevel="0" r="18181">
      <c r="A18181" s="3" t="inlineStr">
        <is>
          <t>18133</t>
        </is>
      </c>
      <c r="B18181" s="4" t="s">
        <f>=HYPERLINK("http://anyluxury.ru/shop/odezhda/rubashki-polo/rubashka-polo-muzhskaya-summer-170-krasnaya-137950/" , "1379.50 Рубашка поло мужская SUMMER 170 красная, размер XS")</f>
      </c>
      <c r="C18181" s="4" t="n">
        <v>1135.00</v>
      </c>
      <c r="D18181" s="4"/>
    </row>
    <row collapsed="" customFormat="false" customHeight="1" hidden="" ht="14" outlineLevel="0" r="18182">
      <c r="A18182" s="3" t="inlineStr">
        <is>
          <t>18134</t>
        </is>
      </c>
      <c r="B18182" s="4" t="s">
        <f>=HYPERLINK("http://anyluxury.ru/shop/odezhda/rubashki-polo/rubashka-polo-muzhskaya-summer-170-krasnaya-137950/" , "1379.50 Рубашка поло мужская SUMMER 170 красная, размер S")</f>
      </c>
      <c r="C18182" s="4" t="n">
        <v>1135.00</v>
      </c>
      <c r="D18182" s="4"/>
    </row>
    <row collapsed="" customFormat="false" customHeight="1" hidden="" ht="14" outlineLevel="0" r="18183">
      <c r="A18183" s="3" t="inlineStr">
        <is>
          <t>18135</t>
        </is>
      </c>
      <c r="B18183" s="4" t="s">
        <f>=HYPERLINK("http://anyluxury.ru/shop/odezhda/rubashki-polo/rubashka-polo-muzhskaya-summer-170-krasnaya-137950/" , "1379.50 Рубашка поло мужская SUMMER 170 красная, размер M")</f>
      </c>
      <c r="C18183" s="4" t="n">
        <v>1135.00</v>
      </c>
      <c r="D18183" s="4"/>
    </row>
    <row collapsed="" customFormat="false" customHeight="1" hidden="" ht="14" outlineLevel="0" r="18184">
      <c r="A18184" s="3" t="inlineStr">
        <is>
          <t>18136</t>
        </is>
      </c>
      <c r="B18184" s="4" t="s">
        <f>=HYPERLINK("http://anyluxury.ru/shop/odezhda/rubashki-polo/rubashka-polo-muzhskaya-summer-170-krasnaya-137950/" , "1379.50 Рубашка поло мужская SUMMER 170 красная, размер L")</f>
      </c>
      <c r="C18184" s="4" t="n">
        <v>1135.00</v>
      </c>
      <c r="D18184" s="4"/>
    </row>
    <row collapsed="" customFormat="false" customHeight="1" hidden="" ht="14" outlineLevel="0" r="18185">
      <c r="A18185" s="3" t="inlineStr">
        <is>
          <t>18137</t>
        </is>
      </c>
      <c r="B18185" s="4" t="s">
        <f>=HYPERLINK("http://anyluxury.ru/shop/odezhda/rubashki-polo/rubashka-polo-muzhskaya-summer-170-krasnaya-137950/" , "1379.50 Рубашка поло мужская SUMMER 170 красная, размер XL")</f>
      </c>
      <c r="C18185" s="4" t="n">
        <v>1135.00</v>
      </c>
      <c r="D18185" s="4"/>
    </row>
    <row collapsed="" customFormat="false" customHeight="1" hidden="" ht="14" outlineLevel="0" r="18186">
      <c r="A18186" s="3" t="inlineStr">
        <is>
          <t>18138</t>
        </is>
      </c>
      <c r="B18186" s="4" t="s">
        <f>=HYPERLINK("http://anyluxury.ru/shop/odezhda/rubashki-polo/rubashka-polo-muzhskaya-summer-170-krasnaya-137950/" , "1379.50 Рубашка поло мужская SUMMER 170 красная, размер XXL")</f>
      </c>
      <c r="C18186" s="4" t="n">
        <v>1135.00</v>
      </c>
      <c r="D18186" s="4"/>
    </row>
    <row collapsed="" customFormat="false" customHeight="1" hidden="" ht="14" outlineLevel="0" r="18187">
      <c r="A18187" s="3" t="inlineStr">
        <is>
          <t>18139</t>
        </is>
      </c>
      <c r="B18187" s="4" t="s">
        <f>=HYPERLINK("http://anyluxury.ru/shop/odezhda/rubashki-polo/rubashka-polo-muzhskaya-summer-170-biryuzovaya-137942/" , "1379.42 Рубашка поло мужская SUMMER 170 бирюзовая, размер XS")</f>
      </c>
      <c r="C18187" s="4" t="n">
        <v>1135.00</v>
      </c>
      <c r="D18187" s="4"/>
    </row>
    <row collapsed="" customFormat="false" customHeight="1" hidden="" ht="14" outlineLevel="0" r="18188">
      <c r="A18188" s="3" t="inlineStr">
        <is>
          <t>18140</t>
        </is>
      </c>
      <c r="B18188" s="4" t="s">
        <f>=HYPERLINK("http://anyluxury.ru/shop/odezhda/rubashki-polo/rubashka-polo-muzhskaya-summer-170-biryuzovaya-137942/" , "1379.42 Рубашка поло мужская SUMMER 170 бирюзовая, размер S")</f>
      </c>
      <c r="C18188" s="4" t="n">
        <v>1135.00</v>
      </c>
      <c r="D18188" s="4"/>
    </row>
    <row collapsed="" customFormat="false" customHeight="1" hidden="" ht="14" outlineLevel="0" r="18189">
      <c r="A18189" s="3" t="inlineStr">
        <is>
          <t>18141</t>
        </is>
      </c>
      <c r="B18189" s="4" t="s">
        <f>=HYPERLINK("http://anyluxury.ru/shop/odezhda/rubashki-polo/rubashka-polo-muzhskaya-summer-170-biryuzovaya-137942/" , "1379.42 Рубашка поло мужская SUMMER 170 бирюзовая, размер M")</f>
      </c>
      <c r="C18189" s="4" t="n">
        <v>1135.00</v>
      </c>
      <c r="D18189" s="4"/>
    </row>
    <row collapsed="" customFormat="false" customHeight="1" hidden="" ht="14" outlineLevel="0" r="18190">
      <c r="A18190" s="3" t="inlineStr">
        <is>
          <t>18142</t>
        </is>
      </c>
      <c r="B18190" s="4" t="s">
        <f>=HYPERLINK("http://anyluxury.ru/shop/odezhda/rubashki-polo/rubashka-polo-muzhskaya-summer-170-biryuzovaya-137942/" , "1379.42 Рубашка поло мужская SUMMER 170 бирюзовая, размер L")</f>
      </c>
      <c r="C18190" s="4" t="n">
        <v>1135.00</v>
      </c>
      <c r="D18190" s="4"/>
    </row>
    <row collapsed="" customFormat="false" customHeight="1" hidden="" ht="14" outlineLevel="0" r="18191">
      <c r="A18191" s="3" t="inlineStr">
        <is>
          <t>18143</t>
        </is>
      </c>
      <c r="B18191" s="4" t="s">
        <f>=HYPERLINK("http://anyluxury.ru/shop/odezhda/rubashki-polo/rubashka-polo-muzhskaya-summer-170-biryuzovaya-137942/" , "1379.42 Рубашка поло мужская SUMMER 170 бирюзовая, размер XL")</f>
      </c>
      <c r="C18191" s="4" t="n">
        <v>1135.00</v>
      </c>
      <c r="D18191" s="4"/>
    </row>
    <row collapsed="" customFormat="false" customHeight="1" hidden="" ht="14" outlineLevel="0" r="18192">
      <c r="A18192" s="3" t="inlineStr">
        <is>
          <t>18144</t>
        </is>
      </c>
      <c r="B18192" s="4" t="s">
        <f>=HYPERLINK("http://anyluxury.ru/shop/odezhda/rubashki-polo/rubashka-polo-muzhskaya-summer-170-yarkosinyaya-royal-137944/" , "1379.44 Рубашка поло мужская SUMMER 170 ярко-синяя, размер XS")</f>
      </c>
      <c r="C18192" s="4" t="n">
        <v>1135.00</v>
      </c>
      <c r="D18192" s="4"/>
    </row>
    <row collapsed="" customFormat="false" customHeight="1" hidden="" ht="14" outlineLevel="0" r="18193">
      <c r="A18193" s="3" t="inlineStr">
        <is>
          <t>18145</t>
        </is>
      </c>
      <c r="B18193" s="4" t="s">
        <f>=HYPERLINK("http://anyluxury.ru/shop/odezhda/rubashki-polo/rubashka-polo-muzhskaya-summer-170-yarkosinyaya-royal-137944/" , "1379.44 Рубашка поло мужская SUMMER 170 ярко-синяя (royal), размер S")</f>
      </c>
      <c r="C18193" s="4" t="n">
        <v>1135.00</v>
      </c>
      <c r="D18193" s="4"/>
    </row>
    <row collapsed="" customFormat="false" customHeight="1" hidden="" ht="14" outlineLevel="0" r="18194">
      <c r="A18194" s="3" t="inlineStr">
        <is>
          <t>18146</t>
        </is>
      </c>
      <c r="B18194" s="4" t="s">
        <f>=HYPERLINK("http://anyluxury.ru/shop/odezhda/rubashki-polo/rubashka-polo-muzhskaya-summer-170-yarkosinyaya-royal-137944/" , "1379.44 Рубашка поло мужская SUMMER 170 ярко-синяя (royal), размер M")</f>
      </c>
      <c r="C18194" s="4" t="n">
        <v>1135.00</v>
      </c>
      <c r="D18194" s="4"/>
    </row>
    <row collapsed="" customFormat="false" customHeight="1" hidden="" ht="14" outlineLevel="0" r="18195">
      <c r="A18195" s="3" t="inlineStr">
        <is>
          <t>18147</t>
        </is>
      </c>
      <c r="B18195" s="4" t="s">
        <f>=HYPERLINK("http://anyluxury.ru/shop/odezhda/rubashki-polo/rubashka-polo-muzhskaya-summer-170-yarkosinyaya-royal-137944/" , "1379.44 Рубашка поло мужская SUMMER 170 ярко-синяя (royal), размер L")</f>
      </c>
      <c r="C18195" s="4" t="n">
        <v>1135.00</v>
      </c>
      <c r="D18195" s="4"/>
    </row>
    <row collapsed="" customFormat="false" customHeight="1" hidden="" ht="14" outlineLevel="0" r="18196">
      <c r="A18196" s="3" t="inlineStr">
        <is>
          <t>18148</t>
        </is>
      </c>
      <c r="B18196" s="4" t="s">
        <f>=HYPERLINK("http://anyluxury.ru/shop/odezhda/rubashki-polo/rubashka-polo-muzhskaya-summer-170-yarkosinyaya-royal-137944/" , "1379.44 Рубашка поло мужская SUMMER 170 ярко-синяя (royal), размер XL")</f>
      </c>
      <c r="C18196" s="4" t="n">
        <v>1135.00</v>
      </c>
      <c r="D18196" s="4"/>
    </row>
    <row collapsed="" customFormat="false" customHeight="1" hidden="" ht="14" outlineLevel="0" r="18197">
      <c r="A18197" s="3" t="inlineStr">
        <is>
          <t>18149</t>
        </is>
      </c>
      <c r="B18197" s="4" t="s">
        <f>=HYPERLINK("http://anyluxury.ru/shop/odezhda/rubashki-polo/rubashka-polo-muzhskaya-summer-170-yarkosinyaya-royal-137944/" , "1379.44 Рубашка поло мужская SUMMER 170 ярко-синяя (royal), размер XXL")</f>
      </c>
      <c r="C18197" s="4" t="n">
        <v>1135.00</v>
      </c>
      <c r="D18197" s="4"/>
    </row>
    <row collapsed="" customFormat="false" customHeight="1" hidden="" ht="14" outlineLevel="0" r="18198">
      <c r="A18198" s="3" t="inlineStr">
        <is>
          <t>18150</t>
        </is>
      </c>
      <c r="B18198" s="4" t="s">
        <f>=HYPERLINK("http://anyluxury.ru/shop/odezhda/rubashki-polo/rubashka-polo-muzhskaya-summer-170-yarkozelenaya-137992/" , "1379.92 Рубашка поло мужская SUMMER 170 ярко-зеленая, размер XS")</f>
      </c>
      <c r="C18198" s="4" t="n">
        <v>1135.00</v>
      </c>
      <c r="D18198" s="4"/>
    </row>
    <row collapsed="" customFormat="false" customHeight="1" hidden="" ht="14" outlineLevel="0" r="18199">
      <c r="A18199" s="3" t="inlineStr">
        <is>
          <t>18151</t>
        </is>
      </c>
      <c r="B18199" s="4" t="s">
        <f>=HYPERLINK("http://anyluxury.ru/shop/odezhda/rubashki-polo/rubashka-polo-muzhskaya-summer-170-yarkozelenaya-137992/" , "1379.92 Рубашка поло мужская SUMMER 170 ярко-зеленая, размер S")</f>
      </c>
      <c r="C18199" s="4" t="n">
        <v>1135.00</v>
      </c>
      <c r="D18199" s="4"/>
    </row>
    <row collapsed="" customFormat="false" customHeight="1" hidden="" ht="14" outlineLevel="0" r="18200">
      <c r="A18200" s="3" t="inlineStr">
        <is>
          <t>18152</t>
        </is>
      </c>
      <c r="B18200" s="4" t="s">
        <f>=HYPERLINK("http://anyluxury.ru/shop/odezhda/rubashki-polo/rubashka-polo-muzhskaya-summer-170-yarkozelenaya-137992/" , "1379.92 Рубашка поло мужская SUMMER 170 ярко-зеленая, размер M")</f>
      </c>
      <c r="C18200" s="4" t="n">
        <v>1135.00</v>
      </c>
      <c r="D18200" s="4"/>
    </row>
    <row collapsed="" customFormat="false" customHeight="1" hidden="" ht="14" outlineLevel="0" r="18201">
      <c r="A18201" s="3" t="inlineStr">
        <is>
          <t>18153</t>
        </is>
      </c>
      <c r="B18201" s="4" t="s">
        <f>=HYPERLINK("http://anyluxury.ru/shop/odezhda/rubashki-polo/rubashka-polo-muzhskaya-summer-170-yarkozelenaya-137992/" , "1379.92 Рубашка поло мужская SUMMER 170 ярко-зеленая, размер L")</f>
      </c>
      <c r="C18201" s="4" t="n">
        <v>1135.00</v>
      </c>
      <c r="D18201" s="4"/>
    </row>
    <row collapsed="" customFormat="false" customHeight="1" hidden="" ht="14" outlineLevel="0" r="18202">
      <c r="A18202" s="3" t="inlineStr">
        <is>
          <t>18154</t>
        </is>
      </c>
      <c r="B18202" s="4" t="s">
        <f>=HYPERLINK("http://anyluxury.ru/shop/odezhda/rubashki-polo/rubashka-polo-muzhskaya-summer-170-yarkozelenaya-137992/" , "1379.92 Рубашка поло мужская SUMMER 170 ярко-зеленая, размер XL")</f>
      </c>
      <c r="C18202" s="4" t="n">
        <v>1135.00</v>
      </c>
      <c r="D18202" s="4"/>
    </row>
    <row collapsed="" customFormat="false" customHeight="1" hidden="" ht="14" outlineLevel="0" r="18203">
      <c r="A18203" s="3" t="inlineStr">
        <is>
          <t>18155</t>
        </is>
      </c>
      <c r="B18203" s="4" t="s">
        <f>=HYPERLINK("http://anyluxury.ru/shop/odezhda/rubashki-polo/rubashka-polo-muzhskaya-summer-170-yarkozelenaya-137992/" , "1379.92 Рубашка поло мужская SUMMER 170 ярко-зеленая, размер XXL")</f>
      </c>
      <c r="C18203" s="4" t="n">
        <v>1135.00</v>
      </c>
      <c r="D18203" s="4"/>
    </row>
    <row collapsed="" customFormat="false" customHeight="1" hidden="" ht="14" outlineLevel="0" r="18204">
      <c r="A18204" s="3" t="inlineStr">
        <is>
          <t>18156</t>
        </is>
      </c>
      <c r="B18204" s="4" t="s">
        <f>=HYPERLINK("http://anyluxury.ru/shop/odezhda/rubashki-polo/rubashka-polo-muzhskaya-summer-170-temnozelenaya-137990/" , "1379.90 Рубашка поло мужская SUMMER 170 темно-зеленая, размер XS")</f>
      </c>
      <c r="C18204" s="4" t="n">
        <v>1135.00</v>
      </c>
      <c r="D18204" s="4"/>
    </row>
    <row collapsed="" customFormat="false" customHeight="1" hidden="" ht="14" outlineLevel="0" r="18205">
      <c r="A18205" s="3" t="inlineStr">
        <is>
          <t>18157</t>
        </is>
      </c>
      <c r="B18205" s="4" t="s">
        <f>=HYPERLINK("http://anyluxury.ru/shop/odezhda/rubashki-polo/rubashka-polo-muzhskaya-summer-170-temnozelenaya-137990/" , "1379.90 Рубашка поло мужская SUMMER 170 темно-зеленая, размер S")</f>
      </c>
      <c r="C18205" s="4" t="n">
        <v>1135.00</v>
      </c>
      <c r="D18205" s="4"/>
    </row>
    <row collapsed="" customFormat="false" customHeight="1" hidden="" ht="14" outlineLevel="0" r="18206">
      <c r="A18206" s="3" t="inlineStr">
        <is>
          <t>18158</t>
        </is>
      </c>
      <c r="B18206" s="4" t="s">
        <f>=HYPERLINK("http://anyluxury.ru/shop/odezhda/rubashki-polo/rubashka-polo-muzhskaya-summer-170-temnozelenaya-137990/" , "1379.90 Рубашка поло мужская SUMMER 170 темно-зеленая, размер M")</f>
      </c>
      <c r="C18206" s="4" t="n">
        <v>1135.00</v>
      </c>
      <c r="D18206" s="4"/>
    </row>
    <row collapsed="" customFormat="false" customHeight="1" hidden="" ht="14" outlineLevel="0" r="18207">
      <c r="A18207" s="3" t="inlineStr">
        <is>
          <t>18159</t>
        </is>
      </c>
      <c r="B18207" s="4" t="s">
        <f>=HYPERLINK("http://anyluxury.ru/shop/odezhda/rubashki-polo/rubashka-polo-muzhskaya-summer-170-temnozelenaya-137990/" , "1379.90 Рубашка поло мужская SUMMER 170 темно-зеленая, размер L")</f>
      </c>
      <c r="C18207" s="4" t="n">
        <v>1135.00</v>
      </c>
      <c r="D18207" s="4"/>
    </row>
    <row collapsed="" customFormat="false" customHeight="1" hidden="" ht="14" outlineLevel="0" r="18208">
      <c r="A18208" s="3" t="inlineStr">
        <is>
          <t>18160</t>
        </is>
      </c>
      <c r="B18208" s="4" t="s">
        <f>=HYPERLINK("http://anyluxury.ru/shop/odezhda/rubashki-polo/rubashka-polo-muzhskaya-summer-170-temnozelenaya-137990/" , "1379.90 Рубашка поло мужская SUMMER 170 темно-зеленая, размер XL")</f>
      </c>
      <c r="C18208" s="4" t="n">
        <v>1135.00</v>
      </c>
      <c r="D18208" s="4"/>
    </row>
    <row collapsed="" customFormat="false" customHeight="1" hidden="" ht="14" outlineLevel="0" r="18209">
      <c r="A18209" s="3" t="inlineStr">
        <is>
          <t>18161</t>
        </is>
      </c>
      <c r="B18209" s="4" t="s">
        <f>=HYPERLINK("http://anyluxury.ru/shop/odezhda/rubashki-polo/rubashka-polo-muzhskaya-summer-170-temnozelenaya-137990/" , "1379.90 Рубашка поло мужская SUMMER 170 темно-зеленая, размер XXL")</f>
      </c>
      <c r="C18209" s="4" t="n">
        <v>1135.00</v>
      </c>
      <c r="D18209" s="4"/>
    </row>
    <row collapsed="" customFormat="false" customHeight="1" hidden="" ht="14" outlineLevel="0" r="18210">
      <c r="A18210" s="3" t="inlineStr">
        <is>
          <t>18162</t>
        </is>
      </c>
      <c r="B18210" s="4" t="s">
        <f>=HYPERLINK("http://anyluxury.ru/shop/odezhda/rubashki-polo/rubashka-polo-muzhskaya-summer-170-zheltaya-137980/" , "1379.80 Рубашка поло мужская SUMMER 170 желтая, размер XS")</f>
      </c>
      <c r="C18210" s="4" t="n">
        <v>1135.00</v>
      </c>
      <c r="D18210" s="4"/>
    </row>
    <row collapsed="" customFormat="false" customHeight="1" hidden="" ht="14" outlineLevel="0" r="18211">
      <c r="A18211" s="3" t="inlineStr">
        <is>
          <t>18163</t>
        </is>
      </c>
      <c r="B18211" s="4" t="s">
        <f>=HYPERLINK("http://anyluxury.ru/shop/odezhda/rubashki-polo/rubashka-polo-muzhskaya-summer-170-zheltaya-137980/" , "1379.80 Рубашка поло мужская SUMMER 170 желтая, размер S")</f>
      </c>
      <c r="C18211" s="4" t="n">
        <v>1135.00</v>
      </c>
      <c r="D18211" s="4"/>
    </row>
    <row collapsed="" customFormat="false" customHeight="1" hidden="" ht="14" outlineLevel="0" r="18212">
      <c r="A18212" s="3" t="inlineStr">
        <is>
          <t>18164</t>
        </is>
      </c>
      <c r="B18212" s="4" t="s">
        <f>=HYPERLINK("http://anyluxury.ru/shop/odezhda/rubashki-polo/rubashka-polo-muzhskaya-summer-170-zheltaya-137980/" , "1379.80 Рубашка поло мужская SUMMER 170 желтая, размер M")</f>
      </c>
      <c r="C18212" s="4" t="n">
        <v>1135.00</v>
      </c>
      <c r="D18212" s="4"/>
    </row>
    <row collapsed="" customFormat="false" customHeight="1" hidden="" ht="14" outlineLevel="0" r="18213">
      <c r="A18213" s="3" t="inlineStr">
        <is>
          <t>18165</t>
        </is>
      </c>
      <c r="B18213" s="4" t="s">
        <f>=HYPERLINK("http://anyluxury.ru/shop/odezhda/rubashki-polo/rubashka-polo-muzhskaya-summer-170-zheltaya-137980/" , "1379.80 Рубашка поло мужская SUMMER 170 желтая, размер L")</f>
      </c>
      <c r="C18213" s="4" t="n">
        <v>1135.00</v>
      </c>
      <c r="D18213" s="4"/>
    </row>
    <row collapsed="" customFormat="false" customHeight="1" hidden="" ht="14" outlineLevel="0" r="18214">
      <c r="A18214" s="3" t="inlineStr">
        <is>
          <t>18166</t>
        </is>
      </c>
      <c r="B18214" s="4" t="s">
        <f>=HYPERLINK("http://anyluxury.ru/shop/odezhda/rubashki-polo/rubashka-polo-muzhskaya-summer-170-zheltaya-137980/" , "1379.80 Рубашка поло мужская SUMMER 170 желтая, размер XL")</f>
      </c>
      <c r="C18214" s="4" t="n">
        <v>1135.00</v>
      </c>
      <c r="D18214" s="4"/>
    </row>
    <row collapsed="" customFormat="false" customHeight="1" hidden="" ht="14" outlineLevel="0" r="18215">
      <c r="A18215" s="3" t="inlineStr">
        <is>
          <t>18167</t>
        </is>
      </c>
      <c r="B18215" s="4" t="s">
        <f>=HYPERLINK("http://anyluxury.ru/shop/odezhda/rubashki-polo/rubashka-polo-muzhskaya-summer-170-zheltaya-137980/" , "1379.80 Рубашка поло мужская SUMMER 170 желтая, размер XXL")</f>
      </c>
      <c r="C18215" s="4" t="n">
        <v>1135.00</v>
      </c>
      <c r="D18215" s="4"/>
    </row>
    <row collapsed="" customFormat="false" customHeight="1" hidden="" ht="14" outlineLevel="0" r="18216">
      <c r="A18216" s="3" t="inlineStr">
        <is>
          <t>18168</t>
        </is>
      </c>
      <c r="B18216" s="4" t="s">
        <f>=HYPERLINK("http://anyluxury.ru/shop/odezhda/rubashki-polo/rubashka-polo-muzhskaya-summer-170-oranzhevaya-137920/" , "1379.20 Рубашка поло мужская SUMMER 170 оранжевая, размер XS")</f>
      </c>
      <c r="C18216" s="4" t="n">
        <v>1135.00</v>
      </c>
      <c r="D18216" s="4"/>
    </row>
    <row collapsed="" customFormat="false" customHeight="1" hidden="" ht="14" outlineLevel="0" r="18217">
      <c r="A18217" s="3" t="inlineStr">
        <is>
          <t>18169</t>
        </is>
      </c>
      <c r="B18217" s="4" t="s">
        <f>=HYPERLINK("http://anyluxury.ru/shop/odezhda/rubashki-polo/rubashka-polo-muzhskaya-summer-170-oranzhevaya-137920/" , "1379.20 Рубашка поло мужская SUMMER 170 оранжевая, размер S")</f>
      </c>
      <c r="C18217" s="4" t="n">
        <v>1135.00</v>
      </c>
      <c r="D18217" s="4"/>
    </row>
    <row collapsed="" customFormat="false" customHeight="1" hidden="" ht="14" outlineLevel="0" r="18218">
      <c r="A18218" s="3" t="inlineStr">
        <is>
          <t>18170</t>
        </is>
      </c>
      <c r="B18218" s="4" t="s">
        <f>=HYPERLINK("http://anyluxury.ru/shop/odezhda/rubashki-polo/rubashka-polo-muzhskaya-summer-170-oranzhevaya-137920/" , "1379.20 Рубашка поло мужская SUMMER 170 оранжевая, размер M")</f>
      </c>
      <c r="C18218" s="4" t="n">
        <v>1135.00</v>
      </c>
      <c r="D18218" s="4"/>
    </row>
    <row collapsed="" customFormat="false" customHeight="1" hidden="" ht="14" outlineLevel="0" r="18219">
      <c r="A18219" s="3" t="inlineStr">
        <is>
          <t>18171</t>
        </is>
      </c>
      <c r="B18219" s="4" t="s">
        <f>=HYPERLINK("http://anyluxury.ru/shop/odezhda/rubashki-polo/rubashka-polo-muzhskaya-summer-170-oranzhevaya-137920/" , "1379.20 Рубашка поло мужская SUMMER 170 оранжевая, размер L")</f>
      </c>
      <c r="C18219" s="4" t="n">
        <v>1135.00</v>
      </c>
      <c r="D18219" s="4"/>
    </row>
    <row collapsed="" customFormat="false" customHeight="1" hidden="" ht="14" outlineLevel="0" r="18220">
      <c r="A18220" s="3" t="inlineStr">
        <is>
          <t>18172</t>
        </is>
      </c>
      <c r="B18220" s="4" t="s">
        <f>=HYPERLINK("http://anyluxury.ru/shop/odezhda/rubashki-polo/rubashka-polo-muzhskaya-summer-170-oranzhevaya-137920/" , "1379.20 Рубашка поло мужская SUMMER 170 оранжевая, размер XL")</f>
      </c>
      <c r="C18220" s="4" t="n">
        <v>1135.00</v>
      </c>
      <c r="D18220" s="4"/>
    </row>
    <row collapsed="" customFormat="false" customHeight="1" hidden="" ht="14" outlineLevel="0" r="18221">
      <c r="A18221" s="3" t="inlineStr">
        <is>
          <t>18173</t>
        </is>
      </c>
      <c r="B18221" s="4" t="s">
        <f>=HYPERLINK("http://anyluxury.ru/shop/odezhda/rubashki-polo/rubashka-polo-muzhskaya-summer-170-oranzhevaya-137920/" , "1379.20 Рубашка поло мужская SUMMER 170 оранжевая, размер XXL")</f>
      </c>
      <c r="C18221" s="4" t="n">
        <v>1135.00</v>
      </c>
      <c r="D18221" s="4"/>
    </row>
    <row collapsed="" customFormat="false" customHeight="1" hidden="" ht="14" outlineLevel="0" r="18222">
      <c r="A18222" s="3" t="inlineStr">
        <is>
          <t>18174</t>
        </is>
      </c>
      <c r="B18222" s="4" t="s">
        <f>=HYPERLINK("http://anyluxury.ru/shop/odezhda/rubashki-polo/rubashka-polo-muzhskaya-summer-170-chernaya-137930/" , "1379.30 Рубашка поло мужская SUMMER 170 черная, размер XS")</f>
      </c>
      <c r="C18222" s="4" t="n">
        <v>1135.00</v>
      </c>
      <c r="D18222" s="4"/>
    </row>
    <row collapsed="" customFormat="false" customHeight="1" hidden="" ht="14" outlineLevel="0" r="18223">
      <c r="A18223" s="3" t="inlineStr">
        <is>
          <t>18175</t>
        </is>
      </c>
      <c r="B18223" s="4" t="s">
        <f>=HYPERLINK("http://anyluxury.ru/shop/odezhda/rubashki-polo/rubashka-polo-muzhskaya-summer-170-chernaya-137930/" , "1379.30 Рубашка поло мужская SUMMER 170 черная, размер S")</f>
      </c>
      <c r="C18223" s="4" t="n">
        <v>1135.00</v>
      </c>
      <c r="D18223" s="4"/>
    </row>
    <row collapsed="" customFormat="false" customHeight="1" hidden="" ht="14" outlineLevel="0" r="18224">
      <c r="A18224" s="3" t="inlineStr">
        <is>
          <t>18176</t>
        </is>
      </c>
      <c r="B18224" s="4" t="s">
        <f>=HYPERLINK("http://anyluxury.ru/shop/odezhda/rubashki-polo/rubashka-polo-muzhskaya-summer-170-chernaya-137930/" , "1379.30 Рубашка поло мужская SUMMER 170 черная, размер M")</f>
      </c>
      <c r="C18224" s="4" t="n">
        <v>1135.00</v>
      </c>
      <c r="D18224" s="4"/>
    </row>
    <row collapsed="" customFormat="false" customHeight="1" hidden="" ht="14" outlineLevel="0" r="18225">
      <c r="A18225" s="3" t="inlineStr">
        <is>
          <t>18177</t>
        </is>
      </c>
      <c r="B18225" s="4" t="s">
        <f>=HYPERLINK("http://anyluxury.ru/shop/odezhda/rubashki-polo/rubashka-polo-muzhskaya-summer-170-chernaya-137930/" , "1379.30 Рубашка поло мужская SUMMER 170 черная, размер L")</f>
      </c>
      <c r="C18225" s="4" t="n">
        <v>1135.00</v>
      </c>
      <c r="D18225" s="4"/>
    </row>
    <row collapsed="" customFormat="false" customHeight="1" hidden="" ht="14" outlineLevel="0" r="18226">
      <c r="A18226" s="3" t="inlineStr">
        <is>
          <t>18178</t>
        </is>
      </c>
      <c r="B18226" s="4" t="s">
        <f>=HYPERLINK("http://anyluxury.ru/shop/odezhda/rubashki-polo/rubashka-polo-muzhskaya-summer-170-chernaya-137930/" , "1379.30 Рубашка поло мужская SUMMER 170 черная, размер XL")</f>
      </c>
      <c r="C18226" s="4" t="n">
        <v>1135.00</v>
      </c>
      <c r="D18226" s="4"/>
    </row>
    <row collapsed="" customFormat="false" customHeight="1" hidden="" ht="14" outlineLevel="0" r="18227">
      <c r="A18227" s="3" t="inlineStr">
        <is>
          <t>18179</t>
        </is>
      </c>
      <c r="B18227" s="4" t="s">
        <f>=HYPERLINK("http://anyluxury.ru/shop/odezhda/rubashki-polo/rubashka-polo-muzhskaya-summer-170-chernaya-137930/" , "1379.30 Рубашка поло мужская SUMMER 170 черная, размер XXL")</f>
      </c>
      <c r="C18227" s="4" t="n">
        <v>1135.00</v>
      </c>
      <c r="D18227" s="4"/>
    </row>
    <row collapsed="" customFormat="false" customHeight="1" hidden="" ht="14" outlineLevel="0" r="18228">
      <c r="A18228" s="3" t="inlineStr">
        <is>
          <t>18180</t>
        </is>
      </c>
      <c r="B18228" s="4" t="s">
        <f>=HYPERLINK("http://anyluxury.ru/shop/odezhda/rubashki-polo/rubashka-polo-zhenskaya-bez-pugovic-pretty-220-belaya-183560/" , "1835.60 Рубашка поло женская без пуговиц PRETTY 220 белая, размер L")</f>
      </c>
      <c r="C18228" s="4" t="n">
        <v>800.00</v>
      </c>
      <c r="D18228" s="4"/>
    </row>
    <row collapsed="" customFormat="false" customHeight="1" hidden="" ht="14" outlineLevel="0" r="18229">
      <c r="A18229" s="3" t="inlineStr">
        <is>
          <t>18181</t>
        </is>
      </c>
      <c r="B18229" s="4" t="s">
        <f>=HYPERLINK("http://anyluxury.ru/shop/odezhda/rubashki-polo/rubashka-polo-zhenskaya-bez-pugovic-pretty-220-krasnaya-183550/" , "1835.50 Рубашка поло женская без пуговиц PRETTY 220 красная, размер L")</f>
      </c>
      <c r="C18229" s="4" t="n">
        <v>800.00</v>
      </c>
      <c r="D18229" s="4"/>
    </row>
    <row collapsed="" customFormat="false" customHeight="1" hidden="" ht="14" outlineLevel="0" r="18230">
      <c r="A18230" s="3" t="inlineStr">
        <is>
          <t>18182</t>
        </is>
      </c>
      <c r="B18230" s="4" t="s">
        <f>=HYPERLINK("http://anyluxury.ru/shop/odezhda/rubashki-polo/rubashka-polo-zhenskaya-bez-pugovic-pretty-220-chernaya-183530/" , "1835.30 Рубашка поло женская без пуговиц PRETTY 220 черная, размер L")</f>
      </c>
      <c r="C18230" s="4" t="n">
        <v>800.00</v>
      </c>
      <c r="D18230" s="4"/>
    </row>
    <row collapsed="" customFormat="false" customHeight="1" hidden="" ht="14" outlineLevel="0" r="18231">
      <c r="A18231" s="3" t="inlineStr">
        <is>
          <t>18183</t>
        </is>
      </c>
      <c r="B18231" s="4" t="s">
        <f>=HYPERLINK("http://anyluxury.ru/shop/odezhda/rubashki-polo/rubashka-polo-zhenskaya-bez-pugovic-pretty-220-yarkorozovaya-183556/" , "1835.56 Рубашка поло женская без пуговиц PRETTY 220 ярко-розовая, размер S ")</f>
      </c>
      <c r="C18231" s="4" t="n">
        <v>800.00</v>
      </c>
      <c r="D18231" s="4"/>
    </row>
    <row collapsed="" customFormat="false" customHeight="1" hidden="" ht="14" outlineLevel="0" r="18232">
      <c r="A18232" s="3" t="inlineStr">
        <is>
          <t>18184</t>
        </is>
      </c>
      <c r="B18232" s="4" t="s">
        <f>=HYPERLINK("http://anyluxury.ru/shop/odezhda/rubashki-polo/rubashka-polo-zhenskaya-bez-pugovic-pretty-220-yarkorozovaya-183556/" , "1835.56 Рубашка поло женская без пуговиц PRETTY 220 ярко-розовая, размер L")</f>
      </c>
      <c r="C18232" s="4" t="n">
        <v>800.00</v>
      </c>
      <c r="D18232" s="4"/>
    </row>
    <row collapsed="" customFormat="false" customHeight="1" hidden="" ht="14" outlineLevel="0" r="18233">
      <c r="A18233" s="3" t="inlineStr">
        <is>
          <t>18185</t>
        </is>
      </c>
      <c r="B18233" s="4" t="s">
        <f>=HYPERLINK("http://anyluxury.ru/shop/odezhda/rubashki-polo/rubashka-polo-zhenskaya-people-210-bezhevaya-189510/" , "1895.10 Рубашка поло женская PEOPLE 210 бежевая (песок), размер S")</f>
      </c>
      <c r="C18233" s="4" t="n">
        <v>1727.00</v>
      </c>
      <c r="D18233" s="4"/>
    </row>
    <row collapsed="" customFormat="false" customHeight="1" hidden="" ht="14" outlineLevel="0" r="18234">
      <c r="A18234" s="3" t="inlineStr">
        <is>
          <t>18186</t>
        </is>
      </c>
      <c r="B18234" s="4" t="s">
        <f>=HYPERLINK("http://anyluxury.ru/shop/odezhda/rubashki-polo/rubashka-polo-zhenskaya-people-210-bezhevaya-189510/" , "1895.10 Рубашка поло женская PEOPLE 210 бежевая (песок), размер M")</f>
      </c>
      <c r="C18234" s="4" t="n">
        <v>1727.00</v>
      </c>
      <c r="D18234" s="4"/>
    </row>
    <row collapsed="" customFormat="false" customHeight="1" hidden="" ht="14" outlineLevel="0" r="18235">
      <c r="A18235" s="3" t="inlineStr">
        <is>
          <t>18187</t>
        </is>
      </c>
      <c r="B18235" s="4" t="s">
        <f>=HYPERLINK("http://anyluxury.ru/shop/odezhda/rubashki-polo/rubashka-polo-zhenskaya-people-210-bezhevaya-189510/" , "1895.10 Рубашка поло женская PEOPLE 210 бежевая (песок), размер L")</f>
      </c>
      <c r="C18235" s="4" t="n">
        <v>1727.00</v>
      </c>
      <c r="D18235" s="4"/>
    </row>
    <row collapsed="" customFormat="false" customHeight="1" hidden="" ht="14" outlineLevel="0" r="18236">
      <c r="A18236" s="3" t="inlineStr">
        <is>
          <t>18188</t>
        </is>
      </c>
      <c r="B18236" s="4" t="s">
        <f>=HYPERLINK("http://anyluxury.ru/shop/odezhda/rubashki-polo/rubashka-polo-zhenskaya-people-210-bezhevaya-189510/" , "1895.10 Рубашка поло женская PEOPLE 210 бежевая (песок), размер XL")</f>
      </c>
      <c r="C18236" s="4" t="n">
        <v>1727.00</v>
      </c>
      <c r="D18236" s="4"/>
    </row>
    <row collapsed="" customFormat="false" customHeight="1" hidden="" ht="14" outlineLevel="0" r="18237">
      <c r="A18237" s="3" t="inlineStr">
        <is>
          <t>18189</t>
        </is>
      </c>
      <c r="B18237" s="4" t="s">
        <f>=HYPERLINK("http://anyluxury.ru/shop/odezhda/rubashki-polo/rubashka-polo-zhenskaya-people-210-bezhevaya-189510/" , "1895.10 Рубашка поло женская PEOPLE 210 бежевая (песок), размер XXL")</f>
      </c>
      <c r="C18237" s="4" t="n">
        <v>1727.00</v>
      </c>
      <c r="D18237" s="4"/>
    </row>
    <row collapsed="" customFormat="false" customHeight="1" hidden="" ht="14" outlineLevel="0" r="18238">
      <c r="A18238" s="3" t="inlineStr">
        <is>
          <t>18190</t>
        </is>
      </c>
      <c r="B18238" s="4" t="s">
        <f>=HYPERLINK("http://anyluxury.ru/shop/odezhda/rubashki-polo/rubashka-polo-zhenskaya-people-210-seriy-melanzh-189511/" , "1895.11 Рубашка поло женская PEOPLE 210 серый меланж, размер M")</f>
      </c>
      <c r="C18238" s="4" t="n">
        <v>1727.00</v>
      </c>
      <c r="D18238" s="4"/>
    </row>
    <row collapsed="" customFormat="false" customHeight="1" hidden="" ht="14" outlineLevel="0" r="18239">
      <c r="A18239" s="3" t="inlineStr">
        <is>
          <t>18191</t>
        </is>
      </c>
      <c r="B18239" s="4" t="s">
        <f>=HYPERLINK("http://anyluxury.ru/shop/odezhda/rubashki-polo/rubashka-polo-zhenskaya-people-210-seriy-melanzh-189511/" , "1895.11 Рубашка поло женская PEOPLE 210 серый меланж, размер XL")</f>
      </c>
      <c r="C18239" s="4" t="n">
        <v>1727.00</v>
      </c>
      <c r="D18239" s="4"/>
    </row>
    <row collapsed="" customFormat="false" customHeight="1" hidden="" ht="14" outlineLevel="0" r="18240">
      <c r="A18240" s="3" t="inlineStr">
        <is>
          <t>18192</t>
        </is>
      </c>
      <c r="B18240" s="4" t="s">
        <f>=HYPERLINK("http://anyluxury.ru/shop/odezhda/rubashki-polo/rubashka-polo-zhenskaya-people-210-seriy-melanzh-189511/" , "1895.11 Рубашка поло женская PEOPLE 210 серый меланж, размер XXL")</f>
      </c>
      <c r="C18240" s="4" t="n">
        <v>1727.00</v>
      </c>
      <c r="D18240" s="4"/>
    </row>
    <row collapsed="" customFormat="false" customHeight="1" hidden="" ht="14" outlineLevel="0" r="18241">
      <c r="A18241" s="3" t="inlineStr">
        <is>
          <t>18193</t>
        </is>
      </c>
      <c r="B18241" s="4" t="s">
        <f>=HYPERLINK("http://anyluxury.ru/shop/odezhda/rubashki-polo/rubashka-polo-zhenskaya-people-210-nezhnorozovaya-189515/" , "1895.15 Рубашка поло женская PEOPLE 210 нежно-розовая, размер XL")</f>
      </c>
      <c r="C18241" s="4" t="n">
        <v>1727.00</v>
      </c>
      <c r="D18241" s="4"/>
    </row>
    <row collapsed="" customFormat="false" customHeight="1" hidden="" ht="14" outlineLevel="0" r="18242">
      <c r="A18242" s="3" t="inlineStr">
        <is>
          <t>18194</t>
        </is>
      </c>
      <c r="B18242" s="4" t="s">
        <f>=HYPERLINK("http://anyluxury.ru/shop/odezhda/rubashki-polo/rubashka-polo-zhenskaya-people-210-nezhnorozovaya-189515/" , "1895.15 Рубашка поло женская PEOPLE 210 нежно-розовая, размер XXL")</f>
      </c>
      <c r="C18242" s="4" t="n">
        <v>1727.00</v>
      </c>
      <c r="D18242" s="4"/>
    </row>
    <row collapsed="" customFormat="false" customHeight="1" hidden="" ht="14" outlineLevel="0" r="18243">
      <c r="A18243" s="3" t="inlineStr">
        <is>
          <t>18195</t>
        </is>
      </c>
      <c r="B18243" s="4" t="s">
        <f>=HYPERLINK("http://anyluxury.ru/shop/odezhda/rubashki-polo/rubashka-polo-zhenskaya-people-210-nezhnorozovaya-189515/" , "1895.15 Рубашка поло женская People 210 нежно-розовая, размер S")</f>
      </c>
      <c r="C18243" s="4" t="n">
        <v>1727.00</v>
      </c>
      <c r="D18243" s="4"/>
    </row>
    <row collapsed="" customFormat="false" customHeight="1" hidden="" ht="14" outlineLevel="0" r="18244">
      <c r="A18244" s="3" t="inlineStr">
        <is>
          <t>18196</t>
        </is>
      </c>
      <c r="B18244" s="4" t="s">
        <f>=HYPERLINK("http://anyluxury.ru/shop/odezhda/rubashki-polo/rubashka-polo-zhenskaya-people-210-nezhnorozovaya-189515/" , "1895.15 Рубашка поло женская People 210 нежно-розовая, размер L")</f>
      </c>
      <c r="C18244" s="4" t="n">
        <v>1727.00</v>
      </c>
      <c r="D18244" s="4"/>
    </row>
    <row collapsed="" customFormat="false" customHeight="1" hidden="" ht="14" outlineLevel="0" r="18245">
      <c r="A18245" s="3" t="inlineStr">
        <is>
          <t>18197</t>
        </is>
      </c>
      <c r="B18245" s="4" t="s">
        <f>=HYPERLINK("http://anyluxury.ru/shop/odezhda/rubashki-polo/rubashka-polo-zhenskaya-people-210-golubaya-189514/" , "1895.14 Рубашка поло женская PEOPLE 210 голубая, размер S")</f>
      </c>
      <c r="C18245" s="4" t="n">
        <v>1727.00</v>
      </c>
      <c r="D18245" s="4"/>
    </row>
    <row collapsed="" customFormat="false" customHeight="1" hidden="" ht="14" outlineLevel="0" r="18246">
      <c r="A18246" s="3" t="inlineStr">
        <is>
          <t>18198</t>
        </is>
      </c>
      <c r="B18246" s="4" t="s">
        <f>=HYPERLINK("http://anyluxury.ru/shop/odezhda/rubashki-polo/rubashka-polo-zhenskaya-people-210-golubaya-189514/" , "1895.14 Рубашка поло женская PEOPLE 210 голубая, размер L")</f>
      </c>
      <c r="C18246" s="4" t="n">
        <v>1727.00</v>
      </c>
      <c r="D18246" s="4"/>
    </row>
    <row collapsed="" customFormat="false" customHeight="1" hidden="" ht="14" outlineLevel="0" r="18247">
      <c r="A18247" s="3" t="inlineStr">
        <is>
          <t>18199</t>
        </is>
      </c>
      <c r="B18247" s="4" t="s">
        <f>=HYPERLINK("http://anyluxury.ru/shop/odezhda/rubashki-polo/rubashka-polo-zhenskaya-people-210-golubaya-189514/" , "1895.14 Рубашка поло женская PEOPLE 210 голубая, размер XL")</f>
      </c>
      <c r="C18247" s="4" t="n">
        <v>1727.00</v>
      </c>
      <c r="D18247" s="4"/>
    </row>
    <row collapsed="" customFormat="false" customHeight="1" hidden="" ht="14" outlineLevel="0" r="18248">
      <c r="A18248" s="3" t="inlineStr">
        <is>
          <t>18200</t>
        </is>
      </c>
      <c r="B18248" s="4" t="s">
        <f>=HYPERLINK("http://anyluxury.ru/shop/odezhda/rubashki-polo/rubashka-polo-zhenskaya-people-210-rozovaya-orhideya-189556/" , "1895.56 Рубашка поло женская PEOPLE 210 'розовая орхидея', размер S")</f>
      </c>
      <c r="C18248" s="4" t="n">
        <v>1727.00</v>
      </c>
      <c r="D18248" s="4"/>
    </row>
    <row collapsed="" customFormat="false" customHeight="1" hidden="" ht="14" outlineLevel="0" r="18249">
      <c r="A18249" s="3" t="inlineStr">
        <is>
          <t>18201</t>
        </is>
      </c>
      <c r="B18249" s="4" t="s">
        <f>=HYPERLINK("http://anyluxury.ru/shop/odezhda/rubashki-polo/rubashka-polo-zhenskaya-people-210-rozovaya-orhideya-189556/" , "1895.56 Рубашка поло женская PEOPLE 210 'розовая орхидея', размер L")</f>
      </c>
      <c r="C18249" s="4" t="n">
        <v>1727.00</v>
      </c>
      <c r="D18249" s="4"/>
    </row>
    <row collapsed="" customFormat="false" customHeight="1" hidden="" ht="14" outlineLevel="0" r="18250">
      <c r="A18250" s="3" t="inlineStr">
        <is>
          <t>18202</t>
        </is>
      </c>
      <c r="B18250" s="4" t="s">
        <f>=HYPERLINK("http://anyluxury.ru/shop/odezhda/rubashki-polo/rubashka-polo-zhenskaya-people-210-rozovaya-orhideya-189556/" , "1895.56 Рубашка поло женская PEOPLE 210 «розовая орхидея», размер XL")</f>
      </c>
      <c r="C18250" s="4" t="n">
        <v>1727.00</v>
      </c>
      <c r="D18250" s="4"/>
    </row>
    <row collapsed="" customFormat="false" customHeight="1" hidden="" ht="14" outlineLevel="0" r="18251">
      <c r="A18251" s="3" t="inlineStr">
        <is>
          <t>18203</t>
        </is>
      </c>
      <c r="B18251" s="4" t="s">
        <f>=HYPERLINK("http://anyluxury.ru/shop/odezhda/rubashki-polo/rubashka-polo-zhenskaya-people-210-rozovaya-orhideya-189556/" , "1895.56 Рубашка поло женская PEOPLE 210 «розовая орхидея», размер XXL")</f>
      </c>
      <c r="C18251" s="4" t="n">
        <v>1727.00</v>
      </c>
      <c r="D18251" s="4"/>
    </row>
    <row collapsed="" customFormat="false" customHeight="1" hidden="" ht="14" outlineLevel="0" r="18252">
      <c r="A18252" s="3" t="inlineStr">
        <is>
          <t>18204</t>
        </is>
      </c>
      <c r="B18252" s="4" t="s">
        <f>=HYPERLINK("http://anyluxury.ru/shop/odezhda/rubashki-polo/rubashka-polo-muzhskaya-spring-210-seriy-melanzh-189811/" , "1898.11 Рубашка поло мужская SPRING 210 серый меланж, размер S")</f>
      </c>
      <c r="C18252" s="4" t="n">
        <v>1768.00</v>
      </c>
      <c r="D18252" s="4"/>
    </row>
    <row collapsed="" customFormat="false" customHeight="1" hidden="" ht="14" outlineLevel="0" r="18253">
      <c r="A18253" s="3" t="inlineStr">
        <is>
          <t>18205</t>
        </is>
      </c>
      <c r="B18253" s="4" t="s">
        <f>=HYPERLINK("http://anyluxury.ru/shop/odezhda/rubashki-polo/rubashka-polo-muzhskaya-spring-210-seriy-melanzh-189811/" , "1898.11 Рубашка поло мужская SPRING 210 серый меланж, размер M")</f>
      </c>
      <c r="C18253" s="4" t="n">
        <v>1768.00</v>
      </c>
      <c r="D18253" s="4"/>
    </row>
    <row collapsed="" customFormat="false" customHeight="1" hidden="" ht="14" outlineLevel="0" r="18254">
      <c r="A18254" s="3" t="inlineStr">
        <is>
          <t>18206</t>
        </is>
      </c>
      <c r="B18254" s="4" t="s">
        <f>=HYPERLINK("http://anyluxury.ru/shop/odezhda/rubashki-polo/rubashka-polo-muzhskaya-spring-210-seriy-melanzh-189811/" , "1898.11 Рубашка поло мужская SPRING 210 серый меланж, размер L")</f>
      </c>
      <c r="C18254" s="4" t="n">
        <v>1768.00</v>
      </c>
      <c r="D18254" s="4"/>
    </row>
    <row collapsed="" customFormat="false" customHeight="1" hidden="" ht="14" outlineLevel="0" r="18255">
      <c r="A18255" s="3" t="inlineStr">
        <is>
          <t>18207</t>
        </is>
      </c>
      <c r="B18255" s="4" t="s">
        <f>=HYPERLINK("http://anyluxury.ru/shop/odezhda/rubashki-polo/rubashka-polo-muzhskaya-spring-210-seriy-melanzh-189811/" , "1898.11 Рубашка поло мужская SPRING 210 серый меланж, размер XL")</f>
      </c>
      <c r="C18255" s="4" t="n">
        <v>1768.00</v>
      </c>
      <c r="D18255" s="4"/>
    </row>
    <row collapsed="" customFormat="false" customHeight="1" hidden="" ht="14" outlineLevel="0" r="18256">
      <c r="A18256" s="3" t="inlineStr">
        <is>
          <t>18208</t>
        </is>
      </c>
      <c r="B18256" s="4" t="s">
        <f>=HYPERLINK("http://anyluxury.ru/shop/odezhda/rubashki-polo/rubashka-polo-muzhskaya-spring-210-seriy-melanzh-189811/" , "1898.11 Рубашка поло мужская SPRING 210 серый меланж, размер XXL")</f>
      </c>
      <c r="C18256" s="4" t="n">
        <v>1768.00</v>
      </c>
      <c r="D18256" s="4"/>
    </row>
    <row collapsed="" customFormat="false" customHeight="1" hidden="" ht="14" outlineLevel="0" r="18257">
      <c r="A18257" s="3" t="inlineStr">
        <is>
          <t>18209</t>
        </is>
      </c>
      <c r="B18257" s="4" t="s">
        <f>=HYPERLINK("http://anyluxury.ru/shop/odezhda/rubashki-polo/rubashka-polo-muzhskaya-spring-210-seriy-melanzh-189811/" , "1898.11 Рубашка поло мужская SPRING 210 серый меланж, размер 3XL")</f>
      </c>
      <c r="C18257" s="4" t="n">
        <v>2116.00</v>
      </c>
      <c r="D18257" s="4"/>
    </row>
    <row collapsed="" customFormat="false" customHeight="1" hidden="" ht="14" outlineLevel="0" r="18258">
      <c r="A18258" s="3" t="inlineStr">
        <is>
          <t>18210</t>
        </is>
      </c>
      <c r="B18258" s="4" t="s">
        <f>=HYPERLINK("http://anyluxury.ru/shop/odezhda/rubashki-polo/rubashka-polo-muzhskaya-spring-210-seriy-melanzh-189811/" , "1898.11 Рубашка поло мужская SPRING 210 серый меланж, размер 4XL")</f>
      </c>
      <c r="C18258" s="4" t="n">
        <v>2524.00</v>
      </c>
      <c r="D18258" s="4"/>
    </row>
    <row collapsed="" customFormat="false" customHeight="1" hidden="" ht="14" outlineLevel="0" r="18259">
      <c r="A18259" s="3" t="inlineStr">
        <is>
          <t>18211</t>
        </is>
      </c>
      <c r="B18259" s="4" t="s">
        <f>=HYPERLINK("http://anyluxury.ru/shop/odezhda/rubashki-polo/rubashka-polo-muzhskaya-spring-210-seriy-melanzh-189811/" , "1898.11 Рубашка поло мужская SPRING 210 серый меланж, размер 5XL")</f>
      </c>
      <c r="C18259" s="4" t="n">
        <v>2524.00</v>
      </c>
      <c r="D18259" s="4"/>
    </row>
    <row collapsed="" customFormat="false" customHeight="1" hidden="" ht="14" outlineLevel="0" r="18260">
      <c r="A18260" s="3" t="inlineStr">
        <is>
          <t>18212</t>
        </is>
      </c>
      <c r="B18260" s="4" t="s">
        <f>=HYPERLINK("http://anyluxury.ru/shop/odezhda/rubashki-polo/rubashka-polo-muzhskaya-spring-210-svetliy-melanzh-189816/" , "1898.16 Рубашка поло мужская SPRING 210 светло-серый меланж, размер S")</f>
      </c>
      <c r="C18260" s="4" t="n">
        <v>1768.00</v>
      </c>
      <c r="D18260" s="4"/>
    </row>
    <row collapsed="" customFormat="false" customHeight="1" hidden="" ht="14" outlineLevel="0" r="18261">
      <c r="A18261" s="3" t="inlineStr">
        <is>
          <t>18213</t>
        </is>
      </c>
      <c r="B18261" s="4" t="s">
        <f>=HYPERLINK("http://anyluxury.ru/shop/odezhda/rubashki-polo/rubashka-polo-muzhskaya-spring-210-svetliy-melanzh-189816/" , "1898.16 Рубашка поло мужская SPRING 210 светло-серый меланж, размер M")</f>
      </c>
      <c r="C18261" s="4" t="n">
        <v>1768.00</v>
      </c>
      <c r="D18261" s="4"/>
    </row>
    <row collapsed="" customFormat="false" customHeight="1" hidden="" ht="14" outlineLevel="0" r="18262">
      <c r="A18262" s="3" t="inlineStr">
        <is>
          <t>18214</t>
        </is>
      </c>
      <c r="B18262" s="4" t="s">
        <f>=HYPERLINK("http://anyluxury.ru/shop/odezhda/rubashki-polo/rubashka-polo-muzhskaya-spring-210-svetliy-melanzh-189816/" , "1898.16 Рубашка поло мужская SPRING 210 светло-серый меланж, размер L")</f>
      </c>
      <c r="C18262" s="4" t="n">
        <v>1768.00</v>
      </c>
      <c r="D18262" s="4"/>
    </row>
    <row collapsed="" customFormat="false" customHeight="1" hidden="" ht="14" outlineLevel="0" r="18263">
      <c r="A18263" s="3" t="inlineStr">
        <is>
          <t>18215</t>
        </is>
      </c>
      <c r="B18263" s="4" t="s">
        <f>=HYPERLINK("http://anyluxury.ru/shop/odezhda/rubashki-polo/rubashka-polo-muzhskaya-spring-210-svetliy-melanzh-189816/" , "1898.16 Рубашка поло мужская SPRING 210 светло-серый меланж, размер XL")</f>
      </c>
      <c r="C18263" s="4" t="n">
        <v>1768.00</v>
      </c>
      <c r="D18263" s="4"/>
    </row>
    <row collapsed="" customFormat="false" customHeight="1" hidden="" ht="14" outlineLevel="0" r="18264">
      <c r="A18264" s="3" t="inlineStr">
        <is>
          <t>18216</t>
        </is>
      </c>
      <c r="B18264" s="4" t="s">
        <f>=HYPERLINK("http://anyluxury.ru/shop/odezhda/rubashki-polo/rubashka-polo-muzhskaya-spring-210-svetliy-melanzh-189816/" , "1898.16 Рубашка поло мужская SPRING 210 светло-серый меланж, размер XXL")</f>
      </c>
      <c r="C18264" s="4" t="n">
        <v>1768.00</v>
      </c>
      <c r="D18264" s="4"/>
    </row>
    <row collapsed="" customFormat="false" customHeight="1" hidden="" ht="14" outlineLevel="0" r="18265">
      <c r="A18265" s="3" t="inlineStr">
        <is>
          <t>18217</t>
        </is>
      </c>
      <c r="B18265" s="4" t="s">
        <f>=HYPERLINK("http://anyluxury.ru/shop/odezhda/rubashki-polo/rubashka-polo-zhenskaya-people-210-belaya-189560/" , "1895.60 Рубашка поло женская PEOPLE 210 белая, размер M")</f>
      </c>
      <c r="C18265" s="4" t="n">
        <v>1494.00</v>
      </c>
      <c r="D18265" s="4"/>
    </row>
    <row collapsed="" customFormat="false" customHeight="1" hidden="" ht="14" outlineLevel="0" r="18266">
      <c r="A18266" s="3" t="inlineStr">
        <is>
          <t>18218</t>
        </is>
      </c>
      <c r="B18266" s="4" t="s">
        <f>=HYPERLINK("http://anyluxury.ru/shop/odezhda/rubashki-polo/rubashka-polo-zhenskaya-people-210-belaya-189560/" , "1895.60 Рубашка поло женская PEOPLE 210 белая, размер L")</f>
      </c>
      <c r="C18266" s="4" t="n">
        <v>1494.00</v>
      </c>
      <c r="D18266" s="4"/>
    </row>
    <row collapsed="" customFormat="false" customHeight="1" hidden="" ht="14" outlineLevel="0" r="18267">
      <c r="A18267" s="3" t="inlineStr">
        <is>
          <t>18219</t>
        </is>
      </c>
      <c r="B18267" s="4" t="s">
        <f>=HYPERLINK("http://anyluxury.ru/shop/odezhda/rubashki-polo/rubashka-polo-zhenskaya-people-210-belaya-189560/" , "1895.60 Рубашка поло женская PEOPLE 210 белая, размер XXL")</f>
      </c>
      <c r="C18267" s="4" t="n">
        <v>1494.00</v>
      </c>
      <c r="D18267" s="4"/>
    </row>
    <row collapsed="" customFormat="false" customHeight="1" hidden="" ht="14" outlineLevel="0" r="18268">
      <c r="A18268" s="3" t="inlineStr">
        <is>
          <t>18220</t>
        </is>
      </c>
      <c r="B18268" s="4" t="s">
        <f>=HYPERLINK("http://anyluxury.ru/shop/odezhda/rubashki-polo/rubashka-polo-zhenskaya-people-210-belaya-189560/" , "1895.60 Рубашка поло женская PEOPLE 210 белая, размер XL")</f>
      </c>
      <c r="C18268" s="4" t="n">
        <v>1494.00</v>
      </c>
      <c r="D18268" s="4"/>
    </row>
    <row collapsed="" customFormat="false" customHeight="1" hidden="" ht="14" outlineLevel="0" r="18269">
      <c r="A18269" s="3" t="inlineStr">
        <is>
          <t>18221</t>
        </is>
      </c>
      <c r="B18269" s="4" t="s">
        <f>=HYPERLINK("http://anyluxury.ru/shop/odezhda/rubashki-polo/rubashka-polo-muzhskaya-spring-210-temnozelenaya-189892/" , "1898.92 Рубашка поло мужская SPRING 210 темно-зеленая, размер S")</f>
      </c>
      <c r="C18269" s="4" t="n">
        <v>1768.00</v>
      </c>
      <c r="D18269" s="4"/>
    </row>
    <row collapsed="" customFormat="false" customHeight="1" hidden="" ht="14" outlineLevel="0" r="18270">
      <c r="A18270" s="3" t="inlineStr">
        <is>
          <t>18222</t>
        </is>
      </c>
      <c r="B18270" s="4" t="s">
        <f>=HYPERLINK("http://anyluxury.ru/shop/odezhda/rubashki-polo/rubashka-polo-muzhskaya-spring-210-temnozelenaya-189892/" , "1898.92 Рубашка поло мужская SPRING 210 темно-зеленая, размер M")</f>
      </c>
      <c r="C18270" s="4" t="n">
        <v>1768.00</v>
      </c>
      <c r="D18270" s="4"/>
    </row>
    <row collapsed="" customFormat="false" customHeight="1" hidden="" ht="14" outlineLevel="0" r="18271">
      <c r="A18271" s="3" t="inlineStr">
        <is>
          <t>18223</t>
        </is>
      </c>
      <c r="B18271" s="4" t="s">
        <f>=HYPERLINK("http://anyluxury.ru/shop/odezhda/rubashki-polo/rubashka-polo-muzhskaya-spring-210-temnozelenaya-189892/" , "1898.92 Рубашка поло мужская SPRING 210 темно-зеленая, размер L")</f>
      </c>
      <c r="C18271" s="4" t="n">
        <v>1768.00</v>
      </c>
      <c r="D18271" s="4"/>
    </row>
    <row collapsed="" customFormat="false" customHeight="1" hidden="" ht="14" outlineLevel="0" r="18272">
      <c r="A18272" s="3" t="inlineStr">
        <is>
          <t>18224</t>
        </is>
      </c>
      <c r="B18272" s="4" t="s">
        <f>=HYPERLINK("http://anyluxury.ru/shop/odezhda/rubashki-polo/rubashka-polo-muzhskaya-spring-210-temnozelenaya-189892/" , "1898.92 Рубашка поло мужская SPRING 210 темно-зеленая, размер XL")</f>
      </c>
      <c r="C18272" s="4" t="n">
        <v>1768.00</v>
      </c>
      <c r="D18272" s="4"/>
    </row>
    <row collapsed="" customFormat="false" customHeight="1" hidden="" ht="14" outlineLevel="0" r="18273">
      <c r="A18273" s="3" t="inlineStr">
        <is>
          <t>18225</t>
        </is>
      </c>
      <c r="B18273" s="4" t="s">
        <f>=HYPERLINK("http://anyluxury.ru/shop/odezhda/rubashki-polo/rubashka-polo-muzhskaya-spring-210-temnozelenaya-189892/" , "1898.92 Рубашка поло мужская SPRING 210 темно-зеленая, размер XXL")</f>
      </c>
      <c r="C18273" s="4" t="n">
        <v>1768.00</v>
      </c>
      <c r="D18273" s="4"/>
    </row>
    <row collapsed="" customFormat="false" customHeight="1" hidden="" ht="14" outlineLevel="0" r="18274">
      <c r="A18274" s="3" t="inlineStr">
        <is>
          <t>18226</t>
        </is>
      </c>
      <c r="B18274" s="4" t="s">
        <f>=HYPERLINK("http://anyluxury.ru/shop/odezhda/rubashki-polo/rubashka-polo-zhenskaya-people-210-krasnaya-189550/" , "1895.50 Рубашка поло женская PEOPLE 210 красная, размер S")</f>
      </c>
      <c r="C18274" s="4" t="n">
        <v>1727.00</v>
      </c>
      <c r="D18274" s="4"/>
    </row>
    <row collapsed="" customFormat="false" customHeight="1" hidden="" ht="14" outlineLevel="0" r="18275">
      <c r="A18275" s="3" t="inlineStr">
        <is>
          <t>18227</t>
        </is>
      </c>
      <c r="B18275" s="4" t="s">
        <f>=HYPERLINK("http://anyluxury.ru/shop/odezhda/rubashki-polo/rubashka-polo-zhenskaya-people-210-krasnaya-189550/" , "1895.50 Рубашка поло женская PEOPLE 210 красная, размер M")</f>
      </c>
      <c r="C18275" s="4" t="n">
        <v>1727.00</v>
      </c>
      <c r="D18275" s="4"/>
    </row>
    <row collapsed="" customFormat="false" customHeight="1" hidden="" ht="14" outlineLevel="0" r="18276">
      <c r="A18276" s="3" t="inlineStr">
        <is>
          <t>18228</t>
        </is>
      </c>
      <c r="B18276" s="4" t="s">
        <f>=HYPERLINK("http://anyluxury.ru/shop/odezhda/rubashki-polo/rubashka-polo-zhenskaya-people-210-yarkozelenaya-189592/" , "1895.92 Рубашка поло женская PEOPLE 210 ярко-зеленая, размер S")</f>
      </c>
      <c r="C18276" s="4" t="n">
        <v>1727.00</v>
      </c>
      <c r="D18276" s="4"/>
    </row>
    <row collapsed="" customFormat="false" customHeight="1" hidden="" ht="14" outlineLevel="0" r="18277">
      <c r="A18277" s="3" t="inlineStr">
        <is>
          <t>18229</t>
        </is>
      </c>
      <c r="B18277" s="4" t="s">
        <f>=HYPERLINK("http://anyluxury.ru/shop/odezhda/rubashki-polo/rubashka-polo-zhenskaya-people-210-yarkozelenaya-189592/" , "1895.92 Рубашка поло женская PEOPLE 210 ярко-зеленая, размер XL")</f>
      </c>
      <c r="C18277" s="4" t="n">
        <v>1727.00</v>
      </c>
      <c r="D18277" s="4"/>
    </row>
    <row collapsed="" customFormat="false" customHeight="1" hidden="" ht="14" outlineLevel="0" r="18278">
      <c r="A18278" s="3" t="inlineStr">
        <is>
          <t>18230</t>
        </is>
      </c>
      <c r="B18278" s="4" t="s">
        <f>=HYPERLINK("http://anyluxury.ru/shop/odezhda/rubashki-polo/rubashka-polo-zhenskaya-people-210-zheltaya-189580/" , "1895.80 Рубашка поло женская PEOPLE 210 желтая, размер S")</f>
      </c>
      <c r="C18278" s="4" t="n">
        <v>1727.00</v>
      </c>
      <c r="D18278" s="4"/>
    </row>
    <row collapsed="" customFormat="false" customHeight="1" hidden="" ht="14" outlineLevel="0" r="18279">
      <c r="A18279" s="3" t="inlineStr">
        <is>
          <t>18231</t>
        </is>
      </c>
      <c r="B18279" s="4" t="s">
        <f>=HYPERLINK("http://anyluxury.ru/shop/odezhda/rubashki-polo/rubashka-polo-zhenskaya-people-210-zheltaya-189580/" , "1895.80 Рубашка поло женская PEOPLE 210 желтая, размер XL")</f>
      </c>
      <c r="C18279" s="4" t="n">
        <v>1727.00</v>
      </c>
      <c r="D18279" s="4"/>
    </row>
    <row collapsed="" customFormat="false" customHeight="1" hidden="" ht="14" outlineLevel="0" r="18280">
      <c r="A18280" s="3" t="inlineStr">
        <is>
          <t>18232</t>
        </is>
      </c>
      <c r="B18280" s="4" t="s">
        <f>=HYPERLINK("http://anyluxury.ru/shop/odezhda/rubashki-polo/rubashka-polo-muzhskaya-spring-210-belaya-189860/" , "1898.60 Рубашка поло мужская SPRING 210 белая, размер S")</f>
      </c>
      <c r="C18280" s="4" t="n">
        <v>1535.00</v>
      </c>
      <c r="D18280" s="4"/>
    </row>
    <row collapsed="" customFormat="false" customHeight="1" hidden="" ht="14" outlineLevel="0" r="18281">
      <c r="A18281" s="3" t="inlineStr">
        <is>
          <t>18233</t>
        </is>
      </c>
      <c r="B18281" s="4" t="s">
        <f>=HYPERLINK("http://anyluxury.ru/shop/odezhda/rubashki-polo/rubashka-polo-muzhskaya-spring-210-belaya-189860/" , "1898.60 Рубашка поло мужская SPRING 210 белая, размер M")</f>
      </c>
      <c r="C18281" s="4" t="n">
        <v>1535.00</v>
      </c>
      <c r="D18281" s="4"/>
    </row>
    <row collapsed="" customFormat="false" customHeight="1" hidden="" ht="14" outlineLevel="0" r="18282">
      <c r="A18282" s="3" t="inlineStr">
        <is>
          <t>18234</t>
        </is>
      </c>
      <c r="B18282" s="4" t="s">
        <f>=HYPERLINK("http://anyluxury.ru/shop/odezhda/rubashki-polo/rubashka-polo-muzhskaya-spring-210-belaya-189860/" , "1898.60 Рубашка поло мужская SPRING 210 белая, размер L")</f>
      </c>
      <c r="C18282" s="4" t="n">
        <v>1535.00</v>
      </c>
      <c r="D18282" s="4"/>
    </row>
    <row collapsed="" customFormat="false" customHeight="1" hidden="" ht="14" outlineLevel="0" r="18283">
      <c r="A18283" s="3" t="inlineStr">
        <is>
          <t>18235</t>
        </is>
      </c>
      <c r="B18283" s="4" t="s">
        <f>=HYPERLINK("http://anyluxury.ru/shop/odezhda/rubashki-polo/rubashka-polo-muzhskaya-spring-210-belaya-189860/" , "1898.60 Рубашка поло мужская SPRING 210 белая, размер XL")</f>
      </c>
      <c r="C18283" s="4" t="n">
        <v>1535.00</v>
      </c>
      <c r="D18283" s="4"/>
    </row>
    <row collapsed="" customFormat="false" customHeight="1" hidden="" ht="14" outlineLevel="0" r="18284">
      <c r="A18284" s="3" t="inlineStr">
        <is>
          <t>18236</t>
        </is>
      </c>
      <c r="B18284" s="4" t="s">
        <f>=HYPERLINK("http://anyluxury.ru/shop/odezhda/rubashki-polo/rubashka-polo-muzhskaya-spring-210-belaya-189860/" , "1898.60 Рубашка поло мужская SPRING 210 белая, размер XXL")</f>
      </c>
      <c r="C18284" s="4" t="n">
        <v>1535.00</v>
      </c>
      <c r="D18284" s="4"/>
    </row>
    <row collapsed="" customFormat="false" customHeight="1" hidden="" ht="14" outlineLevel="0" r="18285">
      <c r="A18285" s="3" t="inlineStr">
        <is>
          <t>18237</t>
        </is>
      </c>
      <c r="B18285" s="4" t="s">
        <f>=HYPERLINK("http://anyluxury.ru/shop/odezhda/rubashki-polo/rubashka-polo-muzhskaya-spring-210-belaya-189860/" , "1898.60 Рубашка поло мужская SPRING 210 белая, размер 3XL")</f>
      </c>
      <c r="C18285" s="4" t="n">
        <v>1840.00</v>
      </c>
      <c r="D18285" s="4"/>
    </row>
    <row collapsed="" customFormat="false" customHeight="1" hidden="" ht="14" outlineLevel="0" r="18286">
      <c r="A18286" s="3" t="inlineStr">
        <is>
          <t>18238</t>
        </is>
      </c>
      <c r="B18286" s="4" t="s">
        <f>=HYPERLINK("http://anyluxury.ru/shop/odezhda/rubashki-polo/rubashka-polo-muzhskaya-spring-210-belaya-189860/" , "1898.60 Рубашка поло мужская SPRING 210 белая, размер 4XL")</f>
      </c>
      <c r="C18286" s="4" t="n">
        <v>2194.00</v>
      </c>
      <c r="D18286" s="4"/>
    </row>
    <row collapsed="" customFormat="false" customHeight="1" hidden="" ht="14" outlineLevel="0" r="18287">
      <c r="A18287" s="3" t="inlineStr">
        <is>
          <t>18239</t>
        </is>
      </c>
      <c r="B18287" s="4" t="s">
        <f>=HYPERLINK("http://anyluxury.ru/shop/odezhda/rubashki-polo/rubashka-polo-muzhskaya-spring-210-belaya-189860/" , "1898.60 Рубашка поло мужская SPRING 210 белая, размер 5XL")</f>
      </c>
      <c r="C18287" s="4" t="n">
        <v>2194.00</v>
      </c>
      <c r="D18287" s="4"/>
    </row>
    <row collapsed="" customFormat="false" customHeight="1" hidden="" ht="14" outlineLevel="0" r="18288">
      <c r="A18288" s="3" t="inlineStr">
        <is>
          <t>18240</t>
        </is>
      </c>
      <c r="B18288" s="4" t="s">
        <f>=HYPERLINK("http://anyluxury.ru/shop/odezhda/rubashki-polo/rubashka-polo-muzhskaya-spring-210-bezhevaya-189810/" , "1898.10 Рубашка поло мужская SPRING 210 бежевая, размер S")</f>
      </c>
      <c r="C18288" s="4" t="n">
        <v>1768.00</v>
      </c>
      <c r="D18288" s="4"/>
    </row>
    <row collapsed="" customFormat="false" customHeight="1" hidden="" ht="14" outlineLevel="0" r="18289">
      <c r="A18289" s="3" t="inlineStr">
        <is>
          <t>18241</t>
        </is>
      </c>
      <c r="B18289" s="4" t="s">
        <f>=HYPERLINK("http://anyluxury.ru/shop/odezhda/rubashki-polo/rubashka-polo-muzhskaya-spring-210-bezhevaya-189810/" , "1898.10 Рубашка поло мужская SPRING 210 бежевая, размер M")</f>
      </c>
      <c r="C18289" s="4" t="n">
        <v>1768.00</v>
      </c>
      <c r="D18289" s="4"/>
    </row>
    <row collapsed="" customFormat="false" customHeight="1" hidden="" ht="14" outlineLevel="0" r="18290">
      <c r="A18290" s="3" t="inlineStr">
        <is>
          <t>18242</t>
        </is>
      </c>
      <c r="B18290" s="4" t="s">
        <f>=HYPERLINK("http://anyluxury.ru/shop/odezhda/rubashki-polo/rubashka-polo-muzhskaya-spring-210-bezhevaya-189810/" , "1898.10 Рубашка поло мужская SPRING 210 бежевая, размер L")</f>
      </c>
      <c r="C18290" s="4" t="n">
        <v>1768.00</v>
      </c>
      <c r="D18290" s="4"/>
    </row>
    <row collapsed="" customFormat="false" customHeight="1" hidden="" ht="14" outlineLevel="0" r="18291">
      <c r="A18291" s="3" t="inlineStr">
        <is>
          <t>18243</t>
        </is>
      </c>
      <c r="B18291" s="4" t="s">
        <f>=HYPERLINK("http://anyluxury.ru/shop/odezhda/rubashki-polo/rubashka-polo-muzhskaya-spring-210-bezhevaya-189810/" , "1898.10 Рубашка поло мужская SPRING 210 бежевая, размер XL")</f>
      </c>
      <c r="C18291" s="4" t="n">
        <v>1768.00</v>
      </c>
      <c r="D18291" s="4"/>
    </row>
    <row collapsed="" customFormat="false" customHeight="1" hidden="" ht="14" outlineLevel="0" r="18292">
      <c r="A18292" s="3" t="inlineStr">
        <is>
          <t>18244</t>
        </is>
      </c>
      <c r="B18292" s="4" t="s">
        <f>=HYPERLINK("http://anyluxury.ru/shop/odezhda/rubashki-polo/rubashka-polo-muzhskaya-spring-210-bezhevaya-189810/" , "1898.10 Рубашка поло мужская SPRING 210 бежевая, размер XXL")</f>
      </c>
      <c r="C18292" s="4" t="n">
        <v>1768.00</v>
      </c>
      <c r="D18292" s="4"/>
    </row>
    <row collapsed="" customFormat="false" customHeight="1" hidden="" ht="14" outlineLevel="0" r="18293">
      <c r="A18293" s="3" t="inlineStr">
        <is>
          <t>18245</t>
        </is>
      </c>
      <c r="B18293" s="4" t="s">
        <f>=HYPERLINK("http://anyluxury.ru/shop/odezhda/rubashki-polo/rubashka-polo-muzhskaya-spring-210-krasnaya-189850/" , "1898.50 Рубашка поло мужская SPRING 210 красная, размер S")</f>
      </c>
      <c r="C18293" s="4" t="n">
        <v>1768.00</v>
      </c>
      <c r="D18293" s="4"/>
    </row>
    <row collapsed="" customFormat="false" customHeight="1" hidden="" ht="14" outlineLevel="0" r="18294">
      <c r="A18294" s="3" t="inlineStr">
        <is>
          <t>18246</t>
        </is>
      </c>
      <c r="B18294" s="4" t="s">
        <f>=HYPERLINK("http://anyluxury.ru/shop/odezhda/rubashki-polo/rubashka-polo-muzhskaya-spring-210-krasnaya-189850/" , "1898.50 Рубашка поло мужская SPRING 210 красная, размер M")</f>
      </c>
      <c r="C18294" s="4" t="n">
        <v>1768.00</v>
      </c>
      <c r="D18294" s="4"/>
    </row>
    <row collapsed="" customFormat="false" customHeight="1" hidden="" ht="14" outlineLevel="0" r="18295">
      <c r="A18295" s="3" t="inlineStr">
        <is>
          <t>18247</t>
        </is>
      </c>
      <c r="B18295" s="4" t="s">
        <f>=HYPERLINK("http://anyluxury.ru/shop/odezhda/rubashki-polo/rubashka-polo-muzhskaya-spring-210-krasnaya-189850/" , "1898.50 Рубашка поло мужская SPRING 210 красная, размер L")</f>
      </c>
      <c r="C18295" s="4" t="n">
        <v>1768.00</v>
      </c>
      <c r="D18295" s="4"/>
    </row>
    <row collapsed="" customFormat="false" customHeight="1" hidden="" ht="14" outlineLevel="0" r="18296">
      <c r="A18296" s="3" t="inlineStr">
        <is>
          <t>18248</t>
        </is>
      </c>
      <c r="B18296" s="4" t="s">
        <f>=HYPERLINK("http://anyluxury.ru/shop/odezhda/rubashki-polo/rubashka-polo-muzhskaya-spring-210-krasnaya-189850/" , "1898.50 Рубашка поло мужская SPRING 210 красная, размер XL")</f>
      </c>
      <c r="C18296" s="4" t="n">
        <v>1768.00</v>
      </c>
      <c r="D18296" s="4"/>
    </row>
    <row collapsed="" customFormat="false" customHeight="1" hidden="" ht="14" outlineLevel="0" r="18297">
      <c r="A18297" s="3" t="inlineStr">
        <is>
          <t>18249</t>
        </is>
      </c>
      <c r="B18297" s="4" t="s">
        <f>=HYPERLINK("http://anyluxury.ru/shop/odezhda/rubashki-polo/rubashka-polo-muzhskaya-spring-210-krasnaya-189850/" , "1898.50 Рубашка поло мужская SPRING 210 красная, размер XXL")</f>
      </c>
      <c r="C18297" s="4" t="n">
        <v>1768.00</v>
      </c>
      <c r="D18297" s="4"/>
    </row>
    <row collapsed="" customFormat="false" customHeight="1" hidden="" ht="14" outlineLevel="0" r="18298">
      <c r="A18298" s="3" t="inlineStr">
        <is>
          <t>18250</t>
        </is>
      </c>
      <c r="B18298" s="4" t="s">
        <f>=HYPERLINK("http://anyluxury.ru/shop/odezhda/rubashki-polo/rubashka-polo-muzhskaya-spring-210-krasnaya-189850/" , "1898.50 Рубашка поло мужская SPRING 210 красная, размер 3XL")</f>
      </c>
      <c r="C18298" s="4" t="n">
        <v>2116.00</v>
      </c>
      <c r="D18298" s="4"/>
    </row>
    <row collapsed="" customFormat="false" customHeight="1" hidden="" ht="14" outlineLevel="0" r="18299">
      <c r="A18299" s="3" t="inlineStr">
        <is>
          <t>18251</t>
        </is>
      </c>
      <c r="B18299" s="4" t="s">
        <f>=HYPERLINK("http://anyluxury.ru/shop/odezhda/rubashki-polo/rubashka-polo-muzhskaya-spring-210-krasnaya-189850/" , "1898.50 Рубашка поло мужская SPRING 210 красная, размер 4XL")</f>
      </c>
      <c r="C18299" s="4" t="n">
        <v>2524.00</v>
      </c>
      <c r="D18299" s="4"/>
    </row>
    <row collapsed="" customFormat="false" customHeight="1" hidden="" ht="14" outlineLevel="0" r="18300">
      <c r="A18300" s="3" t="inlineStr">
        <is>
          <t>18252</t>
        </is>
      </c>
      <c r="B18300" s="4" t="s">
        <f>=HYPERLINK("http://anyluxury.ru/shop/odezhda/rubashki-polo/rubashka-polo-muzhskaya-spring-210-krasnaya-189850/" , "1898.50 Рубашка поло мужская SPRING 210 красная, размер 5XL")</f>
      </c>
      <c r="C18300" s="4" t="n">
        <v>2524.00</v>
      </c>
      <c r="D18300" s="4"/>
    </row>
    <row collapsed="" customFormat="false" customHeight="1" hidden="" ht="14" outlineLevel="0" r="18301">
      <c r="A18301" s="3" t="inlineStr">
        <is>
          <t>18253</t>
        </is>
      </c>
      <c r="B18301" s="4" t="s">
        <f>=HYPERLINK("http://anyluxury.ru/shop/odezhda/rubashki-polo/rubashka-polo-muzhskaya-spring-210-bordovaya-189855/" , "1898.55 Рубашка поло мужская SPRING 210 бордовая, размер S")</f>
      </c>
      <c r="C18301" s="4" t="n">
        <v>1768.00</v>
      </c>
      <c r="D18301" s="4"/>
    </row>
    <row collapsed="" customFormat="false" customHeight="1" hidden="" ht="14" outlineLevel="0" r="18302">
      <c r="A18302" s="3" t="inlineStr">
        <is>
          <t>18254</t>
        </is>
      </c>
      <c r="B18302" s="4" t="s">
        <f>=HYPERLINK("http://anyluxury.ru/shop/odezhda/rubashki-polo/rubashka-polo-muzhskaya-spring-210-bordovaya-189855/" , "1898.55 Рубашка поло мужская SPRING 210 бордовая, размер M")</f>
      </c>
      <c r="C18302" s="4" t="n">
        <v>1768.00</v>
      </c>
      <c r="D18302" s="4"/>
    </row>
    <row collapsed="" customFormat="false" customHeight="1" hidden="" ht="14" outlineLevel="0" r="18303">
      <c r="A18303" s="3" t="inlineStr">
        <is>
          <t>18255</t>
        </is>
      </c>
      <c r="B18303" s="4" t="s">
        <f>=HYPERLINK("http://anyluxury.ru/shop/odezhda/rubashki-polo/rubashka-polo-muzhskaya-spring-210-bordovaya-189855/" , "1898.55 Рубашка поло мужская SPRING 210 бордовая, размер L")</f>
      </c>
      <c r="C18303" s="4" t="n">
        <v>1768.00</v>
      </c>
      <c r="D18303" s="4"/>
    </row>
    <row collapsed="" customFormat="false" customHeight="1" hidden="" ht="14" outlineLevel="0" r="18304">
      <c r="A18304" s="3" t="inlineStr">
        <is>
          <t>18256</t>
        </is>
      </c>
      <c r="B18304" s="4" t="s">
        <f>=HYPERLINK("http://anyluxury.ru/shop/odezhda/rubashki-polo/rubashka-polo-muzhskaya-spring-210-bordovaya-189855/" , "1898.55 Рубашка поло мужская SPRING 210 бордовая, размер XL")</f>
      </c>
      <c r="C18304" s="4" t="n">
        <v>1768.00</v>
      </c>
      <c r="D18304" s="4"/>
    </row>
    <row collapsed="" customFormat="false" customHeight="1" hidden="" ht="14" outlineLevel="0" r="18305">
      <c r="A18305" s="3" t="inlineStr">
        <is>
          <t>18257</t>
        </is>
      </c>
      <c r="B18305" s="4" t="s">
        <f>=HYPERLINK("http://anyluxury.ru/shop/odezhda/rubashki-polo/rubashka-polo-muzhskaya-spring-210-bordovaya-189855/" , "1898.55 Рубашка поло мужская SPRING 210 бордовая, размер XXL")</f>
      </c>
      <c r="C18305" s="4" t="n">
        <v>1768.00</v>
      </c>
      <c r="D18305" s="4"/>
    </row>
    <row collapsed="" customFormat="false" customHeight="1" hidden="" ht="14" outlineLevel="0" r="18306">
      <c r="A18306" s="3" t="inlineStr">
        <is>
          <t>18258</t>
        </is>
      </c>
      <c r="B18306" s="4" t="s">
        <f>=HYPERLINK("http://anyluxury.ru/shop/odezhda/rubashki-polo/rubashka-polo-muzhskaya-spring-210-golubaya-189814/" , "1898.14 Рубашка поло мужская SPRING 210 голубая, размер S")</f>
      </c>
      <c r="C18306" s="4" t="n">
        <v>1768.00</v>
      </c>
      <c r="D18306" s="4"/>
    </row>
    <row collapsed="" customFormat="false" customHeight="1" hidden="" ht="14" outlineLevel="0" r="18307">
      <c r="A18307" s="3" t="inlineStr">
        <is>
          <t>18259</t>
        </is>
      </c>
      <c r="B18307" s="4" t="s">
        <f>=HYPERLINK("http://anyluxury.ru/shop/odezhda/rubashki-polo/rubashka-polo-muzhskaya-spring-210-golubaya-189814/" , "1898.14 Рубашка поло мужская SPRING 210 голубая, размер M")</f>
      </c>
      <c r="C18307" s="4" t="n">
        <v>1768.00</v>
      </c>
      <c r="D18307" s="4"/>
    </row>
    <row collapsed="" customFormat="false" customHeight="1" hidden="" ht="14" outlineLevel="0" r="18308">
      <c r="A18308" s="3" t="inlineStr">
        <is>
          <t>18260</t>
        </is>
      </c>
      <c r="B18308" s="4" t="s">
        <f>=HYPERLINK("http://anyluxury.ru/shop/odezhda/rubashki-polo/rubashka-polo-muzhskaya-spring-210-golubaya-189814/" , "1898.14 Рубашка поло мужская SPRING 210 голубая, размер L")</f>
      </c>
      <c r="C18308" s="4" t="n">
        <v>1768.00</v>
      </c>
      <c r="D18308" s="4"/>
    </row>
    <row collapsed="" customFormat="false" customHeight="1" hidden="" ht="14" outlineLevel="0" r="18309">
      <c r="A18309" s="3" t="inlineStr">
        <is>
          <t>18261</t>
        </is>
      </c>
      <c r="B18309" s="4" t="s">
        <f>=HYPERLINK("http://anyluxury.ru/shop/odezhda/rubashki-polo/rubashka-polo-muzhskaya-spring-210-golubaya-189814/" , "1898.14 Рубашка поло мужская SPRING 210 голубая, размер XL")</f>
      </c>
      <c r="C18309" s="4" t="n">
        <v>1768.00</v>
      </c>
      <c r="D18309" s="4"/>
    </row>
    <row collapsed="" customFormat="false" customHeight="1" hidden="" ht="14" outlineLevel="0" r="18310">
      <c r="A18310" s="3" t="inlineStr">
        <is>
          <t>18262</t>
        </is>
      </c>
      <c r="B18310" s="4" t="s">
        <f>=HYPERLINK("http://anyluxury.ru/shop/odezhda/rubashki-polo/rubashka-polo-muzhskaya-spring-210-golubaya-189814/" , "1898.14 Рубашка поло мужская SPRING 210 голубая, размер XXL")</f>
      </c>
      <c r="C18310" s="4" t="n">
        <v>1768.00</v>
      </c>
      <c r="D18310" s="4"/>
    </row>
    <row collapsed="" customFormat="false" customHeight="1" hidden="" ht="14" outlineLevel="0" r="18311">
      <c r="A18311" s="3" t="inlineStr">
        <is>
          <t>18263</t>
        </is>
      </c>
      <c r="B18311" s="4" t="s">
        <f>=HYPERLINK("http://anyluxury.ru/shop/odezhda/rubashki-polo/rubashka-polo-muzhskaya-spring-210-chernaya-189830/" , "1898.30 Рубашка поло мужская SPRING 210 черная, размер S")</f>
      </c>
      <c r="C18311" s="4" t="n">
        <v>1768.00</v>
      </c>
      <c r="D18311" s="4"/>
    </row>
    <row collapsed="" customFormat="false" customHeight="1" hidden="" ht="14" outlineLevel="0" r="18312">
      <c r="A18312" s="3" t="inlineStr">
        <is>
          <t>18264</t>
        </is>
      </c>
      <c r="B18312" s="4" t="s">
        <f>=HYPERLINK("http://anyluxury.ru/shop/odezhda/rubashki-polo/rubashka-polo-muzhskaya-spring-210-chernaya-189830/" , "1898.30 Рубашка поло мужская SPRING 210 черная, размер M")</f>
      </c>
      <c r="C18312" s="4" t="n">
        <v>1768.00</v>
      </c>
      <c r="D18312" s="4"/>
    </row>
    <row collapsed="" customFormat="false" customHeight="1" hidden="" ht="14" outlineLevel="0" r="18313">
      <c r="A18313" s="3" t="inlineStr">
        <is>
          <t>18265</t>
        </is>
      </c>
      <c r="B18313" s="4" t="s">
        <f>=HYPERLINK("http://anyluxury.ru/shop/odezhda/rubashki-polo/rubashka-polo-muzhskaya-spring-210-chernaya-189830/" , "1898.30 Рубашка поло мужская SPRING 210 черная, размер XL")</f>
      </c>
      <c r="C18313" s="4" t="n">
        <v>1768.00</v>
      </c>
      <c r="D18313" s="4"/>
    </row>
    <row collapsed="" customFormat="false" customHeight="1" hidden="" ht="14" outlineLevel="0" r="18314">
      <c r="A18314" s="3" t="inlineStr">
        <is>
          <t>18266</t>
        </is>
      </c>
      <c r="B18314" s="4" t="s">
        <f>=HYPERLINK("http://anyluxury.ru/shop/odezhda/rubashki-polo/rubashka-polo-muzhskaya-spring-210-chernaya-189830/" , "1898.30 Рубашка поло мужская SPRING 210 черная, размер XXL")</f>
      </c>
      <c r="C18314" s="4" t="n">
        <v>1768.00</v>
      </c>
      <c r="D18314" s="4"/>
    </row>
    <row collapsed="" customFormat="false" customHeight="1" hidden="" ht="14" outlineLevel="0" r="18315">
      <c r="A18315" s="3" t="inlineStr">
        <is>
          <t>18267</t>
        </is>
      </c>
      <c r="B18315" s="4" t="s">
        <f>=HYPERLINK("http://anyluxury.ru/shop/odezhda/rubashki-polo/rubashka-polo-muzhskaya-spring-210-chernaya-189830/" , "1898.30 Рубашка поло мужская SPRING 210 черная, размер 3XL")</f>
      </c>
      <c r="C18315" s="4" t="n">
        <v>2116.00</v>
      </c>
      <c r="D18315" s="4"/>
    </row>
    <row collapsed="" customFormat="false" customHeight="1" hidden="" ht="14" outlineLevel="0" r="18316">
      <c r="A18316" s="3" t="inlineStr">
        <is>
          <t>18268</t>
        </is>
      </c>
      <c r="B18316" s="4" t="s">
        <f>=HYPERLINK("http://anyluxury.ru/shop/odezhda/rubashki-polo/rubashka-polo-muzhskaya-spring-210-chernaya-189830/" , "1898.30 Рубашка поло мужская SPRING 210 черная, размер 4XL")</f>
      </c>
      <c r="C18316" s="4" t="n">
        <v>2524.00</v>
      </c>
      <c r="D18316" s="4"/>
    </row>
    <row collapsed="" customFormat="false" customHeight="1" hidden="" ht="14" outlineLevel="0" r="18317">
      <c r="A18317" s="3" t="inlineStr">
        <is>
          <t>18269</t>
        </is>
      </c>
      <c r="B18317" s="4" t="s">
        <f>=HYPERLINK("http://anyluxury.ru/shop/odezhda/rubashki-polo/rubashka-polo-muzhskaya-spring-210-chernaya-189830/" , "1898.30 Рубашка поло мужская SPRING 210 черная, размер 5XL")</f>
      </c>
      <c r="C18317" s="4" t="n">
        <v>2524.00</v>
      </c>
      <c r="D18317" s="4"/>
    </row>
    <row collapsed="" customFormat="false" customHeight="1" hidden="" ht="14" outlineLevel="0" r="18318">
      <c r="A18318" s="3" t="inlineStr">
        <is>
          <t>18270</t>
        </is>
      </c>
      <c r="B18318" s="4" t="s">
        <f>=HYPERLINK("http://anyluxury.ru/shop/odezhda/rubashki-polo/rubashka-polo-muzhskaya-spring-210-temnosinyaya-navy-189840/" , "1898.40 Рубашка поло мужская SPRING 210 темно-синяя (navy), размер S")</f>
      </c>
      <c r="C18318" s="4" t="n">
        <v>1768.00</v>
      </c>
      <c r="D18318" s="4"/>
    </row>
    <row collapsed="" customFormat="false" customHeight="1" hidden="" ht="14" outlineLevel="0" r="18319">
      <c r="A18319" s="3" t="inlineStr">
        <is>
          <t>18271</t>
        </is>
      </c>
      <c r="B18319" s="4" t="s">
        <f>=HYPERLINK("http://anyluxury.ru/shop/odezhda/rubashki-polo/rubashka-polo-muzhskaya-spring-210-temnosinyaya-navy-189840/" , "1898.40 Рубашка поло мужская SPRING 210 темно-синяя (navy), размер M")</f>
      </c>
      <c r="C18319" s="4" t="n">
        <v>1768.00</v>
      </c>
      <c r="D18319" s="4"/>
    </row>
    <row collapsed="" customFormat="false" customHeight="1" hidden="" ht="14" outlineLevel="0" r="18320">
      <c r="A18320" s="3" t="inlineStr">
        <is>
          <t>18272</t>
        </is>
      </c>
      <c r="B18320" s="4" t="s">
        <f>=HYPERLINK("http://anyluxury.ru/shop/odezhda/rubashki-polo/rubashka-polo-muzhskaya-spring-210-temnosinyaya-navy-189840/" , "1898.40 Рубашка поло мужская SPRING 210 темно-синяя (navy), размер L")</f>
      </c>
      <c r="C18320" s="4" t="n">
        <v>1768.00</v>
      </c>
      <c r="D18320" s="4"/>
    </row>
    <row collapsed="" customFormat="false" customHeight="1" hidden="" ht="14" outlineLevel="0" r="18321">
      <c r="A18321" s="3" t="inlineStr">
        <is>
          <t>18273</t>
        </is>
      </c>
      <c r="B18321" s="4" t="s">
        <f>=HYPERLINK("http://anyluxury.ru/shop/odezhda/rubashki-polo/rubashka-polo-muzhskaya-spring-210-temnosinyaya-navy-189840/" , "1898.40 Рубашка поло мужская SPRING 210 темно-синяя (navy), размер XL")</f>
      </c>
      <c r="C18321" s="4" t="n">
        <v>1768.00</v>
      </c>
      <c r="D18321" s="4"/>
    </row>
    <row collapsed="" customFormat="false" customHeight="1" hidden="" ht="14" outlineLevel="0" r="18322">
      <c r="A18322" s="3" t="inlineStr">
        <is>
          <t>18274</t>
        </is>
      </c>
      <c r="B18322" s="4" t="s">
        <f>=HYPERLINK("http://anyluxury.ru/shop/odezhda/rubashki-polo/rubashka-polo-muzhskaya-spring-210-temnosinyaya-navy-189840/" , "1898.40 Рубашка поло мужская SPRING 210 темно-синяя (navy), размер XXL")</f>
      </c>
      <c r="C18322" s="4" t="n">
        <v>1768.00</v>
      </c>
      <c r="D18322" s="4"/>
    </row>
    <row collapsed="" customFormat="false" customHeight="1" hidden="" ht="14" outlineLevel="0" r="18323">
      <c r="A18323" s="3" t="inlineStr">
        <is>
          <t>18275</t>
        </is>
      </c>
      <c r="B18323" s="4" t="s">
        <f>=HYPERLINK("http://anyluxury.ru/shop/odezhda/rubashki-polo/rubashka-polo-muzhskaya-spring-210-temnosinyaya-navy-189840/" , "1898.40 Рубашка поло мужская SPRING 210 темно-синяя, размер 3XL")</f>
      </c>
      <c r="C18323" s="4" t="n">
        <v>2116.00</v>
      </c>
      <c r="D18323" s="4"/>
    </row>
    <row collapsed="" customFormat="false" customHeight="1" hidden="" ht="14" outlineLevel="0" r="18324">
      <c r="A18324" s="3" t="inlineStr">
        <is>
          <t>18276</t>
        </is>
      </c>
      <c r="B18324" s="4" t="s">
        <f>=HYPERLINK("http://anyluxury.ru/shop/odezhda/rubashki-polo/rubashka-polo-muzhskaya-spring-210-temnosinyaya-navy-189840/" , "1898.40 Рубашка поло мужская SPRING 210 темно-синяя, размер 4XL")</f>
      </c>
      <c r="C18324" s="4" t="n">
        <v>2524.00</v>
      </c>
      <c r="D18324" s="4"/>
    </row>
    <row collapsed="" customFormat="false" customHeight="1" hidden="" ht="14" outlineLevel="0" r="18325">
      <c r="A18325" s="3" t="inlineStr">
        <is>
          <t>18277</t>
        </is>
      </c>
      <c r="B18325" s="4" t="s">
        <f>=HYPERLINK("http://anyluxury.ru/shop/odezhda/rubashki-polo/rubashka-polo-muzhskaya-spring-210-temnosinyaya-navy-189840/" , "1898.40 Рубашка поло мужская SPRING 210 темно-синяя, размер 5XL")</f>
      </c>
      <c r="C18325" s="4" t="n">
        <v>2524.00</v>
      </c>
      <c r="D18325" s="4"/>
    </row>
    <row collapsed="" customFormat="false" customHeight="1" hidden="" ht="14" outlineLevel="0" r="18326">
      <c r="A18326" s="3" t="inlineStr">
        <is>
          <t>18278</t>
        </is>
      </c>
      <c r="B18326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S")</f>
      </c>
      <c r="C18326" s="4" t="n">
        <v>3069.00</v>
      </c>
      <c r="D18326" s="4"/>
    </row>
    <row collapsed="" customFormat="false" customHeight="1" hidden="" ht="14" outlineLevel="0" r="18327">
      <c r="A18327" s="3" t="inlineStr">
        <is>
          <t>18279</t>
        </is>
      </c>
      <c r="B18327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L")</f>
      </c>
      <c r="C18327" s="4" t="n">
        <v>3069.00</v>
      </c>
      <c r="D18327" s="4"/>
    </row>
    <row collapsed="" customFormat="false" customHeight="1" hidden="" ht="14" outlineLevel="0" r="18328">
      <c r="A18328" s="3" t="inlineStr">
        <is>
          <t>18280</t>
        </is>
      </c>
      <c r="B18328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XL")</f>
      </c>
      <c r="C18328" s="4" t="n">
        <v>3069.00</v>
      </c>
      <c r="D18328" s="4"/>
    </row>
    <row collapsed="" customFormat="false" customHeight="1" hidden="" ht="14" outlineLevel="0" r="18329">
      <c r="A18329" s="3" t="inlineStr">
        <is>
          <t>18281</t>
        </is>
      </c>
      <c r="B18329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XXL")</f>
      </c>
      <c r="C18329" s="4" t="n">
        <v>3069.00</v>
      </c>
      <c r="D18329" s="4"/>
    </row>
    <row collapsed="" customFormat="false" customHeight="1" hidden="" ht="14" outlineLevel="0" r="18330">
      <c r="A18330" s="3" t="inlineStr">
        <is>
          <t>18282</t>
        </is>
      </c>
      <c r="B18330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S")</f>
      </c>
      <c r="C18330" s="4" t="n">
        <v>3069.00</v>
      </c>
      <c r="D18330" s="4"/>
    </row>
    <row collapsed="" customFormat="false" customHeight="1" hidden="" ht="14" outlineLevel="0" r="18331">
      <c r="A18331" s="3" t="inlineStr">
        <is>
          <t>18283</t>
        </is>
      </c>
      <c r="B18331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M")</f>
      </c>
      <c r="C18331" s="4" t="n">
        <v>3069.00</v>
      </c>
      <c r="D18331" s="4"/>
    </row>
    <row collapsed="" customFormat="false" customHeight="1" hidden="" ht="14" outlineLevel="0" r="18332">
      <c r="A18332" s="3" t="inlineStr">
        <is>
          <t>18284</t>
        </is>
      </c>
      <c r="B18332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L")</f>
      </c>
      <c r="C18332" s="4" t="n">
        <v>3069.00</v>
      </c>
      <c r="D18332" s="4"/>
    </row>
    <row collapsed="" customFormat="false" customHeight="1" hidden="" ht="14" outlineLevel="0" r="18333">
      <c r="A18333" s="3" t="inlineStr">
        <is>
          <t>18285</t>
        </is>
      </c>
      <c r="B18333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XL")</f>
      </c>
      <c r="C18333" s="4" t="n">
        <v>3069.00</v>
      </c>
      <c r="D18333" s="4"/>
    </row>
    <row collapsed="" customFormat="false" customHeight="1" hidden="" ht="14" outlineLevel="0" r="18334">
      <c r="A18334" s="3" t="inlineStr">
        <is>
          <t>18286</t>
        </is>
      </c>
      <c r="B18334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XXL")</f>
      </c>
      <c r="C18334" s="4" t="n">
        <v>3069.00</v>
      </c>
      <c r="D18334" s="4"/>
    </row>
    <row collapsed="" customFormat="false" customHeight="1" hidden="" ht="14" outlineLevel="0" r="18335">
      <c r="A18335" s="3" t="inlineStr">
        <is>
          <t>18287</t>
        </is>
      </c>
      <c r="B18335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S")</f>
      </c>
      <c r="C18335" s="4" t="n">
        <v>3069.00</v>
      </c>
      <c r="D18335" s="4"/>
    </row>
    <row collapsed="" customFormat="false" customHeight="1" hidden="" ht="14" outlineLevel="0" r="18336">
      <c r="A18336" s="3" t="inlineStr">
        <is>
          <t>18288</t>
        </is>
      </c>
      <c r="B18336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M")</f>
      </c>
      <c r="C18336" s="4" t="n">
        <v>3069.00</v>
      </c>
      <c r="D18336" s="4"/>
    </row>
    <row collapsed="" customFormat="false" customHeight="1" hidden="" ht="14" outlineLevel="0" r="18337">
      <c r="A18337" s="3" t="inlineStr">
        <is>
          <t>18289</t>
        </is>
      </c>
      <c r="B18337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L")</f>
      </c>
      <c r="C18337" s="4" t="n">
        <v>3069.00</v>
      </c>
      <c r="D18337" s="4"/>
    </row>
    <row collapsed="" customFormat="false" customHeight="1" hidden="" ht="14" outlineLevel="0" r="18338">
      <c r="A18338" s="3" t="inlineStr">
        <is>
          <t>18290</t>
        </is>
      </c>
      <c r="B18338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XL")</f>
      </c>
      <c r="C18338" s="4" t="n">
        <v>3069.00</v>
      </c>
      <c r="D18338" s="4"/>
    </row>
    <row collapsed="" customFormat="false" customHeight="1" hidden="" ht="14" outlineLevel="0" r="18339">
      <c r="A18339" s="3" t="inlineStr">
        <is>
          <t>18291</t>
        </is>
      </c>
      <c r="B18339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XXL")</f>
      </c>
      <c r="C18339" s="4" t="n">
        <v>3069.00</v>
      </c>
      <c r="D18339" s="4"/>
    </row>
    <row collapsed="" customFormat="false" customHeight="1" hidden="" ht="14" outlineLevel="0" r="18340">
      <c r="A18340" s="3" t="inlineStr">
        <is>
          <t>18292</t>
        </is>
      </c>
      <c r="B18340" s="4" t="s">
        <f>=HYPERLINK("http://anyluxury.ru/shop/odezhda/rubashki-polo/rubashka-polo-muzhskaya-summer-170-temnosinyaya-navy-137940/" , "1379.40 Рубашка поло мужская SUMMER 170 темно-синяя, размер XS")</f>
      </c>
      <c r="C18340" s="4" t="n">
        <v>1135.00</v>
      </c>
      <c r="D18340" s="4"/>
    </row>
    <row collapsed="" customFormat="false" customHeight="1" hidden="" ht="14" outlineLevel="0" r="18341">
      <c r="A18341" s="3" t="inlineStr">
        <is>
          <t>18293</t>
        </is>
      </c>
      <c r="B18341" s="4" t="s">
        <f>=HYPERLINK("http://anyluxury.ru/shop/odezhda/rubashki-polo/rubashka-polo-muzhskaya-summer-170-temnosinyaya-navy-137940/" , "1379.40 Рубашка поло мужская SUMMER 170 темно-синяя (navy), размер S")</f>
      </c>
      <c r="C18341" s="4" t="n">
        <v>1135.00</v>
      </c>
      <c r="D18341" s="4"/>
    </row>
    <row collapsed="" customFormat="false" customHeight="1" hidden="" ht="14" outlineLevel="0" r="18342">
      <c r="A18342" s="3" t="inlineStr">
        <is>
          <t>18294</t>
        </is>
      </c>
      <c r="B18342" s="4" t="s">
        <f>=HYPERLINK("http://anyluxury.ru/shop/odezhda/rubashki-polo/rubashka-polo-muzhskaya-summer-170-temnosinyaya-navy-137940/" , "1379.40 Рубашка поло мужская SUMMER 170 темно-синяя (navy), размер M")</f>
      </c>
      <c r="C18342" s="4" t="n">
        <v>1135.00</v>
      </c>
      <c r="D18342" s="4"/>
    </row>
    <row collapsed="" customFormat="false" customHeight="1" hidden="" ht="14" outlineLevel="0" r="18343">
      <c r="A18343" s="3" t="inlineStr">
        <is>
          <t>18295</t>
        </is>
      </c>
      <c r="B18343" s="4" t="s">
        <f>=HYPERLINK("http://anyluxury.ru/shop/odezhda/rubashki-polo/rubashka-polo-zhenskaya-people-210-oranzhevaya-189520/" , "1895.20 Рубашка поло женская PEOPLE 210 оранжевая, размер S")</f>
      </c>
      <c r="C18343" s="4" t="n">
        <v>1727.00</v>
      </c>
      <c r="D18343" s="4"/>
    </row>
    <row collapsed="" customFormat="false" customHeight="1" hidden="" ht="14" outlineLevel="0" r="18344">
      <c r="A18344" s="3" t="inlineStr">
        <is>
          <t>18296</t>
        </is>
      </c>
      <c r="B18344" s="4" t="s">
        <f>=HYPERLINK("http://anyluxury.ru/shop/odezhda/rubashki-polo/rubashka-polo-zhenskaya-people-210-oranzhevaya-189520/" , "1895.20 Рубашка поло женская PEOPLE 210 оранжевая, размер L")</f>
      </c>
      <c r="C18344" s="4" t="n">
        <v>1727.00</v>
      </c>
      <c r="D18344" s="4"/>
    </row>
    <row collapsed="" customFormat="false" customHeight="1" hidden="" ht="14" outlineLevel="0" r="18345">
      <c r="A18345" s="3" t="inlineStr">
        <is>
          <t>18297</t>
        </is>
      </c>
      <c r="B18345" s="4" t="s">
        <f>=HYPERLINK("http://anyluxury.ru/shop/odezhda/rubashki-polo/rubashka-polo-zhenskaya-people-210-oranzhevaya-189520/" , "1895.20 Рубашка поло женская PEOPLE 210 оранжевая, размер XL")</f>
      </c>
      <c r="C18345" s="4" t="n">
        <v>1727.00</v>
      </c>
      <c r="D18345" s="4"/>
    </row>
    <row collapsed="" customFormat="false" customHeight="1" hidden="" ht="14" outlineLevel="0" r="18346">
      <c r="A18346" s="3" t="inlineStr">
        <is>
          <t>18298</t>
        </is>
      </c>
      <c r="B18346" s="4" t="s">
        <f>=HYPERLINK("http://anyluxury.ru/shop/odezhda/rubashki-polo/rubashka-polo-zhenskaya-people-210-oranzhevaya-189520/" , "1895.20 Рубашка поло женская PEOPLE 210 оранжевая, размер XXL")</f>
      </c>
      <c r="C18346" s="4" t="n">
        <v>1727.00</v>
      </c>
      <c r="D18346" s="4"/>
    </row>
    <row collapsed="" customFormat="false" customHeight="1" hidden="" ht="14" outlineLevel="0" r="18347">
      <c r="A18347" s="3" t="inlineStr">
        <is>
          <t>18299</t>
        </is>
      </c>
      <c r="B18347" s="4" t="s">
        <f>=HYPERLINK("http://anyluxury.ru/shop/odezhda/rubashki-polo/rubashka-polo-zhenskaya-people-210-chernaya-189530/" , "1895.30 Рубашка поло женская PEOPLE 210 черная, размер S")</f>
      </c>
      <c r="C18347" s="4" t="n">
        <v>1727.00</v>
      </c>
      <c r="D18347" s="4"/>
    </row>
    <row collapsed="" customFormat="false" customHeight="1" hidden="" ht="14" outlineLevel="0" r="18348">
      <c r="A18348" s="3" t="inlineStr">
        <is>
          <t>18300</t>
        </is>
      </c>
      <c r="B18348" s="4" t="s">
        <f>=HYPERLINK("http://anyluxury.ru/shop/odezhda/rubashki-polo/rubashka-polo-zhenskaya-people-210-chernaya-189530/" , "1895.30 Рубашка поло женская PEOPLE 210 черная, размер L")</f>
      </c>
      <c r="C18348" s="4" t="n">
        <v>1727.00</v>
      </c>
      <c r="D18348" s="4"/>
    </row>
    <row collapsed="" customFormat="false" customHeight="1" hidden="" ht="14" outlineLevel="0" r="18349">
      <c r="A18349" s="3" t="inlineStr">
        <is>
          <t>18301</t>
        </is>
      </c>
      <c r="B18349" s="4" t="s">
        <f>=HYPERLINK("http://anyluxury.ru/shop/odezhda/rubashki-polo/rubashka-polo-zhenskaya-people-210-chernaya-189530/" , "1895.30 Рубашка поло женская PEOPLE 210 черная, размер XXL")</f>
      </c>
      <c r="C18349" s="4" t="n">
        <v>1727.00</v>
      </c>
      <c r="D18349" s="4"/>
    </row>
    <row collapsed="" customFormat="false" customHeight="1" hidden="" ht="14" outlineLevel="0" r="18350">
      <c r="A18350" s="3" t="inlineStr">
        <is>
          <t>18302</t>
        </is>
      </c>
      <c r="B18350" s="4" t="s">
        <f>=HYPERLINK("http://anyluxury.ru/shop/odezhda/rubashki-polo/rubashka-polo-muzhskaya-spring-210-oranzhevaya-189820/" , "1898.20 Рубашка поло мужская SPRING 210 оранжевая, размер S")</f>
      </c>
      <c r="C18350" s="4" t="n">
        <v>1768.00</v>
      </c>
      <c r="D18350" s="4"/>
    </row>
    <row collapsed="" customFormat="false" customHeight="1" hidden="" ht="14" outlineLevel="0" r="18351">
      <c r="A18351" s="3" t="inlineStr">
        <is>
          <t>18303</t>
        </is>
      </c>
      <c r="B18351" s="4" t="s">
        <f>=HYPERLINK("http://anyluxury.ru/shop/odezhda/rubashki-polo/rubashka-polo-muzhskaya-spring-210-oranzhevaya-189820/" , "1898.20 Рубашка поло мужская SPRING 210 оранжевая, размер M")</f>
      </c>
      <c r="C18351" s="4" t="n">
        <v>1768.00</v>
      </c>
      <c r="D18351" s="4"/>
    </row>
    <row collapsed="" customFormat="false" customHeight="1" hidden="" ht="14" outlineLevel="0" r="18352">
      <c r="A18352" s="3" t="inlineStr">
        <is>
          <t>18304</t>
        </is>
      </c>
      <c r="B18352" s="4" t="s">
        <f>=HYPERLINK("http://anyluxury.ru/shop/odezhda/rubashki-polo/rubashka-polo-muzhskaya-spring-210-oranzhevaya-189820/" , "1898.20 Рубашка поло мужская SPRING 210 оранжевая, размер L")</f>
      </c>
      <c r="C18352" s="4" t="n">
        <v>1768.00</v>
      </c>
      <c r="D18352" s="4"/>
    </row>
    <row collapsed="" customFormat="false" customHeight="1" hidden="" ht="14" outlineLevel="0" r="18353">
      <c r="A18353" s="3" t="inlineStr">
        <is>
          <t>18305</t>
        </is>
      </c>
      <c r="B18353" s="4" t="s">
        <f>=HYPERLINK("http://anyluxury.ru/shop/odezhda/rubashki-polo/rubashka-polo-muzhskaya-spring-210-oranzhevaya-189820/" , "1898.20 Рубашка поло мужская SPRING 210 оранжевая, размер XL")</f>
      </c>
      <c r="C18353" s="4" t="n">
        <v>1768.00</v>
      </c>
      <c r="D18353" s="4"/>
    </row>
    <row collapsed="" customFormat="false" customHeight="1" hidden="" ht="14" outlineLevel="0" r="18354">
      <c r="A18354" s="3" t="inlineStr">
        <is>
          <t>18306</t>
        </is>
      </c>
      <c r="B18354" s="4" t="s">
        <f>=HYPERLINK("http://anyluxury.ru/shop/odezhda/rubashki-polo/rubashka-polo-muzhskaya-spring-210-oranzhevaya-189820/" , "1898.20 Рубашка поло мужская SPRING 210 оранжевая, размер XXL")</f>
      </c>
      <c r="C18354" s="4" t="n">
        <v>1768.00</v>
      </c>
      <c r="D18354" s="4"/>
    </row>
    <row collapsed="" customFormat="false" customHeight="1" hidden="" ht="14" outlineLevel="0" r="18355">
      <c r="A18355" s="3" t="inlineStr">
        <is>
          <t>18307</t>
        </is>
      </c>
      <c r="B18355" s="4" t="s">
        <f>=HYPERLINK("http://anyluxury.ru/shop/odezhda/rubashki-polo/rubashka-polo-muzhskaya-spring-210-biryuzovaya-189842/" , "1898.42 Рубашка поло мужская SPRING 210 бирюзовая, размер S")</f>
      </c>
      <c r="C18355" s="4" t="n">
        <v>1768.00</v>
      </c>
      <c r="D18355" s="4"/>
    </row>
    <row collapsed="" customFormat="false" customHeight="1" hidden="" ht="14" outlineLevel="0" r="18356">
      <c r="A18356" s="3" t="inlineStr">
        <is>
          <t>18308</t>
        </is>
      </c>
      <c r="B18356" s="4" t="s">
        <f>=HYPERLINK("http://anyluxury.ru/shop/odezhda/rubashki-polo/rubashka-polo-muzhskaya-spring-210-biryuzovaya-189842/" , "1898.42 Рубашка поло мужская SPRING 210 бирюзовая, размер M")</f>
      </c>
      <c r="C18356" s="4" t="n">
        <v>1768.00</v>
      </c>
      <c r="D18356" s="4"/>
    </row>
    <row collapsed="" customFormat="false" customHeight="1" hidden="" ht="14" outlineLevel="0" r="18357">
      <c r="A18357" s="3" t="inlineStr">
        <is>
          <t>18309</t>
        </is>
      </c>
      <c r="B18357" s="4" t="s">
        <f>=HYPERLINK("http://anyluxury.ru/shop/odezhda/rubashki-polo/rubashka-polo-muzhskaya-spring-210-biryuzovaya-189842/" , "1898.42 Рубашка поло мужская SPRING 210 бирюзовая, размер L")</f>
      </c>
      <c r="C18357" s="4" t="n">
        <v>1768.00</v>
      </c>
      <c r="D18357" s="4"/>
    </row>
    <row collapsed="" customFormat="false" customHeight="1" hidden="" ht="14" outlineLevel="0" r="18358">
      <c r="A18358" s="3" t="inlineStr">
        <is>
          <t>18310</t>
        </is>
      </c>
      <c r="B18358" s="4" t="s">
        <f>=HYPERLINK("http://anyluxury.ru/shop/odezhda/rubashki-polo/rubashka-polo-muzhskaya-spring-210-biryuzovaya-189842/" , "1898.42 Рубашка поло мужская SPRING 210 бирюзовая, размер XL")</f>
      </c>
      <c r="C18358" s="4" t="n">
        <v>1768.00</v>
      </c>
      <c r="D18358" s="4"/>
    </row>
    <row collapsed="" customFormat="false" customHeight="1" hidden="" ht="14" outlineLevel="0" r="18359">
      <c r="A18359" s="3" t="inlineStr">
        <is>
          <t>18311</t>
        </is>
      </c>
      <c r="B18359" s="4" t="s">
        <f>=HYPERLINK("http://anyluxury.ru/shop/odezhda/rubashki-polo/rubashka-polo-muzhskaya-spring-210-biryuzovaya-189842/" , "1898.42 Рубашка поло мужская SPRING 210 бирюзовая, размер XXL")</f>
      </c>
      <c r="C18359" s="4" t="n">
        <v>1768.00</v>
      </c>
      <c r="D18359" s="4"/>
    </row>
    <row collapsed="" customFormat="false" customHeight="1" hidden="" ht="14" outlineLevel="0" r="18360">
      <c r="A18360" s="3" t="inlineStr">
        <is>
          <t>18312</t>
        </is>
      </c>
      <c r="B18360" s="4" t="s">
        <f>=HYPERLINK("http://anyluxury.ru/shop/odezhda/rubashki-polo/rubashka-polo-muzhskaya-spring-210-yarkosinyaya-royal-189844/" , "1898.44 Рубашка поло мужская SPRING 210 ярко-синяя (royal), размер S")</f>
      </c>
      <c r="C18360" s="4" t="n">
        <v>1768.00</v>
      </c>
      <c r="D18360" s="4"/>
    </row>
    <row collapsed="" customFormat="false" customHeight="1" hidden="" ht="14" outlineLevel="0" r="18361">
      <c r="A18361" s="3" t="inlineStr">
        <is>
          <t>18313</t>
        </is>
      </c>
      <c r="B18361" s="4" t="s">
        <f>=HYPERLINK("http://anyluxury.ru/shop/odezhda/rubashki-polo/rubashka-polo-muzhskaya-spring-210-yarkosinyaya-royal-189844/" , "1898.44 Рубашка поло мужская SPRING 210 ярко-синяя (royal), размер M")</f>
      </c>
      <c r="C18361" s="4" t="n">
        <v>1768.00</v>
      </c>
      <c r="D18361" s="4"/>
    </row>
    <row collapsed="" customFormat="false" customHeight="1" hidden="" ht="14" outlineLevel="0" r="18362">
      <c r="A18362" s="3" t="inlineStr">
        <is>
          <t>18314</t>
        </is>
      </c>
      <c r="B18362" s="4" t="s">
        <f>=HYPERLINK("http://anyluxury.ru/shop/odezhda/rubashki-polo/rubashka-polo-muzhskaya-spring-210-yarkosinyaya-royal-189844/" , "1898.44 Рубашка поло мужская SPRING 210 ярко-синяя (royal), размер L")</f>
      </c>
      <c r="C18362" s="4" t="n">
        <v>1768.00</v>
      </c>
      <c r="D18362" s="4"/>
    </row>
    <row collapsed="" customFormat="false" customHeight="1" hidden="" ht="14" outlineLevel="0" r="18363">
      <c r="A18363" s="3" t="inlineStr">
        <is>
          <t>18315</t>
        </is>
      </c>
      <c r="B18363" s="4" t="s">
        <f>=HYPERLINK("http://anyluxury.ru/shop/odezhda/rubashki-polo/rubashka-polo-muzhskaya-spring-210-yarkosinyaya-royal-189844/" , "1898.44 Рубашка поло мужская SPRING 210 ярко-синяя (royal), размер XL")</f>
      </c>
      <c r="C18363" s="4" t="n">
        <v>1768.00</v>
      </c>
      <c r="D18363" s="4"/>
    </row>
    <row collapsed="" customFormat="false" customHeight="1" hidden="" ht="14" outlineLevel="0" r="18364">
      <c r="A18364" s="3" t="inlineStr">
        <is>
          <t>18316</t>
        </is>
      </c>
      <c r="B18364" s="4" t="s">
        <f>=HYPERLINK("http://anyluxury.ru/shop/odezhda/rubashki-polo/rubashka-polo-muzhskaya-spring-210-yarkosinyaya-royal-189844/" , "1898.44 Рубашка поло мужская SPRING 210 ярко-синяя (royal), размер XXL")</f>
      </c>
      <c r="C18364" s="4" t="n">
        <v>1768.00</v>
      </c>
      <c r="D18364" s="4"/>
    </row>
    <row collapsed="" customFormat="false" customHeight="1" hidden="" ht="14" outlineLevel="0" r="18365">
      <c r="A18365" s="3" t="inlineStr">
        <is>
          <t>18317</t>
        </is>
      </c>
      <c r="B18365" s="4" t="s">
        <f>=HYPERLINK("http://anyluxury.ru/shop/odezhda/rubashki-polo/rubashka-polo-muzhskaya-spring-210-yarkosinyaya-royal-189844/" , "1898.44 Рубашка поло мужская SPRING 210 ярко-синяя, размер 3XL")</f>
      </c>
      <c r="C18365" s="4" t="n">
        <v>2116.00</v>
      </c>
      <c r="D18365" s="4"/>
    </row>
    <row collapsed="" customFormat="false" customHeight="1" hidden="" ht="14" outlineLevel="0" r="18366">
      <c r="A18366" s="3" t="inlineStr">
        <is>
          <t>18318</t>
        </is>
      </c>
      <c r="B18366" s="4" t="s">
        <f>=HYPERLINK("http://anyluxury.ru/shop/odezhda/rubashki-polo/rubashka-polo-muzhskaya-spring-210-yarkosinyaya-royal-189844/" , "1898.44 Рубашка поло мужская SPRING 210 ярко-синяя, размер 4XL")</f>
      </c>
      <c r="C18366" s="4" t="n">
        <v>2524.00</v>
      </c>
      <c r="D18366" s="4"/>
    </row>
    <row collapsed="" customFormat="false" customHeight="1" hidden="" ht="14" outlineLevel="0" r="18367">
      <c r="A18367" s="3" t="inlineStr">
        <is>
          <t>18319</t>
        </is>
      </c>
      <c r="B18367" s="4" t="s">
        <f>=HYPERLINK("http://anyluxury.ru/shop/odezhda/rubashki-polo/rubashka-polo-muzhskaya-spring-210-yarkosinyaya-royal-189844/" , "1898.44 Рубашка поло мужская SPRING 210 ярко-синяя, размер 5XL")</f>
      </c>
      <c r="C18367" s="4" t="n">
        <v>2524.00</v>
      </c>
      <c r="D18367" s="4"/>
    </row>
    <row collapsed="" customFormat="false" customHeight="1" hidden="" ht="14" outlineLevel="0" r="18368">
      <c r="A18368" s="3" t="inlineStr">
        <is>
          <t>18320</t>
        </is>
      </c>
      <c r="B18368" s="4" t="s">
        <f>=HYPERLINK("http://anyluxury.ru/shop/odezhda/rubashki-polo/rubashka-polo-muzhskaya-spring-210-zheltaya-189880/" , "1898.80 Рубашка поло мужская SPRING 210 желтая, размер S")</f>
      </c>
      <c r="C18368" s="4" t="n">
        <v>1768.00</v>
      </c>
      <c r="D18368" s="4"/>
    </row>
    <row collapsed="" customFormat="false" customHeight="1" hidden="" ht="14" outlineLevel="0" r="18369">
      <c r="A18369" s="3" t="inlineStr">
        <is>
          <t>18321</t>
        </is>
      </c>
      <c r="B18369" s="4" t="s">
        <f>=HYPERLINK("http://anyluxury.ru/shop/odezhda/rubashki-polo/rubashka-polo-muzhskaya-spring-210-zheltaya-189880/" , "1898.80 Рубашка поло мужская SPRING 210 желтая, размер M")</f>
      </c>
      <c r="C18369" s="4" t="n">
        <v>1768.00</v>
      </c>
      <c r="D18369" s="4"/>
    </row>
    <row collapsed="" customFormat="false" customHeight="1" hidden="" ht="14" outlineLevel="0" r="18370">
      <c r="A18370" s="3" t="inlineStr">
        <is>
          <t>18322</t>
        </is>
      </c>
      <c r="B18370" s="4" t="s">
        <f>=HYPERLINK("http://anyluxury.ru/shop/odezhda/rubashki-polo/rubashka-polo-muzhskaya-spring-210-zheltaya-189880/" , "1898.80 Рубашка поло мужская SPRING 210 желтая, размер L")</f>
      </c>
      <c r="C18370" s="4" t="n">
        <v>1768.00</v>
      </c>
      <c r="D18370" s="4"/>
    </row>
    <row collapsed="" customFormat="false" customHeight="1" hidden="" ht="14" outlineLevel="0" r="18371">
      <c r="A18371" s="3" t="inlineStr">
        <is>
          <t>18323</t>
        </is>
      </c>
      <c r="B18371" s="4" t="s">
        <f>=HYPERLINK("http://anyluxury.ru/shop/odezhda/rubashki-polo/rubashka-polo-muzhskaya-spring-210-zheltaya-189880/" , "1898.80 Рубашка поло мужская SPRING 210 желтая, размер XL")</f>
      </c>
      <c r="C18371" s="4" t="n">
        <v>1768.00</v>
      </c>
      <c r="D18371" s="4"/>
    </row>
    <row collapsed="" customFormat="false" customHeight="1" hidden="" ht="14" outlineLevel="0" r="18372">
      <c r="A18372" s="3" t="inlineStr">
        <is>
          <t>18324</t>
        </is>
      </c>
      <c r="B18372" s="4" t="s">
        <f>=HYPERLINK("http://anyluxury.ru/shop/odezhda/rubashki-polo/rubashka-polo-muzhskaya-spring-210-zheltaya-189880/" , "1898.80 Рубашка поло мужская SPRING 210 желтая, размер XXL")</f>
      </c>
      <c r="C18372" s="4" t="n">
        <v>1768.00</v>
      </c>
      <c r="D18372" s="4"/>
    </row>
    <row collapsed="" customFormat="false" customHeight="1" hidden="" ht="14" outlineLevel="0" r="18373">
      <c r="A18373" s="3" t="inlineStr">
        <is>
          <t>18325</t>
        </is>
      </c>
      <c r="B18373" s="4" t="s">
        <f>=HYPERLINK("http://anyluxury.ru/shop/odezhda/rubashki-polo/rubashka-polo-muzhskaya-spring-210-yarkozelenaya-189890/" , "1898.90 Рубашка поло мужская SPRING 210 ярко-зеленая, размер S")</f>
      </c>
      <c r="C18373" s="4" t="n">
        <v>1768.00</v>
      </c>
      <c r="D18373" s="4"/>
    </row>
    <row collapsed="" customFormat="false" customHeight="1" hidden="" ht="14" outlineLevel="0" r="18374">
      <c r="A18374" s="3" t="inlineStr">
        <is>
          <t>18326</t>
        </is>
      </c>
      <c r="B18374" s="4" t="s">
        <f>=HYPERLINK("http://anyluxury.ru/shop/odezhda/rubashki-polo/rubashka-polo-muzhskaya-spring-210-yarkozelenaya-189890/" , "1898.90 Рубашка поло мужская SPRING 210 ярко-зеленая, размер M")</f>
      </c>
      <c r="C18374" s="4" t="n">
        <v>1768.00</v>
      </c>
      <c r="D18374" s="4"/>
    </row>
    <row collapsed="" customFormat="false" customHeight="1" hidden="" ht="14" outlineLevel="0" r="18375">
      <c r="A18375" s="3" t="inlineStr">
        <is>
          <t>18327</t>
        </is>
      </c>
      <c r="B18375" s="4" t="s">
        <f>=HYPERLINK("http://anyluxury.ru/shop/odezhda/rubashki-polo/rubashka-polo-muzhskaya-spring-210-yarkozelenaya-189890/" , "1898.90 Рубашка поло мужская SPRING 210 ярко-зеленая, размер L")</f>
      </c>
      <c r="C18375" s="4" t="n">
        <v>1768.00</v>
      </c>
      <c r="D18375" s="4"/>
    </row>
    <row collapsed="" customFormat="false" customHeight="1" hidden="" ht="14" outlineLevel="0" r="18376">
      <c r="A18376" s="3" t="inlineStr">
        <is>
          <t>18328</t>
        </is>
      </c>
      <c r="B18376" s="4" t="s">
        <f>=HYPERLINK("http://anyluxury.ru/shop/odezhda/rubashki-polo/rubashka-polo-muzhskaya-spring-210-yarkozelenaya-189890/" , "1898.90 Рубашка поло мужская SPRING 210 ярко-зеленая, размер XL")</f>
      </c>
      <c r="C18376" s="4" t="n">
        <v>1768.00</v>
      </c>
      <c r="D18376" s="4"/>
    </row>
    <row collapsed="" customFormat="false" customHeight="1" hidden="" ht="14" outlineLevel="0" r="18377">
      <c r="A18377" s="3" t="inlineStr">
        <is>
          <t>18329</t>
        </is>
      </c>
      <c r="B18377" s="4" t="s">
        <f>=HYPERLINK("http://anyluxury.ru/shop/odezhda/rubashki-polo/rubashka-polo-muzhskaya-spring-210-yarkozelenaya-189890/" , "1898.90 Рубашка поло мужская SPRING 210 ярко-зеленая, размер XXL")</f>
      </c>
      <c r="C18377" s="4" t="n">
        <v>1768.00</v>
      </c>
      <c r="D18377" s="4"/>
    </row>
    <row collapsed="" customFormat="false" customHeight="1" hidden="" ht="14" outlineLevel="0" r="18378">
      <c r="A18378" s="3" t="inlineStr">
        <is>
          <t>18330</t>
        </is>
      </c>
      <c r="B18378" s="4" t="s">
        <f>=HYPERLINK("http://anyluxury.ru/shop/odezhda/rubashki-polo/rubashka-polo-zhenskaya-passion-170-zheltaya-479880/" , "4798.80 Рубашка поло женская PASSION 170 желтая, размер S")</f>
      </c>
      <c r="C18378" s="4" t="n">
        <v>1108.00</v>
      </c>
      <c r="D18378" s="4"/>
    </row>
    <row collapsed="" customFormat="false" customHeight="1" hidden="" ht="14" outlineLevel="0" r="18379">
      <c r="A18379" s="3" t="inlineStr">
        <is>
          <t>18331</t>
        </is>
      </c>
      <c r="B18379" s="4" t="s">
        <f>=HYPERLINK("http://anyluxury.ru/shop/odezhda/rubashki-polo/rubashka-polo-zhenskaya-passion-170-zheltaya-479880/" , "4798.80 Рубашка поло женская PASSION 170 желтая, размер L")</f>
      </c>
      <c r="C18379" s="4" t="n">
        <v>1108.00</v>
      </c>
      <c r="D18379" s="4"/>
    </row>
    <row collapsed="" customFormat="false" customHeight="1" hidden="" ht="14" outlineLevel="0" r="18380">
      <c r="A18380" s="3" t="inlineStr">
        <is>
          <t>18332</t>
        </is>
      </c>
      <c r="B18380" s="4" t="s">
        <f>=HYPERLINK("http://anyluxury.ru/shop/odezhda/rubashki-polo/rubashka-polo-zhenskaya-passion-170-zheltaya-479880/" , "4798.80 Рубашка поло женская PASSION 170 желтая, размер XXL")</f>
      </c>
      <c r="C18380" s="4" t="n">
        <v>1108.00</v>
      </c>
      <c r="D18380" s="4"/>
    </row>
    <row collapsed="" customFormat="false" customHeight="1" hidden="" ht="14" outlineLevel="0" r="18381">
      <c r="A18381" s="3" t="inlineStr">
        <is>
          <t>18333</t>
        </is>
      </c>
      <c r="B18381" s="4" t="s">
        <f>=HYPERLINK("http://anyluxury.ru/shop/odezhda/rubashki-polo/rubashka-polo-zhenskaya-passion-170-belaya-479860/" , "4798.60 Рубашка поло женская PASSION 170 белая, размер S")</f>
      </c>
      <c r="C18381" s="4" t="n">
        <v>982.00</v>
      </c>
      <c r="D18381" s="4"/>
    </row>
    <row collapsed="" customFormat="false" customHeight="1" hidden="" ht="14" outlineLevel="0" r="18382">
      <c r="A18382" s="3" t="inlineStr">
        <is>
          <t>18334</t>
        </is>
      </c>
      <c r="B18382" s="4" t="s">
        <f>=HYPERLINK("http://anyluxury.ru/shop/odezhda/rubashki-polo/rubashka-polo-zhenskaya-passion-170-belaya-479860/" , "4798.60 Рубашка поло женская PASSION 170 белая, размер M")</f>
      </c>
      <c r="C18382" s="4" t="n">
        <v>982.00</v>
      </c>
      <c r="D18382" s="4"/>
    </row>
    <row collapsed="" customFormat="false" customHeight="1" hidden="" ht="14" outlineLevel="0" r="18383">
      <c r="A18383" s="3" t="inlineStr">
        <is>
          <t>18335</t>
        </is>
      </c>
      <c r="B18383" s="4" t="s">
        <f>=HYPERLINK("http://anyluxury.ru/shop/odezhda/rubashki-polo/rubashka-polo-zhenskaya-passion-170-belaya-479860/" , "4798.60 Рубашка поло женская PASSION 170 белая, размер L")</f>
      </c>
      <c r="C18383" s="4" t="n">
        <v>982.00</v>
      </c>
      <c r="D18383" s="4"/>
    </row>
    <row collapsed="" customFormat="false" customHeight="1" hidden="" ht="14" outlineLevel="0" r="18384">
      <c r="A18384" s="3" t="inlineStr">
        <is>
          <t>18336</t>
        </is>
      </c>
      <c r="B18384" s="4" t="s">
        <f>=HYPERLINK("http://anyluxury.ru/shop/odezhda/rubashki-polo/rubashka-polo-zhenskaya-passion-170-belaya-479860/" , "4798.60 Рубашка поло женская PASSION 170 белая, размер XL")</f>
      </c>
      <c r="C18384" s="4" t="n">
        <v>982.00</v>
      </c>
      <c r="D18384" s="4"/>
    </row>
    <row collapsed="" customFormat="false" customHeight="1" hidden="" ht="14" outlineLevel="0" r="18385">
      <c r="A18385" s="3" t="inlineStr">
        <is>
          <t>18337</t>
        </is>
      </c>
      <c r="B18385" s="4" t="s">
        <f>=HYPERLINK("http://anyluxury.ru/shop/odezhda/rubashki-polo/rubashka-polo-zhenskaya-passion-170-belaya-479860/" , "4798.60 Рубашка поло женская PASSION 170 белая, размер XXL")</f>
      </c>
      <c r="C18385" s="4" t="n">
        <v>982.00</v>
      </c>
      <c r="D18385" s="4"/>
    </row>
    <row collapsed="" customFormat="false" customHeight="1" hidden="" ht="14" outlineLevel="0" r="18386">
      <c r="A18386" s="3" t="inlineStr">
        <is>
          <t>18338</t>
        </is>
      </c>
      <c r="B18386" s="4" t="s">
        <f>=HYPERLINK("http://anyluxury.ru/shop/odezhda/rubashki-polo/rubashka-polo-zhenskaya-passion-170-rozovaya-479815/" , "4798.15 Рубашка поло женская PASSION 170 розовая, размер S")</f>
      </c>
      <c r="C18386" s="4" t="n">
        <v>1108.00</v>
      </c>
      <c r="D18386" s="4"/>
    </row>
    <row collapsed="" customFormat="false" customHeight="1" hidden="" ht="14" outlineLevel="0" r="18387">
      <c r="A18387" s="3" t="inlineStr">
        <is>
          <t>18339</t>
        </is>
      </c>
      <c r="B18387" s="4" t="s">
        <f>=HYPERLINK("http://anyluxury.ru/shop/odezhda/rubashki-polo/rubashka-polo-zhenskaya-passion-170-rozovaya-479815/" , "4798.15 Рубашка поло женская PASSION 170 розовая, размер L")</f>
      </c>
      <c r="C18387" s="4" t="n">
        <v>1108.00</v>
      </c>
      <c r="D18387" s="4"/>
    </row>
    <row collapsed="" customFormat="false" customHeight="1" hidden="" ht="14" outlineLevel="0" r="18388">
      <c r="A18388" s="3" t="inlineStr">
        <is>
          <t>18340</t>
        </is>
      </c>
      <c r="B18388" s="4" t="s">
        <f>=HYPERLINK("http://anyluxury.ru/shop/odezhda/rubashki-polo/rubashka-polo-zhenskaya-passion-170-krasnaya-479850/" , "4798.50 Рубашка поло женская PASSION 170 красная, размер S")</f>
      </c>
      <c r="C18388" s="4" t="n">
        <v>1108.00</v>
      </c>
      <c r="D18388" s="4"/>
    </row>
    <row collapsed="" customFormat="false" customHeight="1" hidden="" ht="14" outlineLevel="0" r="18389">
      <c r="A18389" s="3" t="inlineStr">
        <is>
          <t>18341</t>
        </is>
      </c>
      <c r="B18389" s="4" t="s">
        <f>=HYPERLINK("http://anyluxury.ru/shop/odezhda/rubashki-polo/rubashka-polo-zhenskaya-passion-170-krasnaya-479850/" , "4798.50 Рубашка поло женская PASSION 170 красная, размер L")</f>
      </c>
      <c r="C18389" s="4" t="n">
        <v>1108.00</v>
      </c>
      <c r="D18389" s="4"/>
    </row>
    <row collapsed="" customFormat="false" customHeight="1" hidden="" ht="14" outlineLevel="0" r="18390">
      <c r="A18390" s="3" t="inlineStr">
        <is>
          <t>18342</t>
        </is>
      </c>
      <c r="B18390" s="4" t="s">
        <f>=HYPERLINK("http://anyluxury.ru/shop/odezhda/rubashki-polo/rubashka-polo-zhenskaya-passion-170-krasnaya-479850/" , "4798.50 Рубашка поло женская PASSION 170 красная, размер XXL")</f>
      </c>
      <c r="C18390" s="4" t="n">
        <v>1108.00</v>
      </c>
      <c r="D18390" s="4"/>
    </row>
    <row collapsed="" customFormat="false" customHeight="1" hidden="" ht="14" outlineLevel="0" r="18391">
      <c r="A18391" s="3" t="inlineStr">
        <is>
          <t>18343</t>
        </is>
      </c>
      <c r="B18391" s="4" t="s">
        <f>=HYPERLINK("http://anyluxury.ru/shop/odezhda/rubashki-polo/rubashka-polo-zhenskaya-passion-170-golubaya-479814/" , "4798.14 Рубашка поло женская PASSION 170 голубая, размер S")</f>
      </c>
      <c r="C18391" s="4" t="n">
        <v>1108.00</v>
      </c>
      <c r="D18391" s="4"/>
    </row>
    <row collapsed="" customFormat="false" customHeight="1" hidden="" ht="14" outlineLevel="0" r="18392">
      <c r="A18392" s="3" t="inlineStr">
        <is>
          <t>18344</t>
        </is>
      </c>
      <c r="B18392" s="4" t="s">
        <f>=HYPERLINK("http://anyluxury.ru/shop/odezhda/rubashki-polo/rubashka-polo-zhenskaya-passion-170-golubaya-479814/" , "4798.14 Рубашка поло женская PASSION 170 голубая, размер XL")</f>
      </c>
      <c r="C18392" s="4" t="n">
        <v>1108.00</v>
      </c>
      <c r="D18392" s="4"/>
    </row>
    <row collapsed="" customFormat="false" customHeight="1" hidden="" ht="14" outlineLevel="0" r="18393">
      <c r="A18393" s="3" t="inlineStr">
        <is>
          <t>18345</t>
        </is>
      </c>
      <c r="B18393" s="4" t="s">
        <f>=HYPERLINK("http://anyluxury.ru/shop/odezhda/rubashki-polo/rubashka-polo-zhenskaya-passion-170-golubaya-479814/" , "4798.14 Рубашка поло женская PASSION 170 голубая, размер XXL")</f>
      </c>
      <c r="C18393" s="4" t="n">
        <v>1108.00</v>
      </c>
      <c r="D18393" s="4"/>
    </row>
    <row collapsed="" customFormat="false" customHeight="1" hidden="" ht="14" outlineLevel="0" r="18394">
      <c r="A18394" s="3" t="inlineStr">
        <is>
          <t>18346</t>
        </is>
      </c>
      <c r="B18394" s="4" t="s">
        <f>=HYPERLINK("http://anyluxury.ru/shop/odezhda/rubashki-polo/rubashka-polo-zhenskaya-passion-170-biryuzovaya-479842/" , "4798.42 Рубашка поло женская PASSION 170 бирюзовая, размер XL")</f>
      </c>
      <c r="C18394" s="4" t="n">
        <v>1108.00</v>
      </c>
      <c r="D18394" s="4"/>
    </row>
    <row collapsed="" customFormat="false" customHeight="1" hidden="" ht="14" outlineLevel="0" r="18395">
      <c r="A18395" s="3" t="inlineStr">
        <is>
          <t>18347</t>
        </is>
      </c>
      <c r="B18395" s="4" t="s">
        <f>=HYPERLINK("http://anyluxury.ru/shop/odezhda/rubashki-polo/rubashka-polo-zhenskaya-passion-170-biryuzovaya-479842/" , "4798.42 Рубашка поло женская PASSION 170 бирюзовая, размер XXL")</f>
      </c>
      <c r="C18395" s="4" t="n">
        <v>1108.00</v>
      </c>
      <c r="D18395" s="4"/>
    </row>
    <row collapsed="" customFormat="false" customHeight="1" hidden="" ht="14" outlineLevel="0" r="18396">
      <c r="A18396" s="3" t="inlineStr">
        <is>
          <t>18348</t>
        </is>
      </c>
      <c r="B18396" s="4" t="s">
        <f>=HYPERLINK("http://anyluxury.ru/shop/odezhda/rubashki-polo/rubashka-polo-zhenskaya-passion-170-chernaya-479830/" , "4798.30 Рубашка поло женская PASSION 170 черная, размер S")</f>
      </c>
      <c r="C18396" s="4" t="n">
        <v>1108.00</v>
      </c>
      <c r="D18396" s="4"/>
    </row>
    <row collapsed="" customFormat="false" customHeight="1" hidden="" ht="14" outlineLevel="0" r="18397">
      <c r="A18397" s="3" t="inlineStr">
        <is>
          <t>18349</t>
        </is>
      </c>
      <c r="B18397" s="4" t="s">
        <f>=HYPERLINK("http://anyluxury.ru/shop/odezhda/rubashki-polo/rubashka-polo-zhenskaya-passion-170-chernaya-479830/" , "4798.30 Рубашка поло женская PASSION 170 черная, размер M")</f>
      </c>
      <c r="C18397" s="4" t="n">
        <v>1108.00</v>
      </c>
      <c r="D18397" s="4"/>
    </row>
    <row collapsed="" customFormat="false" customHeight="1" hidden="" ht="14" outlineLevel="0" r="18398">
      <c r="A18398" s="3" t="inlineStr">
        <is>
          <t>18350</t>
        </is>
      </c>
      <c r="B18398" s="4" t="s">
        <f>=HYPERLINK("http://anyluxury.ru/shop/odezhda/rubashki-polo/rubashka-polo-zhenskaya-passion-170-chernaya-479830/" , "4798.30 Рубашка поло женская PASSION 170 черная, размер L")</f>
      </c>
      <c r="C18398" s="4" t="n">
        <v>1108.00</v>
      </c>
      <c r="D18398" s="4"/>
    </row>
    <row collapsed="" customFormat="false" customHeight="1" hidden="" ht="14" outlineLevel="0" r="18399">
      <c r="A18399" s="3" t="inlineStr">
        <is>
          <t>18351</t>
        </is>
      </c>
      <c r="B18399" s="4" t="s">
        <f>=HYPERLINK("http://anyluxury.ru/shop/odezhda/rubashki-polo/rubashka-polo-zhenskaya-passion-170-chernaya-479830/" , "4798.30 Рубашка поло женская PASSION 170 черная, размер XL")</f>
      </c>
      <c r="C18399" s="4" t="n">
        <v>1108.00</v>
      </c>
      <c r="D18399" s="4"/>
    </row>
    <row collapsed="" customFormat="false" customHeight="1" hidden="" ht="14" outlineLevel="0" r="18400">
      <c r="A18400" s="3" t="inlineStr">
        <is>
          <t>18352</t>
        </is>
      </c>
      <c r="B18400" s="4" t="s">
        <f>=HYPERLINK("http://anyluxury.ru/shop/odezhda/rubashki-polo/rubashka-polo-zhenskaya-passion-170-chernaya-479830/" , "4798.30 Рубашка поло женская PASSION 170 черная, размер XXL")</f>
      </c>
      <c r="C18400" s="4" t="n">
        <v>1108.00</v>
      </c>
      <c r="D18400" s="4"/>
    </row>
    <row collapsed="" customFormat="false" customHeight="1" hidden="" ht="14" outlineLevel="0" r="18401">
      <c r="A18401" s="3" t="inlineStr">
        <is>
          <t>18353</t>
        </is>
      </c>
      <c r="B18401" s="4" t="s">
        <f>=HYPERLINK("http://anyluxury.ru/shop/odezhda/rubashki-polo/rubashka-polo-zhenskaya-passion-170-oranzhevaya-479820/" , "4798.20 Рубашка поло женская PASSION 170 оранжевая, размер S")</f>
      </c>
      <c r="C18401" s="4" t="n">
        <v>1108.00</v>
      </c>
      <c r="D18401" s="4"/>
    </row>
    <row collapsed="" customFormat="false" customHeight="1" hidden="" ht="14" outlineLevel="0" r="18402">
      <c r="A18402" s="3" t="inlineStr">
        <is>
          <t>18354</t>
        </is>
      </c>
      <c r="B18402" s="4" t="s">
        <f>=HYPERLINK("http://anyluxury.ru/shop/odezhda/rubashki-polo/rubashka-polo-zhenskaya-passion-170-oranzhevaya-479820/" , "4798.20 Рубашка поло женская PASSION 170 оранжевая, размер L")</f>
      </c>
      <c r="C18402" s="4" t="n">
        <v>1108.00</v>
      </c>
      <c r="D18402" s="4"/>
    </row>
    <row collapsed="" customFormat="false" customHeight="1" hidden="" ht="14" outlineLevel="0" r="18403">
      <c r="A18403" s="3" t="inlineStr">
        <is>
          <t>18355</t>
        </is>
      </c>
      <c r="B18403" s="4" t="s">
        <f>=HYPERLINK("http://anyluxury.ru/shop/odezhda/rubashki-polo/rubashka-polo-zhenskaya-passion-170-oranzhevaya-479820/" , "4798.20 Рубашка поло женская PASSION 170 оранжевая, размер XL")</f>
      </c>
      <c r="C18403" s="4" t="n">
        <v>1108.00</v>
      </c>
      <c r="D18403" s="4"/>
    </row>
    <row collapsed="" customFormat="false" customHeight="1" hidden="" ht="14" outlineLevel="0" r="18404">
      <c r="A18404" s="3" t="inlineStr">
        <is>
          <t>18356</t>
        </is>
      </c>
      <c r="B18404" s="4" t="s">
        <f>=HYPERLINK("http://anyluxury.ru/shop/odezhda/rubashki-polo/rubashka-polo-zhenskaya-passion-170-oranzhevaya-479820/" , "4798.20 Рубашка поло женская PASSION 170 оранжевая, размер XXL")</f>
      </c>
      <c r="C18404" s="4" t="n">
        <v>1108.00</v>
      </c>
      <c r="D18404" s="4"/>
    </row>
    <row collapsed="" customFormat="false" customHeight="1" hidden="" ht="14" outlineLevel="0" r="18405">
      <c r="A18405" s="3" t="inlineStr">
        <is>
          <t>18357</t>
        </is>
      </c>
      <c r="B18405" s="4" t="s">
        <f>=HYPERLINK("http://anyluxury.ru/shop/odezhda/rubashki-polo/rubashka-polo-prince-190-golubaya-s-temnosinim-608514/" , "6085.14 Рубашка поло Prince 190 голубая с темно-синим, размер XS")</f>
      </c>
      <c r="C18405" s="4" t="n">
        <v>1834.00</v>
      </c>
      <c r="D18405" s="4"/>
    </row>
    <row collapsed="" customFormat="false" customHeight="1" hidden="" ht="14" outlineLevel="0" r="18406">
      <c r="A18406" s="3" t="inlineStr">
        <is>
          <t>18358</t>
        </is>
      </c>
      <c r="B18406" s="4" t="s">
        <f>=HYPERLINK("http://anyluxury.ru/shop/odezhda/rubashki-polo/rubashka-polo-prince-190-golubaya-s-temnosinim-608514/" , "6085.14 Рубашка поло Prince 190 голубая с темно-синим, размер S")</f>
      </c>
      <c r="C18406" s="4" t="n">
        <v>1834.00</v>
      </c>
      <c r="D18406" s="4"/>
    </row>
    <row collapsed="" customFormat="false" customHeight="1" hidden="" ht="14" outlineLevel="0" r="18407">
      <c r="A18407" s="3" t="inlineStr">
        <is>
          <t>18359</t>
        </is>
      </c>
      <c r="B18407" s="4" t="s">
        <f>=HYPERLINK("http://anyluxury.ru/shop/odezhda/rubashki-polo/rubashka-polo-prince-190-golubaya-s-temnosinim-608514/" , "6085.14 Рубашка поло Prince 190 голубая с темно-синим, размер L")</f>
      </c>
      <c r="C18407" s="4" t="n">
        <v>1834.00</v>
      </c>
      <c r="D18407" s="4"/>
    </row>
    <row collapsed="" customFormat="false" customHeight="1" hidden="" ht="14" outlineLevel="0" r="18408">
      <c r="A18408" s="3" t="inlineStr">
        <is>
          <t>18360</t>
        </is>
      </c>
      <c r="B18408" s="4" t="s">
        <f>=HYPERLINK("http://anyluxury.ru/shop/odezhda/rubashki-polo/rubashka-polo-prince-190-golubaya-s-temnosinim-608514/" , "6085.14 Рубашка поло Prince 190 голубая с темно-синим, размер XL")</f>
      </c>
      <c r="C18408" s="4" t="n">
        <v>1834.00</v>
      </c>
      <c r="D18408" s="4"/>
    </row>
    <row collapsed="" customFormat="false" customHeight="1" hidden="" ht="14" outlineLevel="0" r="18409">
      <c r="A18409" s="3" t="inlineStr">
        <is>
          <t>18361</t>
        </is>
      </c>
      <c r="B18409" s="4" t="s">
        <f>=HYPERLINK("http://anyluxury.ru/shop/odezhda/rubashki-polo/rubashka-polo-prince-190-golubaya-s-temnosinim-608514/" , "6085.14 Рубашка поло Prince 190 голубая с темно-синим, размер XS")</f>
      </c>
      <c r="C18409" s="4" t="n">
        <v>1614.00</v>
      </c>
      <c r="D18409" s="4"/>
    </row>
    <row collapsed="" customFormat="false" customHeight="1" hidden="" ht="14" outlineLevel="0" r="18410">
      <c r="A18410" s="3" t="inlineStr">
        <is>
          <t>18362</t>
        </is>
      </c>
      <c r="B18410" s="4" t="s">
        <f>=HYPERLINK("http://anyluxury.ru/shop/odezhda/rubashki-polo/rubashka-polo-prince-190-chernaya-s-krasnim-608530/" , "6085.30 Рубашка поло Prince 190 черная с красным, размер XS")</f>
      </c>
      <c r="C18410" s="4" t="n">
        <v>2367.00</v>
      </c>
      <c r="D18410" s="4"/>
    </row>
    <row collapsed="" customFormat="false" customHeight="1" hidden="" ht="14" outlineLevel="0" r="18411">
      <c r="A18411" s="3" t="inlineStr">
        <is>
          <t>18363</t>
        </is>
      </c>
      <c r="B18411" s="4" t="s">
        <f>=HYPERLINK("http://anyluxury.ru/shop/odezhda/rubashki-polo/rubashka-polo-prince-190-chernaya-s-krasnim-608530/" , "6085.30 Рубашка поло Prince 190 черная с красным, размер S")</f>
      </c>
      <c r="C18411" s="4" t="n">
        <v>2367.00</v>
      </c>
      <c r="D18411" s="4"/>
    </row>
    <row collapsed="" customFormat="false" customHeight="1" hidden="" ht="14" outlineLevel="0" r="18412">
      <c r="A18412" s="3" t="inlineStr">
        <is>
          <t>18364</t>
        </is>
      </c>
      <c r="B18412" s="4" t="s">
        <f>=HYPERLINK("http://anyluxury.ru/shop/odezhda/rubashki-polo/rubashka-polo-prince-190-chernaya-s-krasnim-608530/" , "6085.30 Рубашка поло Prince 190 черная с красным, размер M")</f>
      </c>
      <c r="C18412" s="4" t="n">
        <v>2367.00</v>
      </c>
      <c r="D18412" s="4"/>
    </row>
    <row collapsed="" customFormat="false" customHeight="1" hidden="" ht="14" outlineLevel="0" r="18413">
      <c r="A18413" s="3" t="inlineStr">
        <is>
          <t>18365</t>
        </is>
      </c>
      <c r="B18413" s="4" t="s">
        <f>=HYPERLINK("http://anyluxury.ru/shop/odezhda/rubashki-polo/rubashka-polo-prince-190-chernaya-s-krasnim-608530/" , "6085.30 Рубашка поло Prince 190 черная с красным, размер L")</f>
      </c>
      <c r="C18413" s="4" t="n">
        <v>2367.00</v>
      </c>
      <c r="D18413" s="4"/>
    </row>
    <row collapsed="" customFormat="false" customHeight="1" hidden="" ht="14" outlineLevel="0" r="18414">
      <c r="A18414" s="3" t="inlineStr">
        <is>
          <t>18366</t>
        </is>
      </c>
      <c r="B18414" s="4" t="s">
        <f>=HYPERLINK("http://anyluxury.ru/shop/odezhda/rubashki-polo/rubashka-polo-prince-190-chernaya-s-krasnim-608530/" , "6085.30 Рубашка поло Prince 190 черная с красным, размер XL")</f>
      </c>
      <c r="C18414" s="4" t="n">
        <v>2367.00</v>
      </c>
      <c r="D18414" s="4"/>
    </row>
    <row collapsed="" customFormat="false" customHeight="1" hidden="" ht="14" outlineLevel="0" r="18415">
      <c r="A18415" s="3" t="inlineStr">
        <is>
          <t>18367</t>
        </is>
      </c>
      <c r="B18415" s="4" t="s">
        <f>=HYPERLINK("http://anyluxury.ru/shop/odezhda/rubashki-polo/rubashka-polo-prince-190-chernaya-s-krasnim-608530/" , "6085.30 Рубашка поло Prince 190 черная с красным, размер XXL")</f>
      </c>
      <c r="C18415" s="4" t="n">
        <v>2367.00</v>
      </c>
      <c r="D18415" s="4"/>
    </row>
    <row collapsed="" customFormat="false" customHeight="1" hidden="" ht="14" outlineLevel="0" r="18416">
      <c r="A18416" s="3" t="inlineStr">
        <is>
          <t>18368</t>
        </is>
      </c>
      <c r="B18416" s="4" t="s">
        <f>=HYPERLINK("http://anyluxury.ru/shop/odezhda/rubashki-polo/rubashka-polo-prince-190-chernaya-s-krasnim-608530/" , "6085.30 Рубашка поло Prince 190 черная с красным, размер S")</f>
      </c>
      <c r="C18416" s="4" t="n">
        <v>1614.00</v>
      </c>
      <c r="D18416" s="4"/>
    </row>
    <row collapsed="" customFormat="false" customHeight="1" hidden="" ht="14" outlineLevel="0" r="18417">
      <c r="A18417" s="3" t="inlineStr">
        <is>
          <t>18369</t>
        </is>
      </c>
      <c r="B18417" s="4" t="s">
        <f>=HYPERLINK("http://anyluxury.ru/shop/odezhda/rubashki-polo/rubashka-polo-prince-190-chernaya-s-krasnim-608530/" , "6085.30 Рубашка поло Prince 190 черная с красным, размер M")</f>
      </c>
      <c r="C18417" s="4" t="n">
        <v>1614.00</v>
      </c>
      <c r="D18417" s="4"/>
    </row>
    <row collapsed="" customFormat="false" customHeight="1" hidden="" ht="14" outlineLevel="0" r="18418">
      <c r="A18418" s="3" t="inlineStr">
        <is>
          <t>18370</t>
        </is>
      </c>
      <c r="B18418" s="4" t="s">
        <f>=HYPERLINK("http://anyluxury.ru/shop/odezhda/rubashki-polo/rubashka-polo-prince-190-chernaya-s-krasnim-608530/" , "6085.30 Рубашка поло Prince 190 черная с красным, размер L")</f>
      </c>
      <c r="C18418" s="4" t="n">
        <v>1614.00</v>
      </c>
      <c r="D18418" s="4"/>
    </row>
    <row collapsed="" customFormat="false" customHeight="1" hidden="" ht="14" outlineLevel="0" r="18419">
      <c r="A18419" s="3" t="inlineStr">
        <is>
          <t>18371</t>
        </is>
      </c>
      <c r="B18419" s="4" t="s">
        <f>=HYPERLINK("http://anyluxury.ru/shop/odezhda/rubashki-polo/rubashka-polo-prince-190-chernaya-s-krasnim-608530/" , "6085.30 Рубашка поло Prince 190 черная с красным, размер XL")</f>
      </c>
      <c r="C18419" s="4" t="n">
        <v>1614.00</v>
      </c>
      <c r="D18419" s="4"/>
    </row>
    <row collapsed="" customFormat="false" customHeight="1" hidden="" ht="14" outlineLevel="0" r="18420">
      <c r="A18420" s="3" t="inlineStr">
        <is>
          <t>18372</t>
        </is>
      </c>
      <c r="B18420" s="4" t="s">
        <f>=HYPERLINK("http://anyluxury.ru/shop/odezhda/rubashki-polo/rubashka-polo-prince-190-chernaya-s-krasnim-608530/" , "6085.30 Рубашка поло Prince 190 черная с красным, размер XXL")</f>
      </c>
      <c r="C18420" s="4" t="n">
        <v>1614.00</v>
      </c>
      <c r="D18420" s="4"/>
    </row>
    <row collapsed="" customFormat="false" customHeight="1" hidden="" ht="14" outlineLevel="0" r="18421">
      <c r="A18421" s="3" t="inlineStr">
        <is>
          <t>18373</t>
        </is>
      </c>
      <c r="B18421" s="4" t="s">
        <f>=HYPERLINK("http://anyluxury.ru/shop/odezhda/rubashki-polo/sportivnaya-rubashka-polo-palladium-140-krasnaya-s-belim-608850/" , "6088.50 Спортивная рубашка поло Palladium 140 красная с белым, размер M")</f>
      </c>
      <c r="C18421" s="4" t="n">
        <v>889.00</v>
      </c>
      <c r="D18421" s="4"/>
    </row>
    <row collapsed="" customFormat="false" customHeight="1" hidden="" ht="14" outlineLevel="0" r="18422">
      <c r="A18422" s="3" t="inlineStr">
        <is>
          <t>18374</t>
        </is>
      </c>
      <c r="B18422" s="4" t="s">
        <f>=HYPERLINK("http://anyluxury.ru/shop/odezhda/rubashki-polo/sportivnaya-rubashka-polo-palladium-140-krasnaya-s-belim-608850/" , "6088.50 Спортивная рубашка поло Palladium 140 красная с белым, размер XXL")</f>
      </c>
      <c r="C18422" s="4" t="n">
        <v>889.00</v>
      </c>
      <c r="D18422" s="4"/>
    </row>
    <row collapsed="" customFormat="false" customHeight="1" hidden="" ht="14" outlineLevel="0" r="18423">
      <c r="A18423" s="3" t="inlineStr">
        <is>
          <t>18375</t>
        </is>
      </c>
      <c r="B18423" s="4" t="s">
        <f>=HYPERLINK("http://anyluxury.ru/shop/odezhda/rubashki-polo/rubashka-polo-zhenskaya-practice-women-270-belaya-s-temnosinim-608460/" , "6084.60 Рубашка поло женская Practice women 270 белая с темно-синим, размер S")</f>
      </c>
      <c r="C18423" s="4" t="n">
        <v>3015.00</v>
      </c>
      <c r="D18423" s="4"/>
    </row>
    <row collapsed="" customFormat="false" customHeight="1" hidden="" ht="14" outlineLevel="0" r="18424">
      <c r="A18424" s="3" t="inlineStr">
        <is>
          <t>18376</t>
        </is>
      </c>
      <c r="B18424" s="4" t="s">
        <f>=HYPERLINK("http://anyluxury.ru/shop/odezhda/rubashki-polo/rubashka-polo-zhenskaya-practice-women-270-belaya-s-temnosinim-608460/" , "6084.60 Рубашка поло женская Practice women 270 белая с темно-синим, размер M")</f>
      </c>
      <c r="C18424" s="4" t="n">
        <v>3015.00</v>
      </c>
      <c r="D18424" s="4"/>
    </row>
    <row collapsed="" customFormat="false" customHeight="1" hidden="" ht="14" outlineLevel="0" r="18425">
      <c r="A18425" s="3" t="inlineStr">
        <is>
          <t>18377</t>
        </is>
      </c>
      <c r="B18425" s="4" t="s">
        <f>=HYPERLINK("http://anyluxury.ru/shop/odezhda/rubashki-polo/rubashka-polo-zhenskaya-practice-women-270-belaya-s-temnosinim-608460/" , "6084.60 Рубашка поло женская Practice women 270 белая с темно-синим, размер XL")</f>
      </c>
      <c r="C18425" s="4" t="n">
        <v>3015.00</v>
      </c>
      <c r="D18425" s="4"/>
    </row>
    <row collapsed="" customFormat="false" customHeight="1" hidden="" ht="14" outlineLevel="0" r="18426">
      <c r="A18426" s="3" t="inlineStr">
        <is>
          <t>18378</t>
        </is>
      </c>
      <c r="B18426" s="4" t="s">
        <f>=HYPERLINK("http://anyluxury.ru/shop/odezhda/rubashki-polo/rubashka-polo-zhenskaya-practice-women-270-belaya-s-temnosinim-608460/" , "6084.60 Рубашка поло женская Practice women 270 белая с темно-синим, размер XXL")</f>
      </c>
      <c r="C18426" s="4" t="n">
        <v>3015.00</v>
      </c>
      <c r="D18426" s="4"/>
    </row>
    <row collapsed="" customFormat="false" customHeight="1" hidden="" ht="14" outlineLevel="0" r="18427">
      <c r="A18427" s="3" t="inlineStr">
        <is>
          <t>18379</t>
        </is>
      </c>
      <c r="B18427" s="4" t="s">
        <f>=HYPERLINK("http://anyluxury.ru/shop/odezhda/rubashki-polo/rubashka-polo-zhenskaya-practice-women-270-golubaya-s-belim-608414/" , "6084.14 Рубашка поло женская Practice women 270 голубая с белым, размер S")</f>
      </c>
      <c r="C18427" s="4" t="n">
        <v>2670.00</v>
      </c>
      <c r="D18427" s="4"/>
    </row>
    <row collapsed="" customFormat="false" customHeight="1" hidden="" ht="14" outlineLevel="0" r="18428">
      <c r="A18428" s="3" t="inlineStr">
        <is>
          <t>18380</t>
        </is>
      </c>
      <c r="B18428" s="4" t="s">
        <f>=HYPERLINK("http://anyluxury.ru/shop/odezhda/rubashki-polo/rubashka-polo-zhenskaya-practice-women-270-golubaya-s-belim-608414/" , "6084.14 Рубашка поло женская Practice women 270 голубая с белым, размер M")</f>
      </c>
      <c r="C18428" s="4" t="n">
        <v>2670.00</v>
      </c>
      <c r="D18428" s="4"/>
    </row>
    <row collapsed="" customFormat="false" customHeight="1" hidden="" ht="14" outlineLevel="0" r="18429">
      <c r="A18429" s="3" t="inlineStr">
        <is>
          <t>18381</t>
        </is>
      </c>
      <c r="B18429" s="4" t="s">
        <f>=HYPERLINK("http://anyluxury.ru/shop/odezhda/rubashki-polo/rubashka-polo-zhenskaya-practice-women-270-golubaya-s-belim-608414/" , "6084.14 Рубашка поло женская Practice women 270 голубая с белым, размер L")</f>
      </c>
      <c r="C18429" s="4" t="n">
        <v>2670.00</v>
      </c>
      <c r="D18429" s="4"/>
    </row>
    <row collapsed="" customFormat="false" customHeight="1" hidden="" ht="14" outlineLevel="0" r="18430">
      <c r="A18430" s="3" t="inlineStr">
        <is>
          <t>18382</t>
        </is>
      </c>
      <c r="B18430" s="4" t="s">
        <f>=HYPERLINK("http://anyluxury.ru/shop/odezhda/rubashki-polo/rubashka-polo-zhenskaya-practice-women-270-golubaya-s-belim-608414/" , "6084.14 Рубашка поло женская Practice women 270 голубая с белым, размер XL")</f>
      </c>
      <c r="C18430" s="4" t="n">
        <v>2670.00</v>
      </c>
      <c r="D18430" s="4"/>
    </row>
    <row collapsed="" customFormat="false" customHeight="1" hidden="" ht="14" outlineLevel="0" r="18431">
      <c r="A18431" s="3" t="inlineStr">
        <is>
          <t>18383</t>
        </is>
      </c>
      <c r="B18431" s="4" t="s">
        <f>=HYPERLINK("http://anyluxury.ru/shop/odezhda/rubashki-polo/rubashka-polo-zhenskaya-practice-women-270-golubaya-s-belim-608414/" , "6084.14  Рубашка поло женская Practice women 270, голубой/белый, размер XXL")</f>
      </c>
      <c r="C18431" s="4" t="n">
        <v>2927.00</v>
      </c>
      <c r="D18431" s="4"/>
    </row>
    <row collapsed="" customFormat="false" customHeight="1" hidden="" ht="14" outlineLevel="0" r="18432">
      <c r="A18432" s="3" t="inlineStr">
        <is>
          <t>18384</t>
        </is>
      </c>
      <c r="B18432" s="4" t="s">
        <f>=HYPERLINK("http://anyluxury.ru/shop/odezhda/rubashki-polo/rubashka-polo-zhenskaya-practice-women-270-temnosinyaya-s-belim-608440/" , "6084.40 Рубашка поло женская Practice women 270 темно-синяя с белым, размер S")</f>
      </c>
      <c r="C18432" s="4" t="n">
        <v>3015.00</v>
      </c>
      <c r="D18432" s="4"/>
    </row>
    <row collapsed="" customFormat="false" customHeight="1" hidden="" ht="14" outlineLevel="0" r="18433">
      <c r="A18433" s="3" t="inlineStr">
        <is>
          <t>18385</t>
        </is>
      </c>
      <c r="B18433" s="4" t="s">
        <f>=HYPERLINK("http://anyluxury.ru/shop/odezhda/rubashki-polo/rubashka-polo-zhenskaya-practice-women-270-temnosinyaya-s-belim-608440/" , "6084.40 Рубашка поло женская Practice women 270 темно-синяя с белым, размер M")</f>
      </c>
      <c r="C18433" s="4" t="n">
        <v>3015.00</v>
      </c>
      <c r="D18433" s="4"/>
    </row>
    <row collapsed="" customFormat="false" customHeight="1" hidden="" ht="14" outlineLevel="0" r="18434">
      <c r="A18434" s="3" t="inlineStr">
        <is>
          <t>18386</t>
        </is>
      </c>
      <c r="B18434" s="4" t="s">
        <f>=HYPERLINK("http://anyluxury.ru/shop/odezhda/rubashki-polo/rubashka-polo-zhenskaya-practice-women-270-temnosinyaya-s-belim-608440/" , "6084.40  Рубашка поло женская Practice women 270, темно-синий/белый, размер XL")</f>
      </c>
      <c r="C18434" s="4" t="n">
        <v>3015.00</v>
      </c>
      <c r="D18434" s="4"/>
    </row>
    <row collapsed="" customFormat="false" customHeight="1" hidden="" ht="14" outlineLevel="0" r="18435">
      <c r="A18435" s="3" t="inlineStr">
        <is>
          <t>18387</t>
        </is>
      </c>
      <c r="B18435" s="4" t="s">
        <f>=HYPERLINK("http://anyluxury.ru/shop/odezhda/rubashki-polo/rubashka-polo-zhenskaya-practice-women-270-temnosinyaya-s-belim-608440/" , "6084.40  Рубашка поло женская Practice women 270, темно-синий/белый, размер XXL")</f>
      </c>
      <c r="C18435" s="4" t="n">
        <v>3015.00</v>
      </c>
      <c r="D18435" s="4"/>
    </row>
    <row collapsed="" customFormat="false" customHeight="1" hidden="" ht="14" outlineLevel="0" r="18436">
      <c r="A18436" s="3" t="inlineStr">
        <is>
          <t>18388</t>
        </is>
      </c>
      <c r="B18436" s="4" t="s">
        <f>=HYPERLINK("http://anyluxury.ru/shop/odezhda/rubashki-polo/rubashka-polo-zhenskaya-practice-women-270-krasnaya-s-belim-608450/" , "6084.50 Рубашка поло женская Practice women 270 красная с белым, размер S")</f>
      </c>
      <c r="C18436" s="4" t="n">
        <v>3015.00</v>
      </c>
      <c r="D18436" s="4"/>
    </row>
    <row collapsed="" customFormat="false" customHeight="1" hidden="" ht="14" outlineLevel="0" r="18437">
      <c r="A18437" s="3" t="inlineStr">
        <is>
          <t>18389</t>
        </is>
      </c>
      <c r="B18437" s="4" t="s">
        <f>=HYPERLINK("http://anyluxury.ru/shop/odezhda/rubashki-polo/rubashka-polo-zhenskaya-practice-women-270-krasnaya-s-belim-608450/" , "6084.50 Рубашка поло женская Practice women 270 красная с белым, размер M")</f>
      </c>
      <c r="C18437" s="4" t="n">
        <v>3015.00</v>
      </c>
      <c r="D18437" s="4"/>
    </row>
    <row collapsed="" customFormat="false" customHeight="1" hidden="" ht="14" outlineLevel="0" r="18438">
      <c r="A18438" s="3" t="inlineStr">
        <is>
          <t>18390</t>
        </is>
      </c>
      <c r="B18438" s="4" t="s">
        <f>=HYPERLINK("http://anyluxury.ru/shop/odezhda/rubashki-polo/rubashka-polo-zhenskaya-practice-women-270-krasnaya-s-belim-608450/" , "6084.50 Рубашка поло женская Practice women 270 красная с белым, размер L")</f>
      </c>
      <c r="C18438" s="4" t="n">
        <v>3015.00</v>
      </c>
      <c r="D18438" s="4"/>
    </row>
    <row collapsed="" customFormat="false" customHeight="1" hidden="" ht="14" outlineLevel="0" r="18439">
      <c r="A18439" s="3" t="inlineStr">
        <is>
          <t>18391</t>
        </is>
      </c>
      <c r="B18439" s="4" t="s">
        <f>=HYPERLINK("http://anyluxury.ru/shop/odezhda/rubashki-polo/rubashka-polo-zhenskaya-practice-women-270-krasnaya-s-belim-608450/" , "6084.50 Рубашка поло женская Practice women 270 красная с белым, размер XL")</f>
      </c>
      <c r="C18439" s="4" t="n">
        <v>3015.00</v>
      </c>
      <c r="D18439" s="4"/>
    </row>
    <row collapsed="" customFormat="false" customHeight="1" hidden="" ht="14" outlineLevel="0" r="18440">
      <c r="A18440" s="3" t="inlineStr">
        <is>
          <t>18392</t>
        </is>
      </c>
      <c r="B18440" s="4" t="s">
        <f>=HYPERLINK("http://anyluxury.ru/shop/odezhda/rubashki-polo/rubashka-polo-zhenskaya-practice-women-270-krasnaya-s-belim-608450/" , "6084.50  Рубашка поло женская Practice women 270, красный/белый, размер XXL")</f>
      </c>
      <c r="C18440" s="4" t="n">
        <v>3015.00</v>
      </c>
      <c r="D18440" s="4"/>
    </row>
    <row collapsed="" customFormat="false" customHeight="1" hidden="" ht="14" outlineLevel="0" r="18441">
      <c r="A18441" s="3" t="inlineStr">
        <is>
          <t>18393</t>
        </is>
      </c>
      <c r="B18441" s="4" t="s">
        <f>=HYPERLINK("http://anyluxury.ru/shop/odezhda/rubashki-polo/rubashka-polo-muzhskaya-prescott-men-170-belaya-608660/" , "6086.60 Рубашка поло мужская Prescott men 170 белая, размер S")</f>
      </c>
      <c r="C18441" s="4" t="n">
        <v>1246.00</v>
      </c>
      <c r="D18441" s="4"/>
    </row>
    <row collapsed="" customFormat="false" customHeight="1" hidden="" ht="14" outlineLevel="0" r="18442">
      <c r="A18442" s="3" t="inlineStr">
        <is>
          <t>18394</t>
        </is>
      </c>
      <c r="B18442" s="4" t="s">
        <f>=HYPERLINK("http://anyluxury.ru/shop/odezhda/rubashki-polo/rubashka-polo-muzhskaya-prescott-men-170-belaya-608660/" , "6086.60 Рубашка поло мужская Prescott men 170 белая, размер M")</f>
      </c>
      <c r="C18442" s="4" t="n">
        <v>1246.00</v>
      </c>
      <c r="D18442" s="4"/>
    </row>
    <row collapsed="" customFormat="false" customHeight="1" hidden="" ht="14" outlineLevel="0" r="18443">
      <c r="A18443" s="3" t="inlineStr">
        <is>
          <t>18395</t>
        </is>
      </c>
      <c r="B18443" s="4" t="s">
        <f>=HYPERLINK("http://anyluxury.ru/shop/odezhda/rubashki-polo/rubashka-polo-muzhskaya-prescott-men-170-belaya-608660/" , "6086.60 Рубашка поло мужская Prescott men 170 белая, размер L")</f>
      </c>
      <c r="C18443" s="4" t="n">
        <v>1246.00</v>
      </c>
      <c r="D18443" s="4"/>
    </row>
    <row collapsed="" customFormat="false" customHeight="1" hidden="" ht="14" outlineLevel="0" r="18444">
      <c r="A18444" s="3" t="inlineStr">
        <is>
          <t>18396</t>
        </is>
      </c>
      <c r="B18444" s="4" t="s">
        <f>=HYPERLINK("http://anyluxury.ru/shop/odezhda/rubashki-polo/rubashka-polo-muzhskaya-prescott-men-170-belaya-608660/" , "6086.60 Рубашка поло мужская Prescott men 170 белая, размер XL")</f>
      </c>
      <c r="C18444" s="4" t="n">
        <v>1246.00</v>
      </c>
      <c r="D18444" s="4"/>
    </row>
    <row collapsed="" customFormat="false" customHeight="1" hidden="" ht="14" outlineLevel="0" r="18445">
      <c r="A18445" s="3" t="inlineStr">
        <is>
          <t>18397</t>
        </is>
      </c>
      <c r="B18445" s="4" t="s">
        <f>=HYPERLINK("http://anyluxury.ru/shop/odezhda/rubashki-polo/rubashka-polo-muzhskaya-prescott-men-170-belaya-608660/" , "6086.60 Рубашка поло мужская Prescott men 170 белая, размер XXL")</f>
      </c>
      <c r="C18445" s="4" t="n">
        <v>1246.00</v>
      </c>
      <c r="D18445" s="4"/>
    </row>
    <row collapsed="" customFormat="false" customHeight="1" hidden="" ht="14" outlineLevel="0" r="18446">
      <c r="A18446" s="3" t="inlineStr">
        <is>
          <t>18398</t>
        </is>
      </c>
      <c r="B18446" s="4" t="s">
        <f>=HYPERLINK("http://anyluxury.ru/shop/odezhda/rubashki-polo/rubashka-polo-muzhskaya-prescott-men-170-belaya-608660/" , "6086.60 Рубашка поло мужская Prescott men 170 белая, размер 3XL")</f>
      </c>
      <c r="C18446" s="4" t="n">
        <v>1491.00</v>
      </c>
      <c r="D18446" s="4"/>
    </row>
    <row collapsed="" customFormat="false" customHeight="1" hidden="" ht="14" outlineLevel="0" r="18447">
      <c r="A18447" s="3" t="inlineStr">
        <is>
          <t>18399</t>
        </is>
      </c>
      <c r="B18447" s="4" t="s">
        <f>=HYPERLINK("http://anyluxury.ru/shop/odezhda/rubashki-polo/rubashka-polo-muzhskaya-prescott-men-170-kobalt-temnosinyaya-608640/" , "6086.40 Рубашка поло мужская Prescott men 170 кобальт (темно-синяя), размер S")</f>
      </c>
      <c r="C18447" s="4" t="n">
        <v>1385.00</v>
      </c>
      <c r="D18447" s="4"/>
    </row>
    <row collapsed="" customFormat="false" customHeight="1" hidden="" ht="14" outlineLevel="0" r="18448">
      <c r="A18448" s="3" t="inlineStr">
        <is>
          <t>18400</t>
        </is>
      </c>
      <c r="B18448" s="4" t="s">
        <f>=HYPERLINK("http://anyluxury.ru/shop/odezhda/rubashki-polo/rubashka-polo-muzhskaya-prescott-men-170-kobalt-temnosinyaya-608640/" , "6086.40 Рубашка поло мужская Prescott men 170 кобальт (темно-синяя), размер XXL")</f>
      </c>
      <c r="C18448" s="4" t="n">
        <v>1385.00</v>
      </c>
      <c r="D18448" s="4"/>
    </row>
    <row collapsed="" customFormat="false" customHeight="1" hidden="" ht="14" outlineLevel="0" r="18449">
      <c r="A18449" s="3" t="inlineStr">
        <is>
          <t>18401</t>
        </is>
      </c>
      <c r="B18449" s="4" t="s">
        <f>=HYPERLINK("http://anyluxury.ru/shop/odezhda/rubashki-polo/rubashka-polo-muzhskaya-prescott-men-170-kobalt-temnosinyaya-608640/" , "6086.40 Рубашка поло мужская Prescott men 170 кобальт (темно-синяя), размер XL")</f>
      </c>
      <c r="C18449" s="4" t="n">
        <v>883.00</v>
      </c>
      <c r="D18449" s="4"/>
    </row>
    <row collapsed="" customFormat="false" customHeight="1" hidden="" ht="14" outlineLevel="0" r="18450">
      <c r="A18450" s="3" t="inlineStr">
        <is>
          <t>18402</t>
        </is>
      </c>
      <c r="B18450" s="4" t="s">
        <f>=HYPERLINK("http://anyluxury.ru/shop/odezhda/rubashki-polo/rubashka-polo-muzhskaya-prescott-men-170-kobalt-temnosinyaya-608640/" , "6086.40 Рубашка поло мужская Prescott men 170 темно-синяя с белым, размер 3XL")</f>
      </c>
      <c r="C18450" s="4" t="n">
        <v>1059.00</v>
      </c>
      <c r="D18450" s="4"/>
    </row>
    <row collapsed="" customFormat="false" customHeight="1" hidden="" ht="14" outlineLevel="0" r="18451">
      <c r="A18451" s="3" t="inlineStr">
        <is>
          <t>18403</t>
        </is>
      </c>
      <c r="B18451" s="4" t="s">
        <f>=HYPERLINK("http://anyluxury.ru/shop/odezhda/rubashki-polo/rubashka-polo-muzhskaya-prescott-men-170-chernaya-608630/" , "6086.30 Рубашка поло мужская Prescott men 170 черная, размер S")</f>
      </c>
      <c r="C18451" s="4" t="n">
        <v>1441.00</v>
      </c>
      <c r="D18451" s="4"/>
    </row>
    <row collapsed="" customFormat="false" customHeight="1" hidden="" ht="14" outlineLevel="0" r="18452">
      <c r="A18452" s="3" t="inlineStr">
        <is>
          <t>18404</t>
        </is>
      </c>
      <c r="B18452" s="4" t="s">
        <f>=HYPERLINK("http://anyluxury.ru/shop/odezhda/rubashki-polo/rubashka-polo-muzhskaya-prescott-men-170-chernaya-608630/" , "6086.30 Рубашка поло мужская Prescott men 170 черная, размер M")</f>
      </c>
      <c r="C18452" s="4" t="n">
        <v>1441.00</v>
      </c>
      <c r="D18452" s="4"/>
    </row>
    <row collapsed="" customFormat="false" customHeight="1" hidden="" ht="14" outlineLevel="0" r="18453">
      <c r="A18453" s="3" t="inlineStr">
        <is>
          <t>18405</t>
        </is>
      </c>
      <c r="B18453" s="4" t="s">
        <f>=HYPERLINK("http://anyluxury.ru/shop/odezhda/rubashki-polo/rubashka-polo-muzhskaya-prescott-men-170-chernaya-608630/" , "6086.30 Рубашка поло мужская Prescott men 170 черная, размер L")</f>
      </c>
      <c r="C18453" s="4" t="n">
        <v>1441.00</v>
      </c>
      <c r="D18453" s="4"/>
    </row>
    <row collapsed="" customFormat="false" customHeight="1" hidden="" ht="14" outlineLevel="0" r="18454">
      <c r="A18454" s="3" t="inlineStr">
        <is>
          <t>18406</t>
        </is>
      </c>
      <c r="B18454" s="4" t="s">
        <f>=HYPERLINK("http://anyluxury.ru/shop/odezhda/rubashki-polo/rubashka-polo-muzhskaya-prescott-men-170-chernaya-608630/" , "6086.30 Рубашка поло мужская Prescott men 170 черная, размер XL")</f>
      </c>
      <c r="C18454" s="4" t="n">
        <v>1441.00</v>
      </c>
      <c r="D18454" s="4"/>
    </row>
    <row collapsed="" customFormat="false" customHeight="1" hidden="" ht="14" outlineLevel="0" r="18455">
      <c r="A18455" s="3" t="inlineStr">
        <is>
          <t>18407</t>
        </is>
      </c>
      <c r="B18455" s="4" t="s">
        <f>=HYPERLINK("http://anyluxury.ru/shop/odezhda/rubashki-polo/rubashka-polo-muzhskaya-prescott-men-170-chernaya-608630/" , "6086.30 Рубашка поло мужская Prescott men 170 черная, размер XXL")</f>
      </c>
      <c r="C18455" s="4" t="n">
        <v>1441.00</v>
      </c>
      <c r="D18455" s="4"/>
    </row>
    <row collapsed="" customFormat="false" customHeight="1" hidden="" ht="14" outlineLevel="0" r="18456">
      <c r="A18456" s="3" t="inlineStr">
        <is>
          <t>18408</t>
        </is>
      </c>
      <c r="B18456" s="4" t="s">
        <f>=HYPERLINK("http://anyluxury.ru/shop/odezhda/rubashki-polo/rubashka-polo-muzhskaya-prescott-men-170-chernaya-608630/" , "6086.30 Рубашка поло мужская Prescott men 170 черная, размер 3XL")</f>
      </c>
      <c r="C18456" s="4" t="n">
        <v>1724.00</v>
      </c>
      <c r="D18456" s="4"/>
    </row>
    <row collapsed="" customFormat="false" customHeight="1" hidden="" ht="14" outlineLevel="0" r="18457">
      <c r="A18457" s="3" t="inlineStr">
        <is>
          <t>18409</t>
        </is>
      </c>
      <c r="B18457" s="4" t="s">
        <f>=HYPERLINK("http://anyluxury.ru/shop/odezhda/rubashki-polo/rubashka-polo-muzhskaya-prescott-men-170-krasnaya-608650/" , "6086.50 Рубашка поло мужская Prescott men 170 красная, размер S")</f>
      </c>
      <c r="C18457" s="4" t="n">
        <v>1441.00</v>
      </c>
      <c r="D18457" s="4"/>
    </row>
    <row collapsed="" customFormat="false" customHeight="1" hidden="" ht="14" outlineLevel="0" r="18458">
      <c r="A18458" s="3" t="inlineStr">
        <is>
          <t>18410</t>
        </is>
      </c>
      <c r="B18458" s="4" t="s">
        <f>=HYPERLINK("http://anyluxury.ru/shop/odezhda/rubashki-polo/rubashka-polo-muzhskaya-prescott-men-170-krasnaya-608650/" , "6086.50 Рубашка поло мужская Prescott men 170 красная, размер L")</f>
      </c>
      <c r="C18458" s="4" t="n">
        <v>1441.00</v>
      </c>
      <c r="D18458" s="4"/>
    </row>
    <row collapsed="" customFormat="false" customHeight="1" hidden="" ht="14" outlineLevel="0" r="18459">
      <c r="A18459" s="3" t="inlineStr">
        <is>
          <t>18411</t>
        </is>
      </c>
      <c r="B18459" s="4" t="s">
        <f>=HYPERLINK("http://anyluxury.ru/shop/odezhda/rubashki-polo/rubashka-polo-muzhskaya-prescott-men-170-krasnaya-608650/" , "6086.50 Рубашка поло мужская Prescott men 170 красная, размер XL")</f>
      </c>
      <c r="C18459" s="4" t="n">
        <v>1441.00</v>
      </c>
      <c r="D18459" s="4"/>
    </row>
    <row collapsed="" customFormat="false" customHeight="1" hidden="" ht="14" outlineLevel="0" r="18460">
      <c r="A18460" s="3" t="inlineStr">
        <is>
          <t>18412</t>
        </is>
      </c>
      <c r="B18460" s="4" t="s">
        <f>=HYPERLINK("http://anyluxury.ru/shop/odezhda/rubashki-polo/rubashka-polo-muzhskaya-prescott-men-170-krasnaya-608650/" , "6086.50 Рубашка поло мужская Prescott men 170 красная, размер XXL")</f>
      </c>
      <c r="C18460" s="4" t="n">
        <v>1441.00</v>
      </c>
      <c r="D18460" s="4"/>
    </row>
    <row collapsed="" customFormat="false" customHeight="1" hidden="" ht="14" outlineLevel="0" r="18461">
      <c r="A18461" s="3" t="inlineStr">
        <is>
          <t>18413</t>
        </is>
      </c>
      <c r="B18461" s="4" t="s">
        <f>=HYPERLINK("http://anyluxury.ru/shop/odezhda/rubashki-polo/rubashka-polo-muzhskaya-prescott-men-170-krasnaya-608650/" , "6086.50 Рубашка поло мужская Prescott men 170 красная, размер 3XL")</f>
      </c>
      <c r="C18461" s="4" t="n">
        <v>1724.00</v>
      </c>
      <c r="D18461" s="4"/>
    </row>
    <row collapsed="" customFormat="false" customHeight="1" hidden="" ht="14" outlineLevel="0" r="18462">
      <c r="A18462" s="3" t="inlineStr">
        <is>
          <t>18414</t>
        </is>
      </c>
      <c r="B18462" s="4" t="s">
        <f>=HYPERLINK("http://anyluxury.ru/shop/odezhda/rubashki-polo/rubashka-polo-muzhskaya-prescott-men-170-yarkosinyaya-royal-608644/" , "6086.44 Рубашка поло мужская Prescott men 170 ярко-синяя, размер S")</f>
      </c>
      <c r="C18462" s="4" t="n">
        <v>1441.00</v>
      </c>
      <c r="D18462" s="4"/>
    </row>
    <row collapsed="" customFormat="false" customHeight="1" hidden="" ht="14" outlineLevel="0" r="18463">
      <c r="A18463" s="3" t="inlineStr">
        <is>
          <t>18415</t>
        </is>
      </c>
      <c r="B18463" s="4" t="s">
        <f>=HYPERLINK("http://anyluxury.ru/shop/odezhda/rubashki-polo/rubashka-polo-muzhskaya-prescott-men-170-yarkosinyaya-royal-608644/" , "6086.44 Рубашка поло мужская Prescott men 170 ярко-синяя, размер M")</f>
      </c>
      <c r="C18463" s="4" t="n">
        <v>1441.00</v>
      </c>
      <c r="D18463" s="4"/>
    </row>
    <row collapsed="" customFormat="false" customHeight="1" hidden="" ht="14" outlineLevel="0" r="18464">
      <c r="A18464" s="3" t="inlineStr">
        <is>
          <t>18416</t>
        </is>
      </c>
      <c r="B18464" s="4" t="s">
        <f>=HYPERLINK("http://anyluxury.ru/shop/odezhda/rubashki-polo/rubashka-polo-muzhskaya-prescott-men-170-yarkosinyaya-royal-608644/" , "6086.44 Рубашка поло мужская Prescott men 170 ярко-синяя, размер L")</f>
      </c>
      <c r="C18464" s="4" t="n">
        <v>1441.00</v>
      </c>
      <c r="D18464" s="4"/>
    </row>
    <row collapsed="" customFormat="false" customHeight="1" hidden="" ht="14" outlineLevel="0" r="18465">
      <c r="A18465" s="3" t="inlineStr">
        <is>
          <t>18417</t>
        </is>
      </c>
      <c r="B18465" s="4" t="s">
        <f>=HYPERLINK("http://anyluxury.ru/shop/odezhda/rubashki-polo/rubashka-polo-muzhskaya-prescott-men-170-yarkosinyaya-royal-608644/" , "6086.44 Рубашка поло мужская Prescott men 170 ярко-синяя, размер XL")</f>
      </c>
      <c r="C18465" s="4" t="n">
        <v>1441.00</v>
      </c>
      <c r="D18465" s="4"/>
    </row>
    <row collapsed="" customFormat="false" customHeight="1" hidden="" ht="14" outlineLevel="0" r="18466">
      <c r="A18466" s="3" t="inlineStr">
        <is>
          <t>18418</t>
        </is>
      </c>
      <c r="B18466" s="4" t="s">
        <f>=HYPERLINK("http://anyluxury.ru/shop/odezhda/rubashki-polo/rubashka-polo-muzhskaya-prescott-men-170-yarkosinyaya-royal-608644/" , "6086.44 Рубашка поло мужская Prescott men 170 ярко-синяя, размер XXL")</f>
      </c>
      <c r="C18466" s="4" t="n">
        <v>1441.00</v>
      </c>
      <c r="D18466" s="4"/>
    </row>
    <row collapsed="" customFormat="false" customHeight="1" hidden="" ht="14" outlineLevel="0" r="18467">
      <c r="A18467" s="3" t="inlineStr">
        <is>
          <t>18419</t>
        </is>
      </c>
      <c r="B18467" s="4" t="s">
        <f>=HYPERLINK("http://anyluxury.ru/shop/odezhda/rubashki-polo/rubashka-polo-muzhskaya-prescott-men-170-yarkosinyaya-royal-608644/" , "6086.44 Рубашка поло мужская Prescott men 170 ярко-синяя, размер 3XL")</f>
      </c>
      <c r="C18467" s="4" t="n">
        <v>1724.00</v>
      </c>
      <c r="D18467" s="4"/>
    </row>
    <row collapsed="" customFormat="false" customHeight="1" hidden="" ht="14" outlineLevel="0" r="18468">
      <c r="A18468" s="3" t="inlineStr">
        <is>
          <t>18420</t>
        </is>
      </c>
      <c r="B18468" s="4" t="s">
        <f>=HYPERLINK("http://anyluxury.ru/shop/odezhda/rubashki-polo/rubashka-polo-zhenskaya-prescott-women-170-belaya-608760/" , "6087.60 Рубашка поло женская Prescott women 170 белая, размер S")</f>
      </c>
      <c r="C18468" s="4" t="n">
        <v>1209.00</v>
      </c>
      <c r="D18468" s="4"/>
    </row>
    <row collapsed="" customFormat="false" customHeight="1" hidden="" ht="14" outlineLevel="0" r="18469">
      <c r="A18469" s="3" t="inlineStr">
        <is>
          <t>18421</t>
        </is>
      </c>
      <c r="B18469" s="4" t="s">
        <f>=HYPERLINK("http://anyluxury.ru/shop/odezhda/rubashki-polo/rubashka-polo-zhenskaya-prescott-women-170-belaya-608760/" , "6087.60 Рубашка поло женская Prescott women 170 белая, размер M")</f>
      </c>
      <c r="C18469" s="4" t="n">
        <v>1209.00</v>
      </c>
      <c r="D18469" s="4"/>
    </row>
    <row collapsed="" customFormat="false" customHeight="1" hidden="" ht="14" outlineLevel="0" r="18470">
      <c r="A18470" s="3" t="inlineStr">
        <is>
          <t>18422</t>
        </is>
      </c>
      <c r="B18470" s="4" t="s">
        <f>=HYPERLINK("http://anyluxury.ru/shop/odezhda/rubashki-polo/rubashka-polo-zhenskaya-prescott-women-170-belaya-608760/" , "6087.60 Рубашка поло женская Prescott women 170 белая, размер L")</f>
      </c>
      <c r="C18470" s="4" t="n">
        <v>1209.00</v>
      </c>
      <c r="D18470" s="4"/>
    </row>
    <row collapsed="" customFormat="false" customHeight="1" hidden="" ht="14" outlineLevel="0" r="18471">
      <c r="A18471" s="3" t="inlineStr">
        <is>
          <t>18423</t>
        </is>
      </c>
      <c r="B18471" s="4" t="s">
        <f>=HYPERLINK("http://anyluxury.ru/shop/odezhda/rubashki-polo/rubashka-polo-zhenskaya-prescott-women-170-belaya-608760/" , "6087.60 Рубашка поло женская Prescott women 170 белая, размер XL")</f>
      </c>
      <c r="C18471" s="4" t="n">
        <v>1209.00</v>
      </c>
      <c r="D18471" s="4"/>
    </row>
    <row collapsed="" customFormat="false" customHeight="1" hidden="" ht="14" outlineLevel="0" r="18472">
      <c r="A18472" s="3" t="inlineStr">
        <is>
          <t>18424</t>
        </is>
      </c>
      <c r="B18472" s="4" t="s">
        <f>=HYPERLINK("http://anyluxury.ru/shop/odezhda/rubashki-polo/rubashka-polo-zhenskaya-prescott-women-170-belaya-608760/" , "6087.60 Рубашка поло женская Prescott women 170 белая, размер XXL")</f>
      </c>
      <c r="C18472" s="4" t="n">
        <v>1209.00</v>
      </c>
      <c r="D18472" s="4"/>
    </row>
    <row collapsed="" customFormat="false" customHeight="1" hidden="" ht="14" outlineLevel="0" r="18473">
      <c r="A18473" s="3" t="inlineStr">
        <is>
          <t>18425</t>
        </is>
      </c>
      <c r="B18473" s="4" t="s">
        <f>=HYPERLINK("http://anyluxury.ru/shop/odezhda/rubashki-polo/rubashka-polo-zhenskaya-prescott-women-170-biryuzovaya-608742/" , "6087.42 Рубашка поло женская Prescott women 170 бирюзовая, размер S")</f>
      </c>
      <c r="C18473" s="4" t="n">
        <v>1344.00</v>
      </c>
      <c r="D18473" s="4"/>
    </row>
    <row collapsed="" customFormat="false" customHeight="1" hidden="" ht="14" outlineLevel="0" r="18474">
      <c r="A18474" s="3" t="inlineStr">
        <is>
          <t>18426</t>
        </is>
      </c>
      <c r="B18474" s="4" t="s">
        <f>=HYPERLINK("http://anyluxury.ru/shop/odezhda/rubashki-polo/rubashka-polo-zhenskaya-prescott-women-170-biryuzovaya-608742/" , "6087.42 Рубашка поло женская Prescott women 170 бирюзовая, размер M")</f>
      </c>
      <c r="C18474" s="4" t="n">
        <v>1344.00</v>
      </c>
      <c r="D18474" s="4"/>
    </row>
    <row collapsed="" customFormat="false" customHeight="1" hidden="" ht="14" outlineLevel="0" r="18475">
      <c r="A18475" s="3" t="inlineStr">
        <is>
          <t>18427</t>
        </is>
      </c>
      <c r="B18475" s="4" t="s">
        <f>=HYPERLINK("http://anyluxury.ru/shop/odezhda/rubashki-polo/rubashka-polo-zhenskaya-prescott-women-170-biryuzovaya-608742/" , "6087.42 Рубашка поло женская Prescott women 170 бирюзовая, размер L")</f>
      </c>
      <c r="C18475" s="4" t="n">
        <v>1344.00</v>
      </c>
      <c r="D18475" s="4"/>
    </row>
    <row collapsed="" customFormat="false" customHeight="1" hidden="" ht="14" outlineLevel="0" r="18476">
      <c r="A18476" s="3" t="inlineStr">
        <is>
          <t>18428</t>
        </is>
      </c>
      <c r="B18476" s="4" t="s">
        <f>=HYPERLINK("http://anyluxury.ru/shop/odezhda/rubashki-polo/rubashka-polo-zhenskaya-prescott-women-170-biryuzovaya-608742/" , "6087.42 Рубашка поло женская Prescott women 170 бирюзовая, размер XL")</f>
      </c>
      <c r="C18476" s="4" t="n">
        <v>1344.00</v>
      </c>
      <c r="D18476" s="4"/>
    </row>
    <row collapsed="" customFormat="false" customHeight="1" hidden="" ht="14" outlineLevel="0" r="18477">
      <c r="A18477" s="3" t="inlineStr">
        <is>
          <t>18429</t>
        </is>
      </c>
      <c r="B18477" s="4" t="s">
        <f>=HYPERLINK("http://anyluxury.ru/shop/odezhda/rubashki-polo/rubashka-polo-zhenskaya-prescott-women-170-biryuzovaya-608742/" , "6087.42 Рубашка поло женская Prescott women 170 бирюзовая, размер XXL")</f>
      </c>
      <c r="C18477" s="4" t="n">
        <v>1345.00</v>
      </c>
      <c r="D18477" s="4"/>
    </row>
    <row collapsed="" customFormat="false" customHeight="1" hidden="" ht="14" outlineLevel="0" r="18478">
      <c r="A18478" s="3" t="inlineStr">
        <is>
          <t>18430</t>
        </is>
      </c>
      <c r="B18478" s="4" t="s">
        <f>=HYPERLINK("http://anyluxury.ru/shop/odezhda/rubashki-polo/rubashka-polo-zhenskaya-prescott-women-170-chernaya-608730/" , "6087.30 Рубашка поло женская Prescott women 170 черная, размер S")</f>
      </c>
      <c r="C18478" s="4" t="n">
        <v>1404.00</v>
      </c>
      <c r="D18478" s="4"/>
    </row>
    <row collapsed="" customFormat="false" customHeight="1" hidden="" ht="14" outlineLevel="0" r="18479">
      <c r="A18479" s="3" t="inlineStr">
        <is>
          <t>18431</t>
        </is>
      </c>
      <c r="B18479" s="4" t="s">
        <f>=HYPERLINK("http://anyluxury.ru/shop/odezhda/rubashki-polo/rubashka-polo-zhenskaya-prescott-women-170-chernaya-608730/" , "6087.30 Рубашка поло женская Prescott women 170 черная, размер M")</f>
      </c>
      <c r="C18479" s="4" t="n">
        <v>1404.00</v>
      </c>
      <c r="D18479" s="4"/>
    </row>
    <row collapsed="" customFormat="false" customHeight="1" hidden="" ht="14" outlineLevel="0" r="18480">
      <c r="A18480" s="3" t="inlineStr">
        <is>
          <t>18432</t>
        </is>
      </c>
      <c r="B18480" s="4" t="s">
        <f>=HYPERLINK("http://anyluxury.ru/shop/odezhda/rubashki-polo/rubashka-polo-zhenskaya-prescott-women-170-chernaya-608730/" , "6087.30 Рубашка поло женская Prescott women 170 черная, размер L")</f>
      </c>
      <c r="C18480" s="4" t="n">
        <v>1404.00</v>
      </c>
      <c r="D18480" s="4"/>
    </row>
    <row collapsed="" customFormat="false" customHeight="1" hidden="" ht="14" outlineLevel="0" r="18481">
      <c r="A18481" s="3" t="inlineStr">
        <is>
          <t>18433</t>
        </is>
      </c>
      <c r="B18481" s="4" t="s">
        <f>=HYPERLINK("http://anyluxury.ru/shop/odezhda/rubashki-polo/rubashka-polo-zhenskaya-prescott-women-170-chernaya-608730/" , "6087.30 Рубашка поло женская Prescott women 170 черная, размер XL")</f>
      </c>
      <c r="C18481" s="4" t="n">
        <v>1404.00</v>
      </c>
      <c r="D18481" s="4"/>
    </row>
    <row collapsed="" customFormat="false" customHeight="1" hidden="" ht="14" outlineLevel="0" r="18482">
      <c r="A18482" s="3" t="inlineStr">
        <is>
          <t>18434</t>
        </is>
      </c>
      <c r="B18482" s="4" t="s">
        <f>=HYPERLINK("http://anyluxury.ru/shop/odezhda/rubashki-polo/rubashka-polo-zhenskaya-prescott-women-170-chernaya-608730/" , "6087.30 Рубашка поло женская Prescott women 170 черная, размер XXL")</f>
      </c>
      <c r="C18482" s="4" t="n">
        <v>1404.00</v>
      </c>
      <c r="D18482" s="4"/>
    </row>
    <row collapsed="" customFormat="false" customHeight="1" hidden="" ht="14" outlineLevel="0" r="18483">
      <c r="A18483" s="3" t="inlineStr">
        <is>
          <t>18435</t>
        </is>
      </c>
      <c r="B18483" s="4" t="s">
        <f>=HYPERLINK("http://anyluxury.ru/shop/odezhda/rubashki-polo/rubashka-polo-zhenskaya-prescott-women-170-rozovaya-608756/" , "6087.56 Рубашка поло женская Prescott women 170 розовая , размер S")</f>
      </c>
      <c r="C18483" s="4" t="n">
        <v>1344.00</v>
      </c>
      <c r="D18483" s="4"/>
    </row>
    <row collapsed="" customFormat="false" customHeight="1" hidden="" ht="14" outlineLevel="0" r="18484">
      <c r="A18484" s="3" t="inlineStr">
        <is>
          <t>18436</t>
        </is>
      </c>
      <c r="B18484" s="4" t="s">
        <f>=HYPERLINK("http://anyluxury.ru/shop/odezhda/rubashki-polo/rubashka-polo-zhenskaya-prescott-women-170-rozovaya-608756/" , "6087.56 Рубашка поло женская Prescott women 170 розовая , размер M")</f>
      </c>
      <c r="C18484" s="4" t="n">
        <v>1344.00</v>
      </c>
      <c r="D18484" s="4"/>
    </row>
    <row collapsed="" customFormat="false" customHeight="1" hidden="" ht="14" outlineLevel="0" r="18485">
      <c r="A18485" s="3" t="inlineStr">
        <is>
          <t>18437</t>
        </is>
      </c>
      <c r="B18485" s="4" t="s">
        <f>=HYPERLINK("http://anyluxury.ru/shop/odezhda/rubashki-polo/rubashka-polo-zhenskaya-prescott-women-170-rozovaya-608756/" , "6087.56 Рубашка поло женская Prescott women 170 розовая, размер XL")</f>
      </c>
      <c r="C18485" s="4" t="n">
        <v>1345.00</v>
      </c>
      <c r="D18485" s="4"/>
    </row>
    <row collapsed="" customFormat="false" customHeight="1" hidden="" ht="14" outlineLevel="0" r="18486">
      <c r="A18486" s="3" t="inlineStr">
        <is>
          <t>18438</t>
        </is>
      </c>
      <c r="B18486" s="4" t="s">
        <f>=HYPERLINK("http://anyluxury.ru/shop/odezhda/rubashki-polo/rubashka-polo-zhenskaya-prescott-women-170-rozovaya-608756/" , "6087.56 Рубашка поло женская Prescott women 170 розовая, размер XXL")</f>
      </c>
      <c r="C18486" s="4" t="n">
        <v>1345.00</v>
      </c>
      <c r="D18486" s="4"/>
    </row>
    <row collapsed="" customFormat="false" customHeight="1" hidden="" ht="14" outlineLevel="0" r="18487">
      <c r="A18487" s="3" t="inlineStr">
        <is>
          <t>18439</t>
        </is>
      </c>
      <c r="B18487" s="4" t="s">
        <f>=HYPERLINK("http://anyluxury.ru/shop/odezhda/rubashki-polo/rubashka-polo-zhenskaya-prescott-women-170-rozovaya-608756/" , "6087.56 Рубашка поло женская Prescott women 170 розовая , размер L")</f>
      </c>
      <c r="C18487" s="4" t="n">
        <v>1345.00</v>
      </c>
      <c r="D18487" s="4"/>
    </row>
    <row collapsed="" customFormat="false" customHeight="1" hidden="" ht="14" outlineLevel="0" r="18488">
      <c r="A18488" s="3" t="inlineStr">
        <is>
          <t>18440</t>
        </is>
      </c>
      <c r="B18488" s="4" t="s">
        <f>=HYPERLINK("http://anyluxury.ru/shop/odezhda/rubashki-polo/rubashka-polo-prince-190-belaya-s-temnosinim-608560/" , "6085.60 Рубашка поло Prince 190 белая с темно-синим, размер XS")</f>
      </c>
      <c r="C18488" s="4" t="n">
        <v>2367.00</v>
      </c>
      <c r="D18488" s="4"/>
    </row>
    <row collapsed="" customFormat="false" customHeight="1" hidden="" ht="14" outlineLevel="0" r="18489">
      <c r="A18489" s="3" t="inlineStr">
        <is>
          <t>18441</t>
        </is>
      </c>
      <c r="B18489" s="4" t="s">
        <f>=HYPERLINK("http://anyluxury.ru/shop/odezhda/rubashki-polo/rubashka-polo-prince-190-belaya-s-temnosinim-608560/" , "6085.60 Рубашка поло Prince 190 белая с темно-синим , размер S")</f>
      </c>
      <c r="C18489" s="4" t="n">
        <v>2367.00</v>
      </c>
      <c r="D18489" s="4"/>
    </row>
    <row collapsed="" customFormat="false" customHeight="1" hidden="" ht="14" outlineLevel="0" r="18490">
      <c r="A18490" s="3" t="inlineStr">
        <is>
          <t>18442</t>
        </is>
      </c>
      <c r="B18490" s="4" t="s">
        <f>=HYPERLINK("http://anyluxury.ru/shop/odezhda/rubashki-polo/rubashka-polo-prince-190-belaya-s-temnosinim-608560/" , "6085.60 Рубашка поло Prince 190 белая с темно-синим , размер M")</f>
      </c>
      <c r="C18490" s="4" t="n">
        <v>2367.00</v>
      </c>
      <c r="D18490" s="4"/>
    </row>
    <row collapsed="" customFormat="false" customHeight="1" hidden="" ht="14" outlineLevel="0" r="18491">
      <c r="A18491" s="3" t="inlineStr">
        <is>
          <t>18443</t>
        </is>
      </c>
      <c r="B18491" s="4" t="s">
        <f>=HYPERLINK("http://anyluxury.ru/shop/odezhda/rubashki-polo/rubashka-polo-prince-190-belaya-s-temnosinim-608560/" , "6085.60 Рубашка поло Prince 190 белая с темно-синим , размер L")</f>
      </c>
      <c r="C18491" s="4" t="n">
        <v>2367.00</v>
      </c>
      <c r="D18491" s="4"/>
    </row>
    <row collapsed="" customFormat="false" customHeight="1" hidden="" ht="14" outlineLevel="0" r="18492">
      <c r="A18492" s="3" t="inlineStr">
        <is>
          <t>18444</t>
        </is>
      </c>
      <c r="B18492" s="4" t="s">
        <f>=HYPERLINK("http://anyluxury.ru/shop/odezhda/rubashki-polo/rubashka-polo-prince-190-belaya-s-temnosinim-608560/" , "6085.60 Рубашка поло Prince 190 белая с темно-синим , размер XL")</f>
      </c>
      <c r="C18492" s="4" t="n">
        <v>2367.00</v>
      </c>
      <c r="D18492" s="4"/>
    </row>
    <row collapsed="" customFormat="false" customHeight="1" hidden="" ht="14" outlineLevel="0" r="18493">
      <c r="A18493" s="3" t="inlineStr">
        <is>
          <t>18445</t>
        </is>
      </c>
      <c r="B18493" s="4" t="s">
        <f>=HYPERLINK("http://anyluxury.ru/shop/odezhda/rubashki-polo/rubashka-polo-prince-190-belaya-s-temnosinim-608560/" , "6085.60 Рубашка поло Prince 190 белая с темно-синим , размер XXL")</f>
      </c>
      <c r="C18493" s="4" t="n">
        <v>2367.00</v>
      </c>
      <c r="D18493" s="4"/>
    </row>
    <row collapsed="" customFormat="false" customHeight="1" hidden="" ht="14" outlineLevel="0" r="18494">
      <c r="A18494" s="3" t="inlineStr">
        <is>
          <t>18446</t>
        </is>
      </c>
      <c r="B18494" s="4" t="s">
        <f>=HYPERLINK("http://anyluxury.ru/shop/odezhda/rubashki-polo/rubashka-polo-prince-190-belaya-s-temnosinim-608560/" , "6085.60 Рубашка поло Prince 190 белая с темно-синим, размер XS")</f>
      </c>
      <c r="C18494" s="4" t="n">
        <v>1614.00</v>
      </c>
      <c r="D18494" s="4"/>
    </row>
    <row collapsed="" customFormat="false" customHeight="1" hidden="" ht="14" outlineLevel="0" r="18495">
      <c r="A18495" s="3" t="inlineStr">
        <is>
          <t>18447</t>
        </is>
      </c>
      <c r="B18495" s="4" t="s">
        <f>=HYPERLINK("http://anyluxury.ru/shop/odezhda/rubashki-polo/rubashka-polo-prince-190-belaya-s-temnosinim-608560/" , "6085.60 Рубашка поло Prince 190 белая с темно-синим , размер S")</f>
      </c>
      <c r="C18495" s="4" t="n">
        <v>1614.00</v>
      </c>
      <c r="D18495" s="4"/>
    </row>
    <row collapsed="" customFormat="false" customHeight="1" hidden="" ht="14" outlineLevel="0" r="18496">
      <c r="A18496" s="3" t="inlineStr">
        <is>
          <t>18448</t>
        </is>
      </c>
      <c r="B18496" s="4" t="s">
        <f>=HYPERLINK("http://anyluxury.ru/shop/odezhda/rubashki-polo/rubashka-polo-prince-190-belaya-s-temnosinim-608560/" , "6085.60 Рубашка поло Prince 190 белая с темно-синим , размер M")</f>
      </c>
      <c r="C18496" s="4" t="n">
        <v>1614.00</v>
      </c>
      <c r="D18496" s="4"/>
    </row>
    <row collapsed="" customFormat="false" customHeight="1" hidden="" ht="14" outlineLevel="0" r="18497">
      <c r="A18497" s="3" t="inlineStr">
        <is>
          <t>18449</t>
        </is>
      </c>
      <c r="B18497" s="4" t="s">
        <f>=HYPERLINK("http://anyluxury.ru/shop/odezhda/rubashki-polo/rubashka-polo-prince-190-belaya-s-temnosinim-608560/" , "6085.60 Рубашка поло Prince 190 белая с темно-синим , размер L")</f>
      </c>
      <c r="C18497" s="4" t="n">
        <v>1614.00</v>
      </c>
      <c r="D18497" s="4"/>
    </row>
    <row collapsed="" customFormat="false" customHeight="1" hidden="" ht="14" outlineLevel="0" r="18498">
      <c r="A18498" s="3" t="inlineStr">
        <is>
          <t>18450</t>
        </is>
      </c>
      <c r="B18498" s="4" t="s">
        <f>=HYPERLINK("http://anyluxury.ru/shop/odezhda/rubashki-polo/rubashka-polo-prince-190-belaya-s-temnosinim-608560/" , "6085.60 Рубашка поло Prince 190 белая с темно-синим , размер XL")</f>
      </c>
      <c r="C18498" s="4" t="n">
        <v>1614.00</v>
      </c>
      <c r="D18498" s="4"/>
    </row>
    <row collapsed="" customFormat="false" customHeight="1" hidden="" ht="14" outlineLevel="0" r="18499">
      <c r="A18499" s="3" t="inlineStr">
        <is>
          <t>18451</t>
        </is>
      </c>
      <c r="B18499" s="4" t="s">
        <f>=HYPERLINK("http://anyluxury.ru/shop/odezhda/rubashki-polo/rubashka-polo-prince-190-belaya-s-temnosinim-608560/" , "6085.60 Рубашка поло Prince 190 белая с темно-синим , размер XXL")</f>
      </c>
      <c r="C18499" s="4" t="n">
        <v>1614.00</v>
      </c>
      <c r="D18499" s="4"/>
    </row>
    <row collapsed="" customFormat="false" customHeight="1" hidden="" ht="14" outlineLevel="0" r="18500">
      <c r="A18500" s="3" t="inlineStr">
        <is>
          <t>18452</t>
        </is>
      </c>
      <c r="B18500" s="4" t="s">
        <f>=HYPERLINK("http://anyluxury.ru/shop/odezhda/rubashki-polo/rubashka-polo-prince-190-zelenoe-yabloko-s-temnosinim-608594/" , "6085.94 Рубашка поло Prince 190 зеленое яблоко с темно-синим, размер XS")</f>
      </c>
      <c r="C18500" s="4" t="n">
        <v>2340.00</v>
      </c>
      <c r="D18500" s="4"/>
    </row>
    <row collapsed="" customFormat="false" customHeight="1" hidden="" ht="14" outlineLevel="0" r="18501">
      <c r="A18501" s="3" t="inlineStr">
        <is>
          <t>18453</t>
        </is>
      </c>
      <c r="B18501" s="4" t="s">
        <f>=HYPERLINK("http://anyluxury.ru/shop/odezhda/rubashki-polo/rubashka-polo-prince-190-zelenoe-yabloko-s-temnosinim-608594/" , "6085.94 Рубашка поло Prince 190 зеленое яблоко с темно-синим, размер S")</f>
      </c>
      <c r="C18501" s="4" t="n">
        <v>1834.00</v>
      </c>
      <c r="D18501" s="4"/>
    </row>
    <row collapsed="" customFormat="false" customHeight="1" hidden="" ht="14" outlineLevel="0" r="18502">
      <c r="A18502" s="3" t="inlineStr">
        <is>
          <t>18454</t>
        </is>
      </c>
      <c r="B18502" s="4" t="s">
        <f>=HYPERLINK("http://anyluxury.ru/shop/odezhda/rubashki-polo/rubashka-polo-prince-190-zelenoe-yabloko-s-temnosinim-608594/" , "6085.94 Рубашка поло Prince 190 зеленое яблоко с темно-синим, размер M")</f>
      </c>
      <c r="C18502" s="4" t="n">
        <v>1834.00</v>
      </c>
      <c r="D18502" s="4"/>
    </row>
    <row collapsed="" customFormat="false" customHeight="1" hidden="" ht="14" outlineLevel="0" r="18503">
      <c r="A18503" s="3" t="inlineStr">
        <is>
          <t>18455</t>
        </is>
      </c>
      <c r="B18503" s="4" t="s">
        <f>=HYPERLINK("http://anyluxury.ru/shop/odezhda/rubashki-polo/rubashka-polo-prince-190-zelenoe-yabloko-s-temnosinim-608594/" , "6085.94 Рубашка поло Prince 190 зеленое яблоко с темно-синим, размер L")</f>
      </c>
      <c r="C18503" s="4" t="n">
        <v>1834.00</v>
      </c>
      <c r="D18503" s="4"/>
    </row>
    <row collapsed="" customFormat="false" customHeight="1" hidden="" ht="14" outlineLevel="0" r="18504">
      <c r="A18504" s="3" t="inlineStr">
        <is>
          <t>18456</t>
        </is>
      </c>
      <c r="B18504" s="4" t="s">
        <f>=HYPERLINK("http://anyluxury.ru/shop/odezhda/rubashki-polo/rubashka-polo-prince-190-zelenoe-yabloko-s-temnosinim-608594/" , "6085.94 Рубашка поло Prince 190 зеленое яблоко с темно-синим, размер XL")</f>
      </c>
      <c r="C18504" s="4" t="n">
        <v>1834.00</v>
      </c>
      <c r="D18504" s="4"/>
    </row>
    <row collapsed="" customFormat="false" customHeight="1" hidden="" ht="14" outlineLevel="0" r="18505">
      <c r="A18505" s="3" t="inlineStr">
        <is>
          <t>18457</t>
        </is>
      </c>
      <c r="B18505" s="4" t="s">
        <f>=HYPERLINK("http://anyluxury.ru/shop/odezhda/rubashki-polo/rubashka-polo-prince-190-zelenoe-yabloko-s-temnosinim-608594/" , "6085.94 Рубашка поло Prince 190 зеленое яблоко с темно-синим, размер XXL")</f>
      </c>
      <c r="C18505" s="4" t="n">
        <v>1834.00</v>
      </c>
      <c r="D18505" s="4"/>
    </row>
    <row collapsed="" customFormat="false" customHeight="1" hidden="" ht="14" outlineLevel="0" r="18506">
      <c r="A18506" s="3" t="inlineStr">
        <is>
          <t>18458</t>
        </is>
      </c>
      <c r="B18506" s="4" t="s">
        <f>=HYPERLINK("http://anyluxury.ru/shop/odezhda/rubashki-polo/rubashka-polo-prince-190-zelenoe-yabloko-s-temnosinim-608594/" , "6085.94 Рубашка поло Prince 190 зеленое яблоко с темно-синим, размер XS")</f>
      </c>
      <c r="C18506" s="4" t="n">
        <v>1614.00</v>
      </c>
      <c r="D18506" s="4"/>
    </row>
    <row collapsed="" customFormat="false" customHeight="1" hidden="" ht="14" outlineLevel="0" r="18507">
      <c r="A18507" s="3" t="inlineStr">
        <is>
          <t>18459</t>
        </is>
      </c>
      <c r="B18507" s="4" t="s">
        <f>=HYPERLINK("http://anyluxury.ru/shop/odezhda/rubashki-polo/rubashka-polo-prince-190-zelenoe-yabloko-s-temnosinim-608594/" , "6085.94 Рубашка поло Prince 190 зеленое яблоко с темно-синим, размер S")</f>
      </c>
      <c r="C18507" s="4" t="n">
        <v>1614.00</v>
      </c>
      <c r="D18507" s="4"/>
    </row>
    <row collapsed="" customFormat="false" customHeight="1" hidden="" ht="14" outlineLevel="0" r="18508">
      <c r="A18508" s="3" t="inlineStr">
        <is>
          <t>18460</t>
        </is>
      </c>
      <c r="B18508" s="4" t="s">
        <f>=HYPERLINK("http://anyluxury.ru/shop/odezhda/rubashki-polo/rubashka-polo-prince-190-zelenoe-yabloko-s-temnosinim-608594/" , "6085.94 Рубашка поло Prince 190 зеленое яблоко с темно-синим, размер M")</f>
      </c>
      <c r="C18508" s="4" t="n">
        <v>1614.00</v>
      </c>
      <c r="D18508" s="4"/>
    </row>
    <row collapsed="" customFormat="false" customHeight="1" hidden="" ht="14" outlineLevel="0" r="18509">
      <c r="A18509" s="3" t="inlineStr">
        <is>
          <t>18461</t>
        </is>
      </c>
      <c r="B18509" s="4" t="s">
        <f>=HYPERLINK("http://anyluxury.ru/shop/odezhda/rubashki-polo/rubashka-polo-prince-190-zelenoe-yabloko-s-temnosinim-608594/" , "6085.94 Рубашка поло Prince 190 зеленое яблоко с темно-синим, размер L")</f>
      </c>
      <c r="C18509" s="4" t="n">
        <v>1614.00</v>
      </c>
      <c r="D18509" s="4"/>
    </row>
    <row collapsed="" customFormat="false" customHeight="1" hidden="" ht="14" outlineLevel="0" r="18510">
      <c r="A18510" s="3" t="inlineStr">
        <is>
          <t>18462</t>
        </is>
      </c>
      <c r="B18510" s="4" t="s">
        <f>=HYPERLINK("http://anyluxury.ru/shop/odezhda/rubashki-polo/rubashka-polo-prince-190-zelenoe-yabloko-s-temnosinim-608594/" , "6085.94 Рубашка поло Prince 190 зеленое яблоко с темно-синим, размер XL")</f>
      </c>
      <c r="C18510" s="4" t="n">
        <v>1614.00</v>
      </c>
      <c r="D18510" s="4"/>
    </row>
    <row collapsed="" customFormat="false" customHeight="1" hidden="" ht="14" outlineLevel="0" r="18511">
      <c r="A18511" s="3" t="inlineStr">
        <is>
          <t>18463</t>
        </is>
      </c>
      <c r="B18511" s="4" t="s">
        <f>=HYPERLINK("http://anyluxury.ru/shop/odezhda/rubashki-polo/rubashka-polo-prince-190-zelenoe-yabloko-s-temnosinim-608594/" , "6085.94 Рубашка поло Prince 190 зеленое яблоко с темно-синим, размер XXL")</f>
      </c>
      <c r="C18511" s="4" t="n">
        <v>1614.00</v>
      </c>
      <c r="D18511" s="4"/>
    </row>
    <row collapsed="" customFormat="false" customHeight="1" hidden="" ht="14" outlineLevel="0" r="18512">
      <c r="A18512" s="3" t="inlineStr">
        <is>
          <t>18464</t>
        </is>
      </c>
      <c r="B18512" s="4" t="s">
        <f>=HYPERLINK("http://anyluxury.ru/shop/odezhda/rubashki-polo/rubashka-polo-zhenskaya-prescott-women-170-krasnaya-608750/" , "6087.50 Рубашка поло женская Prescott women 170 красная, размер S")</f>
      </c>
      <c r="C18512" s="4" t="n">
        <v>1404.00</v>
      </c>
      <c r="D18512" s="4"/>
    </row>
    <row collapsed="" customFormat="false" customHeight="1" hidden="" ht="14" outlineLevel="0" r="18513">
      <c r="A18513" s="3" t="inlineStr">
        <is>
          <t>18465</t>
        </is>
      </c>
      <c r="B18513" s="4" t="s">
        <f>=HYPERLINK("http://anyluxury.ru/shop/odezhda/rubashki-polo/rubashka-polo-zhenskaya-prescott-women-170-krasnaya-608750/" , "6087.50 Рубашка поло женская Prescott women 170 красная, размер M")</f>
      </c>
      <c r="C18513" s="4" t="n">
        <v>1404.00</v>
      </c>
      <c r="D18513" s="4"/>
    </row>
    <row collapsed="" customFormat="false" customHeight="1" hidden="" ht="14" outlineLevel="0" r="18514">
      <c r="A18514" s="3" t="inlineStr">
        <is>
          <t>18466</t>
        </is>
      </c>
      <c r="B18514" s="4" t="s">
        <f>=HYPERLINK("http://anyluxury.ru/shop/odezhda/rubashki-polo/rubashka-polo-zhenskaya-prescott-women-170-krasnaya-608750/" , "6087.50 Рубашка поло женская Prescott women 170 красная, размер L")</f>
      </c>
      <c r="C18514" s="4" t="n">
        <v>1404.00</v>
      </c>
      <c r="D18514" s="4"/>
    </row>
    <row collapsed="" customFormat="false" customHeight="1" hidden="" ht="14" outlineLevel="0" r="18515">
      <c r="A18515" s="3" t="inlineStr">
        <is>
          <t>18467</t>
        </is>
      </c>
      <c r="B18515" s="4" t="s">
        <f>=HYPERLINK("http://anyluxury.ru/shop/odezhda/rubashki-polo/rubashka-polo-zhenskaya-prescott-women-170-krasnaya-608750/" , "6087.50 Рубашка поло женская Prescott women 170 красная, размер XL")</f>
      </c>
      <c r="C18515" s="4" t="n">
        <v>1404.00</v>
      </c>
      <c r="D18515" s="4"/>
    </row>
    <row collapsed="" customFormat="false" customHeight="1" hidden="" ht="14" outlineLevel="0" r="18516">
      <c r="A18516" s="3" t="inlineStr">
        <is>
          <t>18468</t>
        </is>
      </c>
      <c r="B18516" s="4" t="s">
        <f>=HYPERLINK("http://anyluxury.ru/shop/odezhda/rubashki-polo/rubashka-polo-zhenskaya-prescott-women-170-krasnaya-608750/" , "6087.50 Рубашка поло женская Prescott women 170 красная, размер XXL")</f>
      </c>
      <c r="C18516" s="4" t="n">
        <v>1404.00</v>
      </c>
      <c r="D18516" s="4"/>
    </row>
    <row collapsed="" customFormat="false" customHeight="1" hidden="" ht="14" outlineLevel="0" r="18517">
      <c r="A18517" s="3" t="inlineStr">
        <is>
          <t>18469</t>
        </is>
      </c>
      <c r="B18517" s="4" t="s">
        <f>=HYPERLINK("http://anyluxury.ru/shop/odezhda/rubashki-polo/rubashka-polo-muzhskaya-spring-210-temnofioletovaya-189877/" , "1898.77 Рубашка поло мужская SPRING 210 темно-фиолетовая, размер S")</f>
      </c>
      <c r="C18517" s="4" t="n">
        <v>1768.00</v>
      </c>
      <c r="D18517" s="4"/>
    </row>
    <row collapsed="" customFormat="false" customHeight="1" hidden="" ht="14" outlineLevel="0" r="18518">
      <c r="A18518" s="3" t="inlineStr">
        <is>
          <t>18470</t>
        </is>
      </c>
      <c r="B18518" s="4" t="s">
        <f>=HYPERLINK("http://anyluxury.ru/shop/odezhda/rubashki-polo/rubashka-polo-muzhskaya-spring-210-temnofioletovaya-189877/" , "1898.77 Рубашка поло мужская SPRING 210 темно-фиолетовая, размер M")</f>
      </c>
      <c r="C18518" s="4" t="n">
        <v>1768.00</v>
      </c>
      <c r="D18518" s="4"/>
    </row>
    <row collapsed="" customFormat="false" customHeight="1" hidden="" ht="14" outlineLevel="0" r="18519">
      <c r="A18519" s="3" t="inlineStr">
        <is>
          <t>18471</t>
        </is>
      </c>
      <c r="B18519" s="4" t="s">
        <f>=HYPERLINK("http://anyluxury.ru/shop/odezhda/rubashki-polo/rubashka-polo-muzhskaya-spring-210-temnofioletovaya-189877/" , "1898.77 Рубашка поло мужская SPRING 210 темно-фиолетовая, размер L")</f>
      </c>
      <c r="C18519" s="4" t="n">
        <v>1768.00</v>
      </c>
      <c r="D18519" s="4"/>
    </row>
    <row collapsed="" customFormat="false" customHeight="1" hidden="" ht="14" outlineLevel="0" r="18520">
      <c r="A18520" s="3" t="inlineStr">
        <is>
          <t>18472</t>
        </is>
      </c>
      <c r="B18520" s="4" t="s">
        <f>=HYPERLINK("http://anyluxury.ru/shop/odezhda/rubashki-polo/rubashka-polo-muzhskaya-spring-210-temnofioletovaya-189877/" , "1898.77 Рубашка поло мужская SPRING 210 темно-фиолетовая, размер XL")</f>
      </c>
      <c r="C18520" s="4" t="n">
        <v>1768.00</v>
      </c>
      <c r="D18520" s="4"/>
    </row>
    <row collapsed="" customFormat="false" customHeight="1" hidden="" ht="14" outlineLevel="0" r="18521">
      <c r="A18521" s="3" t="inlineStr">
        <is>
          <t>18473</t>
        </is>
      </c>
      <c r="B18521" s="4" t="s">
        <f>=HYPERLINK("http://anyluxury.ru/shop/odezhda/rubashki-polo/rubashka-polo-muzhskaya-spring-210-temnofioletovaya-189877/" , "1898.77 Рубашка поло мужская SPRING 210 темно-фиолетовая, размер XXL")</f>
      </c>
      <c r="C18521" s="4" t="n">
        <v>1768.00</v>
      </c>
      <c r="D18521" s="4"/>
    </row>
    <row collapsed="" customFormat="false" customHeight="1" hidden="" ht="14" outlineLevel="0" r="18522">
      <c r="A18522" s="3" t="inlineStr">
        <is>
          <t>18474</t>
        </is>
      </c>
      <c r="B18522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S")</f>
      </c>
      <c r="C18522" s="4" t="n">
        <v>3069.00</v>
      </c>
      <c r="D18522" s="4"/>
    </row>
    <row collapsed="" customFormat="false" customHeight="1" hidden="" ht="14" outlineLevel="0" r="18523">
      <c r="A18523" s="3" t="inlineStr">
        <is>
          <t>18475</t>
        </is>
      </c>
      <c r="B18523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M")</f>
      </c>
      <c r="C18523" s="4" t="n">
        <v>3069.00</v>
      </c>
      <c r="D18523" s="4"/>
    </row>
    <row collapsed="" customFormat="false" customHeight="1" hidden="" ht="14" outlineLevel="0" r="18524">
      <c r="A18524" s="3" t="inlineStr">
        <is>
          <t>18476</t>
        </is>
      </c>
      <c r="B18524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L")</f>
      </c>
      <c r="C18524" s="4" t="n">
        <v>3069.00</v>
      </c>
      <c r="D18524" s="4"/>
    </row>
    <row collapsed="" customFormat="false" customHeight="1" hidden="" ht="14" outlineLevel="0" r="18525">
      <c r="A18525" s="3" t="inlineStr">
        <is>
          <t>18477</t>
        </is>
      </c>
      <c r="B18525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XL")</f>
      </c>
      <c r="C18525" s="4" t="n">
        <v>3069.00</v>
      </c>
      <c r="D18525" s="4"/>
    </row>
    <row collapsed="" customFormat="false" customHeight="1" hidden="" ht="14" outlineLevel="0" r="18526">
      <c r="A18526" s="3" t="inlineStr">
        <is>
          <t>18478</t>
        </is>
      </c>
      <c r="B18526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XXL")</f>
      </c>
      <c r="C18526" s="4" t="n">
        <v>3069.00</v>
      </c>
      <c r="D18526" s="4"/>
    </row>
    <row collapsed="" customFormat="false" customHeight="1" hidden="" ht="14" outlineLevel="0" r="18527">
      <c r="A18527" s="3" t="inlineStr">
        <is>
          <t>18479</t>
        </is>
      </c>
      <c r="B18527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S")</f>
      </c>
      <c r="C18527" s="4" t="n">
        <v>3069.00</v>
      </c>
      <c r="D18527" s="4"/>
    </row>
    <row collapsed="" customFormat="false" customHeight="1" hidden="" ht="14" outlineLevel="0" r="18528">
      <c r="A18528" s="3" t="inlineStr">
        <is>
          <t>18480</t>
        </is>
      </c>
      <c r="B18528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M")</f>
      </c>
      <c r="C18528" s="4" t="n">
        <v>3069.00</v>
      </c>
      <c r="D18528" s="4"/>
    </row>
    <row collapsed="" customFormat="false" customHeight="1" hidden="" ht="14" outlineLevel="0" r="18529">
      <c r="A18529" s="3" t="inlineStr">
        <is>
          <t>18481</t>
        </is>
      </c>
      <c r="B18529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L")</f>
      </c>
      <c r="C18529" s="4" t="n">
        <v>3069.00</v>
      </c>
      <c r="D18529" s="4"/>
    </row>
    <row collapsed="" customFormat="false" customHeight="1" hidden="" ht="14" outlineLevel="0" r="18530">
      <c r="A18530" s="3" t="inlineStr">
        <is>
          <t>18482</t>
        </is>
      </c>
      <c r="B18530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XL")</f>
      </c>
      <c r="C18530" s="4" t="n">
        <v>3069.00</v>
      </c>
      <c r="D18530" s="4"/>
    </row>
    <row collapsed="" customFormat="false" customHeight="1" hidden="" ht="14" outlineLevel="0" r="18531">
      <c r="A18531" s="3" t="inlineStr">
        <is>
          <t>18483</t>
        </is>
      </c>
      <c r="B18531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XXL")</f>
      </c>
      <c r="C18531" s="4" t="n">
        <v>3069.00</v>
      </c>
      <c r="D18531" s="4"/>
    </row>
    <row collapsed="" customFormat="false" customHeight="1" hidden="" ht="14" outlineLevel="0" r="18532">
      <c r="A18532" s="3" t="inlineStr">
        <is>
          <t>18484</t>
        </is>
      </c>
      <c r="B18532" s="4" t="s">
        <f>=HYPERLINK("http://anyluxury.ru/shop/odezhda/rubashki-polo/rubashka-polo-muzhskaya-summer-170-temnokorichnevaya-shokolad-137959/" , "1379.59 Рубашка поло мужская SUMMER 170 темно-коричневая (шоколад, размер XS")</f>
      </c>
      <c r="C18532" s="4" t="n">
        <v>1135.00</v>
      </c>
      <c r="D18532" s="4"/>
    </row>
    <row collapsed="" customFormat="false" customHeight="1" hidden="" ht="14" outlineLevel="0" r="18533">
      <c r="A18533" s="3" t="inlineStr">
        <is>
          <t>18485</t>
        </is>
      </c>
      <c r="B18533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S")</f>
      </c>
      <c r="C18533" s="4" t="n">
        <v>1135.00</v>
      </c>
      <c r="D18533" s="4"/>
    </row>
    <row collapsed="" customFormat="false" customHeight="1" hidden="" ht="14" outlineLevel="0" r="18534">
      <c r="A18534" s="3" t="inlineStr">
        <is>
          <t>18486</t>
        </is>
      </c>
      <c r="B18534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M")</f>
      </c>
      <c r="C18534" s="4" t="n">
        <v>1135.00</v>
      </c>
      <c r="D18534" s="4"/>
    </row>
    <row collapsed="" customFormat="false" customHeight="1" hidden="" ht="14" outlineLevel="0" r="18535">
      <c r="A18535" s="3" t="inlineStr">
        <is>
          <t>18487</t>
        </is>
      </c>
      <c r="B18535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L")</f>
      </c>
      <c r="C18535" s="4" t="n">
        <v>1135.00</v>
      </c>
      <c r="D18535" s="4"/>
    </row>
    <row collapsed="" customFormat="false" customHeight="1" hidden="" ht="14" outlineLevel="0" r="18536">
      <c r="A18536" s="3" t="inlineStr">
        <is>
          <t>18488</t>
        </is>
      </c>
      <c r="B18536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XL")</f>
      </c>
      <c r="C18536" s="4" t="n">
        <v>1135.00</v>
      </c>
      <c r="D18536" s="4"/>
    </row>
    <row collapsed="" customFormat="false" customHeight="1" hidden="" ht="14" outlineLevel="0" r="18537">
      <c r="A18537" s="3" t="inlineStr">
        <is>
          <t>18489</t>
        </is>
      </c>
      <c r="B18537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XXL")</f>
      </c>
      <c r="C18537" s="4" t="n">
        <v>1135.00</v>
      </c>
      <c r="D18537" s="4"/>
    </row>
    <row collapsed="" customFormat="false" customHeight="1" hidden="" ht="14" outlineLevel="0" r="18538">
      <c r="A18538" s="3" t="inlineStr">
        <is>
          <t>18490</t>
        </is>
      </c>
      <c r="B18538" s="4" t="s">
        <f>=HYPERLINK("http://anyluxury.ru/shop/odezhda/rubashki-polo/rubashka-polo-muzhskaya-spirit-240-belaya-542360/" , "5423.60 Рубашка поло мужская SPIRIT 240 белая, размер S")</f>
      </c>
      <c r="C18538" s="4" t="n">
        <v>998.00</v>
      </c>
      <c r="D18538" s="4"/>
    </row>
    <row collapsed="" customFormat="false" customHeight="1" hidden="" ht="14" outlineLevel="0" r="18539">
      <c r="A18539" s="3" t="inlineStr">
        <is>
          <t>18491</t>
        </is>
      </c>
      <c r="B18539" s="4" t="s">
        <f>=HYPERLINK("http://anyluxury.ru/shop/odezhda/rubashki-polo/rubashka-polo-muzhskaya-spirit-240-krasnaya-542350/" , "5423.50 Рубашка поло мужская SPIRIT 240 красная, размер XXL")</f>
      </c>
      <c r="C18539" s="4" t="n">
        <v>1419.00</v>
      </c>
      <c r="D18539" s="4"/>
    </row>
    <row collapsed="" customFormat="false" customHeight="1" hidden="" ht="14" outlineLevel="0" r="18540">
      <c r="A18540" s="3" t="inlineStr">
        <is>
          <t>18492</t>
        </is>
      </c>
      <c r="B18540" s="4" t="s">
        <f>=HYPERLINK("http://anyluxury.ru/shop/odezhda/rubashki-polo/rubashka-polo-muzhskaya-spirit-240-yarkosinyaya-royal-542344/" , "5423.44 Рубашка поло мужская SPIRIT 240 ярко-синяя, размер S")</f>
      </c>
      <c r="C18540" s="4" t="n">
        <v>1149.00</v>
      </c>
      <c r="D18540" s="4"/>
    </row>
    <row collapsed="" customFormat="false" customHeight="1" hidden="" ht="14" outlineLevel="0" r="18541">
      <c r="A18541" s="3" t="inlineStr">
        <is>
          <t>18493</t>
        </is>
      </c>
      <c r="B18541" s="4" t="s">
        <f>=HYPERLINK("http://anyluxury.ru/shop/odezhda/rubashki-polo/rubashka-polo-muzhskaya-spirit-240-yarkosinyaya-royal-542344/" , "5423.44 Рубашка поло мужская SPIRIT 240 ярко-синяя, размер XXL")</f>
      </c>
      <c r="C18541" s="4" t="n">
        <v>1149.00</v>
      </c>
      <c r="D18541" s="4"/>
    </row>
    <row collapsed="" customFormat="false" customHeight="1" hidden="" ht="14" outlineLevel="0" r="18542">
      <c r="A18542" s="3" t="inlineStr">
        <is>
          <t>18494</t>
        </is>
      </c>
      <c r="B18542" s="4" t="s">
        <f>=HYPERLINK("http://anyluxury.ru/shop/odezhda/rubashki-polo/rubashka-polo-muzhskaya-spirit-240-temnosinyaya-navy-542340/" , "5423.40 Рубашка поло мужская SPIRIT 240 темно-синяя (navy), размер S")</f>
      </c>
      <c r="C18542" s="4" t="n">
        <v>1149.00</v>
      </c>
      <c r="D18542" s="4"/>
    </row>
    <row collapsed="" customFormat="false" customHeight="1" hidden="" ht="14" outlineLevel="0" r="18543">
      <c r="A18543" s="3" t="inlineStr">
        <is>
          <t>18495</t>
        </is>
      </c>
      <c r="B18543" s="4" t="s">
        <f>=HYPERLINK("http://anyluxury.ru/shop/odezhda/rubashki-polo/rubashka-polo-muzhskaya-spirit-240-temnosinyaya-navy-542340/" , "5423.40 Рубашка поло мужская SPIRIT 240 темно-синяя (navy), размер M")</f>
      </c>
      <c r="C18543" s="4" t="n">
        <v>1149.00</v>
      </c>
      <c r="D18543" s="4"/>
    </row>
    <row collapsed="" customFormat="false" customHeight="1" hidden="" ht="14" outlineLevel="0" r="18544">
      <c r="A18544" s="3" t="inlineStr">
        <is>
          <t>18496</t>
        </is>
      </c>
      <c r="B18544" s="4" t="s">
        <f>=HYPERLINK("http://anyluxury.ru/shop/odezhda/rubashki-polo/rubashka-polo-muzhskaya-s-dlinnim-rukavom-star-170-chernaya-542030/" , "5420.30 Рубашка поло мужская с длинным рукавом STAR 170, черная, размер S")</f>
      </c>
      <c r="C18544" s="4" t="n">
        <v>1760.00</v>
      </c>
      <c r="D18544" s="4"/>
    </row>
    <row collapsed="" customFormat="false" customHeight="1" hidden="" ht="14" outlineLevel="0" r="18545">
      <c r="A18545" s="3" t="inlineStr">
        <is>
          <t>18497</t>
        </is>
      </c>
      <c r="B18545" s="4" t="s">
        <f>=HYPERLINK("http://anyluxury.ru/shop/odezhda/rubashki-polo/rubashka-polo-zhenskaya-passion-170-temnosinyaya-navy-479840/" , "4798.40 Рубашка поло женская PASSION 170 темно-синяя (navy), размер M")</f>
      </c>
      <c r="C18545" s="4" t="n">
        <v>1108.00</v>
      </c>
      <c r="D18545" s="4"/>
    </row>
    <row collapsed="" customFormat="false" customHeight="1" hidden="" ht="14" outlineLevel="0" r="18546">
      <c r="A18546" s="3" t="inlineStr">
        <is>
          <t>18498</t>
        </is>
      </c>
      <c r="B18546" s="4" t="s">
        <f>=HYPERLINK("http://anyluxury.ru/shop/odezhda/rubashki-polo/rubashka-polo-zhenskaya-passion-170-temnosinyaya-navy-479840/" , "4798.40 Рубашка поло женская PASSION 170 темно-синяя (navy), размер L")</f>
      </c>
      <c r="C18546" s="4" t="n">
        <v>1108.00</v>
      </c>
      <c r="D18546" s="4"/>
    </row>
    <row collapsed="" customFormat="false" customHeight="1" hidden="" ht="14" outlineLevel="0" r="18547">
      <c r="A18547" s="3" t="inlineStr">
        <is>
          <t>18499</t>
        </is>
      </c>
      <c r="B18547" s="4" t="s">
        <f>=HYPERLINK("http://anyluxury.ru/shop/odezhda/rubashki-polo/rubashka-polo-zhenskaya-passion-170-temnosinyaya-navy-479840/" , "4798.40 Рубашка поло женская PASSION 170 темно-синяя, размер XL")</f>
      </c>
      <c r="C18547" s="4" t="n">
        <v>1108.00</v>
      </c>
      <c r="D18547" s="4"/>
    </row>
    <row collapsed="" customFormat="false" customHeight="1" hidden="" ht="14" outlineLevel="0" r="18548">
      <c r="A18548" s="3" t="inlineStr">
        <is>
          <t>18500</t>
        </is>
      </c>
      <c r="B18548" s="4" t="s">
        <f>=HYPERLINK("http://anyluxury.ru/shop/odezhda/rubashki-polo/rubashka-polo-zhenskaya-passion-170-temnosinyaya-navy-479840/" , "4798.40 Рубашка поло женская PASSION 170 темно-синяя, размер XXL")</f>
      </c>
      <c r="C18548" s="4" t="n">
        <v>1108.00</v>
      </c>
      <c r="D18548" s="4"/>
    </row>
    <row collapsed="" customFormat="false" customHeight="1" hidden="" ht="14" outlineLevel="0" r="18549">
      <c r="A18549" s="3" t="inlineStr">
        <is>
          <t>18501</t>
        </is>
      </c>
      <c r="B18549" s="4" t="s">
        <f>=HYPERLINK("http://anyluxury.ru/shop/odezhda/rubashki-polo/rubashka-polo-muzhskaya-summer-170-bezhevaya-137910/" , "1379.10 Рубашка поло мужская SUMMER 170 бежевая, размер XS")</f>
      </c>
      <c r="C18549" s="4" t="n">
        <v>1135.00</v>
      </c>
      <c r="D18549" s="4"/>
    </row>
    <row collapsed="" customFormat="false" customHeight="1" hidden="" ht="14" outlineLevel="0" r="18550">
      <c r="A18550" s="3" t="inlineStr">
        <is>
          <t>18502</t>
        </is>
      </c>
      <c r="B18550" s="4" t="s">
        <f>=HYPERLINK("http://anyluxury.ru/shop/odezhda/rubashki-polo/rubashka-polo-muzhskaya-summer-170-bezhevaya-137910/" , "1379.10 Рубашка поло мужская SUMMER 170 бежевая, размер S")</f>
      </c>
      <c r="C18550" s="4" t="n">
        <v>1135.00</v>
      </c>
      <c r="D18550" s="4"/>
    </row>
    <row collapsed="" customFormat="false" customHeight="1" hidden="" ht="14" outlineLevel="0" r="18551">
      <c r="A18551" s="3" t="inlineStr">
        <is>
          <t>18503</t>
        </is>
      </c>
      <c r="B18551" s="4" t="s">
        <f>=HYPERLINK("http://anyluxury.ru/shop/odezhda/rubashki-polo/rubashka-polo-muzhskaya-summer-170-bezhevaya-137910/" , "1379.10 Рубашка поло мужская SUMMER 170 бежевая, размер M")</f>
      </c>
      <c r="C18551" s="4" t="n">
        <v>1135.00</v>
      </c>
      <c r="D18551" s="4"/>
    </row>
    <row collapsed="" customFormat="false" customHeight="1" hidden="" ht="14" outlineLevel="0" r="18552">
      <c r="A18552" s="3" t="inlineStr">
        <is>
          <t>18504</t>
        </is>
      </c>
      <c r="B18552" s="4" t="s">
        <f>=HYPERLINK("http://anyluxury.ru/shop/odezhda/rubashki-polo/rubashka-polo-muzhskaya-summer-170-bezhevaya-137910/" , "1379.10 Рубашка поло мужская SUMMER 170 бежевая, размер L")</f>
      </c>
      <c r="C18552" s="4" t="n">
        <v>1135.00</v>
      </c>
      <c r="D18552" s="4"/>
    </row>
    <row collapsed="" customFormat="false" customHeight="1" hidden="" ht="14" outlineLevel="0" r="18553">
      <c r="A18553" s="3" t="inlineStr">
        <is>
          <t>18505</t>
        </is>
      </c>
      <c r="B18553" s="4" t="s">
        <f>=HYPERLINK("http://anyluxury.ru/shop/odezhda/rubashki-polo/rubashka-polo-muzhskaya-summer-170-bezhevaya-137910/" , "1379.10 Рубашка поло мужская SUMMER 170 бежевая, размер XL")</f>
      </c>
      <c r="C18553" s="4" t="n">
        <v>1135.00</v>
      </c>
      <c r="D18553" s="4"/>
    </row>
    <row collapsed="" customFormat="false" customHeight="1" hidden="" ht="14" outlineLevel="0" r="18554">
      <c r="A18554" s="3" t="inlineStr">
        <is>
          <t>18506</t>
        </is>
      </c>
      <c r="B18554" s="4" t="s">
        <f>=HYPERLINK("http://anyluxury.ru/shop/odezhda/rubashki-polo/rubashka-polo-muzhskaya-summer-170-bezhevaya-137910/" , "1379.10 Рубашка поло мужская SUMMER 170 бежевая, размер XXL")</f>
      </c>
      <c r="C18554" s="4" t="n">
        <v>1135.00</v>
      </c>
      <c r="D18554" s="4"/>
    </row>
    <row collapsed="" customFormat="false" customHeight="1" hidden="" ht="14" outlineLevel="0" r="18555">
      <c r="A18555" s="3" t="inlineStr">
        <is>
          <t>18507</t>
        </is>
      </c>
      <c r="B18555" s="4" t="s">
        <f>=HYPERLINK("http://anyluxury.ru/shop/odezhda/rubashki-polo/rubashka-polo-muzhskaya-summer-170-seriy-melanzh-137911/" , "1379.11 Рубашка поло мужская SUMMER 170 серый меланж, размер XS")</f>
      </c>
      <c r="C18555" s="4" t="n">
        <v>1135.00</v>
      </c>
      <c r="D18555" s="4"/>
    </row>
    <row collapsed="" customFormat="false" customHeight="1" hidden="" ht="14" outlineLevel="0" r="18556">
      <c r="A18556" s="3" t="inlineStr">
        <is>
          <t>18508</t>
        </is>
      </c>
      <c r="B18556" s="4" t="s">
        <f>=HYPERLINK("http://anyluxury.ru/shop/odezhda/rubashki-polo/rubashka-polo-muzhskaya-summer-170-seriy-melanzh-137911/" , "1379.11 Рубашка поло мужская SUMMER 170 серый меланж, размер S")</f>
      </c>
      <c r="C18556" s="4" t="n">
        <v>1135.00</v>
      </c>
      <c r="D18556" s="4"/>
    </row>
    <row collapsed="" customFormat="false" customHeight="1" hidden="" ht="14" outlineLevel="0" r="18557">
      <c r="A18557" s="3" t="inlineStr">
        <is>
          <t>18509</t>
        </is>
      </c>
      <c r="B18557" s="4" t="s">
        <f>=HYPERLINK("http://anyluxury.ru/shop/odezhda/rubashki-polo/rubashka-polo-muzhskaya-summer-170-seriy-melanzh-137911/" , "1379.11 Рубашка поло мужская SUMMER 170 серый меланж, размер M")</f>
      </c>
      <c r="C18557" s="4" t="n">
        <v>1135.00</v>
      </c>
      <c r="D18557" s="4"/>
    </row>
    <row collapsed="" customFormat="false" customHeight="1" hidden="" ht="14" outlineLevel="0" r="18558">
      <c r="A18558" s="3" t="inlineStr">
        <is>
          <t>18510</t>
        </is>
      </c>
      <c r="B18558" s="4" t="s">
        <f>=HYPERLINK("http://anyluxury.ru/shop/odezhda/rubashki-polo/rubashka-polo-muzhskaya-summer-170-seriy-melanzh-137911/" , "1379.11 Рубашка поло мужская SUMMER 170 серый меланж, размер L")</f>
      </c>
      <c r="C18558" s="4" t="n">
        <v>1135.00</v>
      </c>
      <c r="D18558" s="4"/>
    </row>
    <row collapsed="" customFormat="false" customHeight="1" hidden="" ht="14" outlineLevel="0" r="18559">
      <c r="A18559" s="3" t="inlineStr">
        <is>
          <t>18511</t>
        </is>
      </c>
      <c r="B18559" s="4" t="s">
        <f>=HYPERLINK("http://anyluxury.ru/shop/odezhda/rubashki-polo/rubashka-polo-muzhskaya-summer-170-seriy-melanzh-137911/" , "1379.11 Рубашка поло мужская SUMMER 170 серый меланж, размер XL")</f>
      </c>
      <c r="C18559" s="4" t="n">
        <v>1135.00</v>
      </c>
      <c r="D18559" s="4"/>
    </row>
    <row collapsed="" customFormat="false" customHeight="1" hidden="" ht="14" outlineLevel="0" r="18560">
      <c r="A18560" s="3" t="inlineStr">
        <is>
          <t>18512</t>
        </is>
      </c>
      <c r="B18560" s="4" t="s">
        <f>=HYPERLINK("http://anyluxury.ru/shop/odezhda/rubashki-polo/rubashka-polo-muzhskaya-summer-170-seriy-melanzh-137911/" , "1379.11 Рубашка поло мужская SUMMER 170 серый меланж, размер XXL")</f>
      </c>
      <c r="C18560" s="4" t="n">
        <v>1135.00</v>
      </c>
      <c r="D18560" s="4"/>
    </row>
    <row collapsed="" customFormat="false" customHeight="1" hidden="" ht="14" outlineLevel="0" r="18561">
      <c r="A18561" s="3" t="inlineStr">
        <is>
          <t>18513</t>
        </is>
      </c>
      <c r="B18561" s="4" t="s">
        <f>=HYPERLINK("http://anyluxury.ru/shop/odezhda/rubashki-polo/rubashka-polo-muzhskaya-summer-170-temnofioletovaya-137977/" , "1379.77 Рубашка поло мужская SUMMER 170 темно-фиолетовая, размер XS")</f>
      </c>
      <c r="C18561" s="4" t="n">
        <v>1135.00</v>
      </c>
      <c r="D18561" s="4"/>
    </row>
    <row collapsed="" customFormat="false" customHeight="1" hidden="" ht="14" outlineLevel="0" r="18562">
      <c r="A18562" s="3" t="inlineStr">
        <is>
          <t>18514</t>
        </is>
      </c>
      <c r="B18562" s="4" t="s">
        <f>=HYPERLINK("http://anyluxury.ru/shop/odezhda/rubashki-polo/rubashka-polo-muzhskaya-summer-170-temnofioletovaya-137977/" , "1379.77 Рубашка поло мужская SUMMER 170 темно-фиолетовая, размер S")</f>
      </c>
      <c r="C18562" s="4" t="n">
        <v>1135.00</v>
      </c>
      <c r="D18562" s="4"/>
    </row>
    <row collapsed="" customFormat="false" customHeight="1" hidden="" ht="14" outlineLevel="0" r="18563">
      <c r="A18563" s="3" t="inlineStr">
        <is>
          <t>18515</t>
        </is>
      </c>
      <c r="B18563" s="4" t="s">
        <f>=HYPERLINK("http://anyluxury.ru/shop/odezhda/rubashki-polo/rubashka-polo-muzhskaya-summer-170-temnofioletovaya-137977/" , "1379.77 Рубашка поло мужская SUMMER 170 темно-фиолетовая, размер M")</f>
      </c>
      <c r="C18563" s="4" t="n">
        <v>1135.00</v>
      </c>
      <c r="D18563" s="4"/>
    </row>
    <row collapsed="" customFormat="false" customHeight="1" hidden="" ht="14" outlineLevel="0" r="18564">
      <c r="A18564" s="3" t="inlineStr">
        <is>
          <t>18516</t>
        </is>
      </c>
      <c r="B18564" s="4" t="s">
        <f>=HYPERLINK("http://anyluxury.ru/shop/odezhda/rubashki-polo/rubashka-polo-muzhskaya-summer-170-temnofioletovaya-137977/" , "1379.77 Рубашка поло мужская SUMMER 170 темно-фиолетовая, размер XXL")</f>
      </c>
      <c r="C18564" s="4" t="n">
        <v>1135.00</v>
      </c>
      <c r="D18564" s="4"/>
    </row>
    <row collapsed="" customFormat="false" customHeight="1" hidden="" ht="14" outlineLevel="0" r="18565">
      <c r="A18565" s="3" t="inlineStr">
        <is>
          <t>18517</t>
        </is>
      </c>
      <c r="B18565" s="4" t="s">
        <f>=HYPERLINK("http://anyluxury.ru/shop/odezhda/rubashki-polo/rubashka-polo-prince-190-temnosinyaya-s-belim-608546/" , "6085.46 Рубашка поло Prince 190 темно-синяя с белым, размер XS")</f>
      </c>
      <c r="C18565" s="4" t="n">
        <v>2367.00</v>
      </c>
      <c r="D18565" s="4"/>
    </row>
    <row collapsed="" customFormat="false" customHeight="1" hidden="" ht="14" outlineLevel="0" r="18566">
      <c r="A18566" s="3" t="inlineStr">
        <is>
          <t>18518</t>
        </is>
      </c>
      <c r="B18566" s="4" t="s">
        <f>=HYPERLINK("http://anyluxury.ru/shop/odezhda/rubashki-polo/rubashka-polo-prince-190-temnosinyaya-s-belim-608546/" , "6085.46 Рубашка поло Prince 190, темно-синяя с белым, размер S")</f>
      </c>
      <c r="C18566" s="4" t="n">
        <v>2367.00</v>
      </c>
      <c r="D18566" s="4"/>
    </row>
    <row collapsed="" customFormat="false" customHeight="1" hidden="" ht="14" outlineLevel="0" r="18567">
      <c r="A18567" s="3" t="inlineStr">
        <is>
          <t>18519</t>
        </is>
      </c>
      <c r="B18567" s="4" t="s">
        <f>=HYPERLINK("http://anyluxury.ru/shop/odezhda/rubashki-polo/rubashka-polo-prince-190-temnosinyaya-s-belim-608546/" , "6085.46 Рубашка поло Prince 190, темно-синяя с белым, размер M")</f>
      </c>
      <c r="C18567" s="4" t="n">
        <v>2367.00</v>
      </c>
      <c r="D18567" s="4"/>
    </row>
    <row collapsed="" customFormat="false" customHeight="1" hidden="" ht="14" outlineLevel="0" r="18568">
      <c r="A18568" s="3" t="inlineStr">
        <is>
          <t>18520</t>
        </is>
      </c>
      <c r="B18568" s="4" t="s">
        <f>=HYPERLINK("http://anyluxury.ru/shop/odezhda/rubashki-polo/rubashka-polo-prince-190-temnosinyaya-s-belim-608546/" , "6085.46 Рубашка поло Prince 190, темно-синяя с белым, размер L")</f>
      </c>
      <c r="C18568" s="4" t="n">
        <v>2367.00</v>
      </c>
      <c r="D18568" s="4"/>
    </row>
    <row collapsed="" customFormat="false" customHeight="1" hidden="" ht="14" outlineLevel="0" r="18569">
      <c r="A18569" s="3" t="inlineStr">
        <is>
          <t>18521</t>
        </is>
      </c>
      <c r="B18569" s="4" t="s">
        <f>=HYPERLINK("http://anyluxury.ru/shop/odezhda/rubashki-polo/rubashka-polo-prince-190-temnosinyaya-s-belim-608546/" , "6085.46 Рубашка поло Prince 190, темно-синяя с белым, размер XL")</f>
      </c>
      <c r="C18569" s="4" t="n">
        <v>2367.00</v>
      </c>
      <c r="D18569" s="4"/>
    </row>
    <row collapsed="" customFormat="false" customHeight="1" hidden="" ht="14" outlineLevel="0" r="18570">
      <c r="A18570" s="3" t="inlineStr">
        <is>
          <t>18522</t>
        </is>
      </c>
      <c r="B18570" s="4" t="s">
        <f>=HYPERLINK("http://anyluxury.ru/shop/odezhda/rubashki-polo/rubashka-polo-prince-190-temnosinyaya-s-belim-608546/" , "6085.46 Рубашка поло Prince 190, темно-синяя с белым, размер XXL")</f>
      </c>
      <c r="C18570" s="4" t="n">
        <v>2367.00</v>
      </c>
      <c r="D18570" s="4"/>
    </row>
    <row collapsed="" customFormat="false" customHeight="1" hidden="" ht="14" outlineLevel="0" r="18571">
      <c r="A18571" s="3" t="inlineStr">
        <is>
          <t>18523</t>
        </is>
      </c>
      <c r="B18571" s="4" t="s">
        <f>=HYPERLINK("http://anyluxury.ru/shop/odezhda/rubashki-polo/rubashka-polo-prince-190-temnosinyaya-s-belim-608546/" , "6085.46 Рубашка поло Prince 190 темно-синяя с белым, размер XS")</f>
      </c>
      <c r="C18571" s="4" t="n">
        <v>1614.00</v>
      </c>
      <c r="D18571" s="4"/>
    </row>
    <row collapsed="" customFormat="false" customHeight="1" hidden="" ht="14" outlineLevel="0" r="18572">
      <c r="A18572" s="3" t="inlineStr">
        <is>
          <t>18524</t>
        </is>
      </c>
      <c r="B18572" s="4" t="s">
        <f>=HYPERLINK("http://anyluxury.ru/shop/odezhda/rubashki-polo/rubashka-polo-prince-190-temnosinyaya-s-belim-608546/" , "6085.46 Рубашка поло Prince 190, темно-синяя с белым, размер S")</f>
      </c>
      <c r="C18572" s="4" t="n">
        <v>1614.00</v>
      </c>
      <c r="D18572" s="4"/>
    </row>
    <row collapsed="" customFormat="false" customHeight="1" hidden="" ht="14" outlineLevel="0" r="18573">
      <c r="A18573" s="3" t="inlineStr">
        <is>
          <t>18525</t>
        </is>
      </c>
      <c r="B18573" s="4" t="s">
        <f>=HYPERLINK("http://anyluxury.ru/shop/odezhda/rubashki-polo/rubashka-polo-prince-190-temnosinyaya-s-belim-608546/" , "6085.46 Рубашка поло Prince 190, темно-синяя с белым, размер M")</f>
      </c>
      <c r="C18573" s="4" t="n">
        <v>1614.00</v>
      </c>
      <c r="D18573" s="4"/>
    </row>
    <row collapsed="" customFormat="false" customHeight="1" hidden="" ht="14" outlineLevel="0" r="18574">
      <c r="A18574" s="3" t="inlineStr">
        <is>
          <t>18526</t>
        </is>
      </c>
      <c r="B18574" s="4" t="s">
        <f>=HYPERLINK("http://anyluxury.ru/shop/odezhda/rubashki-polo/rubashka-polo-prince-190-temnosinyaya-s-belim-608546/" , "6085.46 Рубашка поло Prince 190, темно-синяя с белым, размер L")</f>
      </c>
      <c r="C18574" s="4" t="n">
        <v>1614.00</v>
      </c>
      <c r="D18574" s="4"/>
    </row>
    <row collapsed="" customFormat="false" customHeight="1" hidden="" ht="14" outlineLevel="0" r="18575">
      <c r="A18575" s="3" t="inlineStr">
        <is>
          <t>18527</t>
        </is>
      </c>
      <c r="B18575" s="4" t="s">
        <f>=HYPERLINK("http://anyluxury.ru/shop/odezhda/rubashki-polo/rubashka-polo-prince-190-temnosinyaya-s-belim-608546/" , "6085.46 Рубашка поло Prince 190, темно-синяя с белым, размер XL")</f>
      </c>
      <c r="C18575" s="4" t="n">
        <v>1614.00</v>
      </c>
      <c r="D18575" s="4"/>
    </row>
    <row collapsed="" customFormat="false" customHeight="1" hidden="" ht="14" outlineLevel="0" r="18576">
      <c r="A18576" s="3" t="inlineStr">
        <is>
          <t>18528</t>
        </is>
      </c>
      <c r="B18576" s="4" t="s">
        <f>=HYPERLINK("http://anyluxury.ru/shop/odezhda/rubashki-polo/rubashka-polo-prince-190-temnosinyaya-s-belim-608546/" , "6085.46 Рубашка поло Prince 190, темно-синяя с белым, размер XXL")</f>
      </c>
      <c r="C18576" s="4" t="n">
        <v>1614.00</v>
      </c>
      <c r="D18576" s="4"/>
    </row>
    <row collapsed="" customFormat="false" customHeight="1" hidden="" ht="14" outlineLevel="0" r="18577">
      <c r="A18577" s="3" t="inlineStr">
        <is>
          <t>18529</t>
        </is>
      </c>
      <c r="B18577" s="4" t="s">
        <f>=HYPERLINK("http://anyluxury.ru/shop/odezhda/rubashki-polo/rubashka-polo-prince-190-zheltaya-s-temnosinim-608584/" , "6085.84 Рубашка поло Prince 190, желтая с темно-синим, размер M")</f>
      </c>
      <c r="C18577" s="4" t="n">
        <v>1834.00</v>
      </c>
      <c r="D18577" s="4"/>
    </row>
    <row collapsed="" customFormat="false" customHeight="1" hidden="" ht="14" outlineLevel="0" r="18578">
      <c r="A18578" s="3" t="inlineStr">
        <is>
          <t>18530</t>
        </is>
      </c>
      <c r="B18578" s="4" t="s">
        <f>=HYPERLINK("http://anyluxury.ru/shop/odezhda/rubashki-polo/rubashka-polo-prince-190-zheltaya-s-temnosinim-608584/" , "6085.84 Рубашка поло Prince 190, желтая с темно-синим, размер XXL")</f>
      </c>
      <c r="C18578" s="4" t="n">
        <v>1834.00</v>
      </c>
      <c r="D18578" s="4"/>
    </row>
    <row collapsed="" customFormat="false" customHeight="1" hidden="" ht="14" outlineLevel="0" r="18579">
      <c r="A18579" s="3" t="inlineStr">
        <is>
          <t>18531</t>
        </is>
      </c>
      <c r="B18579" s="4" t="s">
        <f>=HYPERLINK("http://anyluxury.ru/shop/odezhda/rubashki-polo/rubashka-polo-prince-190-zheltaya-s-temnosinim-608584/" , "6085.84 Рубашка поло Prince 190 желтая с темно-синим, размер XS")</f>
      </c>
      <c r="C18579" s="4" t="n">
        <v>1614.00</v>
      </c>
      <c r="D18579" s="4"/>
    </row>
    <row collapsed="" customFormat="false" customHeight="1" hidden="" ht="14" outlineLevel="0" r="18580">
      <c r="A18580" s="3" t="inlineStr">
        <is>
          <t>18532</t>
        </is>
      </c>
      <c r="B18580" s="4" t="s">
        <f>=HYPERLINK("http://anyluxury.ru/shop/odezhda/rubashki-polo/rubashka-polo-prince-190-zheltaya-s-temnosinim-608584/" , "6085.84 Рубашка поло Prince 190, желтая с темно-синим, размер S")</f>
      </c>
      <c r="C18580" s="4" t="n">
        <v>1614.00</v>
      </c>
      <c r="D18580" s="4"/>
    </row>
    <row collapsed="" customFormat="false" customHeight="1" hidden="" ht="14" outlineLevel="0" r="18581">
      <c r="A18581" s="3" t="inlineStr">
        <is>
          <t>18533</t>
        </is>
      </c>
      <c r="B18581" s="4" t="s">
        <f>=HYPERLINK("http://anyluxury.ru/shop/odezhda/rubashki-polo/rubashka-polo-prince-190-zheltaya-s-temnosinim-608584/" , "6085.84 Рубашка поло Prince 190, желтая с темно-синим, размер M")</f>
      </c>
      <c r="C18581" s="4" t="n">
        <v>1614.00</v>
      </c>
      <c r="D18581" s="4"/>
    </row>
    <row collapsed="" customFormat="false" customHeight="1" hidden="" ht="14" outlineLevel="0" r="18582">
      <c r="A18582" s="3" t="inlineStr">
        <is>
          <t>18534</t>
        </is>
      </c>
      <c r="B18582" s="4" t="s">
        <f>=HYPERLINK("http://anyluxury.ru/shop/odezhda/rubashki-polo/rubashka-polo-prince-190-zheltaya-s-temnosinim-608584/" , "6085.84 Рубашка поло Prince 190, желтая с темно-синим, размер L")</f>
      </c>
      <c r="C18582" s="4" t="n">
        <v>1614.00</v>
      </c>
      <c r="D18582" s="4"/>
    </row>
    <row collapsed="" customFormat="false" customHeight="1" hidden="" ht="14" outlineLevel="0" r="18583">
      <c r="A18583" s="3" t="inlineStr">
        <is>
          <t>18535</t>
        </is>
      </c>
      <c r="B18583" s="4" t="s">
        <f>=HYPERLINK("http://anyluxury.ru/shop/odezhda/rubashki-polo/rubashka-polo-prince-190-zheltaya-s-temnosinim-608584/" , "6085.84 Рубашка поло Prince 190, желтая с темно-синим, размер XL")</f>
      </c>
      <c r="C18583" s="4" t="n">
        <v>1614.00</v>
      </c>
      <c r="D18583" s="4"/>
    </row>
    <row collapsed="" customFormat="false" customHeight="1" hidden="" ht="14" outlineLevel="0" r="18584">
      <c r="A18584" s="3" t="inlineStr">
        <is>
          <t>18536</t>
        </is>
      </c>
      <c r="B18584" s="4" t="s">
        <f>=HYPERLINK("http://anyluxury.ru/shop/odezhda/rubashki-polo/rubashka-polo-prince-190-zheltaya-s-temnosinim-608584/" , "6085.84 Рубашка поло Prince 190, желтая с темно-синим, размер XXL")</f>
      </c>
      <c r="C18584" s="4" t="n">
        <v>1614.00</v>
      </c>
      <c r="D18584" s="4"/>
    </row>
    <row collapsed="" customFormat="false" customHeight="1" hidden="" ht="14" outlineLevel="0" r="18585">
      <c r="A18585" s="3" t="inlineStr">
        <is>
          <t>18537</t>
        </is>
      </c>
      <c r="B18585" s="4" t="s">
        <f>=HYPERLINK("http://anyluxury.ru/shop/odezhda/rubashki-polo/rubashka-polo-prince-190-zheltaya-s-temnosinim-608584/" , "6085.84 Рубашка поло Prince 190 желтая с темно-синим, размер XS")</f>
      </c>
      <c r="C18585" s="4" t="n">
        <v>2340.00</v>
      </c>
      <c r="D18585" s="4"/>
    </row>
    <row collapsed="" customFormat="false" customHeight="1" hidden="" ht="14" outlineLevel="0" r="18586">
      <c r="A18586" s="3" t="inlineStr">
        <is>
          <t>18538</t>
        </is>
      </c>
      <c r="B18586" s="4" t="s">
        <f>=HYPERLINK("http://anyluxury.ru/shop/odezhda/rubashki-polo/rubashka-polo-prince-190-zheltaya-s-temnosinim-608584/" , "6085.84 Рубашка поло Prince 190, желтая с темно-синим, размер S")</f>
      </c>
      <c r="C18586" s="4" t="n">
        <v>2340.00</v>
      </c>
      <c r="D18586" s="4"/>
    </row>
    <row collapsed="" customFormat="false" customHeight="1" hidden="" ht="14" outlineLevel="0" r="18587">
      <c r="A18587" s="3" t="inlineStr">
        <is>
          <t>18539</t>
        </is>
      </c>
      <c r="B18587" s="4" t="s">
        <f>=HYPERLINK("http://anyluxury.ru/shop/odezhda/rubashki-polo/rubashka-polo-prince-190-krasnaya-s-temnosinim-608554/" , "6085.54 Рубашка поло Prince 190 красная с темно-синим, размер XS")</f>
      </c>
      <c r="C18587" s="4" t="n">
        <v>2367.00</v>
      </c>
      <c r="D18587" s="4"/>
    </row>
    <row collapsed="" customFormat="false" customHeight="1" hidden="" ht="14" outlineLevel="0" r="18588">
      <c r="A18588" s="3" t="inlineStr">
        <is>
          <t>18540</t>
        </is>
      </c>
      <c r="B18588" s="4" t="s">
        <f>=HYPERLINK("http://anyluxury.ru/shop/odezhda/rubashki-polo/rubashka-polo-prince-190-krasnaya-s-temnosinim-608554/" , "6085.54 Рубашка поло Prince 190, красная с темно-синим, размер S")</f>
      </c>
      <c r="C18588" s="4" t="n">
        <v>2367.00</v>
      </c>
      <c r="D18588" s="4"/>
    </row>
    <row collapsed="" customFormat="false" customHeight="1" hidden="" ht="14" outlineLevel="0" r="18589">
      <c r="A18589" s="3" t="inlineStr">
        <is>
          <t>18541</t>
        </is>
      </c>
      <c r="B18589" s="4" t="s">
        <f>=HYPERLINK("http://anyluxury.ru/shop/odezhda/rubashki-polo/rubashka-polo-prince-190-krasnaya-s-temnosinim-608554/" , "6085.54 Рубашка поло Prince 190, красная с темно-синим, размер M")</f>
      </c>
      <c r="C18589" s="4" t="n">
        <v>2367.00</v>
      </c>
      <c r="D18589" s="4"/>
    </row>
    <row collapsed="" customFormat="false" customHeight="1" hidden="" ht="14" outlineLevel="0" r="18590">
      <c r="A18590" s="3" t="inlineStr">
        <is>
          <t>18542</t>
        </is>
      </c>
      <c r="B18590" s="4" t="s">
        <f>=HYPERLINK("http://anyluxury.ru/shop/odezhda/rubashki-polo/rubashka-polo-prince-190-krasnaya-s-temnosinim-608554/" , "6085.54 Рубашка поло Prince 190, красная с темно-синим, размер L")</f>
      </c>
      <c r="C18590" s="4" t="n">
        <v>2367.00</v>
      </c>
      <c r="D18590" s="4"/>
    </row>
    <row collapsed="" customFormat="false" customHeight="1" hidden="" ht="14" outlineLevel="0" r="18591">
      <c r="A18591" s="3" t="inlineStr">
        <is>
          <t>18543</t>
        </is>
      </c>
      <c r="B18591" s="4" t="s">
        <f>=HYPERLINK("http://anyluxury.ru/shop/odezhda/rubashki-polo/rubashka-polo-prince-190-krasnaya-s-temnosinim-608554/" , "6085.54 Рубашка поло Prince 190, красная с темно-синим, размер XL")</f>
      </c>
      <c r="C18591" s="4" t="n">
        <v>2367.00</v>
      </c>
      <c r="D18591" s="4"/>
    </row>
    <row collapsed="" customFormat="false" customHeight="1" hidden="" ht="14" outlineLevel="0" r="18592">
      <c r="A18592" s="3" t="inlineStr">
        <is>
          <t>18544</t>
        </is>
      </c>
      <c r="B18592" s="4" t="s">
        <f>=HYPERLINK("http://anyluxury.ru/shop/odezhda/rubashki-polo/rubashka-polo-prince-190-krasnaya-s-temnosinim-608554/" , "6085.54 Рубашка поло Prince 190, красная с темно-синим, размер XXL")</f>
      </c>
      <c r="C18592" s="4" t="n">
        <v>2367.00</v>
      </c>
      <c r="D18592" s="4"/>
    </row>
    <row collapsed="" customFormat="false" customHeight="1" hidden="" ht="14" outlineLevel="0" r="18593">
      <c r="A18593" s="3" t="inlineStr">
        <is>
          <t>18545</t>
        </is>
      </c>
      <c r="B18593" s="4" t="s">
        <f>=HYPERLINK("http://anyluxury.ru/shop/odezhda/rubashki-polo/rubashka-polo-prince-190-krasnaya-s-temnosinim-608554/" , "6085.54 Рубашка поло Prince 190 красная с темно-синим, размер XS")</f>
      </c>
      <c r="C18593" s="4" t="n">
        <v>1614.00</v>
      </c>
      <c r="D18593" s="4"/>
    </row>
    <row collapsed="" customFormat="false" customHeight="1" hidden="" ht="14" outlineLevel="0" r="18594">
      <c r="A18594" s="3" t="inlineStr">
        <is>
          <t>18546</t>
        </is>
      </c>
      <c r="B18594" s="4" t="s">
        <f>=HYPERLINK("http://anyluxury.ru/shop/odezhda/rubashki-polo/rubashka-polo-prince-190-krasnaya-s-temnosinim-608554/" , "6085.54 Рубашка поло Prince 190, красная с темно-синим, размер S")</f>
      </c>
      <c r="C18594" s="4" t="n">
        <v>1614.00</v>
      </c>
      <c r="D18594" s="4"/>
    </row>
    <row collapsed="" customFormat="false" customHeight="1" hidden="" ht="14" outlineLevel="0" r="18595">
      <c r="A18595" s="3" t="inlineStr">
        <is>
          <t>18547</t>
        </is>
      </c>
      <c r="B18595" s="4" t="s">
        <f>=HYPERLINK("http://anyluxury.ru/shop/odezhda/rubashki-polo/rubashka-polo-prince-190-krasnaya-s-temnosinim-608554/" , "6085.54 Рубашка поло Prince 190, красная с темно-синим, размер M")</f>
      </c>
      <c r="C18595" s="4" t="n">
        <v>1614.00</v>
      </c>
      <c r="D18595" s="4"/>
    </row>
    <row collapsed="" customFormat="false" customHeight="1" hidden="" ht="14" outlineLevel="0" r="18596">
      <c r="A18596" s="3" t="inlineStr">
        <is>
          <t>18548</t>
        </is>
      </c>
      <c r="B18596" s="4" t="s">
        <f>=HYPERLINK("http://anyluxury.ru/shop/odezhda/rubashki-polo/rubashka-polo-prince-190-krasnaya-s-temnosinim-608554/" , "6085.54 Рубашка поло Prince 190, красная с темно-синим, размер L")</f>
      </c>
      <c r="C18596" s="4" t="n">
        <v>1614.00</v>
      </c>
      <c r="D18596" s="4"/>
    </row>
    <row collapsed="" customFormat="false" customHeight="1" hidden="" ht="14" outlineLevel="0" r="18597">
      <c r="A18597" s="3" t="inlineStr">
        <is>
          <t>18549</t>
        </is>
      </c>
      <c r="B18597" s="4" t="s">
        <f>=HYPERLINK("http://anyluxury.ru/shop/odezhda/rubashki-polo/rubashka-polo-prince-190-krasnaya-s-temnosinim-608554/" , "6085.54 Рубашка поло Prince 190, красная с темно-синим, размер XL")</f>
      </c>
      <c r="C18597" s="4" t="n">
        <v>1614.00</v>
      </c>
      <c r="D18597" s="4"/>
    </row>
    <row collapsed="" customFormat="false" customHeight="1" hidden="" ht="14" outlineLevel="0" r="18598">
      <c r="A18598" s="3" t="inlineStr">
        <is>
          <t>18550</t>
        </is>
      </c>
      <c r="B18598" s="4" t="s">
        <f>=HYPERLINK("http://anyluxury.ru/shop/odezhda/rubashki-polo/rubashka-polo-prince-190-krasnaya-s-temnosinim-608554/" , "6085.54 Рубашка поло Prince 190, красная с темно-синим, размер XXL")</f>
      </c>
      <c r="C18598" s="4" t="n">
        <v>1614.00</v>
      </c>
      <c r="D18598" s="4"/>
    </row>
    <row collapsed="" customFormat="false" customHeight="1" hidden="" ht="14" outlineLevel="0" r="18599">
      <c r="A18599" s="3" t="inlineStr">
        <is>
          <t>18551</t>
        </is>
      </c>
      <c r="B18599" s="4" t="s">
        <f>=HYPERLINK("http://anyluxury.ru/shop/odezhda/rubashki-polo/rubashka-polo-muzhskaya-s-dlinnim-rukavom-star-170-temnosinyaya-542040/" , "5420.40 Рубашка поло мужская с длинным рукавом STAR 170 темно-синяя, размер S")</f>
      </c>
      <c r="C18599" s="4" t="n">
        <v>1760.00</v>
      </c>
      <c r="D18599" s="4"/>
    </row>
    <row collapsed="" customFormat="false" customHeight="1" hidden="" ht="14" outlineLevel="0" r="18600">
      <c r="A18600" s="3" t="inlineStr">
        <is>
          <t>18552</t>
        </is>
      </c>
      <c r="B18600" s="4" t="s">
        <f>=HYPERLINK("http://anyluxury.ru/shop/odezhda/rubashki-polo/rubashka-polo-zhenskaya-passion-170-zelenoe-yabloko-479894/" , "4798.94 Рубашка поло женская PASSION 170 'зеленое яблоко', размер S")</f>
      </c>
      <c r="C18600" s="4" t="n">
        <v>1108.00</v>
      </c>
      <c r="D18600" s="4"/>
    </row>
    <row collapsed="" customFormat="false" customHeight="1" hidden="" ht="14" outlineLevel="0" r="18601">
      <c r="A18601" s="3" t="inlineStr">
        <is>
          <t>18553</t>
        </is>
      </c>
      <c r="B18601" s="4" t="s">
        <f>=HYPERLINK("http://anyluxury.ru/shop/odezhda/rubashki-polo/rubashka-polo-zhenskaya-passion-170-zelenoe-yabloko-479894/" , "4798.94 Рубашка поло женская PASSION 170 'зеленое яблоко', размер M")</f>
      </c>
      <c r="C18601" s="4" t="n">
        <v>1108.00</v>
      </c>
      <c r="D18601" s="4"/>
    </row>
    <row collapsed="" customFormat="false" customHeight="1" hidden="" ht="14" outlineLevel="0" r="18602">
      <c r="A18602" s="3" t="inlineStr">
        <is>
          <t>18554</t>
        </is>
      </c>
      <c r="B18602" s="4" t="s">
        <f>=HYPERLINK("http://anyluxury.ru/shop/odezhda/rubashki-polo/rubashka-polo-zhenskaya-passion-170-zelenoe-yabloko-479894/" , "4798.94 Рубашка поло женская PASSION 170 'зеленое яблоко', размер XL")</f>
      </c>
      <c r="C18602" s="4" t="n">
        <v>1108.00</v>
      </c>
      <c r="D18602" s="4"/>
    </row>
    <row collapsed="" customFormat="false" customHeight="1" hidden="" ht="14" outlineLevel="0" r="18603">
      <c r="A18603" s="3" t="inlineStr">
        <is>
          <t>18555</t>
        </is>
      </c>
      <c r="B18603" s="4" t="s">
        <f>=HYPERLINK("http://anyluxury.ru/shop/odezhda/rubashki-polo/rubashka-polo-zhenskaya-passion-170-zelenoe-yabloko-479894/" , "4798.94 Рубашка поло женская PASSION 170 зеленое яблоко, размер XXL")</f>
      </c>
      <c r="C18603" s="4" t="n">
        <v>1108.00</v>
      </c>
      <c r="D18603" s="4"/>
    </row>
    <row collapsed="" customFormat="false" customHeight="1" hidden="" ht="14" outlineLevel="0" r="18604">
      <c r="A18604" s="3" t="inlineStr">
        <is>
          <t>18556</t>
        </is>
      </c>
      <c r="B18604" s="4" t="s">
        <f>=HYPERLINK("http://anyluxury.ru/shop/odezhda/rubashki-polo/rubashka-polo-zhenskaya-people-210-zelenoe-yabloko-189594/" , "1895.94 Рубашка поло женская PEOPLE 210 'зеленое яблоко', размер S")</f>
      </c>
      <c r="C18604" s="4" t="n">
        <v>1763.00</v>
      </c>
      <c r="D18604" s="4"/>
    </row>
    <row collapsed="" customFormat="false" customHeight="1" hidden="" ht="14" outlineLevel="0" r="18605">
      <c r="A18605" s="3" t="inlineStr">
        <is>
          <t>18557</t>
        </is>
      </c>
      <c r="B18605" s="4" t="s">
        <f>=HYPERLINK("http://anyluxury.ru/shop/odezhda/rubashki-polo/rubashka-polo-zhenskaya-people-210-zelenoe-yabloko-189594/" , "1895.94 Рубашка поло женская PEOPLE 210 'зеленое яблоко', размер M")</f>
      </c>
      <c r="C18605" s="4" t="n">
        <v>1763.00</v>
      </c>
      <c r="D18605" s="4"/>
    </row>
    <row collapsed="" customFormat="false" customHeight="1" hidden="" ht="14" outlineLevel="0" r="18606">
      <c r="A18606" s="3" t="inlineStr">
        <is>
          <t>18558</t>
        </is>
      </c>
      <c r="B18606" s="4" t="s">
        <f>=HYPERLINK("http://anyluxury.ru/shop/odezhda/rubashki-polo/rubashka-polo-zhenskaya-people-210-zelenoe-yabloko-189594/" , "1895.94 Рубашка поло женская PEOPLE 210 'зеленое яблоко', размер L")</f>
      </c>
      <c r="C18606" s="4" t="n">
        <v>1763.00</v>
      </c>
      <c r="D18606" s="4"/>
    </row>
    <row collapsed="" customFormat="false" customHeight="1" hidden="" ht="14" outlineLevel="0" r="18607">
      <c r="A18607" s="3" t="inlineStr">
        <is>
          <t>18559</t>
        </is>
      </c>
      <c r="B18607" s="4" t="s">
        <f>=HYPERLINK("http://anyluxury.ru/shop/odezhda/rubashki-polo/rubashka-polo-zhenskaya-people-210-zelenoe-yabloko-189594/" , "1895.94 Рубашка поло женская PEOPLE 210 'зеленое яблоко', размер XL")</f>
      </c>
      <c r="C18607" s="4" t="n">
        <v>1763.00</v>
      </c>
      <c r="D18607" s="4"/>
    </row>
    <row collapsed="" customFormat="false" customHeight="1" hidden="" ht="14" outlineLevel="0" r="18608">
      <c r="A18608" s="3" t="inlineStr">
        <is>
          <t>18560</t>
        </is>
      </c>
      <c r="B18608" s="4" t="s">
        <f>=HYPERLINK("http://anyluxury.ru/shop/odezhda/rubashki-polo/rubashka-polo-zhenskaya-people-210-zelenoe-yabloko-189594/" , "1895.94 Рубашка поло женская PEOPLE 210 зеленое яблоко, размер XXL")</f>
      </c>
      <c r="C18608" s="4" t="n">
        <v>1763.00</v>
      </c>
      <c r="D18608" s="4"/>
    </row>
    <row collapsed="" customFormat="false" customHeight="1" hidden="" ht="14" outlineLevel="0" r="18609">
      <c r="A18609" s="3" t="inlineStr">
        <is>
          <t>18561</t>
        </is>
      </c>
      <c r="B18609" s="4" t="s">
        <f>=HYPERLINK("http://anyluxury.ru/shop/odezhda/rubashki-polo/rubashka-polo-muzhskaya-spring-210-zelenoe-yabloko-189894/" , "1898.94 Рубашка поло мужская SPRING 210 зеленое яблоко, размер S")</f>
      </c>
      <c r="C18609" s="4" t="n">
        <v>1768.00</v>
      </c>
      <c r="D18609" s="4"/>
    </row>
    <row collapsed="" customFormat="false" customHeight="1" hidden="" ht="14" outlineLevel="0" r="18610">
      <c r="A18610" s="3" t="inlineStr">
        <is>
          <t>18562</t>
        </is>
      </c>
      <c r="B18610" s="4" t="s">
        <f>=HYPERLINK("http://anyluxury.ru/shop/odezhda/rubashki-polo/rubashka-polo-muzhskaya-spring-210-zelenoe-yabloko-189894/" , "1898.94 Рубашка поло мужская SPRING 210 зеленое яблоко, размер M")</f>
      </c>
      <c r="C18610" s="4" t="n">
        <v>1768.00</v>
      </c>
      <c r="D18610" s="4"/>
    </row>
    <row collapsed="" customFormat="false" customHeight="1" hidden="" ht="14" outlineLevel="0" r="18611">
      <c r="A18611" s="3" t="inlineStr">
        <is>
          <t>18563</t>
        </is>
      </c>
      <c r="B18611" s="4" t="s">
        <f>=HYPERLINK("http://anyluxury.ru/shop/odezhda/rubashki-polo/rubashka-polo-muzhskaya-spring-210-zelenoe-yabloko-189894/" , "1898.94 Рубашка поло мужская SPRING 210 зеленое яблоко, размер L")</f>
      </c>
      <c r="C18611" s="4" t="n">
        <v>1768.00</v>
      </c>
      <c r="D18611" s="4"/>
    </row>
    <row collapsed="" customFormat="false" customHeight="1" hidden="" ht="14" outlineLevel="0" r="18612">
      <c r="A18612" s="3" t="inlineStr">
        <is>
          <t>18564</t>
        </is>
      </c>
      <c r="B18612" s="4" t="s">
        <f>=HYPERLINK("http://anyluxury.ru/shop/odezhda/rubashki-polo/rubashka-polo-muzhskaya-spring-210-zelenoe-yabloko-189894/" , "1898.94 Рубашка поло мужская SPRING 210 зеленое яблоко, размер XL")</f>
      </c>
      <c r="C18612" s="4" t="n">
        <v>1768.00</v>
      </c>
      <c r="D18612" s="4"/>
    </row>
    <row collapsed="" customFormat="false" customHeight="1" hidden="" ht="14" outlineLevel="0" r="18613">
      <c r="A18613" s="3" t="inlineStr">
        <is>
          <t>18565</t>
        </is>
      </c>
      <c r="B18613" s="4" t="s">
        <f>=HYPERLINK("http://anyluxury.ru/shop/odezhda/rubashki-polo/rubashka-polo-muzhskaya-spring-210-zelenoe-yabloko-189894/" , "1898.94 Рубашка поло мужская SPRING 210 зеленое яблоко, размер XXL")</f>
      </c>
      <c r="C18613" s="4" t="n">
        <v>1768.00</v>
      </c>
      <c r="D18613" s="4"/>
    </row>
    <row collapsed="" customFormat="false" customHeight="1" hidden="" ht="14" outlineLevel="0" r="18614">
      <c r="A18614" s="3" t="inlineStr">
        <is>
          <t>18566</t>
        </is>
      </c>
      <c r="B18614" s="4" t="s">
        <f>=HYPERLINK("http://anyluxury.ru/shop/odezhda/rubashki-polo/rubashka-polo-muzhskaya-summer-170-zelenoe-yabloko-137994/" , "1379.94 Рубашка поло мужская SUMMER 170 зеленое яблоко, размер XS")</f>
      </c>
      <c r="C18614" s="4" t="n">
        <v>1135.00</v>
      </c>
      <c r="D18614" s="4"/>
    </row>
    <row collapsed="" customFormat="false" customHeight="1" hidden="" ht="14" outlineLevel="0" r="18615">
      <c r="A18615" s="3" t="inlineStr">
        <is>
          <t>18567</t>
        </is>
      </c>
      <c r="B18615" s="4" t="s">
        <f>=HYPERLINK("http://anyluxury.ru/shop/odezhda/rubashki-polo/rubashka-polo-muzhskaya-summer-170-zelenoe-yabloko-137994/" , "1379.94 Рубашка поло мужская SUMMER 170 зеленое яблоко, размер S")</f>
      </c>
      <c r="C18615" s="4" t="n">
        <v>1135.00</v>
      </c>
      <c r="D18615" s="4"/>
    </row>
    <row collapsed="" customFormat="false" customHeight="1" hidden="" ht="14" outlineLevel="0" r="18616">
      <c r="A18616" s="3" t="inlineStr">
        <is>
          <t>18568</t>
        </is>
      </c>
      <c r="B18616" s="4" t="s">
        <f>=HYPERLINK("http://anyluxury.ru/shop/odezhda/rubashki-polo/rubashka-polo-muzhskaya-summer-170-zelenoe-yabloko-137994/" , "1379.94 Рубашка поло мужская SUMMER 170 зеленое яблоко, размер M")</f>
      </c>
      <c r="C18616" s="4" t="n">
        <v>1135.00</v>
      </c>
      <c r="D18616" s="4"/>
    </row>
    <row collapsed="" customFormat="false" customHeight="1" hidden="" ht="14" outlineLevel="0" r="18617">
      <c r="A18617" s="3" t="inlineStr">
        <is>
          <t>18569</t>
        </is>
      </c>
      <c r="B18617" s="4" t="s">
        <f>=HYPERLINK("http://anyluxury.ru/shop/odezhda/rubashki-polo/rubashka-polo-muzhskaya-summer-170-zelenoe-yabloko-137994/" , "1379.94 Рубашка поло мужская SUMMER 170 зеленое яблоко, размер L")</f>
      </c>
      <c r="C18617" s="4" t="n">
        <v>1135.00</v>
      </c>
      <c r="D18617" s="4"/>
    </row>
    <row collapsed="" customFormat="false" customHeight="1" hidden="" ht="14" outlineLevel="0" r="18618">
      <c r="A18618" s="3" t="inlineStr">
        <is>
          <t>18570</t>
        </is>
      </c>
      <c r="B18618" s="4" t="s">
        <f>=HYPERLINK("http://anyluxury.ru/shop/odezhda/rubashki-polo/rubashka-polo-muzhskaya-summer-170-zelenoe-yabloko-137994/" , "1379.94 Рубашка поло мужская SUMMER 170 зеленое яблоко, размер XL")</f>
      </c>
      <c r="C18618" s="4" t="n">
        <v>1135.00</v>
      </c>
      <c r="D18618" s="4"/>
    </row>
    <row collapsed="" customFormat="false" customHeight="1" hidden="" ht="14" outlineLevel="0" r="18619">
      <c r="A18619" s="3" t="inlineStr">
        <is>
          <t>18571</t>
        </is>
      </c>
      <c r="B18619" s="4" t="s">
        <f>=HYPERLINK("http://anyluxury.ru/shop/odezhda/rubashki-polo/rubashka-polo-muzhskaya-summer-170-zelenoe-yabloko-137994/" , "1379.94 Рубашка поло мужская SUMMER 170 зеленое яблоко, размер XXL")</f>
      </c>
      <c r="C18619" s="4" t="n">
        <v>1135.00</v>
      </c>
      <c r="D18619" s="4"/>
    </row>
    <row collapsed="" customFormat="false" customHeight="1" hidden="" ht="14" outlineLevel="0" r="18620">
      <c r="A18620" s="3" t="inlineStr">
        <is>
          <t>18572</t>
        </is>
      </c>
      <c r="B18620" s="4" t="s">
        <f>=HYPERLINK("http://anyluxury.ru/shop/odezhda/rubashki-polo/rubashka-polo-muzhskaya-summer-170-rozovaya-137915/" , "1379.15 Рубашка поло мужская SUMMER 170 розовая, размер XS")</f>
      </c>
      <c r="C18620" s="4" t="n">
        <v>1135.00</v>
      </c>
      <c r="D18620" s="4"/>
    </row>
    <row collapsed="" customFormat="false" customHeight="1" hidden="" ht="14" outlineLevel="0" r="18621">
      <c r="A18621" s="3" t="inlineStr">
        <is>
          <t>18573</t>
        </is>
      </c>
      <c r="B18621" s="4" t="s">
        <f>=HYPERLINK("http://anyluxury.ru/shop/odezhda/rubashki-polo/rubashka-polo-muzhskaya-summer-170-rozovaya-137915/" , "1379.15 Рубашка поло мужская SUMMER 170 розовая, размер S")</f>
      </c>
      <c r="C18621" s="4" t="n">
        <v>1135.00</v>
      </c>
      <c r="D18621" s="4"/>
    </row>
    <row collapsed="" customFormat="false" customHeight="1" hidden="" ht="14" outlineLevel="0" r="18622">
      <c r="A18622" s="3" t="inlineStr">
        <is>
          <t>18574</t>
        </is>
      </c>
      <c r="B18622" s="4" t="s">
        <f>=HYPERLINK("http://anyluxury.ru/shop/odezhda/rubashki-polo/rubashka-polo-muzhskaya-summer-170-rozovaya-137915/" , "1379.15 Рубашка поло мужская SUMMER 170 розовая, размер XL")</f>
      </c>
      <c r="C18622" s="4" t="n">
        <v>1135.00</v>
      </c>
      <c r="D18622" s="4"/>
    </row>
    <row collapsed="" customFormat="false" customHeight="1" hidden="" ht="14" outlineLevel="0" r="18623">
      <c r="A18623" s="3" t="inlineStr">
        <is>
          <t>18575</t>
        </is>
      </c>
      <c r="B18623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S")</f>
      </c>
      <c r="C18623" s="4" t="n">
        <v>2162.00</v>
      </c>
      <c r="D18623" s="4"/>
    </row>
    <row collapsed="" customFormat="false" customHeight="1" hidden="" ht="14" outlineLevel="0" r="18624">
      <c r="A18624" s="3" t="inlineStr">
        <is>
          <t>18576</t>
        </is>
      </c>
      <c r="B18624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M")</f>
      </c>
      <c r="C18624" s="4" t="n">
        <v>2162.00</v>
      </c>
      <c r="D18624" s="4"/>
    </row>
    <row collapsed="" customFormat="false" customHeight="1" hidden="" ht="14" outlineLevel="0" r="18625">
      <c r="A18625" s="3" t="inlineStr">
        <is>
          <t>18577</t>
        </is>
      </c>
      <c r="B18625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XXL")</f>
      </c>
      <c r="C18625" s="4" t="n">
        <v>2162.00</v>
      </c>
      <c r="D18625" s="4"/>
    </row>
    <row collapsed="" customFormat="false" customHeight="1" hidden="" ht="14" outlineLevel="0" r="18626">
      <c r="A18626" s="3" t="inlineStr">
        <is>
          <t>18578</t>
        </is>
      </c>
      <c r="B18626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 черный/зеленый, размер 3XL")</f>
      </c>
      <c r="C18626" s="4" t="n">
        <v>2590.00</v>
      </c>
      <c r="D18626" s="4"/>
    </row>
    <row collapsed="" customFormat="false" customHeight="1" hidden="" ht="14" outlineLevel="0" r="18627">
      <c r="A18627" s="3" t="inlineStr">
        <is>
          <t>18579</t>
        </is>
      </c>
      <c r="B18627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S")</f>
      </c>
      <c r="C18627" s="4" t="n">
        <v>2162.00</v>
      </c>
      <c r="D18627" s="4"/>
    </row>
    <row collapsed="" customFormat="false" customHeight="1" hidden="" ht="14" outlineLevel="0" r="18628">
      <c r="A18628" s="3" t="inlineStr">
        <is>
          <t>18580</t>
        </is>
      </c>
      <c r="B18628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M")</f>
      </c>
      <c r="C18628" s="4" t="n">
        <v>2162.00</v>
      </c>
      <c r="D18628" s="4"/>
    </row>
    <row collapsed="" customFormat="false" customHeight="1" hidden="" ht="14" outlineLevel="0" r="18629">
      <c r="A18629" s="3" t="inlineStr">
        <is>
          <t>18581</t>
        </is>
      </c>
      <c r="B18629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S")</f>
      </c>
      <c r="C18629" s="4" t="n">
        <v>2125.00</v>
      </c>
      <c r="D18629" s="4"/>
    </row>
    <row collapsed="" customFormat="false" customHeight="1" hidden="" ht="14" outlineLevel="0" r="18630">
      <c r="A18630" s="3" t="inlineStr">
        <is>
          <t>18582</t>
        </is>
      </c>
      <c r="B18630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M")</f>
      </c>
      <c r="C18630" s="4" t="n">
        <v>2125.00</v>
      </c>
      <c r="D18630" s="4"/>
    </row>
    <row collapsed="" customFormat="false" customHeight="1" hidden="" ht="14" outlineLevel="0" r="18631">
      <c r="A18631" s="3" t="inlineStr">
        <is>
          <t>18583</t>
        </is>
      </c>
      <c r="B18631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L")</f>
      </c>
      <c r="C18631" s="4" t="n">
        <v>2125.00</v>
      </c>
      <c r="D18631" s="4"/>
    </row>
    <row collapsed="" customFormat="false" customHeight="1" hidden="" ht="14" outlineLevel="0" r="18632">
      <c r="A18632" s="3" t="inlineStr">
        <is>
          <t>18584</t>
        </is>
      </c>
      <c r="B18632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XL")</f>
      </c>
      <c r="C18632" s="4" t="n">
        <v>2125.00</v>
      </c>
      <c r="D18632" s="4"/>
    </row>
    <row collapsed="" customFormat="false" customHeight="1" hidden="" ht="14" outlineLevel="0" r="18633">
      <c r="A18633" s="3" t="inlineStr">
        <is>
          <t>18585</t>
        </is>
      </c>
      <c r="B18633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XXL")</f>
      </c>
      <c r="C18633" s="4" t="n">
        <v>2125.00</v>
      </c>
      <c r="D18633" s="4"/>
    </row>
    <row collapsed="" customFormat="false" customHeight="1" hidden="" ht="14" outlineLevel="0" r="18634">
      <c r="A18634" s="3" t="inlineStr">
        <is>
          <t>18586</t>
        </is>
      </c>
      <c r="B18634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S")</f>
      </c>
      <c r="C18634" s="4" t="n">
        <v>2125.00</v>
      </c>
      <c r="D18634" s="4"/>
    </row>
    <row collapsed="" customFormat="false" customHeight="1" hidden="" ht="14" outlineLevel="0" r="18635">
      <c r="A18635" s="3" t="inlineStr">
        <is>
          <t>18587</t>
        </is>
      </c>
      <c r="B18635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L")</f>
      </c>
      <c r="C18635" s="4" t="n">
        <v>2125.00</v>
      </c>
      <c r="D18635" s="4"/>
    </row>
    <row collapsed="" customFormat="false" customHeight="1" hidden="" ht="14" outlineLevel="0" r="18636">
      <c r="A18636" s="3" t="inlineStr">
        <is>
          <t>18588</t>
        </is>
      </c>
      <c r="B18636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XL")</f>
      </c>
      <c r="C18636" s="4" t="n">
        <v>2125.00</v>
      </c>
      <c r="D18636" s="4"/>
    </row>
    <row collapsed="" customFormat="false" customHeight="1" hidden="" ht="14" outlineLevel="0" r="18637">
      <c r="A18637" s="3" t="inlineStr">
        <is>
          <t>18589</t>
        </is>
      </c>
      <c r="B18637" s="4" t="s">
        <f>=HYPERLINK("http://anyluxury.ru/shop/odezhda/rubashki-polo/rubashka-polo-stretch-zhenskaya-albatross-chernaya-654830/" , "6548.30 Рубашка поло стретч женская ALBATROSS, черная, размер S")</f>
      </c>
      <c r="C18637" s="4" t="n">
        <v>1371.00</v>
      </c>
      <c r="D18637" s="4"/>
    </row>
    <row collapsed="" customFormat="false" customHeight="1" hidden="" ht="14" outlineLevel="0" r="18638">
      <c r="A18638" s="3" t="inlineStr">
        <is>
          <t>18590</t>
        </is>
      </c>
      <c r="B18638" s="4" t="s">
        <f>=HYPERLINK("http://anyluxury.ru/shop/odezhda/rubashki-polo/rubashka-polo-stretch-zhenskaya-albatross-chernaya-654830/" , "6548.30 Рубашка поло стретч женская ALBATROSS, черная, размер L")</f>
      </c>
      <c r="C18638" s="4" t="n">
        <v>1371.00</v>
      </c>
      <c r="D18638" s="4"/>
    </row>
    <row collapsed="" customFormat="false" customHeight="1" hidden="" ht="14" outlineLevel="0" r="18639">
      <c r="A18639" s="3" t="inlineStr">
        <is>
          <t>18591</t>
        </is>
      </c>
      <c r="B18639" s="4" t="s">
        <f>=HYPERLINK("http://anyluxury.ru/shop/odezhda/rubashki-polo/rubashka-polo-stretch-zhenskaya-albatross-chernaya-654830/" , "6548.30 Рубашка поло стретч женская ALBATROSS, черная, размер XL")</f>
      </c>
      <c r="C18639" s="4" t="n">
        <v>1371.00</v>
      </c>
      <c r="D18639" s="4"/>
    </row>
    <row collapsed="" customFormat="false" customHeight="1" hidden="" ht="14" outlineLevel="0" r="18640">
      <c r="A18640" s="3" t="inlineStr">
        <is>
          <t>18592</t>
        </is>
      </c>
      <c r="B18640" s="4" t="s">
        <f>=HYPERLINK("http://anyluxury.ru/shop/odezhda/rubashki-polo/rubashka-polo-stretch-zhenskaya-albatross-chernaya-654830/" , "6548.30 Рубашка поло стретч женская ALBATROSS, черная, размер XXL")</f>
      </c>
      <c r="C18640" s="4" t="n">
        <v>1371.00</v>
      </c>
      <c r="D18640" s="4"/>
    </row>
    <row collapsed="" customFormat="false" customHeight="1" hidden="" ht="14" outlineLevel="0" r="18641">
      <c r="A18641" s="3" t="inlineStr">
        <is>
          <t>18593</t>
        </is>
      </c>
      <c r="B18641" s="4" t="s">
        <f>=HYPERLINK("http://anyluxury.ru/shop/odezhda/rubashki-polo/rubashka-polo-stretch-zhenskaya-albatross-temnosinyaya-654840/" , "6548.40 Рубашка поло стретч женская ALBATROSS, темно-синяя, размер S")</f>
      </c>
      <c r="C18641" s="4" t="n">
        <v>1371.00</v>
      </c>
      <c r="D18641" s="4"/>
    </row>
    <row collapsed="" customFormat="false" customHeight="1" hidden="" ht="14" outlineLevel="0" r="18642">
      <c r="A18642" s="3" t="inlineStr">
        <is>
          <t>18594</t>
        </is>
      </c>
      <c r="B18642" s="4" t="s">
        <f>=HYPERLINK("http://anyluxury.ru/shop/odezhda/rubashki-polo/rubashka-polo-stretch-zhenskaya-albatross-temnosinyaya-654840/" , "6548.40 Рубашка поло стретч женская ALBATROSS, темно-синяя, размер L")</f>
      </c>
      <c r="C18642" s="4" t="n">
        <v>1371.00</v>
      </c>
      <c r="D18642" s="4"/>
    </row>
    <row collapsed="" customFormat="false" customHeight="1" hidden="" ht="14" outlineLevel="0" r="18643">
      <c r="A18643" s="3" t="inlineStr">
        <is>
          <t>18595</t>
        </is>
      </c>
      <c r="B18643" s="4" t="s">
        <f>=HYPERLINK("http://anyluxury.ru/shop/odezhda/rubashki-polo/rubashka-polo-stretch-zhenskaya-albatross-temnosinyaya-654840/" , "6548.40 Рубашка поло стретч женская ALBATROSS, темно-синяя, размер XL")</f>
      </c>
      <c r="C18643" s="4" t="n">
        <v>1371.00</v>
      </c>
      <c r="D18643" s="4"/>
    </row>
    <row collapsed="" customFormat="false" customHeight="1" hidden="" ht="14" outlineLevel="0" r="18644">
      <c r="A18644" s="3" t="inlineStr">
        <is>
          <t>18596</t>
        </is>
      </c>
      <c r="B18644" s="4" t="s">
        <f>=HYPERLINK("http://anyluxury.ru/shop/odezhda/rubashki-polo/rubashka-polo-stretch-zhenskaya-albatross-temnosinyaya-654840/" , "6548.40 Рубашка поло стретч женская ALBATROSS, темно-синяя, размер XXL")</f>
      </c>
      <c r="C18644" s="4" t="n">
        <v>1371.00</v>
      </c>
      <c r="D18644" s="4"/>
    </row>
    <row collapsed="" customFormat="false" customHeight="1" hidden="" ht="14" outlineLevel="0" r="18645">
      <c r="A18645" s="3" t="inlineStr">
        <is>
          <t>18597</t>
        </is>
      </c>
      <c r="B18645" s="4" t="s">
        <f>=HYPERLINK("http://anyluxury.ru/shop/odezhda/rubashki-polo/rubashka-polo-stretch-zhenskaya-albatross-krasnaya-654850/" , "6548.50 Рубашка поло стретч женская ALBATROSS, красная, размер S")</f>
      </c>
      <c r="C18645" s="4" t="n">
        <v>1375.00</v>
      </c>
      <c r="D18645" s="4"/>
    </row>
    <row collapsed="" customFormat="false" customHeight="1" hidden="" ht="14" outlineLevel="0" r="18646">
      <c r="A18646" s="3" t="inlineStr">
        <is>
          <t>18598</t>
        </is>
      </c>
      <c r="B18646" s="4" t="s">
        <f>=HYPERLINK("http://anyluxury.ru/shop/odezhda/rubashki-polo/rubashka-polo-stretch-zhenskaya-albatross-krasnaya-654850/" , "6548.50 Рубашка поло стретч женская ALBATROSS, красная, размер L")</f>
      </c>
      <c r="C18646" s="4" t="n">
        <v>1375.00</v>
      </c>
      <c r="D18646" s="4"/>
    </row>
    <row collapsed="" customFormat="false" customHeight="1" hidden="" ht="14" outlineLevel="0" r="18647">
      <c r="A18647" s="3" t="inlineStr">
        <is>
          <t>18599</t>
        </is>
      </c>
      <c r="B18647" s="4" t="s">
        <f>=HYPERLINK("http://anyluxury.ru/shop/odezhda/rubashki-polo/rubashka-polo-stretch-zhenskaya-albatross-krasnaya-654850/" , "6548.50 Рубашка поло стретч женская ALBATROSS, красная, размер XL")</f>
      </c>
      <c r="C18647" s="4" t="n">
        <v>1375.00</v>
      </c>
      <c r="D18647" s="4"/>
    </row>
    <row collapsed="" customFormat="false" customHeight="1" hidden="" ht="14" outlineLevel="0" r="18648">
      <c r="A18648" s="3" t="inlineStr">
        <is>
          <t>18600</t>
        </is>
      </c>
      <c r="B18648" s="4" t="s">
        <f>=HYPERLINK("http://anyluxury.ru/shop/odezhda/rubashki-polo/rubashka-polo-stretch-zhenskaya-albatross-krasnaya-654850/" , "6548.50 Рубашка поло стретч женская ALBATROSS, красная, размер XXL")</f>
      </c>
      <c r="C18648" s="4" t="n">
        <v>1375.00</v>
      </c>
      <c r="D18648" s="4"/>
    </row>
    <row collapsed="" customFormat="false" customHeight="1" hidden="" ht="14" outlineLevel="0" r="18649">
      <c r="A18649" s="3" t="inlineStr">
        <is>
          <t>18601</t>
        </is>
      </c>
      <c r="B18649" s="4" t="s">
        <f>=HYPERLINK("http://anyluxury.ru/shop/odezhda/rubashki-polo/rubashka-polo-muzhskaya-anderson-krasnaya-655150/" , "6551.50 Рубашка поло мужская ANDERSON, красная, размер XXL")</f>
      </c>
      <c r="C18649" s="4" t="n">
        <v>3672.00</v>
      </c>
      <c r="D18649" s="4"/>
    </row>
    <row collapsed="" customFormat="false" customHeight="1" hidden="" ht="14" outlineLevel="0" r="18650">
      <c r="A18650" s="3" t="inlineStr">
        <is>
          <t>18602</t>
        </is>
      </c>
      <c r="B18650" s="4" t="s">
        <f>=HYPERLINK("http://anyluxury.ru/shop/odezhda/rubashki-polo/rubashka-polo-muzhskaya-anderson-krasnaya-655150/" , "6551.50 Рубашка поло мужская ANDERSON, красная, размер 3XL")</f>
      </c>
      <c r="C18650" s="4" t="n">
        <v>3889.00</v>
      </c>
      <c r="D18650" s="4"/>
    </row>
    <row collapsed="" customFormat="false" customHeight="1" hidden="" ht="14" outlineLevel="0" r="18651">
      <c r="A18651" s="3" t="inlineStr">
        <is>
          <t>18603</t>
        </is>
      </c>
      <c r="B18651" s="4" t="s">
        <f>=HYPERLINK("http://anyluxury.ru/shop/odezhda/rubashki-polo/rubashka-polo-muzhskaya-anderson-belaya-655160/" , "6551.60 Рубашка поло мужская ANDERSON, белая, размер S")</f>
      </c>
      <c r="C18651" s="4" t="n">
        <v>3672.00</v>
      </c>
      <c r="D18651" s="4"/>
    </row>
    <row collapsed="" customFormat="false" customHeight="1" hidden="" ht="14" outlineLevel="0" r="18652">
      <c r="A18652" s="3" t="inlineStr">
        <is>
          <t>18604</t>
        </is>
      </c>
      <c r="B18652" s="4" t="s">
        <f>=HYPERLINK("http://anyluxury.ru/shop/odezhda/rubashki-polo/rubashka-polo-muzhskaya-anderson-belaya-655160/" , "6551.60 Рубашка поло мужская ANDERSON, белая, размер M")</f>
      </c>
      <c r="C18652" s="4" t="n">
        <v>3672.00</v>
      </c>
      <c r="D18652" s="4"/>
    </row>
    <row collapsed="" customFormat="false" customHeight="1" hidden="" ht="14" outlineLevel="0" r="18653">
      <c r="A18653" s="3" t="inlineStr">
        <is>
          <t>18605</t>
        </is>
      </c>
      <c r="B18653" s="4" t="s">
        <f>=HYPERLINK("http://anyluxury.ru/shop/odezhda/rubashki-polo/rubashka-polo-zhenskaya-antreville-chernaya-655230/" , "6552.30 Рубашка поло женская ANTREVILLE, черная, размер S")</f>
      </c>
      <c r="C18653" s="4" t="n">
        <v>3257.00</v>
      </c>
      <c r="D18653" s="4"/>
    </row>
    <row collapsed="" customFormat="false" customHeight="1" hidden="" ht="14" outlineLevel="0" r="18654">
      <c r="A18654" s="3" t="inlineStr">
        <is>
          <t>18606</t>
        </is>
      </c>
      <c r="B18654" s="4" t="s">
        <f>=HYPERLINK("http://anyluxury.ru/shop/odezhda/rubashki-polo/rubashka-polo-zhenskaya-antreville-chernaya-655230/" , "6552.30 Рубашка поло женская ANTREVILLE, черная, размер M")</f>
      </c>
      <c r="C18654" s="4" t="n">
        <v>3257.00</v>
      </c>
      <c r="D18654" s="4"/>
    </row>
    <row collapsed="" customFormat="false" customHeight="1" hidden="" ht="14" outlineLevel="0" r="18655">
      <c r="A18655" s="3" t="inlineStr">
        <is>
          <t>18607</t>
        </is>
      </c>
      <c r="B18655" s="4" t="s">
        <f>=HYPERLINK("http://anyluxury.ru/shop/odezhda/rubashki-polo/rubashka-polo-zhenskaya-antreville-chernaya-655230/" , "6552.30 Рубашка поло женская ANTREVILLE, черная, размер L")</f>
      </c>
      <c r="C18655" s="4" t="n">
        <v>3257.00</v>
      </c>
      <c r="D18655" s="4"/>
    </row>
    <row collapsed="" customFormat="false" customHeight="1" hidden="" ht="14" outlineLevel="0" r="18656">
      <c r="A18656" s="3" t="inlineStr">
        <is>
          <t>18608</t>
        </is>
      </c>
      <c r="B18656" s="4" t="s">
        <f>=HYPERLINK("http://anyluxury.ru/shop/odezhda/rubashki-polo/rubashka-polo-zhenskaya-antreville-chernaya-655230/" , "6552.30 Рубашка поло женская ANTREVILLE, черная, размер XL")</f>
      </c>
      <c r="C18656" s="4" t="n">
        <v>3257.00</v>
      </c>
      <c r="D18656" s="4"/>
    </row>
    <row collapsed="" customFormat="false" customHeight="1" hidden="" ht="14" outlineLevel="0" r="18657">
      <c r="A18657" s="3" t="inlineStr">
        <is>
          <t>18609</t>
        </is>
      </c>
      <c r="B18657" s="4" t="s">
        <f>=HYPERLINK("http://anyluxury.ru/shop/odezhda/rubashki-polo/rubashka-polo-zhenskaya-antreville-chernaya-655230/" , "6552.30 Рубашка поло женская ANTREVILLE, черная, размер XXL")</f>
      </c>
      <c r="C18657" s="4" t="n">
        <v>3257.00</v>
      </c>
      <c r="D18657" s="4"/>
    </row>
    <row collapsed="" customFormat="false" customHeight="1" hidden="" ht="14" outlineLevel="0" r="18658">
      <c r="A18658" s="3" t="inlineStr">
        <is>
          <t>18610</t>
        </is>
      </c>
      <c r="B18658" s="4" t="s">
        <f>=HYPERLINK("http://anyluxury.ru/shop/odezhda/rubashki-polo/rubashka-polo-zhenskaya-antreville-temnosinyaya-655240/" , "6552.40 Рубашка поло женская ANTREVILLE, темно-синяя, размер S")</f>
      </c>
      <c r="C18658" s="4" t="n">
        <v>3257.00</v>
      </c>
      <c r="D18658" s="4"/>
    </row>
    <row collapsed="" customFormat="false" customHeight="1" hidden="" ht="14" outlineLevel="0" r="18659">
      <c r="A18659" s="3" t="inlineStr">
        <is>
          <t>18611</t>
        </is>
      </c>
      <c r="B18659" s="4" t="s">
        <f>=HYPERLINK("http://anyluxury.ru/shop/odezhda/rubashki-polo/rubashka-polo-zhenskaya-antreville-temnosinyaya-655240/" , "6552.40 Рубашка поло женская ANTREVILLE, темно-синяя, размер M")</f>
      </c>
      <c r="C18659" s="4" t="n">
        <v>3257.00</v>
      </c>
      <c r="D18659" s="4"/>
    </row>
    <row collapsed="" customFormat="false" customHeight="1" hidden="" ht="14" outlineLevel="0" r="18660">
      <c r="A18660" s="3" t="inlineStr">
        <is>
          <t>18612</t>
        </is>
      </c>
      <c r="B18660" s="4" t="s">
        <f>=HYPERLINK("http://anyluxury.ru/shop/odezhda/rubashki-polo/rubashka-polo-zhenskaya-antreville-temnosinyaya-655240/" , "6552.40 Рубашка поло женская ANTREVILLE, темно-синяя, размер L")</f>
      </c>
      <c r="C18660" s="4" t="n">
        <v>3257.00</v>
      </c>
      <c r="D18660" s="4"/>
    </row>
    <row collapsed="" customFormat="false" customHeight="1" hidden="" ht="14" outlineLevel="0" r="18661">
      <c r="A18661" s="3" t="inlineStr">
        <is>
          <t>18613</t>
        </is>
      </c>
      <c r="B18661" s="4" t="s">
        <f>=HYPERLINK("http://anyluxury.ru/shop/odezhda/rubashki-polo/rubashka-polo-zhenskaya-antreville-temnosinyaya-655240/" , "6552.40 Рубашка поло женская ANTREVILLE, темно-синяя, размер XL")</f>
      </c>
      <c r="C18661" s="4" t="n">
        <v>3257.00</v>
      </c>
      <c r="D18661" s="4"/>
    </row>
    <row collapsed="" customFormat="false" customHeight="1" hidden="" ht="14" outlineLevel="0" r="18662">
      <c r="A18662" s="3" t="inlineStr">
        <is>
          <t>18614</t>
        </is>
      </c>
      <c r="B18662" s="4" t="s">
        <f>=HYPERLINK("http://anyluxury.ru/shop/odezhda/rubashki-polo/rubashka-polo-zhenskaya-antreville-temnosinyaya-655240/" , "6552.40 Рубашка поло женская ANTREVILLE, темно-синяя, размер XXL")</f>
      </c>
      <c r="C18662" s="4" t="n">
        <v>3257.00</v>
      </c>
      <c r="D18662" s="4"/>
    </row>
    <row collapsed="" customFormat="false" customHeight="1" hidden="" ht="14" outlineLevel="0" r="18663">
      <c r="A18663" s="3" t="inlineStr">
        <is>
          <t>18615</t>
        </is>
      </c>
      <c r="B18663" s="4" t="s">
        <f>=HYPERLINK("http://anyluxury.ru/shop/odezhda/rubashki-polo/rubashka-polo-zhenskaya-antreville-krasnaya-655250/" , "6552.50 Рубашка поло женская ANTREVILLE, красная, размер S")</f>
      </c>
      <c r="C18663" s="4" t="n">
        <v>3257.00</v>
      </c>
      <c r="D18663" s="4"/>
    </row>
    <row collapsed="" customFormat="false" customHeight="1" hidden="" ht="14" outlineLevel="0" r="18664">
      <c r="A18664" s="3" t="inlineStr">
        <is>
          <t>18616</t>
        </is>
      </c>
      <c r="B18664" s="4" t="s">
        <f>=HYPERLINK("http://anyluxury.ru/shop/odezhda/rubashki-polo/rubashka-polo-zhenskaya-antreville-krasnaya-655250/" , "6552.50 Рубашка поло женская ANTREVILLE, красная, размер XXL")</f>
      </c>
      <c r="C18664" s="4" t="n">
        <v>3257.00</v>
      </c>
      <c r="D18664" s="4"/>
    </row>
    <row collapsed="" customFormat="false" customHeight="1" hidden="" ht="14" outlineLevel="0" r="18665">
      <c r="A18665" s="3" t="inlineStr">
        <is>
          <t>18617</t>
        </is>
      </c>
      <c r="B18665" s="4" t="s">
        <f>=HYPERLINK("http://anyluxury.ru/shop/odezhda/rubashki-polo/rubashka-polo-zhenskaya-antreville-belaya-655260/" , "6552.60 Рубашка поло женская ANTREVILLE, белая, размер S")</f>
      </c>
      <c r="C18665" s="4" t="n">
        <v>3257.00</v>
      </c>
      <c r="D18665" s="4"/>
    </row>
    <row collapsed="" customFormat="false" customHeight="1" hidden="" ht="14" outlineLevel="0" r="18666">
      <c r="A18666" s="3" t="inlineStr">
        <is>
          <t>18618</t>
        </is>
      </c>
      <c r="B18666" s="4" t="s">
        <f>=HYPERLINK("http://anyluxury.ru/shop/odezhda/rubashki-polo/rubashka-polo-zhenskaya-antreville-belaya-655260/" , "6552.60 Рубашка поло женская ANTREVILLE, белая, размер M")</f>
      </c>
      <c r="C18666" s="4" t="n">
        <v>3257.00</v>
      </c>
      <c r="D18666" s="4"/>
    </row>
    <row collapsed="" customFormat="false" customHeight="1" hidden="" ht="14" outlineLevel="0" r="18667">
      <c r="A18667" s="3" t="inlineStr">
        <is>
          <t>18619</t>
        </is>
      </c>
      <c r="B18667" s="4" t="s">
        <f>=HYPERLINK("http://anyluxury.ru/shop/odezhda/rubashki-polo/rubashka-polo-zhenskaya-antreville-belaya-655260/" , "6552.60 Рубашка поло женская ANTREVILLE, белая, размер L")</f>
      </c>
      <c r="C18667" s="4" t="n">
        <v>3257.00</v>
      </c>
      <c r="D18667" s="4"/>
    </row>
    <row collapsed="" customFormat="false" customHeight="1" hidden="" ht="14" outlineLevel="0" r="18668">
      <c r="A18668" s="3" t="inlineStr">
        <is>
          <t>18620</t>
        </is>
      </c>
      <c r="B18668" s="4" t="s">
        <f>=HYPERLINK("http://anyluxury.ru/shop/odezhda/rubashki-polo/rubashka-polo-zhenskaya-antreville-belaya-655260/" , "6552.60 Рубашка поло женская ANTREVILLE, белая, размер XL")</f>
      </c>
      <c r="C18668" s="4" t="n">
        <v>3257.00</v>
      </c>
      <c r="D18668" s="4"/>
    </row>
    <row collapsed="" customFormat="false" customHeight="1" hidden="" ht="14" outlineLevel="0" r="18669">
      <c r="A18669" s="3" t="inlineStr">
        <is>
          <t>18621</t>
        </is>
      </c>
      <c r="B18669" s="4" t="s">
        <f>=HYPERLINK("http://anyluxury.ru/shop/odezhda/rubashki-polo/rubashka-polo-zhenskaya-antreville-belaya-655260/" , "6552.60 Рубашка поло женская ANTREVILLE, белая, размер XXL")</f>
      </c>
      <c r="C18669" s="4" t="n">
        <v>3257.00</v>
      </c>
      <c r="D18669" s="4"/>
    </row>
    <row collapsed="" customFormat="false" customHeight="1" hidden="" ht="14" outlineLevel="0" r="18670">
      <c r="A18670" s="3" t="inlineStr">
        <is>
          <t>18622</t>
        </is>
      </c>
      <c r="B18670" s="4" t="s">
        <f>=HYPERLINK("http://anyluxury.ru/shop/odezhda/rubashki-polo/rubashka-polo-zhenskaya-avon-ladies-chernaya-655330/" , "6553.30 Рубашка поло женская AVON LADIES, черная, размер XL")</f>
      </c>
      <c r="C18670" s="4" t="n">
        <v>3123.00</v>
      </c>
      <c r="D18670" s="4"/>
    </row>
    <row collapsed="" customFormat="false" customHeight="1" hidden="" ht="14" outlineLevel="0" r="18671">
      <c r="A18671" s="3" t="inlineStr">
        <is>
          <t>18623</t>
        </is>
      </c>
      <c r="B18671" s="4" t="s">
        <f>=HYPERLINK("http://anyluxury.ru/shop/odezhda/rubashki-polo/rubashka-polo-zhenskaya-avon-ladies-chernaya-655330/" , "6553.30 Рубашка поло женская AVON LADIES, черная, размер XXL")</f>
      </c>
      <c r="C18671" s="4" t="n">
        <v>3123.00</v>
      </c>
      <c r="D18671" s="4"/>
    </row>
    <row collapsed="" customFormat="false" customHeight="1" hidden="" ht="14" outlineLevel="0" r="18672">
      <c r="A18672" s="3" t="inlineStr">
        <is>
          <t>18624</t>
        </is>
      </c>
      <c r="B18672" s="4" t="s">
        <f>=HYPERLINK("http://anyluxury.ru/shop/odezhda/rubashki-polo/rubashka-polo-zhenskaya-avon-ladies-temnosinyaya-655340/" , "6553.40 Рубашка поло женская AVON LADIES, темно-синяя, размер L")</f>
      </c>
      <c r="C18672" s="4" t="n">
        <v>3123.00</v>
      </c>
      <c r="D18672" s="4"/>
    </row>
    <row collapsed="" customFormat="false" customHeight="1" hidden="" ht="14" outlineLevel="0" r="18673">
      <c r="A18673" s="3" t="inlineStr">
        <is>
          <t>18625</t>
        </is>
      </c>
      <c r="B18673" s="4" t="s">
        <f>=HYPERLINK("http://anyluxury.ru/shop/odezhda/rubashki-polo/rubashka-polo-zhenskaya-avon-ladies-temnosinyaya-655340/" , "6553.40 Рубашка поло женская AVON LADIES, темно-синяя, размер XL")</f>
      </c>
      <c r="C18673" s="4" t="n">
        <v>3123.00</v>
      </c>
      <c r="D18673" s="4"/>
    </row>
    <row collapsed="" customFormat="false" customHeight="1" hidden="" ht="14" outlineLevel="0" r="18674">
      <c r="A18674" s="3" t="inlineStr">
        <is>
          <t>18626</t>
        </is>
      </c>
      <c r="B18674" s="4" t="s">
        <f>=HYPERLINK("http://anyluxury.ru/shop/odezhda/rubashki-polo/rubashka-polo-zhenskaya-avon-ladies-krasnaya-655350/" , "6553.50 Рубашка поло женская AVON LADIES, красная, размер S")</f>
      </c>
      <c r="C18674" s="4" t="n">
        <v>3123.00</v>
      </c>
      <c r="D18674" s="4"/>
    </row>
    <row collapsed="" customFormat="false" customHeight="1" hidden="" ht="14" outlineLevel="0" r="18675">
      <c r="A18675" s="3" t="inlineStr">
        <is>
          <t>18627</t>
        </is>
      </c>
      <c r="B18675" s="4" t="s">
        <f>=HYPERLINK("http://anyluxury.ru/shop/odezhda/rubashki-polo/rubashka-polo-zhenskaya-avon-ladies-krasnaya-655350/" , "6553.50 Рубашка поло женская AVON LADIES, красная, размер M")</f>
      </c>
      <c r="C18675" s="4" t="n">
        <v>3123.00</v>
      </c>
      <c r="D18675" s="4"/>
    </row>
    <row collapsed="" customFormat="false" customHeight="1" hidden="" ht="14" outlineLevel="0" r="18676">
      <c r="A18676" s="3" t="inlineStr">
        <is>
          <t>18628</t>
        </is>
      </c>
      <c r="B18676" s="4" t="s">
        <f>=HYPERLINK("http://anyluxury.ru/shop/odezhda/rubashki-polo/rubashka-polo-zhenskaya-avon-ladies-krasnaya-655350/" , "6553.50 Рубашка поло женская AVON LADIES, красная, размер L")</f>
      </c>
      <c r="C18676" s="4" t="n">
        <v>3123.00</v>
      </c>
      <c r="D18676" s="4"/>
    </row>
    <row collapsed="" customFormat="false" customHeight="1" hidden="" ht="14" outlineLevel="0" r="18677">
      <c r="A18677" s="3" t="inlineStr">
        <is>
          <t>18629</t>
        </is>
      </c>
      <c r="B18677" s="4" t="s">
        <f>=HYPERLINK("http://anyluxury.ru/shop/odezhda/rubashki-polo/rubashka-polo-zhenskaya-avon-ladies-krasnaya-655350/" , "6553.50 Рубашка поло женская AVON LADIES, красная, размер XL")</f>
      </c>
      <c r="C18677" s="4" t="n">
        <v>3123.00</v>
      </c>
      <c r="D18677" s="4"/>
    </row>
    <row collapsed="" customFormat="false" customHeight="1" hidden="" ht="14" outlineLevel="0" r="18678">
      <c r="A18678" s="3" t="inlineStr">
        <is>
          <t>18630</t>
        </is>
      </c>
      <c r="B18678" s="4" t="s">
        <f>=HYPERLINK("http://anyluxury.ru/shop/odezhda/rubashki-polo/rubashka-polo-zhenskaya-avon-ladies-krasnaya-655350/" , "6553.50 Рубашка поло женская AVON LADIES, красная, размер XXL")</f>
      </c>
      <c r="C18678" s="4" t="n">
        <v>3123.00</v>
      </c>
      <c r="D18678" s="4"/>
    </row>
    <row collapsed="" customFormat="false" customHeight="1" hidden="" ht="14" outlineLevel="0" r="18679">
      <c r="A18679" s="3" t="inlineStr">
        <is>
          <t>18631</t>
        </is>
      </c>
      <c r="B18679" s="4" t="s">
        <f>=HYPERLINK("http://anyluxury.ru/shop/odezhda/rubashki-polo/rubashka-polo-zhenskaya-avon-ladies-belaya-655360/" , "6553.60 Рубашка поло женская AVON LADIES, белая, размер L")</f>
      </c>
      <c r="C18679" s="4" t="n">
        <v>3123.00</v>
      </c>
      <c r="D18679" s="4"/>
    </row>
    <row collapsed="" customFormat="false" customHeight="1" hidden="" ht="14" outlineLevel="0" r="18680">
      <c r="A18680" s="3" t="inlineStr">
        <is>
          <t>18632</t>
        </is>
      </c>
      <c r="B18680" s="4" t="s">
        <f>=HYPERLINK("http://anyluxury.ru/shop/odezhda/rubashki-polo/rubashka-polo-zhenskaya-avon-ladies-belaya-655360/" , "6553.60 Рубашка поло женская AVON LADIES, белая, размер XL")</f>
      </c>
      <c r="C18680" s="4" t="n">
        <v>3123.00</v>
      </c>
      <c r="D18680" s="4"/>
    </row>
    <row collapsed="" customFormat="false" customHeight="1" hidden="" ht="14" outlineLevel="0" r="18681">
      <c r="A18681" s="3" t="inlineStr">
        <is>
          <t>18633</t>
        </is>
      </c>
      <c r="B18681" s="4" t="s">
        <f>=HYPERLINK("http://anyluxury.ru/shop/odezhda/rubashki-polo/rubashka-polo-zhenskaya-avon-ladies-belaya-655360/" , "6553.60 Рубашка поло женская AVON LADIES, белая, размер XXL")</f>
      </c>
      <c r="C18681" s="4" t="n">
        <v>3123.00</v>
      </c>
      <c r="D18681" s="4"/>
    </row>
    <row collapsed="" customFormat="false" customHeight="1" hidden="" ht="14" outlineLevel="0" r="18682">
      <c r="A18682" s="3" t="inlineStr">
        <is>
          <t>18634</t>
        </is>
      </c>
      <c r="B18682" s="4" t="s">
        <f>=HYPERLINK("http://anyluxury.ru/shop/odezhda/rubashki-polo/rubashka-polo-stretch-muzhskaya-eagle-krasnaya-655550/" , "6555.50 Рубашка поло стретч мужская EAGLE, красная, размер S")</f>
      </c>
      <c r="C18682" s="4" t="n">
        <v>1549.00</v>
      </c>
      <c r="D18682" s="4"/>
    </row>
    <row collapsed="" customFormat="false" customHeight="1" hidden="" ht="14" outlineLevel="0" r="18683">
      <c r="A18683" s="3" t="inlineStr">
        <is>
          <t>18635</t>
        </is>
      </c>
      <c r="B18683" s="4" t="s">
        <f>=HYPERLINK("http://anyluxury.ru/shop/odezhda/rubashki-polo/rubashka-polo-stretch-muzhskaya-eagle-belaya-655560/" , "6555.60 Рубашка поло стретч мужская EAGLE, белая, размер S")</f>
      </c>
      <c r="C18683" s="4" t="n">
        <v>1549.00</v>
      </c>
      <c r="D18683" s="4"/>
    </row>
    <row collapsed="" customFormat="false" customHeight="1" hidden="" ht="14" outlineLevel="0" r="18684">
      <c r="A18684" s="3" t="inlineStr">
        <is>
          <t>18636</t>
        </is>
      </c>
      <c r="B18684" s="4" t="s">
        <f>=HYPERLINK("http://anyluxury.ru/shop/odezhda/rubashki-polo/rubashka-polo-stretch-muzhskaya-eagle-belaya-655560/" , "6555.60 Рубашка поло стретч мужская EAGLE, белая, размер 3XL")</f>
      </c>
      <c r="C18684" s="4" t="n">
        <v>1550.00</v>
      </c>
      <c r="D18684" s="4"/>
    </row>
    <row collapsed="" customFormat="false" customHeight="1" hidden="" ht="14" outlineLevel="0" r="18685">
      <c r="A18685" s="3" t="inlineStr">
        <is>
          <t>18637</t>
        </is>
      </c>
      <c r="B18685" s="4" t="s">
        <f>=HYPERLINK("http://anyluxury.ru/shop/odezhda/rubashki-polo/rubashka-polo-stretch-muzhskaya-eagle-lilovaya-655575/" , "6555.75 Рубашка поло стретч мужская EAGLE, лиловая, размер L")</f>
      </c>
      <c r="C18685" s="4" t="n">
        <v>1552.00</v>
      </c>
      <c r="D18685" s="4"/>
    </row>
    <row collapsed="" customFormat="false" customHeight="1" hidden="" ht="14" outlineLevel="0" r="18686">
      <c r="A18686" s="3" t="inlineStr">
        <is>
          <t>18638</t>
        </is>
      </c>
      <c r="B18686" s="4" t="s">
        <f>=HYPERLINK("http://anyluxury.ru/shop/odezhda/rubashki-polo/rubashka-polo-stretch-muzhskaya-eagle-lilovaya-655575/" , "6555.75 Рубашка поло стретч мужская EAGLE, лиловая, размер XL")</f>
      </c>
      <c r="C18686" s="4" t="n">
        <v>1552.00</v>
      </c>
      <c r="D18686" s="4"/>
    </row>
    <row collapsed="" customFormat="false" customHeight="1" hidden="" ht="14" outlineLevel="0" r="18687">
      <c r="A18687" s="3" t="inlineStr">
        <is>
          <t>18639</t>
        </is>
      </c>
      <c r="B18687" s="4" t="s">
        <f>=HYPERLINK("http://anyluxury.ru/shop/odezhda/rubashki-polo/rubashka-polo-stretch-muzhskaya-eagle-lilovaya-655575/" , "6555.75 Рубашка поло стретч мужская EAGLE, лиловая, размер XXL")</f>
      </c>
      <c r="C18687" s="4" t="n">
        <v>1550.00</v>
      </c>
      <c r="D18687" s="4"/>
    </row>
    <row collapsed="" customFormat="false" customHeight="1" hidden="" ht="14" outlineLevel="0" r="18688">
      <c r="A18688" s="3" t="inlineStr">
        <is>
          <t>18640</t>
        </is>
      </c>
      <c r="B18688" s="4" t="s">
        <f>=HYPERLINK("http://anyluxury.ru/shop/odezhda/rubashki-polo/rubashka-polo-zhenskaya-semora-seraya-antracit-657410/" , "6574.10 Рубашка поло женская SEMORA, серая (антрацит), размер L")</f>
      </c>
      <c r="C18688" s="4" t="n">
        <v>1250.00</v>
      </c>
      <c r="D18688" s="4"/>
    </row>
    <row collapsed="" customFormat="false" customHeight="1" hidden="" ht="14" outlineLevel="0" r="18689">
      <c r="A18689" s="3" t="inlineStr">
        <is>
          <t>18641</t>
        </is>
      </c>
      <c r="B18689" s="4" t="s">
        <f>=HYPERLINK("http://anyluxury.ru/shop/odezhda/rubashki-polo/rubashka-polo-zhenskaya-semora-seraya-antracit-657410/" , "6574.10 Рубашка поло женская SEMORA, серая (антрацит), размер XL")</f>
      </c>
      <c r="C18689" s="4" t="n">
        <v>1250.00</v>
      </c>
      <c r="D18689" s="4"/>
    </row>
    <row collapsed="" customFormat="false" customHeight="1" hidden="" ht="14" outlineLevel="0" r="18690">
      <c r="A18690" s="3" t="inlineStr">
        <is>
          <t>18642</t>
        </is>
      </c>
      <c r="B18690" s="4" t="s">
        <f>=HYPERLINK("http://anyluxury.ru/shop/odezhda/rubashki-polo/rubashka-polo-zhenskaya-semora-seraya-antracit-657410/" , "6574.10 Рубашка поло женская SEMORA, серая (антрацит), размер XXL")</f>
      </c>
      <c r="C18690" s="4" t="n">
        <v>1250.00</v>
      </c>
      <c r="D18690" s="4"/>
    </row>
    <row collapsed="" customFormat="false" customHeight="1" hidden="" ht="14" outlineLevel="0" r="18691">
      <c r="A18691" s="3" t="inlineStr">
        <is>
          <t>18643</t>
        </is>
      </c>
      <c r="B18691" s="4" t="s">
        <f>=HYPERLINK("http://anyluxury.ru/shop/odezhda/rubashki-polo/rubashka-polo-zhenskaya-semora-golubaya-657414/" , "6574.14 Рубашка поло женская SEMORA, голубая, размер L")</f>
      </c>
      <c r="C18691" s="4" t="n">
        <v>1251.00</v>
      </c>
      <c r="D18691" s="4"/>
    </row>
    <row collapsed="" customFormat="false" customHeight="1" hidden="" ht="14" outlineLevel="0" r="18692">
      <c r="A18692" s="3" t="inlineStr">
        <is>
          <t>18644</t>
        </is>
      </c>
      <c r="B18692" s="4" t="s">
        <f>=HYPERLINK("http://anyluxury.ru/shop/odezhda/rubashki-polo/rubashka-polo-zhenskaya-semora-golubaya-657414/" , "6574.14 Рубашка поло женская SEMORA, голубая, размер XL")</f>
      </c>
      <c r="C18692" s="4" t="n">
        <v>1251.00</v>
      </c>
      <c r="D18692" s="4"/>
    </row>
    <row collapsed="" customFormat="false" customHeight="1" hidden="" ht="14" outlineLevel="0" r="18693">
      <c r="A18693" s="3" t="inlineStr">
        <is>
          <t>18645</t>
        </is>
      </c>
      <c r="B18693" s="4" t="s">
        <f>=HYPERLINK("http://anyluxury.ru/shop/odezhda/rubashki-polo/rubashka-polo-zhenskaya-semora-chernaya-657430/" , "6574.30 Рубашка поло женская SEMORA, черная, размер M")</f>
      </c>
      <c r="C18693" s="4" t="n">
        <v>1250.00</v>
      </c>
      <c r="D18693" s="4"/>
    </row>
    <row collapsed="" customFormat="false" customHeight="1" hidden="" ht="14" outlineLevel="0" r="18694">
      <c r="A18694" s="3" t="inlineStr">
        <is>
          <t>18646</t>
        </is>
      </c>
      <c r="B18694" s="4" t="s">
        <f>=HYPERLINK("http://anyluxury.ru/shop/odezhda/rubashki-polo/rubashka-polo-zhenskaya-semora-chernaya-657430/" , "6574.30 Рубашка поло женская SEMORA, черная, размер L")</f>
      </c>
      <c r="C18694" s="4" t="n">
        <v>1253.00</v>
      </c>
      <c r="D18694" s="4"/>
    </row>
    <row collapsed="" customFormat="false" customHeight="1" hidden="" ht="14" outlineLevel="0" r="18695">
      <c r="A18695" s="3" t="inlineStr">
        <is>
          <t>18647</t>
        </is>
      </c>
      <c r="B18695" s="4" t="s">
        <f>=HYPERLINK("http://anyluxury.ru/shop/odezhda/rubashki-polo/rubashka-polo-zhenskaya-semora-chernaya-657430/" , "6574.30 Рубашка поло женская SEMORA, черная, размер XL")</f>
      </c>
      <c r="C18695" s="4" t="n">
        <v>1250.00</v>
      </c>
      <c r="D18695" s="4"/>
    </row>
    <row collapsed="" customFormat="false" customHeight="1" hidden="" ht="14" outlineLevel="0" r="18696">
      <c r="A18696" s="3" t="inlineStr">
        <is>
          <t>18648</t>
        </is>
      </c>
      <c r="B18696" s="4" t="s">
        <f>=HYPERLINK("http://anyluxury.ru/shop/odezhda/rubashki-polo/rubashka-polo-zhenskaya-semora-temnosinyaya-657440/" , "6574.40 Рубашка поло женская SEMORA, темно-синяя, размер M")</f>
      </c>
      <c r="C18696" s="4" t="n">
        <v>1250.00</v>
      </c>
      <c r="D18696" s="4"/>
    </row>
    <row collapsed="" customFormat="false" customHeight="1" hidden="" ht="14" outlineLevel="0" r="18697">
      <c r="A18697" s="3" t="inlineStr">
        <is>
          <t>18649</t>
        </is>
      </c>
      <c r="B18697" s="4" t="s">
        <f>=HYPERLINK("http://anyluxury.ru/shop/odezhda/rubashki-polo/rubashka-polo-zhenskaya-semora-temnosinyaya-657440/" , "6574.40 Рубашка поло женская SEMORA, темно-синяя, размер L")</f>
      </c>
      <c r="C18697" s="4" t="n">
        <v>1253.00</v>
      </c>
      <c r="D18697" s="4"/>
    </row>
    <row collapsed="" customFormat="false" customHeight="1" hidden="" ht="14" outlineLevel="0" r="18698">
      <c r="A18698" s="3" t="inlineStr">
        <is>
          <t>18650</t>
        </is>
      </c>
      <c r="B18698" s="4" t="s">
        <f>=HYPERLINK("http://anyluxury.ru/shop/odezhda/rubashki-polo/rubashka-polo-zhenskaya-semora-temnosinyaya-657440/" , "6574.40 Рубашка поло женская SEMORA, темно-синяя, размер XL")</f>
      </c>
      <c r="C18698" s="4" t="n">
        <v>1253.00</v>
      </c>
      <c r="D18698" s="4"/>
    </row>
    <row collapsed="" customFormat="false" customHeight="1" hidden="" ht="14" outlineLevel="0" r="18699">
      <c r="A18699" s="3" t="inlineStr">
        <is>
          <t>18651</t>
        </is>
      </c>
      <c r="B18699" s="4" t="s">
        <f>=HYPERLINK("http://anyluxury.ru/shop/odezhda/rubashki-polo/rubashka-polo-zhenskaya-semora-temnosinyaya-657440/" , "6574.40 Рубашка поло женская SEMORA, темно-синяя, размер XXL")</f>
      </c>
      <c r="C18699" s="4" t="n">
        <v>1250.00</v>
      </c>
      <c r="D18699" s="4"/>
    </row>
    <row collapsed="" customFormat="false" customHeight="1" hidden="" ht="14" outlineLevel="0" r="18700">
      <c r="A18700" s="3" t="inlineStr">
        <is>
          <t>18652</t>
        </is>
      </c>
      <c r="B18700" s="4" t="s">
        <f>=HYPERLINK("http://anyluxury.ru/shop/odezhda/rubashki-polo/rubashka-polo-zhenskaya-semora-krasnaya-657450/" , "6574.50 Рубашка поло женская SEMORA, красная, размер S")</f>
      </c>
      <c r="C18700" s="4" t="n">
        <v>1253.00</v>
      </c>
      <c r="D18700" s="4"/>
    </row>
    <row collapsed="" customFormat="false" customHeight="1" hidden="" ht="14" outlineLevel="0" r="18701">
      <c r="A18701" s="3" t="inlineStr">
        <is>
          <t>18653</t>
        </is>
      </c>
      <c r="B18701" s="4" t="s">
        <f>=HYPERLINK("http://anyluxury.ru/shop/odezhda/rubashki-polo/rubashka-polo-zhenskaya-semora-krasnaya-657450/" , "6574.50 Рубашка поло женская SEMORA, красная, размер M")</f>
      </c>
      <c r="C18701" s="4" t="n">
        <v>1253.00</v>
      </c>
      <c r="D18701" s="4"/>
    </row>
    <row collapsed="" customFormat="false" customHeight="1" hidden="" ht="14" outlineLevel="0" r="18702">
      <c r="A18702" s="3" t="inlineStr">
        <is>
          <t>18654</t>
        </is>
      </c>
      <c r="B18702" s="4" t="s">
        <f>=HYPERLINK("http://anyluxury.ru/shop/odezhda/rubashki-polo/rubashka-polo-zhenskaya-semora-krasnaya-657450/" , "6574.50 Рубашка поло женская SEMORA, красная, размер XL")</f>
      </c>
      <c r="C18702" s="4" t="n">
        <v>1250.00</v>
      </c>
      <c r="D18702" s="4"/>
    </row>
    <row collapsed="" customFormat="false" customHeight="1" hidden="" ht="14" outlineLevel="0" r="18703">
      <c r="A18703" s="3" t="inlineStr">
        <is>
          <t>18655</t>
        </is>
      </c>
      <c r="B18703" s="4" t="s">
        <f>=HYPERLINK("http://anyluxury.ru/shop/odezhda/rubashki-polo/rubashka-polo-zhenskaya-semora-krasnaya-657450/" , "6574.50 Рубашка поло женская SEMORA, красная, размер XXL")</f>
      </c>
      <c r="C18703" s="4" t="n">
        <v>1253.00</v>
      </c>
      <c r="D18703" s="4"/>
    </row>
    <row collapsed="" customFormat="false" customHeight="1" hidden="" ht="14" outlineLevel="0" r="18704">
      <c r="A18704" s="3" t="inlineStr">
        <is>
          <t>18656</t>
        </is>
      </c>
      <c r="B18704" s="4" t="s">
        <f>=HYPERLINK("http://anyluxury.ru/shop/odezhda/rubashki-polo/rubashka-polo-zhenskaya-people-210-yarkosinyaya-royal-189544/" , "1895.44 Рубашка поло женская PEOPLE 210 ярко-синяя (royal), размер S")</f>
      </c>
      <c r="C18704" s="4" t="n">
        <v>1727.00</v>
      </c>
      <c r="D18704" s="4"/>
    </row>
    <row collapsed="" customFormat="false" customHeight="1" hidden="" ht="14" outlineLevel="0" r="18705">
      <c r="A18705" s="3" t="inlineStr">
        <is>
          <t>18657</t>
        </is>
      </c>
      <c r="B18705" s="4" t="s">
        <f>=HYPERLINK("http://anyluxury.ru/shop/odezhda/rubashki-polo/rubashka-polo-zhenskaya-people-210-yarkosinyaya-royal-189544/" , "1895.44 Рубашка поло женская PEOPLE 210 ярко-синяя (royal), размер XL")</f>
      </c>
      <c r="C18705" s="4" t="n">
        <v>1727.00</v>
      </c>
      <c r="D18705" s="4"/>
    </row>
    <row collapsed="" customFormat="false" customHeight="1" hidden="" ht="14" outlineLevel="0" r="18706">
      <c r="A18706" s="3" t="inlineStr">
        <is>
          <t>18658</t>
        </is>
      </c>
      <c r="B18706" s="4" t="s">
        <f>=HYPERLINK("http://anyluxury.ru/shop/odezhda/rubashki-polo/rubashka-polo-zhenskaya-practice-women-270-zelenaya-s-belim-608490/" , "6084.90 Рубашка поло женская Practice women 270 зеленая с белым, размер S")</f>
      </c>
      <c r="C18706" s="4" t="n">
        <v>3015.00</v>
      </c>
      <c r="D18706" s="4"/>
    </row>
    <row collapsed="" customFormat="false" customHeight="1" hidden="" ht="14" outlineLevel="0" r="18707">
      <c r="A18707" s="3" t="inlineStr">
        <is>
          <t>18659</t>
        </is>
      </c>
      <c r="B18707" s="4" t="s">
        <f>=HYPERLINK("http://anyluxury.ru/shop/odezhda/rubashki-polo/rubashka-polo-zhenskaya-practice-women-270-zelenaya-s-belim-608490/" , "6084.90 Рубашка поло женская Practice women 270 зеленая с белым, размер M")</f>
      </c>
      <c r="C18707" s="4" t="n">
        <v>3015.00</v>
      </c>
      <c r="D18707" s="4"/>
    </row>
    <row collapsed="" customFormat="false" customHeight="1" hidden="" ht="14" outlineLevel="0" r="18708">
      <c r="A18708" s="3" t="inlineStr">
        <is>
          <t>18660</t>
        </is>
      </c>
      <c r="B18708" s="4" t="s">
        <f>=HYPERLINK("http://anyluxury.ru/shop/odezhda/rubashki-polo/rubashka-polo-zhenskaya-practice-women-270-zelenaya-s-belim-608490/" , "6084.90 Рубашка поло женская Practice women 270 зеленая с белым, размер L")</f>
      </c>
      <c r="C18708" s="4" t="n">
        <v>3015.00</v>
      </c>
      <c r="D18708" s="4"/>
    </row>
    <row collapsed="" customFormat="false" customHeight="1" hidden="" ht="14" outlineLevel="0" r="18709">
      <c r="A18709" s="3" t="inlineStr">
        <is>
          <t>18661</t>
        </is>
      </c>
      <c r="B18709" s="4" t="s">
        <f>=HYPERLINK("http://anyluxury.ru/shop/odezhda/rubashki-polo/rubashka-polo-zhenskaya-practice-women-270-zelenaya-s-belim-608490/" , "6084.90 Рубашка поло женская Practice women 270 зеленая с белым, размер XL")</f>
      </c>
      <c r="C18709" s="4" t="n">
        <v>3015.00</v>
      </c>
      <c r="D18709" s="4"/>
    </row>
    <row collapsed="" customFormat="false" customHeight="1" hidden="" ht="14" outlineLevel="0" r="18710">
      <c r="A18710" s="3" t="inlineStr">
        <is>
          <t>18662</t>
        </is>
      </c>
      <c r="B18710" s="4" t="s">
        <f>=HYPERLINK("http://anyluxury.ru/shop/odezhda/rubashki-polo/rubashka-polo-zhenskaya-practice-women-270-zelenaya-s-belim-608490/" , "6084.90  Рубашка поло женская Practice women 270, зеленый/белый, размер XXL")</f>
      </c>
      <c r="C18710" s="4" t="n">
        <v>3015.00</v>
      </c>
      <c r="D18710" s="4"/>
    </row>
    <row collapsed="" customFormat="false" customHeight="1" hidden="" ht="14" outlineLevel="0" r="18711">
      <c r="A18711" s="3" t="inlineStr">
        <is>
          <t>18663</t>
        </is>
      </c>
      <c r="B18711" s="4" t="s">
        <f>=HYPERLINK("http://anyluxury.ru/shop/odezhda/rubashki-polo/rubashka-polo-zhenskaya-passion-170-yarkosinyaya-royal-479844/" , "4798.44 Рубашка поло женская PASSION 170 ярко-синяя (royal), размер S")</f>
      </c>
      <c r="C18711" s="4" t="n">
        <v>1108.00</v>
      </c>
      <c r="D18711" s="4"/>
    </row>
    <row collapsed="" customFormat="false" customHeight="1" hidden="" ht="14" outlineLevel="0" r="18712">
      <c r="A18712" s="3" t="inlineStr">
        <is>
          <t>18664</t>
        </is>
      </c>
      <c r="B18712" s="4" t="s">
        <f>=HYPERLINK("http://anyluxury.ru/shop/odezhda/rubashki-polo/rubashka-polo-zhenskaya-passion-170-yarkosinyaya-royal-479844/" , "4798.44 Рубашка поло женская PASSION 170 ярко-синяя (royal), размер M")</f>
      </c>
      <c r="C18712" s="4" t="n">
        <v>1108.00</v>
      </c>
      <c r="D18712" s="4"/>
    </row>
    <row collapsed="" customFormat="false" customHeight="1" hidden="" ht="14" outlineLevel="0" r="18713">
      <c r="A18713" s="3" t="inlineStr">
        <is>
          <t>18665</t>
        </is>
      </c>
      <c r="B18713" s="4" t="s">
        <f>=HYPERLINK("http://anyluxury.ru/shop/odezhda/rubashki-polo/rubashka-polo-zhenskaya-passion-170-yarkosinyaya-royal-479844/" , "4798.44 Рубашка поло женская PASSION 170 ярко-синяя (royal), размер XL")</f>
      </c>
      <c r="C18713" s="4" t="n">
        <v>1108.00</v>
      </c>
      <c r="D18713" s="4"/>
    </row>
    <row collapsed="" customFormat="false" customHeight="1" hidden="" ht="14" outlineLevel="0" r="18714">
      <c r="A18714" s="3" t="inlineStr">
        <is>
          <t>18666</t>
        </is>
      </c>
      <c r="B18714" s="4" t="s">
        <f>=HYPERLINK("http://anyluxury.ru/shop/odezhda/rubashki-polo/rubashka-polo-zhenskaya-passion-170-yarkosinyaya-royal-479844/" , "4798.44 Рубашка поло женская PASSION 170 ярко-синяя, размер XXL")</f>
      </c>
      <c r="C18714" s="4" t="n">
        <v>1108.00</v>
      </c>
      <c r="D18714" s="4"/>
    </row>
    <row collapsed="" customFormat="false" customHeight="1" hidden="" ht="14" outlineLevel="0" r="18715">
      <c r="A18715" s="3" t="inlineStr">
        <is>
          <t>18667</t>
        </is>
      </c>
      <c r="B18715" s="4" t="s">
        <f>=HYPERLINK("http://anyluxury.ru/shop/odezhda/rubashki-polo/rubashka-polo-muzhskaya-prime-men-belaya-00571102/" , "00571102 Рубашка поло мужская PRIME MEN 200 белая, размер S")</f>
      </c>
      <c r="C18715" s="4" t="n">
        <v>1539.00</v>
      </c>
      <c r="D18715" s="4"/>
    </row>
    <row collapsed="" customFormat="false" customHeight="1" hidden="" ht="14" outlineLevel="0" r="18716">
      <c r="A18716" s="3" t="inlineStr">
        <is>
          <t>18668</t>
        </is>
      </c>
      <c r="B18716" s="4" t="s">
        <f>=HYPERLINK("http://anyluxury.ru/shop/odezhda/rubashki-polo/rubashka-polo-muzhskaya-prime-men-belaya-00571102/" , "00571102 Рубашка поло мужская PRIME MEN 200 белая, размер XXL")</f>
      </c>
      <c r="C18716" s="4" t="n">
        <v>1539.00</v>
      </c>
      <c r="D18716" s="4"/>
    </row>
    <row collapsed="" customFormat="false" customHeight="1" hidden="" ht="14" outlineLevel="0" r="18717">
      <c r="A18717" s="3" t="inlineStr">
        <is>
          <t>18669</t>
        </is>
      </c>
      <c r="B18717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S")</f>
      </c>
      <c r="C18717" s="4" t="n">
        <v>2502.00</v>
      </c>
      <c r="D18717" s="4"/>
    </row>
    <row collapsed="" customFormat="false" customHeight="1" hidden="" ht="14" outlineLevel="0" r="18718">
      <c r="A18718" s="3" t="inlineStr">
        <is>
          <t>18670</t>
        </is>
      </c>
      <c r="B18718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M")</f>
      </c>
      <c r="C18718" s="4" t="n">
        <v>2502.00</v>
      </c>
      <c r="D18718" s="4"/>
    </row>
    <row collapsed="" customFormat="false" customHeight="1" hidden="" ht="14" outlineLevel="0" r="18719">
      <c r="A18719" s="3" t="inlineStr">
        <is>
          <t>18671</t>
        </is>
      </c>
      <c r="B18719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L")</f>
      </c>
      <c r="C18719" s="4" t="n">
        <v>2502.00</v>
      </c>
      <c r="D18719" s="4"/>
    </row>
    <row collapsed="" customFormat="false" customHeight="1" hidden="" ht="14" outlineLevel="0" r="18720">
      <c r="A18720" s="3" t="inlineStr">
        <is>
          <t>18672</t>
        </is>
      </c>
      <c r="B18720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XL")</f>
      </c>
      <c r="C18720" s="4" t="n">
        <v>2502.00</v>
      </c>
      <c r="D18720" s="4"/>
    </row>
    <row collapsed="" customFormat="false" customHeight="1" hidden="" ht="14" outlineLevel="0" r="18721">
      <c r="A18721" s="3" t="inlineStr">
        <is>
          <t>18673</t>
        </is>
      </c>
      <c r="B18721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XXL")</f>
      </c>
      <c r="C18721" s="4" t="n">
        <v>2502.00</v>
      </c>
      <c r="D18721" s="4"/>
    </row>
    <row collapsed="" customFormat="false" customHeight="1" hidden="" ht="14" outlineLevel="0" r="18722">
      <c r="A18722" s="3" t="inlineStr">
        <is>
          <t>18674</t>
        </is>
      </c>
      <c r="B18722" s="4" t="s">
        <f>=HYPERLINK("http://anyluxury.ru/shop/odezhda/rubashki-polo/rubashka-polo-muzhskaya-prime-men-200-temnozelenaya-00571264/" , "00571264 Рубашка поло мужская PRIME MEN 200 темно-зеленая, размер S")</f>
      </c>
      <c r="C18722" s="4" t="n">
        <v>1690.00</v>
      </c>
      <c r="D18722" s="4"/>
    </row>
    <row collapsed="" customFormat="false" customHeight="1" hidden="" ht="14" outlineLevel="0" r="18723">
      <c r="A18723" s="3" t="inlineStr">
        <is>
          <t>18675</t>
        </is>
      </c>
      <c r="B18723" s="4" t="s">
        <f>=HYPERLINK("http://anyluxury.ru/shop/odezhda/rubashki-polo/rubashka-polo-muzhskaya-prime-men-200-temnozelenaya-00571264/" , "00571264 Рубашка поло мужская PRIME MEN 200 темно-зеленая, размер M")</f>
      </c>
      <c r="C18723" s="4" t="n">
        <v>1690.00</v>
      </c>
      <c r="D18723" s="4"/>
    </row>
    <row collapsed="" customFormat="false" customHeight="1" hidden="" ht="14" outlineLevel="0" r="18724">
      <c r="A18724" s="3" t="inlineStr">
        <is>
          <t>18676</t>
        </is>
      </c>
      <c r="B18724" s="4" t="s">
        <f>=HYPERLINK("http://anyluxury.ru/shop/odezhda/rubashki-polo/rubashka-polo-muzhskaya-prime-men-200-temnozelenaya-00571264/" , "00571264 Рубашка поло мужская PRIME MEN 200 темно-зеленая, размер L")</f>
      </c>
      <c r="C18724" s="4" t="n">
        <v>1690.00</v>
      </c>
      <c r="D18724" s="4"/>
    </row>
    <row collapsed="" customFormat="false" customHeight="1" hidden="" ht="14" outlineLevel="0" r="18725">
      <c r="A18725" s="3" t="inlineStr">
        <is>
          <t>18677</t>
        </is>
      </c>
      <c r="B18725" s="4" t="s">
        <f>=HYPERLINK("http://anyluxury.ru/shop/odezhda/rubashki-polo/rubashka-polo-muzhskaya-prime-men-200-temnozelenaya-00571264/" , "00571264 Рубашка поло мужская PRIME MEN 200 темно-зеленая, размер XL")</f>
      </c>
      <c r="C18725" s="4" t="n">
        <v>1690.00</v>
      </c>
      <c r="D18725" s="4"/>
    </row>
    <row collapsed="" customFormat="false" customHeight="1" hidden="" ht="14" outlineLevel="0" r="18726">
      <c r="A18726" s="3" t="inlineStr">
        <is>
          <t>18678</t>
        </is>
      </c>
      <c r="B18726" s="4" t="s">
        <f>=HYPERLINK("http://anyluxury.ru/shop/odezhda/rubashki-polo/rubashka-polo-muzhskaya-prime-men-200-temnozelenaya-00571264/" , "00571264 Рубашка поло мужская PRIME MEN 200 темно-зеленая, размер XXL")</f>
      </c>
      <c r="C18726" s="4" t="n">
        <v>1690.00</v>
      </c>
      <c r="D18726" s="4"/>
    </row>
    <row collapsed="" customFormat="false" customHeight="1" hidden="" ht="14" outlineLevel="0" r="18727">
      <c r="A18727" s="3" t="inlineStr">
        <is>
          <t>18679</t>
        </is>
      </c>
      <c r="B18727" s="4" t="s">
        <f>=HYPERLINK("http://anyluxury.ru/shop/odezhda/rubashki-polo/rubashka-polo-muzhskaya-prime-men-200-temnozelenaya-00571264/" , "00571264 Рубашка поло мужская PRIME MEN 200 темно-зеленая, размер 3XL")</f>
      </c>
      <c r="C18727" s="4" t="n">
        <v>2008.00</v>
      </c>
      <c r="D18727" s="4"/>
    </row>
    <row collapsed="" customFormat="false" customHeight="1" hidden="" ht="14" outlineLevel="0" r="18728">
      <c r="A18728" s="3" t="inlineStr">
        <is>
          <t>18680</t>
        </is>
      </c>
      <c r="B18728" s="4" t="s">
        <f>=HYPERLINK("http://anyluxury.ru/shop/odezhda/rubashki-polo/rubashka-polo-muzhskaya-prime-men-200-temnozelenaya-00571264/" , "00571264 Рубашка поло мужская PRIME MEN 200 темно-зеленая, размер 4XL")</f>
      </c>
      <c r="C18728" s="4" t="n">
        <v>2394.00</v>
      </c>
      <c r="D18728" s="4"/>
    </row>
    <row collapsed="" customFormat="false" customHeight="1" hidden="" ht="14" outlineLevel="0" r="18729">
      <c r="A18729" s="3" t="inlineStr">
        <is>
          <t>18681</t>
        </is>
      </c>
      <c r="B18729" s="4" t="s">
        <f>=HYPERLINK("http://anyluxury.ru/shop/odezhda/rubashki-polo/rubashka-polo-muzhskaya-prime-men-200-temnozelenaya-00571264/" , "00571264 Рубашка поло мужская PRIME MEN 200 темно-зеленая, размер 5XL")</f>
      </c>
      <c r="C18729" s="4" t="n">
        <v>2394.00</v>
      </c>
      <c r="D18729" s="4"/>
    </row>
    <row collapsed="" customFormat="false" customHeight="1" hidden="" ht="14" outlineLevel="0" r="18730">
      <c r="A18730" s="3" t="inlineStr">
        <is>
          <t>18682</t>
        </is>
      </c>
      <c r="B18730" s="4" t="s">
        <f>=HYPERLINK("http://anyluxury.ru/shop/odezhda/rubashki-polo/rubashka-polo-muzhskaya-prime-men-200-bordovaya-00571146/" , "00571146 Рубашка поло мужская PRIME MEN 200 бордовая, размер S")</f>
      </c>
      <c r="C18730" s="4" t="n">
        <v>1690.00</v>
      </c>
      <c r="D18730" s="4"/>
    </row>
    <row collapsed="" customFormat="false" customHeight="1" hidden="" ht="14" outlineLevel="0" r="18731">
      <c r="A18731" s="3" t="inlineStr">
        <is>
          <t>18683</t>
        </is>
      </c>
      <c r="B18731" s="4" t="s">
        <f>=HYPERLINK("http://anyluxury.ru/shop/odezhda/rubashki-polo/rubashka-polo-muzhskaya-prime-men-200-bordovaya-00571146/" , "00571146 Рубашка поло мужская PRIME MEN 200 бордовая, размер M")</f>
      </c>
      <c r="C18731" s="4" t="n">
        <v>1690.00</v>
      </c>
      <c r="D18731" s="4"/>
    </row>
    <row collapsed="" customFormat="false" customHeight="1" hidden="" ht="14" outlineLevel="0" r="18732">
      <c r="A18732" s="3" t="inlineStr">
        <is>
          <t>18684</t>
        </is>
      </c>
      <c r="B18732" s="4" t="s">
        <f>=HYPERLINK("http://anyluxury.ru/shop/odezhda/rubashki-polo/rubashka-polo-muzhskaya-prime-men-200-bordovaya-00571146/" , "00571146 Рубашка поло мужская PRIME MEN 200 бордовая, размер 3XL")</f>
      </c>
      <c r="C18732" s="4" t="n">
        <v>2008.00</v>
      </c>
      <c r="D18732" s="4"/>
    </row>
    <row collapsed="" customFormat="false" customHeight="1" hidden="" ht="14" outlineLevel="0" r="18733">
      <c r="A18733" s="3" t="inlineStr">
        <is>
          <t>18685</t>
        </is>
      </c>
      <c r="B18733" s="4" t="s">
        <f>=HYPERLINK("http://anyluxury.ru/shop/odezhda/rubashki-polo/rubashka-polo-muzhskaya-prime-men-200-bordovaya-00571146/" , "00571146 Рубашка поло мужская PRIME MEN 200 бордовая, размер 4XL")</f>
      </c>
      <c r="C18733" s="4" t="n">
        <v>2394.00</v>
      </c>
      <c r="D18733" s="4"/>
    </row>
    <row collapsed="" customFormat="false" customHeight="1" hidden="" ht="14" outlineLevel="0" r="18734">
      <c r="A18734" s="3" t="inlineStr">
        <is>
          <t>18686</t>
        </is>
      </c>
      <c r="B18734" s="4" t="s">
        <f>=HYPERLINK("http://anyluxury.ru/shop/odezhda/rubashki-polo/rubashka-polo-muzhskaya-prime-men-200-temnoseraya-00571384/" , "00571384 Рубашка поло мужская PRIME MEN 200 темно-серая, размер S")</f>
      </c>
      <c r="C18734" s="4" t="n">
        <v>1690.00</v>
      </c>
      <c r="D18734" s="4"/>
    </row>
    <row collapsed="" customFormat="false" customHeight="1" hidden="" ht="14" outlineLevel="0" r="18735">
      <c r="A18735" s="3" t="inlineStr">
        <is>
          <t>18687</t>
        </is>
      </c>
      <c r="B18735" s="4" t="s">
        <f>=HYPERLINK("http://anyluxury.ru/shop/odezhda/rubashki-polo/rubashka-polo-muzhskaya-prime-men-200-temnoseraya-00571384/" , "00571384 Рубашка поло мужская PRIME MEN 200 темно-серая, размер M")</f>
      </c>
      <c r="C18735" s="4" t="n">
        <v>1690.00</v>
      </c>
      <c r="D18735" s="4"/>
    </row>
    <row collapsed="" customFormat="false" customHeight="1" hidden="" ht="14" outlineLevel="0" r="18736">
      <c r="A18736" s="3" t="inlineStr">
        <is>
          <t>18688</t>
        </is>
      </c>
      <c r="B18736" s="4" t="s">
        <f>=HYPERLINK("http://anyluxury.ru/shop/odezhda/rubashki-polo/rubashka-polo-muzhskaya-prime-men-200-temnoseraya-00571384/" , "00571384 Рубашка поло мужская PRIME MEN 200 темно-серая, размер L")</f>
      </c>
      <c r="C18736" s="4" t="n">
        <v>1690.00</v>
      </c>
      <c r="D18736" s="4"/>
    </row>
    <row collapsed="" customFormat="false" customHeight="1" hidden="" ht="14" outlineLevel="0" r="18737">
      <c r="A18737" s="3" t="inlineStr">
        <is>
          <t>18689</t>
        </is>
      </c>
      <c r="B18737" s="4" t="s">
        <f>=HYPERLINK("http://anyluxury.ru/shop/odezhda/rubashki-polo/rubashka-polo-muzhskaya-prime-men-200-temnoseraya-00571384/" , "00571384 Рубашка поло мужская PRIME MEN 200 темно-серая, размер XL")</f>
      </c>
      <c r="C18737" s="4" t="n">
        <v>1690.00</v>
      </c>
      <c r="D18737" s="4"/>
    </row>
    <row collapsed="" customFormat="false" customHeight="1" hidden="" ht="14" outlineLevel="0" r="18738">
      <c r="A18738" s="3" t="inlineStr">
        <is>
          <t>18690</t>
        </is>
      </c>
      <c r="B18738" s="4" t="s">
        <f>=HYPERLINK("http://anyluxury.ru/shop/odezhda/rubashki-polo/rubashka-polo-muzhskaya-prime-men-200-temnoseraya-00571384/" , "00571384 Рубашка поло мужская PRIME MEN 200 темно-серая, размер XXL")</f>
      </c>
      <c r="C18738" s="4" t="n">
        <v>1690.00</v>
      </c>
      <c r="D18738" s="4"/>
    </row>
    <row collapsed="" customFormat="false" customHeight="1" hidden="" ht="14" outlineLevel="0" r="18739">
      <c r="A18739" s="3" t="inlineStr">
        <is>
          <t>18691</t>
        </is>
      </c>
      <c r="B18739" s="4" t="s">
        <f>=HYPERLINK("http://anyluxury.ru/shop/odezhda/rubashki-polo/rubashka-polo-muzhskaya-prime-men-200-temnoseraya-00571384/" , "00571384 Рубашка поло мужская PRIME MEN 200 темно-серая, размер 3XL")</f>
      </c>
      <c r="C18739" s="4" t="n">
        <v>2008.00</v>
      </c>
      <c r="D18739" s="4"/>
    </row>
    <row collapsed="" customFormat="false" customHeight="1" hidden="" ht="14" outlineLevel="0" r="18740">
      <c r="A18740" s="3" t="inlineStr">
        <is>
          <t>18692</t>
        </is>
      </c>
      <c r="B18740" s="4" t="s">
        <f>=HYPERLINK("http://anyluxury.ru/shop/odezhda/rubashki-polo/rubashka-polo-muzhskaya-prime-men-200-temnoseraya-00571384/" , "00571384 Рубашка поло мужская PRIME MEN 200 темно-серая, размер 4XL")</f>
      </c>
      <c r="C18740" s="4" t="n">
        <v>2394.00</v>
      </c>
      <c r="D18740" s="4"/>
    </row>
    <row collapsed="" customFormat="false" customHeight="1" hidden="" ht="14" outlineLevel="0" r="18741">
      <c r="A18741" s="3" t="inlineStr">
        <is>
          <t>18693</t>
        </is>
      </c>
      <c r="B18741" s="4" t="s">
        <f>=HYPERLINK("http://anyluxury.ru/shop/odezhda/rubashki-polo/rubashka-polo-muzhskaya-prime-men-200-temnoseraya-00571384/" , "00571384 Рубашка поло мужская PRIME MEN 200 темно-серая, размер 5XL")</f>
      </c>
      <c r="C18741" s="4" t="n">
        <v>2394.00</v>
      </c>
      <c r="D18741" s="4"/>
    </row>
    <row collapsed="" customFormat="false" customHeight="1" hidden="" ht="14" outlineLevel="0" r="18742">
      <c r="A18742" s="3" t="inlineStr">
        <is>
          <t>18694</t>
        </is>
      </c>
      <c r="B18742" s="4" t="s">
        <f>=HYPERLINK("http://anyluxury.ru/shop/odezhda/rubashki-polo/rubashka-polo-muzhskaya-prime-men-200-temnofioletovaya-00571712/" , "00571712 Рубашка поло мужская PRIME MEN 200 темно-фиолетовая, размер S")</f>
      </c>
      <c r="C18742" s="4" t="n">
        <v>1690.00</v>
      </c>
      <c r="D18742" s="4"/>
    </row>
    <row collapsed="" customFormat="false" customHeight="1" hidden="" ht="14" outlineLevel="0" r="18743">
      <c r="A18743" s="3" t="inlineStr">
        <is>
          <t>18695</t>
        </is>
      </c>
      <c r="B18743" s="4" t="s">
        <f>=HYPERLINK("http://anyluxury.ru/shop/odezhda/rubashki-polo/rubashka-polo-muzhskaya-prime-men-200-temnofioletovaya-00571712/" , "00571712 Рубашка поло мужская PRIME MEN 200 темно-фиолетовая, размер M")</f>
      </c>
      <c r="C18743" s="4" t="n">
        <v>1690.00</v>
      </c>
      <c r="D18743" s="4"/>
    </row>
    <row collapsed="" customFormat="false" customHeight="1" hidden="" ht="14" outlineLevel="0" r="18744">
      <c r="A18744" s="3" t="inlineStr">
        <is>
          <t>18696</t>
        </is>
      </c>
      <c r="B18744" s="4" t="s">
        <f>=HYPERLINK("http://anyluxury.ru/shop/odezhda/rubashki-polo/rubashka-polo-muzhskaya-prime-men-200-temnofioletovaya-00571712/" , "00571712 Рубашка поло мужская PRIME MEN 200 темно-фиолетовая, размер L")</f>
      </c>
      <c r="C18744" s="4" t="n">
        <v>1690.00</v>
      </c>
      <c r="D18744" s="4"/>
    </row>
    <row collapsed="" customFormat="false" customHeight="1" hidden="" ht="14" outlineLevel="0" r="18745">
      <c r="A18745" s="3" t="inlineStr">
        <is>
          <t>18697</t>
        </is>
      </c>
      <c r="B18745" s="4" t="s">
        <f>=HYPERLINK("http://anyluxury.ru/shop/odezhda/rubashki-polo/rubashka-polo-muzhskaya-prime-men-200-temnofioletovaya-00571712/" , "00571712 Рубашка поло мужская PRIME MEN 200 темно-фиолетовая, размер XL")</f>
      </c>
      <c r="C18745" s="4" t="n">
        <v>1690.00</v>
      </c>
      <c r="D18745" s="4"/>
    </row>
    <row collapsed="" customFormat="false" customHeight="1" hidden="" ht="14" outlineLevel="0" r="18746">
      <c r="A18746" s="3" t="inlineStr">
        <is>
          <t>18698</t>
        </is>
      </c>
      <c r="B18746" s="4" t="s">
        <f>=HYPERLINK("http://anyluxury.ru/shop/odezhda/rubashki-polo/rubashka-polo-muzhskaya-prime-men-200-temnofioletovaya-00571712/" , "00571712 Рубашка поло мужская PRIME MEN 200 темно-фиолетовая, размер XXL")</f>
      </c>
      <c r="C18746" s="4" t="n">
        <v>1690.00</v>
      </c>
      <c r="D18746" s="4"/>
    </row>
    <row collapsed="" customFormat="false" customHeight="1" hidden="" ht="14" outlineLevel="0" r="18747">
      <c r="A18747" s="3" t="inlineStr">
        <is>
          <t>18699</t>
        </is>
      </c>
      <c r="B18747" s="4" t="s">
        <f>=HYPERLINK("http://anyluxury.ru/shop/odezhda/rubashki-polo/rubashka-polo-muzhskaya-prime-men-200-temnofioletovaya-00571712/" , "00571712 Рубашка поло мужская PRIME MEN 200 темно-фиолетовая, размер 3XL")</f>
      </c>
      <c r="C18747" s="4" t="n">
        <v>2008.00</v>
      </c>
      <c r="D18747" s="4"/>
    </row>
    <row collapsed="" customFormat="false" customHeight="1" hidden="" ht="14" outlineLevel="0" r="18748">
      <c r="A18748" s="3" t="inlineStr">
        <is>
          <t>18700</t>
        </is>
      </c>
      <c r="B18748" s="4" t="s">
        <f>=HYPERLINK("http://anyluxury.ru/shop/odezhda/rubashki-polo/rubashka-polo-muzhskaya-prime-men-200-temnofioletovaya-00571712/" , "00571712 Рубашка поло мужская PRIME MEN 200 темно-фиолетовая, размер 4XL")</f>
      </c>
      <c r="C18748" s="4" t="n">
        <v>2394.00</v>
      </c>
      <c r="D18748" s="4"/>
    </row>
    <row collapsed="" customFormat="false" customHeight="1" hidden="" ht="14" outlineLevel="0" r="18749">
      <c r="A18749" s="3" t="inlineStr">
        <is>
          <t>18701</t>
        </is>
      </c>
      <c r="B18749" s="4" t="s">
        <f>=HYPERLINK("http://anyluxury.ru/shop/odezhda/rubashki-polo/rubashka-polo-muzhskaya-prime-men-200-temnofioletovaya-00571712/" , "00571712 Рубашка поло мужская PRIME MEN 200 темно-фиолетовая, размер 5XL")</f>
      </c>
      <c r="C18749" s="4" t="n">
        <v>2394.00</v>
      </c>
      <c r="D18749" s="4"/>
    </row>
    <row collapsed="" customFormat="false" customHeight="1" hidden="" ht="14" outlineLevel="0" r="18750">
      <c r="A18750" s="3" t="inlineStr">
        <is>
          <t>18702</t>
        </is>
      </c>
      <c r="B18750" s="4" t="s">
        <f>=HYPERLINK("http://anyluxury.ru/shop/odezhda/rubashki-polo/rubashka-polo-muzhskaya-prime-men-200-zheltaya-00571301/" , "00571301 Рубашка поло мужская PRIME MEN 200 желтая, размер S")</f>
      </c>
      <c r="C18750" s="4" t="n">
        <v>1690.00</v>
      </c>
      <c r="D18750" s="4"/>
    </row>
    <row collapsed="" customFormat="false" customHeight="1" hidden="" ht="14" outlineLevel="0" r="18751">
      <c r="A18751" s="3" t="inlineStr">
        <is>
          <t>18703</t>
        </is>
      </c>
      <c r="B18751" s="4" t="s">
        <f>=HYPERLINK("http://anyluxury.ru/shop/odezhda/rubashki-polo/rubashka-polo-muzhskaya-prime-men-200-zheltaya-00571301/" , "00571301 Рубашка поло мужская PRIME MEN 200 желтая, размер M")</f>
      </c>
      <c r="C18751" s="4" t="n">
        <v>1690.00</v>
      </c>
      <c r="D18751" s="4"/>
    </row>
    <row collapsed="" customFormat="false" customHeight="1" hidden="" ht="14" outlineLevel="0" r="18752">
      <c r="A18752" s="3" t="inlineStr">
        <is>
          <t>18704</t>
        </is>
      </c>
      <c r="B18752" s="4" t="s">
        <f>=HYPERLINK("http://anyluxury.ru/shop/odezhda/rubashki-polo/rubashka-polo-muzhskaya-prime-men-200-zheltaya-00571301/" , "00571301 Рубашка поло мужская PRIME MEN 200 желтая, размер L")</f>
      </c>
      <c r="C18752" s="4" t="n">
        <v>1690.00</v>
      </c>
      <c r="D18752" s="4"/>
    </row>
    <row collapsed="" customFormat="false" customHeight="1" hidden="" ht="14" outlineLevel="0" r="18753">
      <c r="A18753" s="3" t="inlineStr">
        <is>
          <t>18705</t>
        </is>
      </c>
      <c r="B18753" s="4" t="s">
        <f>=HYPERLINK("http://anyluxury.ru/shop/odezhda/rubashki-polo/rubashka-polo-muzhskaya-prime-men-200-zheltaya-00571301/" , "00571301 Рубашка поло мужская PRIME MEN 200 желтая, размер XL")</f>
      </c>
      <c r="C18753" s="4" t="n">
        <v>1690.00</v>
      </c>
      <c r="D18753" s="4"/>
    </row>
    <row collapsed="" customFormat="false" customHeight="1" hidden="" ht="14" outlineLevel="0" r="18754">
      <c r="A18754" s="3" t="inlineStr">
        <is>
          <t>18706</t>
        </is>
      </c>
      <c r="B18754" s="4" t="s">
        <f>=HYPERLINK("http://anyluxury.ru/shop/odezhda/rubashki-polo/rubashka-polo-muzhskaya-prime-men-200-zheltaya-00571301/" , "00571301 Рубашка поло мужская PRIME MEN 200 желтая, размер XXL")</f>
      </c>
      <c r="C18754" s="4" t="n">
        <v>1690.00</v>
      </c>
      <c r="D18754" s="4"/>
    </row>
    <row collapsed="" customFormat="false" customHeight="1" hidden="" ht="14" outlineLevel="0" r="18755">
      <c r="A18755" s="3" t="inlineStr">
        <is>
          <t>18707</t>
        </is>
      </c>
      <c r="B18755" s="4" t="s">
        <f>=HYPERLINK("http://anyluxury.ru/shop/odezhda/rubashki-polo/rubashka-polo-muzhskaya-prime-men-200-zheltaya-00571301/" , "00571301 Рубашка поло мужская PRIME MEN 200 желтая, размер 3XL")</f>
      </c>
      <c r="C18755" s="4" t="n">
        <v>2008.00</v>
      </c>
      <c r="D18755" s="4"/>
    </row>
    <row collapsed="" customFormat="false" customHeight="1" hidden="" ht="14" outlineLevel="0" r="18756">
      <c r="A18756" s="3" t="inlineStr">
        <is>
          <t>18708</t>
        </is>
      </c>
      <c r="B18756" s="4" t="s">
        <f>=HYPERLINK("http://anyluxury.ru/shop/odezhda/rubashki-polo/rubashka-polo-muzhskaya-prime-men-200-zheltaya-00571301/" , "00571301 Рубашка поло мужская PRIME MEN 200 желтая, размер 4XL")</f>
      </c>
      <c r="C18756" s="4" t="n">
        <v>2394.00</v>
      </c>
      <c r="D18756" s="4"/>
    </row>
    <row collapsed="" customFormat="false" customHeight="1" hidden="" ht="14" outlineLevel="0" r="18757">
      <c r="A18757" s="3" t="inlineStr">
        <is>
          <t>18709</t>
        </is>
      </c>
      <c r="B18757" s="4" t="s">
        <f>=HYPERLINK("http://anyluxury.ru/shop/odezhda/rubashki-polo/rubashka-polo-muzhskaya-prime-men-200-oranzhevaya-00571400/" , "00571400 Рубашка поло мужская PRIME MEN 200 оранжевая, размер S")</f>
      </c>
      <c r="C18757" s="4" t="n">
        <v>1690.00</v>
      </c>
      <c r="D18757" s="4"/>
    </row>
    <row collapsed="" customFormat="false" customHeight="1" hidden="" ht="14" outlineLevel="0" r="18758">
      <c r="A18758" s="3" t="inlineStr">
        <is>
          <t>18710</t>
        </is>
      </c>
      <c r="B18758" s="4" t="s">
        <f>=HYPERLINK("http://anyluxury.ru/shop/odezhda/rubashki-polo/rubashka-polo-muzhskaya-prime-men-200-oranzhevaya-00571400/" , "00571400 Рубашка поло мужская PRIME MEN 200 оранжевая, размер M")</f>
      </c>
      <c r="C18758" s="4" t="n">
        <v>1690.00</v>
      </c>
      <c r="D18758" s="4"/>
    </row>
    <row collapsed="" customFormat="false" customHeight="1" hidden="" ht="14" outlineLevel="0" r="18759">
      <c r="A18759" s="3" t="inlineStr">
        <is>
          <t>18711</t>
        </is>
      </c>
      <c r="B18759" s="4" t="s">
        <f>=HYPERLINK("http://anyluxury.ru/shop/odezhda/rubashki-polo/rubashka-polo-muzhskaya-prime-men-200-oranzhevaya-00571400/" , "00571400 Рубашка поло мужская PRIME MEN 200 оранжевая, размер L")</f>
      </c>
      <c r="C18759" s="4" t="n">
        <v>1690.00</v>
      </c>
      <c r="D18759" s="4"/>
    </row>
    <row collapsed="" customFormat="false" customHeight="1" hidden="" ht="14" outlineLevel="0" r="18760">
      <c r="A18760" s="3" t="inlineStr">
        <is>
          <t>18712</t>
        </is>
      </c>
      <c r="B18760" s="4" t="s">
        <f>=HYPERLINK("http://anyluxury.ru/shop/odezhda/rubashki-polo/rubashka-polo-muzhskaya-prime-men-200-oranzhevaya-00571400/" , "00571400 Рубашка поло мужская PRIME MEN 200 оранжевая, размер XL")</f>
      </c>
      <c r="C18760" s="4" t="n">
        <v>1690.00</v>
      </c>
      <c r="D18760" s="4"/>
    </row>
    <row collapsed="" customFormat="false" customHeight="1" hidden="" ht="14" outlineLevel="0" r="18761">
      <c r="A18761" s="3" t="inlineStr">
        <is>
          <t>18713</t>
        </is>
      </c>
      <c r="B18761" s="4" t="s">
        <f>=HYPERLINK("http://anyluxury.ru/shop/odezhda/rubashki-polo/rubashka-polo-muzhskaya-prime-men-200-oranzhevaya-00571400/" , "00571400 Рубашка поло мужская PRIME MEN 200 оранжевая, размер XXL")</f>
      </c>
      <c r="C18761" s="4" t="n">
        <v>1690.00</v>
      </c>
      <c r="D18761" s="4"/>
    </row>
    <row collapsed="" customFormat="false" customHeight="1" hidden="" ht="14" outlineLevel="0" r="18762">
      <c r="A18762" s="3" t="inlineStr">
        <is>
          <t>18714</t>
        </is>
      </c>
      <c r="B18762" s="4" t="s">
        <f>=HYPERLINK("http://anyluxury.ru/shop/odezhda/rubashki-polo/rubashka-polo-muzhskaya-prime-men-200-krasnaya-00571145/" , "00571145 Рубашка поло мужская PRIME MEN 200 красная, размер S")</f>
      </c>
      <c r="C18762" s="4" t="n">
        <v>1690.00</v>
      </c>
      <c r="D18762" s="4"/>
    </row>
    <row collapsed="" customFormat="false" customHeight="1" hidden="" ht="14" outlineLevel="0" r="18763">
      <c r="A18763" s="3" t="inlineStr">
        <is>
          <t>18715</t>
        </is>
      </c>
      <c r="B18763" s="4" t="s">
        <f>=HYPERLINK("http://anyluxury.ru/shop/odezhda/rubashki-polo/rubashka-polo-muzhskaya-prime-men-200-krasnaya-00571145/" , "00571145 Рубашка поло мужская PRIME MEN 200 красная, размер M")</f>
      </c>
      <c r="C18763" s="4" t="n">
        <v>1690.00</v>
      </c>
      <c r="D18763" s="4"/>
    </row>
    <row collapsed="" customFormat="false" customHeight="1" hidden="" ht="14" outlineLevel="0" r="18764">
      <c r="A18764" s="3" t="inlineStr">
        <is>
          <t>18716</t>
        </is>
      </c>
      <c r="B18764" s="4" t="s">
        <f>=HYPERLINK("http://anyluxury.ru/shop/odezhda/rubashki-polo/rubashka-polo-muzhskaya-prime-men-200-krasnaya-00571145/" , "00571145 Рубашка поло мужская PRIME MEN 200 красная, размер L")</f>
      </c>
      <c r="C18764" s="4" t="n">
        <v>1690.00</v>
      </c>
      <c r="D18764" s="4"/>
    </row>
    <row collapsed="" customFormat="false" customHeight="1" hidden="" ht="14" outlineLevel="0" r="18765">
      <c r="A18765" s="3" t="inlineStr">
        <is>
          <t>18717</t>
        </is>
      </c>
      <c r="B18765" s="4" t="s">
        <f>=HYPERLINK("http://anyluxury.ru/shop/odezhda/rubashki-polo/rubashka-polo-muzhskaya-prime-men-200-krasnaya-00571145/" , "00571145 Рубашка поло мужская PRIME MEN 200 красная, размер XL")</f>
      </c>
      <c r="C18765" s="4" t="n">
        <v>1690.00</v>
      </c>
      <c r="D18765" s="4"/>
    </row>
    <row collapsed="" customFormat="false" customHeight="1" hidden="" ht="14" outlineLevel="0" r="18766">
      <c r="A18766" s="3" t="inlineStr">
        <is>
          <t>18718</t>
        </is>
      </c>
      <c r="B18766" s="4" t="s">
        <f>=HYPERLINK("http://anyluxury.ru/shop/odezhda/rubashki-polo/rubashka-polo-muzhskaya-prime-men-200-krasnaya-00571145/" , "00571145 Рубашка поло мужская PRIME MEN 200 красная, размер XXL")</f>
      </c>
      <c r="C18766" s="4" t="n">
        <v>1690.00</v>
      </c>
      <c r="D18766" s="4"/>
    </row>
    <row collapsed="" customFormat="false" customHeight="1" hidden="" ht="14" outlineLevel="0" r="18767">
      <c r="A18767" s="3" t="inlineStr">
        <is>
          <t>18719</t>
        </is>
      </c>
      <c r="B18767" s="4" t="s">
        <f>=HYPERLINK("http://anyluxury.ru/shop/odezhda/rubashki-polo/rubashka-polo-muzhskaya-prime-men-200-krasnaya-00571145/" , "00571145 Рубашка поло мужская PRIME MEN 200 красная, размер 3XL")</f>
      </c>
      <c r="C18767" s="4" t="n">
        <v>2008.00</v>
      </c>
      <c r="D18767" s="4"/>
    </row>
    <row collapsed="" customFormat="false" customHeight="1" hidden="" ht="14" outlineLevel="0" r="18768">
      <c r="A18768" s="3" t="inlineStr">
        <is>
          <t>18720</t>
        </is>
      </c>
      <c r="B18768" s="4" t="s">
        <f>=HYPERLINK("http://anyluxury.ru/shop/odezhda/rubashki-polo/rubashka-polo-muzhskaya-prime-men-200-krasnaya-00571145/" , "00571145 Рубашка поло мужская PRIME MEN 200 красная, размер 4XL")</f>
      </c>
      <c r="C18768" s="4" t="n">
        <v>2394.00</v>
      </c>
      <c r="D18768" s="4"/>
    </row>
    <row collapsed="" customFormat="false" customHeight="1" hidden="" ht="14" outlineLevel="0" r="18769">
      <c r="A18769" s="3" t="inlineStr">
        <is>
          <t>18721</t>
        </is>
      </c>
      <c r="B18769" s="4" t="s">
        <f>=HYPERLINK("http://anyluxury.ru/shop/odezhda/rubashki-polo/rubashka-polo-muzhskaya-prime-men-200-krasnaya-00571145/" , "00571145 Рубашка поло мужская PRIME MEN 200 красная, размер 5XL")</f>
      </c>
      <c r="C18769" s="4" t="n">
        <v>2394.00</v>
      </c>
      <c r="D18769" s="4"/>
    </row>
    <row collapsed="" customFormat="false" customHeight="1" hidden="" ht="14" outlineLevel="0" r="18770">
      <c r="A18770" s="3" t="inlineStr">
        <is>
          <t>18722</t>
        </is>
      </c>
      <c r="B18770" s="4" t="s">
        <f>=HYPERLINK("http://anyluxury.ru/shop/odezhda/rubashki-polo/rubashka-polo-muzhskaya-prime-men-200-golubaya-00571200/" , "00571200 Рубашка поло мужская PRIME MEN 200 голубая, размер S")</f>
      </c>
      <c r="C18770" s="4" t="n">
        <v>1690.00</v>
      </c>
      <c r="D18770" s="4"/>
    </row>
    <row collapsed="" customFormat="false" customHeight="1" hidden="" ht="14" outlineLevel="0" r="18771">
      <c r="A18771" s="3" t="inlineStr">
        <is>
          <t>18723</t>
        </is>
      </c>
      <c r="B18771" s="4" t="s">
        <f>=HYPERLINK("http://anyluxury.ru/shop/odezhda/rubashki-polo/rubashka-polo-muzhskaya-prime-men-200-golubaya-00571200/" , "00571200 Рубашка поло мужская PRIME MEN 200 голубая, размер M")</f>
      </c>
      <c r="C18771" s="4" t="n">
        <v>1690.00</v>
      </c>
      <c r="D18771" s="4"/>
    </row>
    <row collapsed="" customFormat="false" customHeight="1" hidden="" ht="14" outlineLevel="0" r="18772">
      <c r="A18772" s="3" t="inlineStr">
        <is>
          <t>18724</t>
        </is>
      </c>
      <c r="B18772" s="4" t="s">
        <f>=HYPERLINK("http://anyluxury.ru/shop/odezhda/rubashki-polo/rubashka-polo-muzhskaya-prime-men-200-golubaya-00571200/" , "00571200 Рубашка поло мужская PRIME MEN 200 голубая, размер 4XL")</f>
      </c>
      <c r="C18772" s="4" t="n">
        <v>2394.00</v>
      </c>
      <c r="D18772" s="4"/>
    </row>
    <row collapsed="" customFormat="false" customHeight="1" hidden="" ht="14" outlineLevel="0" r="18773">
      <c r="A18773" s="3" t="inlineStr">
        <is>
          <t>18725</t>
        </is>
      </c>
      <c r="B18773" s="4" t="s">
        <f>=HYPERLINK("http://anyluxury.ru/shop/odezhda/rubashki-polo/rubashka-polo-zhenskaya-prime-women-200-temnozelenaya-00573264/" , "00573264 Рубашка поло женская PRIME WOMEN 200 темно-зеленая, размер S")</f>
      </c>
      <c r="C18773" s="4" t="n">
        <v>1650.00</v>
      </c>
      <c r="D18773" s="4"/>
    </row>
    <row collapsed="" customFormat="false" customHeight="1" hidden="" ht="14" outlineLevel="0" r="18774">
      <c r="A18774" s="3" t="inlineStr">
        <is>
          <t>18726</t>
        </is>
      </c>
      <c r="B18774" s="4" t="s">
        <f>=HYPERLINK("http://anyluxury.ru/shop/odezhda/rubashki-polo/rubashka-polo-zhenskaya-prime-women-200-temnozelenaya-00573264/" , "00573264 Рубашка поло женская PRIME WOMEN 200 темно-зеленая, размер M")</f>
      </c>
      <c r="C18774" s="4" t="n">
        <v>1650.00</v>
      </c>
      <c r="D18774" s="4"/>
    </row>
    <row collapsed="" customFormat="false" customHeight="1" hidden="" ht="14" outlineLevel="0" r="18775">
      <c r="A18775" s="3" t="inlineStr">
        <is>
          <t>18727</t>
        </is>
      </c>
      <c r="B18775" s="4" t="s">
        <f>=HYPERLINK("http://anyluxury.ru/shop/odezhda/rubashki-polo/rubashka-polo-zhenskaya-prime-women-200-temnozelenaya-00573264/" , "00573264 Рубашка поло женская PRIME WOMEN 200 темно-зеленая, размер L")</f>
      </c>
      <c r="C18775" s="4" t="n">
        <v>1650.00</v>
      </c>
      <c r="D18775" s="4"/>
    </row>
    <row collapsed="" customFormat="false" customHeight="1" hidden="" ht="14" outlineLevel="0" r="18776">
      <c r="A18776" s="3" t="inlineStr">
        <is>
          <t>18728</t>
        </is>
      </c>
      <c r="B18776" s="4" t="s">
        <f>=HYPERLINK("http://anyluxury.ru/shop/odezhda/rubashki-polo/rubashka-polo-zhenskaya-prime-women-200-temnozelenaya-00573264/" , "00573264 Рубашка поло женская PRIME WOMEN 200 темно-зеленая, размер XL")</f>
      </c>
      <c r="C18776" s="4" t="n">
        <v>1650.00</v>
      </c>
      <c r="D18776" s="4"/>
    </row>
    <row collapsed="" customFormat="false" customHeight="1" hidden="" ht="14" outlineLevel="0" r="18777">
      <c r="A18777" s="3" t="inlineStr">
        <is>
          <t>18729</t>
        </is>
      </c>
      <c r="B18777" s="4" t="s">
        <f>=HYPERLINK("http://anyluxury.ru/shop/odezhda/rubashki-polo/rubashka-polo-zhenskaya-prime-women-200-temnozelenaya-00573264/" , "00573264 Рубашка поло женская PRIME WOMEN 200 темно-зеленая, размер XXL")</f>
      </c>
      <c r="C18777" s="4" t="n">
        <v>1650.00</v>
      </c>
      <c r="D18777" s="4"/>
    </row>
    <row collapsed="" customFormat="false" customHeight="1" hidden="" ht="14" outlineLevel="0" r="18778">
      <c r="A18778" s="3" t="inlineStr">
        <is>
          <t>18730</t>
        </is>
      </c>
      <c r="B18778" s="4" t="s">
        <f>=HYPERLINK("http://anyluxury.ru/shop/odezhda/rubashki-polo/rubashka-polo-zhenskaya-prime-women-200-bordovaya-00573146/" , "00573146 Рубашка поло женская PRIME WOMEN 200 бордовая, размер S")</f>
      </c>
      <c r="C18778" s="4" t="n">
        <v>1650.00</v>
      </c>
      <c r="D18778" s="4"/>
    </row>
    <row collapsed="" customFormat="false" customHeight="1" hidden="" ht="14" outlineLevel="0" r="18779">
      <c r="A18779" s="3" t="inlineStr">
        <is>
          <t>18731</t>
        </is>
      </c>
      <c r="B18779" s="4" t="s">
        <f>=HYPERLINK("http://anyluxury.ru/shop/odezhda/rubashki-polo/rubashka-polo-zhenskaya-prime-women-200-bordovaya-00573146/" , "00573146 Рубашка поло женская PRIME WOMEN 200 бордовая, размер M")</f>
      </c>
      <c r="C18779" s="4" t="n">
        <v>1650.00</v>
      </c>
      <c r="D18779" s="4"/>
    </row>
    <row collapsed="" customFormat="false" customHeight="1" hidden="" ht="14" outlineLevel="0" r="18780">
      <c r="A18780" s="3" t="inlineStr">
        <is>
          <t>18732</t>
        </is>
      </c>
      <c r="B18780" s="4" t="s">
        <f>=HYPERLINK("http://anyluxury.ru/shop/odezhda/rubashki-polo/rubashka-polo-zhenskaya-prime-women-200-bordovaya-00573146/" , "00573146 Рубашка поло женская PRIME WOMEN 200 бордовая, размер L")</f>
      </c>
      <c r="C18780" s="4" t="n">
        <v>1650.00</v>
      </c>
      <c r="D18780" s="4"/>
    </row>
    <row collapsed="" customFormat="false" customHeight="1" hidden="" ht="14" outlineLevel="0" r="18781">
      <c r="A18781" s="3" t="inlineStr">
        <is>
          <t>18733</t>
        </is>
      </c>
      <c r="B18781" s="4" t="s">
        <f>=HYPERLINK("http://anyluxury.ru/shop/odezhda/rubashki-polo/rubashka-polo-zhenskaya-prime-women-200-bordovaya-00573146/" , "00573146 Рубашка поло женская PRIME WOMEN 200 бордовая, размер XL")</f>
      </c>
      <c r="C18781" s="4" t="n">
        <v>1650.00</v>
      </c>
      <c r="D18781" s="4"/>
    </row>
    <row collapsed="" customFormat="false" customHeight="1" hidden="" ht="14" outlineLevel="0" r="18782">
      <c r="A18782" s="3" t="inlineStr">
        <is>
          <t>18734</t>
        </is>
      </c>
      <c r="B18782" s="4" t="s">
        <f>=HYPERLINK("http://anyluxury.ru/shop/odezhda/rubashki-polo/rubashka-polo-zhenskaya-prime-women-200-bordovaya-00573146/" , "00573146 Рубашка поло женская PRIME WOMEN 200 бордовая, размер XXL")</f>
      </c>
      <c r="C18782" s="4" t="n">
        <v>1650.00</v>
      </c>
      <c r="D18782" s="4"/>
    </row>
    <row collapsed="" customFormat="false" customHeight="1" hidden="" ht="14" outlineLevel="0" r="18783">
      <c r="A18783" s="3" t="inlineStr">
        <is>
          <t>18735</t>
        </is>
      </c>
      <c r="B18783" s="4" t="s">
        <f>=HYPERLINK("http://anyluxury.ru/shop/odezhda/rubashki-polo/rubashka-polo-zhenskaya-prime-women-200-temnoseraya-00573384/" , "00573384 Рубашка поло женская PRIME WOMEN 200 темно-серая, размер S")</f>
      </c>
      <c r="C18783" s="4" t="n">
        <v>1650.00</v>
      </c>
      <c r="D18783" s="4"/>
    </row>
    <row collapsed="" customFormat="false" customHeight="1" hidden="" ht="14" outlineLevel="0" r="18784">
      <c r="A18784" s="3" t="inlineStr">
        <is>
          <t>18736</t>
        </is>
      </c>
      <c r="B18784" s="4" t="s">
        <f>=HYPERLINK("http://anyluxury.ru/shop/odezhda/rubashki-polo/rubashka-polo-zhenskaya-prime-women-200-temnoseraya-00573384/" , "00573384 Рубашка поло женская PRIME WOMEN 200 темно-серая, размер M")</f>
      </c>
      <c r="C18784" s="4" t="n">
        <v>1650.00</v>
      </c>
      <c r="D18784" s="4"/>
    </row>
    <row collapsed="" customFormat="false" customHeight="1" hidden="" ht="14" outlineLevel="0" r="18785">
      <c r="A18785" s="3" t="inlineStr">
        <is>
          <t>18737</t>
        </is>
      </c>
      <c r="B18785" s="4" t="s">
        <f>=HYPERLINK("http://anyluxury.ru/shop/odezhda/rubashki-polo/rubashka-polo-zhenskaya-prime-women-200-temnoseraya-00573384/" , "00573384 Рубашка поло женская PRIME WOMEN 200 темно-серая, размер L")</f>
      </c>
      <c r="C18785" s="4" t="n">
        <v>1650.00</v>
      </c>
      <c r="D18785" s="4"/>
    </row>
    <row collapsed="" customFormat="false" customHeight="1" hidden="" ht="14" outlineLevel="0" r="18786">
      <c r="A18786" s="3" t="inlineStr">
        <is>
          <t>18738</t>
        </is>
      </c>
      <c r="B18786" s="4" t="s">
        <f>=HYPERLINK("http://anyluxury.ru/shop/odezhda/rubashki-polo/rubashka-polo-zhenskaya-prime-women-200-temnoseraya-00573384/" , "00573384 Рубашка поло женская PRIME WOMEN 200 темно-серая, размер XL")</f>
      </c>
      <c r="C18786" s="4" t="n">
        <v>1650.00</v>
      </c>
      <c r="D18786" s="4"/>
    </row>
    <row collapsed="" customFormat="false" customHeight="1" hidden="" ht="14" outlineLevel="0" r="18787">
      <c r="A18787" s="3" t="inlineStr">
        <is>
          <t>18739</t>
        </is>
      </c>
      <c r="B18787" s="4" t="s">
        <f>=HYPERLINK("http://anyluxury.ru/shop/odezhda/rubashki-polo/rubashka-polo-zhenskaya-prime-women-200-temnoseraya-00573384/" , "00573384 Рубашка поло женская PRIME WOMEN 200 темно-серая, размер XXL")</f>
      </c>
      <c r="C18787" s="4" t="n">
        <v>1650.00</v>
      </c>
      <c r="D18787" s="4"/>
    </row>
    <row collapsed="" customFormat="false" customHeight="1" hidden="" ht="14" outlineLevel="0" r="18788">
      <c r="A18788" s="3" t="inlineStr">
        <is>
          <t>18740</t>
        </is>
      </c>
      <c r="B18788" s="4" t="s">
        <f>=HYPERLINK("http://anyluxury.ru/shop/odezhda/rubashki-polo/rubashka-polo-zhenskaya-prime-women-200-temnofioletovaya-00573712/" , "00573712 Рубашка поло женская PRIME WOMEN 200 темно-фиолетовая, размер S")</f>
      </c>
      <c r="C18788" s="4" t="n">
        <v>1650.00</v>
      </c>
      <c r="D18788" s="4"/>
    </row>
    <row collapsed="" customFormat="false" customHeight="1" hidden="" ht="14" outlineLevel="0" r="18789">
      <c r="A18789" s="3" t="inlineStr">
        <is>
          <t>18741</t>
        </is>
      </c>
      <c r="B18789" s="4" t="s">
        <f>=HYPERLINK("http://anyluxury.ru/shop/odezhda/rubashki-polo/rubashka-polo-zhenskaya-prime-women-200-temnofioletovaya-00573712/" , "00573712 Рубашка поло женская PRIME WOMEN 200 темно-фиолетовая, размер M")</f>
      </c>
      <c r="C18789" s="4" t="n">
        <v>1650.00</v>
      </c>
      <c r="D18789" s="4"/>
    </row>
    <row collapsed="" customFormat="false" customHeight="1" hidden="" ht="14" outlineLevel="0" r="18790">
      <c r="A18790" s="3" t="inlineStr">
        <is>
          <t>18742</t>
        </is>
      </c>
      <c r="B18790" s="4" t="s">
        <f>=HYPERLINK("http://anyluxury.ru/shop/odezhda/rubashki-polo/rubashka-polo-zhenskaya-prime-women-200-temnofioletovaya-00573712/" , "00573712 Рубашка поло женская PRIME WOMEN 200 темно-фиолетовая, размер L")</f>
      </c>
      <c r="C18790" s="4" t="n">
        <v>1650.00</v>
      </c>
      <c r="D18790" s="4"/>
    </row>
    <row collapsed="" customFormat="false" customHeight="1" hidden="" ht="14" outlineLevel="0" r="18791">
      <c r="A18791" s="3" t="inlineStr">
        <is>
          <t>18743</t>
        </is>
      </c>
      <c r="B18791" s="4" t="s">
        <f>=HYPERLINK("http://anyluxury.ru/shop/odezhda/rubashki-polo/rubashka-polo-zhenskaya-prime-women-200-temnofioletovaya-00573712/" , "00573712 Рубашка поло женская PRIME WOMEN 200 темно-фиолетовая, размер XL")</f>
      </c>
      <c r="C18791" s="4" t="n">
        <v>1650.00</v>
      </c>
      <c r="D18791" s="4"/>
    </row>
    <row collapsed="" customFormat="false" customHeight="1" hidden="" ht="14" outlineLevel="0" r="18792">
      <c r="A18792" s="3" t="inlineStr">
        <is>
          <t>18744</t>
        </is>
      </c>
      <c r="B18792" s="4" t="s">
        <f>=HYPERLINK("http://anyluxury.ru/shop/odezhda/rubashki-polo/rubashka-polo-zhenskaya-prime-women-200-temnofioletovaya-00573712/" , "00573712 Рубашка поло женская PRIME WOMEN 200 темно-фиолетовая, размер XXL")</f>
      </c>
      <c r="C18792" s="4" t="n">
        <v>1650.00</v>
      </c>
      <c r="D18792" s="4"/>
    </row>
    <row collapsed="" customFormat="false" customHeight="1" hidden="" ht="14" outlineLevel="0" r="18793">
      <c r="A18793" s="3" t="inlineStr">
        <is>
          <t>18745</t>
        </is>
      </c>
      <c r="B18793" s="4" t="s">
        <f>=HYPERLINK("http://anyluxury.ru/shop/odezhda/rubashki-polo/rubashka-polo-zhenskaya-prime-women-200-temnosinyaya-00573319/" , "00573319 Рубашка поло женская PRIME WOMEN 200 темно-синяя, размер S")</f>
      </c>
      <c r="C18793" s="4" t="n">
        <v>1650.00</v>
      </c>
      <c r="D18793" s="4"/>
    </row>
    <row collapsed="" customFormat="false" customHeight="1" hidden="" ht="14" outlineLevel="0" r="18794">
      <c r="A18794" s="3" t="inlineStr">
        <is>
          <t>18746</t>
        </is>
      </c>
      <c r="B18794" s="4" t="s">
        <f>=HYPERLINK("http://anyluxury.ru/shop/odezhda/rubashki-polo/rubashka-polo-zhenskaya-prime-women-200-temnosinyaya-00573319/" , "00573319 Рубашка поло женская PRIME WOMEN 200 темно-синяя, размер M")</f>
      </c>
      <c r="C18794" s="4" t="n">
        <v>1650.00</v>
      </c>
      <c r="D18794" s="4"/>
    </row>
    <row collapsed="" customFormat="false" customHeight="1" hidden="" ht="14" outlineLevel="0" r="18795">
      <c r="A18795" s="3" t="inlineStr">
        <is>
          <t>18747</t>
        </is>
      </c>
      <c r="B18795" s="4" t="s">
        <f>=HYPERLINK("http://anyluxury.ru/shop/odezhda/rubashki-polo/rubashka-polo-zhenskaya-prime-women-200-temnosinyaya-00573319/" , "00573319 Рубашка поло женская PRIME WOMEN 200 темно-синяя, размер L")</f>
      </c>
      <c r="C18795" s="4" t="n">
        <v>1650.00</v>
      </c>
      <c r="D18795" s="4"/>
    </row>
    <row collapsed="" customFormat="false" customHeight="1" hidden="" ht="14" outlineLevel="0" r="18796">
      <c r="A18796" s="3" t="inlineStr">
        <is>
          <t>18748</t>
        </is>
      </c>
      <c r="B18796" s="4" t="s">
        <f>=HYPERLINK("http://anyluxury.ru/shop/odezhda/rubashki-polo/rubashka-polo-zhenskaya-prime-women-200-temnosinyaya-00573319/" , "00573319 Рубашка поло женская PRIME WOMEN 200 темно-синяя, размер XL")</f>
      </c>
      <c r="C18796" s="4" t="n">
        <v>1650.00</v>
      </c>
      <c r="D18796" s="4"/>
    </row>
    <row collapsed="" customFormat="false" customHeight="1" hidden="" ht="14" outlineLevel="0" r="18797">
      <c r="A18797" s="3" t="inlineStr">
        <is>
          <t>18749</t>
        </is>
      </c>
      <c r="B18797" s="4" t="s">
        <f>=HYPERLINK("http://anyluxury.ru/shop/odezhda/rubashki-polo/rubashka-polo-zhenskaya-prime-women-200-temnosinyaya-00573319/" , "00573319 Рубашка поло женская PRIME WOMEN 200 темно-синяя, размер XXL")</f>
      </c>
      <c r="C18797" s="4" t="n">
        <v>1650.00</v>
      </c>
      <c r="D18797" s="4"/>
    </row>
    <row collapsed="" customFormat="false" customHeight="1" hidden="" ht="14" outlineLevel="0" r="18798">
      <c r="A18798" s="3" t="inlineStr">
        <is>
          <t>18750</t>
        </is>
      </c>
      <c r="B18798" s="4" t="s">
        <f>=HYPERLINK("http://anyluxury.ru/shop/odezhda/rubashki-polo/rubashka-polo-zhenskaya-prime-women-200-zheltaya-00573301/" , "00573301 Рубашка поло женская PRIME WOMEN 200 желтая, размер S")</f>
      </c>
      <c r="C18798" s="4" t="n">
        <v>1627.00</v>
      </c>
      <c r="D18798" s="4"/>
    </row>
    <row collapsed="" customFormat="false" customHeight="1" hidden="" ht="14" outlineLevel="0" r="18799">
      <c r="A18799" s="3" t="inlineStr">
        <is>
          <t>18751</t>
        </is>
      </c>
      <c r="B18799" s="4" t="s">
        <f>=HYPERLINK("http://anyluxury.ru/shop/odezhda/rubashki-polo/rubashka-polo-zhenskaya-prime-women-200-zheltaya-00573301/" , "00573301 Рубашка поло женская PRIME WOMEN 200 желтая, размер M")</f>
      </c>
      <c r="C18799" s="4" t="n">
        <v>1627.00</v>
      </c>
      <c r="D18799" s="4"/>
    </row>
    <row collapsed="" customFormat="false" customHeight="1" hidden="" ht="14" outlineLevel="0" r="18800">
      <c r="A18800" s="3" t="inlineStr">
        <is>
          <t>18752</t>
        </is>
      </c>
      <c r="B18800" s="4" t="s">
        <f>=HYPERLINK("http://anyluxury.ru/shop/odezhda/rubashki-polo/rubashka-polo-zhenskaya-prime-women-200-zheltaya-00573301/" , "00573301 Рубашка поло женская PRIME WOMEN 200 желтая, размер L")</f>
      </c>
      <c r="C18800" s="4" t="n">
        <v>1627.00</v>
      </c>
      <c r="D18800" s="4"/>
    </row>
    <row collapsed="" customFormat="false" customHeight="1" hidden="" ht="14" outlineLevel="0" r="18801">
      <c r="A18801" s="3" t="inlineStr">
        <is>
          <t>18753</t>
        </is>
      </c>
      <c r="B18801" s="4" t="s">
        <f>=HYPERLINK("http://anyluxury.ru/shop/odezhda/rubashki-polo/rubashka-polo-zhenskaya-prime-women-200-zheltaya-00573301/" , "00573301 Рубашка поло женская PRIME WOMEN 200 желтая, размер XL")</f>
      </c>
      <c r="C18801" s="4" t="n">
        <v>1627.00</v>
      </c>
      <c r="D18801" s="4"/>
    </row>
    <row collapsed="" customFormat="false" customHeight="1" hidden="" ht="14" outlineLevel="0" r="18802">
      <c r="A18802" s="3" t="inlineStr">
        <is>
          <t>18754</t>
        </is>
      </c>
      <c r="B18802" s="4" t="s">
        <f>=HYPERLINK("http://anyluxury.ru/shop/odezhda/rubashki-polo/rubashka-polo-zhenskaya-prime-women-200-zheltaya-00573301/" , "00573301 Рубашка поло женская PRIME WOMEN 200 желтая, размер XXL")</f>
      </c>
      <c r="C18802" s="4" t="n">
        <v>1627.00</v>
      </c>
      <c r="D18802" s="4"/>
    </row>
    <row collapsed="" customFormat="false" customHeight="1" hidden="" ht="14" outlineLevel="0" r="18803">
      <c r="A18803" s="3" t="inlineStr">
        <is>
          <t>18755</t>
        </is>
      </c>
      <c r="B18803" s="4" t="s">
        <f>=HYPERLINK("http://anyluxury.ru/shop/odezhda/rubashki-polo/rubashka-polo-zhenskaya-prime-women-200-seriy-melanzh-00573360/" , "00573360 Рубашка поло женская PRIME WOMEN 200 серый меланж, размер S")</f>
      </c>
      <c r="C18803" s="4" t="n">
        <v>1650.00</v>
      </c>
      <c r="D18803" s="4"/>
    </row>
    <row collapsed="" customFormat="false" customHeight="1" hidden="" ht="14" outlineLevel="0" r="18804">
      <c r="A18804" s="3" t="inlineStr">
        <is>
          <t>18756</t>
        </is>
      </c>
      <c r="B18804" s="4" t="s">
        <f>=HYPERLINK("http://anyluxury.ru/shop/odezhda/rubashki-polo/rubashka-polo-zhenskaya-prime-women-200-seriy-melanzh-00573360/" , "00573360 Рубашка поло женская PRIME WOMEN 200 серый меланж, размер M")</f>
      </c>
      <c r="C18804" s="4" t="n">
        <v>1650.00</v>
      </c>
      <c r="D18804" s="4"/>
    </row>
    <row collapsed="" customFormat="false" customHeight="1" hidden="" ht="14" outlineLevel="0" r="18805">
      <c r="A18805" s="3" t="inlineStr">
        <is>
          <t>18757</t>
        </is>
      </c>
      <c r="B18805" s="4" t="s">
        <f>=HYPERLINK("http://anyluxury.ru/shop/odezhda/rubashki-polo/rubashka-polo-zhenskaya-prime-women-200-seriy-melanzh-00573360/" , "00573360 Рубашка поло женская PRIME WOMEN 200 серый меланж, размер L")</f>
      </c>
      <c r="C18805" s="4" t="n">
        <v>1650.00</v>
      </c>
      <c r="D18805" s="4"/>
    </row>
    <row collapsed="" customFormat="false" customHeight="1" hidden="" ht="14" outlineLevel="0" r="18806">
      <c r="A18806" s="3" t="inlineStr">
        <is>
          <t>18758</t>
        </is>
      </c>
      <c r="B18806" s="4" t="s">
        <f>=HYPERLINK("http://anyluxury.ru/shop/odezhda/rubashki-polo/rubashka-polo-zhenskaya-prime-women-200-seriy-melanzh-00573360/" , "00573360 Рубашка поло женская PRIME WOMEN 200 серый меланж, размер XL")</f>
      </c>
      <c r="C18806" s="4" t="n">
        <v>1650.00</v>
      </c>
      <c r="D18806" s="4"/>
    </row>
    <row collapsed="" customFormat="false" customHeight="1" hidden="" ht="14" outlineLevel="0" r="18807">
      <c r="A18807" s="3" t="inlineStr">
        <is>
          <t>18759</t>
        </is>
      </c>
      <c r="B18807" s="4" t="s">
        <f>=HYPERLINK("http://anyluxury.ru/shop/odezhda/rubashki-polo/rubashka-polo-zhenskaya-prime-women-200-seriy-melanzh-00573360/" , "00573360 Рубашка поло женская PRIME WOMEN 200 серый меланж, размер XXL")</f>
      </c>
      <c r="C18807" s="4" t="n">
        <v>1650.00</v>
      </c>
      <c r="D18807" s="4"/>
    </row>
    <row collapsed="" customFormat="false" customHeight="1" hidden="" ht="14" outlineLevel="0" r="18808">
      <c r="A18808" s="3" t="inlineStr">
        <is>
          <t>18760</t>
        </is>
      </c>
      <c r="B18808" s="4" t="s">
        <f>=HYPERLINK("http://anyluxury.ru/shop/odezhda/rubashki-polo/rubashka-polo-zhenskaya-prime-women-200-yarkozelenaya-00573272/" , "00573272 Рубашка поло женская PRIME WOMEN 200 ярко-зеленая, размер S")</f>
      </c>
      <c r="C18808" s="4" t="n">
        <v>1650.00</v>
      </c>
      <c r="D18808" s="4"/>
    </row>
    <row collapsed="" customFormat="false" customHeight="1" hidden="" ht="14" outlineLevel="0" r="18809">
      <c r="A18809" s="3" t="inlineStr">
        <is>
          <t>18761</t>
        </is>
      </c>
      <c r="B18809" s="4" t="s">
        <f>=HYPERLINK("http://anyluxury.ru/shop/odezhda/rubashki-polo/rubashka-polo-zhenskaya-prime-women-200-yarkozelenaya-00573272/" , "00573272 Рубашка поло женская PRIME WOMEN 200 ярко-зеленая, размер M")</f>
      </c>
      <c r="C18809" s="4" t="n">
        <v>1650.00</v>
      </c>
      <c r="D18809" s="4"/>
    </row>
    <row collapsed="" customFormat="false" customHeight="1" hidden="" ht="14" outlineLevel="0" r="18810">
      <c r="A18810" s="3" t="inlineStr">
        <is>
          <t>18762</t>
        </is>
      </c>
      <c r="B18810" s="4" t="s">
        <f>=HYPERLINK("http://anyluxury.ru/shop/odezhda/rubashki-polo/rubashka-polo-zhenskaya-prime-women-200-yarkozelenaya-00573272/" , "00573272 Рубашка поло женская PRIME WOMEN 200 ярко-зеленая, размер L")</f>
      </c>
      <c r="C18810" s="4" t="n">
        <v>1650.00</v>
      </c>
      <c r="D18810" s="4"/>
    </row>
    <row collapsed="" customFormat="false" customHeight="1" hidden="" ht="14" outlineLevel="0" r="18811">
      <c r="A18811" s="3" t="inlineStr">
        <is>
          <t>18763</t>
        </is>
      </c>
      <c r="B18811" s="4" t="s">
        <f>=HYPERLINK("http://anyluxury.ru/shop/odezhda/rubashki-polo/rubashka-polo-zhenskaya-prime-women-200-yarkozelenaya-00573272/" , "00573272 Рубашка поло женская PRIME WOMEN 200 ярко-зеленая, размер XL")</f>
      </c>
      <c r="C18811" s="4" t="n">
        <v>1650.00</v>
      </c>
      <c r="D18811" s="4"/>
    </row>
    <row collapsed="" customFormat="false" customHeight="1" hidden="" ht="14" outlineLevel="0" r="18812">
      <c r="A18812" s="3" t="inlineStr">
        <is>
          <t>18764</t>
        </is>
      </c>
      <c r="B18812" s="4" t="s">
        <f>=HYPERLINK("http://anyluxury.ru/shop/odezhda/rubashki-polo/rubashka-polo-zhenskaya-prime-women-200-yarkozelenaya-00573272/" , "00573272 Рубашка поло женская PRIME WOMEN 200 ярко-зеленая, размер XXL")</f>
      </c>
      <c r="C18812" s="4" t="n">
        <v>1650.00</v>
      </c>
      <c r="D18812" s="4"/>
    </row>
    <row collapsed="" customFormat="false" customHeight="1" hidden="" ht="14" outlineLevel="0" r="18813">
      <c r="A18813" s="3" t="inlineStr">
        <is>
          <t>18765</t>
        </is>
      </c>
      <c r="B18813" s="4" t="s">
        <f>=HYPERLINK("http://anyluxury.ru/shop/odezhda/rubashki-polo/rubashka-polo-zhenskaya-prime-women-200-oranzhevaya-00573400/" , "00573400 Рубашка поло женская PRIME WOMEN 200 оранжевая, размер S")</f>
      </c>
      <c r="C18813" s="4" t="n">
        <v>1627.00</v>
      </c>
      <c r="D18813" s="4"/>
    </row>
    <row collapsed="" customFormat="false" customHeight="1" hidden="" ht="14" outlineLevel="0" r="18814">
      <c r="A18814" s="3" t="inlineStr">
        <is>
          <t>18766</t>
        </is>
      </c>
      <c r="B18814" s="4" t="s">
        <f>=HYPERLINK("http://anyluxury.ru/shop/odezhda/rubashki-polo/rubashka-polo-zhenskaya-prime-women-200-oranzhevaya-00573400/" , "00573400 Рубашка поло женская PRIME WOMEN 200 оранжевая, размер M")</f>
      </c>
      <c r="C18814" s="4" t="n">
        <v>1627.00</v>
      </c>
      <c r="D18814" s="4"/>
    </row>
    <row collapsed="" customFormat="false" customHeight="1" hidden="" ht="14" outlineLevel="0" r="18815">
      <c r="A18815" s="3" t="inlineStr">
        <is>
          <t>18767</t>
        </is>
      </c>
      <c r="B18815" s="4" t="s">
        <f>=HYPERLINK("http://anyluxury.ru/shop/odezhda/rubashki-polo/rubashka-polo-zhenskaya-prime-women-200-oranzhevaya-00573400/" , "00573400 Рубашка поло женская PRIME WOMEN 200 оранжевая, размер L")</f>
      </c>
      <c r="C18815" s="4" t="n">
        <v>1627.00</v>
      </c>
      <c r="D18815" s="4"/>
    </row>
    <row collapsed="" customFormat="false" customHeight="1" hidden="" ht="14" outlineLevel="0" r="18816">
      <c r="A18816" s="3" t="inlineStr">
        <is>
          <t>18768</t>
        </is>
      </c>
      <c r="B18816" s="4" t="s">
        <f>=HYPERLINK("http://anyluxury.ru/shop/odezhda/rubashki-polo/rubashka-polo-zhenskaya-prime-women-200-oranzhevaya-00573400/" , "00573400 Рубашка поло женская PRIME WOMEN 200 оранжевая, размер XL")</f>
      </c>
      <c r="C18816" s="4" t="n">
        <v>1627.00</v>
      </c>
      <c r="D18816" s="4"/>
    </row>
    <row collapsed="" customFormat="false" customHeight="1" hidden="" ht="14" outlineLevel="0" r="18817">
      <c r="A18817" s="3" t="inlineStr">
        <is>
          <t>18769</t>
        </is>
      </c>
      <c r="B18817" s="4" t="s">
        <f>=HYPERLINK("http://anyluxury.ru/shop/odezhda/rubashki-polo/rubashka-polo-zhenskaya-prime-women-200-oranzhevaya-00573400/" , "00573400 Рубашка поло женская PRIME WOMEN 200 оранжевая, размер XXL")</f>
      </c>
      <c r="C18817" s="4" t="n">
        <v>1627.00</v>
      </c>
      <c r="D18817" s="4"/>
    </row>
    <row collapsed="" customFormat="false" customHeight="1" hidden="" ht="14" outlineLevel="0" r="18818">
      <c r="A18818" s="3" t="inlineStr">
        <is>
          <t>18770</t>
        </is>
      </c>
      <c r="B18818" s="4" t="s">
        <f>=HYPERLINK("http://anyluxury.ru/shop/odezhda/rubashki-polo/rubashka-polo-zhenskaya-prime-women-200-krasnaya-00573145/" , "00573145 Рубашка поло женская PRIME WOMEN 200 красная, размер S")</f>
      </c>
      <c r="C18818" s="4" t="n">
        <v>1650.00</v>
      </c>
      <c r="D18818" s="4"/>
    </row>
    <row collapsed="" customFormat="false" customHeight="1" hidden="" ht="14" outlineLevel="0" r="18819">
      <c r="A18819" s="3" t="inlineStr">
        <is>
          <t>18771</t>
        </is>
      </c>
      <c r="B18819" s="4" t="s">
        <f>=HYPERLINK("http://anyluxury.ru/shop/odezhda/rubashki-polo/rubashka-polo-zhenskaya-prime-women-200-krasnaya-00573145/" , "00573145 Рубашка поло женская PRIME WOMEN 200 красная, размер M")</f>
      </c>
      <c r="C18819" s="4" t="n">
        <v>1650.00</v>
      </c>
      <c r="D18819" s="4"/>
    </row>
    <row collapsed="" customFormat="false" customHeight="1" hidden="" ht="14" outlineLevel="0" r="18820">
      <c r="A18820" s="3" t="inlineStr">
        <is>
          <t>18772</t>
        </is>
      </c>
      <c r="B18820" s="4" t="s">
        <f>=HYPERLINK("http://anyluxury.ru/shop/odezhda/rubashki-polo/rubashka-polo-zhenskaya-prime-women-200-krasnaya-00573145/" , "00573145 Рубашка поло женская PRIME WOMEN 200 красная, размер L")</f>
      </c>
      <c r="C18820" s="4" t="n">
        <v>1650.00</v>
      </c>
      <c r="D18820" s="4"/>
    </row>
    <row collapsed="" customFormat="false" customHeight="1" hidden="" ht="14" outlineLevel="0" r="18821">
      <c r="A18821" s="3" t="inlineStr">
        <is>
          <t>18773</t>
        </is>
      </c>
      <c r="B18821" s="4" t="s">
        <f>=HYPERLINK("http://anyluxury.ru/shop/odezhda/rubashki-polo/rubashka-polo-zhenskaya-prime-women-200-krasnaya-00573145/" , "00573145 Рубашка поло женская PRIME WOMEN 200 красная, размер XL")</f>
      </c>
      <c r="C18821" s="4" t="n">
        <v>1650.00</v>
      </c>
      <c r="D18821" s="4"/>
    </row>
    <row collapsed="" customFormat="false" customHeight="1" hidden="" ht="14" outlineLevel="0" r="18822">
      <c r="A18822" s="3" t="inlineStr">
        <is>
          <t>18774</t>
        </is>
      </c>
      <c r="B18822" s="4" t="s">
        <f>=HYPERLINK("http://anyluxury.ru/shop/odezhda/rubashki-polo/rubashka-polo-zhenskaya-prime-women-200-krasnaya-00573145/" , "00573145 Рубашка поло женская PRIME WOMEN 200 красная, размер XXL")</f>
      </c>
      <c r="C18822" s="4" t="n">
        <v>1650.00</v>
      </c>
      <c r="D18822" s="4"/>
    </row>
    <row collapsed="" customFormat="false" customHeight="1" hidden="" ht="14" outlineLevel="0" r="18823">
      <c r="A18823" s="3" t="inlineStr">
        <is>
          <t>18775</t>
        </is>
      </c>
      <c r="B18823" s="4" t="s">
        <f>=HYPERLINK("http://anyluxury.ru/shop/odezhda/rubashki-polo/rubashka-polo-zhenskaya-prime-women-200-yarkosinyaya-00573241/" , "00573241 Рубашка поло женская PRIME WOMEN 200 ярко-синяя, размер S")</f>
      </c>
      <c r="C18823" s="4" t="n">
        <v>1650.00</v>
      </c>
      <c r="D18823" s="4"/>
    </row>
    <row collapsed="" customFormat="false" customHeight="1" hidden="" ht="14" outlineLevel="0" r="18824">
      <c r="A18824" s="3" t="inlineStr">
        <is>
          <t>18776</t>
        </is>
      </c>
      <c r="B18824" s="4" t="s">
        <f>=HYPERLINK("http://anyluxury.ru/shop/odezhda/rubashki-polo/rubashka-polo-zhenskaya-prime-women-200-yarkosinyaya-00573241/" , "00573241 Рубашка поло женская PRIME WOMEN 200 ярко-синяя, размер M")</f>
      </c>
      <c r="C18824" s="4" t="n">
        <v>1650.00</v>
      </c>
      <c r="D18824" s="4"/>
    </row>
    <row collapsed="" customFormat="false" customHeight="1" hidden="" ht="14" outlineLevel="0" r="18825">
      <c r="A18825" s="3" t="inlineStr">
        <is>
          <t>18777</t>
        </is>
      </c>
      <c r="B18825" s="4" t="s">
        <f>=HYPERLINK("http://anyluxury.ru/shop/odezhda/rubashki-polo/rubashka-polo-zhenskaya-prime-women-200-yarkosinyaya-00573241/" , "00573241 Рубашка поло женская PRIME WOMEN 200 ярко-синяя, размер L")</f>
      </c>
      <c r="C18825" s="4" t="n">
        <v>1650.00</v>
      </c>
      <c r="D18825" s="4"/>
    </row>
    <row collapsed="" customFormat="false" customHeight="1" hidden="" ht="14" outlineLevel="0" r="18826">
      <c r="A18826" s="3" t="inlineStr">
        <is>
          <t>18778</t>
        </is>
      </c>
      <c r="B18826" s="4" t="s">
        <f>=HYPERLINK("http://anyluxury.ru/shop/odezhda/rubashki-polo/rubashka-polo-zhenskaya-prime-women-200-yarkosinyaya-00573241/" , "00573241 Рубашка поло женская PRIME WOMEN 200 ярко-синяя, размер XL")</f>
      </c>
      <c r="C18826" s="4" t="n">
        <v>1650.00</v>
      </c>
      <c r="D18826" s="4"/>
    </row>
    <row collapsed="" customFormat="false" customHeight="1" hidden="" ht="14" outlineLevel="0" r="18827">
      <c r="A18827" s="3" t="inlineStr">
        <is>
          <t>18779</t>
        </is>
      </c>
      <c r="B18827" s="4" t="s">
        <f>=HYPERLINK("http://anyluxury.ru/shop/odezhda/rubashki-polo/rubashka-polo-zhenskaya-prime-women-200-yarkosinyaya-00573241/" , "00573241 Рубашка поло женская PRIME WOMEN 200 ярко-синяя, размер XXL")</f>
      </c>
      <c r="C18827" s="4" t="n">
        <v>1650.00</v>
      </c>
      <c r="D18827" s="4"/>
    </row>
    <row collapsed="" customFormat="false" customHeight="1" hidden="" ht="14" outlineLevel="0" r="18828">
      <c r="A18828" s="3" t="inlineStr">
        <is>
          <t>18780</t>
        </is>
      </c>
      <c r="B18828" s="4" t="s">
        <f>=HYPERLINK("http://anyluxury.ru/shop/odezhda/rubashki-polo/rubashka-polo-zhenskaya-prime-women-200-bezhevaya-00573115/" , "00573115 Рубашка поло женская PRIME WOMEN 200 бежевая, размер S")</f>
      </c>
      <c r="C18828" s="4" t="n">
        <v>1650.00</v>
      </c>
      <c r="D18828" s="4"/>
    </row>
    <row collapsed="" customFormat="false" customHeight="1" hidden="" ht="14" outlineLevel="0" r="18829">
      <c r="A18829" s="3" t="inlineStr">
        <is>
          <t>18781</t>
        </is>
      </c>
      <c r="B18829" s="4" t="s">
        <f>=HYPERLINK("http://anyluxury.ru/shop/odezhda/rubashki-polo/rubashka-polo-zhenskaya-prime-women-200-bezhevaya-00573115/" , "00573115 Рубашка поло женская PRIME WOMEN 200 бежевая, размер M")</f>
      </c>
      <c r="C18829" s="4" t="n">
        <v>1650.00</v>
      </c>
      <c r="D18829" s="4"/>
    </row>
    <row collapsed="" customFormat="false" customHeight="1" hidden="" ht="14" outlineLevel="0" r="18830">
      <c r="A18830" s="3" t="inlineStr">
        <is>
          <t>18782</t>
        </is>
      </c>
      <c r="B18830" s="4" t="s">
        <f>=HYPERLINK("http://anyluxury.ru/shop/odezhda/rubashki-polo/rubashka-polo-zhenskaya-prime-women-200-bezhevaya-00573115/" , "00573115 Рубашка поло женская PRIME WOMEN 200 бежевая, размер L")</f>
      </c>
      <c r="C18830" s="4" t="n">
        <v>1650.00</v>
      </c>
      <c r="D18830" s="4"/>
    </row>
    <row collapsed="" customFormat="false" customHeight="1" hidden="" ht="14" outlineLevel="0" r="18831">
      <c r="A18831" s="3" t="inlineStr">
        <is>
          <t>18783</t>
        </is>
      </c>
      <c r="B18831" s="4" t="s">
        <f>=HYPERLINK("http://anyluxury.ru/shop/odezhda/rubashki-polo/rubashka-polo-zhenskaya-prime-women-200-bezhevaya-00573115/" , "00573115 Рубашка поло женская PRIME WOMEN 200 бежевая, размер XL")</f>
      </c>
      <c r="C18831" s="4" t="n">
        <v>1650.00</v>
      </c>
      <c r="D18831" s="4"/>
    </row>
    <row collapsed="" customFormat="false" customHeight="1" hidden="" ht="14" outlineLevel="0" r="18832">
      <c r="A18832" s="3" t="inlineStr">
        <is>
          <t>18784</t>
        </is>
      </c>
      <c r="B18832" s="4" t="s">
        <f>=HYPERLINK("http://anyluxury.ru/shop/odezhda/rubashki-polo/rubashka-polo-zhenskaya-prime-women-200-bezhevaya-00573115/" , "00573115 Рубашка поло женская PRIME WOMEN 200 бежевая, размер XXL")</f>
      </c>
      <c r="C18832" s="4" t="n">
        <v>1650.00</v>
      </c>
      <c r="D18832" s="4"/>
    </row>
    <row collapsed="" customFormat="false" customHeight="1" hidden="" ht="14" outlineLevel="0" r="18833">
      <c r="A18833" s="3" t="inlineStr">
        <is>
          <t>18785</t>
        </is>
      </c>
      <c r="B18833" s="4" t="s">
        <f>=HYPERLINK("http://anyluxury.ru/shop/odezhda/rubashki-polo/rubashka-polo-zhenskaya-prime-women-200-belaya-00573102/" , "00573102 Рубашка поло женская PRIME WOMEN 200 белая, размер L")</f>
      </c>
      <c r="C18833" s="4" t="n">
        <v>1502.00</v>
      </c>
      <c r="D18833" s="4"/>
    </row>
    <row collapsed="" customFormat="false" customHeight="1" hidden="" ht="14" outlineLevel="0" r="18834">
      <c r="A18834" s="3" t="inlineStr">
        <is>
          <t>18786</t>
        </is>
      </c>
      <c r="B18834" s="4" t="s">
        <f>=HYPERLINK("http://anyluxury.ru/shop/odezhda/rubashki-polo/rubashka-polo-zhenskaya-prime-women-200-belaya-00573102/" , "00573102 Рубашка поло женская PRIME WOMEN 200 белая, размер XXL")</f>
      </c>
      <c r="C18834" s="4" t="n">
        <v>1502.00</v>
      </c>
      <c r="D18834" s="4"/>
    </row>
    <row collapsed="" customFormat="false" customHeight="1" hidden="" ht="14" outlineLevel="0" r="18835">
      <c r="A18835" s="3" t="inlineStr">
        <is>
          <t>18787</t>
        </is>
      </c>
      <c r="B18835" s="4" t="s">
        <f>=HYPERLINK("http://anyluxury.ru/shop/odezhda/rubashki-polo/rubashka-polo-muzhskaya-performer-men-180-zelenoe-yabloko-01180280/" , "01180280 Рубашка поло мужская PERFORMER MEN 180 зеленое яблоко, размер S")</f>
      </c>
      <c r="C18835" s="4" t="n">
        <v>1592.00</v>
      </c>
      <c r="D18835" s="4"/>
    </row>
    <row collapsed="" customFormat="false" customHeight="1" hidden="" ht="14" outlineLevel="0" r="18836">
      <c r="A18836" s="3" t="inlineStr">
        <is>
          <t>18788</t>
        </is>
      </c>
      <c r="B18836" s="4" t="s">
        <f>=HYPERLINK("http://anyluxury.ru/shop/odezhda/rubashki-polo/rubashka-polo-muzhskaya-performer-men-180-zelenoe-yabloko-01180280/" , "01180280 Рубашка поло мужская PERFORMER MEN 180 зеленое яблоко, размер M")</f>
      </c>
      <c r="C18836" s="4" t="n">
        <v>1592.00</v>
      </c>
      <c r="D18836" s="4"/>
    </row>
    <row collapsed="" customFormat="false" customHeight="1" hidden="" ht="14" outlineLevel="0" r="18837">
      <c r="A18837" s="3" t="inlineStr">
        <is>
          <t>18789</t>
        </is>
      </c>
      <c r="B18837" s="4" t="s">
        <f>=HYPERLINK("http://anyluxury.ru/shop/odezhda/rubashki-polo/rubashka-polo-muzhskaya-performer-men-180-zelenoe-yabloko-01180280/" , "01180280 Рубашка поло мужская PERFORMER MEN 180 зеленое яблоко, размер L")</f>
      </c>
      <c r="C18837" s="4" t="n">
        <v>1592.00</v>
      </c>
      <c r="D18837" s="4"/>
    </row>
    <row collapsed="" customFormat="false" customHeight="1" hidden="" ht="14" outlineLevel="0" r="18838">
      <c r="A18838" s="3" t="inlineStr">
        <is>
          <t>18790</t>
        </is>
      </c>
      <c r="B18838" s="4" t="s">
        <f>=HYPERLINK("http://anyluxury.ru/shop/odezhda/rubashki-polo/rubashka-polo-muzhskaya-performer-men-180-zelenoe-yabloko-01180280/" , "01180280 Рубашка поло мужская PERFORMER MEN 180 зеленое яблоко, размер XL")</f>
      </c>
      <c r="C18838" s="4" t="n">
        <v>1592.00</v>
      </c>
      <c r="D18838" s="4"/>
    </row>
    <row collapsed="" customFormat="false" customHeight="1" hidden="" ht="14" outlineLevel="0" r="18839">
      <c r="A18839" s="3" t="inlineStr">
        <is>
          <t>18791</t>
        </is>
      </c>
      <c r="B18839" s="4" t="s">
        <f>=HYPERLINK("http://anyluxury.ru/shop/odezhda/rubashki-polo/rubashka-polo-muzhskaya-performer-men-180-zelenoe-yabloko-01180280/" , "01180280 Рубашка поло мужская PERFORMER MEN 180 зеленое яблоко, размер XXL")</f>
      </c>
      <c r="C18839" s="4" t="n">
        <v>1592.00</v>
      </c>
      <c r="D18839" s="4"/>
    </row>
    <row collapsed="" customFormat="false" customHeight="1" hidden="" ht="14" outlineLevel="0" r="18840">
      <c r="A18840" s="3" t="inlineStr">
        <is>
          <t>18792</t>
        </is>
      </c>
      <c r="B18840" s="4" t="s">
        <f>=HYPERLINK("http://anyluxury.ru/shop/odezhda/rubashki-polo/rubashka-polo-muzhskaya-performer-men-180-chernaya-01180312/" , "01180312 Рубашка поло мужская PERFORMER MEN 180 черная, размер S")</f>
      </c>
      <c r="C18840" s="4" t="n">
        <v>1592.00</v>
      </c>
      <c r="D18840" s="4"/>
    </row>
    <row collapsed="" customFormat="false" customHeight="1" hidden="" ht="14" outlineLevel="0" r="18841">
      <c r="A18841" s="3" t="inlineStr">
        <is>
          <t>18793</t>
        </is>
      </c>
      <c r="B18841" s="4" t="s">
        <f>=HYPERLINK("http://anyluxury.ru/shop/odezhda/rubashki-polo/rubashka-polo-muzhskaya-performer-men-180-chernaya-01180312/" , "01180312 Рубашка поло мужская PERFORMER MEN 180 черная, размер M")</f>
      </c>
      <c r="C18841" s="4" t="n">
        <v>1592.00</v>
      </c>
      <c r="D18841" s="4"/>
    </row>
    <row collapsed="" customFormat="false" customHeight="1" hidden="" ht="14" outlineLevel="0" r="18842">
      <c r="A18842" s="3" t="inlineStr">
        <is>
          <t>18794</t>
        </is>
      </c>
      <c r="B18842" s="4" t="s">
        <f>=HYPERLINK("http://anyluxury.ru/shop/odezhda/rubashki-polo/rubashka-polo-muzhskaya-performer-men-180-chernaya-01180312/" , "01180312 Рубашка поло мужская PERFORMER MEN 180 черная, размер L")</f>
      </c>
      <c r="C18842" s="4" t="n">
        <v>1592.00</v>
      </c>
      <c r="D18842" s="4"/>
    </row>
    <row collapsed="" customFormat="false" customHeight="1" hidden="" ht="14" outlineLevel="0" r="18843">
      <c r="A18843" s="3" t="inlineStr">
        <is>
          <t>18795</t>
        </is>
      </c>
      <c r="B18843" s="4" t="s">
        <f>=HYPERLINK("http://anyluxury.ru/shop/odezhda/rubashki-polo/rubashka-polo-muzhskaya-performer-men-180-chernaya-01180312/" , "01180312 Рубашка поло мужская PERFORMER MEN 180 черная, размер XL")</f>
      </c>
      <c r="C18843" s="4" t="n">
        <v>1592.00</v>
      </c>
      <c r="D18843" s="4"/>
    </row>
    <row collapsed="" customFormat="false" customHeight="1" hidden="" ht="14" outlineLevel="0" r="18844">
      <c r="A18844" s="3" t="inlineStr">
        <is>
          <t>18796</t>
        </is>
      </c>
      <c r="B18844" s="4" t="s">
        <f>=HYPERLINK("http://anyluxury.ru/shop/odezhda/rubashki-polo/rubashka-polo-muzhskaya-performer-men-180-chernaya-01180312/" , "01180312 Рубашка поло мужская PERFORMER MEN 180 черная, размер XXL")</f>
      </c>
      <c r="C18844" s="4" t="n">
        <v>1592.00</v>
      </c>
      <c r="D18844" s="4"/>
    </row>
    <row collapsed="" customFormat="false" customHeight="1" hidden="" ht="14" outlineLevel="0" r="18845">
      <c r="A18845" s="3" t="inlineStr">
        <is>
          <t>18797</t>
        </is>
      </c>
      <c r="B18845" s="4" t="s">
        <f>=HYPERLINK("http://anyluxury.ru/shop/odezhda/rubashki-polo/rubashka-polo-muzhskaya-performer-men-180-krasnaya-01180145/" , "01180145 Рубашка поло мужская PERFORMER MEN 180 красная, размер S")</f>
      </c>
      <c r="C18845" s="4" t="n">
        <v>1592.00</v>
      </c>
      <c r="D18845" s="4"/>
    </row>
    <row collapsed="" customFormat="false" customHeight="1" hidden="" ht="14" outlineLevel="0" r="18846">
      <c r="A18846" s="3" t="inlineStr">
        <is>
          <t>18798</t>
        </is>
      </c>
      <c r="B18846" s="4" t="s">
        <f>=HYPERLINK("http://anyluxury.ru/shop/odezhda/rubashki-polo/rubashka-polo-muzhskaya-performer-men-180-krasnaya-01180145/" , "01180145 Рубашка поло мужская PERFORMER MEN 180 красная, размер M")</f>
      </c>
      <c r="C18846" s="4" t="n">
        <v>1592.00</v>
      </c>
      <c r="D18846" s="4"/>
    </row>
    <row collapsed="" customFormat="false" customHeight="1" hidden="" ht="14" outlineLevel="0" r="18847">
      <c r="A18847" s="3" t="inlineStr">
        <is>
          <t>18799</t>
        </is>
      </c>
      <c r="B18847" s="4" t="s">
        <f>=HYPERLINK("http://anyluxury.ru/shop/odezhda/rubashki-polo/rubashka-polo-muzhskaya-performer-men-180-krasnaya-01180145/" , "01180145 Рубашка поло мужская PERFORMER MEN 180 красная, размер L")</f>
      </c>
      <c r="C18847" s="4" t="n">
        <v>1592.00</v>
      </c>
      <c r="D18847" s="4"/>
    </row>
    <row collapsed="" customFormat="false" customHeight="1" hidden="" ht="14" outlineLevel="0" r="18848">
      <c r="A18848" s="3" t="inlineStr">
        <is>
          <t>18800</t>
        </is>
      </c>
      <c r="B18848" s="4" t="s">
        <f>=HYPERLINK("http://anyluxury.ru/shop/odezhda/rubashki-polo/rubashka-polo-muzhskaya-performer-men-180-krasnaya-01180145/" , "01180145 Рубашка поло мужская PERFORMER MEN 180 красная, размер XL")</f>
      </c>
      <c r="C18848" s="4" t="n">
        <v>1592.00</v>
      </c>
      <c r="D18848" s="4"/>
    </row>
    <row collapsed="" customFormat="false" customHeight="1" hidden="" ht="14" outlineLevel="0" r="18849">
      <c r="A18849" s="3" t="inlineStr">
        <is>
          <t>18801</t>
        </is>
      </c>
      <c r="B18849" s="4" t="s">
        <f>=HYPERLINK("http://anyluxury.ru/shop/odezhda/rubashki-polo/rubashka-polo-muzhskaya-performer-men-180-krasnaya-01180145/" , "01180145 Рубашка поло мужская PERFORMER MEN 180 красная, размер XXL")</f>
      </c>
      <c r="C18849" s="4" t="n">
        <v>1592.00</v>
      </c>
      <c r="D18849" s="4"/>
    </row>
    <row collapsed="" customFormat="false" customHeight="1" hidden="" ht="14" outlineLevel="0" r="18850">
      <c r="A18850" s="3" t="inlineStr">
        <is>
          <t>18802</t>
        </is>
      </c>
      <c r="B18850" s="4" t="s">
        <f>=HYPERLINK("http://anyluxury.ru/shop/odezhda/rubashki-polo/rubashka-polo-muzhskaya-performer-men-180-yarkosinyaya-01180241/" , "01180241 Рубашка поло мужская PERFORMER MEN 180 ярко-синяя, размер S")</f>
      </c>
      <c r="C18850" s="4" t="n">
        <v>1592.00</v>
      </c>
      <c r="D18850" s="4"/>
    </row>
    <row collapsed="" customFormat="false" customHeight="1" hidden="" ht="14" outlineLevel="0" r="18851">
      <c r="A18851" s="3" t="inlineStr">
        <is>
          <t>18803</t>
        </is>
      </c>
      <c r="B18851" s="4" t="s">
        <f>=HYPERLINK("http://anyluxury.ru/shop/odezhda/rubashki-polo/rubashka-polo-muzhskaya-performer-men-180-yarkosinyaya-01180241/" , "01180241 Рубашка поло мужская PERFORMER MEN 180 ярко-синяя, размер M")</f>
      </c>
      <c r="C18851" s="4" t="n">
        <v>1592.00</v>
      </c>
      <c r="D18851" s="4"/>
    </row>
    <row collapsed="" customFormat="false" customHeight="1" hidden="" ht="14" outlineLevel="0" r="18852">
      <c r="A18852" s="3" t="inlineStr">
        <is>
          <t>18804</t>
        </is>
      </c>
      <c r="B18852" s="4" t="s">
        <f>=HYPERLINK("http://anyluxury.ru/shop/odezhda/rubashki-polo/rubashka-polo-muzhskaya-performer-men-180-yarkosinyaya-01180241/" , "01180241 Рубашка поло мужская PERFORMER MEN 180 ярко-синяя, размер L")</f>
      </c>
      <c r="C18852" s="4" t="n">
        <v>1592.00</v>
      </c>
      <c r="D18852" s="4"/>
    </row>
    <row collapsed="" customFormat="false" customHeight="1" hidden="" ht="14" outlineLevel="0" r="18853">
      <c r="A18853" s="3" t="inlineStr">
        <is>
          <t>18805</t>
        </is>
      </c>
      <c r="B18853" s="4" t="s">
        <f>=HYPERLINK("http://anyluxury.ru/shop/odezhda/rubashki-polo/rubashka-polo-muzhskaya-performer-men-180-yarkosinyaya-01180241/" , "01180241 Рубашка поло мужская PERFORMER MEN 180 ярко-синяя, размер XL")</f>
      </c>
      <c r="C18853" s="4" t="n">
        <v>1592.00</v>
      </c>
      <c r="D18853" s="4"/>
    </row>
    <row collapsed="" customFormat="false" customHeight="1" hidden="" ht="14" outlineLevel="0" r="18854">
      <c r="A18854" s="3" t="inlineStr">
        <is>
          <t>18806</t>
        </is>
      </c>
      <c r="B18854" s="4" t="s">
        <f>=HYPERLINK("http://anyluxury.ru/shop/odezhda/rubashki-polo/rubashka-polo-muzhskaya-performer-men-180-yarkosinyaya-01180241/" , "01180241 Рубашка поло мужская PERFORMER MEN 180 ярко-синяя, размер 3XL")</f>
      </c>
      <c r="C18854" s="4" t="n">
        <v>1831.00</v>
      </c>
      <c r="D18854" s="4"/>
    </row>
    <row collapsed="" customFormat="false" customHeight="1" hidden="" ht="14" outlineLevel="0" r="18855">
      <c r="A18855" s="3" t="inlineStr">
        <is>
          <t>18807</t>
        </is>
      </c>
      <c r="B18855" s="4" t="s">
        <f>=HYPERLINK("http://anyluxury.ru/shop/odezhda/rubashki-polo/rubashka-polo-zhenskaya-performer-women-180-chernaya-01179312/" , "01179312 Рубашка поло женская PERFORMER WOMEN 180 черная, размер S")</f>
      </c>
      <c r="C18855" s="4" t="n">
        <v>1567.00</v>
      </c>
      <c r="D18855" s="4"/>
    </row>
    <row collapsed="" customFormat="false" customHeight="1" hidden="" ht="14" outlineLevel="0" r="18856">
      <c r="A18856" s="3" t="inlineStr">
        <is>
          <t>18808</t>
        </is>
      </c>
      <c r="B18856" s="4" t="s">
        <f>=HYPERLINK("http://anyluxury.ru/shop/odezhda/rubashki-polo/rubashka-polo-zhenskaya-performer-women-180-chernaya-01179312/" , "01179312 Рубашка поло женская PERFORMER WOMEN 180 черная, размер M")</f>
      </c>
      <c r="C18856" s="4" t="n">
        <v>1567.00</v>
      </c>
      <c r="D18856" s="4"/>
    </row>
    <row collapsed="" customFormat="false" customHeight="1" hidden="" ht="14" outlineLevel="0" r="18857">
      <c r="A18857" s="3" t="inlineStr">
        <is>
          <t>18809</t>
        </is>
      </c>
      <c r="B18857" s="4" t="s">
        <f>=HYPERLINK("http://anyluxury.ru/shop/odezhda/rubashki-polo/rubashka-polo-zhenskaya-performer-women-180-chernaya-01179312/" , "01179312 Рубашка поло женская PERFORMER WOMEN 180 черная, размер L")</f>
      </c>
      <c r="C18857" s="4" t="n">
        <v>1567.00</v>
      </c>
      <c r="D18857" s="4"/>
    </row>
    <row collapsed="" customFormat="false" customHeight="1" hidden="" ht="14" outlineLevel="0" r="18858">
      <c r="A18858" s="3" t="inlineStr">
        <is>
          <t>18810</t>
        </is>
      </c>
      <c r="B18858" s="4" t="s">
        <f>=HYPERLINK("http://anyluxury.ru/shop/odezhda/rubashki-polo/rubashka-polo-zhenskaya-performer-women-180-chernaya-01179312/" , "01179312 Рубашка поло женская PERFORMER WOMEN 180 черная, размер XL")</f>
      </c>
      <c r="C18858" s="4" t="n">
        <v>1567.00</v>
      </c>
      <c r="D18858" s="4"/>
    </row>
    <row collapsed="" customFormat="false" customHeight="1" hidden="" ht="14" outlineLevel="0" r="18859">
      <c r="A18859" s="3" t="inlineStr">
        <is>
          <t>18811</t>
        </is>
      </c>
      <c r="B18859" s="4" t="s">
        <f>=HYPERLINK("http://anyluxury.ru/shop/odezhda/rubashki-polo/rubashka-polo-zhenskaya-performer-women-180-chernaya-01179312/" , "01179312 Рубашка поло женская PERFORMER WOMEN 180 черная, размер XXL")</f>
      </c>
      <c r="C18859" s="4" t="n">
        <v>1567.00</v>
      </c>
      <c r="D18859" s="4"/>
    </row>
    <row collapsed="" customFormat="false" customHeight="1" hidden="" ht="14" outlineLevel="0" r="18860">
      <c r="A18860" s="3" t="inlineStr">
        <is>
          <t>18812</t>
        </is>
      </c>
      <c r="B18860" s="4" t="s">
        <f>=HYPERLINK("http://anyluxury.ru/shop/odezhda/rubashki-polo/rubashka-polo-zhenskaya-performer-women-180-temnosinyaya-01179319/" , "01179319 Рубашка поло женская PERFORMER WOMEN 180 темно-синяя, размер S")</f>
      </c>
      <c r="C18860" s="4" t="n">
        <v>1567.00</v>
      </c>
      <c r="D18860" s="4"/>
    </row>
    <row collapsed="" customFormat="false" customHeight="1" hidden="" ht="14" outlineLevel="0" r="18861">
      <c r="A18861" s="3" t="inlineStr">
        <is>
          <t>18813</t>
        </is>
      </c>
      <c r="B18861" s="4" t="s">
        <f>=HYPERLINK("http://anyluxury.ru/shop/odezhda/rubashki-polo/rubashka-polo-zhenskaya-performer-women-180-temnosinyaya-01179319/" , "01179319 Рубашка поло женская PERFORMER WOMEN 180 темно-синяя, размер M")</f>
      </c>
      <c r="C18861" s="4" t="n">
        <v>1567.00</v>
      </c>
      <c r="D18861" s="4"/>
    </row>
    <row collapsed="" customFormat="false" customHeight="1" hidden="" ht="14" outlineLevel="0" r="18862">
      <c r="A18862" s="3" t="inlineStr">
        <is>
          <t>18814</t>
        </is>
      </c>
      <c r="B18862" s="4" t="s">
        <f>=HYPERLINK("http://anyluxury.ru/shop/odezhda/rubashki-polo/rubashka-polo-zhenskaya-performer-women-180-temnosinyaya-01179319/" , "01179319 Рубашка поло женская PERFORMER WOMEN 180 темно-синяя, размер L")</f>
      </c>
      <c r="C18862" s="4" t="n">
        <v>1567.00</v>
      </c>
      <c r="D18862" s="4"/>
    </row>
    <row collapsed="" customFormat="false" customHeight="1" hidden="" ht="14" outlineLevel="0" r="18863">
      <c r="A18863" s="3" t="inlineStr">
        <is>
          <t>18815</t>
        </is>
      </c>
      <c r="B18863" s="4" t="s">
        <f>=HYPERLINK("http://anyluxury.ru/shop/odezhda/rubashki-polo/rubashka-polo-zhenskaya-performer-women-180-temnosinyaya-01179319/" , "01179319 Рубашка поло женская PERFORMER WOMEN 180 темно-синяя, размер XL")</f>
      </c>
      <c r="C18863" s="4" t="n">
        <v>1567.00</v>
      </c>
      <c r="D18863" s="4"/>
    </row>
    <row collapsed="" customFormat="false" customHeight="1" hidden="" ht="14" outlineLevel="0" r="18864">
      <c r="A18864" s="3" t="inlineStr">
        <is>
          <t>18816</t>
        </is>
      </c>
      <c r="B18864" s="4" t="s">
        <f>=HYPERLINK("http://anyluxury.ru/shop/odezhda/rubashki-polo/rubashka-polo-zhenskaya-performer-women-180-temnosinyaya-01179319/" , "01179319 Рубашка поло женская PERFORMER WOMEN 180 темно-синяя, размер XXL")</f>
      </c>
      <c r="C18864" s="4" t="n">
        <v>1567.00</v>
      </c>
      <c r="D18864" s="4"/>
    </row>
    <row collapsed="" customFormat="false" customHeight="1" hidden="" ht="14" outlineLevel="0" r="18865">
      <c r="A18865" s="3" t="inlineStr">
        <is>
          <t>18817</t>
        </is>
      </c>
      <c r="B18865" s="4" t="s">
        <f>=HYPERLINK("http://anyluxury.ru/shop/odezhda/rubashki-polo/rubashka-polo-zhenskaya-performer-women-180-krasnaya-01179145/" , "01179145 Рубашка поло женская PERFORMER WOMEN 180 красная, размер S")</f>
      </c>
      <c r="C18865" s="4" t="n">
        <v>1567.00</v>
      </c>
      <c r="D18865" s="4"/>
    </row>
    <row collapsed="" customFormat="false" customHeight="1" hidden="" ht="14" outlineLevel="0" r="18866">
      <c r="A18866" s="3" t="inlineStr">
        <is>
          <t>18818</t>
        </is>
      </c>
      <c r="B18866" s="4" t="s">
        <f>=HYPERLINK("http://anyluxury.ru/shop/odezhda/rubashki-polo/rubashka-polo-zhenskaya-performer-women-180-krasnaya-01179145/" , "01179145 Рубашка поло женская PERFORMER WOMEN 180 красная, размер M")</f>
      </c>
      <c r="C18866" s="4" t="n">
        <v>1567.00</v>
      </c>
      <c r="D18866" s="4"/>
    </row>
    <row collapsed="" customFormat="false" customHeight="1" hidden="" ht="14" outlineLevel="0" r="18867">
      <c r="A18867" s="3" t="inlineStr">
        <is>
          <t>18819</t>
        </is>
      </c>
      <c r="B18867" s="4" t="s">
        <f>=HYPERLINK("http://anyluxury.ru/shop/odezhda/rubashki-polo/rubashka-polo-zhenskaya-performer-women-180-krasnaya-01179145/" , "01179145 Рубашка поло женская PERFORMER WOMEN 180 красная, размер L")</f>
      </c>
      <c r="C18867" s="4" t="n">
        <v>1567.00</v>
      </c>
      <c r="D18867" s="4"/>
    </row>
    <row collapsed="" customFormat="false" customHeight="1" hidden="" ht="14" outlineLevel="0" r="18868">
      <c r="A18868" s="3" t="inlineStr">
        <is>
          <t>18820</t>
        </is>
      </c>
      <c r="B18868" s="4" t="s">
        <f>=HYPERLINK("http://anyluxury.ru/shop/odezhda/rubashki-polo/rubashka-polo-zhenskaya-performer-women-180-krasnaya-01179145/" , "01179145 Рубашка поло женская PERFORMER WOMEN 180 красная, размер XL")</f>
      </c>
      <c r="C18868" s="4" t="n">
        <v>1567.00</v>
      </c>
      <c r="D18868" s="4"/>
    </row>
    <row collapsed="" customFormat="false" customHeight="1" hidden="" ht="14" outlineLevel="0" r="18869">
      <c r="A18869" s="3" t="inlineStr">
        <is>
          <t>18821</t>
        </is>
      </c>
      <c r="B18869" s="4" t="s">
        <f>=HYPERLINK("http://anyluxury.ru/shop/odezhda/rubashki-polo/rubashka-polo-zhenskaya-performer-women-180-krasnaya-01179145/" , "01179145 Рубашка поло женская PERFORMER WOMEN 180 красная, размер XXL")</f>
      </c>
      <c r="C18869" s="4" t="n">
        <v>1567.00</v>
      </c>
      <c r="D18869" s="4"/>
    </row>
    <row collapsed="" customFormat="false" customHeight="1" hidden="" ht="14" outlineLevel="0" r="18870">
      <c r="A18870" s="3" t="inlineStr">
        <is>
          <t>18822</t>
        </is>
      </c>
      <c r="B18870" s="4" t="s">
        <f>=HYPERLINK("http://anyluxury.ru/shop/odezhda/rubashki-polo/rubashka-polo-zhenskaya-performer-women-180-yarkosinyaya-01179241/" , "01179241 Рубашка поло женская PERFORMER WOMEN 180 ярко-синяя, размер S")</f>
      </c>
      <c r="C18870" s="4" t="n">
        <v>1567.00</v>
      </c>
      <c r="D18870" s="4"/>
    </row>
    <row collapsed="" customFormat="false" customHeight="1" hidden="" ht="14" outlineLevel="0" r="18871">
      <c r="A18871" s="3" t="inlineStr">
        <is>
          <t>18823</t>
        </is>
      </c>
      <c r="B18871" s="4" t="s">
        <f>=HYPERLINK("http://anyluxury.ru/shop/odezhda/rubashki-polo/rubashka-polo-zhenskaya-performer-women-180-yarkosinyaya-01179241/" , "01179241 Рубашка поло женская PERFORMER WOMEN 180 ярко-синяя, размер M")</f>
      </c>
      <c r="C18871" s="4" t="n">
        <v>1567.00</v>
      </c>
      <c r="D18871" s="4"/>
    </row>
    <row collapsed="" customFormat="false" customHeight="1" hidden="" ht="14" outlineLevel="0" r="18872">
      <c r="A18872" s="3" t="inlineStr">
        <is>
          <t>18824</t>
        </is>
      </c>
      <c r="B18872" s="4" t="s">
        <f>=HYPERLINK("http://anyluxury.ru/shop/odezhda/rubashki-polo/rubashka-polo-zhenskaya-performer-women-180-yarkosinyaya-01179241/" , "01179241 Рубашка поло женская PERFORMER WOMEN 180 ярко-синяя, размер L")</f>
      </c>
      <c r="C18872" s="4" t="n">
        <v>1567.00</v>
      </c>
      <c r="D18872" s="4"/>
    </row>
    <row collapsed="" customFormat="false" customHeight="1" hidden="" ht="14" outlineLevel="0" r="18873">
      <c r="A18873" s="3" t="inlineStr">
        <is>
          <t>18825</t>
        </is>
      </c>
      <c r="B18873" s="4" t="s">
        <f>=HYPERLINK("http://anyluxury.ru/shop/odezhda/rubashki-polo/rubashka-polo-zhenskaya-performer-women-180-yarkosinyaya-01179241/" , "01179241 Рубашка поло женская PERFORMER WOMEN 180 ярко-синяя, размер XL")</f>
      </c>
      <c r="C18873" s="4" t="n">
        <v>1567.00</v>
      </c>
      <c r="D18873" s="4"/>
    </row>
    <row collapsed="" customFormat="false" customHeight="1" hidden="" ht="14" outlineLevel="0" r="18874">
      <c r="A18874" s="3" t="inlineStr">
        <is>
          <t>18826</t>
        </is>
      </c>
      <c r="B18874" s="4" t="s">
        <f>=HYPERLINK("http://anyluxury.ru/shop/odezhda/rubashki-polo/rubashka-polo-zhenskaya-performer-women-180-belaya-01179102/" , "01179102 Рубашка поло женская PERFORMER WOMEN 180 белая, размер S")</f>
      </c>
      <c r="C18874" s="4" t="n">
        <v>1551.00</v>
      </c>
      <c r="D18874" s="4"/>
    </row>
    <row collapsed="" customFormat="false" customHeight="1" hidden="" ht="14" outlineLevel="0" r="18875">
      <c r="A18875" s="3" t="inlineStr">
        <is>
          <t>18827</t>
        </is>
      </c>
      <c r="B18875" s="4" t="s">
        <f>=HYPERLINK("http://anyluxury.ru/shop/odezhda/rubashki-polo/rubashka-polo-zhenskaya-performer-women-180-belaya-01179102/" , "01179102 Рубашка поло женская PERFORMER WOMEN 180 белая, размер L")</f>
      </c>
      <c r="C18875" s="4" t="n">
        <v>1551.00</v>
      </c>
      <c r="D18875" s="4"/>
    </row>
    <row collapsed="" customFormat="false" customHeight="1" hidden="" ht="14" outlineLevel="0" r="18876">
      <c r="A18876" s="3" t="inlineStr">
        <is>
          <t>18828</t>
        </is>
      </c>
      <c r="B18876" s="4" t="s">
        <f>=HYPERLINK("http://anyluxury.ru/shop/odezhda/rubashki-polo/rubashka-polo-zhenskaya-performer-women-180-belaya-01179102/" , "01179102 Рубашка поло женская PERFORMER WOMEN 180 белая, размер XL")</f>
      </c>
      <c r="C18876" s="4" t="n">
        <v>1551.00</v>
      </c>
      <c r="D18876" s="4"/>
    </row>
    <row collapsed="" customFormat="false" customHeight="1" hidden="" ht="14" outlineLevel="0" r="18877">
      <c r="A18877" s="3" t="inlineStr">
        <is>
          <t>18829</t>
        </is>
      </c>
      <c r="B18877" s="4" t="s">
        <f>=HYPERLINK("http://anyluxury.ru/shop/odezhda/rubashki-polo/rubashka-polo-zhenskaya-performer-women-180-belaya-01179102/" , "01179102 Рубашка поло женская PERFORMER WOMEN 180 белая, размер XXL")</f>
      </c>
      <c r="C18877" s="4" t="n">
        <v>1551.00</v>
      </c>
      <c r="D18877" s="4"/>
    </row>
    <row collapsed="" customFormat="false" customHeight="1" hidden="" ht="14" outlineLevel="0" r="18878">
      <c r="A18878" s="3" t="inlineStr">
        <is>
          <t>18830</t>
        </is>
      </c>
      <c r="B18878" s="4" t="s">
        <f>=HYPERLINK("http://anyluxury.ru/shop/odezhda/rubashki-polo/rubashka-polo-muzhskaya-s-dlinnim-rukavom-pack-280-krasnaya-11313155/" , "11313155 Рубашка поло мужская с длинным рукавом PACK 280 красная, размер S")</f>
      </c>
      <c r="C18878" s="4" t="n">
        <v>2439.00</v>
      </c>
      <c r="D18878" s="4"/>
    </row>
    <row collapsed="" customFormat="false" customHeight="1" hidden="" ht="14" outlineLevel="0" r="18879">
      <c r="A18879" s="3" t="inlineStr">
        <is>
          <t>18831</t>
        </is>
      </c>
      <c r="B18879" s="4" t="s">
        <f>=HYPERLINK("http://anyluxury.ru/shop/odezhda/rubashki-polo/rubashka-polo-muzhskaya-s-dlinnim-rukavom-pack-280-krasnaya-11313155/" , "11313155 Рубашка поло мужская с длинным рукавом PACK 280 красная, размер M")</f>
      </c>
      <c r="C18879" s="4" t="n">
        <v>2439.00</v>
      </c>
      <c r="D18879" s="4"/>
    </row>
    <row collapsed="" customFormat="false" customHeight="1" hidden="" ht="14" outlineLevel="0" r="18880">
      <c r="A18880" s="3" t="inlineStr">
        <is>
          <t>18832</t>
        </is>
      </c>
      <c r="B18880" s="4" t="s">
        <f>=HYPERLINK("http://anyluxury.ru/shop/odezhda/rubashki-polo/rubashka-polo-muzhskaya-s-dlinnim-rukavom-pack-280-krasnaya-11313155/" , "11313155 Рубашка поло мужская с длинным рукавом PACK 280 красная, размер L")</f>
      </c>
      <c r="C18880" s="4" t="n">
        <v>2439.00</v>
      </c>
      <c r="D18880" s="4"/>
    </row>
    <row collapsed="" customFormat="false" customHeight="1" hidden="" ht="14" outlineLevel="0" r="18881">
      <c r="A18881" s="3" t="inlineStr">
        <is>
          <t>18833</t>
        </is>
      </c>
      <c r="B18881" s="4" t="s">
        <f>=HYPERLINK("http://anyluxury.ru/shop/odezhda/rubashki-polo/rubashka-polo-muzhskaya-s-dlinnim-rukavom-pack-280-krasnaya-11313155/" , "11313155 Рубашка поло мужская с длинным рукавом PACK 280 красная, размер XL")</f>
      </c>
      <c r="C18881" s="4" t="n">
        <v>2439.00</v>
      </c>
      <c r="D18881" s="4"/>
    </row>
    <row collapsed="" customFormat="false" customHeight="1" hidden="" ht="14" outlineLevel="0" r="18882">
      <c r="A18882" s="3" t="inlineStr">
        <is>
          <t>18834</t>
        </is>
      </c>
      <c r="B18882" s="4" t="s">
        <f>=HYPERLINK("http://anyluxury.ru/shop/odezhda/rubashki-polo/rubashka-polo-muzhskaya-s-dlinnim-rukavom-pack-280-krasnaya-11313155/" , "11313155 Рубашка поло мужская с длинным рукавом PACK 280 красная, размер XXL")</f>
      </c>
      <c r="C18882" s="4" t="n">
        <v>2439.00</v>
      </c>
      <c r="D18882" s="4"/>
    </row>
    <row collapsed="" customFormat="false" customHeight="1" hidden="" ht="14" outlineLevel="0" r="18883">
      <c r="A18883" s="3" t="inlineStr">
        <is>
          <t>18835</t>
        </is>
      </c>
      <c r="B18883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S")</f>
      </c>
      <c r="C18883" s="4" t="n">
        <v>2439.00</v>
      </c>
      <c r="D18883" s="4"/>
    </row>
    <row collapsed="" customFormat="false" customHeight="1" hidden="" ht="14" outlineLevel="0" r="18884">
      <c r="A18884" s="3" t="inlineStr">
        <is>
          <t>18836</t>
        </is>
      </c>
      <c r="B18884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M")</f>
      </c>
      <c r="C18884" s="4" t="n">
        <v>2439.00</v>
      </c>
      <c r="D18884" s="4"/>
    </row>
    <row collapsed="" customFormat="false" customHeight="1" hidden="" ht="14" outlineLevel="0" r="18885">
      <c r="A18885" s="3" t="inlineStr">
        <is>
          <t>18837</t>
        </is>
      </c>
      <c r="B18885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L")</f>
      </c>
      <c r="C18885" s="4" t="n">
        <v>2439.00</v>
      </c>
      <c r="D18885" s="4"/>
    </row>
    <row collapsed="" customFormat="false" customHeight="1" hidden="" ht="14" outlineLevel="0" r="18886">
      <c r="A18886" s="3" t="inlineStr">
        <is>
          <t>18838</t>
        </is>
      </c>
      <c r="B18886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XL")</f>
      </c>
      <c r="C18886" s="4" t="n">
        <v>2439.00</v>
      </c>
      <c r="D18886" s="4"/>
    </row>
    <row collapsed="" customFormat="false" customHeight="1" hidden="" ht="14" outlineLevel="0" r="18887">
      <c r="A18887" s="3" t="inlineStr">
        <is>
          <t>18839</t>
        </is>
      </c>
      <c r="B18887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XXL")</f>
      </c>
      <c r="C18887" s="4" t="n">
        <v>2439.00</v>
      </c>
      <c r="D18887" s="4"/>
    </row>
    <row collapsed="" customFormat="false" customHeight="1" hidden="" ht="14" outlineLevel="0" r="18888">
      <c r="A18888" s="3" t="inlineStr">
        <is>
          <t>18840</t>
        </is>
      </c>
      <c r="B18888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S")</f>
      </c>
      <c r="C18888" s="4" t="n">
        <v>3468.00</v>
      </c>
      <c r="D18888" s="4"/>
    </row>
    <row collapsed="" customFormat="false" customHeight="1" hidden="" ht="14" outlineLevel="0" r="18889">
      <c r="A18889" s="3" t="inlineStr">
        <is>
          <t>18841</t>
        </is>
      </c>
      <c r="B18889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M")</f>
      </c>
      <c r="C18889" s="4" t="n">
        <v>3468.00</v>
      </c>
      <c r="D18889" s="4"/>
    </row>
    <row collapsed="" customFormat="false" customHeight="1" hidden="" ht="14" outlineLevel="0" r="18890">
      <c r="A18890" s="3" t="inlineStr">
        <is>
          <t>18842</t>
        </is>
      </c>
      <c r="B18890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L")</f>
      </c>
      <c r="C18890" s="4" t="n">
        <v>3468.00</v>
      </c>
      <c r="D18890" s="4"/>
    </row>
    <row collapsed="" customFormat="false" customHeight="1" hidden="" ht="14" outlineLevel="0" r="18891">
      <c r="A18891" s="3" t="inlineStr">
        <is>
          <t>18843</t>
        </is>
      </c>
      <c r="B18891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XL")</f>
      </c>
      <c r="C18891" s="4" t="n">
        <v>3468.00</v>
      </c>
      <c r="D18891" s="4"/>
    </row>
    <row collapsed="" customFormat="false" customHeight="1" hidden="" ht="14" outlineLevel="0" r="18892">
      <c r="A18892" s="3" t="inlineStr">
        <is>
          <t>18844</t>
        </is>
      </c>
      <c r="B18892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XXL")</f>
      </c>
      <c r="C18892" s="4" t="n">
        <v>3468.00</v>
      </c>
      <c r="D18892" s="4"/>
    </row>
    <row collapsed="" customFormat="false" customHeight="1" hidden="" ht="14" outlineLevel="0" r="18893">
      <c r="A18893" s="3" t="inlineStr">
        <is>
          <t>18845</t>
        </is>
      </c>
      <c r="B18893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S")</f>
      </c>
      <c r="C18893" s="4" t="n">
        <v>3468.00</v>
      </c>
      <c r="D18893" s="4"/>
    </row>
    <row collapsed="" customFormat="false" customHeight="1" hidden="" ht="14" outlineLevel="0" r="18894">
      <c r="A18894" s="3" t="inlineStr">
        <is>
          <t>18846</t>
        </is>
      </c>
      <c r="B18894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M")</f>
      </c>
      <c r="C18894" s="4" t="n">
        <v>3468.00</v>
      </c>
      <c r="D18894" s="4"/>
    </row>
    <row collapsed="" customFormat="false" customHeight="1" hidden="" ht="14" outlineLevel="0" r="18895">
      <c r="A18895" s="3" t="inlineStr">
        <is>
          <t>18847</t>
        </is>
      </c>
      <c r="B18895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L")</f>
      </c>
      <c r="C18895" s="4" t="n">
        <v>3468.00</v>
      </c>
      <c r="D18895" s="4"/>
    </row>
    <row collapsed="" customFormat="false" customHeight="1" hidden="" ht="14" outlineLevel="0" r="18896">
      <c r="A18896" s="3" t="inlineStr">
        <is>
          <t>18848</t>
        </is>
      </c>
      <c r="B18896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XL")</f>
      </c>
      <c r="C18896" s="4" t="n">
        <v>3468.00</v>
      </c>
      <c r="D18896" s="4"/>
    </row>
    <row collapsed="" customFormat="false" customHeight="1" hidden="" ht="14" outlineLevel="0" r="18897">
      <c r="A18897" s="3" t="inlineStr">
        <is>
          <t>18849</t>
        </is>
      </c>
      <c r="B18897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XXL")</f>
      </c>
      <c r="C18897" s="4" t="n">
        <v>3468.00</v>
      </c>
      <c r="D18897" s="4"/>
    </row>
    <row collapsed="" customFormat="false" customHeight="1" hidden="" ht="14" outlineLevel="0" r="18898">
      <c r="A18898" s="3" t="inlineStr">
        <is>
          <t>18850</t>
        </is>
      </c>
      <c r="B18898" s="4" t="s">
        <f>=HYPERLINK("http://anyluxury.ru/shop/odezhda/rubashki-polo/rubashka-polo-muzhskaya-s-dlinnim-rukavom-pack-280-golubaya-11313221/" , "11313221 Рубашка поло мужская с длинным рукавом PACK 280 голубая, размер S")</f>
      </c>
      <c r="C18898" s="4" t="n">
        <v>3468.00</v>
      </c>
      <c r="D18898" s="4"/>
    </row>
    <row collapsed="" customFormat="false" customHeight="1" hidden="" ht="14" outlineLevel="0" r="18899">
      <c r="A18899" s="3" t="inlineStr">
        <is>
          <t>18851</t>
        </is>
      </c>
      <c r="B18899" s="4" t="s">
        <f>=HYPERLINK("http://anyluxury.ru/shop/odezhda/rubashki-polo/rubashka-polo-muzhskaya-s-dlinnim-rukavom-pack-280-golubaya-11313221/" , "11313221 Рубашка поло мужская с длинным рукавом PACK 280 голубая, размер M")</f>
      </c>
      <c r="C18899" s="4" t="n">
        <v>3468.00</v>
      </c>
      <c r="D18899" s="4"/>
    </row>
    <row collapsed="" customFormat="false" customHeight="1" hidden="" ht="14" outlineLevel="0" r="18900">
      <c r="A18900" s="3" t="inlineStr">
        <is>
          <t>18852</t>
        </is>
      </c>
      <c r="B18900" s="4" t="s">
        <f>=HYPERLINK("http://anyluxury.ru/shop/odezhda/rubashki-polo/rubashka-polo-muzhskaya-s-dlinnim-rukavom-pack-280-golubaya-11313221/" , "11313221 Рубашка поло мужская с длинным рукавом PACK 280 голубая, размер L")</f>
      </c>
      <c r="C18900" s="4" t="n">
        <v>3468.00</v>
      </c>
      <c r="D18900" s="4"/>
    </row>
    <row collapsed="" customFormat="false" customHeight="1" hidden="" ht="14" outlineLevel="0" r="18901">
      <c r="A18901" s="3" t="inlineStr">
        <is>
          <t>18853</t>
        </is>
      </c>
      <c r="B18901" s="4" t="s">
        <f>=HYPERLINK("http://anyluxury.ru/shop/odezhda/rubashki-polo/rubashka-polo-muzhskaya-s-dlinnim-rukavom-pack-280-golubaya-11313221/" , "11313221 Рубашка поло мужская с длинным рукавом PACK 280 голубая, размер XL")</f>
      </c>
      <c r="C18901" s="4" t="n">
        <v>3468.00</v>
      </c>
      <c r="D18901" s="4"/>
    </row>
    <row collapsed="" customFormat="false" customHeight="1" hidden="" ht="14" outlineLevel="0" r="18902">
      <c r="A18902" s="3" t="inlineStr">
        <is>
          <t>18854</t>
        </is>
      </c>
      <c r="B18902" s="4" t="s">
        <f>=HYPERLINK("http://anyluxury.ru/shop/odezhda/rubashki-polo/rubashka-polo-muzhskaya-s-dlinnim-rukavom-pack-280-golubaya-11313221/" , "11313221 Рубашка поло мужская с длинным рукавом PACK 280 голубая, размер XXL")</f>
      </c>
      <c r="C18902" s="4" t="n">
        <v>3468.00</v>
      </c>
      <c r="D18902" s="4"/>
    </row>
    <row collapsed="" customFormat="false" customHeight="1" hidden="" ht="14" outlineLevel="0" r="18903">
      <c r="A18903" s="3" t="inlineStr">
        <is>
          <t>18855</t>
        </is>
      </c>
      <c r="B18903" s="4" t="s">
        <f>=HYPERLINK("http://anyluxury.ru/shop/odezhda/rubashki-polo/rubashka-polo-muzhskaya-s-dlinnim-rukavom-pack-280-belaya-11313102/" , "11313102 Рубашка поло мужская с длинным рукавом PACK 280 белая, размер S")</f>
      </c>
      <c r="C18903" s="4" t="n">
        <v>3468.00</v>
      </c>
      <c r="D18903" s="4"/>
    </row>
    <row collapsed="" customFormat="false" customHeight="1" hidden="" ht="14" outlineLevel="0" r="18904">
      <c r="A18904" s="3" t="inlineStr">
        <is>
          <t>18856</t>
        </is>
      </c>
      <c r="B18904" s="4" t="s">
        <f>=HYPERLINK("http://anyluxury.ru/shop/odezhda/rubashki-polo/rubashka-polo-muzhskaya-s-dlinnim-rukavom-pack-280-belaya-11313102/" , "11313102 Рубашка поло мужская с длинным рукавом PACK 280 белая, размер M")</f>
      </c>
      <c r="C18904" s="4" t="n">
        <v>3468.00</v>
      </c>
      <c r="D18904" s="4"/>
    </row>
    <row collapsed="" customFormat="false" customHeight="1" hidden="" ht="14" outlineLevel="0" r="18905">
      <c r="A18905" s="3" t="inlineStr">
        <is>
          <t>18857</t>
        </is>
      </c>
      <c r="B18905" s="4" t="s">
        <f>=HYPERLINK("http://anyluxury.ru/shop/odezhda/rubashki-polo/rubashka-polo-muzhskaya-s-dlinnim-rukavom-pack-280-belaya-11313102/" , "11313102 Рубашка поло мужская с длинным рукавом PACK 280 белая, размер L")</f>
      </c>
      <c r="C18905" s="4" t="n">
        <v>3468.00</v>
      </c>
      <c r="D18905" s="4"/>
    </row>
    <row collapsed="" customFormat="false" customHeight="1" hidden="" ht="14" outlineLevel="0" r="18906">
      <c r="A18906" s="3" t="inlineStr">
        <is>
          <t>18858</t>
        </is>
      </c>
      <c r="B18906" s="4" t="s">
        <f>=HYPERLINK("http://anyluxury.ru/shop/odezhda/rubashki-polo/rubashka-polo-muzhskaya-s-dlinnim-rukavom-pack-280-belaya-11313102/" , "11313102 Рубашка поло мужская с длинным рукавом PACK 280 белая, размер XL")</f>
      </c>
      <c r="C18906" s="4" t="n">
        <v>3468.00</v>
      </c>
      <c r="D18906" s="4"/>
    </row>
    <row collapsed="" customFormat="false" customHeight="1" hidden="" ht="14" outlineLevel="0" r="18907">
      <c r="A18907" s="3" t="inlineStr">
        <is>
          <t>18859</t>
        </is>
      </c>
      <c r="B18907" s="4" t="s">
        <f>=HYPERLINK("http://anyluxury.ru/shop/odezhda/rubashki-polo/rubashka-polo-muzhskaya-s-dlinnim-rukavom-pack-280-belaya-11313102/" , "11313102 Рубашка поло мужская с длинным рукавом PACK 280 белая, размер XXL")</f>
      </c>
      <c r="C18907" s="4" t="n">
        <v>3468.00</v>
      </c>
      <c r="D18907" s="4"/>
    </row>
    <row collapsed="" customFormat="false" customHeight="1" hidden="" ht="14" outlineLevel="0" r="18908">
      <c r="A18908" s="3" t="inlineStr">
        <is>
          <t>18860</t>
        </is>
      </c>
      <c r="B18908" s="4" t="s">
        <f>=HYPERLINK("http://anyluxury.ru/shop/odezhda/rubashki-polo/rubashka-polo-muzhskaya-perfect-men-180-zelenoe-yabloko-11346280/" , "11346280 Рубашка поло мужская PERFECT MEN 180 зеленое яблоко, размер S")</f>
      </c>
      <c r="C18908" s="4" t="n">
        <v>1391.00</v>
      </c>
      <c r="D18908" s="4"/>
    </row>
    <row collapsed="" customFormat="false" customHeight="1" hidden="" ht="14" outlineLevel="0" r="18909">
      <c r="A18909" s="3" t="inlineStr">
        <is>
          <t>18861</t>
        </is>
      </c>
      <c r="B18909" s="4" t="s">
        <f>=HYPERLINK("http://anyluxury.ru/shop/odezhda/rubashki-polo/rubashka-polo-muzhskaya-perfect-men-180-zelenoe-yabloko-11346280/" , "11346280 Рубашка поло мужская PERFECT MEN 180 зеленое яблоко, размер M")</f>
      </c>
      <c r="C18909" s="4" t="n">
        <v>1391.00</v>
      </c>
      <c r="D18909" s="4"/>
    </row>
    <row collapsed="" customFormat="false" customHeight="1" hidden="" ht="14" outlineLevel="0" r="18910">
      <c r="A18910" s="3" t="inlineStr">
        <is>
          <t>18862</t>
        </is>
      </c>
      <c r="B18910" s="4" t="s">
        <f>=HYPERLINK("http://anyluxury.ru/shop/odezhda/rubashki-polo/rubashka-polo-muzhskaya-perfect-men-180-zelenoe-yabloko-11346280/" , "11346280 Рубашка поло мужская PERFECT MEN 180 зеленое яблоко, размер L")</f>
      </c>
      <c r="C18910" s="4" t="n">
        <v>1391.00</v>
      </c>
      <c r="D18910" s="4"/>
    </row>
    <row collapsed="" customFormat="false" customHeight="1" hidden="" ht="14" outlineLevel="0" r="18911">
      <c r="A18911" s="3" t="inlineStr">
        <is>
          <t>18863</t>
        </is>
      </c>
      <c r="B18911" s="4" t="s">
        <f>=HYPERLINK("http://anyluxury.ru/shop/odezhda/rubashki-polo/rubashka-polo-muzhskaya-perfect-men-180-zelenoe-yabloko-11346280/" , "11346280 Рубашка поло мужская PERFECT MEN 180 зеленое яблоко, размер XL")</f>
      </c>
      <c r="C18911" s="4" t="n">
        <v>1391.00</v>
      </c>
      <c r="D18911" s="4"/>
    </row>
    <row collapsed="" customFormat="false" customHeight="1" hidden="" ht="14" outlineLevel="0" r="18912">
      <c r="A18912" s="3" t="inlineStr">
        <is>
          <t>18864</t>
        </is>
      </c>
      <c r="B18912" s="4" t="s">
        <f>=HYPERLINK("http://anyluxury.ru/shop/odezhda/rubashki-polo/rubashka-polo-muzhskaya-perfect-men-180-zelenoe-yabloko-11346280/" , "11346280 Рубашка поло мужская PERFECT MEN 180 зеленое яблоко, размер XXL")</f>
      </c>
      <c r="C18912" s="4" t="n">
        <v>1391.00</v>
      </c>
      <c r="D18912" s="4"/>
    </row>
    <row collapsed="" customFormat="false" customHeight="1" hidden="" ht="14" outlineLevel="0" r="18913">
      <c r="A18913" s="3" t="inlineStr">
        <is>
          <t>18865</t>
        </is>
      </c>
      <c r="B18913" s="4" t="s">
        <f>=HYPERLINK("http://anyluxury.ru/shop/odezhda/rubashki-polo/rubashka-polo-muzhskaya-perfect-men-180-zelenoe-yabloko-11346280/" , "11346280 Рубашка поло мужская PERFECT MEN 180 зеленое яблоко, размер 3XL")</f>
      </c>
      <c r="C18913" s="4" t="n">
        <v>1665.00</v>
      </c>
      <c r="D18913" s="4"/>
    </row>
    <row collapsed="" customFormat="false" customHeight="1" hidden="" ht="14" outlineLevel="0" r="18914">
      <c r="A18914" s="3" t="inlineStr">
        <is>
          <t>18866</t>
        </is>
      </c>
      <c r="B18914" s="4" t="s">
        <f>=HYPERLINK("http://anyluxury.ru/shop/odezhda/rubashki-polo/rubashka-polo-muzhskaya-perfect-men-180-biryuzovaya-11346321/" , "11346321 Рубашка поло мужская PERFECT MEN 180 бирюзовая, размер S")</f>
      </c>
      <c r="C18914" s="4" t="n">
        <v>1391.00</v>
      </c>
      <c r="D18914" s="4"/>
    </row>
    <row collapsed="" customFormat="false" customHeight="1" hidden="" ht="14" outlineLevel="0" r="18915">
      <c r="A18915" s="3" t="inlineStr">
        <is>
          <t>18867</t>
        </is>
      </c>
      <c r="B18915" s="4" t="s">
        <f>=HYPERLINK("http://anyluxury.ru/shop/odezhda/rubashki-polo/rubashka-polo-muzhskaya-perfect-men-180-biryuzovaya-11346321/" , "11346321 Рубашка поло мужская PERFECT MEN 180 бирюзовая, размер M")</f>
      </c>
      <c r="C18915" s="4" t="n">
        <v>1391.00</v>
      </c>
      <c r="D18915" s="4"/>
    </row>
    <row collapsed="" customFormat="false" customHeight="1" hidden="" ht="14" outlineLevel="0" r="18916">
      <c r="A18916" s="3" t="inlineStr">
        <is>
          <t>18868</t>
        </is>
      </c>
      <c r="B18916" s="4" t="s">
        <f>=HYPERLINK("http://anyluxury.ru/shop/odezhda/rubashki-polo/rubashka-polo-muzhskaya-perfect-men-180-biryuzovaya-11346321/" , "11346321 Рубашка поло мужская PERFECT MEN 180 бирюзовая, размер L")</f>
      </c>
      <c r="C18916" s="4" t="n">
        <v>1391.00</v>
      </c>
      <c r="D18916" s="4"/>
    </row>
    <row collapsed="" customFormat="false" customHeight="1" hidden="" ht="14" outlineLevel="0" r="18917">
      <c r="A18917" s="3" t="inlineStr">
        <is>
          <t>18869</t>
        </is>
      </c>
      <c r="B18917" s="4" t="s">
        <f>=HYPERLINK("http://anyluxury.ru/shop/odezhda/rubashki-polo/rubashka-polo-muzhskaya-perfect-men-180-biryuzovaya-11346321/" , "11346321 Рубашка поло мужская PERFECT MEN 180 бирюзовая, размер XL")</f>
      </c>
      <c r="C18917" s="4" t="n">
        <v>1391.00</v>
      </c>
      <c r="D18917" s="4"/>
    </row>
    <row collapsed="" customFormat="false" customHeight="1" hidden="" ht="14" outlineLevel="0" r="18918">
      <c r="A18918" s="3" t="inlineStr">
        <is>
          <t>18870</t>
        </is>
      </c>
      <c r="B18918" s="4" t="s">
        <f>=HYPERLINK("http://anyluxury.ru/shop/odezhda/rubashki-polo/rubashka-polo-muzhskaya-perfect-men-180-biryuzovaya-11346321/" , "11346321 Рубашка поло мужская PERFECT MEN 180 бирюзовая, размер XXL")</f>
      </c>
      <c r="C18918" s="4" t="n">
        <v>1391.00</v>
      </c>
      <c r="D18918" s="4"/>
    </row>
    <row collapsed="" customFormat="false" customHeight="1" hidden="" ht="14" outlineLevel="0" r="18919">
      <c r="A18919" s="3" t="inlineStr">
        <is>
          <t>18871</t>
        </is>
      </c>
      <c r="B18919" s="4" t="s">
        <f>=HYPERLINK("http://anyluxury.ru/shop/odezhda/rubashki-polo/rubashka-polo-muzhskaya-perfect-men-180-biryuzovaya-11346321/" , "11346321 Рубашка поло мужская PERFECT MEN 180 бирюзовая, размер 3XL")</f>
      </c>
      <c r="C18919" s="4" t="n">
        <v>1665.00</v>
      </c>
      <c r="D18919" s="4"/>
    </row>
    <row collapsed="" customFormat="false" customHeight="1" hidden="" ht="14" outlineLevel="0" r="18920">
      <c r="A18920" s="3" t="inlineStr">
        <is>
          <t>18872</t>
        </is>
      </c>
      <c r="B18920" s="4" t="s">
        <f>=HYPERLINK("http://anyluxury.ru/shop/odezhda/rubashki-polo/rubashka-polo-muzhskaya-perfect-men-180-chernaya-11346312/" , "11346312 Рубашка поло мужская PERFECT MEN 180 черная, размер S")</f>
      </c>
      <c r="C18920" s="4" t="n">
        <v>1391.00</v>
      </c>
      <c r="D18920" s="4"/>
    </row>
    <row collapsed="" customFormat="false" customHeight="1" hidden="" ht="14" outlineLevel="0" r="18921">
      <c r="A18921" s="3" t="inlineStr">
        <is>
          <t>18873</t>
        </is>
      </c>
      <c r="B18921" s="4" t="s">
        <f>=HYPERLINK("http://anyluxury.ru/shop/odezhda/rubashki-polo/rubashka-polo-muzhskaya-perfect-men-180-chernaya-11346312/" , "11346312 Рубашка поло мужская PERFECT MEN 180 черная, размер M")</f>
      </c>
      <c r="C18921" s="4" t="n">
        <v>1391.00</v>
      </c>
      <c r="D18921" s="4"/>
    </row>
    <row collapsed="" customFormat="false" customHeight="1" hidden="" ht="14" outlineLevel="0" r="18922">
      <c r="A18922" s="3" t="inlineStr">
        <is>
          <t>18874</t>
        </is>
      </c>
      <c r="B18922" s="4" t="s">
        <f>=HYPERLINK("http://anyluxury.ru/shop/odezhda/rubashki-polo/rubashka-polo-muzhskaya-perfect-men-180-chernaya-11346312/" , "11346312 Рубашка поло мужская PERFECT MEN 180 черная, размер L")</f>
      </c>
      <c r="C18922" s="4" t="n">
        <v>1391.00</v>
      </c>
      <c r="D18922" s="4"/>
    </row>
    <row collapsed="" customFormat="false" customHeight="1" hidden="" ht="14" outlineLevel="0" r="18923">
      <c r="A18923" s="3" t="inlineStr">
        <is>
          <t>18875</t>
        </is>
      </c>
      <c r="B18923" s="4" t="s">
        <f>=HYPERLINK("http://anyluxury.ru/shop/odezhda/rubashki-polo/rubashka-polo-muzhskaya-perfect-men-180-chernaya-11346312/" , "11346312 Рубашка поло мужская PERFECT MEN 180 черная, размер XXL")</f>
      </c>
      <c r="C18923" s="4" t="n">
        <v>1391.00</v>
      </c>
      <c r="D18923" s="4"/>
    </row>
    <row collapsed="" customFormat="false" customHeight="1" hidden="" ht="14" outlineLevel="0" r="18924">
      <c r="A18924" s="3" t="inlineStr">
        <is>
          <t>18876</t>
        </is>
      </c>
      <c r="B18924" s="4" t="s">
        <f>=HYPERLINK("http://anyluxury.ru/shop/odezhda/rubashki-polo/rubashka-polo-muzhskaya-perfect-men-180-chernaya-11346312/" , "11346312 Рубашка поло мужская PERFECT MEN 180 черная, размер 3XL")</f>
      </c>
      <c r="C18924" s="4" t="n">
        <v>1665.00</v>
      </c>
      <c r="D18924" s="4"/>
    </row>
    <row collapsed="" customFormat="false" customHeight="1" hidden="" ht="14" outlineLevel="0" r="18925">
      <c r="A18925" s="3" t="inlineStr">
        <is>
          <t>18877</t>
        </is>
      </c>
      <c r="B18925" s="4" t="s">
        <f>=HYPERLINK("http://anyluxury.ru/shop/odezhda/rubashki-polo/rubashka-polo-muzhskaya-perfect-men-180-temnosinyaya-11346319/" , "11346319 Рубашка поло мужская PERFECT MEN 180 темно-синяя, размер S")</f>
      </c>
      <c r="C18925" s="4" t="n">
        <v>1391.00</v>
      </c>
      <c r="D18925" s="4"/>
    </row>
    <row collapsed="" customFormat="false" customHeight="1" hidden="" ht="14" outlineLevel="0" r="18926">
      <c r="A18926" s="3" t="inlineStr">
        <is>
          <t>18878</t>
        </is>
      </c>
      <c r="B18926" s="4" t="s">
        <f>=HYPERLINK("http://anyluxury.ru/shop/odezhda/rubashki-polo/rubashka-polo-muzhskaya-perfect-men-180-temnosinyaya-11346319/" , "11346319 Рубашка поло мужская PERFECT MEN 180 темно-синяя, размер M")</f>
      </c>
      <c r="C18926" s="4" t="n">
        <v>1391.00</v>
      </c>
      <c r="D18926" s="4"/>
    </row>
    <row collapsed="" customFormat="false" customHeight="1" hidden="" ht="14" outlineLevel="0" r="18927">
      <c r="A18927" s="3" t="inlineStr">
        <is>
          <t>18879</t>
        </is>
      </c>
      <c r="B18927" s="4" t="s">
        <f>=HYPERLINK("http://anyluxury.ru/shop/odezhda/rubashki-polo/rubashka-polo-muzhskaya-perfect-men-180-temnosinyaya-11346319/" , "11346319 Рубашка поло мужская PERFECT MEN 180 темно-синяя, размер L")</f>
      </c>
      <c r="C18927" s="4" t="n">
        <v>1391.00</v>
      </c>
      <c r="D18927" s="4"/>
    </row>
    <row collapsed="" customFormat="false" customHeight="1" hidden="" ht="14" outlineLevel="0" r="18928">
      <c r="A18928" s="3" t="inlineStr">
        <is>
          <t>18880</t>
        </is>
      </c>
      <c r="B18928" s="4" t="s">
        <f>=HYPERLINK("http://anyluxury.ru/shop/odezhda/rubashki-polo/rubashka-polo-muzhskaya-perfect-men-180-temnosinyaya-11346319/" , "11346319 Рубашка поло мужская PERFECT MEN 180 темно-синяя, размер XL")</f>
      </c>
      <c r="C18928" s="4" t="n">
        <v>1391.00</v>
      </c>
      <c r="D18928" s="4"/>
    </row>
    <row collapsed="" customFormat="false" customHeight="1" hidden="" ht="14" outlineLevel="0" r="18929">
      <c r="A18929" s="3" t="inlineStr">
        <is>
          <t>18881</t>
        </is>
      </c>
      <c r="B18929" s="4" t="s">
        <f>=HYPERLINK("http://anyluxury.ru/shop/odezhda/rubashki-polo/rubashka-polo-muzhskaya-perfect-men-180-temnosinyaya-11346319/" , "11346319 Рубашка поло мужская PERFECT MEN 180 темно-синяя, размер XXL")</f>
      </c>
      <c r="C18929" s="4" t="n">
        <v>1391.00</v>
      </c>
      <c r="D18929" s="4"/>
    </row>
    <row collapsed="" customFormat="false" customHeight="1" hidden="" ht="14" outlineLevel="0" r="18930">
      <c r="A18930" s="3" t="inlineStr">
        <is>
          <t>18882</t>
        </is>
      </c>
      <c r="B18930" s="4" t="s">
        <f>=HYPERLINK("http://anyluxury.ru/shop/odezhda/rubashki-polo/rubashka-polo-muzhskaya-perfect-men-180-temnosinyaya-11346319/" , "11346319 Рубашка поло мужская PERFECT MEN 180 темно-синяя, размер 3XL")</f>
      </c>
      <c r="C18930" s="4" t="n">
        <v>1665.00</v>
      </c>
      <c r="D18930" s="4"/>
    </row>
    <row collapsed="" customFormat="false" customHeight="1" hidden="" ht="14" outlineLevel="0" r="18931">
      <c r="A18931" s="3" t="inlineStr">
        <is>
          <t>18883</t>
        </is>
      </c>
      <c r="B18931" s="4" t="s">
        <f>=HYPERLINK("http://anyluxury.ru/shop/odezhda/rubashki-polo/rubashka-polo-muzhskaya-perfect-men-180-zheltaya-11346301/" , "11346301 Рубашка поло мужская PERFECT MEN 180 желтая, размер S")</f>
      </c>
      <c r="C18931" s="4" t="n">
        <v>1391.00</v>
      </c>
      <c r="D18931" s="4"/>
    </row>
    <row collapsed="" customFormat="false" customHeight="1" hidden="" ht="14" outlineLevel="0" r="18932">
      <c r="A18932" s="3" t="inlineStr">
        <is>
          <t>18884</t>
        </is>
      </c>
      <c r="B18932" s="4" t="s">
        <f>=HYPERLINK("http://anyluxury.ru/shop/odezhda/rubashki-polo/rubashka-polo-muzhskaya-perfect-men-180-zheltaya-11346301/" , "11346301 Рубашка поло мужская PERFECT MEN 180 желтая, размер M")</f>
      </c>
      <c r="C18932" s="4" t="n">
        <v>1391.00</v>
      </c>
      <c r="D18932" s="4"/>
    </row>
    <row collapsed="" customFormat="false" customHeight="1" hidden="" ht="14" outlineLevel="0" r="18933">
      <c r="A18933" s="3" t="inlineStr">
        <is>
          <t>18885</t>
        </is>
      </c>
      <c r="B18933" s="4" t="s">
        <f>=HYPERLINK("http://anyluxury.ru/shop/odezhda/rubashki-polo/rubashka-polo-muzhskaya-perfect-men-180-zheltaya-11346301/" , "11346301 Рубашка поло мужская PERFECT MEN 180 желтая, размер L")</f>
      </c>
      <c r="C18933" s="4" t="n">
        <v>1391.00</v>
      </c>
      <c r="D18933" s="4"/>
    </row>
    <row collapsed="" customFormat="false" customHeight="1" hidden="" ht="14" outlineLevel="0" r="18934">
      <c r="A18934" s="3" t="inlineStr">
        <is>
          <t>18886</t>
        </is>
      </c>
      <c r="B18934" s="4" t="s">
        <f>=HYPERLINK("http://anyluxury.ru/shop/odezhda/rubashki-polo/rubashka-polo-muzhskaya-perfect-men-180-zheltaya-11346301/" , "11346301 Рубашка поло мужская PERFECT MEN 180 желтая, размер XL")</f>
      </c>
      <c r="C18934" s="4" t="n">
        <v>1391.00</v>
      </c>
      <c r="D18934" s="4"/>
    </row>
    <row collapsed="" customFormat="false" customHeight="1" hidden="" ht="14" outlineLevel="0" r="18935">
      <c r="A18935" s="3" t="inlineStr">
        <is>
          <t>18887</t>
        </is>
      </c>
      <c r="B18935" s="4" t="s">
        <f>=HYPERLINK("http://anyluxury.ru/shop/odezhda/rubashki-polo/rubashka-polo-muzhskaya-perfect-men-180-zheltaya-11346301/" , "11346301 Рубашка поло мужская PERFECT MEN 180 желтая, размер XXL")</f>
      </c>
      <c r="C18935" s="4" t="n">
        <v>1391.00</v>
      </c>
      <c r="D18935" s="4"/>
    </row>
    <row collapsed="" customFormat="false" customHeight="1" hidden="" ht="14" outlineLevel="0" r="18936">
      <c r="A18936" s="3" t="inlineStr">
        <is>
          <t>18888</t>
        </is>
      </c>
      <c r="B18936" s="4" t="s">
        <f>=HYPERLINK("http://anyluxury.ru/shop/odezhda/rubashki-polo/rubashka-polo-muzhskaya-perfect-men-180-zheltaya-11346301/" , "11346301 Рубашка поло мужская PERFECT MEN 180 желтая, размер 3XL")</f>
      </c>
      <c r="C18936" s="4" t="n">
        <v>1665.00</v>
      </c>
      <c r="D18936" s="4"/>
    </row>
    <row collapsed="" customFormat="false" customHeight="1" hidden="" ht="14" outlineLevel="0" r="18937">
      <c r="A18937" s="3" t="inlineStr">
        <is>
          <t>18889</t>
        </is>
      </c>
      <c r="B18937" s="4" t="s">
        <f>=HYPERLINK("http://anyluxury.ru/shop/odezhda/rubashki-polo/rubashka-polo-muzhskaya-perfect-men-180-yarkozelenaya-11346272/" , "11346272 Рубашка поло мужская PERFECT MEN 180 ярко-зеленая, размер S")</f>
      </c>
      <c r="C18937" s="4" t="n">
        <v>1391.00</v>
      </c>
      <c r="D18937" s="4"/>
    </row>
    <row collapsed="" customFormat="false" customHeight="1" hidden="" ht="14" outlineLevel="0" r="18938">
      <c r="A18938" s="3" t="inlineStr">
        <is>
          <t>18890</t>
        </is>
      </c>
      <c r="B18938" s="4" t="s">
        <f>=HYPERLINK("http://anyluxury.ru/shop/odezhda/rubashki-polo/rubashka-polo-muzhskaya-perfect-men-180-yarkozelenaya-11346272/" , "11346272 Рубашка поло мужская PERFECT MEN 180 ярко-зеленая, размер M")</f>
      </c>
      <c r="C18938" s="4" t="n">
        <v>1391.00</v>
      </c>
      <c r="D18938" s="4"/>
    </row>
    <row collapsed="" customFormat="false" customHeight="1" hidden="" ht="14" outlineLevel="0" r="18939">
      <c r="A18939" s="3" t="inlineStr">
        <is>
          <t>18891</t>
        </is>
      </c>
      <c r="B18939" s="4" t="s">
        <f>=HYPERLINK("http://anyluxury.ru/shop/odezhda/rubashki-polo/rubashka-polo-muzhskaya-perfect-men-180-yarkozelenaya-11346272/" , "11346272 Рубашка поло мужская PERFECT MEN 180 ярко-зеленая, размер L")</f>
      </c>
      <c r="C18939" s="4" t="n">
        <v>1391.00</v>
      </c>
      <c r="D18939" s="4"/>
    </row>
    <row collapsed="" customFormat="false" customHeight="1" hidden="" ht="14" outlineLevel="0" r="18940">
      <c r="A18940" s="3" t="inlineStr">
        <is>
          <t>18892</t>
        </is>
      </c>
      <c r="B18940" s="4" t="s">
        <f>=HYPERLINK("http://anyluxury.ru/shop/odezhda/rubashki-polo/rubashka-polo-muzhskaya-perfect-men-180-yarkozelenaya-11346272/" , "11346272 Рубашка поло мужская PERFECT MEN 180 ярко-зеленая, размер XL")</f>
      </c>
      <c r="C18940" s="4" t="n">
        <v>1391.00</v>
      </c>
      <c r="D18940" s="4"/>
    </row>
    <row collapsed="" customFormat="false" customHeight="1" hidden="" ht="14" outlineLevel="0" r="18941">
      <c r="A18941" s="3" t="inlineStr">
        <is>
          <t>18893</t>
        </is>
      </c>
      <c r="B18941" s="4" t="s">
        <f>=HYPERLINK("http://anyluxury.ru/shop/odezhda/rubashki-polo/rubashka-polo-muzhskaya-perfect-men-180-yarkozelenaya-11346272/" , "11346272 Рубашка поло мужская PERFECT MEN 180 ярко-зеленая, размер XXL")</f>
      </c>
      <c r="C18941" s="4" t="n">
        <v>1391.00</v>
      </c>
      <c r="D18941" s="4"/>
    </row>
    <row collapsed="" customFormat="false" customHeight="1" hidden="" ht="14" outlineLevel="0" r="18942">
      <c r="A18942" s="3" t="inlineStr">
        <is>
          <t>18894</t>
        </is>
      </c>
      <c r="B18942" s="4" t="s">
        <f>=HYPERLINK("http://anyluxury.ru/shop/odezhda/rubashki-polo/rubashka-polo-muzhskaya-perfect-men-180-yarkozelenaya-11346272/" , "11346272 Рубашка поло мужская PERFECT MEN 180 ярко-зеленая, размер 3XL")</f>
      </c>
      <c r="C18942" s="4" t="n">
        <v>1665.00</v>
      </c>
      <c r="D18942" s="4"/>
    </row>
    <row collapsed="" customFormat="false" customHeight="1" hidden="" ht="14" outlineLevel="0" r="18943">
      <c r="A18943" s="3" t="inlineStr">
        <is>
          <t>18895</t>
        </is>
      </c>
      <c r="B18943" s="4" t="s">
        <f>=HYPERLINK("http://anyluxury.ru/shop/odezhda/rubashki-polo/rubashka-polo-muzhskaya-perfect-men-180-oranzhevaya-11346400/" , "11346400 Рубашка поло мужская PERFECT MEN 180 оранжевая, размер S")</f>
      </c>
      <c r="C18943" s="4" t="n">
        <v>1391.00</v>
      </c>
      <c r="D18943" s="4"/>
    </row>
    <row collapsed="" customFormat="false" customHeight="1" hidden="" ht="14" outlineLevel="0" r="18944">
      <c r="A18944" s="3" t="inlineStr">
        <is>
          <t>18896</t>
        </is>
      </c>
      <c r="B18944" s="4" t="s">
        <f>=HYPERLINK("http://anyluxury.ru/shop/odezhda/rubashki-polo/rubashka-polo-muzhskaya-perfect-men-180-oranzhevaya-11346400/" , "11346400 Рубашка поло мужская PERFECT MEN 180 оранжевая, размер M")</f>
      </c>
      <c r="C18944" s="4" t="n">
        <v>1391.00</v>
      </c>
      <c r="D18944" s="4"/>
    </row>
    <row collapsed="" customFormat="false" customHeight="1" hidden="" ht="14" outlineLevel="0" r="18945">
      <c r="A18945" s="3" t="inlineStr">
        <is>
          <t>18897</t>
        </is>
      </c>
      <c r="B18945" s="4" t="s">
        <f>=HYPERLINK("http://anyluxury.ru/shop/odezhda/rubashki-polo/rubashka-polo-muzhskaya-perfect-men-180-oranzhevaya-11346400/" , "11346400 Рубашка поло мужская PERFECT MEN 180 оранжевая, размер L")</f>
      </c>
      <c r="C18945" s="4" t="n">
        <v>1391.00</v>
      </c>
      <c r="D18945" s="4"/>
    </row>
    <row collapsed="" customFormat="false" customHeight="1" hidden="" ht="14" outlineLevel="0" r="18946">
      <c r="A18946" s="3" t="inlineStr">
        <is>
          <t>18898</t>
        </is>
      </c>
      <c r="B18946" s="4" t="s">
        <f>=HYPERLINK("http://anyluxury.ru/shop/odezhda/rubashki-polo/rubashka-polo-muzhskaya-perfect-men-180-oranzhevaya-11346400/" , "11346400 Рубашка поло мужская PERFECT MEN 180 оранжевая, размер XL")</f>
      </c>
      <c r="C18946" s="4" t="n">
        <v>1391.00</v>
      </c>
      <c r="D18946" s="4"/>
    </row>
    <row collapsed="" customFormat="false" customHeight="1" hidden="" ht="14" outlineLevel="0" r="18947">
      <c r="A18947" s="3" t="inlineStr">
        <is>
          <t>18899</t>
        </is>
      </c>
      <c r="B18947" s="4" t="s">
        <f>=HYPERLINK("http://anyluxury.ru/shop/odezhda/rubashki-polo/rubashka-polo-muzhskaya-perfect-men-180-oranzhevaya-11346400/" , "11346400 Рубашка поло мужская PERFECT MEN 180 оранжевая, размер XXL")</f>
      </c>
      <c r="C18947" s="4" t="n">
        <v>1391.00</v>
      </c>
      <c r="D18947" s="4"/>
    </row>
    <row collapsed="" customFormat="false" customHeight="1" hidden="" ht="14" outlineLevel="0" r="18948">
      <c r="A18948" s="3" t="inlineStr">
        <is>
          <t>18900</t>
        </is>
      </c>
      <c r="B18948" s="4" t="s">
        <f>=HYPERLINK("http://anyluxury.ru/shop/odezhda/rubashki-polo/rubashka-polo-muzhskaya-perfect-men-180-oranzhevaya-11346400/" , "11346400 Рубашка поло мужская PERFECT MEN 180 оранжевая, размер 3XL")</f>
      </c>
      <c r="C18948" s="4" t="n">
        <v>1665.00</v>
      </c>
      <c r="D18948" s="4"/>
    </row>
    <row collapsed="" customFormat="false" customHeight="1" hidden="" ht="14" outlineLevel="0" r="18949">
      <c r="A18949" s="3" t="inlineStr">
        <is>
          <t>18901</t>
        </is>
      </c>
      <c r="B18949" s="4" t="s">
        <f>=HYPERLINK("http://anyluxury.ru/shop/odezhda/rubashki-polo/rubashka-polo-muzhskaya-perfect-men-180-krasnaya-11346145/" , "11346145 Рубашка поло мужская PERFECT MEN 180 красная, размер XS")</f>
      </c>
      <c r="C18949" s="4" t="n">
        <v>1391.00</v>
      </c>
      <c r="D18949" s="4"/>
    </row>
    <row collapsed="" customFormat="false" customHeight="1" hidden="" ht="14" outlineLevel="0" r="18950">
      <c r="A18950" s="3" t="inlineStr">
        <is>
          <t>18902</t>
        </is>
      </c>
      <c r="B18950" s="4" t="s">
        <f>=HYPERLINK("http://anyluxury.ru/shop/odezhda/rubashki-polo/rubashka-polo-muzhskaya-perfect-men-180-krasnaya-11346145/" , "11346145 Рубашка поло мужская PERFECT MEN 180 красная, размер S")</f>
      </c>
      <c r="C18950" s="4" t="n">
        <v>1391.00</v>
      </c>
      <c r="D18950" s="4"/>
    </row>
    <row collapsed="" customFormat="false" customHeight="1" hidden="" ht="14" outlineLevel="0" r="18951">
      <c r="A18951" s="3" t="inlineStr">
        <is>
          <t>18903</t>
        </is>
      </c>
      <c r="B18951" s="4" t="s">
        <f>=HYPERLINK("http://anyluxury.ru/shop/odezhda/rubashki-polo/rubashka-polo-muzhskaya-perfect-men-180-krasnaya-11346145/" , "11346145 Рубашка поло мужская PERFECT MEN 180 красная, размер L")</f>
      </c>
      <c r="C18951" s="4" t="n">
        <v>1391.00</v>
      </c>
      <c r="D18951" s="4"/>
    </row>
    <row collapsed="" customFormat="false" customHeight="1" hidden="" ht="14" outlineLevel="0" r="18952">
      <c r="A18952" s="3" t="inlineStr">
        <is>
          <t>18904</t>
        </is>
      </c>
      <c r="B18952" s="4" t="s">
        <f>=HYPERLINK("http://anyluxury.ru/shop/odezhda/rubashki-polo/rubashka-polo-muzhskaya-perfect-men-180-krasnaya-11346145/" , "11346145 Рубашка поло мужская PERFECT MEN 180 красная, размер XXL")</f>
      </c>
      <c r="C18952" s="4" t="n">
        <v>1391.00</v>
      </c>
      <c r="D18952" s="4"/>
    </row>
    <row collapsed="" customFormat="false" customHeight="1" hidden="" ht="14" outlineLevel="0" r="18953">
      <c r="A18953" s="3" t="inlineStr">
        <is>
          <t>18905</t>
        </is>
      </c>
      <c r="B18953" s="4" t="s">
        <f>=HYPERLINK("http://anyluxury.ru/shop/odezhda/rubashki-polo/rubashka-polo-muzhskaya-perfect-men-180-krasnaya-11346145/" , "11346145 Рубашка поло мужская PERFECT MEN 180 красная, размер 3XL")</f>
      </c>
      <c r="C18953" s="4" t="n">
        <v>1665.00</v>
      </c>
      <c r="D18953" s="4"/>
    </row>
    <row collapsed="" customFormat="false" customHeight="1" hidden="" ht="14" outlineLevel="0" r="18954">
      <c r="A18954" s="3" t="inlineStr">
        <is>
          <t>18906</t>
        </is>
      </c>
      <c r="B18954" s="4" t="s">
        <f>=HYPERLINK("http://anyluxury.ru/shop/odezhda/rubashki-polo/rubashka-polo-muzhskaya-perfect-men-180-yarkosinyaya-11346241/" , "11346241 Рубашка поло мужская PERFECT MEN 180 ярко-синяя, размер XS")</f>
      </c>
      <c r="C18954" s="4" t="n">
        <v>1391.00</v>
      </c>
      <c r="D18954" s="4"/>
    </row>
    <row collapsed="" customFormat="false" customHeight="1" hidden="" ht="14" outlineLevel="0" r="18955">
      <c r="A18955" s="3" t="inlineStr">
        <is>
          <t>18907</t>
        </is>
      </c>
      <c r="B18955" s="4" t="s">
        <f>=HYPERLINK("http://anyluxury.ru/shop/odezhda/rubashki-polo/rubashka-polo-muzhskaya-perfect-men-180-yarkosinyaya-11346241/" , "11346241 Рубашка поло мужская PERFECT MEN 180 ярко-синяя, размер XL")</f>
      </c>
      <c r="C18955" s="4" t="n">
        <v>1391.00</v>
      </c>
      <c r="D18955" s="4"/>
    </row>
    <row collapsed="" customFormat="false" customHeight="1" hidden="" ht="14" outlineLevel="0" r="18956">
      <c r="A18956" s="3" t="inlineStr">
        <is>
          <t>18908</t>
        </is>
      </c>
      <c r="B18956" s="4" t="s">
        <f>=HYPERLINK("http://anyluxury.ru/shop/odezhda/rubashki-polo/rubashka-polo-muzhskaya-perfect-men-180-golubaya-11346200/" , "11346200 Рубашка поло мужская PERFECT MEN 180 голубая, размер S")</f>
      </c>
      <c r="C18956" s="4" t="n">
        <v>1391.00</v>
      </c>
      <c r="D18956" s="4"/>
    </row>
    <row collapsed="" customFormat="false" customHeight="1" hidden="" ht="14" outlineLevel="0" r="18957">
      <c r="A18957" s="3" t="inlineStr">
        <is>
          <t>18909</t>
        </is>
      </c>
      <c r="B18957" s="4" t="s">
        <f>=HYPERLINK("http://anyluxury.ru/shop/odezhda/rubashki-polo/rubashka-polo-muzhskaya-perfect-men-180-golubaya-11346200/" , "11346200 Рубашка поло мужская PERFECT MEN 180 голубая, размер M")</f>
      </c>
      <c r="C18957" s="4" t="n">
        <v>1391.00</v>
      </c>
      <c r="D18957" s="4"/>
    </row>
    <row collapsed="" customFormat="false" customHeight="1" hidden="" ht="14" outlineLevel="0" r="18958">
      <c r="A18958" s="3" t="inlineStr">
        <is>
          <t>18910</t>
        </is>
      </c>
      <c r="B18958" s="4" t="s">
        <f>=HYPERLINK("http://anyluxury.ru/shop/odezhda/rubashki-polo/rubashka-polo-muzhskaya-perfect-men-180-golubaya-11346200/" , "11346200 Рубашка поло мужская PERFECT MEN 180 голубая, размер L")</f>
      </c>
      <c r="C18958" s="4" t="n">
        <v>1391.00</v>
      </c>
      <c r="D18958" s="4"/>
    </row>
    <row collapsed="" customFormat="false" customHeight="1" hidden="" ht="14" outlineLevel="0" r="18959">
      <c r="A18959" s="3" t="inlineStr">
        <is>
          <t>18911</t>
        </is>
      </c>
      <c r="B18959" s="4" t="s">
        <f>=HYPERLINK("http://anyluxury.ru/shop/odezhda/rubashki-polo/rubashka-polo-muzhskaya-perfect-men-180-golubaya-11346200/" , "11346200 Рубашка поло мужская PERFECT MEN 180 голубая, размер XL")</f>
      </c>
      <c r="C18959" s="4" t="n">
        <v>1391.00</v>
      </c>
      <c r="D18959" s="4"/>
    </row>
    <row collapsed="" customFormat="false" customHeight="1" hidden="" ht="14" outlineLevel="0" r="18960">
      <c r="A18960" s="3" t="inlineStr">
        <is>
          <t>18912</t>
        </is>
      </c>
      <c r="B18960" s="4" t="s">
        <f>=HYPERLINK("http://anyluxury.ru/shop/odezhda/rubashki-polo/rubashka-polo-muzhskaya-perfect-men-180-golubaya-11346200/" , "11346200 Рубашка поло мужская PERFECT MEN 180 голубая, размер XXL")</f>
      </c>
      <c r="C18960" s="4" t="n">
        <v>1391.00</v>
      </c>
      <c r="D18960" s="4"/>
    </row>
    <row collapsed="" customFormat="false" customHeight="1" hidden="" ht="14" outlineLevel="0" r="18961">
      <c r="A18961" s="3" t="inlineStr">
        <is>
          <t>18913</t>
        </is>
      </c>
      <c r="B18961" s="4" t="s">
        <f>=HYPERLINK("http://anyluxury.ru/shop/odezhda/rubashki-polo/rubashka-polo-muzhskaya-perfect-men-180-golubaya-11346200/" , "11346200 Рубашка поло мужская PERFECT MEN 180 голубая, размер 3XL")</f>
      </c>
      <c r="C18961" s="4" t="n">
        <v>1665.00</v>
      </c>
      <c r="D18961" s="4"/>
    </row>
    <row collapsed="" customFormat="false" customHeight="1" hidden="" ht="14" outlineLevel="0" r="18962">
      <c r="A18962" s="3" t="inlineStr">
        <is>
          <t>18914</t>
        </is>
      </c>
      <c r="B18962" s="4" t="s">
        <f>=HYPERLINK("http://anyluxury.ru/shop/odezhda/rubashki-polo/rubashka-polo-zhenskaya-perfect-women-180-zelenoe-yabloko-11347280/" , "11347280 Рубашка поло женская PERFECT WOMEN 180 зеленое яблоко, размер S")</f>
      </c>
      <c r="C18962" s="4" t="n">
        <v>1355.00</v>
      </c>
      <c r="D18962" s="4"/>
    </row>
    <row collapsed="" customFormat="false" customHeight="1" hidden="" ht="14" outlineLevel="0" r="18963">
      <c r="A18963" s="3" t="inlineStr">
        <is>
          <t>18915</t>
        </is>
      </c>
      <c r="B18963" s="4" t="s">
        <f>=HYPERLINK("http://anyluxury.ru/shop/odezhda/rubashki-polo/rubashka-polo-zhenskaya-perfect-women-180-zelenoe-yabloko-11347280/" , "11347280 Рубашка поло женская PERFECT WOMEN 180 зеленое яблоко, размер M")</f>
      </c>
      <c r="C18963" s="4" t="n">
        <v>1355.00</v>
      </c>
      <c r="D18963" s="4"/>
    </row>
    <row collapsed="" customFormat="false" customHeight="1" hidden="" ht="14" outlineLevel="0" r="18964">
      <c r="A18964" s="3" t="inlineStr">
        <is>
          <t>18916</t>
        </is>
      </c>
      <c r="B18964" s="4" t="s">
        <f>=HYPERLINK("http://anyluxury.ru/shop/odezhda/rubashki-polo/rubashka-polo-zhenskaya-perfect-women-180-zelenoe-yabloko-11347280/" , "11347280 Рубашка поло женская PERFECT WOMEN 180 зеленое яблоко, размер L")</f>
      </c>
      <c r="C18964" s="4" t="n">
        <v>1355.00</v>
      </c>
      <c r="D18964" s="4"/>
    </row>
    <row collapsed="" customFormat="false" customHeight="1" hidden="" ht="14" outlineLevel="0" r="18965">
      <c r="A18965" s="3" t="inlineStr">
        <is>
          <t>18917</t>
        </is>
      </c>
      <c r="B18965" s="4" t="s">
        <f>=HYPERLINK("http://anyluxury.ru/shop/odezhda/rubashki-polo/rubashka-polo-zhenskaya-perfect-women-180-zelenoe-yabloko-11347280/" , "11347280 Рубашка поло женская PERFECT WOMEN 180 зеленое яблоко, размер XL")</f>
      </c>
      <c r="C18965" s="4" t="n">
        <v>1355.00</v>
      </c>
      <c r="D18965" s="4"/>
    </row>
    <row collapsed="" customFormat="false" customHeight="1" hidden="" ht="14" outlineLevel="0" r="18966">
      <c r="A18966" s="3" t="inlineStr">
        <is>
          <t>18918</t>
        </is>
      </c>
      <c r="B18966" s="4" t="s">
        <f>=HYPERLINK("http://anyluxury.ru/shop/odezhda/rubashki-polo/rubashka-polo-zhenskaya-perfect-women-180-zelenoe-yabloko-11347280/" , "11347280 Рубашка поло женская PERFECT WOMEN 180 зеленое яблоко, размер XXL")</f>
      </c>
      <c r="C18966" s="4" t="n">
        <v>1355.00</v>
      </c>
      <c r="D18966" s="4"/>
    </row>
    <row collapsed="" customFormat="false" customHeight="1" hidden="" ht="14" outlineLevel="0" r="18967">
      <c r="A18967" s="3" t="inlineStr">
        <is>
          <t>18919</t>
        </is>
      </c>
      <c r="B18967" s="4" t="s">
        <f>=HYPERLINK("http://anyluxury.ru/shop/odezhda/rubashki-polo/rubashka-polo-zhenskaya-perfect-women-180-biryuzovaya-11347321/" , "11347321 Рубашка поло женская PERFECT WOMEN 180 бирюзовая, размер S")</f>
      </c>
      <c r="C18967" s="4" t="n">
        <v>1272.00</v>
      </c>
      <c r="D18967" s="4"/>
    </row>
    <row collapsed="" customFormat="false" customHeight="1" hidden="" ht="14" outlineLevel="0" r="18968">
      <c r="A18968" s="3" t="inlineStr">
        <is>
          <t>18920</t>
        </is>
      </c>
      <c r="B18968" s="4" t="s">
        <f>=HYPERLINK("http://anyluxury.ru/shop/odezhda/rubashki-polo/rubashka-polo-zhenskaya-perfect-women-180-biryuzovaya-11347321/" , "11347321 Рубашка поло женская PERFECT WOMEN 180 бирюзовая, размер M")</f>
      </c>
      <c r="C18968" s="4" t="n">
        <v>1272.00</v>
      </c>
      <c r="D18968" s="4"/>
    </row>
    <row collapsed="" customFormat="false" customHeight="1" hidden="" ht="14" outlineLevel="0" r="18969">
      <c r="A18969" s="3" t="inlineStr">
        <is>
          <t>18921</t>
        </is>
      </c>
      <c r="B18969" s="4" t="s">
        <f>=HYPERLINK("http://anyluxury.ru/shop/odezhda/rubashki-polo/rubashka-polo-zhenskaya-perfect-women-180-biryuzovaya-11347321/" , "11347321 Рубашка поло женская PERFECT WOMEN 180 бирюзовая, размер L")</f>
      </c>
      <c r="C18969" s="4" t="n">
        <v>1272.00</v>
      </c>
      <c r="D18969" s="4"/>
    </row>
    <row collapsed="" customFormat="false" customHeight="1" hidden="" ht="14" outlineLevel="0" r="18970">
      <c r="A18970" s="3" t="inlineStr">
        <is>
          <t>18922</t>
        </is>
      </c>
      <c r="B18970" s="4" t="s">
        <f>=HYPERLINK("http://anyluxury.ru/shop/odezhda/rubashki-polo/rubashka-polo-zhenskaya-perfect-women-180-biryuzovaya-11347321/" , "11347321 Рубашка поло женская PERFECT WOMEN 180 бирюзовая, размер XL")</f>
      </c>
      <c r="C18970" s="4" t="n">
        <v>1272.00</v>
      </c>
      <c r="D18970" s="4"/>
    </row>
    <row collapsed="" customFormat="false" customHeight="1" hidden="" ht="14" outlineLevel="0" r="18971">
      <c r="A18971" s="3" t="inlineStr">
        <is>
          <t>18923</t>
        </is>
      </c>
      <c r="B18971" s="4" t="s">
        <f>=HYPERLINK("http://anyluxury.ru/shop/odezhda/rubashki-polo/rubashka-polo-zhenskaya-perfect-women-180-biryuzovaya-11347321/" , "11347321 Рубашка поло женская PERFECT WOMEN 180 бирюзовая, размер XXL")</f>
      </c>
      <c r="C18971" s="4" t="n">
        <v>1272.00</v>
      </c>
      <c r="D18971" s="4"/>
    </row>
    <row collapsed="" customFormat="false" customHeight="1" hidden="" ht="14" outlineLevel="0" r="18972">
      <c r="A18972" s="3" t="inlineStr">
        <is>
          <t>18924</t>
        </is>
      </c>
      <c r="B18972" s="4" t="s">
        <f>=HYPERLINK("http://anyluxury.ru/shop/odezhda/rubashki-polo/rubashka-polo-zhenskaya-perfect-women-180-chernaya-11347312/" , "11347312 Рубашка поло женская PERFECT WOMEN 180 черная, размер S")</f>
      </c>
      <c r="C18972" s="4" t="n">
        <v>1355.00</v>
      </c>
      <c r="D18972" s="4"/>
    </row>
    <row collapsed="" customFormat="false" customHeight="1" hidden="" ht="14" outlineLevel="0" r="18973">
      <c r="A18973" s="3" t="inlineStr">
        <is>
          <t>18925</t>
        </is>
      </c>
      <c r="B18973" s="4" t="s">
        <f>=HYPERLINK("http://anyluxury.ru/shop/odezhda/rubashki-polo/rubashka-polo-zhenskaya-perfect-women-180-chernaya-11347312/" , "11347312 Рубашка поло женская PERFECT WOMEN 180 черная, размер L")</f>
      </c>
      <c r="C18973" s="4" t="n">
        <v>1355.00</v>
      </c>
      <c r="D18973" s="4"/>
    </row>
    <row collapsed="" customFormat="false" customHeight="1" hidden="" ht="14" outlineLevel="0" r="18974">
      <c r="A18974" s="3" t="inlineStr">
        <is>
          <t>18926</t>
        </is>
      </c>
      <c r="B18974" s="4" t="s">
        <f>=HYPERLINK("http://anyluxury.ru/shop/odezhda/rubashki-polo/rubashka-polo-zhenskaya-perfect-women-180-chernaya-11347312/" , "11347312 Рубашка поло женская PERFECT WOMEN 180 черная, размер XL")</f>
      </c>
      <c r="C18974" s="4" t="n">
        <v>1355.00</v>
      </c>
      <c r="D18974" s="4"/>
    </row>
    <row collapsed="" customFormat="false" customHeight="1" hidden="" ht="14" outlineLevel="0" r="18975">
      <c r="A18975" s="3" t="inlineStr">
        <is>
          <t>18927</t>
        </is>
      </c>
      <c r="B18975" s="4" t="s">
        <f>=HYPERLINK("http://anyluxury.ru/shop/odezhda/rubashki-polo/rubashka-polo-zhenskaya-perfect-women-180-chernaya-11347312/" , "11347312 Рубашка поло женская PERFECT WOMEN 180 черная, размер XXL")</f>
      </c>
      <c r="C18975" s="4" t="n">
        <v>1355.00</v>
      </c>
      <c r="D18975" s="4"/>
    </row>
    <row collapsed="" customFormat="false" customHeight="1" hidden="" ht="14" outlineLevel="0" r="18976">
      <c r="A18976" s="3" t="inlineStr">
        <is>
          <t>18928</t>
        </is>
      </c>
      <c r="B18976" s="4" t="s">
        <f>=HYPERLINK("http://anyluxury.ru/shop/odezhda/rubashki-polo/rubashka-polo-zhenskaya-perfect-women-180-temnosinyaya-11347319/" , "11347319 Рубашка поло женская PERFECT WOMEN 180 темно-синяя, размер S")</f>
      </c>
      <c r="C18976" s="4" t="n">
        <v>1355.00</v>
      </c>
      <c r="D18976" s="4"/>
    </row>
    <row collapsed="" customFormat="false" customHeight="1" hidden="" ht="14" outlineLevel="0" r="18977">
      <c r="A18977" s="3" t="inlineStr">
        <is>
          <t>18929</t>
        </is>
      </c>
      <c r="B18977" s="4" t="s">
        <f>=HYPERLINK("http://anyluxury.ru/shop/odezhda/rubashki-polo/rubashka-polo-zhenskaya-perfect-women-180-temnosinyaya-11347319/" , "11347319 Рубашка поло женская PERFECT WOMEN 180 темно-синяя, размер M")</f>
      </c>
      <c r="C18977" s="4" t="n">
        <v>1355.00</v>
      </c>
      <c r="D18977" s="4"/>
    </row>
    <row collapsed="" customFormat="false" customHeight="1" hidden="" ht="14" outlineLevel="0" r="18978">
      <c r="A18978" s="3" t="inlineStr">
        <is>
          <t>18930</t>
        </is>
      </c>
      <c r="B18978" s="4" t="s">
        <f>=HYPERLINK("http://anyluxury.ru/shop/odezhda/rubashki-polo/rubashka-polo-zhenskaya-perfect-women-180-temnosinyaya-11347319/" , "11347319 Рубашка поло женская PERFECT WOMEN 180 темно-синяя, размер L")</f>
      </c>
      <c r="C18978" s="4" t="n">
        <v>1355.00</v>
      </c>
      <c r="D18978" s="4"/>
    </row>
    <row collapsed="" customFormat="false" customHeight="1" hidden="" ht="14" outlineLevel="0" r="18979">
      <c r="A18979" s="3" t="inlineStr">
        <is>
          <t>18931</t>
        </is>
      </c>
      <c r="B18979" s="4" t="s">
        <f>=HYPERLINK("http://anyluxury.ru/shop/odezhda/rubashki-polo/rubashka-polo-zhenskaya-perfect-women-180-temnosinyaya-11347319/" , "11347319 Рубашка поло женская PERFECT WOMEN 180 темно-синяя, размер XL")</f>
      </c>
      <c r="C18979" s="4" t="n">
        <v>1355.00</v>
      </c>
      <c r="D18979" s="4"/>
    </row>
    <row collapsed="" customFormat="false" customHeight="1" hidden="" ht="14" outlineLevel="0" r="18980">
      <c r="A18980" s="3" t="inlineStr">
        <is>
          <t>18932</t>
        </is>
      </c>
      <c r="B18980" s="4" t="s">
        <f>=HYPERLINK("http://anyluxury.ru/shop/odezhda/rubashki-polo/rubashka-polo-zhenskaya-perfect-women-180-temnosinyaya-11347319/" , "11347319 Рубашка поло женская PERFECT WOMEN 180 темно-синяя, размер XXL")</f>
      </c>
      <c r="C18980" s="4" t="n">
        <v>1355.00</v>
      </c>
      <c r="D18980" s="4"/>
    </row>
    <row collapsed="" customFormat="false" customHeight="1" hidden="" ht="14" outlineLevel="0" r="18981">
      <c r="A18981" s="3" t="inlineStr">
        <is>
          <t>18933</t>
        </is>
      </c>
      <c r="B18981" s="4" t="s">
        <f>=HYPERLINK("http://anyluxury.ru/shop/odezhda/rubashki-polo/rubashka-polo-zhenskaya-perfect-women-180-zheltaya-11347301/" , "11347301 Рубашка поло женская PERFECT WOMEN 180 желтая, размер S")</f>
      </c>
      <c r="C18981" s="4" t="n">
        <v>1355.00</v>
      </c>
      <c r="D18981" s="4"/>
    </row>
    <row collapsed="" customFormat="false" customHeight="1" hidden="" ht="14" outlineLevel="0" r="18982">
      <c r="A18982" s="3" t="inlineStr">
        <is>
          <t>18934</t>
        </is>
      </c>
      <c r="B18982" s="4" t="s">
        <f>=HYPERLINK("http://anyluxury.ru/shop/odezhda/rubashki-polo/rubashka-polo-zhenskaya-perfect-women-180-zheltaya-11347301/" , "11347301 Рубашка поло женская PERFECT WOMEN 180 желтая, размер M")</f>
      </c>
      <c r="C18982" s="4" t="n">
        <v>1355.00</v>
      </c>
      <c r="D18982" s="4"/>
    </row>
    <row collapsed="" customFormat="false" customHeight="1" hidden="" ht="14" outlineLevel="0" r="18983">
      <c r="A18983" s="3" t="inlineStr">
        <is>
          <t>18935</t>
        </is>
      </c>
      <c r="B18983" s="4" t="s">
        <f>=HYPERLINK("http://anyluxury.ru/shop/odezhda/rubashki-polo/rubashka-polo-zhenskaya-perfect-women-180-zheltaya-11347301/" , "11347301 Рубашка поло женская PERFECT WOMEN 180 желтая, размер L")</f>
      </c>
      <c r="C18983" s="4" t="n">
        <v>1355.00</v>
      </c>
      <c r="D18983" s="4"/>
    </row>
    <row collapsed="" customFormat="false" customHeight="1" hidden="" ht="14" outlineLevel="0" r="18984">
      <c r="A18984" s="3" t="inlineStr">
        <is>
          <t>18936</t>
        </is>
      </c>
      <c r="B18984" s="4" t="s">
        <f>=HYPERLINK("http://anyluxury.ru/shop/odezhda/rubashki-polo/rubashka-polo-zhenskaya-perfect-women-180-zheltaya-11347301/" , "11347301 Рубашка поло женская PERFECT WOMEN 180 желтая, размер XL")</f>
      </c>
      <c r="C18984" s="4" t="n">
        <v>1355.00</v>
      </c>
      <c r="D18984" s="4"/>
    </row>
    <row collapsed="" customFormat="false" customHeight="1" hidden="" ht="14" outlineLevel="0" r="18985">
      <c r="A18985" s="3" t="inlineStr">
        <is>
          <t>18937</t>
        </is>
      </c>
      <c r="B18985" s="4" t="s">
        <f>=HYPERLINK("http://anyluxury.ru/shop/odezhda/rubashki-polo/rubashka-polo-zhenskaya-perfect-women-180-zheltaya-11347301/" , "11347301 Рубашка поло женская PERFECT WOMEN 180 желтая, размер XXL")</f>
      </c>
      <c r="C18985" s="4" t="n">
        <v>1355.00</v>
      </c>
      <c r="D18985" s="4"/>
    </row>
    <row collapsed="" customFormat="false" customHeight="1" hidden="" ht="14" outlineLevel="0" r="18986">
      <c r="A18986" s="3" t="inlineStr">
        <is>
          <t>18938</t>
        </is>
      </c>
      <c r="B18986" s="4" t="s">
        <f>=HYPERLINK("http://anyluxury.ru/shop/odezhda/rubashki-polo/rubashka-polo-zhenskaya-perfect-women-180-seriy-melanzh-11347360/" , "11347360 Рубашка поло женская PERFECT WOMEN 180 серый меланж, размер S")</f>
      </c>
      <c r="C18986" s="4" t="n">
        <v>1355.00</v>
      </c>
      <c r="D18986" s="4"/>
    </row>
    <row collapsed="" customFormat="false" customHeight="1" hidden="" ht="14" outlineLevel="0" r="18987">
      <c r="A18987" s="3" t="inlineStr">
        <is>
          <t>18939</t>
        </is>
      </c>
      <c r="B18987" s="4" t="s">
        <f>=HYPERLINK("http://anyluxury.ru/shop/odezhda/rubashki-polo/rubashka-polo-zhenskaya-perfect-women-180-seriy-melanzh-11347360/" , "11347360 Рубашка поло женская PERFECT WOMEN 180 серый меланж, размер M")</f>
      </c>
      <c r="C18987" s="4" t="n">
        <v>1355.00</v>
      </c>
      <c r="D18987" s="4"/>
    </row>
    <row collapsed="" customFormat="false" customHeight="1" hidden="" ht="14" outlineLevel="0" r="18988">
      <c r="A18988" s="3" t="inlineStr">
        <is>
          <t>18940</t>
        </is>
      </c>
      <c r="B18988" s="4" t="s">
        <f>=HYPERLINK("http://anyluxury.ru/shop/odezhda/rubashki-polo/rubashka-polo-zhenskaya-perfect-women-180-seriy-melanzh-11347360/" , "11347360 Рубашка поло женская PERFECT WOMEN 180 серый меланж, размер L")</f>
      </c>
      <c r="C18988" s="4" t="n">
        <v>1355.00</v>
      </c>
      <c r="D18988" s="4"/>
    </row>
    <row collapsed="" customFormat="false" customHeight="1" hidden="" ht="14" outlineLevel="0" r="18989">
      <c r="A18989" s="3" t="inlineStr">
        <is>
          <t>18941</t>
        </is>
      </c>
      <c r="B18989" s="4" t="s">
        <f>=HYPERLINK("http://anyluxury.ru/shop/odezhda/rubashki-polo/rubashka-polo-zhenskaya-perfect-women-180-seriy-melanzh-11347360/" , "11347360 Рубашка поло женская PERFECT WOMEN 180 серый меланж, размер XL")</f>
      </c>
      <c r="C18989" s="4" t="n">
        <v>1355.00</v>
      </c>
      <c r="D18989" s="4"/>
    </row>
    <row collapsed="" customFormat="false" customHeight="1" hidden="" ht="14" outlineLevel="0" r="18990">
      <c r="A18990" s="3" t="inlineStr">
        <is>
          <t>18942</t>
        </is>
      </c>
      <c r="B18990" s="4" t="s">
        <f>=HYPERLINK("http://anyluxury.ru/shop/odezhda/rubashki-polo/rubashka-polo-zhenskaya-perfect-women-180-seriy-melanzh-11347360/" , "11347360 Рубашка поло женская PERFECT WOMEN 180 серый меланж, размер XXL")</f>
      </c>
      <c r="C18990" s="4" t="n">
        <v>1355.00</v>
      </c>
      <c r="D18990" s="4"/>
    </row>
    <row collapsed="" customFormat="false" customHeight="1" hidden="" ht="14" outlineLevel="0" r="18991">
      <c r="A18991" s="3" t="inlineStr">
        <is>
          <t>18943</t>
        </is>
      </c>
      <c r="B18991" s="4" t="s">
        <f>=HYPERLINK("http://anyluxury.ru/shop/odezhda/rubashki-polo/rubashka-polo-zhenskaya-perfect-women-180-yarkozelenaya-11347272/" , "11347272 Рубашка поло женская PERFECT WOMEN 180 ярко-зеленая, размер S")</f>
      </c>
      <c r="C18991" s="4" t="n">
        <v>1272.00</v>
      </c>
      <c r="D18991" s="4"/>
    </row>
    <row collapsed="" customFormat="false" customHeight="1" hidden="" ht="14" outlineLevel="0" r="18992">
      <c r="A18992" s="3" t="inlineStr">
        <is>
          <t>18944</t>
        </is>
      </c>
      <c r="B18992" s="4" t="s">
        <f>=HYPERLINK("http://anyluxury.ru/shop/odezhda/rubashki-polo/rubashka-polo-zhenskaya-perfect-women-180-yarkozelenaya-11347272/" , "11347272 Рубашка поло женская PERFECT WOMEN 180 ярко-зеленая, размер M")</f>
      </c>
      <c r="C18992" s="4" t="n">
        <v>1272.00</v>
      </c>
      <c r="D18992" s="4"/>
    </row>
    <row collapsed="" customFormat="false" customHeight="1" hidden="" ht="14" outlineLevel="0" r="18993">
      <c r="A18993" s="3" t="inlineStr">
        <is>
          <t>18945</t>
        </is>
      </c>
      <c r="B18993" s="4" t="s">
        <f>=HYPERLINK("http://anyluxury.ru/shop/odezhda/rubashki-polo/rubashka-polo-zhenskaya-perfect-women-180-yarkozelenaya-11347272/" , "11347272 Рубашка поло женская PERFECT WOMEN 180 ярко-зеленая, размер L")</f>
      </c>
      <c r="C18993" s="4" t="n">
        <v>1272.00</v>
      </c>
      <c r="D18993" s="4"/>
    </row>
    <row collapsed="" customFormat="false" customHeight="1" hidden="" ht="14" outlineLevel="0" r="18994">
      <c r="A18994" s="3" t="inlineStr">
        <is>
          <t>18946</t>
        </is>
      </c>
      <c r="B18994" s="4" t="s">
        <f>=HYPERLINK("http://anyluxury.ru/shop/odezhda/rubashki-polo/rubashka-polo-zhenskaya-perfect-women-180-yarkozelenaya-11347272/" , "11347272 Рубашка поло женская PERFECT WOMEN 180 ярко-зеленая, размер XL")</f>
      </c>
      <c r="C18994" s="4" t="n">
        <v>1272.00</v>
      </c>
      <c r="D18994" s="4"/>
    </row>
    <row collapsed="" customFormat="false" customHeight="1" hidden="" ht="14" outlineLevel="0" r="18995">
      <c r="A18995" s="3" t="inlineStr">
        <is>
          <t>18947</t>
        </is>
      </c>
      <c r="B18995" s="4" t="s">
        <f>=HYPERLINK("http://anyluxury.ru/shop/odezhda/rubashki-polo/rubashka-polo-zhenskaya-perfect-women-180-yarkozelenaya-11347272/" , "11347272 Рубашка поло женская PERFECT WOMEN 180 ярко-зеленая, размер XXL")</f>
      </c>
      <c r="C18995" s="4" t="n">
        <v>1272.00</v>
      </c>
      <c r="D18995" s="4"/>
    </row>
    <row collapsed="" customFormat="false" customHeight="1" hidden="" ht="14" outlineLevel="0" r="18996">
      <c r="A18996" s="3" t="inlineStr">
        <is>
          <t>18948</t>
        </is>
      </c>
      <c r="B18996" s="4" t="s">
        <f>=HYPERLINK("http://anyluxury.ru/shop/odezhda/rubashki-polo/rubashka-polo-zhenskaya-perfect-women-180-oranzhevaya-11347400/" , "11347400 Рубашка поло женская PERFECT WOMEN 180 оранжевая, размер S")</f>
      </c>
      <c r="C18996" s="4" t="n">
        <v>1355.00</v>
      </c>
      <c r="D18996" s="4"/>
    </row>
    <row collapsed="" customFormat="false" customHeight="1" hidden="" ht="14" outlineLevel="0" r="18997">
      <c r="A18997" s="3" t="inlineStr">
        <is>
          <t>18949</t>
        </is>
      </c>
      <c r="B18997" s="4" t="s">
        <f>=HYPERLINK("http://anyluxury.ru/shop/odezhda/rubashki-polo/rubashka-polo-zhenskaya-perfect-women-180-oranzhevaya-11347400/" , "11347400 Рубашка поло женская PERFECT WOMEN 180 оранжевая, размер M")</f>
      </c>
      <c r="C18997" s="4" t="n">
        <v>1355.00</v>
      </c>
      <c r="D18997" s="4"/>
    </row>
    <row collapsed="" customFormat="false" customHeight="1" hidden="" ht="14" outlineLevel="0" r="18998">
      <c r="A18998" s="3" t="inlineStr">
        <is>
          <t>18950</t>
        </is>
      </c>
      <c r="B18998" s="4" t="s">
        <f>=HYPERLINK("http://anyluxury.ru/shop/odezhda/rubashki-polo/rubashka-polo-zhenskaya-perfect-women-180-oranzhevaya-11347400/" , "11347400 Рубашка поло женская PERFECT WOMEN 180 оранжевая, размер L")</f>
      </c>
      <c r="C18998" s="4" t="n">
        <v>1355.00</v>
      </c>
      <c r="D18998" s="4"/>
    </row>
    <row collapsed="" customFormat="false" customHeight="1" hidden="" ht="14" outlineLevel="0" r="18999">
      <c r="A18999" s="3" t="inlineStr">
        <is>
          <t>18951</t>
        </is>
      </c>
      <c r="B18999" s="4" t="s">
        <f>=HYPERLINK("http://anyluxury.ru/shop/odezhda/rubashki-polo/rubashka-polo-zhenskaya-perfect-women-180-oranzhevaya-11347400/" , "11347400 Рубашка поло женская PERFECT WOMEN 180 оранжевая, размер XL")</f>
      </c>
      <c r="C18999" s="4" t="n">
        <v>1355.00</v>
      </c>
      <c r="D18999" s="4"/>
    </row>
    <row collapsed="" customFormat="false" customHeight="1" hidden="" ht="14" outlineLevel="0" r="19000">
      <c r="A19000" s="3" t="inlineStr">
        <is>
          <t>18952</t>
        </is>
      </c>
      <c r="B19000" s="4" t="s">
        <f>=HYPERLINK("http://anyluxury.ru/shop/odezhda/rubashki-polo/rubashka-polo-zhenskaya-perfect-women-180-oranzhevaya-11347400/" , "11347400 Рубашка поло женская PERFECT WOMEN 180 оранжевая, размер XXL")</f>
      </c>
      <c r="C19000" s="4" t="n">
        <v>1355.00</v>
      </c>
      <c r="D19000" s="4"/>
    </row>
    <row collapsed="" customFormat="false" customHeight="1" hidden="" ht="14" outlineLevel="0" r="19001">
      <c r="A19001" s="3" t="inlineStr">
        <is>
          <t>18953</t>
        </is>
      </c>
      <c r="B19001" s="4" t="s">
        <f>=HYPERLINK("http://anyluxury.ru/shop/odezhda/rubashki-polo/rubashka-polo-zhenskaya-perfect-women-180-krasnaya-11347145/" , "11347145 Рубашка поло женская PERFECT WOMEN 180 красная, размер M")</f>
      </c>
      <c r="C19001" s="4" t="n">
        <v>1355.00</v>
      </c>
      <c r="D19001" s="4"/>
    </row>
    <row collapsed="" customFormat="false" customHeight="1" hidden="" ht="14" outlineLevel="0" r="19002">
      <c r="A19002" s="3" t="inlineStr">
        <is>
          <t>18954</t>
        </is>
      </c>
      <c r="B19002" s="4" t="s">
        <f>=HYPERLINK("http://anyluxury.ru/shop/odezhda/rubashki-polo/rubashka-polo-zhenskaya-perfect-women-180-krasnaya-11347145/" , "11347145 Рубашка поло женская PERFECT WOMEN 180 красная, размер XL")</f>
      </c>
      <c r="C19002" s="4" t="n">
        <v>1355.00</v>
      </c>
      <c r="D19002" s="4"/>
    </row>
    <row collapsed="" customFormat="false" customHeight="1" hidden="" ht="14" outlineLevel="0" r="19003">
      <c r="A19003" s="3" t="inlineStr">
        <is>
          <t>18955</t>
        </is>
      </c>
      <c r="B19003" s="4" t="s">
        <f>=HYPERLINK("http://anyluxury.ru/shop/odezhda/rubashki-polo/rubashka-polo-zhenskaya-perfect-women-180-golubaya-11347200/" , "11347200 Рубашка поло женская PERFECT WOMEN 180 голубая, размер S")</f>
      </c>
      <c r="C19003" s="4" t="n">
        <v>1355.00</v>
      </c>
      <c r="D19003" s="4"/>
    </row>
    <row collapsed="" customFormat="false" customHeight="1" hidden="" ht="14" outlineLevel="0" r="19004">
      <c r="A19004" s="3" t="inlineStr">
        <is>
          <t>18956</t>
        </is>
      </c>
      <c r="B19004" s="4" t="s">
        <f>=HYPERLINK("http://anyluxury.ru/shop/odezhda/rubashki-polo/rubashka-polo-zhenskaya-perfect-women-180-golubaya-11347200/" , "11347200 Рубашка поло женская PERFECT WOMEN 180 голубая, размер M")</f>
      </c>
      <c r="C19004" s="4" t="n">
        <v>1355.00</v>
      </c>
      <c r="D19004" s="4"/>
    </row>
    <row collapsed="" customFormat="false" customHeight="1" hidden="" ht="14" outlineLevel="0" r="19005">
      <c r="A19005" s="3" t="inlineStr">
        <is>
          <t>18957</t>
        </is>
      </c>
      <c r="B19005" s="4" t="s">
        <f>=HYPERLINK("http://anyluxury.ru/shop/odezhda/rubashki-polo/rubashka-polo-zhenskaya-perfect-women-180-golubaya-11347200/" , "11347200 Рубашка поло женская PERFECT WOMEN 180 голубая, размер L")</f>
      </c>
      <c r="C19005" s="4" t="n">
        <v>1355.00</v>
      </c>
      <c r="D19005" s="4"/>
    </row>
    <row collapsed="" customFormat="false" customHeight="1" hidden="" ht="14" outlineLevel="0" r="19006">
      <c r="A19006" s="3" t="inlineStr">
        <is>
          <t>18958</t>
        </is>
      </c>
      <c r="B19006" s="4" t="s">
        <f>=HYPERLINK("http://anyluxury.ru/shop/odezhda/rubashki-polo/rubashka-polo-zhenskaya-perfect-women-180-golubaya-11347200/" , "11347200 Рубашка поло женская PERFECT WOMEN 180 голубая, размер XL")</f>
      </c>
      <c r="C19006" s="4" t="n">
        <v>1355.00</v>
      </c>
      <c r="D19006" s="4"/>
    </row>
    <row collapsed="" customFormat="false" customHeight="1" hidden="" ht="14" outlineLevel="0" r="19007">
      <c r="A19007" s="3" t="inlineStr">
        <is>
          <t>18959</t>
        </is>
      </c>
      <c r="B19007" s="4" t="s">
        <f>=HYPERLINK("http://anyluxury.ru/shop/odezhda/rubashki-polo/rubashka-polo-zhenskaya-perfect-women-180-golubaya-11347200/" , "11347200 Рубашка поло женская PERFECT WOMEN 180 голубая, размер XXL")</f>
      </c>
      <c r="C19007" s="4" t="n">
        <v>1355.00</v>
      </c>
      <c r="D19007" s="4"/>
    </row>
    <row collapsed="" customFormat="false" customHeight="1" hidden="" ht="14" outlineLevel="0" r="19008">
      <c r="A19008" s="3" t="inlineStr">
        <is>
          <t>18960</t>
        </is>
      </c>
      <c r="B19008" s="4" t="s">
        <f>=HYPERLINK("http://anyluxury.ru/shop/odezhda/rubashki-polo/rubashka-polo-zhenskaya-perfect-women-180-belaya-11347102/" , "11347102 Рубашка поло женская PERFECT WOMEN 180 белая, размер XL")</f>
      </c>
      <c r="C19008" s="4" t="n">
        <v>1243.00</v>
      </c>
      <c r="D19008" s="4"/>
    </row>
    <row collapsed="" customFormat="false" customHeight="1" hidden="" ht="14" outlineLevel="0" r="19009">
      <c r="A19009" s="3" t="inlineStr">
        <is>
          <t>18961</t>
        </is>
      </c>
      <c r="B19009" s="4" t="s">
        <f>=HYPERLINK("http://anyluxury.ru/shop/odezhda/rubashki-polo/rubashka-polo-zhenskaya-perfect-women-180-belaya-11347102/" , "11347102 Рубашка поло женская PERFECT WOMEN 180 белая, размер XXL")</f>
      </c>
      <c r="C19009" s="4" t="n">
        <v>1243.00</v>
      </c>
      <c r="D19009" s="4"/>
    </row>
    <row collapsed="" customFormat="false" customHeight="1" hidden="" ht="14" outlineLevel="0" r="19010">
      <c r="A19010" s="3" t="inlineStr">
        <is>
          <t>18962</t>
        </is>
      </c>
      <c r="B19010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S")</f>
      </c>
      <c r="C19010" s="4" t="n">
        <v>2459.00</v>
      </c>
      <c r="D19010" s="4"/>
    </row>
    <row collapsed="" customFormat="false" customHeight="1" hidden="" ht="14" outlineLevel="0" r="19011">
      <c r="A19011" s="3" t="inlineStr">
        <is>
          <t>18963</t>
        </is>
      </c>
      <c r="B19011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M")</f>
      </c>
      <c r="C19011" s="4" t="n">
        <v>2459.00</v>
      </c>
      <c r="D19011" s="4"/>
    </row>
    <row collapsed="" customFormat="false" customHeight="1" hidden="" ht="14" outlineLevel="0" r="19012">
      <c r="A19012" s="3" t="inlineStr">
        <is>
          <t>18964</t>
        </is>
      </c>
      <c r="B19012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L")</f>
      </c>
      <c r="C19012" s="4" t="n">
        <v>2459.00</v>
      </c>
      <c r="D19012" s="4"/>
    </row>
    <row collapsed="" customFormat="false" customHeight="1" hidden="" ht="14" outlineLevel="0" r="19013">
      <c r="A19013" s="3" t="inlineStr">
        <is>
          <t>18965</t>
        </is>
      </c>
      <c r="B19013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XL")</f>
      </c>
      <c r="C19013" s="4" t="n">
        <v>2459.00</v>
      </c>
      <c r="D19013" s="4"/>
    </row>
    <row collapsed="" customFormat="false" customHeight="1" hidden="" ht="14" outlineLevel="0" r="19014">
      <c r="A19014" s="3" t="inlineStr">
        <is>
          <t>18966</t>
        </is>
      </c>
      <c r="B19014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S")</f>
      </c>
      <c r="C19014" s="4" t="n">
        <v>2459.00</v>
      </c>
      <c r="D19014" s="4"/>
    </row>
    <row collapsed="" customFormat="false" customHeight="1" hidden="" ht="14" outlineLevel="0" r="19015">
      <c r="A19015" s="3" t="inlineStr">
        <is>
          <t>18967</t>
        </is>
      </c>
      <c r="B19015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M")</f>
      </c>
      <c r="C19015" s="4" t="n">
        <v>2459.00</v>
      </c>
      <c r="D19015" s="4"/>
    </row>
    <row collapsed="" customFormat="false" customHeight="1" hidden="" ht="14" outlineLevel="0" r="19016">
      <c r="A19016" s="3" t="inlineStr">
        <is>
          <t>18968</t>
        </is>
      </c>
      <c r="B19016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L")</f>
      </c>
      <c r="C19016" s="4" t="n">
        <v>2459.00</v>
      </c>
      <c r="D19016" s="4"/>
    </row>
    <row collapsed="" customFormat="false" customHeight="1" hidden="" ht="14" outlineLevel="0" r="19017">
      <c r="A19017" s="3" t="inlineStr">
        <is>
          <t>18969</t>
        </is>
      </c>
      <c r="B19017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XL")</f>
      </c>
      <c r="C19017" s="4" t="n">
        <v>2459.00</v>
      </c>
      <c r="D19017" s="4"/>
    </row>
    <row collapsed="" customFormat="false" customHeight="1" hidden="" ht="14" outlineLevel="0" r="19018">
      <c r="A19018" s="3" t="inlineStr">
        <is>
          <t>18970</t>
        </is>
      </c>
      <c r="B19018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S")</f>
      </c>
      <c r="C19018" s="4" t="n">
        <v>2459.00</v>
      </c>
      <c r="D19018" s="4"/>
    </row>
    <row collapsed="" customFormat="false" customHeight="1" hidden="" ht="14" outlineLevel="0" r="19019">
      <c r="A19019" s="3" t="inlineStr">
        <is>
          <t>18971</t>
        </is>
      </c>
      <c r="B19019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M")</f>
      </c>
      <c r="C19019" s="4" t="n">
        <v>2459.00</v>
      </c>
      <c r="D19019" s="4"/>
    </row>
    <row collapsed="" customFormat="false" customHeight="1" hidden="" ht="14" outlineLevel="0" r="19020">
      <c r="A19020" s="3" t="inlineStr">
        <is>
          <t>18972</t>
        </is>
      </c>
      <c r="B19020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L")</f>
      </c>
      <c r="C19020" s="4" t="n">
        <v>2459.00</v>
      </c>
      <c r="D19020" s="4"/>
    </row>
    <row collapsed="" customFormat="false" customHeight="1" hidden="" ht="14" outlineLevel="0" r="19021">
      <c r="A19021" s="3" t="inlineStr">
        <is>
          <t>18973</t>
        </is>
      </c>
      <c r="B19021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XL")</f>
      </c>
      <c r="C19021" s="4" t="n">
        <v>2459.00</v>
      </c>
      <c r="D19021" s="4"/>
    </row>
    <row collapsed="" customFormat="false" customHeight="1" hidden="" ht="14" outlineLevel="0" r="19022">
      <c r="A19022" s="3" t="inlineStr">
        <is>
          <t>18974</t>
        </is>
      </c>
      <c r="B19022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S")</f>
      </c>
      <c r="C19022" s="4" t="n">
        <v>2459.00</v>
      </c>
      <c r="D19022" s="4"/>
    </row>
    <row collapsed="" customFormat="false" customHeight="1" hidden="" ht="14" outlineLevel="0" r="19023">
      <c r="A19023" s="3" t="inlineStr">
        <is>
          <t>18975</t>
        </is>
      </c>
      <c r="B19023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M")</f>
      </c>
      <c r="C19023" s="4" t="n">
        <v>2459.00</v>
      </c>
      <c r="D19023" s="4"/>
    </row>
    <row collapsed="" customFormat="false" customHeight="1" hidden="" ht="14" outlineLevel="0" r="19024">
      <c r="A19024" s="3" t="inlineStr">
        <is>
          <t>18976</t>
        </is>
      </c>
      <c r="B19024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L")</f>
      </c>
      <c r="C19024" s="4" t="n">
        <v>2459.00</v>
      </c>
      <c r="D19024" s="4"/>
    </row>
    <row collapsed="" customFormat="false" customHeight="1" hidden="" ht="14" outlineLevel="0" r="19025">
      <c r="A19025" s="3" t="inlineStr">
        <is>
          <t>18977</t>
        </is>
      </c>
      <c r="B19025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XL")</f>
      </c>
      <c r="C19025" s="4" t="n">
        <v>2459.00</v>
      </c>
      <c r="D19025" s="4"/>
    </row>
    <row collapsed="" customFormat="false" customHeight="1" hidden="" ht="14" outlineLevel="0" r="19026">
      <c r="A19026" s="3" t="inlineStr">
        <is>
          <t>18978</t>
        </is>
      </c>
      <c r="B19026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S")</f>
      </c>
      <c r="C19026" s="4" t="n">
        <v>2459.00</v>
      </c>
      <c r="D19026" s="4"/>
    </row>
    <row collapsed="" customFormat="false" customHeight="1" hidden="" ht="14" outlineLevel="0" r="19027">
      <c r="A19027" s="3" t="inlineStr">
        <is>
          <t>18979</t>
        </is>
      </c>
      <c r="B19027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M")</f>
      </c>
      <c r="C19027" s="4" t="n">
        <v>2459.00</v>
      </c>
      <c r="D19027" s="4"/>
    </row>
    <row collapsed="" customFormat="false" customHeight="1" hidden="" ht="14" outlineLevel="0" r="19028">
      <c r="A19028" s="3" t="inlineStr">
        <is>
          <t>18980</t>
        </is>
      </c>
      <c r="B19028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L")</f>
      </c>
      <c r="C19028" s="4" t="n">
        <v>2459.00</v>
      </c>
      <c r="D19028" s="4"/>
    </row>
    <row collapsed="" customFormat="false" customHeight="1" hidden="" ht="14" outlineLevel="0" r="19029">
      <c r="A19029" s="3" t="inlineStr">
        <is>
          <t>18981</t>
        </is>
      </c>
      <c r="B19029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XL")</f>
      </c>
      <c r="C19029" s="4" t="n">
        <v>2459.00</v>
      </c>
      <c r="D19029" s="4"/>
    </row>
    <row collapsed="" customFormat="false" customHeight="1" hidden="" ht="14" outlineLevel="0" r="19030">
      <c r="A19030" s="3" t="inlineStr">
        <is>
          <t>18982</t>
        </is>
      </c>
      <c r="B19030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S")</f>
      </c>
      <c r="C19030" s="4" t="n">
        <v>2459.00</v>
      </c>
      <c r="D19030" s="4"/>
    </row>
    <row collapsed="" customFormat="false" customHeight="1" hidden="" ht="14" outlineLevel="0" r="19031">
      <c r="A19031" s="3" t="inlineStr">
        <is>
          <t>18983</t>
        </is>
      </c>
      <c r="B19031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M")</f>
      </c>
      <c r="C19031" s="4" t="n">
        <v>2459.00</v>
      </c>
      <c r="D19031" s="4"/>
    </row>
    <row collapsed="" customFormat="false" customHeight="1" hidden="" ht="14" outlineLevel="0" r="19032">
      <c r="A19032" s="3" t="inlineStr">
        <is>
          <t>18984</t>
        </is>
      </c>
      <c r="B19032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L")</f>
      </c>
      <c r="C19032" s="4" t="n">
        <v>2459.00</v>
      </c>
      <c r="D19032" s="4"/>
    </row>
    <row collapsed="" customFormat="false" customHeight="1" hidden="" ht="14" outlineLevel="0" r="19033">
      <c r="A19033" s="3" t="inlineStr">
        <is>
          <t>18985</t>
        </is>
      </c>
      <c r="B19033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XL")</f>
      </c>
      <c r="C19033" s="4" t="n">
        <v>2459.00</v>
      </c>
      <c r="D19033" s="4"/>
    </row>
    <row collapsed="" customFormat="false" customHeight="1" hidden="" ht="14" outlineLevel="0" r="19034">
      <c r="A19034" s="3" t="inlineStr">
        <is>
          <t>18986</t>
        </is>
      </c>
      <c r="B19034" s="4" t="s">
        <f>=HYPERLINK("http://anyluxury.ru/shop/odezhda/rubashki-polo/rubashka-polo-muzhskaya-portland-men-200-zelenaya-00574284/" , "00574284 Рубашка поло мужская PORTLAND MEN 200 зеленая, размер S")</f>
      </c>
      <c r="C19034" s="4" t="n">
        <v>2253.00</v>
      </c>
      <c r="D19034" s="4"/>
    </row>
    <row collapsed="" customFormat="false" customHeight="1" hidden="" ht="14" outlineLevel="0" r="19035">
      <c r="A19035" s="3" t="inlineStr">
        <is>
          <t>18987</t>
        </is>
      </c>
      <c r="B19035" s="4" t="s">
        <f>=HYPERLINK("http://anyluxury.ru/shop/odezhda/rubashki-polo/rubashka-polo-muzhskaya-portland-men-200-zelenaya-00574284/" , "00574284 Рубашка поло мужская PORTLAND MEN 200 зеленая, размер M")</f>
      </c>
      <c r="C19035" s="4" t="n">
        <v>2253.00</v>
      </c>
      <c r="D19035" s="4"/>
    </row>
    <row collapsed="" customFormat="false" customHeight="1" hidden="" ht="14" outlineLevel="0" r="19036">
      <c r="A19036" s="3" t="inlineStr">
        <is>
          <t>18988</t>
        </is>
      </c>
      <c r="B19036" s="4" t="s">
        <f>=HYPERLINK("http://anyluxury.ru/shop/odezhda/rubashki-polo/rubashka-polo-muzhskaya-portland-men-200-zelenaya-00574284/" , "00574284 Рубашка поло мужская PORTLAND MEN 200 зеленая, размер L")</f>
      </c>
      <c r="C19036" s="4" t="n">
        <v>2253.00</v>
      </c>
      <c r="D19036" s="4"/>
    </row>
    <row collapsed="" customFormat="false" customHeight="1" hidden="" ht="14" outlineLevel="0" r="19037">
      <c r="A19037" s="3" t="inlineStr">
        <is>
          <t>18989</t>
        </is>
      </c>
      <c r="B19037" s="4" t="s">
        <f>=HYPERLINK("http://anyluxury.ru/shop/odezhda/rubashki-polo/rubashka-polo-muzhskaya-portland-men-200-zelenaya-00574284/" , "00574284 Рубашка поло мужская PORTLAND MEN 200 зеленая, размер XL")</f>
      </c>
      <c r="C19037" s="4" t="n">
        <v>2253.00</v>
      </c>
      <c r="D19037" s="4"/>
    </row>
    <row collapsed="" customFormat="false" customHeight="1" hidden="" ht="14" outlineLevel="0" r="19038">
      <c r="A19038" s="3" t="inlineStr">
        <is>
          <t>18990</t>
        </is>
      </c>
      <c r="B19038" s="4" t="s">
        <f>=HYPERLINK("http://anyluxury.ru/shop/odezhda/rubashki-polo/rubashka-polo-muzhskaya-portland-men-200-zelenaya-00574284/" , "00574284 Рубашка поло мужская PORTLAND MEN 200 зеленая, размер XXL")</f>
      </c>
      <c r="C19038" s="4" t="n">
        <v>2253.00</v>
      </c>
      <c r="D19038" s="4"/>
    </row>
    <row collapsed="" customFormat="false" customHeight="1" hidden="" ht="14" outlineLevel="0" r="19039">
      <c r="A19039" s="3" t="inlineStr">
        <is>
          <t>18991</t>
        </is>
      </c>
      <c r="B19039" s="4" t="s">
        <f>=HYPERLINK("http://anyluxury.ru/shop/odezhda/rubashki-polo/rubashka-polo-muzhskaya-portland-men-200-zelenaya-00574284/" , "00574284 Рубашка поло мужская PORTLAND MEN 200 зеленая, размер 3XL")</f>
      </c>
      <c r="C19039" s="4" t="n">
        <v>2692.00</v>
      </c>
      <c r="D19039" s="4"/>
    </row>
    <row collapsed="" customFormat="false" customHeight="1" hidden="" ht="14" outlineLevel="0" r="19040">
      <c r="A19040" s="3" t="inlineStr">
        <is>
          <t>18992</t>
        </is>
      </c>
      <c r="B19040" s="4" t="s">
        <f>=HYPERLINK("http://anyluxury.ru/shop/odezhda/rubashki-polo/rubashka-polo-muzhskaya-portland-men-200-temnosinyaya-00574319/" , "00574319 Рубашка поло мужская PORTLAND MEN 200 темно-синяя, размер S")</f>
      </c>
      <c r="C19040" s="4" t="n">
        <v>2253.00</v>
      </c>
      <c r="D19040" s="4"/>
    </row>
    <row collapsed="" customFormat="false" customHeight="1" hidden="" ht="14" outlineLevel="0" r="19041">
      <c r="A19041" s="3" t="inlineStr">
        <is>
          <t>18993</t>
        </is>
      </c>
      <c r="B19041" s="4" t="s">
        <f>=HYPERLINK("http://anyluxury.ru/shop/odezhda/rubashki-polo/rubashka-polo-muzhskaya-portland-men-200-temnosinyaya-00574319/" , "00574319 Рубашка поло мужская PORTLAND MEN 200 темно-синяя, размер M")</f>
      </c>
      <c r="C19041" s="4" t="n">
        <v>2253.00</v>
      </c>
      <c r="D19041" s="4"/>
    </row>
    <row collapsed="" customFormat="false" customHeight="1" hidden="" ht="14" outlineLevel="0" r="19042">
      <c r="A19042" s="3" t="inlineStr">
        <is>
          <t>18994</t>
        </is>
      </c>
      <c r="B19042" s="4" t="s">
        <f>=HYPERLINK("http://anyluxury.ru/shop/odezhda/rubashki-polo/rubashka-polo-muzhskaya-portland-men-200-temnosinyaya-00574319/" , "00574319 Рубашка поло мужская PORTLAND MEN 200 темно-синяя, размер L")</f>
      </c>
      <c r="C19042" s="4" t="n">
        <v>2253.00</v>
      </c>
      <c r="D19042" s="4"/>
    </row>
    <row collapsed="" customFormat="false" customHeight="1" hidden="" ht="14" outlineLevel="0" r="19043">
      <c r="A19043" s="3" t="inlineStr">
        <is>
          <t>18995</t>
        </is>
      </c>
      <c r="B19043" s="4" t="s">
        <f>=HYPERLINK("http://anyluxury.ru/shop/odezhda/rubashki-polo/rubashka-polo-muzhskaya-portland-men-200-temnosinyaya-00574319/" , "00574319 Рубашка поло мужская PORTLAND MEN 200 темно-синяя, размер XL")</f>
      </c>
      <c r="C19043" s="4" t="n">
        <v>2253.00</v>
      </c>
      <c r="D19043" s="4"/>
    </row>
    <row collapsed="" customFormat="false" customHeight="1" hidden="" ht="14" outlineLevel="0" r="19044">
      <c r="A19044" s="3" t="inlineStr">
        <is>
          <t>18996</t>
        </is>
      </c>
      <c r="B19044" s="4" t="s">
        <f>=HYPERLINK("http://anyluxury.ru/shop/odezhda/rubashki-polo/rubashka-polo-muzhskaya-portland-men-200-temnosinyaya-00574319/" , "00574319 Рубашка поло мужская PORTLAND MEN 200 темно-синяя, размер XXL")</f>
      </c>
      <c r="C19044" s="4" t="n">
        <v>2253.00</v>
      </c>
      <c r="D19044" s="4"/>
    </row>
    <row collapsed="" customFormat="false" customHeight="1" hidden="" ht="14" outlineLevel="0" r="19045">
      <c r="A19045" s="3" t="inlineStr">
        <is>
          <t>18997</t>
        </is>
      </c>
      <c r="B19045" s="4" t="s">
        <f>=HYPERLINK("http://anyluxury.ru/shop/odezhda/rubashki-polo/rubashka-polo-muzhskaya-portland-men-200-temnosinyaya-00574319/" , "00574319 Рубашка поло мужская PORTLAND MEN 200 темно-синяя, размер 3XL")</f>
      </c>
      <c r="C19045" s="4" t="n">
        <v>2692.00</v>
      </c>
      <c r="D19045" s="4"/>
    </row>
    <row collapsed="" customFormat="false" customHeight="1" hidden="" ht="14" outlineLevel="0" r="19046">
      <c r="A19046" s="3" t="inlineStr">
        <is>
          <t>18998</t>
        </is>
      </c>
      <c r="B19046" s="4" t="s">
        <f>=HYPERLINK("http://anyluxury.ru/shop/odezhda/rubashki-polo/rubashka-polo-muzhskaya-portland-men-200-krasnaya-00574145/" , "00574145 Рубашка поло мужская PORTLAND MEN 200 красная, размер S")</f>
      </c>
      <c r="C19046" s="4" t="n">
        <v>2253.00</v>
      </c>
      <c r="D19046" s="4"/>
    </row>
    <row collapsed="" customFormat="false" customHeight="1" hidden="" ht="14" outlineLevel="0" r="19047">
      <c r="A19047" s="3" t="inlineStr">
        <is>
          <t>18999</t>
        </is>
      </c>
      <c r="B19047" s="4" t="s">
        <f>=HYPERLINK("http://anyluxury.ru/shop/odezhda/rubashki-polo/rubashka-polo-muzhskaya-portland-men-200-krasnaya-00574145/" , "00574145 Рубашка поло мужская PORTLAND MEN 200 красная, размер M")</f>
      </c>
      <c r="C19047" s="4" t="n">
        <v>2253.00</v>
      </c>
      <c r="D19047" s="4"/>
    </row>
    <row collapsed="" customFormat="false" customHeight="1" hidden="" ht="14" outlineLevel="0" r="19048">
      <c r="A19048" s="3" t="inlineStr">
        <is>
          <t>19000</t>
        </is>
      </c>
      <c r="B19048" s="4" t="s">
        <f>=HYPERLINK("http://anyluxury.ru/shop/odezhda/rubashki-polo/rubashka-polo-muzhskaya-portland-men-200-krasnaya-00574145/" , "00574145 Рубашка поло мужская PORTLAND MEN 200 красная, размер L")</f>
      </c>
      <c r="C19048" s="4" t="n">
        <v>2253.00</v>
      </c>
      <c r="D19048" s="4"/>
    </row>
    <row collapsed="" customFormat="false" customHeight="1" hidden="" ht="14" outlineLevel="0" r="19049">
      <c r="A19049" s="3" t="inlineStr">
        <is>
          <t>19001</t>
        </is>
      </c>
      <c r="B19049" s="4" t="s">
        <f>=HYPERLINK("http://anyluxury.ru/shop/odezhda/rubashki-polo/rubashka-polo-muzhskaya-portland-men-200-krasnaya-00574145/" , "00574145 Рубашка поло мужская PORTLAND MEN 200 красная, размер XL")</f>
      </c>
      <c r="C19049" s="4" t="n">
        <v>2253.00</v>
      </c>
      <c r="D19049" s="4"/>
    </row>
    <row collapsed="" customFormat="false" customHeight="1" hidden="" ht="14" outlineLevel="0" r="19050">
      <c r="A19050" s="3" t="inlineStr">
        <is>
          <t>19002</t>
        </is>
      </c>
      <c r="B19050" s="4" t="s">
        <f>=HYPERLINK("http://anyluxury.ru/shop/odezhda/rubashki-polo/rubashka-polo-muzhskaya-portland-men-200-krasnaya-00574145/" , "00574145 Рубашка поло мужская PORTLAND MEN 200 красная, размер XXL")</f>
      </c>
      <c r="C19050" s="4" t="n">
        <v>2253.00</v>
      </c>
      <c r="D19050" s="4"/>
    </row>
    <row collapsed="" customFormat="false" customHeight="1" hidden="" ht="14" outlineLevel="0" r="19051">
      <c r="A19051" s="3" t="inlineStr">
        <is>
          <t>19003</t>
        </is>
      </c>
      <c r="B19051" s="4" t="s">
        <f>=HYPERLINK("http://anyluxury.ru/shop/odezhda/rubashki-polo/rubashka-polo-muzhskaya-portland-men-200-krasnaya-00574145/" , "00574145 Рубашка поло мужская PORTLAND MEN 200 красная, размер 3XL")</f>
      </c>
      <c r="C19051" s="4" t="n">
        <v>2692.00</v>
      </c>
      <c r="D19051" s="4"/>
    </row>
    <row collapsed="" customFormat="false" customHeight="1" hidden="" ht="14" outlineLevel="0" r="19052">
      <c r="A19052" s="3" t="inlineStr">
        <is>
          <t>19004</t>
        </is>
      </c>
      <c r="B19052" s="4" t="s">
        <f>=HYPERLINK("http://anyluxury.ru/shop/odezhda/rubashki-polo/rubashka-polo-zhenskaya-portland-women-200-oranzhevaya-00575403/" , "00575403 Рубашка поло женская PORTLAND WOMEN 200 оранжевая, размер XS")</f>
      </c>
      <c r="C19052" s="4" t="n">
        <v>2205.00</v>
      </c>
      <c r="D19052" s="4"/>
    </row>
    <row collapsed="" customFormat="false" customHeight="1" hidden="" ht="14" outlineLevel="0" r="19053">
      <c r="A19053" s="3" t="inlineStr">
        <is>
          <t>19005</t>
        </is>
      </c>
      <c r="B19053" s="4" t="s">
        <f>=HYPERLINK("http://anyluxury.ru/shop/odezhda/rubashki-polo/rubashka-polo-zhenskaya-portland-women-200-oranzhevaya-00575403/" , "00575403 Рубашка поло женская PORTLAND WOMEN 200 оранжевая, размер S")</f>
      </c>
      <c r="C19053" s="4" t="n">
        <v>2205.00</v>
      </c>
      <c r="D19053" s="4"/>
    </row>
    <row collapsed="" customFormat="false" customHeight="1" hidden="" ht="14" outlineLevel="0" r="19054">
      <c r="A19054" s="3" t="inlineStr">
        <is>
          <t>19006</t>
        </is>
      </c>
      <c r="B19054" s="4" t="s">
        <f>=HYPERLINK("http://anyluxury.ru/shop/odezhda/rubashki-polo/rubashka-polo-zhenskaya-portland-women-200-oranzhevaya-00575403/" , "00575403 Рубашка поло женская PORTLAND WOMEN 200 оранжевая, размер M")</f>
      </c>
      <c r="C19054" s="4" t="n">
        <v>2205.00</v>
      </c>
      <c r="D19054" s="4"/>
    </row>
    <row collapsed="" customFormat="false" customHeight="1" hidden="" ht="14" outlineLevel="0" r="19055">
      <c r="A19055" s="3" t="inlineStr">
        <is>
          <t>19007</t>
        </is>
      </c>
      <c r="B19055" s="4" t="s">
        <f>=HYPERLINK("http://anyluxury.ru/shop/odezhda/rubashki-polo/rubashka-polo-zhenskaya-portland-women-200-oranzhevaya-00575403/" , "00575403 Рубашка поло женская PORTLAND WOMEN 200 оранжевая, размер L")</f>
      </c>
      <c r="C19055" s="4" t="n">
        <v>2205.00</v>
      </c>
      <c r="D19055" s="4"/>
    </row>
    <row collapsed="" customFormat="false" customHeight="1" hidden="" ht="14" outlineLevel="0" r="19056">
      <c r="A19056" s="3" t="inlineStr">
        <is>
          <t>19008</t>
        </is>
      </c>
      <c r="B19056" s="4" t="s">
        <f>=HYPERLINK("http://anyluxury.ru/shop/odezhda/rubashki-polo/rubashka-polo-zhenskaya-portland-women-200-oranzhevaya-00575403/" , "00575403 Рубашка поло женская PORTLAND WOMEN 200 оранжевая, размер XL")</f>
      </c>
      <c r="C19056" s="4" t="n">
        <v>2205.00</v>
      </c>
      <c r="D19056" s="4"/>
    </row>
    <row collapsed="" customFormat="false" customHeight="1" hidden="" ht="14" outlineLevel="0" r="19057">
      <c r="A19057" s="3" t="inlineStr">
        <is>
          <t>19009</t>
        </is>
      </c>
      <c r="B19057" s="4" t="s">
        <f>=HYPERLINK("http://anyluxury.ru/shop/odezhda/rubashki-polo/rubashka-polo-zhenskaya-portland-women-200-oranzhevaya-00575403/" , "00575403 Рубашка поло женская PORTLAND WOMEN 200 оранжевая, размер XXL")</f>
      </c>
      <c r="C19057" s="4" t="n">
        <v>2205.00</v>
      </c>
      <c r="D19057" s="4"/>
    </row>
    <row collapsed="" customFormat="false" customHeight="1" hidden="" ht="14" outlineLevel="0" r="19058">
      <c r="A19058" s="3" t="inlineStr">
        <is>
          <t>19010</t>
        </is>
      </c>
      <c r="B19058" s="4" t="s">
        <f>=HYPERLINK("http://anyluxury.ru/shop/odezhda/rubashki-polo/rubashka-polo-zhenskaya-portland-women-200-temnosinyaya-00575319/" , "00575319 Рубашка поло женская PORTLAND WOMEN 200 темно-синяя, размер XS")</f>
      </c>
      <c r="C19058" s="4" t="n">
        <v>2205.00</v>
      </c>
      <c r="D19058" s="4"/>
    </row>
    <row collapsed="" customFormat="false" customHeight="1" hidden="" ht="14" outlineLevel="0" r="19059">
      <c r="A19059" s="3" t="inlineStr">
        <is>
          <t>19011</t>
        </is>
      </c>
      <c r="B19059" s="4" t="s">
        <f>=HYPERLINK("http://anyluxury.ru/shop/odezhda/rubashki-polo/rubashka-polo-zhenskaya-portland-women-200-temnosinyaya-00575319/" , "00575319 Рубашка поло женская PORTLAND WOMEN 200 темно-синяя, размер S")</f>
      </c>
      <c r="C19059" s="4" t="n">
        <v>2205.00</v>
      </c>
      <c r="D19059" s="4"/>
    </row>
    <row collapsed="" customFormat="false" customHeight="1" hidden="" ht="14" outlineLevel="0" r="19060">
      <c r="A19060" s="3" t="inlineStr">
        <is>
          <t>19012</t>
        </is>
      </c>
      <c r="B19060" s="4" t="s">
        <f>=HYPERLINK("http://anyluxury.ru/shop/odezhda/rubashki-polo/rubashka-polo-zhenskaya-portland-women-200-temnosinyaya-00575319/" , "00575319 Рубашка поло женская PORTLAND WOMEN 200 темно-синяя, размер M")</f>
      </c>
      <c r="C19060" s="4" t="n">
        <v>2205.00</v>
      </c>
      <c r="D19060" s="4"/>
    </row>
    <row collapsed="" customFormat="false" customHeight="1" hidden="" ht="14" outlineLevel="0" r="19061">
      <c r="A19061" s="3" t="inlineStr">
        <is>
          <t>19013</t>
        </is>
      </c>
      <c r="B19061" s="4" t="s">
        <f>=HYPERLINK("http://anyluxury.ru/shop/odezhda/rubashki-polo/rubashka-polo-zhenskaya-portland-women-200-temnosinyaya-00575319/" , "00575319 Рубашка поло женская PORTLAND WOMEN 200 темно-синяя, размер L")</f>
      </c>
      <c r="C19061" s="4" t="n">
        <v>2205.00</v>
      </c>
      <c r="D19061" s="4"/>
    </row>
    <row collapsed="" customFormat="false" customHeight="1" hidden="" ht="14" outlineLevel="0" r="19062">
      <c r="A19062" s="3" t="inlineStr">
        <is>
          <t>19014</t>
        </is>
      </c>
      <c r="B19062" s="4" t="s">
        <f>=HYPERLINK("http://anyluxury.ru/shop/odezhda/rubashki-polo/rubashka-polo-zhenskaya-portland-women-200-temnosinyaya-00575319/" , "00575319 Рубашка поло женская PORTLAND WOMEN 200 темно-синяя, размер XL")</f>
      </c>
      <c r="C19062" s="4" t="n">
        <v>2205.00</v>
      </c>
      <c r="D19062" s="4"/>
    </row>
    <row collapsed="" customFormat="false" customHeight="1" hidden="" ht="14" outlineLevel="0" r="19063">
      <c r="A19063" s="3" t="inlineStr">
        <is>
          <t>19015</t>
        </is>
      </c>
      <c r="B19063" s="4" t="s">
        <f>=HYPERLINK("http://anyluxury.ru/shop/odezhda/rubashki-polo/rubashka-polo-zhenskaya-portland-women-200-temnosinyaya-00575319/" , "00575319 Рубашка поло женская PORTLAND WOMEN 200 темно-синяя, размер XXL")</f>
      </c>
      <c r="C19063" s="4" t="n">
        <v>2205.00</v>
      </c>
      <c r="D19063" s="4"/>
    </row>
    <row collapsed="" customFormat="false" customHeight="1" hidden="" ht="14" outlineLevel="0" r="19064">
      <c r="A19064" s="3" t="inlineStr">
        <is>
          <t>19016</t>
        </is>
      </c>
      <c r="B19064" s="4" t="s">
        <f>=HYPERLINK("http://anyluxury.ru/shop/odezhda/rubashki-polo/rubashka-polo-zhenskaya-portland-women-200-krasnaya-00575145/" , "00575145 Рубашка поло женская PORTLAND WOMEN 200 красная, размер XS")</f>
      </c>
      <c r="C19064" s="4" t="n">
        <v>2205.00</v>
      </c>
      <c r="D19064" s="4"/>
    </row>
    <row collapsed="" customFormat="false" customHeight="1" hidden="" ht="14" outlineLevel="0" r="19065">
      <c r="A19065" s="3" t="inlineStr">
        <is>
          <t>19017</t>
        </is>
      </c>
      <c r="B19065" s="4" t="s">
        <f>=HYPERLINK("http://anyluxury.ru/shop/odezhda/rubashki-polo/rubashka-polo-zhenskaya-portland-women-200-krasnaya-00575145/" , "00575145 Рубашка поло женская PORTLAND WOMEN 200 красная, размер S")</f>
      </c>
      <c r="C19065" s="4" t="n">
        <v>2205.00</v>
      </c>
      <c r="D19065" s="4"/>
    </row>
    <row collapsed="" customFormat="false" customHeight="1" hidden="" ht="14" outlineLevel="0" r="19066">
      <c r="A19066" s="3" t="inlineStr">
        <is>
          <t>19018</t>
        </is>
      </c>
      <c r="B19066" s="4" t="s">
        <f>=HYPERLINK("http://anyluxury.ru/shop/odezhda/rubashki-polo/rubashka-polo-zhenskaya-portland-women-200-krasnaya-00575145/" , "00575145 Рубашка поло женская PORTLAND WOMEN 200 красная, размер M")</f>
      </c>
      <c r="C19066" s="4" t="n">
        <v>2205.00</v>
      </c>
      <c r="D19066" s="4"/>
    </row>
    <row collapsed="" customFormat="false" customHeight="1" hidden="" ht="14" outlineLevel="0" r="19067">
      <c r="A19067" s="3" t="inlineStr">
        <is>
          <t>19019</t>
        </is>
      </c>
      <c r="B19067" s="4" t="s">
        <f>=HYPERLINK("http://anyluxury.ru/shop/odezhda/rubashki-polo/rubashka-polo-zhenskaya-portland-women-200-krasnaya-00575145/" , "00575145 Рубашка поло женская PORTLAND WOMEN 200 красная, размер L")</f>
      </c>
      <c r="C19067" s="4" t="n">
        <v>2205.00</v>
      </c>
      <c r="D19067" s="4"/>
    </row>
    <row collapsed="" customFormat="false" customHeight="1" hidden="" ht="14" outlineLevel="0" r="19068">
      <c r="A19068" s="3" t="inlineStr">
        <is>
          <t>19020</t>
        </is>
      </c>
      <c r="B19068" s="4" t="s">
        <f>=HYPERLINK("http://anyluxury.ru/shop/odezhda/rubashki-polo/rubashka-polo-zhenskaya-portland-women-200-krasnaya-00575145/" , "00575145 Рубашка поло женская PORTLAND WOMEN 200 красная, размер XL")</f>
      </c>
      <c r="C19068" s="4" t="n">
        <v>2205.00</v>
      </c>
      <c r="D19068" s="4"/>
    </row>
    <row collapsed="" customFormat="false" customHeight="1" hidden="" ht="14" outlineLevel="0" r="19069">
      <c r="A19069" s="3" t="inlineStr">
        <is>
          <t>19021</t>
        </is>
      </c>
      <c r="B19069" s="4" t="s">
        <f>=HYPERLINK("http://anyluxury.ru/shop/odezhda/rubashki-polo/rubashka-polo-zhenskaya-portland-women-200-krasnaya-00575145/" , "00575145 Рубашка поло женская PORTLAND WOMEN 200 красная, размер XXL")</f>
      </c>
      <c r="C19069" s="4" t="n">
        <v>2205.00</v>
      </c>
      <c r="D19069" s="4"/>
    </row>
    <row collapsed="" customFormat="false" customHeight="1" hidden="" ht="14" outlineLevel="0" r="19070">
      <c r="A19070" s="3" t="inlineStr">
        <is>
          <t>19022</t>
        </is>
      </c>
      <c r="B19070" s="4" t="s">
        <f>=HYPERLINK("http://anyluxury.ru/shop/odezhda/rubashki-polo/rubashka-polo-zhenskaya-portland-women-200-belaya-00575102/" , "00575102 Рубашка поло женская PORTLAND WOMEN 200 белая, размер XS")</f>
      </c>
      <c r="C19070" s="4" t="n">
        <v>2205.00</v>
      </c>
      <c r="D19070" s="4"/>
    </row>
    <row collapsed="" customFormat="false" customHeight="1" hidden="" ht="14" outlineLevel="0" r="19071">
      <c r="A19071" s="3" t="inlineStr">
        <is>
          <t>19023</t>
        </is>
      </c>
      <c r="B19071" s="4" t="s">
        <f>=HYPERLINK("http://anyluxury.ru/shop/odezhda/rubashki-polo/rubashka-polo-zhenskaya-portland-women-200-belaya-00575102/" , "00575102 Рубашка поло женская PORTLAND WOMEN 200 белая, размер S")</f>
      </c>
      <c r="C19071" s="4" t="n">
        <v>2205.00</v>
      </c>
      <c r="D19071" s="4"/>
    </row>
    <row collapsed="" customFormat="false" customHeight="1" hidden="" ht="14" outlineLevel="0" r="19072">
      <c r="A19072" s="3" t="inlineStr">
        <is>
          <t>19024</t>
        </is>
      </c>
      <c r="B19072" s="4" t="s">
        <f>=HYPERLINK("http://anyluxury.ru/shop/odezhda/rubashki-polo/rubashka-polo-zhenskaya-portland-women-200-belaya-00575102/" , "00575102 Рубашка поло женская PORTLAND WOMEN 200 белая, размер M")</f>
      </c>
      <c r="C19072" s="4" t="n">
        <v>2205.00</v>
      </c>
      <c r="D19072" s="4"/>
    </row>
    <row collapsed="" customFormat="false" customHeight="1" hidden="" ht="14" outlineLevel="0" r="19073">
      <c r="A19073" s="3" t="inlineStr">
        <is>
          <t>19025</t>
        </is>
      </c>
      <c r="B19073" s="4" t="s">
        <f>=HYPERLINK("http://anyluxury.ru/shop/odezhda/rubashki-polo/rubashka-polo-zhenskaya-portland-women-200-belaya-00575102/" , "00575102 Рубашка поло женская PORTLAND WOMEN 200 белая, размер L")</f>
      </c>
      <c r="C19073" s="4" t="n">
        <v>2205.00</v>
      </c>
      <c r="D19073" s="4"/>
    </row>
    <row collapsed="" customFormat="false" customHeight="1" hidden="" ht="14" outlineLevel="0" r="19074">
      <c r="A19074" s="3" t="inlineStr">
        <is>
          <t>19026</t>
        </is>
      </c>
      <c r="B19074" s="4" t="s">
        <f>=HYPERLINK("http://anyluxury.ru/shop/odezhda/rubashki-polo/rubashka-polo-zhenskaya-portland-women-200-belaya-00575102/" , "00575102 Рубашка поло женская PORTLAND WOMEN 200 белая, размер XL")</f>
      </c>
      <c r="C19074" s="4" t="n">
        <v>2205.00</v>
      </c>
      <c r="D19074" s="4"/>
    </row>
    <row collapsed="" customFormat="false" customHeight="1" hidden="" ht="14" outlineLevel="0" r="19075">
      <c r="A19075" s="3" t="inlineStr">
        <is>
          <t>19027</t>
        </is>
      </c>
      <c r="B19075" s="4" t="s">
        <f>=HYPERLINK("http://anyluxury.ru/shop/odezhda/rubashki-polo/rubashka-polo-zhenskaya-portland-women-200-belaya-00575102/" , "00575102 Рубашка поло женская PORTLAND WOMEN 200 белая, размер XXL")</f>
      </c>
      <c r="C19075" s="4" t="n">
        <v>2205.00</v>
      </c>
      <c r="D19075" s="4"/>
    </row>
    <row collapsed="" customFormat="false" customHeight="1" hidden="" ht="14" outlineLevel="0" r="19076">
      <c r="A19076" s="3" t="inlineStr">
        <is>
          <t>19028</t>
        </is>
      </c>
      <c r="B19076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S")</f>
      </c>
      <c r="C19076" s="4" t="n">
        <v>2502.00</v>
      </c>
      <c r="D19076" s="4"/>
    </row>
    <row collapsed="" customFormat="false" customHeight="1" hidden="" ht="14" outlineLevel="0" r="19077">
      <c r="A19077" s="3" t="inlineStr">
        <is>
          <t>19029</t>
        </is>
      </c>
      <c r="B19077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M")</f>
      </c>
      <c r="C19077" s="4" t="n">
        <v>2502.00</v>
      </c>
      <c r="D19077" s="4"/>
    </row>
    <row collapsed="" customFormat="false" customHeight="1" hidden="" ht="14" outlineLevel="0" r="19078">
      <c r="A19078" s="3" t="inlineStr">
        <is>
          <t>19030</t>
        </is>
      </c>
      <c r="B19078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XL")</f>
      </c>
      <c r="C19078" s="4" t="n">
        <v>2502.00</v>
      </c>
      <c r="D19078" s="4"/>
    </row>
    <row collapsed="" customFormat="false" customHeight="1" hidden="" ht="14" outlineLevel="0" r="19079">
      <c r="A19079" s="3" t="inlineStr">
        <is>
          <t>19031</t>
        </is>
      </c>
      <c r="B19079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XXL")</f>
      </c>
      <c r="C19079" s="4" t="n">
        <v>2502.00</v>
      </c>
      <c r="D19079" s="4"/>
    </row>
    <row collapsed="" customFormat="false" customHeight="1" hidden="" ht="14" outlineLevel="0" r="19080">
      <c r="A19080" s="3" t="inlineStr">
        <is>
          <t>19032</t>
        </is>
      </c>
      <c r="B19080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3XL")</f>
      </c>
      <c r="C19080" s="4" t="n">
        <v>2897.00</v>
      </c>
      <c r="D19080" s="4"/>
    </row>
    <row collapsed="" customFormat="false" customHeight="1" hidden="" ht="14" outlineLevel="0" r="19081">
      <c r="A19081" s="3" t="inlineStr">
        <is>
          <t>19033</t>
        </is>
      </c>
      <c r="B19081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S")</f>
      </c>
      <c r="C19081" s="4" t="n">
        <v>2502.00</v>
      </c>
      <c r="D19081" s="4"/>
    </row>
    <row collapsed="" customFormat="false" customHeight="1" hidden="" ht="14" outlineLevel="0" r="19082">
      <c r="A19082" s="3" t="inlineStr">
        <is>
          <t>19034</t>
        </is>
      </c>
      <c r="B19082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M")</f>
      </c>
      <c r="C19082" s="4" t="n">
        <v>2502.00</v>
      </c>
      <c r="D19082" s="4"/>
    </row>
    <row collapsed="" customFormat="false" customHeight="1" hidden="" ht="14" outlineLevel="0" r="19083">
      <c r="A19083" s="3" t="inlineStr">
        <is>
          <t>19035</t>
        </is>
      </c>
      <c r="B19083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L")</f>
      </c>
      <c r="C19083" s="4" t="n">
        <v>2502.00</v>
      </c>
      <c r="D19083" s="4"/>
    </row>
    <row collapsed="" customFormat="false" customHeight="1" hidden="" ht="14" outlineLevel="0" r="19084">
      <c r="A19084" s="3" t="inlineStr">
        <is>
          <t>19036</t>
        </is>
      </c>
      <c r="B19084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XL")</f>
      </c>
      <c r="C19084" s="4" t="n">
        <v>2502.00</v>
      </c>
      <c r="D19084" s="4"/>
    </row>
    <row collapsed="" customFormat="false" customHeight="1" hidden="" ht="14" outlineLevel="0" r="19085">
      <c r="A19085" s="3" t="inlineStr">
        <is>
          <t>19037</t>
        </is>
      </c>
      <c r="B19085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XXL")</f>
      </c>
      <c r="C19085" s="4" t="n">
        <v>2502.00</v>
      </c>
      <c r="D19085" s="4"/>
    </row>
    <row collapsed="" customFormat="false" customHeight="1" hidden="" ht="14" outlineLevel="0" r="19086">
      <c r="A19086" s="3" t="inlineStr">
        <is>
          <t>19038</t>
        </is>
      </c>
      <c r="B19086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S")</f>
      </c>
      <c r="C19086" s="4" t="n">
        <v>2502.00</v>
      </c>
      <c r="D19086" s="4"/>
    </row>
    <row collapsed="" customFormat="false" customHeight="1" hidden="" ht="14" outlineLevel="0" r="19087">
      <c r="A19087" s="3" t="inlineStr">
        <is>
          <t>19039</t>
        </is>
      </c>
      <c r="B19087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M")</f>
      </c>
      <c r="C19087" s="4" t="n">
        <v>2502.00</v>
      </c>
      <c r="D19087" s="4"/>
    </row>
    <row collapsed="" customFormat="false" customHeight="1" hidden="" ht="14" outlineLevel="0" r="19088">
      <c r="A19088" s="3" t="inlineStr">
        <is>
          <t>19040</t>
        </is>
      </c>
      <c r="B19088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L")</f>
      </c>
      <c r="C19088" s="4" t="n">
        <v>2502.00</v>
      </c>
      <c r="D19088" s="4"/>
    </row>
    <row collapsed="" customFormat="false" customHeight="1" hidden="" ht="14" outlineLevel="0" r="19089">
      <c r="A19089" s="3" t="inlineStr">
        <is>
          <t>19041</t>
        </is>
      </c>
      <c r="B19089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XL")</f>
      </c>
      <c r="C19089" s="4" t="n">
        <v>2502.00</v>
      </c>
      <c r="D19089" s="4"/>
    </row>
    <row collapsed="" customFormat="false" customHeight="1" hidden="" ht="14" outlineLevel="0" r="19090">
      <c r="A19090" s="3" t="inlineStr">
        <is>
          <t>19042</t>
        </is>
      </c>
      <c r="B19090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XXL")</f>
      </c>
      <c r="C19090" s="4" t="n">
        <v>2502.00</v>
      </c>
      <c r="D19090" s="4"/>
    </row>
    <row collapsed="" customFormat="false" customHeight="1" hidden="" ht="14" outlineLevel="0" r="19091">
      <c r="A19091" s="3" t="inlineStr">
        <is>
          <t>19043</t>
        </is>
      </c>
      <c r="B19091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S")</f>
      </c>
      <c r="C19091" s="4" t="n">
        <v>2502.00</v>
      </c>
      <c r="D19091" s="4"/>
    </row>
    <row collapsed="" customFormat="false" customHeight="1" hidden="" ht="14" outlineLevel="0" r="19092">
      <c r="A19092" s="3" t="inlineStr">
        <is>
          <t>19044</t>
        </is>
      </c>
      <c r="B19092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M")</f>
      </c>
      <c r="C19092" s="4" t="n">
        <v>2502.00</v>
      </c>
      <c r="D19092" s="4"/>
    </row>
    <row collapsed="" customFormat="false" customHeight="1" hidden="" ht="14" outlineLevel="0" r="19093">
      <c r="A19093" s="3" t="inlineStr">
        <is>
          <t>19045</t>
        </is>
      </c>
      <c r="B19093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L")</f>
      </c>
      <c r="C19093" s="4" t="n">
        <v>2502.00</v>
      </c>
      <c r="D19093" s="4"/>
    </row>
    <row collapsed="" customFormat="false" customHeight="1" hidden="" ht="14" outlineLevel="0" r="19094">
      <c r="A19094" s="3" t="inlineStr">
        <is>
          <t>19046</t>
        </is>
      </c>
      <c r="B19094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XL")</f>
      </c>
      <c r="C19094" s="4" t="n">
        <v>2502.00</v>
      </c>
      <c r="D19094" s="4"/>
    </row>
    <row collapsed="" customFormat="false" customHeight="1" hidden="" ht="14" outlineLevel="0" r="19095">
      <c r="A19095" s="3" t="inlineStr">
        <is>
          <t>19047</t>
        </is>
      </c>
      <c r="B19095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XXL")</f>
      </c>
      <c r="C19095" s="4" t="n">
        <v>2502.00</v>
      </c>
      <c r="D19095" s="4"/>
    </row>
    <row collapsed="" customFormat="false" customHeight="1" hidden="" ht="14" outlineLevel="0" r="19096">
      <c r="A19096" s="3" t="inlineStr">
        <is>
          <t>19048</t>
        </is>
      </c>
      <c r="B19096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S")</f>
      </c>
      <c r="C19096" s="4" t="n">
        <v>2502.00</v>
      </c>
      <c r="D19096" s="4"/>
    </row>
    <row collapsed="" customFormat="false" customHeight="1" hidden="" ht="14" outlineLevel="0" r="19097">
      <c r="A19097" s="3" t="inlineStr">
        <is>
          <t>19049</t>
        </is>
      </c>
      <c r="B19097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M")</f>
      </c>
      <c r="C19097" s="4" t="n">
        <v>2502.00</v>
      </c>
      <c r="D19097" s="4"/>
    </row>
    <row collapsed="" customFormat="false" customHeight="1" hidden="" ht="14" outlineLevel="0" r="19098">
      <c r="A19098" s="3" t="inlineStr">
        <is>
          <t>19050</t>
        </is>
      </c>
      <c r="B19098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L")</f>
      </c>
      <c r="C19098" s="4" t="n">
        <v>2502.00</v>
      </c>
      <c r="D19098" s="4"/>
    </row>
    <row collapsed="" customFormat="false" customHeight="1" hidden="" ht="14" outlineLevel="0" r="19099">
      <c r="A19099" s="3" t="inlineStr">
        <is>
          <t>19051</t>
        </is>
      </c>
      <c r="B19099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XL")</f>
      </c>
      <c r="C19099" s="4" t="n">
        <v>2502.00</v>
      </c>
      <c r="D19099" s="4"/>
    </row>
    <row collapsed="" customFormat="false" customHeight="1" hidden="" ht="14" outlineLevel="0" r="19100">
      <c r="A19100" s="3" t="inlineStr">
        <is>
          <t>19052</t>
        </is>
      </c>
      <c r="B19100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XXL")</f>
      </c>
      <c r="C19100" s="4" t="n">
        <v>2502.00</v>
      </c>
      <c r="D19100" s="4"/>
    </row>
    <row collapsed="" customFormat="false" customHeight="1" hidden="" ht="14" outlineLevel="0" r="19101">
      <c r="A19101" s="3" t="inlineStr">
        <is>
          <t>19053</t>
        </is>
      </c>
      <c r="B19101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3XL")</f>
      </c>
      <c r="C19101" s="4" t="n">
        <v>2897.00</v>
      </c>
      <c r="D19101" s="4"/>
    </row>
    <row collapsed="" customFormat="false" customHeight="1" hidden="" ht="14" outlineLevel="0" r="19102">
      <c r="A19102" s="3" t="inlineStr">
        <is>
          <t>19054</t>
        </is>
      </c>
      <c r="B19102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S")</f>
      </c>
      <c r="C19102" s="4" t="n">
        <v>2502.00</v>
      </c>
      <c r="D19102" s="4"/>
    </row>
    <row collapsed="" customFormat="false" customHeight="1" hidden="" ht="14" outlineLevel="0" r="19103">
      <c r="A19103" s="3" t="inlineStr">
        <is>
          <t>19055</t>
        </is>
      </c>
      <c r="B19103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M")</f>
      </c>
      <c r="C19103" s="4" t="n">
        <v>2502.00</v>
      </c>
      <c r="D19103" s="4"/>
    </row>
    <row collapsed="" customFormat="false" customHeight="1" hidden="" ht="14" outlineLevel="0" r="19104">
      <c r="A19104" s="3" t="inlineStr">
        <is>
          <t>19056</t>
        </is>
      </c>
      <c r="B19104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L")</f>
      </c>
      <c r="C19104" s="4" t="n">
        <v>2502.00</v>
      </c>
      <c r="D19104" s="4"/>
    </row>
    <row collapsed="" customFormat="false" customHeight="1" hidden="" ht="14" outlineLevel="0" r="19105">
      <c r="A19105" s="3" t="inlineStr">
        <is>
          <t>19057</t>
        </is>
      </c>
      <c r="B19105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XL")</f>
      </c>
      <c r="C19105" s="4" t="n">
        <v>2502.00</v>
      </c>
      <c r="D19105" s="4"/>
    </row>
    <row collapsed="" customFormat="false" customHeight="1" hidden="" ht="14" outlineLevel="0" r="19106">
      <c r="A19106" s="3" t="inlineStr">
        <is>
          <t>19058</t>
        </is>
      </c>
      <c r="B19106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XXL")</f>
      </c>
      <c r="C19106" s="4" t="n">
        <v>2502.00</v>
      </c>
      <c r="D19106" s="4"/>
    </row>
    <row collapsed="" customFormat="false" customHeight="1" hidden="" ht="14" outlineLevel="0" r="19107">
      <c r="A19107" s="3" t="inlineStr">
        <is>
          <t>19059</t>
        </is>
      </c>
      <c r="B19107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3XL")</f>
      </c>
      <c r="C19107" s="4" t="n">
        <v>2897.00</v>
      </c>
      <c r="D19107" s="4"/>
    </row>
    <row collapsed="" customFormat="false" customHeight="1" hidden="" ht="14" outlineLevel="0" r="19108">
      <c r="A19108" s="3" t="inlineStr">
        <is>
          <t>19060</t>
        </is>
      </c>
      <c r="B19108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S")</f>
      </c>
      <c r="C19108" s="4" t="n">
        <v>2502.00</v>
      </c>
      <c r="D19108" s="4"/>
    </row>
    <row collapsed="" customFormat="false" customHeight="1" hidden="" ht="14" outlineLevel="0" r="19109">
      <c r="A19109" s="3" t="inlineStr">
        <is>
          <t>19061</t>
        </is>
      </c>
      <c r="B19109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M")</f>
      </c>
      <c r="C19109" s="4" t="n">
        <v>2502.00</v>
      </c>
      <c r="D19109" s="4"/>
    </row>
    <row collapsed="" customFormat="false" customHeight="1" hidden="" ht="14" outlineLevel="0" r="19110">
      <c r="A19110" s="3" t="inlineStr">
        <is>
          <t>19062</t>
        </is>
      </c>
      <c r="B19110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L")</f>
      </c>
      <c r="C19110" s="4" t="n">
        <v>2502.00</v>
      </c>
      <c r="D19110" s="4"/>
    </row>
    <row collapsed="" customFormat="false" customHeight="1" hidden="" ht="14" outlineLevel="0" r="19111">
      <c r="A19111" s="3" t="inlineStr">
        <is>
          <t>19063</t>
        </is>
      </c>
      <c r="B19111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XL")</f>
      </c>
      <c r="C19111" s="4" t="n">
        <v>2502.00</v>
      </c>
      <c r="D19111" s="4"/>
    </row>
    <row collapsed="" customFormat="false" customHeight="1" hidden="" ht="14" outlineLevel="0" r="19112">
      <c r="A19112" s="3" t="inlineStr">
        <is>
          <t>19064</t>
        </is>
      </c>
      <c r="B19112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XXL")</f>
      </c>
      <c r="C19112" s="4" t="n">
        <v>2502.00</v>
      </c>
      <c r="D19112" s="4"/>
    </row>
    <row collapsed="" customFormat="false" customHeight="1" hidden="" ht="14" outlineLevel="0" r="19113">
      <c r="A19113" s="3" t="inlineStr">
        <is>
          <t>19065</t>
        </is>
      </c>
      <c r="B19113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S")</f>
      </c>
      <c r="C19113" s="4" t="n">
        <v>2502.00</v>
      </c>
      <c r="D19113" s="4"/>
    </row>
    <row collapsed="" customFormat="false" customHeight="1" hidden="" ht="14" outlineLevel="0" r="19114">
      <c r="A19114" s="3" t="inlineStr">
        <is>
          <t>19066</t>
        </is>
      </c>
      <c r="B19114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M")</f>
      </c>
      <c r="C19114" s="4" t="n">
        <v>2502.00</v>
      </c>
      <c r="D19114" s="4"/>
    </row>
    <row collapsed="" customFormat="false" customHeight="1" hidden="" ht="14" outlineLevel="0" r="19115">
      <c r="A19115" s="3" t="inlineStr">
        <is>
          <t>19067</t>
        </is>
      </c>
      <c r="B19115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L")</f>
      </c>
      <c r="C19115" s="4" t="n">
        <v>2502.00</v>
      </c>
      <c r="D19115" s="4"/>
    </row>
    <row collapsed="" customFormat="false" customHeight="1" hidden="" ht="14" outlineLevel="0" r="19116">
      <c r="A19116" s="3" t="inlineStr">
        <is>
          <t>19068</t>
        </is>
      </c>
      <c r="B19116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XL")</f>
      </c>
      <c r="C19116" s="4" t="n">
        <v>2502.00</v>
      </c>
      <c r="D19116" s="4"/>
    </row>
    <row collapsed="" customFormat="false" customHeight="1" hidden="" ht="14" outlineLevel="0" r="19117">
      <c r="A19117" s="3" t="inlineStr">
        <is>
          <t>19069</t>
        </is>
      </c>
      <c r="B19117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XXL")</f>
      </c>
      <c r="C19117" s="4" t="n">
        <v>2502.00</v>
      </c>
      <c r="D19117" s="4"/>
    </row>
    <row collapsed="" customFormat="false" customHeight="1" hidden="" ht="14" outlineLevel="0" r="19118">
      <c r="A19118" s="3" t="inlineStr">
        <is>
          <t>19070</t>
        </is>
      </c>
      <c r="B19118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S")</f>
      </c>
      <c r="C19118" s="4" t="n">
        <v>2162.00</v>
      </c>
      <c r="D19118" s="4"/>
    </row>
    <row collapsed="" customFormat="false" customHeight="1" hidden="" ht="14" outlineLevel="0" r="19119">
      <c r="A19119" s="3" t="inlineStr">
        <is>
          <t>19071</t>
        </is>
      </c>
      <c r="B19119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M")</f>
      </c>
      <c r="C19119" s="4" t="n">
        <v>2162.00</v>
      </c>
      <c r="D19119" s="4"/>
    </row>
    <row collapsed="" customFormat="false" customHeight="1" hidden="" ht="14" outlineLevel="0" r="19120">
      <c r="A19120" s="3" t="inlineStr">
        <is>
          <t>19072</t>
        </is>
      </c>
      <c r="B19120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L")</f>
      </c>
      <c r="C19120" s="4" t="n">
        <v>2162.00</v>
      </c>
      <c r="D19120" s="4"/>
    </row>
    <row collapsed="" customFormat="false" customHeight="1" hidden="" ht="14" outlineLevel="0" r="19121">
      <c r="A19121" s="3" t="inlineStr">
        <is>
          <t>19073</t>
        </is>
      </c>
      <c r="B19121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XL")</f>
      </c>
      <c r="C19121" s="4" t="n">
        <v>2162.00</v>
      </c>
      <c r="D19121" s="4"/>
    </row>
    <row collapsed="" customFormat="false" customHeight="1" hidden="" ht="14" outlineLevel="0" r="19122">
      <c r="A19122" s="3" t="inlineStr">
        <is>
          <t>19074</t>
        </is>
      </c>
      <c r="B19122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3XL")</f>
      </c>
      <c r="C19122" s="4" t="n">
        <v>2590.00</v>
      </c>
      <c r="D19122" s="4"/>
    </row>
    <row collapsed="" customFormat="false" customHeight="1" hidden="" ht="14" outlineLevel="0" r="19123">
      <c r="A19123" s="3" t="inlineStr">
        <is>
          <t>19075</t>
        </is>
      </c>
      <c r="B19123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S")</f>
      </c>
      <c r="C19123" s="4" t="n">
        <v>2162.00</v>
      </c>
      <c r="D19123" s="4"/>
    </row>
    <row collapsed="" customFormat="false" customHeight="1" hidden="" ht="14" outlineLevel="0" r="19124">
      <c r="A19124" s="3" t="inlineStr">
        <is>
          <t>19076</t>
        </is>
      </c>
      <c r="B19124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XL")</f>
      </c>
      <c r="C19124" s="4" t="n">
        <v>2162.00</v>
      </c>
      <c r="D19124" s="4"/>
    </row>
    <row collapsed="" customFormat="false" customHeight="1" hidden="" ht="14" outlineLevel="0" r="19125">
      <c r="A19125" s="3" t="inlineStr">
        <is>
          <t>19077</t>
        </is>
      </c>
      <c r="B19125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XXL")</f>
      </c>
      <c r="C19125" s="4" t="n">
        <v>2162.00</v>
      </c>
      <c r="D19125" s="4"/>
    </row>
    <row collapsed="" customFormat="false" customHeight="1" hidden="" ht="14" outlineLevel="0" r="19126">
      <c r="A19126" s="3" t="inlineStr">
        <is>
          <t>19078</t>
        </is>
      </c>
      <c r="B19126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3XL")</f>
      </c>
      <c r="C19126" s="4" t="n">
        <v>2590.00</v>
      </c>
      <c r="D19126" s="4"/>
    </row>
    <row collapsed="" customFormat="false" customHeight="1" hidden="" ht="14" outlineLevel="0" r="19127">
      <c r="A19127" s="3" t="inlineStr">
        <is>
          <t>19079</t>
        </is>
      </c>
      <c r="B19127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S")</f>
      </c>
      <c r="C19127" s="4" t="n">
        <v>2162.00</v>
      </c>
      <c r="D19127" s="4"/>
    </row>
    <row collapsed="" customFormat="false" customHeight="1" hidden="" ht="14" outlineLevel="0" r="19128">
      <c r="A19128" s="3" t="inlineStr">
        <is>
          <t>19080</t>
        </is>
      </c>
      <c r="B19128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M")</f>
      </c>
      <c r="C19128" s="4" t="n">
        <v>2162.00</v>
      </c>
      <c r="D19128" s="4"/>
    </row>
    <row collapsed="" customFormat="false" customHeight="1" hidden="" ht="14" outlineLevel="0" r="19129">
      <c r="A19129" s="3" t="inlineStr">
        <is>
          <t>19081</t>
        </is>
      </c>
      <c r="B19129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L")</f>
      </c>
      <c r="C19129" s="4" t="n">
        <v>2162.00</v>
      </c>
      <c r="D19129" s="4"/>
    </row>
    <row collapsed="" customFormat="false" customHeight="1" hidden="" ht="14" outlineLevel="0" r="19130">
      <c r="A19130" s="3" t="inlineStr">
        <is>
          <t>19082</t>
        </is>
      </c>
      <c r="B19130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XL")</f>
      </c>
      <c r="C19130" s="4" t="n">
        <v>2162.00</v>
      </c>
      <c r="D19130" s="4"/>
    </row>
    <row collapsed="" customFormat="false" customHeight="1" hidden="" ht="14" outlineLevel="0" r="19131">
      <c r="A19131" s="3" t="inlineStr">
        <is>
          <t>19083</t>
        </is>
      </c>
      <c r="B19131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XXL")</f>
      </c>
      <c r="C19131" s="4" t="n">
        <v>2162.00</v>
      </c>
      <c r="D19131" s="4"/>
    </row>
    <row collapsed="" customFormat="false" customHeight="1" hidden="" ht="14" outlineLevel="0" r="19132">
      <c r="A19132" s="3" t="inlineStr">
        <is>
          <t>19084</t>
        </is>
      </c>
      <c r="B19132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3XL")</f>
      </c>
      <c r="C19132" s="4" t="n">
        <v>2590.00</v>
      </c>
      <c r="D19132" s="4"/>
    </row>
    <row collapsed="" customFormat="false" customHeight="1" hidden="" ht="14" outlineLevel="0" r="19133">
      <c r="A19133" s="3" t="inlineStr">
        <is>
          <t>19085</t>
        </is>
      </c>
      <c r="B19133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S")</f>
      </c>
      <c r="C19133" s="4" t="n">
        <v>2162.00</v>
      </c>
      <c r="D19133" s="4"/>
    </row>
    <row collapsed="" customFormat="false" customHeight="1" hidden="" ht="14" outlineLevel="0" r="19134">
      <c r="A19134" s="3" t="inlineStr">
        <is>
          <t>19086</t>
        </is>
      </c>
      <c r="B19134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M")</f>
      </c>
      <c r="C19134" s="4" t="n">
        <v>2162.00</v>
      </c>
      <c r="D19134" s="4"/>
    </row>
    <row collapsed="" customFormat="false" customHeight="1" hidden="" ht="14" outlineLevel="0" r="19135">
      <c r="A19135" s="3" t="inlineStr">
        <is>
          <t>19087</t>
        </is>
      </c>
      <c r="B19135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L")</f>
      </c>
      <c r="C19135" s="4" t="n">
        <v>2162.00</v>
      </c>
      <c r="D19135" s="4"/>
    </row>
    <row collapsed="" customFormat="false" customHeight="1" hidden="" ht="14" outlineLevel="0" r="19136">
      <c r="A19136" s="3" t="inlineStr">
        <is>
          <t>19088</t>
        </is>
      </c>
      <c r="B19136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XL")</f>
      </c>
      <c r="C19136" s="4" t="n">
        <v>2162.00</v>
      </c>
      <c r="D19136" s="4"/>
    </row>
    <row collapsed="" customFormat="false" customHeight="1" hidden="" ht="14" outlineLevel="0" r="19137">
      <c r="A19137" s="3" t="inlineStr">
        <is>
          <t>19089</t>
        </is>
      </c>
      <c r="B19137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XXL")</f>
      </c>
      <c r="C19137" s="4" t="n">
        <v>2162.00</v>
      </c>
      <c r="D19137" s="4"/>
    </row>
    <row collapsed="" customFormat="false" customHeight="1" hidden="" ht="14" outlineLevel="0" r="19138">
      <c r="A19138" s="3" t="inlineStr">
        <is>
          <t>19090</t>
        </is>
      </c>
      <c r="B19138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3XL")</f>
      </c>
      <c r="C19138" s="4" t="n">
        <v>2590.00</v>
      </c>
      <c r="D19138" s="4"/>
    </row>
    <row collapsed="" customFormat="false" customHeight="1" hidden="" ht="14" outlineLevel="0" r="19139">
      <c r="A19139" s="3" t="inlineStr">
        <is>
          <t>19091</t>
        </is>
      </c>
      <c r="B19139" s="4" t="s">
        <f>=HYPERLINK("http://anyluxury.ru/shop/odezhda/rubashki-polo/rubashka-polo-muzhskaya-pasadena-men-200-s-kontrastnoy-otdelkoy-belaya-s-sinim-585164/" , "5851.64 Рубашка поло мужская PASADENA MEN 200 с контрастной отделкой белая с синим, размер S")</f>
      </c>
      <c r="C19139" s="4" t="n">
        <v>2162.00</v>
      </c>
      <c r="D19139" s="4"/>
    </row>
    <row collapsed="" customFormat="false" customHeight="1" hidden="" ht="14" outlineLevel="0" r="19140">
      <c r="A19140" s="3" t="inlineStr">
        <is>
          <t>19092</t>
        </is>
      </c>
      <c r="B19140" s="4" t="s">
        <f>=HYPERLINK("http://anyluxury.ru/shop/odezhda/rubashki-polo/rubashka-polo-muzhskaya-pasadena-men-200-s-kontrastnoy-otdelkoy-belaya-s-golubim-585167/" , "5851.67 Рубашка поло мужская PASADENA MEN 200 с контрастной отделкой белая с голубым, размер S")</f>
      </c>
      <c r="C19140" s="4" t="n">
        <v>2162.00</v>
      </c>
      <c r="D19140" s="4"/>
    </row>
    <row collapsed="" customFormat="false" customHeight="1" hidden="" ht="14" outlineLevel="0" r="19141">
      <c r="A19141" s="3" t="inlineStr">
        <is>
          <t>19093</t>
        </is>
      </c>
      <c r="B19141" s="4" t="s">
        <f>=HYPERLINK("http://anyluxury.ru/shop/odezhda/rubashki-polo/rubashka-polo-muzhskaya-pasadena-men-200-s-kontrastnoy-otdelkoy-belaya-s-golubim-585167/" , "5851.67 Рубашка поло мужская PASADENA MEN 200 с контрастной отделкой белая с голубым, размер XXL")</f>
      </c>
      <c r="C19141" s="4" t="n">
        <v>2162.00</v>
      </c>
      <c r="D19141" s="4"/>
    </row>
    <row collapsed="" customFormat="false" customHeight="1" hidden="" ht="14" outlineLevel="0" r="19142">
      <c r="A19142" s="3" t="inlineStr">
        <is>
          <t>19094</t>
        </is>
      </c>
      <c r="B19142" s="4" t="s">
        <f>=HYPERLINK("http://anyluxury.ru/shop/odezhda/rubashki-polo/rubashka-polo-muzhskaya-pasadena-men-200-s-kontrastnoy-otdelkoy-belaya-s-golubim-585167/" , "5851.67 Рубашка поло мужская PASADENA MEN 200 с контрастной отделкой белая с голубым, размер 3XL")</f>
      </c>
      <c r="C19142" s="4" t="n">
        <v>2590.00</v>
      </c>
      <c r="D19142" s="4"/>
    </row>
    <row collapsed="" customFormat="false" customHeight="1" hidden="" ht="14" outlineLevel="0" r="19143">
      <c r="A19143" s="3" t="inlineStr">
        <is>
          <t>19095</t>
        </is>
      </c>
      <c r="B19143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S")</f>
      </c>
      <c r="C19143" s="4" t="n">
        <v>2162.00</v>
      </c>
      <c r="D19143" s="4"/>
    </row>
    <row collapsed="" customFormat="false" customHeight="1" hidden="" ht="14" outlineLevel="0" r="19144">
      <c r="A19144" s="3" t="inlineStr">
        <is>
          <t>19096</t>
        </is>
      </c>
      <c r="B19144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XXL")</f>
      </c>
      <c r="C19144" s="4" t="n">
        <v>2162.00</v>
      </c>
      <c r="D19144" s="4"/>
    </row>
    <row collapsed="" customFormat="false" customHeight="1" hidden="" ht="14" outlineLevel="0" r="19145">
      <c r="A19145" s="3" t="inlineStr">
        <is>
          <t>19097</t>
        </is>
      </c>
      <c r="B19145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3XL")</f>
      </c>
      <c r="C19145" s="4" t="n">
        <v>2590.00</v>
      </c>
      <c r="D19145" s="4"/>
    </row>
    <row collapsed="" customFormat="false" customHeight="1" hidden="" ht="14" outlineLevel="0" r="19146">
      <c r="A19146" s="3" t="inlineStr">
        <is>
          <t>19098</t>
        </is>
      </c>
      <c r="B19146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S")</f>
      </c>
      <c r="C19146" s="4" t="n">
        <v>2125.00</v>
      </c>
      <c r="D19146" s="4"/>
    </row>
    <row collapsed="" customFormat="false" customHeight="1" hidden="" ht="14" outlineLevel="0" r="19147">
      <c r="A19147" s="3" t="inlineStr">
        <is>
          <t>19099</t>
        </is>
      </c>
      <c r="B19147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L")</f>
      </c>
      <c r="C19147" s="4" t="n">
        <v>2125.00</v>
      </c>
      <c r="D19147" s="4"/>
    </row>
    <row collapsed="" customFormat="false" customHeight="1" hidden="" ht="14" outlineLevel="0" r="19148">
      <c r="A19148" s="3" t="inlineStr">
        <is>
          <t>19100</t>
        </is>
      </c>
      <c r="B19148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XL")</f>
      </c>
      <c r="C19148" s="4" t="n">
        <v>2125.00</v>
      </c>
      <c r="D19148" s="4"/>
    </row>
    <row collapsed="" customFormat="false" customHeight="1" hidden="" ht="14" outlineLevel="0" r="19149">
      <c r="A19149" s="3" t="inlineStr">
        <is>
          <t>19101</t>
        </is>
      </c>
      <c r="B19149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XXL")</f>
      </c>
      <c r="C19149" s="4" t="n">
        <v>2125.00</v>
      </c>
      <c r="D19149" s="4"/>
    </row>
    <row collapsed="" customFormat="false" customHeight="1" hidden="" ht="14" outlineLevel="0" r="19150">
      <c r="A19150" s="3" t="inlineStr">
        <is>
          <t>19102</t>
        </is>
      </c>
      <c r="B19150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S")</f>
      </c>
      <c r="C19150" s="4" t="n">
        <v>2125.00</v>
      </c>
      <c r="D19150" s="4"/>
    </row>
    <row collapsed="" customFormat="false" customHeight="1" hidden="" ht="14" outlineLevel="0" r="19151">
      <c r="A19151" s="3" t="inlineStr">
        <is>
          <t>19103</t>
        </is>
      </c>
      <c r="B19151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L")</f>
      </c>
      <c r="C19151" s="4" t="n">
        <v>2125.00</v>
      </c>
      <c r="D19151" s="4"/>
    </row>
    <row collapsed="" customFormat="false" customHeight="1" hidden="" ht="14" outlineLevel="0" r="19152">
      <c r="A19152" s="3" t="inlineStr">
        <is>
          <t>19104</t>
        </is>
      </c>
      <c r="B19152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XL")</f>
      </c>
      <c r="C19152" s="4" t="n">
        <v>2125.00</v>
      </c>
      <c r="D19152" s="4"/>
    </row>
    <row collapsed="" customFormat="false" customHeight="1" hidden="" ht="14" outlineLevel="0" r="19153">
      <c r="A19153" s="3" t="inlineStr">
        <is>
          <t>19105</t>
        </is>
      </c>
      <c r="B19153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XXL")</f>
      </c>
      <c r="C19153" s="4" t="n">
        <v>2125.00</v>
      </c>
      <c r="D19153" s="4"/>
    </row>
    <row collapsed="" customFormat="false" customHeight="1" hidden="" ht="14" outlineLevel="0" r="19154">
      <c r="A19154" s="3" t="inlineStr">
        <is>
          <t>19106</t>
        </is>
      </c>
      <c r="B19154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S")</f>
      </c>
      <c r="C19154" s="4" t="n">
        <v>2125.00</v>
      </c>
      <c r="D19154" s="4"/>
    </row>
    <row collapsed="" customFormat="false" customHeight="1" hidden="" ht="14" outlineLevel="0" r="19155">
      <c r="A19155" s="3" t="inlineStr">
        <is>
          <t>19107</t>
        </is>
      </c>
      <c r="B19155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L")</f>
      </c>
      <c r="C19155" s="4" t="n">
        <v>2125.00</v>
      </c>
      <c r="D19155" s="4"/>
    </row>
    <row collapsed="" customFormat="false" customHeight="1" hidden="" ht="14" outlineLevel="0" r="19156">
      <c r="A19156" s="3" t="inlineStr">
        <is>
          <t>19108</t>
        </is>
      </c>
      <c r="B19156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XL")</f>
      </c>
      <c r="C19156" s="4" t="n">
        <v>2125.00</v>
      </c>
      <c r="D19156" s="4"/>
    </row>
    <row collapsed="" customFormat="false" customHeight="1" hidden="" ht="14" outlineLevel="0" r="19157">
      <c r="A19157" s="3" t="inlineStr">
        <is>
          <t>19109</t>
        </is>
      </c>
      <c r="B19157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XXL")</f>
      </c>
      <c r="C19157" s="4" t="n">
        <v>2125.00</v>
      </c>
      <c r="D19157" s="4"/>
    </row>
    <row collapsed="" customFormat="false" customHeight="1" hidden="" ht="14" outlineLevel="0" r="19158">
      <c r="A19158" s="3" t="inlineStr">
        <is>
          <t>19110</t>
        </is>
      </c>
      <c r="B19158" s="4" t="s">
        <f>=HYPERLINK("http://anyluxury.ru/shop/odezhda/rubashki-polo/rubashka-polo-zhenskaya-pasadena-women-200-s-kontrastnoy-otdelkoy-krasnaya-s-belim-585258/" , "5852.58 Рубашка поло женская PASADENA WOMEN 200 с контрастной отделкой красная с белым, размер XXL")</f>
      </c>
      <c r="C19158" s="4" t="n">
        <v>2125.00</v>
      </c>
      <c r="D19158" s="4"/>
    </row>
    <row collapsed="" customFormat="false" customHeight="1" hidden="" ht="14" outlineLevel="0" r="19159">
      <c r="A19159" s="3" t="inlineStr">
        <is>
          <t>19111</t>
        </is>
      </c>
      <c r="B19159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S")</f>
      </c>
      <c r="C19159" s="4" t="n">
        <v>2125.00</v>
      </c>
      <c r="D19159" s="4"/>
    </row>
    <row collapsed="" customFormat="false" customHeight="1" hidden="" ht="14" outlineLevel="0" r="19160">
      <c r="A19160" s="3" t="inlineStr">
        <is>
          <t>19112</t>
        </is>
      </c>
      <c r="B19160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XL")</f>
      </c>
      <c r="C19160" s="4" t="n">
        <v>2125.00</v>
      </c>
      <c r="D19160" s="4"/>
    </row>
    <row collapsed="" customFormat="false" customHeight="1" hidden="" ht="14" outlineLevel="0" r="19161">
      <c r="A19161" s="3" t="inlineStr">
        <is>
          <t>19113</t>
        </is>
      </c>
      <c r="B19161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XXL")</f>
      </c>
      <c r="C19161" s="4" t="n">
        <v>2125.00</v>
      </c>
      <c r="D19161" s="4"/>
    </row>
    <row collapsed="" customFormat="false" customHeight="1" hidden="" ht="14" outlineLevel="0" r="19162">
      <c r="A19162" s="3" t="inlineStr">
        <is>
          <t>19114</t>
        </is>
      </c>
      <c r="B19162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L")</f>
      </c>
      <c r="C19162" s="4" t="n">
        <v>2125.00</v>
      </c>
      <c r="D19162" s="4"/>
    </row>
    <row collapsed="" customFormat="false" customHeight="1" hidden="" ht="14" outlineLevel="0" r="19163">
      <c r="A19163" s="3" t="inlineStr">
        <is>
          <t>19115</t>
        </is>
      </c>
      <c r="B19163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XL")</f>
      </c>
      <c r="C19163" s="4" t="n">
        <v>2125.00</v>
      </c>
      <c r="D19163" s="4"/>
    </row>
    <row collapsed="" customFormat="false" customHeight="1" hidden="" ht="14" outlineLevel="0" r="19164">
      <c r="A19164" s="3" t="inlineStr">
        <is>
          <t>19116</t>
        </is>
      </c>
      <c r="B19164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XXL")</f>
      </c>
      <c r="C19164" s="4" t="n">
        <v>2125.00</v>
      </c>
      <c r="D19164" s="4"/>
    </row>
    <row collapsed="" customFormat="false" customHeight="1" hidden="" ht="14" outlineLevel="0" r="19165">
      <c r="A19165" s="3" t="inlineStr">
        <is>
          <t>19117</t>
        </is>
      </c>
      <c r="B19165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S")</f>
      </c>
      <c r="C19165" s="4" t="n">
        <v>2125.00</v>
      </c>
      <c r="D19165" s="4"/>
    </row>
    <row collapsed="" customFormat="false" customHeight="1" hidden="" ht="14" outlineLevel="0" r="19166">
      <c r="A19166" s="3" t="inlineStr">
        <is>
          <t>19118</t>
        </is>
      </c>
      <c r="B19166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L")</f>
      </c>
      <c r="C19166" s="4" t="n">
        <v>2125.00</v>
      </c>
      <c r="D19166" s="4"/>
    </row>
    <row collapsed="" customFormat="false" customHeight="1" hidden="" ht="14" outlineLevel="0" r="19167">
      <c r="A19167" s="3" t="inlineStr">
        <is>
          <t>19119</t>
        </is>
      </c>
      <c r="B19167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XL")</f>
      </c>
      <c r="C19167" s="4" t="n">
        <v>2125.00</v>
      </c>
      <c r="D19167" s="4"/>
    </row>
    <row collapsed="" customFormat="false" customHeight="1" hidden="" ht="14" outlineLevel="0" r="19168">
      <c r="A19168" s="3" t="inlineStr">
        <is>
          <t>19120</t>
        </is>
      </c>
      <c r="B19168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XXL")</f>
      </c>
      <c r="C19168" s="4" t="n">
        <v>2125.00</v>
      </c>
      <c r="D19168" s="4"/>
    </row>
    <row collapsed="" customFormat="false" customHeight="1" hidden="" ht="14" outlineLevel="0" r="19169">
      <c r="A19169" s="3" t="inlineStr">
        <is>
          <t>19121</t>
        </is>
      </c>
      <c r="B19169" s="4" t="s">
        <f>=HYPERLINK("http://anyluxury.ru/shop/odezhda/rubashki-polo/rubashka-polo-zhenskaya-passion-170-bezhevaya-479810/" , "4798.10 Рубашка поло женская PASSION 170 бежевая, размер S")</f>
      </c>
      <c r="C19169" s="4" t="n">
        <v>1108.00</v>
      </c>
      <c r="D19169" s="4"/>
    </row>
    <row collapsed="" customFormat="false" customHeight="1" hidden="" ht="14" outlineLevel="0" r="19170">
      <c r="A19170" s="3" t="inlineStr">
        <is>
          <t>19122</t>
        </is>
      </c>
      <c r="B19170" s="4" t="s">
        <f>=HYPERLINK("http://anyluxury.ru/shop/odezhda/rubashki-polo/rubashka-polo-zhenskaya-passion-170-bezhevaya-479810/" , "4798.10 Рубашка поло женская PASSION 170 бежевая, размер M")</f>
      </c>
      <c r="C19170" s="4" t="n">
        <v>1108.00</v>
      </c>
      <c r="D19170" s="4"/>
    </row>
    <row collapsed="" customFormat="false" customHeight="1" hidden="" ht="14" outlineLevel="0" r="19171">
      <c r="A19171" s="3" t="inlineStr">
        <is>
          <t>19123</t>
        </is>
      </c>
      <c r="B19171" s="4" t="s">
        <f>=HYPERLINK("http://anyluxury.ru/shop/odezhda/rubashki-polo/rubashka-polo-zhenskaya-passion-170-bezhevaya-479810/" , "4798.10 Рубашка поло женская PASSION 170, бежевая, размер L")</f>
      </c>
      <c r="C19171" s="4" t="n">
        <v>1108.00</v>
      </c>
      <c r="D19171" s="4"/>
    </row>
    <row collapsed="" customFormat="false" customHeight="1" hidden="" ht="14" outlineLevel="0" r="19172">
      <c r="A19172" s="3" t="inlineStr">
        <is>
          <t>19124</t>
        </is>
      </c>
      <c r="B19172" s="4" t="s">
        <f>=HYPERLINK("http://anyluxury.ru/shop/odezhda/rubashki-polo/rubashka-polo-zhenskaya-passion-170-bezhevaya-479810/" , "4798.10 Рубашка поло женская PASSION 170 бежевая, размер XL")</f>
      </c>
      <c r="C19172" s="4" t="n">
        <v>1108.00</v>
      </c>
      <c r="D19172" s="4"/>
    </row>
    <row collapsed="" customFormat="false" customHeight="1" hidden="" ht="14" outlineLevel="0" r="19173">
      <c r="A19173" s="3" t="inlineStr">
        <is>
          <t>19125</t>
        </is>
      </c>
      <c r="B19173" s="4" t="s">
        <f>=HYPERLINK("http://anyluxury.ru/shop/odezhda/rubashki-polo/rubashka-polo-zhenskaya-passion-170-bezhevaya-479810/" , "4798.10 Рубашка поло женская PASSION 170, бежевая, размер XXL")</f>
      </c>
      <c r="C19173" s="4" t="n">
        <v>1108.00</v>
      </c>
      <c r="D19173" s="4"/>
    </row>
    <row collapsed="" customFormat="false" customHeight="1" hidden="" ht="14" outlineLevel="0" r="19174">
      <c r="A19174" s="3" t="inlineStr">
        <is>
          <t>19126</t>
        </is>
      </c>
      <c r="B19174" s="4" t="s">
        <f>=HYPERLINK("http://anyluxury.ru/shop/odezhda/rubashki-polo/rubashka-polo-zhenskaya-passion-170-yarkobiryuzovaya-479843/" , "4798.43 Рубашка поло женская PASSION 170 ярко-бирюзовая, размер S")</f>
      </c>
      <c r="C19174" s="4" t="n">
        <v>1108.00</v>
      </c>
      <c r="D19174" s="4"/>
    </row>
    <row collapsed="" customFormat="false" customHeight="1" hidden="" ht="14" outlineLevel="0" r="19175">
      <c r="A19175" s="3" t="inlineStr">
        <is>
          <t>19127</t>
        </is>
      </c>
      <c r="B19175" s="4" t="s">
        <f>=HYPERLINK("http://anyluxury.ru/shop/odezhda/rubashki-polo/rubashka-polo-zhenskaya-passion-170-yarkobiryuzovaya-479843/" , "4798.43 Рубашка поло женская PASSION 170 ярко-бирюзовая, размер M")</f>
      </c>
      <c r="C19175" s="4" t="n">
        <v>1108.00</v>
      </c>
      <c r="D19175" s="4"/>
    </row>
    <row collapsed="" customFormat="false" customHeight="1" hidden="" ht="14" outlineLevel="0" r="19176">
      <c r="A19176" s="3" t="inlineStr">
        <is>
          <t>19128</t>
        </is>
      </c>
      <c r="B19176" s="4" t="s">
        <f>=HYPERLINK("http://anyluxury.ru/shop/odezhda/rubashki-polo/rubashka-polo-zhenskaya-passion-170-yarkobiryuzovaya-479843/" , "4798.43 Рубашка поло женская PASSION 170 ярко-бирюзовая, размер L")</f>
      </c>
      <c r="C19176" s="4" t="n">
        <v>1108.00</v>
      </c>
      <c r="D19176" s="4"/>
    </row>
    <row collapsed="" customFormat="false" customHeight="1" hidden="" ht="14" outlineLevel="0" r="19177">
      <c r="A19177" s="3" t="inlineStr">
        <is>
          <t>19129</t>
        </is>
      </c>
      <c r="B19177" s="4" t="s">
        <f>=HYPERLINK("http://anyluxury.ru/shop/odezhda/rubashki-polo/rubashka-polo-zhenskaya-passion-170-yarkobiryuzovaya-479843/" , "4798.43 Рубашка поло женская PASSION 170 ярко-бирюзовая, размер XL")</f>
      </c>
      <c r="C19177" s="4" t="n">
        <v>1108.00</v>
      </c>
      <c r="D19177" s="4"/>
    </row>
    <row collapsed="" customFormat="false" customHeight="1" hidden="" ht="14" outlineLevel="0" r="19178">
      <c r="A19178" s="3" t="inlineStr">
        <is>
          <t>19130</t>
        </is>
      </c>
      <c r="B19178" s="4" t="s">
        <f>=HYPERLINK("http://anyluxury.ru/shop/odezhda/rubashki-polo/rubashka-polo-zhenskaya-passion-170-yarkobiryuzovaya-479843/" , "4798.43 Рубашка поло женская PASSION 170 ярко-бирюзовая, размер XXL")</f>
      </c>
      <c r="C19178" s="4" t="n">
        <v>1108.00</v>
      </c>
      <c r="D19178" s="4"/>
    </row>
    <row collapsed="" customFormat="false" customHeight="1" hidden="" ht="14" outlineLevel="0" r="19179">
      <c r="A19179" s="3" t="inlineStr">
        <is>
          <t>19131</t>
        </is>
      </c>
      <c r="B19179" s="4" t="s">
        <f>=HYPERLINK("http://anyluxury.ru/shop/odezhda/rubashki-polo/rubashka-polo-zhenskaya-passion-170-bordovaya-479855/" , "4798.55 Рубашка поло женская PASSION 170 бордовая, размер S")</f>
      </c>
      <c r="C19179" s="4" t="n">
        <v>1108.00</v>
      </c>
      <c r="D19179" s="4"/>
    </row>
    <row collapsed="" customFormat="false" customHeight="1" hidden="" ht="14" outlineLevel="0" r="19180">
      <c r="A19180" s="3" t="inlineStr">
        <is>
          <t>19132</t>
        </is>
      </c>
      <c r="B19180" s="4" t="s">
        <f>=HYPERLINK("http://anyluxury.ru/shop/odezhda/rubashki-polo/rubashka-polo-zhenskaya-passion-170-bordovaya-479855/" , "4798.55 Рубашка поло женская PASSION 170 бордовая, размер M")</f>
      </c>
      <c r="C19180" s="4" t="n">
        <v>1108.00</v>
      </c>
      <c r="D19180" s="4"/>
    </row>
    <row collapsed="" customFormat="false" customHeight="1" hidden="" ht="14" outlineLevel="0" r="19181">
      <c r="A19181" s="3" t="inlineStr">
        <is>
          <t>19133</t>
        </is>
      </c>
      <c r="B19181" s="4" t="s">
        <f>=HYPERLINK("http://anyluxury.ru/shop/odezhda/rubashki-polo/rubashka-polo-zhenskaya-passion-170-bordovaya-479855/" , "4798.55 Рубашка поло женская PASSION 170 бордовая, размер L")</f>
      </c>
      <c r="C19181" s="4" t="n">
        <v>1108.00</v>
      </c>
      <c r="D19181" s="4"/>
    </row>
    <row collapsed="" customFormat="false" customHeight="1" hidden="" ht="14" outlineLevel="0" r="19182">
      <c r="A19182" s="3" t="inlineStr">
        <is>
          <t>19134</t>
        </is>
      </c>
      <c r="B19182" s="4" t="s">
        <f>=HYPERLINK("http://anyluxury.ru/shop/odezhda/rubashki-polo/rubashka-polo-zhenskaya-passion-170-bordovaya-479855/" , "4798.55 Рубашка поло женская PASSION 170 бордовая, размер XL")</f>
      </c>
      <c r="C19182" s="4" t="n">
        <v>1108.00</v>
      </c>
      <c r="D19182" s="4"/>
    </row>
    <row collapsed="" customFormat="false" customHeight="1" hidden="" ht="14" outlineLevel="0" r="19183">
      <c r="A19183" s="3" t="inlineStr">
        <is>
          <t>19135</t>
        </is>
      </c>
      <c r="B19183" s="4" t="s">
        <f>=HYPERLINK("http://anyluxury.ru/shop/odezhda/rubashki-polo/rubashka-polo-zhenskaya-passion-170-bordovaya-479855/" , "4798.55 Рубашка поло женская PASSION 170 бордовая, размер XXL")</f>
      </c>
      <c r="C19183" s="4" t="n">
        <v>1108.00</v>
      </c>
      <c r="D19183" s="4"/>
    </row>
    <row collapsed="" customFormat="false" customHeight="1" hidden="" ht="14" outlineLevel="0" r="19184">
      <c r="A19184" s="3" t="inlineStr">
        <is>
          <t>19136</t>
        </is>
      </c>
      <c r="B19184" s="4" t="s">
        <f>=HYPERLINK("http://anyluxury.ru/shop/odezhda/rubashki-polo/rubashka-polo-zhenskaya-passion-170-shokoladnokorichnevaya-479859/" , "4798.59 Рубашка поло женская PASSION 170 шоколадно-коричневая, размер S")</f>
      </c>
      <c r="C19184" s="4" t="n">
        <v>1108.00</v>
      </c>
      <c r="D19184" s="4"/>
    </row>
    <row collapsed="" customFormat="false" customHeight="1" hidden="" ht="14" outlineLevel="0" r="19185">
      <c r="A19185" s="3" t="inlineStr">
        <is>
          <t>19137</t>
        </is>
      </c>
      <c r="B19185" s="4" t="s">
        <f>=HYPERLINK("http://anyluxury.ru/shop/odezhda/rubashki-polo/rubashka-polo-zhenskaya-passion-170-shokoladnokorichnevaya-479859/" , "4798.59 Рубашка поло женская PASSION 170 шоколадно-коричневая, размер M")</f>
      </c>
      <c r="C19185" s="4" t="n">
        <v>1108.00</v>
      </c>
      <c r="D19185" s="4"/>
    </row>
    <row collapsed="" customFormat="false" customHeight="1" hidden="" ht="14" outlineLevel="0" r="19186">
      <c r="A19186" s="3" t="inlineStr">
        <is>
          <t>19138</t>
        </is>
      </c>
      <c r="B19186" s="4" t="s">
        <f>=HYPERLINK("http://anyluxury.ru/shop/odezhda/rubashki-polo/rubashka-polo-zhenskaya-passion-170-shokoladnokorichnevaya-479859/" , "4798.59 Рубашка поло женская PASSION 170 шоколадно-коричневая, размер L")</f>
      </c>
      <c r="C19186" s="4" t="n">
        <v>1108.00</v>
      </c>
      <c r="D19186" s="4"/>
    </row>
    <row collapsed="" customFormat="false" customHeight="1" hidden="" ht="14" outlineLevel="0" r="19187">
      <c r="A19187" s="3" t="inlineStr">
        <is>
          <t>19139</t>
        </is>
      </c>
      <c r="B19187" s="4" t="s">
        <f>=HYPERLINK("http://anyluxury.ru/shop/odezhda/rubashki-polo/rubashka-polo-zhenskaya-passion-170-shokoladnokorichnevaya-479859/" , "4798.59 Рубашка поло женская PASSION 170 шоколадно-коричневая, размер XL")</f>
      </c>
      <c r="C19187" s="4" t="n">
        <v>1108.00</v>
      </c>
      <c r="D19187" s="4"/>
    </row>
    <row collapsed="" customFormat="false" customHeight="1" hidden="" ht="14" outlineLevel="0" r="19188">
      <c r="A19188" s="3" t="inlineStr">
        <is>
          <t>19140</t>
        </is>
      </c>
      <c r="B19188" s="4" t="s">
        <f>=HYPERLINK("http://anyluxury.ru/shop/odezhda/rubashki-polo/rubashka-polo-zhenskaya-passion-170-shokoladnokorichnevaya-479859/" , "4798.59 Рубашка поло женская PASSION 170 шоколадно-коричневая, размер XXL")</f>
      </c>
      <c r="C19188" s="4" t="n">
        <v>1108.00</v>
      </c>
      <c r="D19188" s="4"/>
    </row>
    <row collapsed="" customFormat="false" customHeight="1" hidden="" ht="14" outlineLevel="0" r="19189">
      <c r="A19189" s="3" t="inlineStr">
        <is>
          <t>19141</t>
        </is>
      </c>
      <c r="B19189" s="4" t="s">
        <f>=HYPERLINK("http://anyluxury.ru/shop/odezhda/rubashki-polo/rubashka-polo-zhenskaya-passion-170-temnofioletovaya-479878/" , "4798.78 Рубашка поло женская PASSION 170 темно-фиолетовая, размер S")</f>
      </c>
      <c r="C19189" s="4" t="n">
        <v>1072.00</v>
      </c>
      <c r="D19189" s="4"/>
    </row>
    <row collapsed="" customFormat="false" customHeight="1" hidden="" ht="14" outlineLevel="0" r="19190">
      <c r="A19190" s="3" t="inlineStr">
        <is>
          <t>19142</t>
        </is>
      </c>
      <c r="B19190" s="4" t="s">
        <f>=HYPERLINK("http://anyluxury.ru/shop/odezhda/rubashki-polo/rubashka-polo-zhenskaya-passion-170-temnofioletovaya-479878/" , "4798.78 Рубашка поло женская PASSION 170 темно-фиолетовая, размер M")</f>
      </c>
      <c r="C19190" s="4" t="n">
        <v>1072.00</v>
      </c>
      <c r="D19190" s="4"/>
    </row>
    <row collapsed="" customFormat="false" customHeight="1" hidden="" ht="14" outlineLevel="0" r="19191">
      <c r="A19191" s="3" t="inlineStr">
        <is>
          <t>19143</t>
        </is>
      </c>
      <c r="B19191" s="4" t="s">
        <f>=HYPERLINK("http://anyluxury.ru/shop/odezhda/rubashki-polo/rubashka-polo-zhenskaya-passion-170-temnofioletovaya-479878/" , "4798.78 Рубашка поло женская PASSION 170 темно-фиолетовая, размер L")</f>
      </c>
      <c r="C19191" s="4" t="n">
        <v>1072.00</v>
      </c>
      <c r="D19191" s="4"/>
    </row>
    <row collapsed="" customFormat="false" customHeight="1" hidden="" ht="14" outlineLevel="0" r="19192">
      <c r="A19192" s="3" t="inlineStr">
        <is>
          <t>19144</t>
        </is>
      </c>
      <c r="B19192" s="4" t="s">
        <f>=HYPERLINK("http://anyluxury.ru/shop/odezhda/rubashki-polo/rubashka-polo-zhenskaya-passion-170-temnofioletovaya-479878/" , "4798.78 Рубашка поло женская PASSION 170 темно-фиолетовая, размер XL")</f>
      </c>
      <c r="C19192" s="4" t="n">
        <v>1072.00</v>
      </c>
      <c r="D19192" s="4"/>
    </row>
    <row collapsed="" customFormat="false" customHeight="1" hidden="" ht="14" outlineLevel="0" r="19193">
      <c r="A19193" s="3" t="inlineStr">
        <is>
          <t>19145</t>
        </is>
      </c>
      <c r="B19193" s="4" t="s">
        <f>=HYPERLINK("http://anyluxury.ru/shop/odezhda/rubashki-polo/rubashka-polo-zhenskaya-passion-170-temnofioletovaya-479878/" , "4798.78 Рубашка поло женская PASSION 170 темно-фиолетовая, размер XXL")</f>
      </c>
      <c r="C19193" s="4" t="n">
        <v>1072.00</v>
      </c>
      <c r="D19193" s="4"/>
    </row>
    <row collapsed="" customFormat="false" customHeight="1" hidden="" ht="14" outlineLevel="0" r="19194">
      <c r="A19194" s="3" t="inlineStr">
        <is>
          <t>19146</t>
        </is>
      </c>
      <c r="B19194" s="4" t="s">
        <f>=HYPERLINK("http://anyluxury.ru/shop/odezhda/rubashki-polo/rubashka-polo-zhenskaya-passion-170-temnozelenaya-479891/" , "4798.91 Рубашка поло женская PASSION 170 темно-зеленая, размер S")</f>
      </c>
      <c r="C19194" s="4" t="n">
        <v>1072.00</v>
      </c>
      <c r="D19194" s="4"/>
    </row>
    <row collapsed="" customFormat="false" customHeight="1" hidden="" ht="14" outlineLevel="0" r="19195">
      <c r="A19195" s="3" t="inlineStr">
        <is>
          <t>19147</t>
        </is>
      </c>
      <c r="B19195" s="4" t="s">
        <f>=HYPERLINK("http://anyluxury.ru/shop/odezhda/rubashki-polo/rubashka-polo-zhenskaya-passion-170-temnozelenaya-479891/" , "4798.91 Рубашка поло женская PASSION 170 темно-зеленая, размер M")</f>
      </c>
      <c r="C19195" s="4" t="n">
        <v>1072.00</v>
      </c>
      <c r="D19195" s="4"/>
    </row>
    <row collapsed="" customFormat="false" customHeight="1" hidden="" ht="14" outlineLevel="0" r="19196">
      <c r="A19196" s="3" t="inlineStr">
        <is>
          <t>19148</t>
        </is>
      </c>
      <c r="B19196" s="4" t="s">
        <f>=HYPERLINK("http://anyluxury.ru/shop/odezhda/rubashki-polo/rubashka-polo-zhenskaya-passion-170-temnozelenaya-479891/" , "4798.91 Рубашка поло женская PASSION 170 темно-зеленая, размер L")</f>
      </c>
      <c r="C19196" s="4" t="n">
        <v>1072.00</v>
      </c>
      <c r="D19196" s="4"/>
    </row>
    <row collapsed="" customFormat="false" customHeight="1" hidden="" ht="14" outlineLevel="0" r="19197">
      <c r="A19197" s="3" t="inlineStr">
        <is>
          <t>19149</t>
        </is>
      </c>
      <c r="B19197" s="4" t="s">
        <f>=HYPERLINK("http://anyluxury.ru/shop/odezhda/rubashki-polo/rubashka-polo-zhenskaya-passion-170-temnozelenaya-479891/" , "4798.91 Рубашка поло женская PASSION 170 темно-зеленая, размер XL")</f>
      </c>
      <c r="C19197" s="4" t="n">
        <v>1072.00</v>
      </c>
      <c r="D19197" s="4"/>
    </row>
    <row collapsed="" customFormat="false" customHeight="1" hidden="" ht="14" outlineLevel="0" r="19198">
      <c r="A19198" s="3" t="inlineStr">
        <is>
          <t>19150</t>
        </is>
      </c>
      <c r="B19198" s="4" t="s">
        <f>=HYPERLINK("http://anyluxury.ru/shop/odezhda/rubashki-polo/rubashka-polo-zhenskaya-passion-170-temnozelenaya-479891/" , "4798.91 Рубашка поло женская PASSION 170 темно-зеленая, размер XXL")</f>
      </c>
      <c r="C19198" s="4" t="n">
        <v>1072.00</v>
      </c>
      <c r="D19198" s="4"/>
    </row>
    <row collapsed="" customFormat="false" customHeight="1" hidden="" ht="14" outlineLevel="0" r="19199">
      <c r="A19199" s="3" t="inlineStr">
        <is>
          <t>19151</t>
        </is>
      </c>
      <c r="B19199" s="4" t="s">
        <f>=HYPERLINK("http://anyluxury.ru/shop/odezhda/rubashki-polo/rubashka-polo-muzhskaya-patriot-200-bordovaya-597255/" , "5972.55 Рубашка поло мужская PATRIOT 200 бордовая, размер S")</f>
      </c>
      <c r="C19199" s="4" t="n">
        <v>2365.00</v>
      </c>
      <c r="D19199" s="4"/>
    </row>
    <row collapsed="" customFormat="false" customHeight="1" hidden="" ht="14" outlineLevel="0" r="19200">
      <c r="A19200" s="3" t="inlineStr">
        <is>
          <t>19152</t>
        </is>
      </c>
      <c r="B19200" s="4" t="s">
        <f>=HYPERLINK("http://anyluxury.ru/shop/odezhda/rubashki-polo/rubashka-polo-muzhskaya-patriot-200-bordovaya-597255/" , "5972.55 Рубашка поло мужская PATRIOT 200 бордовая, размер M")</f>
      </c>
      <c r="C19200" s="4" t="n">
        <v>2365.00</v>
      </c>
      <c r="D19200" s="4"/>
    </row>
    <row collapsed="" customFormat="false" customHeight="1" hidden="" ht="14" outlineLevel="0" r="19201">
      <c r="A19201" s="3" t="inlineStr">
        <is>
          <t>19153</t>
        </is>
      </c>
      <c r="B19201" s="4" t="s">
        <f>=HYPERLINK("http://anyluxury.ru/shop/odezhda/rubashki-polo/rubashka-polo-muzhskaya-patriot-200-bordovaya-597255/" , "5972.55 Рубашка поло мужская PATRIOT 200 бордовая, размер L")</f>
      </c>
      <c r="C19201" s="4" t="n">
        <v>2365.00</v>
      </c>
      <c r="D19201" s="4"/>
    </row>
    <row collapsed="" customFormat="false" customHeight="1" hidden="" ht="14" outlineLevel="0" r="19202">
      <c r="A19202" s="3" t="inlineStr">
        <is>
          <t>19154</t>
        </is>
      </c>
      <c r="B19202" s="4" t="s">
        <f>=HYPERLINK("http://anyluxury.ru/shop/odezhda/rubashki-polo/rubashka-polo-muzhskaya-patriot-200-bordovaya-597255/" , "5972.55 Рубашка поло мужская PATRIOT 200 бордовая, размер XL")</f>
      </c>
      <c r="C19202" s="4" t="n">
        <v>2365.00</v>
      </c>
      <c r="D19202" s="4"/>
    </row>
    <row collapsed="" customFormat="false" customHeight="1" hidden="" ht="14" outlineLevel="0" r="19203">
      <c r="A19203" s="3" t="inlineStr">
        <is>
          <t>19155</t>
        </is>
      </c>
      <c r="B19203" s="4" t="s">
        <f>=HYPERLINK("http://anyluxury.ru/shop/odezhda/rubashki-polo/rubashka-polo-muzhskaya-patriot-200-bordovaya-597255/" , "5972.55 Рубашка поло мужская PATRIOT 200 бордовая, размер XXL")</f>
      </c>
      <c r="C19203" s="4" t="n">
        <v>2365.00</v>
      </c>
      <c r="D19203" s="4"/>
    </row>
    <row collapsed="" customFormat="false" customHeight="1" hidden="" ht="14" outlineLevel="0" r="19204">
      <c r="A19204" s="3" t="inlineStr">
        <is>
          <t>19156</t>
        </is>
      </c>
      <c r="B19204" s="4" t="s">
        <f>=HYPERLINK("http://anyluxury.ru/shop/odezhda/rubashki-polo/rubashka-polo-muzhskaya-patriot-200-bordovaya-597255/" , "5972.55 Рубашка поло мужская PATRIOT 200 бордовая, размер 3XL")</f>
      </c>
      <c r="C19204" s="4" t="n">
        <v>2827.00</v>
      </c>
      <c r="D19204" s="4"/>
    </row>
    <row collapsed="" customFormat="false" customHeight="1" hidden="" ht="14" outlineLevel="0" r="19205">
      <c r="A19205" s="3" t="inlineStr">
        <is>
          <t>19157</t>
        </is>
      </c>
      <c r="B19205" s="4" t="s">
        <f>=HYPERLINK("http://anyluxury.ru/shop/odezhda/rubashki-polo/rubashka-polo-zhenskaya-people-210-shokoladnokorichnevaya-189559/" , "1895.59 Рубашка поло женская PEOPLE 210 шоколадно-коричневая, размер S")</f>
      </c>
      <c r="C19205" s="4" t="n">
        <v>1727.00</v>
      </c>
      <c r="D19205" s="4"/>
    </row>
    <row collapsed="" customFormat="false" customHeight="1" hidden="" ht="14" outlineLevel="0" r="19206">
      <c r="A19206" s="3" t="inlineStr">
        <is>
          <t>19158</t>
        </is>
      </c>
      <c r="B19206" s="4" t="s">
        <f>=HYPERLINK("http://anyluxury.ru/shop/odezhda/rubashki-polo/rubashka-polo-zhenskaya-people-210-shokoladnokorichnevaya-189559/" , "1895.59 Рубашка поло женская PEOPLE 210 шоколадно-коричневая, размер M")</f>
      </c>
      <c r="C19206" s="4" t="n">
        <v>1727.00</v>
      </c>
      <c r="D19206" s="4"/>
    </row>
    <row collapsed="" customFormat="false" customHeight="1" hidden="" ht="14" outlineLevel="0" r="19207">
      <c r="A19207" s="3" t="inlineStr">
        <is>
          <t>19159</t>
        </is>
      </c>
      <c r="B19207" s="4" t="s">
        <f>=HYPERLINK("http://anyluxury.ru/shop/odezhda/rubashki-polo/rubashka-polo-zhenskaya-people-210-shokoladnokorichnevaya-189559/" , "1895.59 Рубашка поло женская PEOPLE 210 шоколадно-коричневая, размер L")</f>
      </c>
      <c r="C19207" s="4" t="n">
        <v>1727.00</v>
      </c>
      <c r="D19207" s="4"/>
    </row>
    <row collapsed="" customFormat="false" customHeight="1" hidden="" ht="14" outlineLevel="0" r="19208">
      <c r="A19208" s="3" t="inlineStr">
        <is>
          <t>19160</t>
        </is>
      </c>
      <c r="B19208" s="4" t="s">
        <f>=HYPERLINK("http://anyluxury.ru/shop/odezhda/rubashki-polo/rubashka-polo-zhenskaya-people-210-shokoladnokorichnevaya-189559/" , "1895.59 Рубашка поло женская PEOPLE 210 шоколадно-коричневая, размер XL")</f>
      </c>
      <c r="C19208" s="4" t="n">
        <v>1727.00</v>
      </c>
      <c r="D19208" s="4"/>
    </row>
    <row collapsed="" customFormat="false" customHeight="1" hidden="" ht="14" outlineLevel="0" r="19209">
      <c r="A19209" s="3" t="inlineStr">
        <is>
          <t>19161</t>
        </is>
      </c>
      <c r="B19209" s="4" t="s">
        <f>=HYPERLINK("http://anyluxury.ru/shop/odezhda/rubashki-polo/rubashka-polo-zhenskaya-people-210-shokoladnokorichnevaya-189559/" , "1895.59 Рубашка поло женская PEOPLE 210 шоколадно-коричневая, размер XXL")</f>
      </c>
      <c r="C19209" s="4" t="n">
        <v>1727.00</v>
      </c>
      <c r="D19209" s="4"/>
    </row>
    <row collapsed="" customFormat="false" customHeight="1" hidden="" ht="14" outlineLevel="0" r="19210">
      <c r="A19210" s="3" t="inlineStr">
        <is>
          <t>19162</t>
        </is>
      </c>
      <c r="B19210" s="4" t="s">
        <f>=HYPERLINK("http://anyluxury.ru/shop/odezhda/rubashki-polo/rubashka-polo-zhenskaya-people-210-haki-189599/" , "1895.99 Рубашка поло женская PEOPLE 210 хаки, размер S")</f>
      </c>
      <c r="C19210" s="4" t="n">
        <v>1727.00</v>
      </c>
      <c r="D19210" s="4"/>
    </row>
    <row collapsed="" customFormat="false" customHeight="1" hidden="" ht="14" outlineLevel="0" r="19211">
      <c r="A19211" s="3" t="inlineStr">
        <is>
          <t>19163</t>
        </is>
      </c>
      <c r="B19211" s="4" t="s">
        <f>=HYPERLINK("http://anyluxury.ru/shop/odezhda/rubashki-polo/rubashka-polo-zhenskaya-people-210-haki-189599/" , "1895.99 Рубашка поло женская PEOPLE 210 хаки, размер M")</f>
      </c>
      <c r="C19211" s="4" t="n">
        <v>1727.00</v>
      </c>
      <c r="D19211" s="4"/>
    </row>
    <row collapsed="" customFormat="false" customHeight="1" hidden="" ht="14" outlineLevel="0" r="19212">
      <c r="A19212" s="3" t="inlineStr">
        <is>
          <t>19164</t>
        </is>
      </c>
      <c r="B19212" s="4" t="s">
        <f>=HYPERLINK("http://anyluxury.ru/shop/odezhda/rubashki-polo/rubashka-polo-zhenskaya-people-210-haki-189599/" , "1895.99 Рубашка поло женская PEOPLE 210 хаки, размер L")</f>
      </c>
      <c r="C19212" s="4" t="n">
        <v>1727.00</v>
      </c>
      <c r="D19212" s="4"/>
    </row>
    <row collapsed="" customFormat="false" customHeight="1" hidden="" ht="14" outlineLevel="0" r="19213">
      <c r="A19213" s="3" t="inlineStr">
        <is>
          <t>19165</t>
        </is>
      </c>
      <c r="B19213" s="4" t="s">
        <f>=HYPERLINK("http://anyluxury.ru/shop/odezhda/rubashki-polo/rubashka-polo-zhenskaya-people-210-haki-189599/" , "1895.99 Рубашка поло женская PEOPLE 210 хаки, размер XL")</f>
      </c>
      <c r="C19213" s="4" t="n">
        <v>1727.00</v>
      </c>
      <c r="D19213" s="4"/>
    </row>
    <row collapsed="" customFormat="false" customHeight="1" hidden="" ht="14" outlineLevel="0" r="19214">
      <c r="A19214" s="3" t="inlineStr">
        <is>
          <t>19166</t>
        </is>
      </c>
      <c r="B19214" s="4" t="s">
        <f>=HYPERLINK("http://anyluxury.ru/shop/odezhda/rubashki-polo/rubashka-polo-zhenskaya-people-210-haki-189599/" , "1895.99 Рубашка поло женская PEOPLE 210 хаки, размер XXL")</f>
      </c>
      <c r="C19214" s="4" t="n">
        <v>1727.00</v>
      </c>
      <c r="D19214" s="4"/>
    </row>
    <row collapsed="" customFormat="false" customHeight="1" hidden="" ht="14" outlineLevel="0" r="19215">
      <c r="A19215" s="3" t="inlineStr">
        <is>
          <t>19167</t>
        </is>
      </c>
      <c r="B19215" s="4" t="s">
        <f>=HYPERLINK("http://anyluxury.ru/shop/odezhda/rubashki-polo/rubashka-polo-muzhskaya-prescott-men-170-temnoseraya-608610/" , "6086.10 Рубашка поло мужская Prescott men 170 темно-серая, размер S")</f>
      </c>
      <c r="C19215" s="4" t="n">
        <v>1441.00</v>
      </c>
      <c r="D19215" s="4"/>
    </row>
    <row collapsed="" customFormat="false" customHeight="1" hidden="" ht="14" outlineLevel="0" r="19216">
      <c r="A19216" s="3" t="inlineStr">
        <is>
          <t>19168</t>
        </is>
      </c>
      <c r="B19216" s="4" t="s">
        <f>=HYPERLINK("http://anyluxury.ru/shop/odezhda/rubashki-polo/rubashka-polo-muzhskaya-prescott-men-170-temnoseraya-608610/" , "6086.10 Рубашка поло мужская Prescott men 170 темно-серая, размер M")</f>
      </c>
      <c r="C19216" s="4" t="n">
        <v>1441.00</v>
      </c>
      <c r="D19216" s="4"/>
    </row>
    <row collapsed="" customFormat="false" customHeight="1" hidden="" ht="14" outlineLevel="0" r="19217">
      <c r="A19217" s="3" t="inlineStr">
        <is>
          <t>19169</t>
        </is>
      </c>
      <c r="B19217" s="4" t="s">
        <f>=HYPERLINK("http://anyluxury.ru/shop/odezhda/rubashki-polo/rubashka-polo-muzhskaya-prescott-men-170-temnoseraya-608610/" , "6086.10 Рубашка поло мужская Prescott men 170 темно-серая, размер L")</f>
      </c>
      <c r="C19217" s="4" t="n">
        <v>1441.00</v>
      </c>
      <c r="D19217" s="4"/>
    </row>
    <row collapsed="" customFormat="false" customHeight="1" hidden="" ht="14" outlineLevel="0" r="19218">
      <c r="A19218" s="3" t="inlineStr">
        <is>
          <t>19170</t>
        </is>
      </c>
      <c r="B19218" s="4" t="s">
        <f>=HYPERLINK("http://anyluxury.ru/shop/odezhda/rubashki-polo/rubashka-polo-muzhskaya-prescott-men-170-temnoseraya-608610/" , "6086.10 Рубашка поло мужская Prescott men 170 темно-серая, размер XL")</f>
      </c>
      <c r="C19218" s="4" t="n">
        <v>1441.00</v>
      </c>
      <c r="D19218" s="4"/>
    </row>
    <row collapsed="" customFormat="false" customHeight="1" hidden="" ht="14" outlineLevel="0" r="19219">
      <c r="A19219" s="3" t="inlineStr">
        <is>
          <t>19171</t>
        </is>
      </c>
      <c r="B19219" s="4" t="s">
        <f>=HYPERLINK("http://anyluxury.ru/shop/odezhda/rubashki-polo/rubashka-polo-muzhskaya-prescott-men-170-temnoseraya-608610/" , "6086.10 Рубашка поло мужская Prescott men 170 темно-серая, размер XXL")</f>
      </c>
      <c r="C19219" s="4" t="n">
        <v>1441.00</v>
      </c>
      <c r="D19219" s="4"/>
    </row>
    <row collapsed="" customFormat="false" customHeight="1" hidden="" ht="14" outlineLevel="0" r="19220">
      <c r="A19220" s="3" t="inlineStr">
        <is>
          <t>19172</t>
        </is>
      </c>
      <c r="B19220" s="4" t="s">
        <f>=HYPERLINK("http://anyluxury.ru/shop/odezhda/rubashki-polo/rubashka-polo-muzhskaya-prescott-men-170-temnoseraya-608610/" , "6086.10 Рубашка поло мужская Prescott men 170 темно-серая, размер 3XL")</f>
      </c>
      <c r="C19220" s="4" t="n">
        <v>1724.00</v>
      </c>
      <c r="D19220" s="4"/>
    </row>
    <row collapsed="" customFormat="false" customHeight="1" hidden="" ht="14" outlineLevel="0" r="19221">
      <c r="A19221" s="3" t="inlineStr">
        <is>
          <t>19173</t>
        </is>
      </c>
      <c r="B19221" s="4" t="s">
        <f>=HYPERLINK("http://anyluxury.ru/shop/odezhda/rubashki-polo/rubashka-polo-muzhskaya-prescott-men-170-oranzhevaya-608620/" , "6086.20 Рубашка поло мужская Prescott men 170 оранжевая, размер S")</f>
      </c>
      <c r="C19221" s="4" t="n">
        <v>1441.00</v>
      </c>
      <c r="D19221" s="4"/>
    </row>
    <row collapsed="" customFormat="false" customHeight="1" hidden="" ht="14" outlineLevel="0" r="19222">
      <c r="A19222" s="3" t="inlineStr">
        <is>
          <t>19174</t>
        </is>
      </c>
      <c r="B19222" s="4" t="s">
        <f>=HYPERLINK("http://anyluxury.ru/shop/odezhda/rubashki-polo/rubashka-polo-muzhskaya-prescott-men-170-oranzhevaya-608620/" , "6086.20 Рубашка поло мужская Prescott men 170 оранжевая, размер M")</f>
      </c>
      <c r="C19222" s="4" t="n">
        <v>1441.00</v>
      </c>
      <c r="D19222" s="4"/>
    </row>
    <row collapsed="" customFormat="false" customHeight="1" hidden="" ht="14" outlineLevel="0" r="19223">
      <c r="A19223" s="3" t="inlineStr">
        <is>
          <t>19175</t>
        </is>
      </c>
      <c r="B19223" s="4" t="s">
        <f>=HYPERLINK("http://anyluxury.ru/shop/odezhda/rubashki-polo/rubashka-polo-muzhskaya-prescott-men-170-oranzhevaya-608620/" , "6086.20 Рубашка поло мужская Prescott men 170 оранжевая, размер L")</f>
      </c>
      <c r="C19223" s="4" t="n">
        <v>1441.00</v>
      </c>
      <c r="D19223" s="4"/>
    </row>
    <row collapsed="" customFormat="false" customHeight="1" hidden="" ht="14" outlineLevel="0" r="19224">
      <c r="A19224" s="3" t="inlineStr">
        <is>
          <t>19176</t>
        </is>
      </c>
      <c r="B19224" s="4" t="s">
        <f>=HYPERLINK("http://anyluxury.ru/shop/odezhda/rubashki-polo/rubashka-polo-muzhskaya-prescott-men-170-oranzhevaya-608620/" , "6086.20 Рубашка поло мужская Prescott men 170 оранжевая, размер XL")</f>
      </c>
      <c r="C19224" s="4" t="n">
        <v>1441.00</v>
      </c>
      <c r="D19224" s="4"/>
    </row>
    <row collapsed="" customFormat="false" customHeight="1" hidden="" ht="14" outlineLevel="0" r="19225">
      <c r="A19225" s="3" t="inlineStr">
        <is>
          <t>19177</t>
        </is>
      </c>
      <c r="B19225" s="4" t="s">
        <f>=HYPERLINK("http://anyluxury.ru/shop/odezhda/rubashki-polo/rubashka-polo-muzhskaya-prescott-men-170-oranzhevaya-608620/" , "6086.20 Рубашка поло мужская Prescott men 170 оранжевая, размер XXL")</f>
      </c>
      <c r="C19225" s="4" t="n">
        <v>1441.00</v>
      </c>
      <c r="D19225" s="4"/>
    </row>
    <row collapsed="" customFormat="false" customHeight="1" hidden="" ht="14" outlineLevel="0" r="19226">
      <c r="A19226" s="3" t="inlineStr">
        <is>
          <t>19178</t>
        </is>
      </c>
      <c r="B19226" s="4" t="s">
        <f>=HYPERLINK("http://anyluxury.ru/shop/odezhda/rubashki-polo/rubashka-polo-muzhskaya-prescott-men-170-oranzhevaya-608620/" , "6086.20 Рубашка поло мужская Prescott men 170 оранжевая, размер 3XL")</f>
      </c>
      <c r="C19226" s="4" t="n">
        <v>1724.00</v>
      </c>
      <c r="D19226" s="4"/>
    </row>
    <row collapsed="" customFormat="false" customHeight="1" hidden="" ht="14" outlineLevel="0" r="19227">
      <c r="A19227" s="3" t="inlineStr">
        <is>
          <t>19179</t>
        </is>
      </c>
      <c r="B19227" s="4" t="s">
        <f>=HYPERLINK("http://anyluxury.ru/shop/odezhda/rubashki-polo/rubashka-polo-muzhskaya-prescott-men-170-zheltaya-limonnaya-608689/" , "6086.89 Рубашка поло мужская Prescott men 170 желтая (лимонная), размер S")</f>
      </c>
      <c r="C19227" s="4" t="n">
        <v>1441.00</v>
      </c>
      <c r="D19227" s="4"/>
    </row>
    <row collapsed="" customFormat="false" customHeight="1" hidden="" ht="14" outlineLevel="0" r="19228">
      <c r="A19228" s="3" t="inlineStr">
        <is>
          <t>19180</t>
        </is>
      </c>
      <c r="B19228" s="4" t="s">
        <f>=HYPERLINK("http://anyluxury.ru/shop/odezhda/rubashki-polo/rubashka-polo-muzhskaya-prescott-men-170-zheltaya-limonnaya-608689/" , "6086.89 Рубашка поло мужская Prescott men 170 желтая (лимонная), размер M")</f>
      </c>
      <c r="C19228" s="4" t="n">
        <v>1441.00</v>
      </c>
      <c r="D19228" s="4"/>
    </row>
    <row collapsed="" customFormat="false" customHeight="1" hidden="" ht="14" outlineLevel="0" r="19229">
      <c r="A19229" s="3" t="inlineStr">
        <is>
          <t>19181</t>
        </is>
      </c>
      <c r="B19229" s="4" t="s">
        <f>=HYPERLINK("http://anyluxury.ru/shop/odezhda/rubashki-polo/rubashka-polo-muzhskaya-prescott-men-170-zheltaya-limonnaya-608689/" , "6086.89 Рубашка поло мужская Prescott men 170 желтая (лимонная), размер L")</f>
      </c>
      <c r="C19229" s="4" t="n">
        <v>1441.00</v>
      </c>
      <c r="D19229" s="4"/>
    </row>
    <row collapsed="" customFormat="false" customHeight="1" hidden="" ht="14" outlineLevel="0" r="19230">
      <c r="A19230" s="3" t="inlineStr">
        <is>
          <t>19182</t>
        </is>
      </c>
      <c r="B19230" s="4" t="s">
        <f>=HYPERLINK("http://anyluxury.ru/shop/odezhda/rubashki-polo/rubashka-polo-muzhskaya-prescott-men-170-zheltaya-limonnaya-608689/" , "6086.89 Рубашка поло мужская Prescott men 170 желтая (лимонная), размер XL")</f>
      </c>
      <c r="C19230" s="4" t="n">
        <v>1441.00</v>
      </c>
      <c r="D19230" s="4"/>
    </row>
    <row collapsed="" customFormat="false" customHeight="1" hidden="" ht="14" outlineLevel="0" r="19231">
      <c r="A19231" s="3" t="inlineStr">
        <is>
          <t>19183</t>
        </is>
      </c>
      <c r="B19231" s="4" t="s">
        <f>=HYPERLINK("http://anyluxury.ru/shop/odezhda/rubashki-polo/rubashka-polo-muzhskaya-prescott-men-170-zheltaya-limonnaya-608689/" , "6086.89 Рубашка поло мужская Prescott men 170 желтая (лимонная), размер XXL")</f>
      </c>
      <c r="C19231" s="4" t="n">
        <v>1441.00</v>
      </c>
      <c r="D19231" s="4"/>
    </row>
    <row collapsed="" customFormat="false" customHeight="1" hidden="" ht="14" outlineLevel="0" r="19232">
      <c r="A19232" s="3" t="inlineStr">
        <is>
          <t>19184</t>
        </is>
      </c>
      <c r="B19232" s="4" t="s">
        <f>=HYPERLINK("http://anyluxury.ru/shop/odezhda/rubashki-polo/rubashka-polo-muzhskaya-prescott-men-170-zheltaya-limonnaya-608689/" , "6086.89 Рубашка поло мужская Prescott men 170 желтая (лимонная), размер 3XL")</f>
      </c>
      <c r="C19232" s="4" t="n">
        <v>1724.00</v>
      </c>
      <c r="D19232" s="4"/>
    </row>
    <row collapsed="" customFormat="false" customHeight="1" hidden="" ht="14" outlineLevel="0" r="19233">
      <c r="A19233" s="3" t="inlineStr">
        <is>
          <t>19185</t>
        </is>
      </c>
      <c r="B19233" s="4" t="s">
        <f>=HYPERLINK("http://anyluxury.ru/shop/odezhda/rubashki-polo/rubashka-polo-muzhskaya-prescott-men-170-haki-608699/" , "6086.99 Рубашка поло мужская Prescott men 170 хаки, размер S")</f>
      </c>
      <c r="C19233" s="4" t="n">
        <v>1386.00</v>
      </c>
      <c r="D19233" s="4"/>
    </row>
    <row collapsed="" customFormat="false" customHeight="1" hidden="" ht="14" outlineLevel="0" r="19234">
      <c r="A19234" s="3" t="inlineStr">
        <is>
          <t>19186</t>
        </is>
      </c>
      <c r="B19234" s="4" t="s">
        <f>=HYPERLINK("http://anyluxury.ru/shop/odezhda/rubashki-polo/rubashka-polo-muzhskaya-prescott-men-170-haki-608699/" , "6086.99 Рубашка поло мужская Prescott men 170 хаки, размер M")</f>
      </c>
      <c r="C19234" s="4" t="n">
        <v>1386.00</v>
      </c>
      <c r="D19234" s="4"/>
    </row>
    <row collapsed="" customFormat="false" customHeight="1" hidden="" ht="14" outlineLevel="0" r="19235">
      <c r="A19235" s="3" t="inlineStr">
        <is>
          <t>19187</t>
        </is>
      </c>
      <c r="B19235" s="4" t="s">
        <f>=HYPERLINK("http://anyluxury.ru/shop/odezhda/rubashki-polo/rubashka-polo-muzhskaya-prescott-men-170-haki-608699/" , "6086.99 Рубашка поло мужская Prescott men 170 хаки, размер L")</f>
      </c>
      <c r="C19235" s="4" t="n">
        <v>1386.00</v>
      </c>
      <c r="D19235" s="4"/>
    </row>
    <row collapsed="" customFormat="false" customHeight="1" hidden="" ht="14" outlineLevel="0" r="19236">
      <c r="A19236" s="3" t="inlineStr">
        <is>
          <t>19188</t>
        </is>
      </c>
      <c r="B19236" s="4" t="s">
        <f>=HYPERLINK("http://anyluxury.ru/shop/odezhda/rubashki-polo/rubashka-polo-muzhskaya-prescott-men-170-haki-608699/" , "6086.99 Рубашка поло мужская Prescott men 170 хаки, размер XL")</f>
      </c>
      <c r="C19236" s="4" t="n">
        <v>1386.00</v>
      </c>
      <c r="D19236" s="4"/>
    </row>
    <row collapsed="" customFormat="false" customHeight="1" hidden="" ht="14" outlineLevel="0" r="19237">
      <c r="A19237" s="3" t="inlineStr">
        <is>
          <t>19189</t>
        </is>
      </c>
      <c r="B19237" s="4" t="s">
        <f>=HYPERLINK("http://anyluxury.ru/shop/odezhda/rubashki-polo/rubashka-polo-muzhskaya-prescott-men-170-haki-608699/" , "6086.99 Рубашка поло мужская Prescott men 170 хаки, размер XXL")</f>
      </c>
      <c r="C19237" s="4" t="n">
        <v>1386.00</v>
      </c>
      <c r="D19237" s="4"/>
    </row>
    <row collapsed="" customFormat="false" customHeight="1" hidden="" ht="14" outlineLevel="0" r="19238">
      <c r="A19238" s="3" t="inlineStr">
        <is>
          <t>19190</t>
        </is>
      </c>
      <c r="B19238" s="4" t="s">
        <f>=HYPERLINK("http://anyluxury.ru/shop/odezhda/rubashki-polo/rubashka-polo-muzhskaya-prescott-men-170-haki-608699/" , "6086.99 Рубашка поло мужская Prescott men 170 хаки, размер 3XL")</f>
      </c>
      <c r="C19238" s="4" t="n">
        <v>1658.00</v>
      </c>
      <c r="D19238" s="4"/>
    </row>
    <row collapsed="" customFormat="false" customHeight="1" hidden="" ht="14" outlineLevel="0" r="19239">
      <c r="A19239" s="3" t="inlineStr">
        <is>
          <t>19191</t>
        </is>
      </c>
      <c r="B19239" s="4" t="s">
        <f>=HYPERLINK("http://anyluxury.ru/shop/odezhda/rubashki-polo/rubashka-polo-zhenskaya-prescott-women-170-oranzhevaya-608720/" , "6087.20 Рубашка поло женская Prescott women 170 оранжевая, размер S")</f>
      </c>
      <c r="C19239" s="4" t="n">
        <v>1404.00</v>
      </c>
      <c r="D19239" s="4"/>
    </row>
    <row collapsed="" customFormat="false" customHeight="1" hidden="" ht="14" outlineLevel="0" r="19240">
      <c r="A19240" s="3" t="inlineStr">
        <is>
          <t>19192</t>
        </is>
      </c>
      <c r="B19240" s="4" t="s">
        <f>=HYPERLINK("http://anyluxury.ru/shop/odezhda/rubashki-polo/rubashka-polo-zhenskaya-prescott-women-170-oranzhevaya-608720/" , "6087.20 Рубашка поло женская Prescott women 170 оранжевая, размер M")</f>
      </c>
      <c r="C19240" s="4" t="n">
        <v>1404.00</v>
      </c>
      <c r="D19240" s="4"/>
    </row>
    <row collapsed="" customFormat="false" customHeight="1" hidden="" ht="14" outlineLevel="0" r="19241">
      <c r="A19241" s="3" t="inlineStr">
        <is>
          <t>19193</t>
        </is>
      </c>
      <c r="B19241" s="4" t="s">
        <f>=HYPERLINK("http://anyluxury.ru/shop/odezhda/rubashki-polo/rubashka-polo-zhenskaya-prescott-women-170-oranzhevaya-608720/" , "6087.20 Рубашка поло женская Prescott women 170 оранжевая, размер L")</f>
      </c>
      <c r="C19241" s="4" t="n">
        <v>1404.00</v>
      </c>
      <c r="D19241" s="4"/>
    </row>
    <row collapsed="" customFormat="false" customHeight="1" hidden="" ht="14" outlineLevel="0" r="19242">
      <c r="A19242" s="3" t="inlineStr">
        <is>
          <t>19194</t>
        </is>
      </c>
      <c r="B19242" s="4" t="s">
        <f>=HYPERLINK("http://anyluxury.ru/shop/odezhda/rubashki-polo/rubashka-polo-zhenskaya-prescott-women-170-oranzhevaya-608720/" , "6087.20 Рубашка поло женская Prescott women 170 оранжевая, размер XL")</f>
      </c>
      <c r="C19242" s="4" t="n">
        <v>1404.00</v>
      </c>
      <c r="D19242" s="4"/>
    </row>
    <row collapsed="" customFormat="false" customHeight="1" hidden="" ht="14" outlineLevel="0" r="19243">
      <c r="A19243" s="3" t="inlineStr">
        <is>
          <t>19195</t>
        </is>
      </c>
      <c r="B19243" s="4" t="s">
        <f>=HYPERLINK("http://anyluxury.ru/shop/odezhda/rubashki-polo/rubashka-polo-zhenskaya-prescott-women-170-oranzhevaya-608720/" , "6087.20 Рубашка поло женская Prescott women 170 оранжевая, размер XXL")</f>
      </c>
      <c r="C19243" s="4" t="n">
        <v>1404.00</v>
      </c>
      <c r="D19243" s="4"/>
    </row>
    <row collapsed="" customFormat="false" customHeight="1" hidden="" ht="14" outlineLevel="0" r="19244">
      <c r="A19244" s="3" t="inlineStr">
        <is>
          <t>19196</t>
        </is>
      </c>
      <c r="B19244" s="4" t="s">
        <f>=HYPERLINK("http://anyluxury.ru/shop/odezhda/rubashki-polo/rubashka-polo-zhenskaya-prescott-women-170-kobalt-temnosinyaya-608740/" , "6087.40 Рубашка поло женская Prescott women 170 темно-синяя, размер S")</f>
      </c>
      <c r="C19244" s="4" t="n">
        <v>1404.00</v>
      </c>
      <c r="D19244" s="4"/>
    </row>
    <row collapsed="" customFormat="false" customHeight="1" hidden="" ht="14" outlineLevel="0" r="19245">
      <c r="A19245" s="3" t="inlineStr">
        <is>
          <t>19197</t>
        </is>
      </c>
      <c r="B19245" s="4" t="s">
        <f>=HYPERLINK("http://anyluxury.ru/shop/odezhda/rubashki-polo/rubashka-polo-zhenskaya-prescott-women-170-kobalt-temnosinyaya-608740/" , "6087.40 Рубашка поло женская Prescott women 170 темно-синяя, размер M")</f>
      </c>
      <c r="C19245" s="4" t="n">
        <v>1404.00</v>
      </c>
      <c r="D19245" s="4"/>
    </row>
    <row collapsed="" customFormat="false" customHeight="1" hidden="" ht="14" outlineLevel="0" r="19246">
      <c r="A19246" s="3" t="inlineStr">
        <is>
          <t>19198</t>
        </is>
      </c>
      <c r="B19246" s="4" t="s">
        <f>=HYPERLINK("http://anyluxury.ru/shop/odezhda/rubashki-polo/rubashka-polo-zhenskaya-prescott-women-170-kobalt-temnosinyaya-608740/" , "6087.40 Рубашка поло женская Prescott women 170 темно-синяя, размер L")</f>
      </c>
      <c r="C19246" s="4" t="n">
        <v>1404.00</v>
      </c>
      <c r="D19246" s="4"/>
    </row>
    <row collapsed="" customFormat="false" customHeight="1" hidden="" ht="14" outlineLevel="0" r="19247">
      <c r="A19247" s="3" t="inlineStr">
        <is>
          <t>19199</t>
        </is>
      </c>
      <c r="B19247" s="4" t="s">
        <f>=HYPERLINK("http://anyluxury.ru/shop/odezhda/rubashki-polo/rubashka-polo-zhenskaya-prescott-women-170-kobalt-temnosinyaya-608740/" , "6087.40 Рубашка поло женская Prescott women 170 темно-синяя, размер XL")</f>
      </c>
      <c r="C19247" s="4" t="n">
        <v>1404.00</v>
      </c>
      <c r="D19247" s="4"/>
    </row>
    <row collapsed="" customFormat="false" customHeight="1" hidden="" ht="14" outlineLevel="0" r="19248">
      <c r="A19248" s="3" t="inlineStr">
        <is>
          <t>19200</t>
        </is>
      </c>
      <c r="B19248" s="4" t="s">
        <f>=HYPERLINK("http://anyluxury.ru/shop/odezhda/rubashki-polo/rubashka-polo-zhenskaya-prescott-women-170-kobalt-temnosinyaya-608740/" , "6087.40 Рубашка поло женская Prescott women 170 темно-синяя, размер XXL")</f>
      </c>
      <c r="C19248" s="4" t="n">
        <v>1404.00</v>
      </c>
      <c r="D19248" s="4"/>
    </row>
    <row collapsed="" customFormat="false" customHeight="1" hidden="" ht="14" outlineLevel="0" r="19249">
      <c r="A19249" s="3" t="inlineStr">
        <is>
          <t>19201</t>
        </is>
      </c>
      <c r="B19249" s="4" t="s">
        <f>=HYPERLINK("http://anyluxury.ru/shop/odezhda/rubashki-polo/rubashka-polo-zhenskaya-prescott-women-170-yarkosinyaya-royal-608744/" , "6087.44 Рубашка поло женская Prescott women 170 ярко-синяя, размер S")</f>
      </c>
      <c r="C19249" s="4" t="n">
        <v>1404.00</v>
      </c>
      <c r="D19249" s="4"/>
    </row>
    <row collapsed="" customFormat="false" customHeight="1" hidden="" ht="14" outlineLevel="0" r="19250">
      <c r="A19250" s="3" t="inlineStr">
        <is>
          <t>19202</t>
        </is>
      </c>
      <c r="B19250" s="4" t="s">
        <f>=HYPERLINK("http://anyluxury.ru/shop/odezhda/rubashki-polo/rubashka-polo-zhenskaya-prescott-women-170-yarkosinyaya-royal-608744/" , "6087.44 Рубашка поло женская Prescott women 170 ярко-синяя, размер M")</f>
      </c>
      <c r="C19250" s="4" t="n">
        <v>1404.00</v>
      </c>
      <c r="D19250" s="4"/>
    </row>
    <row collapsed="" customFormat="false" customHeight="1" hidden="" ht="14" outlineLevel="0" r="19251">
      <c r="A19251" s="3" t="inlineStr">
        <is>
          <t>19203</t>
        </is>
      </c>
      <c r="B19251" s="4" t="s">
        <f>=HYPERLINK("http://anyluxury.ru/shop/odezhda/rubashki-polo/rubashka-polo-zhenskaya-prescott-women-170-yarkosinyaya-royal-608744/" , "6087.44 Рубашка поло женская Prescott women 170 ярко-синяя, размер L")</f>
      </c>
      <c r="C19251" s="4" t="n">
        <v>1404.00</v>
      </c>
      <c r="D19251" s="4"/>
    </row>
    <row collapsed="" customFormat="false" customHeight="1" hidden="" ht="14" outlineLevel="0" r="19252">
      <c r="A19252" s="3" t="inlineStr">
        <is>
          <t>19204</t>
        </is>
      </c>
      <c r="B19252" s="4" t="s">
        <f>=HYPERLINK("http://anyluxury.ru/shop/odezhda/rubashki-polo/rubashka-polo-zhenskaya-prescott-women-170-yarkosinyaya-royal-608744/" , "6087.44 Рубашка поло женская Prescott women 170 ярко-синяя, размер XL")</f>
      </c>
      <c r="C19252" s="4" t="n">
        <v>1404.00</v>
      </c>
      <c r="D19252" s="4"/>
    </row>
    <row collapsed="" customFormat="false" customHeight="1" hidden="" ht="14" outlineLevel="0" r="19253">
      <c r="A19253" s="3" t="inlineStr">
        <is>
          <t>19205</t>
        </is>
      </c>
      <c r="B19253" s="4" t="s">
        <f>=HYPERLINK("http://anyluxury.ru/shop/odezhda/rubashki-polo/rubashka-polo-zhenskaya-prescott-women-170-yarkosinyaya-royal-608744/" , "6087.44 Рубашка поло женская Prescott women 170 ярко-синяя, размер XXL")</f>
      </c>
      <c r="C19253" s="4" t="n">
        <v>1404.00</v>
      </c>
      <c r="D19253" s="4"/>
    </row>
    <row collapsed="" customFormat="false" customHeight="1" hidden="" ht="14" outlineLevel="0" r="19254">
      <c r="A19254" s="3" t="inlineStr">
        <is>
          <t>19206</t>
        </is>
      </c>
      <c r="B19254" s="4" t="s">
        <f>=HYPERLINK("http://anyluxury.ru/shop/odezhda/rubashki-polo/rubashka-polo-zhenskaya-prescott-women-170-zheltaya-limonnaya-608789/" , "6087.89 Рубашка поло женская Prescott women 170 желтая (лимонная), размер S")</f>
      </c>
      <c r="C19254" s="4" t="n">
        <v>1404.00</v>
      </c>
      <c r="D19254" s="4"/>
    </row>
    <row collapsed="" customFormat="false" customHeight="1" hidden="" ht="14" outlineLevel="0" r="19255">
      <c r="A19255" s="3" t="inlineStr">
        <is>
          <t>19207</t>
        </is>
      </c>
      <c r="B19255" s="4" t="s">
        <f>=HYPERLINK("http://anyluxury.ru/shop/odezhda/rubashki-polo/rubashka-polo-zhenskaya-prescott-women-170-zheltaya-limonnaya-608789/" , "6087.89 Рубашка поло женская Prescott women 170 желтая (лимонная), размер M")</f>
      </c>
      <c r="C19255" s="4" t="n">
        <v>1404.00</v>
      </c>
      <c r="D19255" s="4"/>
    </row>
    <row collapsed="" customFormat="false" customHeight="1" hidden="" ht="14" outlineLevel="0" r="19256">
      <c r="A19256" s="3" t="inlineStr">
        <is>
          <t>19208</t>
        </is>
      </c>
      <c r="B19256" s="4" t="s">
        <f>=HYPERLINK("http://anyluxury.ru/shop/odezhda/rubashki-polo/rubashka-polo-zhenskaya-prescott-women-170-zheltaya-limonnaya-608789/" , "6087.89 Рубашка поло женская Prescott women 170 желтая (лимонная), размер L")</f>
      </c>
      <c r="C19256" s="4" t="n">
        <v>1404.00</v>
      </c>
      <c r="D19256" s="4"/>
    </row>
    <row collapsed="" customFormat="false" customHeight="1" hidden="" ht="14" outlineLevel="0" r="19257">
      <c r="A19257" s="3" t="inlineStr">
        <is>
          <t>19209</t>
        </is>
      </c>
      <c r="B19257" s="4" t="s">
        <f>=HYPERLINK("http://anyluxury.ru/shop/odezhda/rubashki-polo/rubashka-polo-zhenskaya-prescott-women-170-zheltaya-limonnaya-608789/" , "6087.89 Рубашка поло женская Prescott women 170 желтая (лимонная), размер XL")</f>
      </c>
      <c r="C19257" s="4" t="n">
        <v>1404.00</v>
      </c>
      <c r="D19257" s="4"/>
    </row>
    <row collapsed="" customFormat="false" customHeight="1" hidden="" ht="14" outlineLevel="0" r="19258">
      <c r="A19258" s="3" t="inlineStr">
        <is>
          <t>19210</t>
        </is>
      </c>
      <c r="B19258" s="4" t="s">
        <f>=HYPERLINK("http://anyluxury.ru/shop/odezhda/rubashki-polo/rubashka-polo-zhenskaya-prescott-women-170-zheltaya-limonnaya-608789/" , "6087.89 Рубашка поло женская Prescott women 170 желтая (лимонная), размер XXL")</f>
      </c>
      <c r="C19258" s="4" t="n">
        <v>1404.00</v>
      </c>
      <c r="D19258" s="4"/>
    </row>
    <row collapsed="" customFormat="false" customHeight="1" hidden="" ht="14" outlineLevel="0" r="19259">
      <c r="A19259" s="3" t="inlineStr">
        <is>
          <t>19211</t>
        </is>
      </c>
      <c r="B19259" s="4" t="s">
        <f>=HYPERLINK("http://anyluxury.ru/shop/odezhda/rubashki-polo/rubashka-polo-zhenskaya-prescott-women-170-haki-608799/" , "6087.99 Рубашка поло женская Prescott women 170 хаки, размер S")</f>
      </c>
      <c r="C19259" s="4" t="n">
        <v>1345.00</v>
      </c>
      <c r="D19259" s="4"/>
    </row>
    <row collapsed="" customFormat="false" customHeight="1" hidden="" ht="14" outlineLevel="0" r="19260">
      <c r="A19260" s="3" t="inlineStr">
        <is>
          <t>19212</t>
        </is>
      </c>
      <c r="B19260" s="4" t="s">
        <f>=HYPERLINK("http://anyluxury.ru/shop/odezhda/rubashki-polo/rubashka-polo-zhenskaya-prescott-women-170-haki-608799/" , "6087.99 Рубашка поло женская Prescott women 170 хаки, размер M")</f>
      </c>
      <c r="C19260" s="4" t="n">
        <v>1345.00</v>
      </c>
      <c r="D19260" s="4"/>
    </row>
    <row collapsed="" customFormat="false" customHeight="1" hidden="" ht="14" outlineLevel="0" r="19261">
      <c r="A19261" s="3" t="inlineStr">
        <is>
          <t>19213</t>
        </is>
      </c>
      <c r="B19261" s="4" t="s">
        <f>=HYPERLINK("http://anyluxury.ru/shop/odezhda/rubashki-polo/rubashka-polo-zhenskaya-prescott-women-170-haki-608799/" , "6087.99 Рубашка поло женская Prescott women 170 хаки, размер L")</f>
      </c>
      <c r="C19261" s="4" t="n">
        <v>1345.00</v>
      </c>
      <c r="D19261" s="4"/>
    </row>
    <row collapsed="" customFormat="false" customHeight="1" hidden="" ht="14" outlineLevel="0" r="19262">
      <c r="A19262" s="3" t="inlineStr">
        <is>
          <t>19214</t>
        </is>
      </c>
      <c r="B19262" s="4" t="s">
        <f>=HYPERLINK("http://anyluxury.ru/shop/odezhda/rubashki-polo/rubashka-polo-zhenskaya-prescott-women-170-haki-608799/" , "6087.99 Рубашка поло женская Prescott women 170 хаки, размер XL")</f>
      </c>
      <c r="C19262" s="4" t="n">
        <v>1345.00</v>
      </c>
      <c r="D19262" s="4"/>
    </row>
    <row collapsed="" customFormat="false" customHeight="1" hidden="" ht="14" outlineLevel="0" r="19263">
      <c r="A19263" s="3" t="inlineStr">
        <is>
          <t>19215</t>
        </is>
      </c>
      <c r="B19263" s="4" t="s">
        <f>=HYPERLINK("http://anyluxury.ru/shop/odezhda/rubashki-polo/rubashka-polo-zhenskaya-prescott-women-170-haki-608799/" , "6087.99 Рубашка поло женская Prescott women 170 хаки, размер XXL")</f>
      </c>
      <c r="C19263" s="4" t="n">
        <v>1345.00</v>
      </c>
      <c r="D19263" s="4"/>
    </row>
    <row collapsed="" customFormat="false" customHeight="1" hidden="" ht="14" outlineLevel="0" r="19264">
      <c r="A19264" s="3" t="inlineStr">
        <is>
          <t>19216</t>
        </is>
      </c>
      <c r="B19264" s="4" t="s">
        <f>=HYPERLINK("http://anyluxury.ru/shop/odezhda/rubashki-polo/rubashka-polo-prince-190-seriy-melanzh-s-rozovim-608511/" , "6085.11 Рубашка поло Prince 190 серый меланж с розовым, размер XS")</f>
      </c>
      <c r="C19264" s="4" t="n">
        <v>2340.00</v>
      </c>
      <c r="D19264" s="4"/>
    </row>
    <row collapsed="" customFormat="false" customHeight="1" hidden="" ht="14" outlineLevel="0" r="19265">
      <c r="A19265" s="3" t="inlineStr">
        <is>
          <t>19217</t>
        </is>
      </c>
      <c r="B19265" s="4" t="s">
        <f>=HYPERLINK("http://anyluxury.ru/shop/odezhda/rubashki-polo/rubashka-polo-prince-190-seriy-melanzh-s-rozovim-608511/" , "6085.11 Рубашка поло Prince 190 серый меланж с розовым, размер S")</f>
      </c>
      <c r="C19265" s="4" t="n">
        <v>2340.00</v>
      </c>
      <c r="D19265" s="4"/>
    </row>
    <row collapsed="" customFormat="false" customHeight="1" hidden="" ht="14" outlineLevel="0" r="19266">
      <c r="A19266" s="3" t="inlineStr">
        <is>
          <t>19218</t>
        </is>
      </c>
      <c r="B19266" s="4" t="s">
        <f>=HYPERLINK("http://anyluxury.ru/shop/odezhda/rubashki-polo/rubashka-polo-prince-190-seriy-melanzh-s-rozovim-608511/" , "6085.11 Рубашка поло Prince 190 серый меланж с розовым, размер M")</f>
      </c>
      <c r="C19266" s="4" t="n">
        <v>2340.00</v>
      </c>
      <c r="D19266" s="4"/>
    </row>
    <row collapsed="" customFormat="false" customHeight="1" hidden="" ht="14" outlineLevel="0" r="19267">
      <c r="A19267" s="3" t="inlineStr">
        <is>
          <t>19219</t>
        </is>
      </c>
      <c r="B19267" s="4" t="s">
        <f>=HYPERLINK("http://anyluxury.ru/shop/odezhda/rubashki-polo/rubashka-polo-prince-190-seriy-melanzh-s-rozovim-608511/" , "6085.11 Рубашка поло Prince 190 серый меланж с розовым, размер L")</f>
      </c>
      <c r="C19267" s="4" t="n">
        <v>2340.00</v>
      </c>
      <c r="D19267" s="4"/>
    </row>
    <row collapsed="" customFormat="false" customHeight="1" hidden="" ht="14" outlineLevel="0" r="19268">
      <c r="A19268" s="3" t="inlineStr">
        <is>
          <t>19220</t>
        </is>
      </c>
      <c r="B19268" s="4" t="s">
        <f>=HYPERLINK("http://anyluxury.ru/shop/odezhda/rubashki-polo/rubashka-polo-prince-190-seriy-melanzh-s-rozovim-608511/" , "6085.11 Рубашка поло Prince 190 серый меланж с розовым, размер XL")</f>
      </c>
      <c r="C19268" s="4" t="n">
        <v>2340.00</v>
      </c>
      <c r="D19268" s="4"/>
    </row>
    <row collapsed="" customFormat="false" customHeight="1" hidden="" ht="14" outlineLevel="0" r="19269">
      <c r="A19269" s="3" t="inlineStr">
        <is>
          <t>19221</t>
        </is>
      </c>
      <c r="B19269" s="4" t="s">
        <f>=HYPERLINK("http://anyluxury.ru/shop/odezhda/rubashki-polo/rubashka-polo-prince-190-seriy-melanzh-s-rozovim-608511/" , "6085.11 Рубашка поло Prince 190 серый меланж с розовым, размер XXL")</f>
      </c>
      <c r="C19269" s="4" t="n">
        <v>2340.00</v>
      </c>
      <c r="D19269" s="4"/>
    </row>
    <row collapsed="" customFormat="false" customHeight="1" hidden="" ht="14" outlineLevel="0" r="19270">
      <c r="A19270" s="3" t="inlineStr">
        <is>
          <t>19222</t>
        </is>
      </c>
      <c r="B19270" s="4" t="s">
        <f>=HYPERLINK("http://anyluxury.ru/shop/odezhda/rubashki-polo/rubashka-polo-prince-190-seriy-melanzh-s-rozovim-608511/" , "6085.11 Рубашка поло Prince 190 серый меланж с розовым, размер XS")</f>
      </c>
      <c r="C19270" s="4" t="n">
        <v>1614.00</v>
      </c>
      <c r="D19270" s="4"/>
    </row>
    <row collapsed="" customFormat="false" customHeight="1" hidden="" ht="14" outlineLevel="0" r="19271">
      <c r="A19271" s="3" t="inlineStr">
        <is>
          <t>19223</t>
        </is>
      </c>
      <c r="B19271" s="4" t="s">
        <f>=HYPERLINK("http://anyluxury.ru/shop/odezhda/rubashki-polo/rubashka-polo-prince-190-seriy-melanzh-s-rozovim-608511/" , "6085.11 Рубашка поло Prince 190 серый меланж с розовым, размер S")</f>
      </c>
      <c r="C19271" s="4" t="n">
        <v>1614.00</v>
      </c>
      <c r="D19271" s="4"/>
    </row>
    <row collapsed="" customFormat="false" customHeight="1" hidden="" ht="14" outlineLevel="0" r="19272">
      <c r="A19272" s="3" t="inlineStr">
        <is>
          <t>19224</t>
        </is>
      </c>
      <c r="B19272" s="4" t="s">
        <f>=HYPERLINK("http://anyluxury.ru/shop/odezhda/rubashki-polo/rubashka-polo-prince-190-seriy-melanzh-s-rozovim-608511/" , "6085.11 Рубашка поло Prince 190 серый меланж с розовым, размер M")</f>
      </c>
      <c r="C19272" s="4" t="n">
        <v>1614.00</v>
      </c>
      <c r="D19272" s="4"/>
    </row>
    <row collapsed="" customFormat="false" customHeight="1" hidden="" ht="14" outlineLevel="0" r="19273">
      <c r="A19273" s="3" t="inlineStr">
        <is>
          <t>19225</t>
        </is>
      </c>
      <c r="B19273" s="4" t="s">
        <f>=HYPERLINK("http://anyluxury.ru/shop/odezhda/rubashki-polo/rubashka-polo-prince-190-seriy-melanzh-s-rozovim-608511/" , "6085.11 Рубашка поло Prince 190 серый меланж с розовым, размер L")</f>
      </c>
      <c r="C19273" s="4" t="n">
        <v>1614.00</v>
      </c>
      <c r="D19273" s="4"/>
    </row>
    <row collapsed="" customFormat="false" customHeight="1" hidden="" ht="14" outlineLevel="0" r="19274">
      <c r="A19274" s="3" t="inlineStr">
        <is>
          <t>19226</t>
        </is>
      </c>
      <c r="B19274" s="4" t="s">
        <f>=HYPERLINK("http://anyluxury.ru/shop/odezhda/rubashki-polo/rubashka-polo-prince-190-seriy-melanzh-s-rozovim-608511/" , "6085.11 Рубашка поло Prince 190 серый меланж с розовым, размер XL")</f>
      </c>
      <c r="C19274" s="4" t="n">
        <v>1614.00</v>
      </c>
      <c r="D19274" s="4"/>
    </row>
    <row collapsed="" customFormat="false" customHeight="1" hidden="" ht="14" outlineLevel="0" r="19275">
      <c r="A19275" s="3" t="inlineStr">
        <is>
          <t>19227</t>
        </is>
      </c>
      <c r="B19275" s="4" t="s">
        <f>=HYPERLINK("http://anyluxury.ru/shop/odezhda/rubashki-polo/rubashka-polo-prince-190-seriy-melanzh-s-rozovim-608511/" , "6085.11 Рубашка поло Prince 190 серый меланж с розовым, размер XXL")</f>
      </c>
      <c r="C19275" s="4" t="n">
        <v>1614.00</v>
      </c>
      <c r="D19275" s="4"/>
    </row>
    <row collapsed="" customFormat="false" customHeight="1" hidden="" ht="14" outlineLevel="0" r="19276">
      <c r="A19276" s="3" t="inlineStr">
        <is>
          <t>19228</t>
        </is>
      </c>
      <c r="B19276" s="4" t="s">
        <f>=HYPERLINK("http://anyluxury.ru/shop/odezhda/rubashki-polo/rubashka-polo-prince-190-chernaya-s-serim-608531/" , "6085.31 Рубашка поло Prince 190 черная с серым, размер XS")</f>
      </c>
      <c r="C19276" s="4" t="n">
        <v>2367.00</v>
      </c>
      <c r="D19276" s="4"/>
    </row>
    <row collapsed="" customFormat="false" customHeight="1" hidden="" ht="14" outlineLevel="0" r="19277">
      <c r="A19277" s="3" t="inlineStr">
        <is>
          <t>19229</t>
        </is>
      </c>
      <c r="B19277" s="4" t="s">
        <f>=HYPERLINK("http://anyluxury.ru/shop/odezhda/rubashki-polo/rubashka-polo-prince-190-chernaya-s-serim-608531/" , "6085.31 Рубашка поло Prince 190 черная с серым, размер S")</f>
      </c>
      <c r="C19277" s="4" t="n">
        <v>2367.00</v>
      </c>
      <c r="D19277" s="4"/>
    </row>
    <row collapsed="" customFormat="false" customHeight="1" hidden="" ht="14" outlineLevel="0" r="19278">
      <c r="A19278" s="3" t="inlineStr">
        <is>
          <t>19230</t>
        </is>
      </c>
      <c r="B19278" s="4" t="s">
        <f>=HYPERLINK("http://anyluxury.ru/shop/odezhda/rubashki-polo/rubashka-polo-prince-190-chernaya-s-serim-608531/" , "6085.31 Рубашка поло Prince 190 черная с серым, размер M")</f>
      </c>
      <c r="C19278" s="4" t="n">
        <v>2367.00</v>
      </c>
      <c r="D19278" s="4"/>
    </row>
    <row collapsed="" customFormat="false" customHeight="1" hidden="" ht="14" outlineLevel="0" r="19279">
      <c r="A19279" s="3" t="inlineStr">
        <is>
          <t>19231</t>
        </is>
      </c>
      <c r="B19279" s="4" t="s">
        <f>=HYPERLINK("http://anyluxury.ru/shop/odezhda/rubashki-polo/rubashka-polo-prince-190-chernaya-s-serim-608531/" , "6085.31 Рубашка поло Prince 190 черная с серым, размер L")</f>
      </c>
      <c r="C19279" s="4" t="n">
        <v>2367.00</v>
      </c>
      <c r="D19279" s="4"/>
    </row>
    <row collapsed="" customFormat="false" customHeight="1" hidden="" ht="14" outlineLevel="0" r="19280">
      <c r="A19280" s="3" t="inlineStr">
        <is>
          <t>19232</t>
        </is>
      </c>
      <c r="B19280" s="4" t="s">
        <f>=HYPERLINK("http://anyluxury.ru/shop/odezhda/rubashki-polo/rubashka-polo-prince-190-chernaya-s-serim-608531/" , "6085.31 Рубашка поло Prince 190 черная с серым, размер XL")</f>
      </c>
      <c r="C19280" s="4" t="n">
        <v>2367.00</v>
      </c>
      <c r="D19280" s="4"/>
    </row>
    <row collapsed="" customFormat="false" customHeight="1" hidden="" ht="14" outlineLevel="0" r="19281">
      <c r="A19281" s="3" t="inlineStr">
        <is>
          <t>19233</t>
        </is>
      </c>
      <c r="B19281" s="4" t="s">
        <f>=HYPERLINK("http://anyluxury.ru/shop/odezhda/rubashki-polo/rubashka-polo-prince-190-chernaya-s-serim-608531/" , "6085.31 Рубашка поло Prince 190 черная с серым, размер XXL")</f>
      </c>
      <c r="C19281" s="4" t="n">
        <v>2367.00</v>
      </c>
      <c r="D19281" s="4"/>
    </row>
    <row collapsed="" customFormat="false" customHeight="1" hidden="" ht="14" outlineLevel="0" r="19282">
      <c r="A19282" s="3" t="inlineStr">
        <is>
          <t>19234</t>
        </is>
      </c>
      <c r="B19282" s="4" t="s">
        <f>=HYPERLINK("http://anyluxury.ru/shop/odezhda/rubashki-polo/rubashka-polo-prince-190-chernaya-s-serim-608531/" , "6085.31 Рубашка поло Prince 190 черная с серым, размер XS")</f>
      </c>
      <c r="C19282" s="4" t="n">
        <v>1614.00</v>
      </c>
      <c r="D19282" s="4"/>
    </row>
    <row collapsed="" customFormat="false" customHeight="1" hidden="" ht="14" outlineLevel="0" r="19283">
      <c r="A19283" s="3" t="inlineStr">
        <is>
          <t>19235</t>
        </is>
      </c>
      <c r="B19283" s="4" t="s">
        <f>=HYPERLINK("http://anyluxury.ru/shop/odezhda/rubashki-polo/rubashka-polo-prince-190-chernaya-s-serim-608531/" , "6085.31 Рубашка поло Prince 190 черная с серым, размер S")</f>
      </c>
      <c r="C19283" s="4" t="n">
        <v>1614.00</v>
      </c>
      <c r="D19283" s="4"/>
    </row>
    <row collapsed="" customFormat="false" customHeight="1" hidden="" ht="14" outlineLevel="0" r="19284">
      <c r="A19284" s="3" t="inlineStr">
        <is>
          <t>19236</t>
        </is>
      </c>
      <c r="B19284" s="4" t="s">
        <f>=HYPERLINK("http://anyluxury.ru/shop/odezhda/rubashki-polo/rubashka-polo-prince-190-chernaya-s-serim-608531/" , "6085.31 Рубашка поло Prince 190 черная с серым, размер M")</f>
      </c>
      <c r="C19284" s="4" t="n">
        <v>1614.00</v>
      </c>
      <c r="D19284" s="4"/>
    </row>
    <row collapsed="" customFormat="false" customHeight="1" hidden="" ht="14" outlineLevel="0" r="19285">
      <c r="A19285" s="3" t="inlineStr">
        <is>
          <t>19237</t>
        </is>
      </c>
      <c r="B19285" s="4" t="s">
        <f>=HYPERLINK("http://anyluxury.ru/shop/odezhda/rubashki-polo/rubashka-polo-prince-190-chernaya-s-serim-608531/" , "6085.31 Рубашка поло Prince 190 черная с серым, размер L")</f>
      </c>
      <c r="C19285" s="4" t="n">
        <v>1614.00</v>
      </c>
      <c r="D19285" s="4"/>
    </row>
    <row collapsed="" customFormat="false" customHeight="1" hidden="" ht="14" outlineLevel="0" r="19286">
      <c r="A19286" s="3" t="inlineStr">
        <is>
          <t>19238</t>
        </is>
      </c>
      <c r="B19286" s="4" t="s">
        <f>=HYPERLINK("http://anyluxury.ru/shop/odezhda/rubashki-polo/rubashka-polo-prince-190-chernaya-s-serim-608531/" , "6085.31 Рубашка поло Prince 190 черная с серым, размер XL")</f>
      </c>
      <c r="C19286" s="4" t="n">
        <v>1614.00</v>
      </c>
      <c r="D19286" s="4"/>
    </row>
    <row collapsed="" customFormat="false" customHeight="1" hidden="" ht="14" outlineLevel="0" r="19287">
      <c r="A19287" s="3" t="inlineStr">
        <is>
          <t>19239</t>
        </is>
      </c>
      <c r="B19287" s="4" t="s">
        <f>=HYPERLINK("http://anyluxury.ru/shop/odezhda/rubashki-polo/rubashka-polo-prince-190-chernaya-s-serim-608531/" , "6085.31 Рубашка поло Prince 190 черная с серым, размер XXL")</f>
      </c>
      <c r="C19287" s="4" t="n">
        <v>1614.00</v>
      </c>
      <c r="D19287" s="4"/>
    </row>
    <row collapsed="" customFormat="false" customHeight="1" hidden="" ht="14" outlineLevel="0" r="19288">
      <c r="A19288" s="3" t="inlineStr">
        <is>
          <t>19240</t>
        </is>
      </c>
      <c r="B19288" s="4" t="s">
        <f>=HYPERLINK("http://anyluxury.ru/shop/odezhda/rubashki-polo/rubashka-polo-muzhskaya-spring-210-temnoseraya-189818/" , "1898.18 Рубашка поло мужская SPRING 210 темно-серая, размер S")</f>
      </c>
      <c r="C19288" s="4" t="n">
        <v>1768.00</v>
      </c>
      <c r="D19288" s="4"/>
    </row>
    <row collapsed="" customFormat="false" customHeight="1" hidden="" ht="14" outlineLevel="0" r="19289">
      <c r="A19289" s="3" t="inlineStr">
        <is>
          <t>19241</t>
        </is>
      </c>
      <c r="B19289" s="4" t="s">
        <f>=HYPERLINK("http://anyluxury.ru/shop/odezhda/rubashki-polo/rubashka-polo-muzhskaya-spring-210-temnoseraya-189818/" , "1898.18 Рубашка поло мужская SPRING 210 темно-серая, размер M")</f>
      </c>
      <c r="C19289" s="4" t="n">
        <v>1768.00</v>
      </c>
      <c r="D19289" s="4"/>
    </row>
    <row collapsed="" customFormat="false" customHeight="1" hidden="" ht="14" outlineLevel="0" r="19290">
      <c r="A19290" s="3" t="inlineStr">
        <is>
          <t>19242</t>
        </is>
      </c>
      <c r="B19290" s="4" t="s">
        <f>=HYPERLINK("http://anyluxury.ru/shop/odezhda/rubashki-polo/rubashka-polo-muzhskaya-spring-210-temnoseraya-189818/" , "1898.18 Рубашка поло мужская SPRING 210 темно-серая, размер L")</f>
      </c>
      <c r="C19290" s="4" t="n">
        <v>1768.00</v>
      </c>
      <c r="D19290" s="4"/>
    </row>
    <row collapsed="" customFormat="false" customHeight="1" hidden="" ht="14" outlineLevel="0" r="19291">
      <c r="A19291" s="3" t="inlineStr">
        <is>
          <t>19243</t>
        </is>
      </c>
      <c r="B19291" s="4" t="s">
        <f>=HYPERLINK("http://anyluxury.ru/shop/odezhda/rubashki-polo/rubashka-polo-muzhskaya-spring-210-temnoseraya-189818/" , "1898.18 Рубашка поло мужская SPRING 210 темно-серая, размер XL")</f>
      </c>
      <c r="C19291" s="4" t="n">
        <v>1768.00</v>
      </c>
      <c r="D19291" s="4"/>
    </row>
    <row collapsed="" customFormat="false" customHeight="1" hidden="" ht="14" outlineLevel="0" r="19292">
      <c r="A19292" s="3" t="inlineStr">
        <is>
          <t>19244</t>
        </is>
      </c>
      <c r="B19292" s="4" t="s">
        <f>=HYPERLINK("http://anyluxury.ru/shop/odezhda/rubashki-polo/rubashka-polo-muzhskaya-spring-210-temnoseraya-189818/" , "1898.18 Рубашка поло мужская SPRING 210 темно-серая, размер XXL")</f>
      </c>
      <c r="C19292" s="4" t="n">
        <v>1768.00</v>
      </c>
      <c r="D19292" s="4"/>
    </row>
    <row collapsed="" customFormat="false" customHeight="1" hidden="" ht="14" outlineLevel="0" r="19293">
      <c r="A19293" s="3" t="inlineStr">
        <is>
          <t>19245</t>
        </is>
      </c>
      <c r="B19293" s="4" t="s">
        <f>=HYPERLINK("http://anyluxury.ru/shop/odezhda/rubashki-polo/rubashka-polo-muzhskaya-spring-210-rozovaya-189856/" , "1898.56 Рубашка поло мужская SPRING 210 розовая, размер S")</f>
      </c>
      <c r="C19293" s="4" t="n">
        <v>1768.00</v>
      </c>
      <c r="D19293" s="4"/>
    </row>
    <row collapsed="" customFormat="false" customHeight="1" hidden="" ht="14" outlineLevel="0" r="19294">
      <c r="A19294" s="3" t="inlineStr">
        <is>
          <t>19246</t>
        </is>
      </c>
      <c r="B19294" s="4" t="s">
        <f>=HYPERLINK("http://anyluxury.ru/shop/odezhda/rubashki-polo/rubashka-polo-muzhskaya-spring-210-rozovaya-189856/" , "1898.56 Рубашка поло мужская SPRING 210 розовая, размер M")</f>
      </c>
      <c r="C19294" s="4" t="n">
        <v>1768.00</v>
      </c>
      <c r="D19294" s="4"/>
    </row>
    <row collapsed="" customFormat="false" customHeight="1" hidden="" ht="14" outlineLevel="0" r="19295">
      <c r="A19295" s="3" t="inlineStr">
        <is>
          <t>19247</t>
        </is>
      </c>
      <c r="B19295" s="4" t="s">
        <f>=HYPERLINK("http://anyluxury.ru/shop/odezhda/rubashki-polo/rubashka-polo-muzhskaya-spring-210-rozovaya-189856/" , "1898.56 Рубашка поло мужская SPRING 210 розовая, размер L")</f>
      </c>
      <c r="C19295" s="4" t="n">
        <v>1768.00</v>
      </c>
      <c r="D19295" s="4"/>
    </row>
    <row collapsed="" customFormat="false" customHeight="1" hidden="" ht="14" outlineLevel="0" r="19296">
      <c r="A19296" s="3" t="inlineStr">
        <is>
          <t>19248</t>
        </is>
      </c>
      <c r="B19296" s="4" t="s">
        <f>=HYPERLINK("http://anyluxury.ru/shop/odezhda/rubashki-polo/rubashka-polo-muzhskaya-spring-210-rozovaya-189856/" , "1898.56 Рубашка поло мужская SPRING 210 розовая, размер XL")</f>
      </c>
      <c r="C19296" s="4" t="n">
        <v>1768.00</v>
      </c>
      <c r="D19296" s="4"/>
    </row>
    <row collapsed="" customFormat="false" customHeight="1" hidden="" ht="14" outlineLevel="0" r="19297">
      <c r="A19297" s="3" t="inlineStr">
        <is>
          <t>19249</t>
        </is>
      </c>
      <c r="B19297" s="4" t="s">
        <f>=HYPERLINK("http://anyluxury.ru/shop/odezhda/rubashki-polo/rubashka-polo-muzhskaya-spring-210-rozovaya-189856/" , "1898.56 Рубашка поло мужская SPRING 210 розовая, размер XXL")</f>
      </c>
      <c r="C19297" s="4" t="n">
        <v>1768.00</v>
      </c>
      <c r="D19297" s="4"/>
    </row>
    <row collapsed="" customFormat="false" customHeight="1" hidden="" ht="14" outlineLevel="0" r="19298">
      <c r="A19298" s="3" t="inlineStr">
        <is>
          <t>19250</t>
        </is>
      </c>
      <c r="B19298" s="4" t="s">
        <f>=HYPERLINK("http://anyluxury.ru/shop/odezhda/rubashki-polo/rubashka-polo-muzhskaya-spring-210-shokoladnokorichnevaya-189859/" , "1898.59 Рубашка поло мужская SPRING 210 шоколадно-коричневая, размер S")</f>
      </c>
      <c r="C19298" s="4" t="n">
        <v>1768.00</v>
      </c>
      <c r="D19298" s="4"/>
    </row>
    <row collapsed="" customFormat="false" customHeight="1" hidden="" ht="14" outlineLevel="0" r="19299">
      <c r="A19299" s="3" t="inlineStr">
        <is>
          <t>19251</t>
        </is>
      </c>
      <c r="B19299" s="4" t="s">
        <f>=HYPERLINK("http://anyluxury.ru/shop/odezhda/rubashki-polo/rubashka-polo-muzhskaya-spring-210-shokoladnokorichnevaya-189859/" , "1898.59 Рубашка поло мужская SPRING 210 шоколадно-коричневая, размер M")</f>
      </c>
      <c r="C19299" s="4" t="n">
        <v>1768.00</v>
      </c>
      <c r="D19299" s="4"/>
    </row>
    <row collapsed="" customFormat="false" customHeight="1" hidden="" ht="14" outlineLevel="0" r="19300">
      <c r="A19300" s="3" t="inlineStr">
        <is>
          <t>19252</t>
        </is>
      </c>
      <c r="B19300" s="4" t="s">
        <f>=HYPERLINK("http://anyluxury.ru/shop/odezhda/rubashki-polo/rubashka-polo-muzhskaya-spring-210-shokoladnokorichnevaya-189859/" , "1898.59 Рубашка поло мужская SPRING 210 шоколадно-коричневая, размер L")</f>
      </c>
      <c r="C19300" s="4" t="n">
        <v>1768.00</v>
      </c>
      <c r="D19300" s="4"/>
    </row>
    <row collapsed="" customFormat="false" customHeight="1" hidden="" ht="14" outlineLevel="0" r="19301">
      <c r="A19301" s="3" t="inlineStr">
        <is>
          <t>19253</t>
        </is>
      </c>
      <c r="B19301" s="4" t="s">
        <f>=HYPERLINK("http://anyluxury.ru/shop/odezhda/rubashki-polo/rubashka-polo-muzhskaya-spring-210-shokoladnokorichnevaya-189859/" , "1898.59 Рубашка поло мужская SPRING 210 шоколадно-коричневая, размер XL")</f>
      </c>
      <c r="C19301" s="4" t="n">
        <v>1768.00</v>
      </c>
      <c r="D19301" s="4"/>
    </row>
    <row collapsed="" customFormat="false" customHeight="1" hidden="" ht="14" outlineLevel="0" r="19302">
      <c r="A19302" s="3" t="inlineStr">
        <is>
          <t>19254</t>
        </is>
      </c>
      <c r="B19302" s="4" t="s">
        <f>=HYPERLINK("http://anyluxury.ru/shop/odezhda/rubashki-polo/rubashka-polo-muzhskaya-spring-210-shokoladnokorichnevaya-189859/" , "1898.59 Рубашка поло мужская SPRING 210 шоколадно-коричневая, размер XXL")</f>
      </c>
      <c r="C19302" s="4" t="n">
        <v>1768.00</v>
      </c>
      <c r="D19302" s="4"/>
    </row>
    <row collapsed="" customFormat="false" customHeight="1" hidden="" ht="14" outlineLevel="0" r="19303">
      <c r="A19303" s="3" t="inlineStr">
        <is>
          <t>19255</t>
        </is>
      </c>
      <c r="B19303" s="4" t="s">
        <f>=HYPERLINK("http://anyluxury.ru/shop/odezhda/rubashki-polo/rubashka-polo-muzhskaya-s-dlinnim-rukavom-star-170-krasnaya-542050/" , "5420.50 Рубашка поло мужская с длинным рукавом STAR 170 красная, размер S")</f>
      </c>
      <c r="C19303" s="4" t="n">
        <v>1760.00</v>
      </c>
      <c r="D19303" s="4"/>
    </row>
    <row collapsed="" customFormat="false" customHeight="1" hidden="" ht="14" outlineLevel="0" r="19304">
      <c r="A19304" s="3" t="inlineStr">
        <is>
          <t>19256</t>
        </is>
      </c>
      <c r="B19304" s="4" t="s">
        <f>=HYPERLINK("http://anyluxury.ru/shop/odezhda/rubashki-polo/rubashka-polo-muzhskaya-summer-170-svetloseriy-melanzh-137916/" , "1379.16 Рубашка поло мужская SUMMER 170 светло-серый меланж, размер XS")</f>
      </c>
      <c r="C19304" s="4" t="n">
        <v>1135.00</v>
      </c>
      <c r="D19304" s="4"/>
    </row>
    <row collapsed="" customFormat="false" customHeight="1" hidden="" ht="14" outlineLevel="0" r="19305">
      <c r="A19305" s="3" t="inlineStr">
        <is>
          <t>19257</t>
        </is>
      </c>
      <c r="B19305" s="4" t="s">
        <f>=HYPERLINK("http://anyluxury.ru/shop/odezhda/rubashki-polo/rubashka-polo-muzhskaya-summer-170-svetloseriy-melanzh-137916/" , "1379.16 Рубашка поло мужская SUMMER 170 светло-серый меланж, размер S")</f>
      </c>
      <c r="C19305" s="4" t="n">
        <v>1135.00</v>
      </c>
      <c r="D19305" s="4"/>
    </row>
    <row collapsed="" customFormat="false" customHeight="1" hidden="" ht="14" outlineLevel="0" r="19306">
      <c r="A19306" s="3" t="inlineStr">
        <is>
          <t>19258</t>
        </is>
      </c>
      <c r="B19306" s="4" t="s">
        <f>=HYPERLINK("http://anyluxury.ru/shop/odezhda/rubashki-polo/rubashka-polo-muzhskaya-summer-170-svetloseriy-melanzh-137916/" , "1379.16 Рубашка поло мужская SUMMER 170 светло-серый меланж, размер M")</f>
      </c>
      <c r="C19306" s="4" t="n">
        <v>1135.00</v>
      </c>
      <c r="D19306" s="4"/>
    </row>
    <row collapsed="" customFormat="false" customHeight="1" hidden="" ht="14" outlineLevel="0" r="19307">
      <c r="A19307" s="3" t="inlineStr">
        <is>
          <t>19259</t>
        </is>
      </c>
      <c r="B19307" s="4" t="s">
        <f>=HYPERLINK("http://anyluxury.ru/shop/odezhda/rubashki-polo/rubashka-polo-muzhskaya-summer-170-svetloseriy-melanzh-137916/" , "1379.16 Рубашка поло мужская SUMMER 170 светло-серый меланж, размер L")</f>
      </c>
      <c r="C19307" s="4" t="n">
        <v>1135.00</v>
      </c>
      <c r="D19307" s="4"/>
    </row>
    <row collapsed="" customFormat="false" customHeight="1" hidden="" ht="14" outlineLevel="0" r="19308">
      <c r="A19308" s="3" t="inlineStr">
        <is>
          <t>19260</t>
        </is>
      </c>
      <c r="B19308" s="4" t="s">
        <f>=HYPERLINK("http://anyluxury.ru/shop/odezhda/rubashki-polo/rubashka-polo-muzhskaya-summer-170-svetloseriy-melanzh-137916/" , "1379.16 Рубашка поло мужская SUMMER 170 светло-серый меланж, размер XL")</f>
      </c>
      <c r="C19308" s="4" t="n">
        <v>1135.00</v>
      </c>
      <c r="D19308" s="4"/>
    </row>
    <row collapsed="" customFormat="false" customHeight="1" hidden="" ht="14" outlineLevel="0" r="19309">
      <c r="A19309" s="3" t="inlineStr">
        <is>
          <t>19261</t>
        </is>
      </c>
      <c r="B19309" s="4" t="s">
        <f>=HYPERLINK("http://anyluxury.ru/shop/odezhda/rubashki-polo/rubashka-polo-muzhskaya-summer-170-svetloseriy-melanzh-137916/" , "1379.16 Рубашка поло мужская SUMMER 170 светло-серый меланж, размер XXL")</f>
      </c>
      <c r="C19309" s="4" t="n">
        <v>1135.00</v>
      </c>
      <c r="D19309" s="4"/>
    </row>
    <row collapsed="" customFormat="false" customHeight="1" hidden="" ht="14" outlineLevel="0" r="19310">
      <c r="A19310" s="3" t="inlineStr">
        <is>
          <t>19262</t>
        </is>
      </c>
      <c r="B19310" s="4" t="s">
        <f>=HYPERLINK("http://anyluxury.ru/shop/odezhda/rubashki-polo/rubashka-polo-muzhskaya-summer-170-haki-137999/" , "1379.99 Рубашка поло мужская SUMMER 170 хаки, размер XS")</f>
      </c>
      <c r="C19310" s="4" t="n">
        <v>1135.00</v>
      </c>
      <c r="D19310" s="4"/>
    </row>
    <row collapsed="" customFormat="false" customHeight="1" hidden="" ht="14" outlineLevel="0" r="19311">
      <c r="A19311" s="3" t="inlineStr">
        <is>
          <t>19263</t>
        </is>
      </c>
      <c r="B19311" s="4" t="s">
        <f>=HYPERLINK("http://anyluxury.ru/shop/odezhda/rubashki-polo/rubashka-polo-muzhskaya-summer-170-haki-137999/" , "1379.99 Рубашка поло мужская SUMMER 170 хаки, размер S")</f>
      </c>
      <c r="C19311" s="4" t="n">
        <v>1135.00</v>
      </c>
      <c r="D19311" s="4"/>
    </row>
    <row collapsed="" customFormat="false" customHeight="1" hidden="" ht="14" outlineLevel="0" r="19312">
      <c r="A19312" s="3" t="inlineStr">
        <is>
          <t>19264</t>
        </is>
      </c>
      <c r="B19312" s="4" t="s">
        <f>=HYPERLINK("http://anyluxury.ru/shop/odezhda/rubashki-polo/rubashka-polo-muzhskaya-summer-170-haki-137999/" , "1379.99 Рубашка поло мужская SUMMER 170 хаки, размер M")</f>
      </c>
      <c r="C19312" s="4" t="n">
        <v>1135.00</v>
      </c>
      <c r="D19312" s="4"/>
    </row>
    <row collapsed="" customFormat="false" customHeight="1" hidden="" ht="14" outlineLevel="0" r="19313">
      <c r="A19313" s="3" t="inlineStr">
        <is>
          <t>19265</t>
        </is>
      </c>
      <c r="B19313" s="4" t="s">
        <f>=HYPERLINK("http://anyluxury.ru/shop/odezhda/rubashki-polo/rubashka-polo-muzhskaya-summer-170-haki-137999/" , "1379.99 Рубашка поло мужская SUMMER 170 хаки, размер L")</f>
      </c>
      <c r="C19313" s="4" t="n">
        <v>1135.00</v>
      </c>
      <c r="D19313" s="4"/>
    </row>
    <row collapsed="" customFormat="false" customHeight="1" hidden="" ht="14" outlineLevel="0" r="19314">
      <c r="A19314" s="3" t="inlineStr">
        <is>
          <t>19266</t>
        </is>
      </c>
      <c r="B19314" s="4" t="s">
        <f>=HYPERLINK("http://anyluxury.ru/shop/odezhda/rubashki-polo/rubashka-polo-muzhskaya-summer-170-haki-137999/" , "1379.99 Рубашка поло мужская SUMMER 170 хаки, размер XL")</f>
      </c>
      <c r="C19314" s="4" t="n">
        <v>1135.00</v>
      </c>
      <c r="D19314" s="4"/>
    </row>
    <row collapsed="" customFormat="false" customHeight="1" hidden="" ht="14" outlineLevel="0" r="19315">
      <c r="A19315" s="3" t="inlineStr">
        <is>
          <t>19267</t>
        </is>
      </c>
      <c r="B19315" s="4" t="s">
        <f>=HYPERLINK("http://anyluxury.ru/shop/odezhda/rubashki-polo/rubashka-polo-muzhskaya-summer-170-haki-137999/" , "1379.99 Рубашка поло мужская SUMMER 170 хаки, размер XXL")</f>
      </c>
      <c r="C19315" s="4" t="n">
        <v>1135.00</v>
      </c>
      <c r="D19315" s="4"/>
    </row>
    <row collapsed="" customFormat="false" customHeight="1" hidden="" ht="14" outlineLevel="0" r="19316">
      <c r="A19316" s="3" t="inlineStr">
        <is>
          <t>19268</t>
        </is>
      </c>
      <c r="B19316" s="4" t="s">
        <f>=HYPERLINK("http://anyluxury.ru/shop/odezhda/rubashki-polo/rubashka-polo-virma-light-belaya-202460/" , "2024.60 Рубашка поло мужская Virma light, белая, размер S")</f>
      </c>
      <c r="C19316" s="4" t="n">
        <v>849.00</v>
      </c>
      <c r="D19316" s="4"/>
    </row>
    <row collapsed="" customFormat="false" customHeight="1" hidden="" ht="14" outlineLevel="0" r="19317">
      <c r="A19317" s="3" t="inlineStr">
        <is>
          <t>19269</t>
        </is>
      </c>
      <c r="B19317" s="4" t="s">
        <f>=HYPERLINK("http://anyluxury.ru/shop/odezhda/rubashki-polo/rubashka-polo-virma-light-belaya-202460/" , "2024.60 Рубашка поло мужская Virma light, белая, размер M")</f>
      </c>
      <c r="C19317" s="4" t="n">
        <v>849.00</v>
      </c>
      <c r="D19317" s="4"/>
    </row>
    <row collapsed="" customFormat="false" customHeight="1" hidden="" ht="14" outlineLevel="0" r="19318">
      <c r="A19318" s="3" t="inlineStr">
        <is>
          <t>19270</t>
        </is>
      </c>
      <c r="B19318" s="4" t="s">
        <f>=HYPERLINK("http://anyluxury.ru/shop/odezhda/rubashki-polo/rubashka-polo-virma-light-belaya-202460/" , "2024.60 Рубашка поло мужская Virma light, белая, размер XXL")</f>
      </c>
      <c r="C19318" s="4" t="n">
        <v>849.00</v>
      </c>
      <c r="D19318" s="4"/>
    </row>
    <row collapsed="" customFormat="false" customHeight="1" hidden="" ht="14" outlineLevel="0" r="19319">
      <c r="A19319" s="3" t="inlineStr">
        <is>
          <t>19271</t>
        </is>
      </c>
      <c r="B19319" s="4" t="s">
        <f>=HYPERLINK("http://anyluxury.ru/shop/odezhda/rubashki-polo/rubashka-polo-virma-light-belaya-202460/" , "2024.60 Рубашка поло мужская Virma light, белая, размер 3XL")</f>
      </c>
      <c r="C19319" s="4" t="n">
        <v>849.00</v>
      </c>
      <c r="D19319" s="4"/>
    </row>
    <row collapsed="" customFormat="false" customHeight="1" hidden="" ht="14" outlineLevel="0" r="19320">
      <c r="A19320" s="3" t="inlineStr">
        <is>
          <t>19272</t>
        </is>
      </c>
      <c r="B19320" s="4" t="s">
        <f>=HYPERLINK("http://anyluxury.ru/shop/odezhda/rubashki-polo/rubashka-polo-virma-light-belaya-202460/" , "2024.60 Рубашка поло Virma Light, белая, размер 4XL")</f>
      </c>
      <c r="C19320" s="4" t="n">
        <v>849.00</v>
      </c>
      <c r="D19320" s="4"/>
    </row>
    <row collapsed="" customFormat="false" customHeight="1" hidden="" ht="14" outlineLevel="0" r="19321">
      <c r="A19321" s="3" t="inlineStr">
        <is>
          <t>19273</t>
        </is>
      </c>
      <c r="B19321" s="4" t="s">
        <f>=HYPERLINK("http://anyluxury.ru/shop/odezhda/rubashki-polo/rubashka-polo-virma-light-krasnaya-202450/" , "2024.50 Рубашка поло мужская Virma light, красная, размер S")</f>
      </c>
      <c r="C19321" s="4" t="n">
        <v>849.00</v>
      </c>
      <c r="D19321" s="4"/>
    </row>
    <row collapsed="" customFormat="false" customHeight="1" hidden="" ht="14" outlineLevel="0" r="19322">
      <c r="A19322" s="3" t="inlineStr">
        <is>
          <t>19274</t>
        </is>
      </c>
      <c r="B19322" s="4" t="s">
        <f>=HYPERLINK("http://anyluxury.ru/shop/odezhda/rubashki-polo/rubashka-polo-virma-light-krasnaya-202450/" , "2024.50 Рубашка поло мужская Virma light, красная, размер M")</f>
      </c>
      <c r="C19322" s="4" t="n">
        <v>849.00</v>
      </c>
      <c r="D19322" s="4"/>
    </row>
    <row collapsed="" customFormat="false" customHeight="1" hidden="" ht="14" outlineLevel="0" r="19323">
      <c r="A19323" s="3" t="inlineStr">
        <is>
          <t>19275</t>
        </is>
      </c>
      <c r="B19323" s="4" t="s">
        <f>=HYPERLINK("http://anyluxury.ru/shop/odezhda/rubashki-polo/rubashka-polo-virma-light-krasnaya-202450/" , "2024.50 Рубашка поло Virma Light, красная, размер 4XL")</f>
      </c>
      <c r="C19323" s="4" t="n">
        <v>849.00</v>
      </c>
      <c r="D19323" s="4"/>
    </row>
    <row collapsed="" customFormat="false" customHeight="1" hidden="" ht="14" outlineLevel="0" r="19324">
      <c r="A19324" s="3" t="inlineStr">
        <is>
          <t>19276</t>
        </is>
      </c>
      <c r="B19324" s="4" t="s">
        <f>=HYPERLINK("http://anyluxury.ru/shop/odezhda/rubashki-polo/rubashka-polo-virma-light-yarkosinyaya-royal-202444/" , "2024.44 Рубашка поло мужская Virma light, ярко-синяя (royal), размер S")</f>
      </c>
      <c r="C19324" s="4" t="n">
        <v>849.00</v>
      </c>
      <c r="D19324" s="4"/>
    </row>
    <row collapsed="" customFormat="false" customHeight="1" hidden="" ht="14" outlineLevel="0" r="19325">
      <c r="A19325" s="3" t="inlineStr">
        <is>
          <t>19277</t>
        </is>
      </c>
      <c r="B19325" s="4" t="s">
        <f>=HYPERLINK("http://anyluxury.ru/shop/odezhda/rubashki-polo/rubashka-polo-virma-light-yarkosinyaya-royal-202444/" , "2024.44 Рубашка поло мужская Virma light, ярко-синяя (royal), размер M")</f>
      </c>
      <c r="C19325" s="4" t="n">
        <v>849.00</v>
      </c>
      <c r="D19325" s="4"/>
    </row>
    <row collapsed="" customFormat="false" customHeight="1" hidden="" ht="14" outlineLevel="0" r="19326">
      <c r="A19326" s="3" t="inlineStr">
        <is>
          <t>19278</t>
        </is>
      </c>
      <c r="B19326" s="4" t="s">
        <f>=HYPERLINK("http://anyluxury.ru/shop/odezhda/rubashki-polo/rubashka-polo-virma-light-temnosinyaya-navy-202440/" , "2024.40 Рубашка поло мужская Virma light, темно-синяя (navy), размер M")</f>
      </c>
      <c r="C19326" s="4" t="n">
        <v>849.00</v>
      </c>
      <c r="D19326" s="4"/>
    </row>
    <row collapsed="" customFormat="false" customHeight="1" hidden="" ht="14" outlineLevel="0" r="19327">
      <c r="A19327" s="3" t="inlineStr">
        <is>
          <t>19279</t>
        </is>
      </c>
      <c r="B19327" s="4" t="s">
        <f>=HYPERLINK("http://anyluxury.ru/shop/odezhda/rubashki-polo/rubashka-polo-virma-light-temnosinyaya-navy-202440/" , "2024.40 Рубашка поло мужская Virma light, темно-синяя (navy), размер 3XL")</f>
      </c>
      <c r="C19327" s="4" t="n">
        <v>849.00</v>
      </c>
      <c r="D19327" s="4"/>
    </row>
    <row collapsed="" customFormat="false" customHeight="1" hidden="" ht="14" outlineLevel="0" r="19328">
      <c r="A19328" s="3" t="inlineStr">
        <is>
          <t>19280</t>
        </is>
      </c>
      <c r="B19328" s="4" t="s">
        <f>=HYPERLINK("http://anyluxury.ru/shop/odezhda/rubashki-polo/rubashka-polo-virma-light-temnosinyaya-navy-202440/" , "2024.40 Рубашка поло Virma Light, темно-синяя (navy), размер 4XL")</f>
      </c>
      <c r="C19328" s="4" t="n">
        <v>849.00</v>
      </c>
      <c r="D19328" s="4"/>
    </row>
    <row collapsed="" customFormat="false" customHeight="1" hidden="" ht="14" outlineLevel="0" r="19329">
      <c r="A19329" s="3" t="inlineStr">
        <is>
          <t>19281</t>
        </is>
      </c>
      <c r="B19329" s="4" t="s">
        <f>=HYPERLINK("http://anyluxury.ru/shop/odezhda/rubashki-polo/rubashka-polo-virma-light-chernaya-202430/" , "2024.30 Рубашка поло мужская Virma light, черная, размер S")</f>
      </c>
      <c r="C19329" s="4" t="n">
        <v>849.00</v>
      </c>
      <c r="D19329" s="4"/>
    </row>
    <row collapsed="" customFormat="false" customHeight="1" hidden="" ht="14" outlineLevel="0" r="19330">
      <c r="A19330" s="3" t="inlineStr">
        <is>
          <t>19282</t>
        </is>
      </c>
      <c r="B19330" s="4" t="s">
        <f>=HYPERLINK("http://anyluxury.ru/shop/odezhda/rubashki-polo/rubashka-polo-virma-light-chernaya-202430/" , "2024.30 Рубашка поло мужская Virma light, черная, размер M")</f>
      </c>
      <c r="C19330" s="4" t="n">
        <v>849.00</v>
      </c>
      <c r="D19330" s="4"/>
    </row>
    <row collapsed="" customFormat="false" customHeight="1" hidden="" ht="14" outlineLevel="0" r="19331">
      <c r="A19331" s="3" t="inlineStr">
        <is>
          <t>19283</t>
        </is>
      </c>
      <c r="B19331" s="4" t="s">
        <f>=HYPERLINK("http://anyluxury.ru/shop/odezhda/rubashki-polo/rubashka-polo-virma-light-chernaya-202430/" , "2024.30 Рубашка поло мужская Virma light, черная, размер L")</f>
      </c>
      <c r="C19331" s="4" t="n">
        <v>849.00</v>
      </c>
      <c r="D19331" s="4"/>
    </row>
    <row collapsed="" customFormat="false" customHeight="1" hidden="" ht="14" outlineLevel="0" r="19332">
      <c r="A19332" s="3" t="inlineStr">
        <is>
          <t>19284</t>
        </is>
      </c>
      <c r="B19332" s="4" t="s">
        <f>=HYPERLINK("http://anyluxury.ru/shop/odezhda/rubashki-polo/rubashka-polo-virma-light-chernaya-202430/" , "2024.30 Рубашка поло мужская Virma light, черная, размер XL")</f>
      </c>
      <c r="C19332" s="4" t="n">
        <v>849.00</v>
      </c>
      <c r="D19332" s="4"/>
    </row>
    <row collapsed="" customFormat="false" customHeight="1" hidden="" ht="14" outlineLevel="0" r="19333">
      <c r="A19333" s="3" t="inlineStr">
        <is>
          <t>19285</t>
        </is>
      </c>
      <c r="B19333" s="4" t="s">
        <f>=HYPERLINK("http://anyluxury.ru/shop/odezhda/rubashki-polo/rubashka-polo-virma-light-chernaya-202430/" , "2024.30 Рубашка поло мужская Virma light, черная, размер XXL")</f>
      </c>
      <c r="C19333" s="4" t="n">
        <v>849.00</v>
      </c>
      <c r="D19333" s="4"/>
    </row>
    <row collapsed="" customFormat="false" customHeight="1" hidden="" ht="14" outlineLevel="0" r="19334">
      <c r="A19334" s="3" t="inlineStr">
        <is>
          <t>19286</t>
        </is>
      </c>
      <c r="B19334" s="4" t="s">
        <f>=HYPERLINK("http://anyluxury.ru/shop/odezhda/rubashki-polo/rubashka-polo-virma-light-chernaya-202430/" , "2024.30 Рубашка поло мужская Virma light, черная, размер 3XL")</f>
      </c>
      <c r="C19334" s="4" t="n">
        <v>849.00</v>
      </c>
      <c r="D19334" s="4"/>
    </row>
    <row collapsed="" customFormat="false" customHeight="1" hidden="" ht="14" outlineLevel="0" r="19335">
      <c r="A19335" s="3" t="inlineStr">
        <is>
          <t>19287</t>
        </is>
      </c>
      <c r="B19335" s="4" t="s">
        <f>=HYPERLINK("http://anyluxury.ru/shop/odezhda/rubashki-polo/rubashka-polo-virma-light-chernaya-202430/" , "2024.30 Рубашка поло Virma Light, черная, размер 4XL")</f>
      </c>
      <c r="C19335" s="4" t="n">
        <v>849.00</v>
      </c>
      <c r="D19335" s="4"/>
    </row>
    <row collapsed="" customFormat="false" customHeight="1" hidden="" ht="14" outlineLevel="0" r="19336">
      <c r="A19336" s="3" t="inlineStr">
        <is>
          <t>19288</t>
        </is>
      </c>
      <c r="B19336" s="4" t="s">
        <f>=HYPERLINK("http://anyluxury.ru/shop/odezhda/rubashki-polo/rubashka-polo-virma-light-zheltaya-202480/" , "2024.80 Рубашка поло мужская Virma light, желтая, размер S")</f>
      </c>
      <c r="C19336" s="4" t="n">
        <v>849.00</v>
      </c>
      <c r="D19336" s="4"/>
    </row>
    <row collapsed="" customFormat="false" customHeight="1" hidden="" ht="14" outlineLevel="0" r="19337">
      <c r="A19337" s="3" t="inlineStr">
        <is>
          <t>19289</t>
        </is>
      </c>
      <c r="B19337" s="4" t="s">
        <f>=HYPERLINK("http://anyluxury.ru/shop/odezhda/rubashki-polo/rubashka-polo-virma-light-zheltaya-202480/" , "2024.80 Рубашка поло мужская Virma light, желтая, размер M")</f>
      </c>
      <c r="C19337" s="4" t="n">
        <v>849.00</v>
      </c>
      <c r="D19337" s="4"/>
    </row>
    <row collapsed="" customFormat="false" customHeight="1" hidden="" ht="14" outlineLevel="0" r="19338">
      <c r="A19338" s="3" t="inlineStr">
        <is>
          <t>19290</t>
        </is>
      </c>
      <c r="B19338" s="4" t="s">
        <f>=HYPERLINK("http://anyluxury.ru/shop/odezhda/rubashki-polo/rubashka-polo-virma-light-zheltaya-202480/" , "2024.80 Рубашка поло мужская Virma light, желтая, размер L")</f>
      </c>
      <c r="C19338" s="4" t="n">
        <v>849.00</v>
      </c>
      <c r="D19338" s="4"/>
    </row>
    <row collapsed="" customFormat="false" customHeight="1" hidden="" ht="14" outlineLevel="0" r="19339">
      <c r="A19339" s="3" t="inlineStr">
        <is>
          <t>19291</t>
        </is>
      </c>
      <c r="B19339" s="4" t="s">
        <f>=HYPERLINK("http://anyluxury.ru/shop/odezhda/rubashki-polo/rubashka-polo-virma-light-zheltaya-202480/" , "2024.80 Рубашка поло мужская Virma light, желтая, размер XL")</f>
      </c>
      <c r="C19339" s="4" t="n">
        <v>849.00</v>
      </c>
      <c r="D19339" s="4"/>
    </row>
    <row collapsed="" customFormat="false" customHeight="1" hidden="" ht="14" outlineLevel="0" r="19340">
      <c r="A19340" s="3" t="inlineStr">
        <is>
          <t>19292</t>
        </is>
      </c>
      <c r="B19340" s="4" t="s">
        <f>=HYPERLINK("http://anyluxury.ru/shop/odezhda/rubashki-polo/rubashka-polo-virma-light-zheltaya-202480/" , "2024.80 Рубашка поло мужская Virma light, желтая, размер XXL")</f>
      </c>
      <c r="C19340" s="4" t="n">
        <v>849.00</v>
      </c>
      <c r="D19340" s="4"/>
    </row>
    <row collapsed="" customFormat="false" customHeight="1" hidden="" ht="14" outlineLevel="0" r="19341">
      <c r="A19341" s="3" t="inlineStr">
        <is>
          <t>19293</t>
        </is>
      </c>
      <c r="B19341" s="4" t="s">
        <f>=HYPERLINK("http://anyluxury.ru/shop/odezhda/rubashki-polo/rubashka-polo-virma-light-zheltaya-202480/" , "2024.80 Рубашка поло мужская Virma light, желтая, размер 3XL")</f>
      </c>
      <c r="C19341" s="4" t="n">
        <v>849.00</v>
      </c>
      <c r="D19341" s="4"/>
    </row>
    <row collapsed="" customFormat="false" customHeight="1" hidden="" ht="14" outlineLevel="0" r="19342">
      <c r="A19342" s="3" t="inlineStr">
        <is>
          <t>19294</t>
        </is>
      </c>
      <c r="B19342" s="4" t="s">
        <f>=HYPERLINK("http://anyluxury.ru/shop/odezhda/rubashki-polo/rubashka-polo-virma-light-oranzhevaya-202420/" , "2024.20 Рубашка поло мужская Virma light, оранжевая, размер S")</f>
      </c>
      <c r="C19342" s="4" t="n">
        <v>849.00</v>
      </c>
      <c r="D19342" s="4"/>
    </row>
    <row collapsed="" customFormat="false" customHeight="1" hidden="" ht="14" outlineLevel="0" r="19343">
      <c r="A19343" s="3" t="inlineStr">
        <is>
          <t>19295</t>
        </is>
      </c>
      <c r="B19343" s="4" t="s">
        <f>=HYPERLINK("http://anyluxury.ru/shop/odezhda/rubashki-polo/rubashka-polo-virma-light-oranzhevaya-202420/" , "2024.20 Рубашка поло мужская Virma light, оранжевая, размер M")</f>
      </c>
      <c r="C19343" s="4" t="n">
        <v>849.00</v>
      </c>
      <c r="D19343" s="4"/>
    </row>
    <row collapsed="" customFormat="false" customHeight="1" hidden="" ht="14" outlineLevel="0" r="19344">
      <c r="A19344" s="3" t="inlineStr">
        <is>
          <t>19296</t>
        </is>
      </c>
      <c r="B19344" s="4" t="s">
        <f>=HYPERLINK("http://anyluxury.ru/shop/odezhda/rubashki-polo/rubashka-polo-virma-light-oranzhevaya-202420/" , "2024.20 Рубашка поло мужская Virma light, оранжевая, размер L")</f>
      </c>
      <c r="C19344" s="4" t="n">
        <v>849.00</v>
      </c>
      <c r="D19344" s="4"/>
    </row>
    <row collapsed="" customFormat="false" customHeight="1" hidden="" ht="14" outlineLevel="0" r="19345">
      <c r="A19345" s="3" t="inlineStr">
        <is>
          <t>19297</t>
        </is>
      </c>
      <c r="B19345" s="4" t="s">
        <f>=HYPERLINK("http://anyluxury.ru/shop/odezhda/rubashki-polo/rubashka-polo-virma-light-oranzhevaya-202420/" , "2024.20 Рубашка поло мужская Virma light, оранжевая, размер XL")</f>
      </c>
      <c r="C19345" s="4" t="n">
        <v>849.00</v>
      </c>
      <c r="D19345" s="4"/>
    </row>
    <row collapsed="" customFormat="false" customHeight="1" hidden="" ht="14" outlineLevel="0" r="19346">
      <c r="A19346" s="3" t="inlineStr">
        <is>
          <t>19298</t>
        </is>
      </c>
      <c r="B19346" s="4" t="s">
        <f>=HYPERLINK("http://anyluxury.ru/shop/odezhda/rubashki-polo/rubashka-polo-virma-light-oranzhevaya-202420/" , "2024.20 Рубашка поло мужская Virma light, оранжевая, размер XXL")</f>
      </c>
      <c r="C19346" s="4" t="n">
        <v>849.00</v>
      </c>
      <c r="D19346" s="4"/>
    </row>
    <row collapsed="" customFormat="false" customHeight="1" hidden="" ht="14" outlineLevel="0" r="19347">
      <c r="A19347" s="3" t="inlineStr">
        <is>
          <t>19299</t>
        </is>
      </c>
      <c r="B19347" s="4" t="s">
        <f>=HYPERLINK("http://anyluxury.ru/shop/odezhda/rubashki-polo/rubashka-polo-virma-light-oranzhevaya-202420/" , "2024.20 Рубашка поло мужская Virma light, оранжевая, размер 3XL")</f>
      </c>
      <c r="C19347" s="4" t="n">
        <v>849.00</v>
      </c>
      <c r="D19347" s="4"/>
    </row>
    <row collapsed="" customFormat="false" customHeight="1" hidden="" ht="14" outlineLevel="0" r="19348">
      <c r="A19348" s="3" t="inlineStr">
        <is>
          <t>19300</t>
        </is>
      </c>
      <c r="B19348" s="4" t="s">
        <f>=HYPERLINK("http://anyluxury.ru/shop/odezhda/rubashki-polo/rubashka-polo-virma-light-seriy-melanzh-202411/" , "2024.11 Рубашка поло мужская Virma light, серый меланж, размер M")</f>
      </c>
      <c r="C19348" s="4" t="n">
        <v>849.00</v>
      </c>
      <c r="D19348" s="4"/>
    </row>
    <row collapsed="" customFormat="false" customHeight="1" hidden="" ht="14" outlineLevel="0" r="19349">
      <c r="A19349" s="3" t="inlineStr">
        <is>
          <t>19301</t>
        </is>
      </c>
      <c r="B19349" s="4" t="s">
        <f>=HYPERLINK("http://anyluxury.ru/shop/odezhda/rubashki-polo/rubashka-polo-virma-light-seriy-melanzh-202411/" , "2024.11 Рубашка поло мужская Virma light, серый меланж, размер L")</f>
      </c>
      <c r="C19349" s="4" t="n">
        <v>849.00</v>
      </c>
      <c r="D19349" s="4"/>
    </row>
    <row collapsed="" customFormat="false" customHeight="1" hidden="" ht="14" outlineLevel="0" r="19350">
      <c r="A19350" s="3" t="inlineStr">
        <is>
          <t>19302</t>
        </is>
      </c>
      <c r="B19350" s="4" t="s">
        <f>=HYPERLINK("http://anyluxury.ru/shop/odezhda/rubashki-polo/rubashka-polo-virma-light-seriy-melanzh-202411/" , "2024.11 Рубашка поло мужская Virma light, серый меланж, размер XL")</f>
      </c>
      <c r="C19350" s="4" t="n">
        <v>849.00</v>
      </c>
      <c r="D19350" s="4"/>
    </row>
    <row collapsed="" customFormat="false" customHeight="1" hidden="" ht="14" outlineLevel="0" r="19351">
      <c r="A19351" s="3" t="inlineStr">
        <is>
          <t>19303</t>
        </is>
      </c>
      <c r="B19351" s="4" t="s">
        <f>=HYPERLINK("http://anyluxury.ru/shop/odezhda/rubashki-polo/rubashka-polo-muzhskaya-spring-210-haki-11362268/" , "11362268 Рубашка поло мужская Spring 210 хаки, размер S")</f>
      </c>
      <c r="C19351" s="4" t="n">
        <v>1768.00</v>
      </c>
      <c r="D19351" s="4"/>
    </row>
    <row collapsed="" customFormat="false" customHeight="1" hidden="" ht="14" outlineLevel="0" r="19352">
      <c r="A19352" s="3" t="inlineStr">
        <is>
          <t>19304</t>
        </is>
      </c>
      <c r="B19352" s="4" t="s">
        <f>=HYPERLINK("http://anyluxury.ru/shop/odezhda/rubashki-polo/rubashka-polo-muzhskaya-spring-210-haki-11362268/" , "11362268 Рубашка поло мужская Spring 210 хаки, размер M")</f>
      </c>
      <c r="C19352" s="4" t="n">
        <v>1768.00</v>
      </c>
      <c r="D19352" s="4"/>
    </row>
    <row collapsed="" customFormat="false" customHeight="1" hidden="" ht="14" outlineLevel="0" r="19353">
      <c r="A19353" s="3" t="inlineStr">
        <is>
          <t>19305</t>
        </is>
      </c>
      <c r="B19353" s="4" t="s">
        <f>=HYPERLINK("http://anyluxury.ru/shop/odezhda/rubashki-polo/rubashka-polo-muzhskaya-spring-210-haki-11362268/" , "11362268 Рубашка поло мужская Spring 210 хаки, размер L")</f>
      </c>
      <c r="C19353" s="4" t="n">
        <v>1768.00</v>
      </c>
      <c r="D19353" s="4"/>
    </row>
    <row collapsed="" customFormat="false" customHeight="1" hidden="" ht="14" outlineLevel="0" r="19354">
      <c r="A19354" s="3" t="inlineStr">
        <is>
          <t>19306</t>
        </is>
      </c>
      <c r="B19354" s="4" t="s">
        <f>=HYPERLINK("http://anyluxury.ru/shop/odezhda/rubashki-polo/rubashka-polo-muzhskaya-spring-210-haki-11362268/" , "11362268 Рубашка поло мужская Spring 210 хаки, размер XL")</f>
      </c>
      <c r="C19354" s="4" t="n">
        <v>1768.00</v>
      </c>
      <c r="D19354" s="4"/>
    </row>
    <row collapsed="" customFormat="false" customHeight="1" hidden="" ht="14" outlineLevel="0" r="19355">
      <c r="A19355" s="3" t="inlineStr">
        <is>
          <t>19307</t>
        </is>
      </c>
      <c r="B19355" s="4" t="s">
        <f>=HYPERLINK("http://anyluxury.ru/shop/odezhda/rubashki-polo/rubashka-polo-muzhskaya-spring-210-haki-11362268/" , "11362268 Рубашка поло мужская Spring 210 хаки, размер XXL")</f>
      </c>
      <c r="C19355" s="4" t="n">
        <v>1768.00</v>
      </c>
      <c r="D19355" s="4"/>
    </row>
    <row collapsed="" customFormat="false" customHeight="1" hidden="" ht="14" outlineLevel="0" r="19356">
      <c r="A19356" s="3" t="inlineStr">
        <is>
          <t>19308</t>
        </is>
      </c>
      <c r="B19356" s="4" t="s">
        <f>=HYPERLINK("http://anyluxury.ru/shop/odezhda/rubashki-polo/rubashka-polo-virma-stripes-belaya-125360/" , "1253.60 Рубашка поло Virma Stripes, белая, размер S")</f>
      </c>
      <c r="C19356" s="4" t="n">
        <v>1174.00</v>
      </c>
      <c r="D19356" s="4"/>
    </row>
    <row collapsed="" customFormat="false" customHeight="1" hidden="" ht="14" outlineLevel="0" r="19357">
      <c r="A19357" s="3" t="inlineStr">
        <is>
          <t>19309</t>
        </is>
      </c>
      <c r="B19357" s="4" t="s">
        <f>=HYPERLINK("http://anyluxury.ru/shop/odezhda/rubashki-polo/rubashka-polo-virma-stripes-belaya-125360/" , "1253.60 Рубашка поло Virma Stripes, белая, размер M")</f>
      </c>
      <c r="C19357" s="4" t="n">
        <v>1174.00</v>
      </c>
      <c r="D19357" s="4"/>
    </row>
    <row collapsed="" customFormat="false" customHeight="1" hidden="" ht="14" outlineLevel="0" r="19358">
      <c r="A19358" s="3" t="inlineStr">
        <is>
          <t>19310</t>
        </is>
      </c>
      <c r="B19358" s="4" t="s">
        <f>=HYPERLINK("http://anyluxury.ru/shop/odezhda/rubashki-polo/rubashka-polo-virma-stripes-belaya-125360/" , "1253.60 Рубашка поло Virma Stripes, белая, размер L")</f>
      </c>
      <c r="C19358" s="4" t="n">
        <v>1174.00</v>
      </c>
      <c r="D19358" s="4"/>
    </row>
    <row collapsed="" customFormat="false" customHeight="1" hidden="" ht="14" outlineLevel="0" r="19359">
      <c r="A19359" s="3" t="inlineStr">
        <is>
          <t>19311</t>
        </is>
      </c>
      <c r="B19359" s="4" t="s">
        <f>=HYPERLINK("http://anyluxury.ru/shop/odezhda/rubashki-polo/rubashka-polo-virma-stripes-belaya-125360/" , "1253.60 Рубашка поло Virma Stripes, белая, размер XL")</f>
      </c>
      <c r="C19359" s="4" t="n">
        <v>1174.00</v>
      </c>
      <c r="D19359" s="4"/>
    </row>
    <row collapsed="" customFormat="false" customHeight="1" hidden="" ht="14" outlineLevel="0" r="19360">
      <c r="A19360" s="3" t="inlineStr">
        <is>
          <t>19312</t>
        </is>
      </c>
      <c r="B19360" s="4" t="s">
        <f>=HYPERLINK("http://anyluxury.ru/shop/odezhda/rubashki-polo/rubashka-polo-virma-stripes-belaya-125360/" , "1253.60 Рубашка поло Virma Stripes, белая, размер XXL")</f>
      </c>
      <c r="C19360" s="4" t="n">
        <v>1174.00</v>
      </c>
      <c r="D19360" s="4"/>
    </row>
    <row collapsed="" customFormat="false" customHeight="1" hidden="" ht="14" outlineLevel="0" r="19361">
      <c r="A19361" s="3" t="inlineStr">
        <is>
          <t>19313</t>
        </is>
      </c>
      <c r="B19361" s="4" t="s">
        <f>=HYPERLINK("http://anyluxury.ru/shop/odezhda/rubashki-polo/rubashka-polo-virma-stripes-belaya-125360/" , "1253.60 Рубашка поло Virma Stripes, белая, размер 3XL")</f>
      </c>
      <c r="C19361" s="4" t="n">
        <v>1174.00</v>
      </c>
      <c r="D19361" s="4"/>
    </row>
    <row collapsed="" customFormat="false" customHeight="1" hidden="" ht="14" outlineLevel="0" r="19362">
      <c r="A19362" s="3" t="inlineStr">
        <is>
          <t>19314</t>
        </is>
      </c>
      <c r="B19362" s="4" t="s">
        <f>=HYPERLINK("http://anyluxury.ru/shop/odezhda/rubashki-polo/rubashka-polo-virma-stripes-krasnaya-125350/" , "1253.50 Рубашка поло Virma Stripes, красная, размер S")</f>
      </c>
      <c r="C19362" s="4" t="n">
        <v>1174.00</v>
      </c>
      <c r="D19362" s="4"/>
    </row>
    <row collapsed="" customFormat="false" customHeight="1" hidden="" ht="14" outlineLevel="0" r="19363">
      <c r="A19363" s="3" t="inlineStr">
        <is>
          <t>19315</t>
        </is>
      </c>
      <c r="B19363" s="4" t="s">
        <f>=HYPERLINK("http://anyluxury.ru/shop/odezhda/rubashki-polo/rubashka-polo-virma-stripes-krasnaya-125350/" , "1253.50 Рубашка поло Virma Stripes, красная, размер M")</f>
      </c>
      <c r="C19363" s="4" t="n">
        <v>1174.00</v>
      </c>
      <c r="D19363" s="4"/>
    </row>
    <row collapsed="" customFormat="false" customHeight="1" hidden="" ht="14" outlineLevel="0" r="19364">
      <c r="A19364" s="3" t="inlineStr">
        <is>
          <t>19316</t>
        </is>
      </c>
      <c r="B19364" s="4" t="s">
        <f>=HYPERLINK("http://anyluxury.ru/shop/odezhda/rubashki-polo/rubashka-polo-virma-stripes-krasnaya-125350/" , "1253.50 Рубашка поло Virma Stripes, красная, размер L")</f>
      </c>
      <c r="C19364" s="4" t="n">
        <v>1174.00</v>
      </c>
      <c r="D19364" s="4"/>
    </row>
    <row collapsed="" customFormat="false" customHeight="1" hidden="" ht="14" outlineLevel="0" r="19365">
      <c r="A19365" s="3" t="inlineStr">
        <is>
          <t>19317</t>
        </is>
      </c>
      <c r="B19365" s="4" t="s">
        <f>=HYPERLINK("http://anyluxury.ru/shop/odezhda/rubashki-polo/rubashka-polo-virma-stripes-krasnaya-125350/" , "1253.50 Рубашка поло Virma Stripes, красная, размер XL")</f>
      </c>
      <c r="C19365" s="4" t="n">
        <v>1174.00</v>
      </c>
      <c r="D19365" s="4"/>
    </row>
    <row collapsed="" customFormat="false" customHeight="1" hidden="" ht="14" outlineLevel="0" r="19366">
      <c r="A19366" s="3" t="inlineStr">
        <is>
          <t>19318</t>
        </is>
      </c>
      <c r="B19366" s="4" t="s">
        <f>=HYPERLINK("http://anyluxury.ru/shop/odezhda/rubashki-polo/rubashka-polo-virma-stripes-krasnaya-125350/" , "1253.50 Рубашка поло Virma Stripes, красная, размер XXL")</f>
      </c>
      <c r="C19366" s="4" t="n">
        <v>1174.00</v>
      </c>
      <c r="D19366" s="4"/>
    </row>
    <row collapsed="" customFormat="false" customHeight="1" hidden="" ht="14" outlineLevel="0" r="19367">
      <c r="A19367" s="3" t="inlineStr">
        <is>
          <t>19319</t>
        </is>
      </c>
      <c r="B19367" s="4" t="s">
        <f>=HYPERLINK("http://anyluxury.ru/shop/odezhda/rubashki-polo/rubashka-polo-virma-stripes-krasnaya-125350/" , "1253.50 Рубашка поло Virma Stripes, красная, размер 3XL")</f>
      </c>
      <c r="C19367" s="4" t="n">
        <v>1174.00</v>
      </c>
      <c r="D19367" s="4"/>
    </row>
    <row collapsed="" customFormat="false" customHeight="1" hidden="" ht="14" outlineLevel="0" r="19368">
      <c r="A19368" s="3" t="inlineStr">
        <is>
          <t>19320</t>
        </is>
      </c>
      <c r="B19368" s="4" t="s">
        <f>=HYPERLINK("http://anyluxury.ru/shop/odezhda/rubashki-polo/rubashka-polo-virma-stripes-oranzhevaya-125320/" , "1253.20 Рубашка поло Virma Stripes, оранжевая, размер S")</f>
      </c>
      <c r="C19368" s="4" t="n">
        <v>1145.00</v>
      </c>
      <c r="D19368" s="4"/>
    </row>
    <row collapsed="" customFormat="false" customHeight="1" hidden="" ht="14" outlineLevel="0" r="19369">
      <c r="A19369" s="3" t="inlineStr">
        <is>
          <t>19321</t>
        </is>
      </c>
      <c r="B19369" s="4" t="s">
        <f>=HYPERLINK("http://anyluxury.ru/shop/odezhda/rubashki-polo/rubashka-polo-virma-stripes-oranzhevaya-125320/" , "1253.20 Рубашка поло Virma Stripes, оранжевая, размер M")</f>
      </c>
      <c r="C19369" s="4" t="n">
        <v>1145.00</v>
      </c>
      <c r="D19369" s="4"/>
    </row>
    <row collapsed="" customFormat="false" customHeight="1" hidden="" ht="14" outlineLevel="0" r="19370">
      <c r="A19370" s="3" t="inlineStr">
        <is>
          <t>19322</t>
        </is>
      </c>
      <c r="B19370" s="4" t="s">
        <f>=HYPERLINK("http://anyluxury.ru/shop/odezhda/rubashki-polo/rubashka-polo-virma-stripes-oranzhevaya-125320/" , "1253.20 Рубашка поло Virma Stripes, оранжевая, размер XL")</f>
      </c>
      <c r="C19370" s="4" t="n">
        <v>1145.00</v>
      </c>
      <c r="D19370" s="4"/>
    </row>
    <row collapsed="" customFormat="false" customHeight="1" hidden="" ht="14" outlineLevel="0" r="19371">
      <c r="A19371" s="3" t="inlineStr">
        <is>
          <t>19323</t>
        </is>
      </c>
      <c r="B19371" s="4" t="s">
        <f>=HYPERLINK("http://anyluxury.ru/shop/odezhda/rubashki-polo/rubashka-polo-virma-stripes-oranzhevaya-125320/" , "1253.20 Рубашка поло Virma Stripes, оранжевая, размер XXL")</f>
      </c>
      <c r="C19371" s="4" t="n">
        <v>1145.00</v>
      </c>
      <c r="D19371" s="4"/>
    </row>
    <row collapsed="" customFormat="false" customHeight="1" hidden="" ht="14" outlineLevel="0" r="19372">
      <c r="A19372" s="3" t="inlineStr">
        <is>
          <t>19324</t>
        </is>
      </c>
      <c r="B19372" s="4" t="s">
        <f>=HYPERLINK("http://anyluxury.ru/shop/odezhda/rubashki-polo/rubashka-polo-virma-stripes-chernaya-125330/" , "1253.30 Рубашка поло Virma Stripes, черная, размер S")</f>
      </c>
      <c r="C19372" s="4" t="n">
        <v>1174.00</v>
      </c>
      <c r="D19372" s="4"/>
    </row>
    <row collapsed="" customFormat="false" customHeight="1" hidden="" ht="14" outlineLevel="0" r="19373">
      <c r="A19373" s="3" t="inlineStr">
        <is>
          <t>19325</t>
        </is>
      </c>
      <c r="B19373" s="4" t="s">
        <f>=HYPERLINK("http://anyluxury.ru/shop/odezhda/rubashki-polo/rubashka-polo-virma-stripes-chernaya-125330/" , "1253.30 Рубашка поло Virma Stripes, черная, размер M")</f>
      </c>
      <c r="C19373" s="4" t="n">
        <v>1174.00</v>
      </c>
      <c r="D19373" s="4"/>
    </row>
    <row collapsed="" customFormat="false" customHeight="1" hidden="" ht="14" outlineLevel="0" r="19374">
      <c r="A19374" s="3" t="inlineStr">
        <is>
          <t>19326</t>
        </is>
      </c>
      <c r="B19374" s="4" t="s">
        <f>=HYPERLINK("http://anyluxury.ru/shop/odezhda/rubashki-polo/rubashka-polo-virma-stripes-chernaya-125330/" , "1253.30 Рубашка поло Virma Stripes, черная, размер XL")</f>
      </c>
      <c r="C19374" s="4" t="n">
        <v>1174.00</v>
      </c>
      <c r="D19374" s="4"/>
    </row>
    <row collapsed="" customFormat="false" customHeight="1" hidden="" ht="14" outlineLevel="0" r="19375">
      <c r="A19375" s="3" t="inlineStr">
        <is>
          <t>19327</t>
        </is>
      </c>
      <c r="B19375" s="4" t="s">
        <f>=HYPERLINK("http://anyluxury.ru/shop/odezhda/rubashki-polo/rubashka-polo-virma-stripes-chernaya-125330/" , "1253.30 Рубашка поло Virma Stripes, черная, размер XXL")</f>
      </c>
      <c r="C19375" s="4" t="n">
        <v>1174.00</v>
      </c>
      <c r="D19375" s="4"/>
    </row>
    <row collapsed="" customFormat="false" customHeight="1" hidden="" ht="14" outlineLevel="0" r="19376">
      <c r="A19376" s="3" t="inlineStr">
        <is>
          <t>19328</t>
        </is>
      </c>
      <c r="B19376" s="4" t="s">
        <f>=HYPERLINK("http://anyluxury.ru/shop/odezhda/rubashki-polo/rubashka-polo-virma-stripes-chernaya-125330/" , "1253.30 Рубашка поло Virma Stripes, черная, размер 3XL")</f>
      </c>
      <c r="C19376" s="4" t="n">
        <v>1174.00</v>
      </c>
      <c r="D19376" s="4"/>
    </row>
    <row collapsed="" customFormat="false" customHeight="1" hidden="" ht="14" outlineLevel="0" r="19377">
      <c r="A19377" s="3" t="inlineStr">
        <is>
          <t>19329</t>
        </is>
      </c>
      <c r="B19377" s="4" t="s">
        <f>=HYPERLINK("http://anyluxury.ru/shop/odezhda/rubashki-polo/rubashka-polo-virma-stripes-yarkosinyaya-125344/" , "1253.44 Рубашка поло Virma Stripes, ярко-синяя, размер S")</f>
      </c>
      <c r="C19377" s="4" t="n">
        <v>1174.00</v>
      </c>
      <c r="D19377" s="4"/>
    </row>
    <row collapsed="" customFormat="false" customHeight="1" hidden="" ht="14" outlineLevel="0" r="19378">
      <c r="A19378" s="3" t="inlineStr">
        <is>
          <t>19330</t>
        </is>
      </c>
      <c r="B19378" s="4" t="s">
        <f>=HYPERLINK("http://anyluxury.ru/shop/odezhda/rubashki-polo/rubashka-polo-virma-stripes-yarkosinyaya-125344/" , "1253.44 Рубашка поло Virma Stripes, ярко-синяя, размер M")</f>
      </c>
      <c r="C19378" s="4" t="n">
        <v>1174.00</v>
      </c>
      <c r="D19378" s="4"/>
    </row>
    <row collapsed="" customFormat="false" customHeight="1" hidden="" ht="14" outlineLevel="0" r="19379">
      <c r="A19379" s="3" t="inlineStr">
        <is>
          <t>19331</t>
        </is>
      </c>
      <c r="B19379" s="4" t="s">
        <f>=HYPERLINK("http://anyluxury.ru/shop/odezhda/rubashki-polo/rubashka-polo-virma-stripes-yarkosinyaya-125344/" , "1253.44 Рубашка поло Virma Stripes, ярко-синяя, размер L")</f>
      </c>
      <c r="C19379" s="4" t="n">
        <v>1174.00</v>
      </c>
      <c r="D19379" s="4"/>
    </row>
    <row collapsed="" customFormat="false" customHeight="1" hidden="" ht="14" outlineLevel="0" r="19380">
      <c r="A19380" s="3" t="inlineStr">
        <is>
          <t>19332</t>
        </is>
      </c>
      <c r="B19380" s="4" t="s">
        <f>=HYPERLINK("http://anyluxury.ru/shop/odezhda/rubashki-polo/rubashka-polo-virma-stripes-yarkosinyaya-125344/" , "1253.44 Рубашка поло Virma Stripes, ярко-синяя, размер XL")</f>
      </c>
      <c r="C19380" s="4" t="n">
        <v>1174.00</v>
      </c>
      <c r="D19380" s="4"/>
    </row>
    <row collapsed="" customFormat="false" customHeight="1" hidden="" ht="14" outlineLevel="0" r="19381">
      <c r="A19381" s="3" t="inlineStr">
        <is>
          <t>19333</t>
        </is>
      </c>
      <c r="B19381" s="4" t="s">
        <f>=HYPERLINK("http://anyluxury.ru/shop/odezhda/rubashki-polo/rubashka-polo-virma-stripes-yarkosinyaya-125344/" , "1253.44 Рубашка поло Virma Stripes, ярко-синяя, размер XXL")</f>
      </c>
      <c r="C19381" s="4" t="n">
        <v>1174.00</v>
      </c>
      <c r="D19381" s="4"/>
    </row>
    <row collapsed="" customFormat="false" customHeight="1" hidden="" ht="14" outlineLevel="0" r="19382">
      <c r="A19382" s="3" t="inlineStr">
        <is>
          <t>19334</t>
        </is>
      </c>
      <c r="B19382" s="4" t="s">
        <f>=HYPERLINK("http://anyluxury.ru/shop/odezhda/rubashki-polo/rubashka-polo-virma-stripes-temnosinyaya-125340/" , "1253.40 Рубашка поло Virma Stripes, темно-синяя, размер S")</f>
      </c>
      <c r="C19382" s="4" t="n">
        <v>1174.00</v>
      </c>
      <c r="D19382" s="4"/>
    </row>
    <row collapsed="" customFormat="false" customHeight="1" hidden="" ht="14" outlineLevel="0" r="19383">
      <c r="A19383" s="3" t="inlineStr">
        <is>
          <t>19335</t>
        </is>
      </c>
      <c r="B19383" s="4" t="s">
        <f>=HYPERLINK("http://anyluxury.ru/shop/odezhda/rubashki-polo/rubashka-polo-virma-stripes-temnosinyaya-125340/" , "1253.40 Рубашка поло Virma Stripes, темно-синяя, размер M")</f>
      </c>
      <c r="C19383" s="4" t="n">
        <v>1174.00</v>
      </c>
      <c r="D19383" s="4"/>
    </row>
    <row collapsed="" customFormat="false" customHeight="1" hidden="" ht="14" outlineLevel="0" r="19384">
      <c r="A19384" s="3" t="inlineStr">
        <is>
          <t>19336</t>
        </is>
      </c>
      <c r="B19384" s="4" t="s">
        <f>=HYPERLINK("http://anyluxury.ru/shop/odezhda/rubashki-polo/rubashka-polo-virma-stripes-temnosinyaya-125340/" , "1253.40 Рубашка поло Virma Stripes, темно-синяя, размер L")</f>
      </c>
      <c r="C19384" s="4" t="n">
        <v>1174.00</v>
      </c>
      <c r="D19384" s="4"/>
    </row>
    <row collapsed="" customFormat="false" customHeight="1" hidden="" ht="14" outlineLevel="0" r="19385">
      <c r="A19385" s="3" t="inlineStr">
        <is>
          <t>19337</t>
        </is>
      </c>
      <c r="B19385" s="4" t="s">
        <f>=HYPERLINK("http://anyluxury.ru/shop/odezhda/rubashki-polo/rubashka-polo-virma-stripes-temnosinyaya-125340/" , "1253.40 Рубашка поло Virma Stripes, темно-синяя, размер XL")</f>
      </c>
      <c r="C19385" s="4" t="n">
        <v>1174.00</v>
      </c>
      <c r="D19385" s="4"/>
    </row>
    <row collapsed="" customFormat="false" customHeight="1" hidden="" ht="14" outlineLevel="0" r="19386">
      <c r="A19386" s="3" t="inlineStr">
        <is>
          <t>19338</t>
        </is>
      </c>
      <c r="B19386" s="4" t="s">
        <f>=HYPERLINK("http://anyluxury.ru/shop/odezhda/rubashki-polo/rubashka-polo-virma-stripes-zelenaya-125390/" , "1253.90 Рубашка поло Virma Stripes, зеленая, размер S")</f>
      </c>
      <c r="C19386" s="4" t="n">
        <v>1031.00</v>
      </c>
      <c r="D19386" s="4"/>
    </row>
    <row collapsed="" customFormat="false" customHeight="1" hidden="" ht="14" outlineLevel="0" r="19387">
      <c r="A19387" s="3" t="inlineStr">
        <is>
          <t>19339</t>
        </is>
      </c>
      <c r="B19387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S")</f>
      </c>
      <c r="C19387" s="4" t="n">
        <v>2162.00</v>
      </c>
      <c r="D19387" s="4"/>
    </row>
    <row collapsed="" customFormat="false" customHeight="1" hidden="" ht="14" outlineLevel="0" r="19388">
      <c r="A19388" s="3" t="inlineStr">
        <is>
          <t>19340</t>
        </is>
      </c>
      <c r="B19388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M")</f>
      </c>
      <c r="C19388" s="4" t="n">
        <v>2162.00</v>
      </c>
      <c r="D19388" s="4"/>
    </row>
    <row collapsed="" customFormat="false" customHeight="1" hidden="" ht="14" outlineLevel="0" r="19389">
      <c r="A19389" s="3" t="inlineStr">
        <is>
          <t>19341</t>
        </is>
      </c>
      <c r="B19389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L")</f>
      </c>
      <c r="C19389" s="4" t="n">
        <v>2162.00</v>
      </c>
      <c r="D19389" s="4"/>
    </row>
    <row collapsed="" customFormat="false" customHeight="1" hidden="" ht="14" outlineLevel="0" r="19390">
      <c r="A19390" s="3" t="inlineStr">
        <is>
          <t>19342</t>
        </is>
      </c>
      <c r="B19390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XL")</f>
      </c>
      <c r="C19390" s="4" t="n">
        <v>2162.00</v>
      </c>
      <c r="D19390" s="4"/>
    </row>
    <row collapsed="" customFormat="false" customHeight="1" hidden="" ht="14" outlineLevel="0" r="19391">
      <c r="A19391" s="3" t="inlineStr">
        <is>
          <t>19343</t>
        </is>
      </c>
      <c r="B19391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XXL")</f>
      </c>
      <c r="C19391" s="4" t="n">
        <v>2162.00</v>
      </c>
      <c r="D19391" s="4"/>
    </row>
    <row collapsed="" customFormat="false" customHeight="1" hidden="" ht="14" outlineLevel="0" r="19392">
      <c r="A19392" s="3" t="inlineStr">
        <is>
          <t>19344</t>
        </is>
      </c>
      <c r="B19392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3XL")</f>
      </c>
      <c r="C19392" s="4" t="n">
        <v>2590.00</v>
      </c>
      <c r="D19392" s="4"/>
    </row>
    <row collapsed="" customFormat="false" customHeight="1" hidden="" ht="14" outlineLevel="0" r="19393">
      <c r="A19393" s="3" t="inlineStr">
        <is>
          <t>19345</t>
        </is>
      </c>
      <c r="B19393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M")</f>
      </c>
      <c r="C19393" s="4" t="n">
        <v>2125.00</v>
      </c>
      <c r="D19393" s="4"/>
    </row>
    <row collapsed="" customFormat="false" customHeight="1" hidden="" ht="14" outlineLevel="0" r="19394">
      <c r="A19394" s="3" t="inlineStr">
        <is>
          <t>19346</t>
        </is>
      </c>
      <c r="B19394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L")</f>
      </c>
      <c r="C19394" s="4" t="n">
        <v>2125.00</v>
      </c>
      <c r="D19394" s="4"/>
    </row>
    <row collapsed="" customFormat="false" customHeight="1" hidden="" ht="14" outlineLevel="0" r="19395">
      <c r="A19395" s="3" t="inlineStr">
        <is>
          <t>19347</t>
        </is>
      </c>
      <c r="B19395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XL")</f>
      </c>
      <c r="C19395" s="4" t="n">
        <v>2125.00</v>
      </c>
      <c r="D19395" s="4"/>
    </row>
    <row collapsed="" customFormat="false" customHeight="1" hidden="" ht="14" outlineLevel="0" r="19396">
      <c r="A19396" s="3" t="inlineStr">
        <is>
          <t>19348</t>
        </is>
      </c>
      <c r="B19396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XXL")</f>
      </c>
      <c r="C19396" s="4" t="n">
        <v>2125.00</v>
      </c>
      <c r="D19396" s="4"/>
    </row>
    <row collapsed="" customFormat="false" customHeight="1" hidden="" ht="14" outlineLevel="0" r="19397">
      <c r="A19397" s="3" t="inlineStr">
        <is>
          <t>19349</t>
        </is>
      </c>
      <c r="B19397" s="4" t="s">
        <f>=HYPERLINK("http://anyluxury.ru/shop/odezhda/rubashki-polo/rubashka-polo-muzhskaya-patriot-200-belaya-s-krasnim-00576987/" , "00576987 Рубашка поло мужская PATRIOT белая с красным, размер S")</f>
      </c>
      <c r="C19397" s="4" t="n">
        <v>2494.00</v>
      </c>
      <c r="D19397" s="4"/>
    </row>
    <row collapsed="" customFormat="false" customHeight="1" hidden="" ht="14" outlineLevel="0" r="19398">
      <c r="A19398" s="3" t="inlineStr">
        <is>
          <t>19350</t>
        </is>
      </c>
      <c r="B19398" s="4" t="s">
        <f>=HYPERLINK("http://anyluxury.ru/shop/odezhda/rubashki-polo/rubashka-polo-muzhskaya-patriot-200-belaya-s-krasnim-00576987/" , "00576987 Рубашка поло мужская PATRIOT белая с красным, размер M")</f>
      </c>
      <c r="C19398" s="4" t="n">
        <v>2494.00</v>
      </c>
      <c r="D19398" s="4"/>
    </row>
    <row collapsed="" customFormat="false" customHeight="1" hidden="" ht="14" outlineLevel="0" r="19399">
      <c r="A19399" s="3" t="inlineStr">
        <is>
          <t>19351</t>
        </is>
      </c>
      <c r="B19399" s="4" t="s">
        <f>=HYPERLINK("http://anyluxury.ru/shop/odezhda/rubashki-polo/rubashka-polo-muzhskaya-patriot-200-belaya-s-krasnim-00576987/" , "00576987 Рубашка поло мужская PATRIOT белая с красным, размер L")</f>
      </c>
      <c r="C19399" s="4" t="n">
        <v>2494.00</v>
      </c>
      <c r="D19399" s="4"/>
    </row>
    <row collapsed="" customFormat="false" customHeight="1" hidden="" ht="14" outlineLevel="0" r="19400">
      <c r="A19400" s="3" t="inlineStr">
        <is>
          <t>19352</t>
        </is>
      </c>
      <c r="B19400" s="4" t="s">
        <f>=HYPERLINK("http://anyluxury.ru/shop/odezhda/rubashki-polo/rubashka-polo-muzhskaya-patriot-200-belaya-s-krasnim-00576987/" , "00576987 Рубашка поло мужская PATRIOT белая с красным, размер XL")</f>
      </c>
      <c r="C19400" s="4" t="n">
        <v>2494.00</v>
      </c>
      <c r="D19400" s="4"/>
    </row>
    <row collapsed="" customFormat="false" customHeight="1" hidden="" ht="14" outlineLevel="0" r="19401">
      <c r="A19401" s="3" t="inlineStr">
        <is>
          <t>19353</t>
        </is>
      </c>
      <c r="B19401" s="4" t="s">
        <f>=HYPERLINK("http://anyluxury.ru/shop/odezhda/rubashki-polo/rubashka-polo-muzhskaya-patriot-200-belaya-s-krasnim-00576987/" , "00576987 Рубашка поло мужская PATRIOT белая с красным, размер XXL")</f>
      </c>
      <c r="C19401" s="4" t="n">
        <v>2494.00</v>
      </c>
      <c r="D19401" s="4"/>
    </row>
    <row collapsed="" customFormat="false" customHeight="1" hidden="" ht="14" outlineLevel="0" r="19402">
      <c r="A19402" s="3" t="inlineStr">
        <is>
          <t>19354</t>
        </is>
      </c>
      <c r="B19402" s="4" t="s">
        <f>=HYPERLINK("http://anyluxury.ru/shop/odezhda/rubashki-polo/rubashka-polo-muzhskaya-patriot-200-belaya-s-krasnim-00576987/" , "00576987 Рубашка поло мужская PATRIOT белая с красным, размер 3XL")</f>
      </c>
      <c r="C19402" s="4" t="n">
        <v>2981.00</v>
      </c>
      <c r="D19402" s="4"/>
    </row>
    <row collapsed="" customFormat="false" customHeight="1" hidden="" ht="14" outlineLevel="0" r="19403">
      <c r="A19403" s="3" t="inlineStr">
        <is>
          <t>19355</t>
        </is>
      </c>
      <c r="B19403" s="4" t="s">
        <f>=HYPERLINK("http://anyluxury.ru/shop/odezhda/rubashki-polo/rubashka-polo-zhenskaya-s-dlinnim-rukavom-podium-seriy-melanzh-11317360/" , "11317360 Рубашка поло женская PODIUM серый меланж, размер S")</f>
      </c>
      <c r="C19403" s="4" t="n">
        <v>2459.00</v>
      </c>
      <c r="D19403" s="4"/>
    </row>
    <row collapsed="" customFormat="false" customHeight="1" hidden="" ht="14" outlineLevel="0" r="19404">
      <c r="A19404" s="3" t="inlineStr">
        <is>
          <t>19356</t>
        </is>
      </c>
      <c r="B19404" s="4" t="s">
        <f>=HYPERLINK("http://anyluxury.ru/shop/odezhda/rubashki-polo/rubashka-polo-zhenskaya-s-dlinnim-rukavom-podium-seriy-melanzh-11317360/" , "11317360 Рубашка поло женская PODIUM серый меланж, размер M")</f>
      </c>
      <c r="C19404" s="4" t="n">
        <v>2459.00</v>
      </c>
      <c r="D19404" s="4"/>
    </row>
    <row collapsed="" customFormat="false" customHeight="1" hidden="" ht="14" outlineLevel="0" r="19405">
      <c r="A19405" s="3" t="inlineStr">
        <is>
          <t>19357</t>
        </is>
      </c>
      <c r="B19405" s="4" t="s">
        <f>=HYPERLINK("http://anyluxury.ru/shop/odezhda/rubashki-polo/rubashka-polo-zhenskaya-s-dlinnim-rukavom-podium-seriy-melanzh-11317360/" , "11317360 Рубашка поло женская PODIUM серый меланж, размер L")</f>
      </c>
      <c r="C19405" s="4" t="n">
        <v>2459.00</v>
      </c>
      <c r="D19405" s="4"/>
    </row>
    <row collapsed="" customFormat="false" customHeight="1" hidden="" ht="14" outlineLevel="0" r="19406">
      <c r="A19406" s="3" t="inlineStr">
        <is>
          <t>19358</t>
        </is>
      </c>
      <c r="B19406" s="4" t="s">
        <f>=HYPERLINK("http://anyluxury.ru/shop/odezhda/rubashki-polo/rubashka-polo-zhenskaya-s-dlinnim-rukavom-podium-seriy-melanzh-11317360/" , "11317360 Рубашка поло женская PODIUM серый меланж, размер XL")</f>
      </c>
      <c r="C19406" s="4" t="n">
        <v>2459.00</v>
      </c>
      <c r="D19406" s="4"/>
    </row>
    <row collapsed="" customFormat="false" customHeight="1" hidden="" ht="14" outlineLevel="0" r="19407">
      <c r="A19407" s="3" t="inlineStr">
        <is>
          <t>19359</t>
        </is>
      </c>
      <c r="B19407" s="4" t="s">
        <f>=HYPERLINK("http://anyluxury.ru/shop/odezhda/rubashki-polo/rubashka-polo-muzhskaya-portland-men-200-siniy-ultramarin-00574238/" , "00574238 Рубашка поло мужская PORTLAND MEN синий ультрамарин, размер S")</f>
      </c>
      <c r="C19407" s="4" t="n">
        <v>2253.00</v>
      </c>
      <c r="D19407" s="4"/>
    </row>
    <row collapsed="" customFormat="false" customHeight="1" hidden="" ht="14" outlineLevel="0" r="19408">
      <c r="A19408" s="3" t="inlineStr">
        <is>
          <t>19360</t>
        </is>
      </c>
      <c r="B19408" s="4" t="s">
        <f>=HYPERLINK("http://anyluxury.ru/shop/odezhda/rubashki-polo/rubashka-polo-muzhskaya-portland-men-200-siniy-ultramarin-00574238/" , "00574238 Рубашка поло мужская PORTLAND MEN синий ультрамарин, размер M")</f>
      </c>
      <c r="C19408" s="4" t="n">
        <v>2253.00</v>
      </c>
      <c r="D19408" s="4"/>
    </row>
    <row collapsed="" customFormat="false" customHeight="1" hidden="" ht="14" outlineLevel="0" r="19409">
      <c r="A19409" s="3" t="inlineStr">
        <is>
          <t>19361</t>
        </is>
      </c>
      <c r="B19409" s="4" t="s">
        <f>=HYPERLINK("http://anyluxury.ru/shop/odezhda/rubashki-polo/rubashka-polo-muzhskaya-portland-men-200-siniy-ultramarin-00574238/" , "00574238 Рубашка поло мужская PORTLAND MEN синий ультрамарин, размер L")</f>
      </c>
      <c r="C19409" s="4" t="n">
        <v>2253.00</v>
      </c>
      <c r="D19409" s="4"/>
    </row>
    <row collapsed="" customFormat="false" customHeight="1" hidden="" ht="14" outlineLevel="0" r="19410">
      <c r="A19410" s="3" t="inlineStr">
        <is>
          <t>19362</t>
        </is>
      </c>
      <c r="B19410" s="4" t="s">
        <f>=HYPERLINK("http://anyluxury.ru/shop/odezhda/rubashki-polo/rubashka-polo-muzhskaya-portland-men-200-siniy-ultramarin-00574238/" , "00574238 Рубашка поло мужская PORTLAND MEN синий ультрамарин, размер XL")</f>
      </c>
      <c r="C19410" s="4" t="n">
        <v>2253.00</v>
      </c>
      <c r="D19410" s="4"/>
    </row>
    <row collapsed="" customFormat="false" customHeight="1" hidden="" ht="14" outlineLevel="0" r="19411">
      <c r="A19411" s="3" t="inlineStr">
        <is>
          <t>19363</t>
        </is>
      </c>
      <c r="B19411" s="4" t="s">
        <f>=HYPERLINK("http://anyluxury.ru/shop/odezhda/rubashki-polo/rubashka-polo-muzhskaya-portland-men-200-siniy-ultramarin-00574238/" , "00574238 Рубашка поло мужская PORTLAND MEN синий ультрамарин, размер XXL")</f>
      </c>
      <c r="C19411" s="4" t="n">
        <v>2253.00</v>
      </c>
      <c r="D19411" s="4"/>
    </row>
    <row collapsed="" customFormat="false" customHeight="1" hidden="" ht="14" outlineLevel="0" r="19412">
      <c r="A19412" s="3" t="inlineStr">
        <is>
          <t>19364</t>
        </is>
      </c>
      <c r="B19412" s="4" t="s">
        <f>=HYPERLINK("http://anyluxury.ru/shop/odezhda/rubashki-polo/rubashka-polo-muzhskaya-portland-men-200-siniy-ultramarin-00574238/" , "00574238 Рубашка поло мужская PORTLAND MEN синий ультрамарин, размер 3XL")</f>
      </c>
      <c r="C19412" s="4" t="n">
        <v>2692.00</v>
      </c>
      <c r="D19412" s="4"/>
    </row>
    <row collapsed="" customFormat="false" customHeight="1" hidden="" ht="14" outlineLevel="0" r="19413">
      <c r="A19413" s="3" t="inlineStr">
        <is>
          <t>19365</t>
        </is>
      </c>
      <c r="B19413" s="4" t="s">
        <f>=HYPERLINK("http://anyluxury.ru/shop/odezhda/rubashki-polo/rubashka-polo-zhenskaya-portland-women-200-siniy-ultramarin-00575238/" , "00575238 Рубашка поло женская PORTLAND WOMEN синий ультрамарин, размер XS")</f>
      </c>
      <c r="C19413" s="4" t="n">
        <v>2205.00</v>
      </c>
      <c r="D19413" s="4"/>
    </row>
    <row collapsed="" customFormat="false" customHeight="1" hidden="" ht="14" outlineLevel="0" r="19414">
      <c r="A19414" s="3" t="inlineStr">
        <is>
          <t>19366</t>
        </is>
      </c>
      <c r="B19414" s="4" t="s">
        <f>=HYPERLINK("http://anyluxury.ru/shop/odezhda/rubashki-polo/rubashka-polo-zhenskaya-portland-women-200-siniy-ultramarin-00575238/" , "00575238 Рубашка поло женская PORTLAND WOMEN синий ультрамарин, размер S")</f>
      </c>
      <c r="C19414" s="4" t="n">
        <v>2205.00</v>
      </c>
      <c r="D19414" s="4"/>
    </row>
    <row collapsed="" customFormat="false" customHeight="1" hidden="" ht="14" outlineLevel="0" r="19415">
      <c r="A19415" s="3" t="inlineStr">
        <is>
          <t>19367</t>
        </is>
      </c>
      <c r="B19415" s="4" t="s">
        <f>=HYPERLINK("http://anyluxury.ru/shop/odezhda/rubashki-polo/rubashka-polo-zhenskaya-portland-women-200-siniy-ultramarin-00575238/" , "00575238 Рубашка поло женская PORTLAND WOMEN синий ультрамарин, размер M")</f>
      </c>
      <c r="C19415" s="4" t="n">
        <v>2205.00</v>
      </c>
      <c r="D19415" s="4"/>
    </row>
    <row collapsed="" customFormat="false" customHeight="1" hidden="" ht="14" outlineLevel="0" r="19416">
      <c r="A19416" s="3" t="inlineStr">
        <is>
          <t>19368</t>
        </is>
      </c>
      <c r="B19416" s="4" t="s">
        <f>=HYPERLINK("http://anyluxury.ru/shop/odezhda/rubashki-polo/rubashka-polo-zhenskaya-portland-women-200-siniy-ultramarin-00575238/" , "00575238 Рубашка поло женская PORTLAND WOMEN синий ультрамарин, размер L")</f>
      </c>
      <c r="C19416" s="4" t="n">
        <v>2205.00</v>
      </c>
      <c r="D19416" s="4"/>
    </row>
    <row collapsed="" customFormat="false" customHeight="1" hidden="" ht="14" outlineLevel="0" r="19417">
      <c r="A19417" s="3" t="inlineStr">
        <is>
          <t>19369</t>
        </is>
      </c>
      <c r="B19417" s="4" t="s">
        <f>=HYPERLINK("http://anyluxury.ru/shop/odezhda/rubashki-polo/rubashka-polo-zhenskaya-portland-women-200-siniy-ultramarin-00575238/" , "00575238 Рубашка поло женская PORTLAND WOMEN синий ультрамарин, размер XL")</f>
      </c>
      <c r="C19417" s="4" t="n">
        <v>2205.00</v>
      </c>
      <c r="D19417" s="4"/>
    </row>
    <row collapsed="" customFormat="false" customHeight="1" hidden="" ht="14" outlineLevel="0" r="19418">
      <c r="A19418" s="3" t="inlineStr">
        <is>
          <t>19370</t>
        </is>
      </c>
      <c r="B19418" s="4" t="s">
        <f>=HYPERLINK("http://anyluxury.ru/shop/odezhda/rubashki-polo/rubashka-polo-zhenskaya-portland-women-200-siniy-ultramarin-00575238/" , "00575238 Рубашка поло женская PORTLAND WOMEN синий ультрамарин, размер XXL")</f>
      </c>
      <c r="C19418" s="4" t="n">
        <v>2205.00</v>
      </c>
      <c r="D19418" s="4"/>
    </row>
    <row collapsed="" customFormat="false" customHeight="1" hidden="" ht="14" outlineLevel="0" r="19419">
      <c r="A19419" s="3" t="inlineStr">
        <is>
          <t>19371</t>
        </is>
      </c>
      <c r="B19419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S")</f>
      </c>
      <c r="C19419" s="4" t="n">
        <v>2502.00</v>
      </c>
      <c r="D19419" s="4"/>
    </row>
    <row collapsed="" customFormat="false" customHeight="1" hidden="" ht="14" outlineLevel="0" r="19420">
      <c r="A19420" s="3" t="inlineStr">
        <is>
          <t>19372</t>
        </is>
      </c>
      <c r="B19420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M")</f>
      </c>
      <c r="C19420" s="4" t="n">
        <v>2502.00</v>
      </c>
      <c r="D19420" s="4"/>
    </row>
    <row collapsed="" customFormat="false" customHeight="1" hidden="" ht="14" outlineLevel="0" r="19421">
      <c r="A19421" s="3" t="inlineStr">
        <is>
          <t>19373</t>
        </is>
      </c>
      <c r="B19421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L")</f>
      </c>
      <c r="C19421" s="4" t="n">
        <v>2502.00</v>
      </c>
      <c r="D19421" s="4"/>
    </row>
    <row collapsed="" customFormat="false" customHeight="1" hidden="" ht="14" outlineLevel="0" r="19422">
      <c r="A19422" s="3" t="inlineStr">
        <is>
          <t>19374</t>
        </is>
      </c>
      <c r="B19422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XL")</f>
      </c>
      <c r="C19422" s="4" t="n">
        <v>2502.00</v>
      </c>
      <c r="D19422" s="4"/>
    </row>
    <row collapsed="" customFormat="false" customHeight="1" hidden="" ht="14" outlineLevel="0" r="19423">
      <c r="A19423" s="3" t="inlineStr">
        <is>
          <t>19375</t>
        </is>
      </c>
      <c r="B19423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XXL")</f>
      </c>
      <c r="C19423" s="4" t="n">
        <v>2502.00</v>
      </c>
      <c r="D19423" s="4"/>
    </row>
    <row collapsed="" customFormat="false" customHeight="1" hidden="" ht="14" outlineLevel="0" r="19424">
      <c r="A19424" s="3" t="inlineStr">
        <is>
          <t>19376</t>
        </is>
      </c>
      <c r="B19424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S")</f>
      </c>
      <c r="C19424" s="4" t="n">
        <v>2502.00</v>
      </c>
      <c r="D19424" s="4"/>
    </row>
    <row collapsed="" customFormat="false" customHeight="1" hidden="" ht="14" outlineLevel="0" r="19425">
      <c r="A19425" s="3" t="inlineStr">
        <is>
          <t>19377</t>
        </is>
      </c>
      <c r="B19425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M")</f>
      </c>
      <c r="C19425" s="4" t="n">
        <v>2502.00</v>
      </c>
      <c r="D19425" s="4"/>
    </row>
    <row collapsed="" customFormat="false" customHeight="1" hidden="" ht="14" outlineLevel="0" r="19426">
      <c r="A19426" s="3" t="inlineStr">
        <is>
          <t>19378</t>
        </is>
      </c>
      <c r="B19426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L")</f>
      </c>
      <c r="C19426" s="4" t="n">
        <v>2502.00</v>
      </c>
      <c r="D19426" s="4"/>
    </row>
    <row collapsed="" customFormat="false" customHeight="1" hidden="" ht="14" outlineLevel="0" r="19427">
      <c r="A19427" s="3" t="inlineStr">
        <is>
          <t>19379</t>
        </is>
      </c>
      <c r="B19427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XL")</f>
      </c>
      <c r="C19427" s="4" t="n">
        <v>2502.00</v>
      </c>
      <c r="D19427" s="4"/>
    </row>
    <row collapsed="" customFormat="false" customHeight="1" hidden="" ht="14" outlineLevel="0" r="19428">
      <c r="A19428" s="3" t="inlineStr">
        <is>
          <t>19380</t>
        </is>
      </c>
      <c r="B19428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XXL")</f>
      </c>
      <c r="C19428" s="4" t="n">
        <v>2502.00</v>
      </c>
      <c r="D19428" s="4"/>
    </row>
    <row collapsed="" customFormat="false" customHeight="1" hidden="" ht="14" outlineLevel="0" r="19429">
      <c r="A19429" s="3" t="inlineStr">
        <is>
          <t>19381</t>
        </is>
      </c>
      <c r="B19429" s="4" t="s">
        <f>=HYPERLINK("http://anyluxury.ru/shop/odezhda/rubashki-polo/rubashka-polo-patriot-women-belaya-s-krasnim-01407987/" , "01407987 Рубашка поло PATRIOT WOMEN белая с красным, размер S")</f>
      </c>
      <c r="C19429" s="4" t="n">
        <v>2450.00</v>
      </c>
      <c r="D19429" s="4"/>
    </row>
    <row collapsed="" customFormat="false" customHeight="1" hidden="" ht="14" outlineLevel="0" r="19430">
      <c r="A19430" s="3" t="inlineStr">
        <is>
          <t>19382</t>
        </is>
      </c>
      <c r="B19430" s="4" t="s">
        <f>=HYPERLINK("http://anyluxury.ru/shop/odezhda/rubashki-polo/rubashka-polo-patriot-women-belaya-s-krasnim-01407987/" , "01407987 Рубашка поло PATRIOT WOMEN белая с красным, размер M")</f>
      </c>
      <c r="C19430" s="4" t="n">
        <v>2450.00</v>
      </c>
      <c r="D19430" s="4"/>
    </row>
    <row collapsed="" customFormat="false" customHeight="1" hidden="" ht="14" outlineLevel="0" r="19431">
      <c r="A19431" s="3" t="inlineStr">
        <is>
          <t>19383</t>
        </is>
      </c>
      <c r="B19431" s="4" t="s">
        <f>=HYPERLINK("http://anyluxury.ru/shop/odezhda/rubashki-polo/rubashka-polo-patriot-women-belaya-s-krasnim-01407987/" , "01407987 Рубашка поло PATRIOT WOMEN белая с красным, размер L")</f>
      </c>
      <c r="C19431" s="4" t="n">
        <v>2450.00</v>
      </c>
      <c r="D19431" s="4"/>
    </row>
    <row collapsed="" customFormat="false" customHeight="1" hidden="" ht="14" outlineLevel="0" r="19432">
      <c r="A19432" s="3" t="inlineStr">
        <is>
          <t>19384</t>
        </is>
      </c>
      <c r="B19432" s="4" t="s">
        <f>=HYPERLINK("http://anyluxury.ru/shop/odezhda/rubashki-polo/rubashka-polo-patriot-women-belaya-s-krasnim-01407987/" , "01407987 Рубашка поло PATRIOT WOMEN белая с красным, размер XL")</f>
      </c>
      <c r="C19432" s="4" t="n">
        <v>2450.00</v>
      </c>
      <c r="D19432" s="4"/>
    </row>
    <row collapsed="" customFormat="false" customHeight="1" hidden="" ht="14" outlineLevel="0" r="19433">
      <c r="A19433" s="3" t="inlineStr">
        <is>
          <t>19385</t>
        </is>
      </c>
      <c r="B19433" s="4" t="s">
        <f>=HYPERLINK("http://anyluxury.ru/shop/odezhda/rubashki-polo/rubashka-polo-patriot-women-belaya-s-krasnim-01407987/" , "01407987 Рубашка поло PATRIOT WOMEN белая с красным, размер XXL")</f>
      </c>
      <c r="C19433" s="4" t="n">
        <v>2450.00</v>
      </c>
      <c r="D19433" s="4"/>
    </row>
    <row collapsed="" customFormat="false" customHeight="1" hidden="" ht="14" outlineLevel="0" r="19434">
      <c r="A19434" s="3" t="inlineStr">
        <is>
          <t>19386</t>
        </is>
      </c>
      <c r="B19434" s="4" t="s">
        <f>=HYPERLINK("http://anyluxury.ru/shop/odezhda/rubashki-polo/rubashka-polo-muzhskaya-surf-belaya-154660/" , "1546.60 Рубашка поло мужская SURF белая, размер S")</f>
      </c>
      <c r="C19434" s="4" t="n">
        <v>1969.00</v>
      </c>
      <c r="D19434" s="4"/>
    </row>
    <row collapsed="" customFormat="false" customHeight="1" hidden="" ht="14" outlineLevel="0" r="19435">
      <c r="A19435" s="3" t="inlineStr">
        <is>
          <t>19387</t>
        </is>
      </c>
      <c r="B19435" s="4" t="s">
        <f>=HYPERLINK("http://anyluxury.ru/shop/odezhda/rubashki-polo/rubashka-polo-muzhskaya-surf-seriy-melanzh-154611/" , "1546.11 Рубашка поло мужская SURF серый меланж, размер S")</f>
      </c>
      <c r="C19435" s="4" t="n">
        <v>1969.00</v>
      </c>
      <c r="D19435" s="4"/>
    </row>
    <row collapsed="" customFormat="false" customHeight="1" hidden="" ht="14" outlineLevel="0" r="19436">
      <c r="A19436" s="3" t="inlineStr">
        <is>
          <t>19388</t>
        </is>
      </c>
      <c r="B19436" s="4" t="s">
        <f>=HYPERLINK("http://anyluxury.ru/shop/odezhda/rubashki-polo/rubashka-polo-muzhskaya-surf-oranzhevaya-154620/" , "1546.20 Рубашка поло мужская SURF оранжевая, размер S")</f>
      </c>
      <c r="C19436" s="4" t="n">
        <v>1816.00</v>
      </c>
      <c r="D19436" s="4"/>
    </row>
    <row collapsed="" customFormat="false" customHeight="1" hidden="" ht="14" outlineLevel="0" r="19437">
      <c r="A19437" s="3" t="inlineStr">
        <is>
          <t>19389</t>
        </is>
      </c>
      <c r="B19437" s="4" t="s">
        <f>=HYPERLINK("http://anyluxury.ru/shop/odezhda/rubashki-polo/rubashka-polo-muzhskaya-surf-zheltaya-154680/" , "1546.80 Рубашка поло мужская SURF желтая, размер S")</f>
      </c>
      <c r="C19437" s="4" t="n">
        <v>1342.00</v>
      </c>
      <c r="D19437" s="4"/>
    </row>
    <row collapsed="" customFormat="false" customHeight="1" hidden="" ht="14" outlineLevel="0" r="19438">
      <c r="A19438" s="3" t="inlineStr">
        <is>
          <t>19390</t>
        </is>
      </c>
      <c r="B19438" s="4" t="s">
        <f>=HYPERLINK("http://anyluxury.ru/shop/odezhda/rubashki-polo/rubashka-polo-muzhskaya-surf-zheltaya-154680/" , "1546.80 Рубашка поло мужская SURF желтая, размер M")</f>
      </c>
      <c r="C19438" s="4" t="n">
        <v>1342.00</v>
      </c>
      <c r="D19438" s="4"/>
    </row>
    <row collapsed="" customFormat="false" customHeight="1" hidden="" ht="14" outlineLevel="0" r="19439">
      <c r="A19439" s="3" t="inlineStr">
        <is>
          <t>19391</t>
        </is>
      </c>
      <c r="B19439" s="4" t="s">
        <f>=HYPERLINK("http://anyluxury.ru/shop/odezhda/rubashki-polo/rubashka-polo-muzhskaya-surf-zheltaya-154680/" , "1546.80 Рубашка поло мужская SURF желтая, размер XXL")</f>
      </c>
      <c r="C19439" s="4" t="n">
        <v>1344.00</v>
      </c>
      <c r="D19439" s="4"/>
    </row>
    <row collapsed="" customFormat="false" customHeight="1" hidden="" ht="14" outlineLevel="0" r="19440">
      <c r="A19440" s="3" t="inlineStr">
        <is>
          <t>19392</t>
        </is>
      </c>
      <c r="B19440" s="4" t="s">
        <f>=HYPERLINK("http://anyluxury.ru/shop/odezhda/rubashki-polo/rubashka-polo-muzhskaya-surf-zheltaya-154680/" , "1546.80 Рубашка поло мужская Surf желтая, размер L")</f>
      </c>
      <c r="C19440" s="4" t="n">
        <v>1270.00</v>
      </c>
      <c r="D19440" s="4"/>
    </row>
    <row collapsed="" customFormat="false" customHeight="1" hidden="" ht="14" outlineLevel="0" r="19441">
      <c r="A19441" s="3" t="inlineStr">
        <is>
          <t>19393</t>
        </is>
      </c>
      <c r="B19441" s="4" t="s">
        <f>=HYPERLINK("http://anyluxury.ru/shop/odezhda/rubashki-polo/rubashka-polo-zhenskaya-surf-lady-seriy-melanzh-154711/" , "1547.11 Рубашка поло женская SURF LADY серый меланж, размер XS")</f>
      </c>
      <c r="C19441" s="4" t="n">
        <v>1780.00</v>
      </c>
      <c r="D19441" s="4"/>
    </row>
    <row collapsed="" customFormat="false" customHeight="1" hidden="" ht="14" outlineLevel="0" r="19442">
      <c r="A19442" s="3" t="inlineStr">
        <is>
          <t>19394</t>
        </is>
      </c>
      <c r="B19442" s="4" t="s">
        <f>=HYPERLINK("http://anyluxury.ru/shop/odezhda/rubashki-polo/rubashka-polo-zhenskaya-surf-lady-seriy-melanzh-154711/" , "1547.11 Рубашка поло женская SURF LADY серый меланж, размер S")</f>
      </c>
      <c r="C19442" s="4" t="n">
        <v>1780.00</v>
      </c>
      <c r="D19442" s="4"/>
    </row>
    <row collapsed="" customFormat="false" customHeight="1" hidden="" ht="14" outlineLevel="0" r="19443">
      <c r="A19443" s="3" t="inlineStr">
        <is>
          <t>19395</t>
        </is>
      </c>
      <c r="B19443" s="4" t="s">
        <f>=HYPERLINK("http://anyluxury.ru/shop/odezhda/rubashki-polo/rubashka-polo-zhenskaya-surf-lady-seriy-melanzh-154711/" , "1547.11 Рубашка поло женская SURF LADY серый меланж, размер M")</f>
      </c>
      <c r="C19443" s="4" t="n">
        <v>1780.00</v>
      </c>
      <c r="D19443" s="4"/>
    </row>
    <row collapsed="" customFormat="false" customHeight="1" hidden="" ht="14" outlineLevel="0" r="19444">
      <c r="A19444" s="3" t="inlineStr">
        <is>
          <t>19396</t>
        </is>
      </c>
      <c r="B19444" s="4" t="s">
        <f>=HYPERLINK("http://anyluxury.ru/shop/odezhda/rubashki-polo/rubashka-polo-zhenskaya-surf-lady-seriy-melanzh-154711/" , "1547.11 Рубашка поло женская SURF LADY серый меланж, размер L")</f>
      </c>
      <c r="C19444" s="4" t="n">
        <v>1780.00</v>
      </c>
      <c r="D19444" s="4"/>
    </row>
    <row collapsed="" customFormat="false" customHeight="1" hidden="" ht="14" outlineLevel="0" r="19445">
      <c r="A19445" s="3" t="inlineStr">
        <is>
          <t>19397</t>
        </is>
      </c>
      <c r="B19445" s="4" t="s">
        <f>=HYPERLINK("http://anyluxury.ru/shop/odezhda/rubashki-polo/rubashka-polo-zhenskaya-surf-lady-seriy-melanzh-154711/" , "1547.11 Рубашка поло женская SURF LADY серый меланж, размер XL")</f>
      </c>
      <c r="C19445" s="4" t="n">
        <v>1780.00</v>
      </c>
      <c r="D19445" s="4"/>
    </row>
    <row collapsed="" customFormat="false" customHeight="1" hidden="" ht="14" outlineLevel="0" r="19446">
      <c r="A19446" s="3" t="inlineStr">
        <is>
          <t>19398</t>
        </is>
      </c>
      <c r="B19446" s="4" t="s">
        <f>=HYPERLINK("http://anyluxury.ru/shop/odezhda/rubashki-polo/rubashka-polo-zhenskaya-surf-lady-seriy-melanzh-154711/" , "1547.11 Рубашка поло женская SURF LADY серый меланж, размер XXL")</f>
      </c>
      <c r="C19446" s="4" t="n">
        <v>1780.00</v>
      </c>
      <c r="D19446" s="4"/>
    </row>
    <row collapsed="" customFormat="false" customHeight="1" hidden="" ht="14" outlineLevel="0" r="19447">
      <c r="A19447" s="3" t="inlineStr">
        <is>
          <t>19399</t>
        </is>
      </c>
      <c r="B19447" s="4" t="s">
        <f>=HYPERLINK("http://anyluxury.ru/shop/odezhda/rubashki-polo/rubashka-polo-zhenskaya-surf-lady-oranzhevaya-154720/" , "1547.20 Рубашка поло женская SURF LADY оранжевая, размер XS")</f>
      </c>
      <c r="C19447" s="4" t="n">
        <v>1780.00</v>
      </c>
      <c r="D19447" s="4"/>
    </row>
    <row collapsed="" customFormat="false" customHeight="1" hidden="" ht="14" outlineLevel="0" r="19448">
      <c r="A19448" s="3" t="inlineStr">
        <is>
          <t>19400</t>
        </is>
      </c>
      <c r="B19448" s="4" t="s">
        <f>=HYPERLINK("http://anyluxury.ru/shop/odezhda/rubashki-polo/rubashka-polo-zhenskaya-surf-lady-oranzhevaya-154720/" , "1547.20 Рубашка поло женская SURF LADY оранжевая, размер S")</f>
      </c>
      <c r="C19448" s="4" t="n">
        <v>1780.00</v>
      </c>
      <c r="D19448" s="4"/>
    </row>
    <row collapsed="" customFormat="false" customHeight="1" hidden="" ht="14" outlineLevel="0" r="19449">
      <c r="A19449" s="3" t="inlineStr">
        <is>
          <t>19401</t>
        </is>
      </c>
      <c r="B19449" s="4" t="s">
        <f>=HYPERLINK("http://anyluxury.ru/shop/odezhda/rubashki-polo/rubashka-polo-zhenskaya-surf-lady-oranzhevaya-154720/" , "1547.20 Рубашка поло женская SURF LADY оранжевая, размер XL")</f>
      </c>
      <c r="C19449" s="4" t="n">
        <v>1780.00</v>
      </c>
      <c r="D19449" s="4"/>
    </row>
    <row collapsed="" customFormat="false" customHeight="1" hidden="" ht="14" outlineLevel="0" r="19450">
      <c r="A19450" s="3" t="inlineStr">
        <is>
          <t>19402</t>
        </is>
      </c>
      <c r="B19450" s="4" t="s">
        <f>=HYPERLINK("http://anyluxury.ru/shop/odezhda/rubashki-polo/rubashka-polo-zhenskaya-surf-lady-zheltaya-154780/" , "1547.80 Рубашка поло женская SURF LADY желтая, размер S")</f>
      </c>
      <c r="C19450" s="4" t="n">
        <v>1200.00</v>
      </c>
      <c r="D19450" s="4"/>
    </row>
    <row collapsed="" customFormat="false" customHeight="1" hidden="" ht="14" outlineLevel="0" r="19451">
      <c r="A19451" s="3" t="inlineStr">
        <is>
          <t>19403</t>
        </is>
      </c>
      <c r="B19451" s="4" t="s">
        <f>=HYPERLINK("http://anyluxury.ru/shop/odezhda/rubashki-polo/rubashka-polo-zhenskaya-surf-lady-zheltaya-154780/" , "1547.80 Рубашка поло женская SURF LADY желтая, размер M")</f>
      </c>
      <c r="C19451" s="4" t="n">
        <v>1198.00</v>
      </c>
      <c r="D19451" s="4"/>
    </row>
    <row collapsed="" customFormat="false" customHeight="1" hidden="" ht="14" outlineLevel="0" r="19452">
      <c r="A19452" s="3" t="inlineStr">
        <is>
          <t>19404</t>
        </is>
      </c>
      <c r="B19452" s="4" t="s">
        <f>=HYPERLINK("http://anyluxury.ru/shop/odezhda/rubashki-polo/rubashka-polo-zhenskaya-surf-lady-zheltaya-154780/" , "1547.80 Рубашка поло женская SURF LADY желтая, размер L")</f>
      </c>
      <c r="C19452" s="4" t="n">
        <v>1198.00</v>
      </c>
      <c r="D19452" s="4"/>
    </row>
    <row collapsed="" customFormat="false" customHeight="1" hidden="" ht="14" outlineLevel="0" r="19453">
      <c r="A19453" s="3" t="inlineStr">
        <is>
          <t>19405</t>
        </is>
      </c>
      <c r="B19453" s="4" t="s">
        <f>=HYPERLINK("http://anyluxury.ru/shop/odezhda/rubashki-polo/rubashka-polo-zhenskaya-surf-lady-zheltaya-154780/" , "1547.80 Рубашка поло женская SURF LADY желтая, размер XL")</f>
      </c>
      <c r="C19453" s="4" t="n">
        <v>1200.00</v>
      </c>
      <c r="D19453" s="4"/>
    </row>
    <row collapsed="" customFormat="false" customHeight="1" hidden="" ht="14" outlineLevel="0" r="19454">
      <c r="A19454" s="3" t="inlineStr">
        <is>
          <t>19406</t>
        </is>
      </c>
      <c r="B19454" s="4" t="s">
        <f>=HYPERLINK("http://anyluxury.ru/shop/odezhda/rubashki-polo/rubashka-polo-zhenskaya-surf-lady-sinyaya-154744/" , "1547.44 Рубашка поло женская SURF LADY синяя, размер XS")</f>
      </c>
      <c r="C19454" s="4" t="n">
        <v>1780.00</v>
      </c>
      <c r="D19454" s="4"/>
    </row>
    <row collapsed="" customFormat="false" customHeight="1" hidden="" ht="14" outlineLevel="0" r="19455">
      <c r="A19455" s="3" t="inlineStr">
        <is>
          <t>19407</t>
        </is>
      </c>
      <c r="B19455" s="4" t="s">
        <f>=HYPERLINK("http://anyluxury.ru/shop/odezhda/rubashki-polo/rubashka-polo-zhenskaya-surf-lady-sinyaya-154744/" , "1547.44 Рубашка поло женская SURF LADY синяя, размер S")</f>
      </c>
      <c r="C19455" s="4" t="n">
        <v>1780.00</v>
      </c>
      <c r="D19455" s="4"/>
    </row>
    <row collapsed="" customFormat="false" customHeight="1" hidden="" ht="14" outlineLevel="0" r="19456">
      <c r="A19456" s="3" t="inlineStr">
        <is>
          <t>19408</t>
        </is>
      </c>
      <c r="B19456" s="4" t="s">
        <f>=HYPERLINK("http://anyluxury.ru/shop/odezhda/rubashki-polo/rubashka-polo-zhenskaya-surf-lady-sinyaya-154744/" , "1547.44 Рубашка поло женская SURF LADY синяя, размер L")</f>
      </c>
      <c r="C19456" s="4" t="n">
        <v>1780.00</v>
      </c>
      <c r="D19456" s="4"/>
    </row>
    <row collapsed="" customFormat="false" customHeight="1" hidden="" ht="14" outlineLevel="0" r="19457">
      <c r="A19457" s="3" t="inlineStr">
        <is>
          <t>19409</t>
        </is>
      </c>
      <c r="B19457" s="4" t="s">
        <f>=HYPERLINK("http://anyluxury.ru/shop/odezhda/rubashki-polo/rubashka-polo-zhenskaya-surf-lady-sinyaya-154744/" , "1547.44 Рубашка поло женская SURF LADY синяя, размер XXL")</f>
      </c>
      <c r="C19457" s="4" t="n">
        <v>1780.00</v>
      </c>
      <c r="D19457" s="4"/>
    </row>
    <row collapsed="" customFormat="false" customHeight="1" hidden="" ht="14" outlineLevel="0" r="19458">
      <c r="A19458" s="3" t="inlineStr">
        <is>
          <t>19410</t>
        </is>
      </c>
      <c r="B19458" s="4" t="s">
        <f>=HYPERLINK("http://anyluxury.ru/shop/odezhda/rubashki-polo/rubashka-polo-zhenskaya-surf-lady-zelenoe-yabloko-154792/" , "1547.92 Рубашка поло женская SURF LADY зеленое яблоко, размер XS")</f>
      </c>
      <c r="C19458" s="4" t="n">
        <v>1198.00</v>
      </c>
      <c r="D19458" s="4"/>
    </row>
    <row collapsed="" customFormat="false" customHeight="1" hidden="" ht="14" outlineLevel="0" r="19459">
      <c r="A19459" s="3" t="inlineStr">
        <is>
          <t>19411</t>
        </is>
      </c>
      <c r="B19459" s="4" t="s">
        <f>=HYPERLINK("http://anyluxury.ru/shop/odezhda/rubashki-polo/rubashka-polo-zhenskaya-surf-lady-zelenoe-yabloko-154792/" , "1547.92 Рубашка поло женская SURF LADY зеленое яблоко, размер S")</f>
      </c>
      <c r="C19459" s="4" t="n">
        <v>1198.00</v>
      </c>
      <c r="D19459" s="4"/>
    </row>
    <row collapsed="" customFormat="false" customHeight="1" hidden="" ht="14" outlineLevel="0" r="19460">
      <c r="A19460" s="3" t="inlineStr">
        <is>
          <t>19412</t>
        </is>
      </c>
      <c r="B19460" s="4" t="s">
        <f>=HYPERLINK("http://anyluxury.ru/shop/odezhda/rubashki-polo/rubashka-polo-zhenskaya-surf-lady-zelenoe-yabloko-154792/" , "1547.92 Рубашка поло женская SURF LADY зеленое яблоко, размер M")</f>
      </c>
      <c r="C19460" s="4" t="n">
        <v>1200.00</v>
      </c>
      <c r="D19460" s="4"/>
    </row>
    <row collapsed="" customFormat="false" customHeight="1" hidden="" ht="14" outlineLevel="0" r="19461">
      <c r="A19461" s="3" t="inlineStr">
        <is>
          <t>19413</t>
        </is>
      </c>
      <c r="B19461" s="4" t="s">
        <f>=HYPERLINK("http://anyluxury.ru/shop/odezhda/rubashki-polo/rubashka-polo-zhenskaya-surf-lady-zelenoe-yabloko-154792/" , "1547.92 Рубашка поло женская SURF LADY зеленое яблоко, размер L")</f>
      </c>
      <c r="C19461" s="4" t="n">
        <v>1198.00</v>
      </c>
      <c r="D19461" s="4"/>
    </row>
    <row collapsed="" customFormat="false" customHeight="1" hidden="" ht="14" outlineLevel="0" r="19462">
      <c r="A19462" s="3" t="inlineStr">
        <is>
          <t>19414</t>
        </is>
      </c>
      <c r="B19462" s="4" t="s">
        <f>=HYPERLINK("http://anyluxury.ru/shop/odezhda/rubashki-polo/rubashka-polo-zhenskaya-surf-lady-zelenoe-yabloko-154792/" , "1547.92 Рубашка поло женская SURF LADY зеленое яблоко, размер XL")</f>
      </c>
      <c r="C19462" s="4" t="n">
        <v>1198.00</v>
      </c>
      <c r="D19462" s="4"/>
    </row>
    <row collapsed="" customFormat="false" customHeight="1" hidden="" ht="14" outlineLevel="0" r="19463">
      <c r="A19463" s="3" t="inlineStr">
        <is>
          <t>19415</t>
        </is>
      </c>
      <c r="B19463" s="4" t="s">
        <f>=HYPERLINK("http://anyluxury.ru/shop/odezhda/rubashki-polo/rubashka-polo-zhenskaya-surf-lady-zelenoe-yabloko-154792/" , "1547.92 Рубашка поло женская SURF LADY зеленое яблоко, размер XXL")</f>
      </c>
      <c r="C19463" s="4" t="n">
        <v>1198.00</v>
      </c>
      <c r="D19463" s="4"/>
    </row>
    <row collapsed="" customFormat="false" customHeight="1" hidden="" ht="14" outlineLevel="0" r="19464">
      <c r="A19464" s="3" t="inlineStr">
        <is>
          <t>19416</t>
        </is>
      </c>
      <c r="B19464" s="4" t="s">
        <f>=HYPERLINK("http://anyluxury.ru/shop/odezhda/rubashki-polo/rubashka-polo-zhenskaya-surf-lady-bordovaya-154755/" , "1547.55 Рубашка поло женская SURF LADY бордовая, размер S")</f>
      </c>
      <c r="C19464" s="4" t="n">
        <v>1200.00</v>
      </c>
      <c r="D19464" s="4"/>
    </row>
    <row collapsed="" customFormat="false" customHeight="1" hidden="" ht="14" outlineLevel="0" r="19465">
      <c r="A19465" s="3" t="inlineStr">
        <is>
          <t>19417</t>
        </is>
      </c>
      <c r="B19465" s="4" t="s">
        <f>=HYPERLINK("http://anyluxury.ru/shop/odezhda/rubashki-polo/rubashka-polo-zhenskaya-surf-lady-bordovaya-154755/" , "1547.55 Рубашка поло женская SURF LADY бордовая, размер M")</f>
      </c>
      <c r="C19465" s="4" t="n">
        <v>1336.00</v>
      </c>
      <c r="D19465" s="4"/>
    </row>
    <row collapsed="" customFormat="false" customHeight="1" hidden="" ht="14" outlineLevel="0" r="19466">
      <c r="A19466" s="3" t="inlineStr">
        <is>
          <t>19418</t>
        </is>
      </c>
      <c r="B19466" s="4" t="s">
        <f>=HYPERLINK("http://anyluxury.ru/shop/odezhda/rubashki-polo/rubashka-polo-zhenskaya-surf-lady-belaya-154760/" , "1547.60 Рубашка поло женская SURF LADY белая, размер XXL")</f>
      </c>
      <c r="C19466" s="4" t="n">
        <v>1782.00</v>
      </c>
      <c r="D19466" s="4"/>
    </row>
    <row collapsed="" customFormat="false" customHeight="1" hidden="" ht="14" outlineLevel="0" r="19467">
      <c r="A19467" s="3" t="inlineStr">
        <is>
          <t>19419</t>
        </is>
      </c>
      <c r="B19467" s="4" t="s">
        <f>=HYPERLINK("http://anyluxury.ru/shop/odezhda/rubashki-polo/rubashka-polo-muzhskaya-brandy-men-temnoseraya-s-belim-01706503/" , "01706503 Рубашка поло мужская BRANDY MEN, темно-серая с белым, размер S")</f>
      </c>
      <c r="C19467" s="4" t="n">
        <v>2107.00</v>
      </c>
      <c r="D19467" s="4"/>
    </row>
    <row collapsed="" customFormat="false" customHeight="1" hidden="" ht="14" outlineLevel="0" r="19468">
      <c r="A19468" s="3" t="inlineStr">
        <is>
          <t>19420</t>
        </is>
      </c>
      <c r="B19468" s="4" t="s">
        <f>=HYPERLINK("http://anyluxury.ru/shop/odezhda/rubashki-polo/rubashka-polo-muzhskaya-brandy-men-temnoseraya-s-belim-01706503/" , "01706503 Рубашка поло мужская BRANDY MEN, темно-серая с белым, размер M")</f>
      </c>
      <c r="C19468" s="4" t="n">
        <v>2107.00</v>
      </c>
      <c r="D19468" s="4"/>
    </row>
    <row collapsed="" customFormat="false" customHeight="1" hidden="" ht="14" outlineLevel="0" r="19469">
      <c r="A19469" s="3" t="inlineStr">
        <is>
          <t>19421</t>
        </is>
      </c>
      <c r="B19469" s="4" t="s">
        <f>=HYPERLINK("http://anyluxury.ru/shop/odezhda/rubashki-polo/rubashka-polo-muzhskaya-brandy-men-temnoseraya-s-belim-01706503/" , "01706503 Рубашка поло мужская BRANDY MEN, темно-серая с белым, размер L")</f>
      </c>
      <c r="C19469" s="4" t="n">
        <v>2107.00</v>
      </c>
      <c r="D19469" s="4"/>
    </row>
    <row collapsed="" customFormat="false" customHeight="1" hidden="" ht="14" outlineLevel="0" r="19470">
      <c r="A19470" s="3" t="inlineStr">
        <is>
          <t>19422</t>
        </is>
      </c>
      <c r="B19470" s="4" t="s">
        <f>=HYPERLINK("http://anyluxury.ru/shop/odezhda/rubashki-polo/rubashka-polo-muzhskaya-brandy-men-temnoseraya-s-belim-01706503/" , "01706503 Рубашка поло мужская BRANDY MEN, темно-серая с белым, размер XXL")</f>
      </c>
      <c r="C19470" s="4" t="n">
        <v>2107.00</v>
      </c>
      <c r="D19470" s="4"/>
    </row>
    <row collapsed="" customFormat="false" customHeight="1" hidden="" ht="14" outlineLevel="0" r="19471">
      <c r="A19471" s="3" t="inlineStr">
        <is>
          <t>19423</t>
        </is>
      </c>
      <c r="B19471" s="4" t="s">
        <f>=HYPERLINK("http://anyluxury.ru/shop/odezhda/rubashki-polo/rubashka-polo-muzhskaya-brandy-men-temnosinyaya-s-belim-01706912/" , "01706912 Рубашка поло мужская BRANDY MEN, темно-синяя с белым, размер M")</f>
      </c>
      <c r="C19471" s="4" t="n">
        <v>2107.00</v>
      </c>
      <c r="D19471" s="4"/>
    </row>
    <row collapsed="" customFormat="false" customHeight="1" hidden="" ht="14" outlineLevel="0" r="19472">
      <c r="A19472" s="3" t="inlineStr">
        <is>
          <t>19424</t>
        </is>
      </c>
      <c r="B19472" s="4" t="s">
        <f>=HYPERLINK("http://anyluxury.ru/shop/odezhda/rubashki-polo/rubashka-polo-muzhskaya-brandy-men-temnosinyaya-s-belim-01706912/" , "01706912 Рубашка поло мужская BRANDY MEN, темно-синяя с белым, размер XL")</f>
      </c>
      <c r="C19472" s="4" t="n">
        <v>2107.00</v>
      </c>
      <c r="D19472" s="4"/>
    </row>
    <row collapsed="" customFormat="false" customHeight="1" hidden="" ht="14" outlineLevel="0" r="19473">
      <c r="A19473" s="3" t="inlineStr">
        <is>
          <t>19425</t>
        </is>
      </c>
      <c r="B19473" s="4" t="s">
        <f>=HYPERLINK("http://anyluxury.ru/shop/odezhda/rubashki-polo/rubashka-polo-muzhskaya-brandy-men-temnosinyaya-s-belim-01706912/" , "01706912 Рубашка поло мужская BRANDY MEN, темно-синяя с белым, размер XXL")</f>
      </c>
      <c r="C19473" s="4" t="n">
        <v>2107.00</v>
      </c>
      <c r="D19473" s="4"/>
    </row>
    <row collapsed="" customFormat="false" customHeight="1" hidden="" ht="14" outlineLevel="0" r="19474">
      <c r="A19474" s="3" t="inlineStr">
        <is>
          <t>19426</t>
        </is>
      </c>
      <c r="B19474" s="4" t="s">
        <f>=HYPERLINK("http://anyluxury.ru/shop/odezhda/rubashki-polo/rubashka-polo-muzhskaya-brandy-men-belaya-s-temnosinim-01706989/" , "01706989 Рубашка поло мужская BRANDY MEN, белая с темно-синим, размер S")</f>
      </c>
      <c r="C19474" s="4" t="n">
        <v>2107.00</v>
      </c>
      <c r="D19474" s="4"/>
    </row>
    <row collapsed="" customFormat="false" customHeight="1" hidden="" ht="14" outlineLevel="0" r="19475">
      <c r="A19475" s="3" t="inlineStr">
        <is>
          <t>19427</t>
        </is>
      </c>
      <c r="B19475" s="4" t="s">
        <f>=HYPERLINK("http://anyluxury.ru/shop/odezhda/rubashki-polo/rubashka-polo-muzhskaya-brandy-men-belaya-s-temnosinim-01706989/" , "01706989 Рубашка поло мужская BRANDY MEN, белая с темно-синим, размер M")</f>
      </c>
      <c r="C19475" s="4" t="n">
        <v>2107.00</v>
      </c>
      <c r="D19475" s="4"/>
    </row>
    <row collapsed="" customFormat="false" customHeight="1" hidden="" ht="14" outlineLevel="0" r="19476">
      <c r="A19476" s="3" t="inlineStr">
        <is>
          <t>19428</t>
        </is>
      </c>
      <c r="B19476" s="4" t="s">
        <f>=HYPERLINK("http://anyluxury.ru/shop/odezhda/rubashki-polo/rubashka-polo-muzhskaya-brandy-men-belaya-s-temnosinim-01706989/" , "01706989 Рубашка поло мужская BRANDY MEN, белая с темно-синим, размер L")</f>
      </c>
      <c r="C19476" s="4" t="n">
        <v>2107.00</v>
      </c>
      <c r="D19476" s="4"/>
    </row>
    <row collapsed="" customFormat="false" customHeight="1" hidden="" ht="14" outlineLevel="0" r="19477">
      <c r="A19477" s="3" t="inlineStr">
        <is>
          <t>19429</t>
        </is>
      </c>
      <c r="B19477" s="4" t="s">
        <f>=HYPERLINK("http://anyluxury.ru/shop/odezhda/rubashki-polo/rubashka-polo-muzhskaya-brandy-men-belaya-s-temnosinim-01706989/" , "01706989 Рубашка поло мужская BRANDY MEN, белая с темно-синим, размер XL")</f>
      </c>
      <c r="C19477" s="4" t="n">
        <v>2107.00</v>
      </c>
      <c r="D19477" s="4"/>
    </row>
    <row collapsed="" customFormat="false" customHeight="1" hidden="" ht="14" outlineLevel="0" r="19478">
      <c r="A19478" s="3" t="inlineStr">
        <is>
          <t>19430</t>
        </is>
      </c>
      <c r="B19478" s="4" t="s">
        <f>=HYPERLINK("http://anyluxury.ru/shop/odezhda/rubashki-polo/rubashka-polo-muzhskaya-brandy-men-belaya-s-temnosinim-01706989/" , "01706989 Рубашка поло мужская BRANDY MEN, белая с темно-синим, размер XXL")</f>
      </c>
      <c r="C19478" s="4" t="n">
        <v>2107.00</v>
      </c>
      <c r="D19478" s="4"/>
    </row>
    <row collapsed="" customFormat="false" customHeight="1" hidden="" ht="14" outlineLevel="0" r="19479">
      <c r="A19479" s="3" t="inlineStr">
        <is>
          <t>19431</t>
        </is>
      </c>
      <c r="B19479" s="4" t="s">
        <f>=HYPERLINK("http://anyluxury.ru/shop/odezhda/rubashki-polo/rubashka-polo-zhenskaya-brandy-women-temnoseraya-s-belim-01707503/" , "01707503 Рубашка поло женская BRANDY WOMEN темно-серый с белым, размер XS")</f>
      </c>
      <c r="C19479" s="4" t="n">
        <v>2061.00</v>
      </c>
      <c r="D19479" s="4"/>
    </row>
    <row collapsed="" customFormat="false" customHeight="1" hidden="" ht="14" outlineLevel="0" r="19480">
      <c r="A19480" s="3" t="inlineStr">
        <is>
          <t>19432</t>
        </is>
      </c>
      <c r="B19480" s="4" t="s">
        <f>=HYPERLINK("http://anyluxury.ru/shop/odezhda/rubashki-polo/rubashka-polo-zhenskaya-brandy-women-temnoseraya-s-belim-01707503/" , "01707503 Рубашка поло женская BRANDY WOMEN темно-серый с белым, размер S")</f>
      </c>
      <c r="C19480" s="4" t="n">
        <v>2061.00</v>
      </c>
      <c r="D19480" s="4"/>
    </row>
    <row collapsed="" customFormat="false" customHeight="1" hidden="" ht="14" outlineLevel="0" r="19481">
      <c r="A19481" s="3" t="inlineStr">
        <is>
          <t>19433</t>
        </is>
      </c>
      <c r="B19481" s="4" t="s">
        <f>=HYPERLINK("http://anyluxury.ru/shop/odezhda/rubashki-polo/rubashka-polo-zhenskaya-brandy-women-temnoseraya-s-belim-01707503/" , "01707503 Рубашка поло женская BRANDY WOMEN темно-серый с белым, размер L")</f>
      </c>
      <c r="C19481" s="4" t="n">
        <v>2061.00</v>
      </c>
      <c r="D19481" s="4"/>
    </row>
    <row collapsed="" customFormat="false" customHeight="1" hidden="" ht="14" outlineLevel="0" r="19482">
      <c r="A19482" s="3" t="inlineStr">
        <is>
          <t>19434</t>
        </is>
      </c>
      <c r="B19482" s="4" t="s">
        <f>=HYPERLINK("http://anyluxury.ru/shop/odezhda/rubashki-polo/rubashka-polo-zhenskaya-brandy-women-temnoseraya-s-belim-01707503/" , "01707503 Рубашка поло женская BRANDY WOMEN темно-серый с белым, размер XL")</f>
      </c>
      <c r="C19482" s="4" t="n">
        <v>2061.00</v>
      </c>
      <c r="D19482" s="4"/>
    </row>
    <row collapsed="" customFormat="false" customHeight="1" hidden="" ht="14" outlineLevel="0" r="19483">
      <c r="A19483" s="3" t="inlineStr">
        <is>
          <t>19435</t>
        </is>
      </c>
      <c r="B19483" s="4" t="s">
        <f>=HYPERLINK("http://anyluxury.ru/shop/odezhda/rubashki-polo/rubashka-polo-zhenskaya-brandy-women-temnoseraya-s-belim-01707503/" , "01707503 Рубашка поло женская BRANDY WOMEN темно-серый с белым, размер XXL")</f>
      </c>
      <c r="C19483" s="4" t="n">
        <v>2061.00</v>
      </c>
      <c r="D19483" s="4"/>
    </row>
    <row collapsed="" customFormat="false" customHeight="1" hidden="" ht="14" outlineLevel="0" r="19484">
      <c r="A19484" s="3" t="inlineStr">
        <is>
          <t>19436</t>
        </is>
      </c>
      <c r="B19484" s="4" t="s">
        <f>=HYPERLINK("http://anyluxury.ru/shop/odezhda/rubashki-polo/rubashka-polo-zhenskaya-brandy-women-temnosinyaya-s-belim-01707912/" , "01707912 Рубашка поло женская BRANDY WOMEN темно-синий с белым, размер XS")</f>
      </c>
      <c r="C19484" s="4" t="n">
        <v>2061.00</v>
      </c>
      <c r="D19484" s="4"/>
    </row>
    <row collapsed="" customFormat="false" customHeight="1" hidden="" ht="14" outlineLevel="0" r="19485">
      <c r="A19485" s="3" t="inlineStr">
        <is>
          <t>19437</t>
        </is>
      </c>
      <c r="B19485" s="4" t="s">
        <f>=HYPERLINK("http://anyluxury.ru/shop/odezhda/rubashki-polo/rubashka-polo-zhenskaya-brandy-women-temnosinyaya-s-belim-01707912/" , "01707912 Рубашка поло женская BRANDY WOMEN темно-синий с белым, размер S")</f>
      </c>
      <c r="C19485" s="4" t="n">
        <v>2061.00</v>
      </c>
      <c r="D19485" s="4"/>
    </row>
    <row collapsed="" customFormat="false" customHeight="1" hidden="" ht="14" outlineLevel="0" r="19486">
      <c r="A19486" s="3" t="inlineStr">
        <is>
          <t>19438</t>
        </is>
      </c>
      <c r="B19486" s="4" t="s">
        <f>=HYPERLINK("http://anyluxury.ru/shop/odezhda/rubashki-polo/rubashka-polo-zhenskaya-brandy-women-temnosinyaya-s-belim-01707912/" , "01707912 Рубашка поло женская BRANDY WOMEN темно-синий с белым, размер M")</f>
      </c>
      <c r="C19486" s="4" t="n">
        <v>2061.00</v>
      </c>
      <c r="D19486" s="4"/>
    </row>
    <row collapsed="" customFormat="false" customHeight="1" hidden="" ht="14" outlineLevel="0" r="19487">
      <c r="A19487" s="3" t="inlineStr">
        <is>
          <t>19439</t>
        </is>
      </c>
      <c r="B19487" s="4" t="s">
        <f>=HYPERLINK("http://anyluxury.ru/shop/odezhda/rubashki-polo/rubashka-polo-zhenskaya-brandy-women-temnosinyaya-s-belim-01707912/" , "01707912 Рубашка поло женская BRANDY WOMEN темно-синий с белым, размер L")</f>
      </c>
      <c r="C19487" s="4" t="n">
        <v>2061.00</v>
      </c>
      <c r="D19487" s="4"/>
    </row>
    <row collapsed="" customFormat="false" customHeight="1" hidden="" ht="14" outlineLevel="0" r="19488">
      <c r="A19488" s="3" t="inlineStr">
        <is>
          <t>19440</t>
        </is>
      </c>
      <c r="B19488" s="4" t="s">
        <f>=HYPERLINK("http://anyluxury.ru/shop/odezhda/rubashki-polo/rubashka-polo-zhenskaya-brandy-women-temnosinyaya-s-belim-01707912/" , "01707912 Рубашка поло женская BRANDY WOMEN темно-синий с белым, размер XL")</f>
      </c>
      <c r="C19488" s="4" t="n">
        <v>2061.00</v>
      </c>
      <c r="D19488" s="4"/>
    </row>
    <row collapsed="" customFormat="false" customHeight="1" hidden="" ht="14" outlineLevel="0" r="19489">
      <c r="A19489" s="3" t="inlineStr">
        <is>
          <t>19441</t>
        </is>
      </c>
      <c r="B19489" s="4" t="s">
        <f>=HYPERLINK("http://anyluxury.ru/shop/odezhda/rubashki-polo/rubashka-polo-zhenskaya-brandy-women-temnosinyaya-s-belim-01707912/" , "01707912 Рубашка поло женская BRANDY WOMEN темно-синий с белым, размер XXL")</f>
      </c>
      <c r="C19489" s="4" t="n">
        <v>2061.00</v>
      </c>
      <c r="D19489" s="4"/>
    </row>
    <row collapsed="" customFormat="false" customHeight="1" hidden="" ht="14" outlineLevel="0" r="19490">
      <c r="A19490" s="3" t="inlineStr">
        <is>
          <t>19442</t>
        </is>
      </c>
      <c r="B19490" s="4" t="s">
        <f>=HYPERLINK("http://anyluxury.ru/shop/odezhda/rubashki-polo/rubashka-polo-zhenskaya-brandy-women-bordovaya-s-belim-01707502/" , "01707502 Рубашка поло женская BRANDY WOMEN, бордовая с белым, размер XS")</f>
      </c>
      <c r="C19490" s="4" t="n">
        <v>2061.00</v>
      </c>
      <c r="D19490" s="4"/>
    </row>
    <row collapsed="" customFormat="false" customHeight="1" hidden="" ht="14" outlineLevel="0" r="19491">
      <c r="A19491" s="3" t="inlineStr">
        <is>
          <t>19443</t>
        </is>
      </c>
      <c r="B19491" s="4" t="s">
        <f>=HYPERLINK("http://anyluxury.ru/shop/odezhda/rubashki-polo/rubashka-polo-zhenskaya-brandy-women-bordovaya-s-belim-01707502/" , "01707502 Рубашка поло женская BRANDY WOMEN, бордовая с белым, размер S")</f>
      </c>
      <c r="C19491" s="4" t="n">
        <v>2061.00</v>
      </c>
      <c r="D19491" s="4"/>
    </row>
    <row collapsed="" customFormat="false" customHeight="1" hidden="" ht="14" outlineLevel="0" r="19492">
      <c r="A19492" s="3" t="inlineStr">
        <is>
          <t>19444</t>
        </is>
      </c>
      <c r="B19492" s="4" t="s">
        <f>=HYPERLINK("http://anyluxury.ru/shop/odezhda/rubashki-polo/rubashka-polo-zhenskaya-brandy-women-bordovaya-s-belim-01707502/" , "01707502 Рубашка поло женская BRANDY WOMEN, бордовая с белым, размер L")</f>
      </c>
      <c r="C19492" s="4" t="n">
        <v>2061.00</v>
      </c>
      <c r="D19492" s="4"/>
    </row>
    <row collapsed="" customFormat="false" customHeight="1" hidden="" ht="14" outlineLevel="0" r="19493">
      <c r="A19493" s="3" t="inlineStr">
        <is>
          <t>19445</t>
        </is>
      </c>
      <c r="B19493" s="4" t="s">
        <f>=HYPERLINK("http://anyluxury.ru/shop/odezhda/rubashki-polo/rubashka-polo-zhenskaya-brandy-women-bordovaya-s-belim-01707502/" , "01707502 Рубашка поло женская BRANDY WOMEN, бордовая с белым, размер XL")</f>
      </c>
      <c r="C19493" s="4" t="n">
        <v>2061.00</v>
      </c>
      <c r="D19493" s="4"/>
    </row>
    <row collapsed="" customFormat="false" customHeight="1" hidden="" ht="14" outlineLevel="0" r="19494">
      <c r="A19494" s="3" t="inlineStr">
        <is>
          <t>19446</t>
        </is>
      </c>
      <c r="B19494" s="4" t="s">
        <f>=HYPERLINK("http://anyluxury.ru/shop/odezhda/rubashki-polo/rubashka-polo-zhenskaya-brandy-women-bordovaya-s-belim-01707502/" , "01707502 Рубашка поло женская BRANDY WOMEN, бордовая с белым, размер XXL")</f>
      </c>
      <c r="C19494" s="4" t="n">
        <v>2061.00</v>
      </c>
      <c r="D19494" s="4"/>
    </row>
    <row collapsed="" customFormat="false" customHeight="1" hidden="" ht="14" outlineLevel="0" r="19495">
      <c r="A19495" s="3" t="inlineStr">
        <is>
          <t>19447</t>
        </is>
      </c>
      <c r="B19495" s="4" t="s">
        <f>=HYPERLINK("http://anyluxury.ru/shop/odezhda/rubashki-polo/rubashka-polo-zhenskaya-brandy-women-belaya-s-temnosinim-01707989/" , "01707989 Рубашка поло женская BRANDY WOMEN белый/темно-синий, размер XS")</f>
      </c>
      <c r="C19495" s="4" t="n">
        <v>2061.00</v>
      </c>
      <c r="D19495" s="4"/>
    </row>
    <row collapsed="" customFormat="false" customHeight="1" hidden="" ht="14" outlineLevel="0" r="19496">
      <c r="A19496" s="3" t="inlineStr">
        <is>
          <t>19448</t>
        </is>
      </c>
      <c r="B19496" s="4" t="s">
        <f>=HYPERLINK("http://anyluxury.ru/shop/odezhda/rubashki-polo/rubashka-polo-zhenskaya-brandy-women-belaya-s-temnosinim-01707989/" , "01707989 Рубашка поло женская BRANDY WOMEN белый/темно-синий, размер S")</f>
      </c>
      <c r="C19496" s="4" t="n">
        <v>2061.00</v>
      </c>
      <c r="D19496" s="4"/>
    </row>
    <row collapsed="" customFormat="false" customHeight="1" hidden="" ht="14" outlineLevel="0" r="19497">
      <c r="A19497" s="3" t="inlineStr">
        <is>
          <t>19449</t>
        </is>
      </c>
      <c r="B19497" s="4" t="s">
        <f>=HYPERLINK("http://anyluxury.ru/shop/odezhda/rubashki-polo/rubashka-polo-zhenskaya-brandy-women-belaya-s-temnosinim-01707989/" , "01707989 Рубашка поло женская BRANDY WOMEN белый/темно-синий, размер M")</f>
      </c>
      <c r="C19497" s="4" t="n">
        <v>2061.00</v>
      </c>
      <c r="D19497" s="4"/>
    </row>
    <row collapsed="" customFormat="false" customHeight="1" hidden="" ht="14" outlineLevel="0" r="19498">
      <c r="A19498" s="3" t="inlineStr">
        <is>
          <t>19450</t>
        </is>
      </c>
      <c r="B19498" s="4" t="s">
        <f>=HYPERLINK("http://anyluxury.ru/shop/odezhda/rubashki-polo/rubashka-polo-zhenskaya-brandy-women-belaya-s-temnosinim-01707989/" , "01707989 Рубашка поло женская BRANDY WOMEN белый/темно-синий, размер XL")</f>
      </c>
      <c r="C19498" s="4" t="n">
        <v>2061.00</v>
      </c>
      <c r="D19498" s="4"/>
    </row>
    <row collapsed="" customFormat="false" customHeight="1" hidden="" ht="14" outlineLevel="0" r="19499">
      <c r="A19499" s="3" t="inlineStr">
        <is>
          <t>19451</t>
        </is>
      </c>
      <c r="B19499" s="4" t="s">
        <f>=HYPERLINK("http://anyluxury.ru/shop/odezhda/rubashki-polo/rubashka-polo-zhenskaya-brandy-women-belaya-s-temnosinim-01707989/" , "01707989 Рубашка поло женская BRANDY WOMEN белый/темно-синий, размер XXL")</f>
      </c>
      <c r="C19499" s="4" t="n">
        <v>2061.00</v>
      </c>
      <c r="D19499" s="4"/>
    </row>
    <row collapsed="" customFormat="false" customHeight="1" hidden="" ht="14" outlineLevel="0" r="19500">
      <c r="A19500" s="3" t="inlineStr">
        <is>
          <t>19452</t>
        </is>
      </c>
      <c r="B19500" s="4" t="s">
        <f>=HYPERLINK("http://anyluxury.ru/shop/odezhda/rubashki-polo/rubashka-polo-muzhskaya-phoenix-men-chernaya-01708312/" , "01708312 Рубашка поло мужская PHOENIX MEN черная, размер S")</f>
      </c>
      <c r="C19500" s="4" t="n">
        <v>2631.00</v>
      </c>
      <c r="D19500" s="4"/>
    </row>
    <row collapsed="" customFormat="false" customHeight="1" hidden="" ht="14" outlineLevel="0" r="19501">
      <c r="A19501" s="3" t="inlineStr">
        <is>
          <t>19453</t>
        </is>
      </c>
      <c r="B19501" s="4" t="s">
        <f>=HYPERLINK("http://anyluxury.ru/shop/odezhda/rubashki-polo/rubashka-polo-muzhskaya-phoenix-men-chernaya-01708312/" , "01708312 Рубашка поло мужская PHOENIX MEN черная, размер M")</f>
      </c>
      <c r="C19501" s="4" t="n">
        <v>2631.00</v>
      </c>
      <c r="D19501" s="4"/>
    </row>
    <row collapsed="" customFormat="false" customHeight="1" hidden="" ht="14" outlineLevel="0" r="19502">
      <c r="A19502" s="3" t="inlineStr">
        <is>
          <t>19454</t>
        </is>
      </c>
      <c r="B19502" s="4" t="s">
        <f>=HYPERLINK("http://anyluxury.ru/shop/odezhda/rubashki-polo/rubashka-polo-muzhskaya-phoenix-men-chernaya-01708312/" , "01708312 Рубашка поло мужская PHOENIX MEN черная, размер L")</f>
      </c>
      <c r="C19502" s="4" t="n">
        <v>2631.00</v>
      </c>
      <c r="D19502" s="4"/>
    </row>
    <row collapsed="" customFormat="false" customHeight="1" hidden="" ht="14" outlineLevel="0" r="19503">
      <c r="A19503" s="3" t="inlineStr">
        <is>
          <t>19455</t>
        </is>
      </c>
      <c r="B19503" s="4" t="s">
        <f>=HYPERLINK("http://anyluxury.ru/shop/odezhda/rubashki-polo/rubashka-polo-muzhskaya-phoenix-men-chernaya-01708312/" , "01708312 Рубашка поло мужская PHOENIX MEN черная, размер XL")</f>
      </c>
      <c r="C19503" s="4" t="n">
        <v>2631.00</v>
      </c>
      <c r="D19503" s="4"/>
    </row>
    <row collapsed="" customFormat="false" customHeight="1" hidden="" ht="14" outlineLevel="0" r="19504">
      <c r="A19504" s="3" t="inlineStr">
        <is>
          <t>19456</t>
        </is>
      </c>
      <c r="B19504" s="4" t="s">
        <f>=HYPERLINK("http://anyluxury.ru/shop/odezhda/rubashki-polo/rubashka-polo-muzhskaya-phoenix-men-chernaya-01708312/" , "01708312 Рубашка поло мужская PHOENIX MEN черная, размер XXL")</f>
      </c>
      <c r="C19504" s="4" t="n">
        <v>2631.00</v>
      </c>
      <c r="D19504" s="4"/>
    </row>
    <row collapsed="" customFormat="false" customHeight="1" hidden="" ht="14" outlineLevel="0" r="19505">
      <c r="A19505" s="3" t="inlineStr">
        <is>
          <t>19457</t>
        </is>
      </c>
      <c r="B19505" s="4" t="s">
        <f>=HYPERLINK("http://anyluxury.ru/shop/odezhda/rubashki-polo/rubashka-polo-muzhskaya-phoenix-men-chernaya-01708312/" , "01708312 Рубашка поло мужская PHOENIX MEN черная, размер 3XL")</f>
      </c>
      <c r="C19505" s="4" t="n">
        <v>3029.00</v>
      </c>
      <c r="D19505" s="4"/>
    </row>
    <row collapsed="" customFormat="false" customHeight="1" hidden="" ht="14" outlineLevel="0" r="19506">
      <c r="A19506" s="3" t="inlineStr">
        <is>
          <t>19458</t>
        </is>
      </c>
      <c r="B19506" s="4" t="s">
        <f>=HYPERLINK("http://anyluxury.ru/shop/odezhda/rubashki-polo/rubashka-polo-muzhskaya-phoenix-men-temnoseriy-melanzh-01708348/" , "01708348 Рубашка поло мужская PHOENIX MEN темно-серый меланж, размер S")</f>
      </c>
      <c r="C19506" s="4" t="n">
        <v>2631.00</v>
      </c>
      <c r="D19506" s="4"/>
    </row>
    <row collapsed="" customFormat="false" customHeight="1" hidden="" ht="14" outlineLevel="0" r="19507">
      <c r="A19507" s="3" t="inlineStr">
        <is>
          <t>19459</t>
        </is>
      </c>
      <c r="B19507" s="4" t="s">
        <f>=HYPERLINK("http://anyluxury.ru/shop/odezhda/rubashki-polo/rubashka-polo-muzhskaya-phoenix-men-temnoseriy-melanzh-01708348/" , "01708348 Рубашка поло мужская PHOENIX MEN темно-серый меланж, размер M")</f>
      </c>
      <c r="C19507" s="4" t="n">
        <v>2631.00</v>
      </c>
      <c r="D19507" s="4"/>
    </row>
    <row collapsed="" customFormat="false" customHeight="1" hidden="" ht="14" outlineLevel="0" r="19508">
      <c r="A19508" s="3" t="inlineStr">
        <is>
          <t>19460</t>
        </is>
      </c>
      <c r="B19508" s="4" t="s">
        <f>=HYPERLINK("http://anyluxury.ru/shop/odezhda/rubashki-polo/rubashka-polo-muzhskaya-phoenix-men-temnoseriy-melanzh-01708348/" , "01708348 Рубашка поло мужская PHOENIX MEN темно-серый меланж, размер L")</f>
      </c>
      <c r="C19508" s="4" t="n">
        <v>2631.00</v>
      </c>
      <c r="D19508" s="4"/>
    </row>
    <row collapsed="" customFormat="false" customHeight="1" hidden="" ht="14" outlineLevel="0" r="19509">
      <c r="A19509" s="3" t="inlineStr">
        <is>
          <t>19461</t>
        </is>
      </c>
      <c r="B19509" s="4" t="s">
        <f>=HYPERLINK("http://anyluxury.ru/shop/odezhda/rubashki-polo/rubashka-polo-muzhskaya-phoenix-men-temnoseriy-melanzh-01708348/" , "01708348 Рубашка поло мужская PHOENIX MEN темно-серый меланж, размер XL")</f>
      </c>
      <c r="C19509" s="4" t="n">
        <v>2631.00</v>
      </c>
      <c r="D19509" s="4"/>
    </row>
    <row collapsed="" customFormat="false" customHeight="1" hidden="" ht="14" outlineLevel="0" r="19510">
      <c r="A19510" s="3" t="inlineStr">
        <is>
          <t>19462</t>
        </is>
      </c>
      <c r="B19510" s="4" t="s">
        <f>=HYPERLINK("http://anyluxury.ru/shop/odezhda/rubashki-polo/rubashka-polo-muzhskaya-phoenix-men-temnoseriy-melanzh-01708348/" , "01708348 Рубашка поло мужская PHOENIX MEN темно-серый меланж, размер XXL")</f>
      </c>
      <c r="C19510" s="4" t="n">
        <v>2631.00</v>
      </c>
      <c r="D19510" s="4"/>
    </row>
    <row collapsed="" customFormat="false" customHeight="1" hidden="" ht="14" outlineLevel="0" r="19511">
      <c r="A19511" s="3" t="inlineStr">
        <is>
          <t>19463</t>
        </is>
      </c>
      <c r="B19511" s="4" t="s">
        <f>=HYPERLINK("http://anyluxury.ru/shop/odezhda/rubashki-polo/rubashka-polo-muzhskaya-phoenix-men-temnoseriy-melanzh-01708348/" , "01708348 Рубашка поло мужская PHOENIX MEN темно-серый меланж, размер 3XL")</f>
      </c>
      <c r="C19511" s="4" t="n">
        <v>3029.00</v>
      </c>
      <c r="D19511" s="4"/>
    </row>
    <row collapsed="" customFormat="false" customHeight="1" hidden="" ht="14" outlineLevel="0" r="19512">
      <c r="A19512" s="3" t="inlineStr">
        <is>
          <t>19464</t>
        </is>
      </c>
      <c r="B19512" s="4" t="s">
        <f>=HYPERLINK("http://anyluxury.ru/shop/odezhda/rubashki-polo/rubashka-polo-muzhskaya-phoenix-men-temnosinyaya-01708319/" , "01708319 Рубашка поло мужская PHOENIX MEN темно-синяя, размер S")</f>
      </c>
      <c r="C19512" s="4" t="n">
        <v>2631.00</v>
      </c>
      <c r="D19512" s="4"/>
    </row>
    <row collapsed="" customFormat="false" customHeight="1" hidden="" ht="14" outlineLevel="0" r="19513">
      <c r="A19513" s="3" t="inlineStr">
        <is>
          <t>19465</t>
        </is>
      </c>
      <c r="B19513" s="4" t="s">
        <f>=HYPERLINK("http://anyluxury.ru/shop/odezhda/rubashki-polo/rubashka-polo-muzhskaya-phoenix-men-temnosinyaya-01708319/" , "01708319 Рубашка поло мужская PHOENIX MEN темно-синяя, размер M")</f>
      </c>
      <c r="C19513" s="4" t="n">
        <v>2631.00</v>
      </c>
      <c r="D19513" s="4"/>
    </row>
    <row collapsed="" customFormat="false" customHeight="1" hidden="" ht="14" outlineLevel="0" r="19514">
      <c r="A19514" s="3" t="inlineStr">
        <is>
          <t>19466</t>
        </is>
      </c>
      <c r="B19514" s="4" t="s">
        <f>=HYPERLINK("http://anyluxury.ru/shop/odezhda/rubashki-polo/rubashka-polo-muzhskaya-phoenix-men-temnosinyaya-01708319/" , "01708319 Рубашка поло мужская PHOENIX MEN темно-синяя, размер XXL")</f>
      </c>
      <c r="C19514" s="4" t="n">
        <v>2631.00</v>
      </c>
      <c r="D19514" s="4"/>
    </row>
    <row collapsed="" customFormat="false" customHeight="1" hidden="" ht="14" outlineLevel="0" r="19515">
      <c r="A19515" s="3" t="inlineStr">
        <is>
          <t>19467</t>
        </is>
      </c>
      <c r="B19515" s="4" t="s">
        <f>=HYPERLINK("http://anyluxury.ru/shop/odezhda/rubashki-polo/rubashka-polo-muzhskaya-phoenix-men-temnosinyaya-01708319/" , "01708319 Рубашка поло мужская Phoenix Men темно-синяя, размер 3XL")</f>
      </c>
      <c r="C19515" s="4" t="n">
        <v>3029.00</v>
      </c>
      <c r="D19515" s="4"/>
    </row>
    <row collapsed="" customFormat="false" customHeight="1" hidden="" ht="14" outlineLevel="0" r="19516">
      <c r="A19516" s="3" t="inlineStr">
        <is>
          <t>19468</t>
        </is>
      </c>
      <c r="B19516" s="4" t="s">
        <f>=HYPERLINK("http://anyluxury.ru/shop/odezhda/rubashki-polo/rubashka-polo-muzhskaya-phoenix-men-seriy-melanzh-01708360/" , "01708360 Рубашка поло мужская PHOENIX MEN серый меланж, размер S")</f>
      </c>
      <c r="C19516" s="4" t="n">
        <v>2631.00</v>
      </c>
      <c r="D19516" s="4"/>
    </row>
    <row collapsed="" customFormat="false" customHeight="1" hidden="" ht="14" outlineLevel="0" r="19517">
      <c r="A19517" s="3" t="inlineStr">
        <is>
          <t>19469</t>
        </is>
      </c>
      <c r="B19517" s="4" t="s">
        <f>=HYPERLINK("http://anyluxury.ru/shop/odezhda/rubashki-polo/rubashka-polo-muzhskaya-phoenix-men-seriy-melanzh-01708360/" , "01708360 Рубашка поло мужская PHOENIX MEN серый меланж, размер M")</f>
      </c>
      <c r="C19517" s="4" t="n">
        <v>2631.00</v>
      </c>
      <c r="D19517" s="4"/>
    </row>
    <row collapsed="" customFormat="false" customHeight="1" hidden="" ht="14" outlineLevel="0" r="19518">
      <c r="A19518" s="3" t="inlineStr">
        <is>
          <t>19470</t>
        </is>
      </c>
      <c r="B19518" s="4" t="s">
        <f>=HYPERLINK("http://anyluxury.ru/shop/odezhda/rubashki-polo/rubashka-polo-muzhskaya-phoenix-men-seriy-melanzh-01708360/" , "01708360 Рубашка поло мужская PHOENIX MEN серый меланж, размер L")</f>
      </c>
      <c r="C19518" s="4" t="n">
        <v>2631.00</v>
      </c>
      <c r="D19518" s="4"/>
    </row>
    <row collapsed="" customFormat="false" customHeight="1" hidden="" ht="14" outlineLevel="0" r="19519">
      <c r="A19519" s="3" t="inlineStr">
        <is>
          <t>19471</t>
        </is>
      </c>
      <c r="B19519" s="4" t="s">
        <f>=HYPERLINK("http://anyluxury.ru/shop/odezhda/rubashki-polo/rubashka-polo-muzhskaya-phoenix-men-seriy-melanzh-01708360/" , "01708360 Рубашка поло мужская PHOENIX MEN серый меланж, размер XL")</f>
      </c>
      <c r="C19519" s="4" t="n">
        <v>2631.00</v>
      </c>
      <c r="D19519" s="4"/>
    </row>
    <row collapsed="" customFormat="false" customHeight="1" hidden="" ht="14" outlineLevel="0" r="19520">
      <c r="A19520" s="3" t="inlineStr">
        <is>
          <t>19472</t>
        </is>
      </c>
      <c r="B19520" s="4" t="s">
        <f>=HYPERLINK("http://anyluxury.ru/shop/odezhda/rubashki-polo/rubashka-polo-muzhskaya-phoenix-men-seriy-melanzh-01708360/" , "01708360 Рубашка поло мужская PHOENIX MEN серый меланж, размер XXL")</f>
      </c>
      <c r="C19520" s="4" t="n">
        <v>2631.00</v>
      </c>
      <c r="D19520" s="4"/>
    </row>
    <row collapsed="" customFormat="false" customHeight="1" hidden="" ht="14" outlineLevel="0" r="19521">
      <c r="A19521" s="3" t="inlineStr">
        <is>
          <t>19473</t>
        </is>
      </c>
      <c r="B19521" s="4" t="s">
        <f>=HYPERLINK("http://anyluxury.ru/shop/odezhda/rubashki-polo/rubashka-polo-muzhskaya-phoenix-men-seriy-melanzh-01708360/" , "01708360 Рубашка поло мужская PHOENIX MEN серый меланж, размер 3XL")</f>
      </c>
      <c r="C19521" s="4" t="n">
        <v>3029.00</v>
      </c>
      <c r="D19521" s="4"/>
    </row>
    <row collapsed="" customFormat="false" customHeight="1" hidden="" ht="14" outlineLevel="0" r="19522">
      <c r="A19522" s="3" t="inlineStr">
        <is>
          <t>19474</t>
        </is>
      </c>
      <c r="B19522" s="4" t="s">
        <f>=HYPERLINK("http://anyluxury.ru/shop/odezhda/rubashki-polo/rubashka-polo-muzhskaya-phoenix-men-krasnaya-01708168/" , "01708168 Рубашка поло мужская PHOENIX MEN красная, размер S")</f>
      </c>
      <c r="C19522" s="4" t="n">
        <v>2498.00</v>
      </c>
      <c r="D19522" s="4"/>
    </row>
    <row collapsed="" customFormat="false" customHeight="1" hidden="" ht="14" outlineLevel="0" r="19523">
      <c r="A19523" s="3" t="inlineStr">
        <is>
          <t>19475</t>
        </is>
      </c>
      <c r="B19523" s="4" t="s">
        <f>=HYPERLINK("http://anyluxury.ru/shop/odezhda/rubashki-polo/rubashka-polo-muzhskaya-phoenix-men-krasnaya-01708168/" , "01708168 Рубашка поло мужская PHOENIX MEN красная, размер M")</f>
      </c>
      <c r="C19523" s="4" t="n">
        <v>2498.00</v>
      </c>
      <c r="D19523" s="4"/>
    </row>
    <row collapsed="" customFormat="false" customHeight="1" hidden="" ht="14" outlineLevel="0" r="19524">
      <c r="A19524" s="3" t="inlineStr">
        <is>
          <t>19476</t>
        </is>
      </c>
      <c r="B19524" s="4" t="s">
        <f>=HYPERLINK("http://anyluxury.ru/shop/odezhda/rubashki-polo/rubashka-polo-muzhskaya-phoenix-men-krasnaya-01708168/" , "01708168 Рубашка поло мужская PHOENIX MEN красная, размер XL")</f>
      </c>
      <c r="C19524" s="4" t="n">
        <v>2498.00</v>
      </c>
      <c r="D19524" s="4"/>
    </row>
    <row collapsed="" customFormat="false" customHeight="1" hidden="" ht="14" outlineLevel="0" r="19525">
      <c r="A19525" s="3" t="inlineStr">
        <is>
          <t>19477</t>
        </is>
      </c>
      <c r="B19525" s="4" t="s">
        <f>=HYPERLINK("http://anyluxury.ru/shop/odezhda/rubashki-polo/rubashka-polo-muzhskaya-phoenix-men-krasnaya-01708168/" , "01708168 Рубашка поло мужская PHOENIX MEN красная, размер XXL")</f>
      </c>
      <c r="C19525" s="4" t="n">
        <v>2498.00</v>
      </c>
      <c r="D19525" s="4"/>
    </row>
    <row collapsed="" customFormat="false" customHeight="1" hidden="" ht="14" outlineLevel="0" r="19526">
      <c r="A19526" s="3" t="inlineStr">
        <is>
          <t>19478</t>
        </is>
      </c>
      <c r="B19526" s="4" t="s">
        <f>=HYPERLINK("http://anyluxury.ru/shop/odezhda/rubashki-polo/rubashka-polo-muzhskaya-phoenix-men-krasnaya-01708168/" , "01708168 Рубашка поло мужская PHOENIX MEN красная, размер 3XL")</f>
      </c>
      <c r="C19526" s="4" t="n">
        <v>2878.00</v>
      </c>
      <c r="D19526" s="4"/>
    </row>
    <row collapsed="" customFormat="false" customHeight="1" hidden="" ht="14" outlineLevel="0" r="19527">
      <c r="A19527" s="3" t="inlineStr">
        <is>
          <t>19479</t>
        </is>
      </c>
      <c r="B19527" s="4" t="s">
        <f>=HYPERLINK("http://anyluxury.ru/shop/odezhda/rubashki-polo/rubashka-polo-muzhskaya-phoenix-men-siniy-ultramarin-01708238/" , "01708238 Рубашка поло мужская PHOENIX MEN синий ультрамарин, размер S")</f>
      </c>
      <c r="C19527" s="4" t="n">
        <v>2631.00</v>
      </c>
      <c r="D19527" s="4"/>
    </row>
    <row collapsed="" customFormat="false" customHeight="1" hidden="" ht="14" outlineLevel="0" r="19528">
      <c r="A19528" s="3" t="inlineStr">
        <is>
          <t>19480</t>
        </is>
      </c>
      <c r="B19528" s="4" t="s">
        <f>=HYPERLINK("http://anyluxury.ru/shop/odezhda/rubashki-polo/rubashka-polo-muzhskaya-phoenix-men-siniy-ultramarin-01708238/" , "01708238 Рубашка поло мужская PHOENIX MEN синий ультрамарин, размер M")</f>
      </c>
      <c r="C19528" s="4" t="n">
        <v>2631.00</v>
      </c>
      <c r="D19528" s="4"/>
    </row>
    <row collapsed="" customFormat="false" customHeight="1" hidden="" ht="14" outlineLevel="0" r="19529">
      <c r="A19529" s="3" t="inlineStr">
        <is>
          <t>19481</t>
        </is>
      </c>
      <c r="B19529" s="4" t="s">
        <f>=HYPERLINK("http://anyluxury.ru/shop/odezhda/rubashki-polo/rubashka-polo-muzhskaya-phoenix-men-siniy-ultramarin-01708238/" , "01708238 Рубашка поло мужская PHOENIX MEN синий ультрамарин, размер L")</f>
      </c>
      <c r="C19529" s="4" t="n">
        <v>2631.00</v>
      </c>
      <c r="D19529" s="4"/>
    </row>
    <row collapsed="" customFormat="false" customHeight="1" hidden="" ht="14" outlineLevel="0" r="19530">
      <c r="A19530" s="3" t="inlineStr">
        <is>
          <t>19482</t>
        </is>
      </c>
      <c r="B19530" s="4" t="s">
        <f>=HYPERLINK("http://anyluxury.ru/shop/odezhda/rubashki-polo/rubashka-polo-muzhskaya-phoenix-men-siniy-ultramarin-01708238/" , "01708238 Рубашка поло мужская PHOENIX MEN синий ультрамарин, размер XL")</f>
      </c>
      <c r="C19530" s="4" t="n">
        <v>2631.00</v>
      </c>
      <c r="D19530" s="4"/>
    </row>
    <row collapsed="" customFormat="false" customHeight="1" hidden="" ht="14" outlineLevel="0" r="19531">
      <c r="A19531" s="3" t="inlineStr">
        <is>
          <t>19483</t>
        </is>
      </c>
      <c r="B19531" s="4" t="s">
        <f>=HYPERLINK("http://anyluxury.ru/shop/odezhda/rubashki-polo/rubashka-polo-muzhskaya-phoenix-men-siniy-ultramarin-01708238/" , "01708238 Рубашка поло мужская PHOENIX MEN синий ультрамарин, размер XXL")</f>
      </c>
      <c r="C19531" s="4" t="n">
        <v>2631.00</v>
      </c>
      <c r="D19531" s="4"/>
    </row>
    <row collapsed="" customFormat="false" customHeight="1" hidden="" ht="14" outlineLevel="0" r="19532">
      <c r="A19532" s="3" t="inlineStr">
        <is>
          <t>19484</t>
        </is>
      </c>
      <c r="B19532" s="4" t="s">
        <f>=HYPERLINK("http://anyluxury.ru/shop/odezhda/rubashki-polo/rubashka-polo-muzhskaya-phoenix-men-siniy-ultramarin-01708238/" , "01708238 Рубашка поло мужская PHOENIX MEN синий ультрамарин, размер 3XL")</f>
      </c>
      <c r="C19532" s="4" t="n">
        <v>3029.00</v>
      </c>
      <c r="D19532" s="4"/>
    </row>
    <row collapsed="" customFormat="false" customHeight="1" hidden="" ht="14" outlineLevel="0" r="19533">
      <c r="A19533" s="3" t="inlineStr">
        <is>
          <t>19485</t>
        </is>
      </c>
      <c r="B19533" s="4" t="s">
        <f>=HYPERLINK("http://anyluxury.ru/shop/odezhda/rubashki-polo/rubashka-polo-muzhskaya-phoenix-men-belaya-01708102/" , "01708102 Рубашка поло мужская PHOENIX MEN белая, размер S")</f>
      </c>
      <c r="C19533" s="4" t="n">
        <v>2542.00</v>
      </c>
      <c r="D19533" s="4"/>
    </row>
    <row collapsed="" customFormat="false" customHeight="1" hidden="" ht="14" outlineLevel="0" r="19534">
      <c r="A19534" s="3" t="inlineStr">
        <is>
          <t>19486</t>
        </is>
      </c>
      <c r="B19534" s="4" t="s">
        <f>=HYPERLINK("http://anyluxury.ru/shop/odezhda/rubashki-polo/rubashka-polo-muzhskaya-phoenix-men-belaya-01708102/" , "01708102 Рубашка поло мужская PHOENIX MEN белая, размер M")</f>
      </c>
      <c r="C19534" s="4" t="n">
        <v>2542.00</v>
      </c>
      <c r="D19534" s="4"/>
    </row>
    <row collapsed="" customFormat="false" customHeight="1" hidden="" ht="14" outlineLevel="0" r="19535">
      <c r="A19535" s="3" t="inlineStr">
        <is>
          <t>19487</t>
        </is>
      </c>
      <c r="B19535" s="4" t="s">
        <f>=HYPERLINK("http://anyluxury.ru/shop/odezhda/rubashki-polo/rubashka-polo-muzhskaya-phoenix-men-belaya-01708102/" , "01708102 Рубашка поло мужская PHOENIX MEN белая, размер L")</f>
      </c>
      <c r="C19535" s="4" t="n">
        <v>2542.00</v>
      </c>
      <c r="D19535" s="4"/>
    </row>
    <row collapsed="" customFormat="false" customHeight="1" hidden="" ht="14" outlineLevel="0" r="19536">
      <c r="A19536" s="3" t="inlineStr">
        <is>
          <t>19488</t>
        </is>
      </c>
      <c r="B19536" s="4" t="s">
        <f>=HYPERLINK("http://anyluxury.ru/shop/odezhda/rubashki-polo/rubashka-polo-muzhskaya-phoenix-men-belaya-01708102/" , "01708102 Рубашка поло мужская PHOENIX MEN белая, размер XL")</f>
      </c>
      <c r="C19536" s="4" t="n">
        <v>2542.00</v>
      </c>
      <c r="D19536" s="4"/>
    </row>
    <row collapsed="" customFormat="false" customHeight="1" hidden="" ht="14" outlineLevel="0" r="19537">
      <c r="A19537" s="3" t="inlineStr">
        <is>
          <t>19489</t>
        </is>
      </c>
      <c r="B19537" s="4" t="s">
        <f>=HYPERLINK("http://anyluxury.ru/shop/odezhda/rubashki-polo/rubashka-polo-muzhskaya-phoenix-men-belaya-01708102/" , "01708102 Рубашка поло мужская PHOENIX MEN белая, размер XXL")</f>
      </c>
      <c r="C19537" s="4" t="n">
        <v>2542.00</v>
      </c>
      <c r="D19537" s="4"/>
    </row>
    <row collapsed="" customFormat="false" customHeight="1" hidden="" ht="14" outlineLevel="0" r="19538">
      <c r="A19538" s="3" t="inlineStr">
        <is>
          <t>19490</t>
        </is>
      </c>
      <c r="B19538" s="4" t="s">
        <f>=HYPERLINK("http://anyluxury.ru/shop/odezhda/rubashki-polo/rubashka-polo-muzhskaya-phoenix-men-belaya-01708102/" , "01708102 Рубашка поло мужская PHOENIX MEN белая, размер 3XL")</f>
      </c>
      <c r="C19538" s="4" t="n">
        <v>2927.00</v>
      </c>
      <c r="D19538" s="4"/>
    </row>
    <row collapsed="" customFormat="false" customHeight="1" hidden="" ht="14" outlineLevel="0" r="19539">
      <c r="A19539" s="3" t="inlineStr">
        <is>
          <t>19491</t>
        </is>
      </c>
      <c r="B19539" s="4" t="s">
        <f>=HYPERLINK("http://anyluxury.ru/shop/odezhda/rubashki-polo/rubashka-polo-zhenskaya-phoenix-women-chernaya-01709312/" , "01709312 Рубашка поло женская PHOENIX WOMEN черная, размер S")</f>
      </c>
      <c r="C19539" s="4" t="n">
        <v>2572.00</v>
      </c>
      <c r="D19539" s="4"/>
    </row>
    <row collapsed="" customFormat="false" customHeight="1" hidden="" ht="14" outlineLevel="0" r="19540">
      <c r="A19540" s="3" t="inlineStr">
        <is>
          <t>19492</t>
        </is>
      </c>
      <c r="B19540" s="4" t="s">
        <f>=HYPERLINK("http://anyluxury.ru/shop/odezhda/rubashki-polo/rubashka-polo-zhenskaya-phoenix-women-chernaya-01709312/" , "01709312 Рубашка поло женская PHOENIX WOMEN черная, размер M")</f>
      </c>
      <c r="C19540" s="4" t="n">
        <v>2572.00</v>
      </c>
      <c r="D19540" s="4"/>
    </row>
    <row collapsed="" customFormat="false" customHeight="1" hidden="" ht="14" outlineLevel="0" r="19541">
      <c r="A19541" s="3" t="inlineStr">
        <is>
          <t>19493</t>
        </is>
      </c>
      <c r="B19541" s="4" t="s">
        <f>=HYPERLINK("http://anyluxury.ru/shop/odezhda/rubashki-polo/rubashka-polo-zhenskaya-phoenix-women-chernaya-01709312/" , "01709312 Рубашка поло женская PHOENIX WOMEN черная, размер L")</f>
      </c>
      <c r="C19541" s="4" t="n">
        <v>2572.00</v>
      </c>
      <c r="D19541" s="4"/>
    </row>
    <row collapsed="" customFormat="false" customHeight="1" hidden="" ht="14" outlineLevel="0" r="19542">
      <c r="A19542" s="3" t="inlineStr">
        <is>
          <t>19494</t>
        </is>
      </c>
      <c r="B19542" s="4" t="s">
        <f>=HYPERLINK("http://anyluxury.ru/shop/odezhda/rubashki-polo/rubashka-polo-zhenskaya-phoenix-women-chernaya-01709312/" , "01709312 Рубашка поло женская PHOENIX WOMEN черная, размер XL")</f>
      </c>
      <c r="C19542" s="4" t="n">
        <v>2572.00</v>
      </c>
      <c r="D19542" s="4"/>
    </row>
    <row collapsed="" customFormat="false" customHeight="1" hidden="" ht="14" outlineLevel="0" r="19543">
      <c r="A19543" s="3" t="inlineStr">
        <is>
          <t>19495</t>
        </is>
      </c>
      <c r="B19543" s="4" t="s">
        <f>=HYPERLINK("http://anyluxury.ru/shop/odezhda/rubashki-polo/rubashka-polo-zhenskaya-phoenix-women-chernaya-01709312/" , "01709312 Рубашка поло женская PHOENIX WOMEN черная, размер XXL")</f>
      </c>
      <c r="C19543" s="4" t="n">
        <v>2572.00</v>
      </c>
      <c r="D19543" s="4"/>
    </row>
    <row collapsed="" customFormat="false" customHeight="1" hidden="" ht="14" outlineLevel="0" r="19544">
      <c r="A19544" s="3" t="inlineStr">
        <is>
          <t>19496</t>
        </is>
      </c>
      <c r="B19544" s="4" t="s">
        <f>=HYPERLINK("http://anyluxury.ru/shop/odezhda/rubashki-polo/rubashka-polo-zhenskaya-phoenix-women-temnoseriy-melanzh-01709348/" , "01709348 Рубашка поло женская PHOENIX WOMEN темно-серый меланж, размер S")</f>
      </c>
      <c r="C19544" s="4" t="n">
        <v>2572.00</v>
      </c>
      <c r="D19544" s="4"/>
    </row>
    <row collapsed="" customFormat="false" customHeight="1" hidden="" ht="14" outlineLevel="0" r="19545">
      <c r="A19545" s="3" t="inlineStr">
        <is>
          <t>19497</t>
        </is>
      </c>
      <c r="B19545" s="4" t="s">
        <f>=HYPERLINK("http://anyluxury.ru/shop/odezhda/rubashki-polo/rubashka-polo-zhenskaya-phoenix-women-temnoseriy-melanzh-01709348/" , "01709348 Рубашка поло женская PHOENIX WOMEN темно-серый меланж, размер M")</f>
      </c>
      <c r="C19545" s="4" t="n">
        <v>2572.00</v>
      </c>
      <c r="D19545" s="4"/>
    </row>
    <row collapsed="" customFormat="false" customHeight="1" hidden="" ht="14" outlineLevel="0" r="19546">
      <c r="A19546" s="3" t="inlineStr">
        <is>
          <t>19498</t>
        </is>
      </c>
      <c r="B19546" s="4" t="s">
        <f>=HYPERLINK("http://anyluxury.ru/shop/odezhda/rubashki-polo/rubashka-polo-zhenskaya-phoenix-women-temnoseriy-melanzh-01709348/" , "01709348 Рубашка поло женская PHOENIX WOMEN темно-серый меланж, размер L")</f>
      </c>
      <c r="C19546" s="4" t="n">
        <v>2572.00</v>
      </c>
      <c r="D19546" s="4"/>
    </row>
    <row collapsed="" customFormat="false" customHeight="1" hidden="" ht="14" outlineLevel="0" r="19547">
      <c r="A19547" s="3" t="inlineStr">
        <is>
          <t>19499</t>
        </is>
      </c>
      <c r="B19547" s="4" t="s">
        <f>=HYPERLINK("http://anyluxury.ru/shop/odezhda/rubashki-polo/rubashka-polo-zhenskaya-phoenix-women-temnoseriy-melanzh-01709348/" , "01709348 Рубашка поло женская PHOENIX WOMEN темно-серый меланж, размер XL")</f>
      </c>
      <c r="C19547" s="4" t="n">
        <v>2572.00</v>
      </c>
      <c r="D19547" s="4"/>
    </row>
    <row collapsed="" customFormat="false" customHeight="1" hidden="" ht="14" outlineLevel="0" r="19548">
      <c r="A19548" s="3" t="inlineStr">
        <is>
          <t>19500</t>
        </is>
      </c>
      <c r="B19548" s="4" t="s">
        <f>=HYPERLINK("http://anyluxury.ru/shop/odezhda/rubashki-polo/rubashka-polo-zhenskaya-phoenix-women-temnoseriy-melanzh-01709348/" , "01709348 Рубашка поло женская PHOENIX WOMEN темно-серый меланж, размер XXL")</f>
      </c>
      <c r="C19548" s="4" t="n">
        <v>2572.00</v>
      </c>
      <c r="D19548" s="4"/>
    </row>
    <row collapsed="" customFormat="false" customHeight="1" hidden="" ht="14" outlineLevel="0" r="19549">
      <c r="A19549" s="3" t="inlineStr">
        <is>
          <t>19501</t>
        </is>
      </c>
      <c r="B19549" s="4" t="s">
        <f>=HYPERLINK("http://anyluxury.ru/shop/odezhda/rubashki-polo/rubashka-polo-zhenskaya-phoenix-women-temnosinyaya-01709319/" , "01709319 Рубашка поло женская PHOENIX WOMEN темно-синяя, размер S")</f>
      </c>
      <c r="C19549" s="4" t="n">
        <v>2572.00</v>
      </c>
      <c r="D19549" s="4"/>
    </row>
    <row collapsed="" customFormat="false" customHeight="1" hidden="" ht="14" outlineLevel="0" r="19550">
      <c r="A19550" s="3" t="inlineStr">
        <is>
          <t>19502</t>
        </is>
      </c>
      <c r="B19550" s="4" t="s">
        <f>=HYPERLINK("http://anyluxury.ru/shop/odezhda/rubashki-polo/rubashka-polo-zhenskaya-phoenix-women-temnosinyaya-01709319/" , "01709319 Рубашка поло женская PHOENIX WOMEN темно-синяя, размер M")</f>
      </c>
      <c r="C19550" s="4" t="n">
        <v>2572.00</v>
      </c>
      <c r="D19550" s="4"/>
    </row>
    <row collapsed="" customFormat="false" customHeight="1" hidden="" ht="14" outlineLevel="0" r="19551">
      <c r="A19551" s="3" t="inlineStr">
        <is>
          <t>19503</t>
        </is>
      </c>
      <c r="B19551" s="4" t="s">
        <f>=HYPERLINK("http://anyluxury.ru/shop/odezhda/rubashki-polo/rubashka-polo-zhenskaya-phoenix-women-temnosinyaya-01709319/" , "01709319 Рубашка поло женская PHOENIX WOMEN темно-синяя, размер L")</f>
      </c>
      <c r="C19551" s="4" t="n">
        <v>2572.00</v>
      </c>
      <c r="D19551" s="4"/>
    </row>
    <row collapsed="" customFormat="false" customHeight="1" hidden="" ht="14" outlineLevel="0" r="19552">
      <c r="A19552" s="3" t="inlineStr">
        <is>
          <t>19504</t>
        </is>
      </c>
      <c r="B19552" s="4" t="s">
        <f>=HYPERLINK("http://anyluxury.ru/shop/odezhda/rubashki-polo/rubashka-polo-zhenskaya-phoenix-women-temnosinyaya-01709319/" , "01709319 Рубашка поло женская PHOENIX WOMEN темно-синяя, размер XL")</f>
      </c>
      <c r="C19552" s="4" t="n">
        <v>2572.00</v>
      </c>
      <c r="D19552" s="4"/>
    </row>
    <row collapsed="" customFormat="false" customHeight="1" hidden="" ht="14" outlineLevel="0" r="19553">
      <c r="A19553" s="3" t="inlineStr">
        <is>
          <t>19505</t>
        </is>
      </c>
      <c r="B19553" s="4" t="s">
        <f>=HYPERLINK("http://anyluxury.ru/shop/odezhda/rubashki-polo/rubashka-polo-zhenskaya-phoenix-women-temnosinyaya-01709319/" , "01709319 Рубашка поло женская PHOENIX WOMEN темно-синяя, размер XXL")</f>
      </c>
      <c r="C19553" s="4" t="n">
        <v>2572.00</v>
      </c>
      <c r="D19553" s="4"/>
    </row>
    <row collapsed="" customFormat="false" customHeight="1" hidden="" ht="14" outlineLevel="0" r="19554">
      <c r="A19554" s="3" t="inlineStr">
        <is>
          <t>19506</t>
        </is>
      </c>
      <c r="B19554" s="4" t="s">
        <f>=HYPERLINK("http://anyluxury.ru/shop/odezhda/rubashki-polo/rubashka-polo-zhenskaya-phoenix-women-seriy-melanzh-01709360/" , "01709360 Рубашка поло женская PHOENIX WOMEN серый меланж, размер S")</f>
      </c>
      <c r="C19554" s="4" t="n">
        <v>2572.00</v>
      </c>
      <c r="D19554" s="4"/>
    </row>
    <row collapsed="" customFormat="false" customHeight="1" hidden="" ht="14" outlineLevel="0" r="19555">
      <c r="A19555" s="3" t="inlineStr">
        <is>
          <t>19507</t>
        </is>
      </c>
      <c r="B19555" s="4" t="s">
        <f>=HYPERLINK("http://anyluxury.ru/shop/odezhda/rubashki-polo/rubashka-polo-zhenskaya-phoenix-women-seriy-melanzh-01709360/" , "01709360 Рубашка поло женская PHOENIX WOMEN серый меланж, размер M")</f>
      </c>
      <c r="C19555" s="4" t="n">
        <v>2572.00</v>
      </c>
      <c r="D19555" s="4"/>
    </row>
    <row collapsed="" customFormat="false" customHeight="1" hidden="" ht="14" outlineLevel="0" r="19556">
      <c r="A19556" s="3" t="inlineStr">
        <is>
          <t>19508</t>
        </is>
      </c>
      <c r="B19556" s="4" t="s">
        <f>=HYPERLINK("http://anyluxury.ru/shop/odezhda/rubashki-polo/rubashka-polo-zhenskaya-phoenix-women-seriy-melanzh-01709360/" , "01709360 Рубашка поло женская PHOENIX WOMEN серый меланж, размер L")</f>
      </c>
      <c r="C19556" s="4" t="n">
        <v>2572.00</v>
      </c>
      <c r="D19556" s="4"/>
    </row>
    <row collapsed="" customFormat="false" customHeight="1" hidden="" ht="14" outlineLevel="0" r="19557">
      <c r="A19557" s="3" t="inlineStr">
        <is>
          <t>19509</t>
        </is>
      </c>
      <c r="B19557" s="4" t="s">
        <f>=HYPERLINK("http://anyluxury.ru/shop/odezhda/rubashki-polo/rubashka-polo-zhenskaya-phoenix-women-seriy-melanzh-01709360/" , "01709360 Рубашка поло женская PHOENIX WOMEN серый меланж, размер XL")</f>
      </c>
      <c r="C19557" s="4" t="n">
        <v>2572.00</v>
      </c>
      <c r="D19557" s="4"/>
    </row>
    <row collapsed="" customFormat="false" customHeight="1" hidden="" ht="14" outlineLevel="0" r="19558">
      <c r="A19558" s="3" t="inlineStr">
        <is>
          <t>19510</t>
        </is>
      </c>
      <c r="B19558" s="4" t="s">
        <f>=HYPERLINK("http://anyluxury.ru/shop/odezhda/rubashki-polo/rubashka-polo-zhenskaya-phoenix-women-seriy-melanzh-01709360/" , "01709360 Рубашка поло женская PHOENIX WOMEN серый меланж, размер XXL")</f>
      </c>
      <c r="C19558" s="4" t="n">
        <v>2572.00</v>
      </c>
      <c r="D19558" s="4"/>
    </row>
    <row collapsed="" customFormat="false" customHeight="1" hidden="" ht="14" outlineLevel="0" r="19559">
      <c r="A19559" s="3" t="inlineStr">
        <is>
          <t>19511</t>
        </is>
      </c>
      <c r="B19559" s="4" t="s">
        <f>=HYPERLINK("http://anyluxury.ru/shop/odezhda/rubashki-polo/rubashka-polo-zhenskaya-phoenix-women-krasnaya-01709168/" , "01709168 Рубашка поло женская PHOENIX WOMEN красная, размер S")</f>
      </c>
      <c r="C19559" s="4" t="n">
        <v>2372.00</v>
      </c>
      <c r="D19559" s="4"/>
    </row>
    <row collapsed="" customFormat="false" customHeight="1" hidden="" ht="14" outlineLevel="0" r="19560">
      <c r="A19560" s="3" t="inlineStr">
        <is>
          <t>19512</t>
        </is>
      </c>
      <c r="B19560" s="4" t="s">
        <f>=HYPERLINK("http://anyluxury.ru/shop/odezhda/rubashki-polo/rubashka-polo-zhenskaya-phoenix-women-krasnaya-01709168/" , "01709168 Рубашка поло женская PHOENIX WOMEN красная, размер L")</f>
      </c>
      <c r="C19560" s="4" t="n">
        <v>2372.00</v>
      </c>
      <c r="D19560" s="4"/>
    </row>
    <row collapsed="" customFormat="false" customHeight="1" hidden="" ht="14" outlineLevel="0" r="19561">
      <c r="A19561" s="3" t="inlineStr">
        <is>
          <t>19513</t>
        </is>
      </c>
      <c r="B19561" s="4" t="s">
        <f>=HYPERLINK("http://anyluxury.ru/shop/odezhda/rubashki-polo/rubashka-polo-zhenskaya-phoenix-women-krasnaya-01709168/" , "01709168 Рубашка поло женская PHOENIX WOMEN красная, размер XL")</f>
      </c>
      <c r="C19561" s="4" t="n">
        <v>2372.00</v>
      </c>
      <c r="D19561" s="4"/>
    </row>
    <row collapsed="" customFormat="false" customHeight="1" hidden="" ht="14" outlineLevel="0" r="19562">
      <c r="A19562" s="3" t="inlineStr">
        <is>
          <t>19514</t>
        </is>
      </c>
      <c r="B19562" s="4" t="s">
        <f>=HYPERLINK("http://anyluxury.ru/shop/odezhda/rubashki-polo/rubashka-polo-zhenskaya-phoenix-women-krasnaya-01709168/" , "01709168 Рубашка поло женская PHOENIX WOMEN красная, размер XXL")</f>
      </c>
      <c r="C19562" s="4" t="n">
        <v>2372.00</v>
      </c>
      <c r="D19562" s="4"/>
    </row>
    <row collapsed="" customFormat="false" customHeight="1" hidden="" ht="14" outlineLevel="0" r="19563">
      <c r="A19563" s="3" t="inlineStr">
        <is>
          <t>19515</t>
        </is>
      </c>
      <c r="B19563" s="4" t="s">
        <f>=HYPERLINK("http://anyluxury.ru/shop/odezhda/rubashki-polo/rubashka-polo-zhenskaya-phoenix-women-zelenaya-myata-01709285/" , "01709285 Рубашка поло женская PHOENIX WOMEN зеленая мята, размер XL")</f>
      </c>
      <c r="C19563" s="4" t="n">
        <v>2572.00</v>
      </c>
      <c r="D19563" s="4"/>
    </row>
    <row collapsed="" customFormat="false" customHeight="1" hidden="" ht="14" outlineLevel="0" r="19564">
      <c r="A19564" s="3" t="inlineStr">
        <is>
          <t>19516</t>
        </is>
      </c>
      <c r="B19564" s="4" t="s">
        <f>=HYPERLINK("http://anyluxury.ru/shop/odezhda/rubashki-polo/rubashka-polo-zhenskaya-phoenix-women-zelenaya-myata-01709285/" , "01709285 Рубашка поло женская PHOENIX WOMEN зеленая мята, размер XXL")</f>
      </c>
      <c r="C19564" s="4" t="n">
        <v>2572.00</v>
      </c>
      <c r="D19564" s="4"/>
    </row>
    <row collapsed="" customFormat="false" customHeight="1" hidden="" ht="14" outlineLevel="0" r="19565">
      <c r="A19565" s="3" t="inlineStr">
        <is>
          <t>19517</t>
        </is>
      </c>
      <c r="B19565" s="4" t="s">
        <f>=HYPERLINK("http://anyluxury.ru/shop/odezhda/rubashki-polo/rubashka-polo-zhenskaya-phoenix-women-siniy-ultramarin-01709238/" , "01709238 Рубашка поло женская PHOENIX WOMEN синий ультрамарин, размер M")</f>
      </c>
      <c r="C19565" s="4" t="n">
        <v>2572.00</v>
      </c>
      <c r="D19565" s="4"/>
    </row>
    <row collapsed="" customFormat="false" customHeight="1" hidden="" ht="14" outlineLevel="0" r="19566">
      <c r="A19566" s="3" t="inlineStr">
        <is>
          <t>19518</t>
        </is>
      </c>
      <c r="B19566" s="4" t="s">
        <f>=HYPERLINK("http://anyluxury.ru/shop/odezhda/rubashki-polo/rubashka-polo-zhenskaya-phoenix-women-siniy-ultramarin-01709238/" , "01709238 Рубашка поло женская PHOENIX WOMEN синий ультрамарин, размер L")</f>
      </c>
      <c r="C19566" s="4" t="n">
        <v>2572.00</v>
      </c>
      <c r="D19566" s="4"/>
    </row>
    <row collapsed="" customFormat="false" customHeight="1" hidden="" ht="14" outlineLevel="0" r="19567">
      <c r="A19567" s="3" t="inlineStr">
        <is>
          <t>19519</t>
        </is>
      </c>
      <c r="B19567" s="4" t="s">
        <f>=HYPERLINK("http://anyluxury.ru/shop/odezhda/rubashki-polo/rubashka-polo-zhenskaya-phoenix-women-siniy-ultramarin-01709238/" , "01709238 Рубашка поло женская PHOENIX WOMEN синий ультрамарин, размер XL")</f>
      </c>
      <c r="C19567" s="4" t="n">
        <v>2572.00</v>
      </c>
      <c r="D19567" s="4"/>
    </row>
    <row collapsed="" customFormat="false" customHeight="1" hidden="" ht="14" outlineLevel="0" r="19568">
      <c r="A19568" s="3" t="inlineStr">
        <is>
          <t>19520</t>
        </is>
      </c>
      <c r="B19568" s="4" t="s">
        <f>=HYPERLINK("http://anyluxury.ru/shop/odezhda/rubashki-polo/rubashka-polo-zhenskaya-phoenix-women-siniy-ultramarin-01709238/" , "01709238 Рубашка поло женская PHOENIX WOMEN синий ультрамарин, размер XXL")</f>
      </c>
      <c r="C19568" s="4" t="n">
        <v>2572.00</v>
      </c>
      <c r="D19568" s="4"/>
    </row>
    <row collapsed="" customFormat="false" customHeight="1" hidden="" ht="14" outlineLevel="0" r="19569">
      <c r="A19569" s="3" t="inlineStr">
        <is>
          <t>19521</t>
        </is>
      </c>
      <c r="B19569" s="4" t="s">
        <f>=HYPERLINK("http://anyluxury.ru/shop/odezhda/rubashki-polo/rubashka-polo-zhenskaya-phoenix-women-belaya-01709102/" , "01709102 Рубашка поло женская PHOENIX WOMEN белая, размер S")</f>
      </c>
      <c r="C19569" s="4" t="n">
        <v>2483.00</v>
      </c>
      <c r="D19569" s="4"/>
    </row>
    <row collapsed="" customFormat="false" customHeight="1" hidden="" ht="14" outlineLevel="0" r="19570">
      <c r="A19570" s="3" t="inlineStr">
        <is>
          <t>19522</t>
        </is>
      </c>
      <c r="B19570" s="4" t="s">
        <f>=HYPERLINK("http://anyluxury.ru/shop/odezhda/rubashki-polo/rubashka-polo-zhenskaya-phoenix-women-belaya-01709102/" , "01709102 Рубашка поло женская PHOENIX WOMEN белая, размер M")</f>
      </c>
      <c r="C19570" s="4" t="n">
        <v>2483.00</v>
      </c>
      <c r="D19570" s="4"/>
    </row>
    <row collapsed="" customFormat="false" customHeight="1" hidden="" ht="14" outlineLevel="0" r="19571">
      <c r="A19571" s="3" t="inlineStr">
        <is>
          <t>19523</t>
        </is>
      </c>
      <c r="B19571" s="4" t="s">
        <f>=HYPERLINK("http://anyluxury.ru/shop/odezhda/rubashki-polo/rubashka-polo-zhenskaya-phoenix-women-belaya-01709102/" , "01709102 Рубашка поло женская PHOENIX WOMEN белая, размер L")</f>
      </c>
      <c r="C19571" s="4" t="n">
        <v>2483.00</v>
      </c>
      <c r="D19571" s="4"/>
    </row>
    <row collapsed="" customFormat="false" customHeight="1" hidden="" ht="14" outlineLevel="0" r="19572">
      <c r="A19572" s="3" t="inlineStr">
        <is>
          <t>19524</t>
        </is>
      </c>
      <c r="B19572" s="4" t="s">
        <f>=HYPERLINK("http://anyluxury.ru/shop/odezhda/rubashki-polo/rubashka-polo-zhenskaya-phoenix-women-belaya-01709102/" , "01709102 Рубашка поло женская PHOENIX WOMEN белая, размер XL")</f>
      </c>
      <c r="C19572" s="4" t="n">
        <v>2483.00</v>
      </c>
      <c r="D19572" s="4"/>
    </row>
    <row collapsed="" customFormat="false" customHeight="1" hidden="" ht="14" outlineLevel="0" r="19573">
      <c r="A19573" s="3" t="inlineStr">
        <is>
          <t>19525</t>
        </is>
      </c>
      <c r="B19573" s="4" t="s">
        <f>=HYPERLINK("http://anyluxury.ru/shop/odezhda/rubashki-polo/rubashka-polo-zhenskaya-phoenix-women-belaya-01709102/" , "01709102 Рубашка поло женская PHOENIX WOMEN белая, размер XXL")</f>
      </c>
      <c r="C19573" s="4" t="n">
        <v>2483.00</v>
      </c>
      <c r="D19573" s="4"/>
    </row>
    <row collapsed="" customFormat="false" customHeight="1" hidden="" ht="14" outlineLevel="0" r="19574">
      <c r="A19574" s="3" t="inlineStr">
        <is>
          <t>19526</t>
        </is>
      </c>
      <c r="B19574" s="4" t="s">
        <f>=HYPERLINK("http://anyluxury.ru/shop/odezhda/rubashki-polo/rubashka-polo-virma-light-golubaya-202414/" , "2024.14 Рубашка поло мужская Virma light, голубая, размер S")</f>
      </c>
      <c r="C19574" s="4" t="n">
        <v>849.00</v>
      </c>
      <c r="D19574" s="4"/>
    </row>
    <row collapsed="" customFormat="false" customHeight="1" hidden="" ht="14" outlineLevel="0" r="19575">
      <c r="A19575" s="3" t="inlineStr">
        <is>
          <t>19527</t>
        </is>
      </c>
      <c r="B19575" s="4" t="s">
        <f>=HYPERLINK("http://anyluxury.ru/shop/odezhda/rubashki-polo/rubashka-polo-virma-light-golubaya-202414/" , "2024.14 Рубашка поло мужская Virma light, голубая, размер XL")</f>
      </c>
      <c r="C19575" s="4" t="n">
        <v>849.00</v>
      </c>
      <c r="D19575" s="4"/>
    </row>
    <row collapsed="" customFormat="false" customHeight="1" hidden="" ht="14" outlineLevel="0" r="19576">
      <c r="A19576" s="3" t="inlineStr">
        <is>
          <t>19528</t>
        </is>
      </c>
      <c r="B19576" s="4" t="s">
        <f>=HYPERLINK("http://anyluxury.ru/shop/odezhda/rubashki-polo/rubashka-polo-virma-light-golubaya-202414/" , "2024.14 Рубашка поло мужская Virma light, голубая, размер XXL")</f>
      </c>
      <c r="C19576" s="4" t="n">
        <v>849.00</v>
      </c>
      <c r="D19576" s="4"/>
    </row>
    <row collapsed="" customFormat="false" customHeight="1" hidden="" ht="14" outlineLevel="0" r="19577">
      <c r="A19577" s="3" t="inlineStr">
        <is>
          <t>19529</t>
        </is>
      </c>
      <c r="B19577" s="4" t="s">
        <f>=HYPERLINK("http://anyluxury.ru/shop/odezhda/rubashki-polo/rubashka-polo-virma-light-golubaya-202414/" , "2024.14 Рубашка поло мужская Virma light, голубая, размер 3XL")</f>
      </c>
      <c r="C19577" s="4" t="n">
        <v>849.00</v>
      </c>
      <c r="D19577" s="4"/>
    </row>
    <row collapsed="" customFormat="false" customHeight="1" hidden="" ht="14" outlineLevel="0" r="19578">
      <c r="A19578" s="3" t="inlineStr">
        <is>
          <t>19530</t>
        </is>
      </c>
      <c r="B19578" s="4" t="s">
        <f>=HYPERLINK("http://anyluxury.ru/shop/odezhda/rubashki-polo/rubashka-polo-virma-light-fioletovaya-202477/" , "2024.77 Рубашка поло мужская Virma light, фиолетовая, размер XXL")</f>
      </c>
      <c r="C19578" s="4" t="n">
        <v>849.00</v>
      </c>
      <c r="D19578" s="4"/>
    </row>
    <row collapsed="" customFormat="false" customHeight="1" hidden="" ht="14" outlineLevel="0" r="19579">
      <c r="A19579" s="3" t="inlineStr">
        <is>
          <t>19531</t>
        </is>
      </c>
      <c r="B19579" s="4" t="s">
        <f>=HYPERLINK("http://anyluxury.ru/shop/odezhda/rubashki-polo/rubashka-polo-virma-light-fioletovaya-202477/" , "2024.77 Рубашка поло мужская Virma light, фиолетовая, размер 3XL")</f>
      </c>
      <c r="C19579" s="4" t="n">
        <v>849.00</v>
      </c>
      <c r="D19579" s="4"/>
    </row>
    <row collapsed="" customFormat="false" customHeight="1" hidden="" ht="14" outlineLevel="0" r="19580">
      <c r="A19580" s="3" t="inlineStr">
        <is>
          <t>19532</t>
        </is>
      </c>
      <c r="B19580" s="4" t="s">
        <f>=HYPERLINK("http://anyluxury.ru/shop/odezhda/rubashki-polo/rubashka-polo-virma-light-zelenoe-yabloko-202494/" , "2024.94 Рубашка поло мужская Virma light, зеленое яблоко, размер S")</f>
      </c>
      <c r="C19580" s="4" t="n">
        <v>849.00</v>
      </c>
      <c r="D19580" s="4"/>
    </row>
    <row collapsed="" customFormat="false" customHeight="1" hidden="" ht="14" outlineLevel="0" r="19581">
      <c r="A19581" s="3" t="inlineStr">
        <is>
          <t>19533</t>
        </is>
      </c>
      <c r="B19581" s="4" t="s">
        <f>=HYPERLINK("http://anyluxury.ru/shop/odezhda/rubashki-polo/rubashka-polo-virma-light-zelenoe-yabloko-202494/" , "2024.94 Рубашка поло мужская Virma light, зеленое яблоко, размер M")</f>
      </c>
      <c r="C19581" s="4" t="n">
        <v>849.00</v>
      </c>
      <c r="D19581" s="4"/>
    </row>
    <row collapsed="" customFormat="false" customHeight="1" hidden="" ht="14" outlineLevel="0" r="19582">
      <c r="A19582" s="3" t="inlineStr">
        <is>
          <t>19534</t>
        </is>
      </c>
      <c r="B19582" s="4" t="s">
        <f>=HYPERLINK("http://anyluxury.ru/shop/odezhda/rubashki-polo/rubashka-polo-virma-light-zelenoe-yabloko-202494/" , "2024.94 Рубашка поло мужская Virma light, зеленое яблоко, размер L")</f>
      </c>
      <c r="C19582" s="4" t="n">
        <v>849.00</v>
      </c>
      <c r="D19582" s="4"/>
    </row>
    <row collapsed="" customFormat="false" customHeight="1" hidden="" ht="14" outlineLevel="0" r="19583">
      <c r="A19583" s="3" t="inlineStr">
        <is>
          <t>19535</t>
        </is>
      </c>
      <c r="B19583" s="4" t="s">
        <f>=HYPERLINK("http://anyluxury.ru/shop/odezhda/rubashki-polo/rubashka-polo-virma-light-zelenoe-yabloko-202494/" , "2024.94 Рубашка поло мужская Virma light, зеленое яблоко, размер XL")</f>
      </c>
      <c r="C19583" s="4" t="n">
        <v>849.00</v>
      </c>
      <c r="D19583" s="4"/>
    </row>
    <row collapsed="" customFormat="false" customHeight="1" hidden="" ht="14" outlineLevel="0" r="19584">
      <c r="A19584" s="3" t="inlineStr">
        <is>
          <t>19536</t>
        </is>
      </c>
      <c r="B19584" s="4" t="s">
        <f>=HYPERLINK("http://anyluxury.ru/shop/odezhda/rubashki-polo/rubashka-polo-virma-light-zelenoe-yabloko-202494/" , "2024.94 Рубашка поло мужская Virma light, зеленое яблоко, размер XXL")</f>
      </c>
      <c r="C19584" s="4" t="n">
        <v>849.00</v>
      </c>
      <c r="D19584" s="4"/>
    </row>
    <row collapsed="" customFormat="false" customHeight="1" hidden="" ht="14" outlineLevel="0" r="19585">
      <c r="A19585" s="3" t="inlineStr">
        <is>
          <t>19537</t>
        </is>
      </c>
      <c r="B19585" s="4" t="s">
        <f>=HYPERLINK("http://anyluxury.ru/shop/odezhda/rubashki-polo/rubashka-polo-virma-light-zelenoe-yabloko-202494/" , "2024.94 Рубашка поло мужская Virma light, зеленое яблоко, размер 3XL")</f>
      </c>
      <c r="C19585" s="4" t="n">
        <v>849.00</v>
      </c>
      <c r="D19585" s="4"/>
    </row>
    <row collapsed="" customFormat="false" customHeight="1" hidden="" ht="14" outlineLevel="0" r="19586">
      <c r="A19586" s="3" t="inlineStr">
        <is>
          <t>19538</t>
        </is>
      </c>
      <c r="B19586" s="4" t="s">
        <f>=HYPERLINK("http://anyluxury.ru/shop/odezhda/rubashki-polo/rubashka-polo-muzhskaya-patriot-200-krasnaya-s-chernim-597253/" , "5972.53 Рубашка поло мужская PATRIOT 200, красная с черным, размер S")</f>
      </c>
      <c r="C19586" s="4" t="n">
        <v>2365.00</v>
      </c>
      <c r="D19586" s="4"/>
    </row>
    <row collapsed="" customFormat="false" customHeight="1" hidden="" ht="14" outlineLevel="0" r="19587">
      <c r="A19587" s="3" t="inlineStr">
        <is>
          <t>19539</t>
        </is>
      </c>
      <c r="B19587" s="4" t="s">
        <f>=HYPERLINK("http://anyluxury.ru/shop/odezhda/rubashki-polo/rubashka-polo-muzhskaya-patriot-200-krasnaya-s-chernim-597253/" , "5972.53 Рубашка поло мужская PATRIOT 200, красная с черным, размер M")</f>
      </c>
      <c r="C19587" s="4" t="n">
        <v>2365.00</v>
      </c>
      <c r="D19587" s="4"/>
    </row>
    <row collapsed="" customFormat="false" customHeight="1" hidden="" ht="14" outlineLevel="0" r="19588">
      <c r="A19588" s="3" t="inlineStr">
        <is>
          <t>19540</t>
        </is>
      </c>
      <c r="B19588" s="4" t="s">
        <f>=HYPERLINK("http://anyluxury.ru/shop/odezhda/rubashki-polo/rubashka-polo-muzhskaya-patriot-200-krasnaya-s-chernim-597253/" , "5972.53 Рубашка поло мужская PATRIOT 200, красная с черным, размер L")</f>
      </c>
      <c r="C19588" s="4" t="n">
        <v>2365.00</v>
      </c>
      <c r="D19588" s="4"/>
    </row>
    <row collapsed="" customFormat="false" customHeight="1" hidden="" ht="14" outlineLevel="0" r="19589">
      <c r="A19589" s="3" t="inlineStr">
        <is>
          <t>19541</t>
        </is>
      </c>
      <c r="B19589" s="4" t="s">
        <f>=HYPERLINK("http://anyluxury.ru/shop/odezhda/rubashki-polo/rubashka-polo-muzhskaya-patriot-200-krasnaya-s-chernim-597253/" , "5972.53 Рубашка поло мужская PATRIOT 200, красная с черным, размер XL")</f>
      </c>
      <c r="C19589" s="4" t="n">
        <v>2365.00</v>
      </c>
      <c r="D19589" s="4"/>
    </row>
    <row collapsed="" customFormat="false" customHeight="1" hidden="" ht="14" outlineLevel="0" r="19590">
      <c r="A19590" s="3" t="inlineStr">
        <is>
          <t>19542</t>
        </is>
      </c>
      <c r="B19590" s="4" t="s">
        <f>=HYPERLINK("http://anyluxury.ru/shop/odezhda/rubashki-polo/rubashka-polo-muzhskaya-patriot-200-krasnaya-s-chernim-597253/" , "5972.53 Рубашка поло мужская PATRIOT 200, красная с черным, размер XXL")</f>
      </c>
      <c r="C19590" s="4" t="n">
        <v>2365.00</v>
      </c>
      <c r="D19590" s="4"/>
    </row>
    <row collapsed="" customFormat="false" customHeight="1" hidden="" ht="14" outlineLevel="0" r="19591">
      <c r="A19591" s="3" t="inlineStr">
        <is>
          <t>19543</t>
        </is>
      </c>
      <c r="B19591" s="4" t="s">
        <f>=HYPERLINK("http://anyluxury.ru/shop/odezhda/rubashki-polo/rubashka-polo-muzhskaya-patriot-200-krasnaya-s-chernim-597253/" , "5972.53 Рубашка поло мужская PATRIOT 200, красная с черным, размер 3XL")</f>
      </c>
      <c r="C19591" s="4" t="n">
        <v>2827.00</v>
      </c>
      <c r="D19591" s="4"/>
    </row>
    <row collapsed="" customFormat="false" customHeight="1" hidden="" ht="14" outlineLevel="0" r="19592">
      <c r="A19592" s="3" t="inlineStr">
        <is>
          <t>19544</t>
        </is>
      </c>
      <c r="B19592" s="4" t="s">
        <f>=HYPERLINK("http://anyluxury.ru/shop/odezhda/rubashki-polo/rubashka-polo-patriot-women-krasnaya-s-chernim-01407937/" , "01407937 Рубашка поло PATRIOT WOMEN, красная с черным, размер S")</f>
      </c>
      <c r="C19592" s="4" t="n">
        <v>2321.00</v>
      </c>
      <c r="D19592" s="4"/>
    </row>
    <row collapsed="" customFormat="false" customHeight="1" hidden="" ht="14" outlineLevel="0" r="19593">
      <c r="A19593" s="3" t="inlineStr">
        <is>
          <t>19545</t>
        </is>
      </c>
      <c r="B19593" s="4" t="s">
        <f>=HYPERLINK("http://anyluxury.ru/shop/odezhda/rubashki-polo/rubashka-polo-patriot-women-krasnaya-s-chernim-01407937/" , "01407937 Рубашка поло PATRIOT WOMEN, красная с черным, размер M")</f>
      </c>
      <c r="C19593" s="4" t="n">
        <v>2321.00</v>
      </c>
      <c r="D19593" s="4"/>
    </row>
    <row collapsed="" customFormat="false" customHeight="1" hidden="" ht="14" outlineLevel="0" r="19594">
      <c r="A19594" s="3" t="inlineStr">
        <is>
          <t>19546</t>
        </is>
      </c>
      <c r="B19594" s="4" t="s">
        <f>=HYPERLINK("http://anyluxury.ru/shop/odezhda/rubashki-polo/rubashka-polo-patriot-women-krasnaya-s-chernim-01407937/" , "01407937 Рубашка поло PATRIOT WOMEN, красная с черным, размер L")</f>
      </c>
      <c r="C19594" s="4" t="n">
        <v>2321.00</v>
      </c>
      <c r="D19594" s="4"/>
    </row>
    <row collapsed="" customFormat="false" customHeight="1" hidden="" ht="14" outlineLevel="0" r="19595">
      <c r="A19595" s="3" t="inlineStr">
        <is>
          <t>19547</t>
        </is>
      </c>
      <c r="B19595" s="4" t="s">
        <f>=HYPERLINK("http://anyluxury.ru/shop/odezhda/rubashki-polo/rubashka-polo-patriot-women-krasnaya-s-chernim-01407937/" , "01407937 Рубашка поло PATRIOT WOMEN, красная с черным, размер XL")</f>
      </c>
      <c r="C19595" s="4" t="n">
        <v>2321.00</v>
      </c>
      <c r="D19595" s="4"/>
    </row>
    <row collapsed="" customFormat="false" customHeight="1" hidden="" ht="14" outlineLevel="0" r="19596">
      <c r="A19596" s="3" t="inlineStr">
        <is>
          <t>19548</t>
        </is>
      </c>
      <c r="B19596" s="4" t="s">
        <f>=HYPERLINK("http://anyluxury.ru/shop/odezhda/rubashki-polo/rubashka-polo-patriot-women-krasnaya-s-chernim-01407937/" , "01407937 Рубашка поло PATRIOT WOMEN, красная с черным, размер XXL")</f>
      </c>
      <c r="C19596" s="4" t="n">
        <v>2321.00</v>
      </c>
      <c r="D19596" s="4"/>
    </row>
    <row collapsed="" customFormat="false" customHeight="1" hidden="" ht="14" outlineLevel="0" r="19597">
      <c r="A19597" s="3" t="inlineStr">
        <is>
          <t>19549</t>
        </is>
      </c>
      <c r="B19597" s="4" t="s">
        <f>=HYPERLINK("http://anyluxury.ru/shop/odezhda/rubashki-polo/rubashka-polo-zhenskaya-virma-lady-belaya-249760/" , "2497.60 Рубашка поло женская Virma lady, белая, размер L")</f>
      </c>
      <c r="C19597" s="4" t="n">
        <v>831.00</v>
      </c>
      <c r="D19597" s="4"/>
    </row>
    <row collapsed="" customFormat="false" customHeight="1" hidden="" ht="14" outlineLevel="0" r="19598">
      <c r="A19598" s="3" t="inlineStr">
        <is>
          <t>19550</t>
        </is>
      </c>
      <c r="B19598" s="4" t="s">
        <f>=HYPERLINK("http://anyluxury.ru/shop/odezhda/rubashki-polo/rubashka-polo-zhenskaya-virma-lady-belaya-249760/" , "2497.60 Рубашка поло женская Virma lady, белая, размер XXL")</f>
      </c>
      <c r="C19598" s="4" t="n">
        <v>831.00</v>
      </c>
      <c r="D19598" s="4"/>
    </row>
    <row collapsed="" customFormat="false" customHeight="1" hidden="" ht="14" outlineLevel="0" r="19599">
      <c r="A19599" s="3" t="inlineStr">
        <is>
          <t>19551</t>
        </is>
      </c>
      <c r="B19599" s="4" t="s">
        <f>=HYPERLINK("http://anyluxury.ru/shop/odezhda/rubashki-polo/rubashka-polo-zhenskaya-virma-lady-belaya-249760/" , "2497.60 Рубашка поло женская Virma lady, белая, размер 3XL")</f>
      </c>
      <c r="C19599" s="4" t="n">
        <v>831.00</v>
      </c>
      <c r="D19599" s="4"/>
    </row>
    <row collapsed="" customFormat="false" customHeight="1" hidden="" ht="14" outlineLevel="0" r="19600">
      <c r="A19600" s="3" t="inlineStr">
        <is>
          <t>19552</t>
        </is>
      </c>
      <c r="B19600" s="4" t="s">
        <f>=HYPERLINK("http://anyluxury.ru/shop/odezhda/rubashki-polo/rubashka-polo-zhenskaya-virma-lady-chernaya-249730/" , "2497.30 Рубашка поло женская Virma lady, черная, размер S")</f>
      </c>
      <c r="C19600" s="4" t="n">
        <v>831.00</v>
      </c>
      <c r="D19600" s="4"/>
    </row>
    <row collapsed="" customFormat="false" customHeight="1" hidden="" ht="14" outlineLevel="0" r="19601">
      <c r="A19601" s="3" t="inlineStr">
        <is>
          <t>19553</t>
        </is>
      </c>
      <c r="B19601" s="4" t="s">
        <f>=HYPERLINK("http://anyluxury.ru/shop/odezhda/rubashki-polo/rubashka-polo-zhenskaya-virma-lady-chernaya-249730/" , "2497.30 Рубашка поло женская Virma lady, черная, размер M")</f>
      </c>
      <c r="C19601" s="4" t="n">
        <v>831.00</v>
      </c>
      <c r="D19601" s="4"/>
    </row>
    <row collapsed="" customFormat="false" customHeight="1" hidden="" ht="14" outlineLevel="0" r="19602">
      <c r="A19602" s="3" t="inlineStr">
        <is>
          <t>19554</t>
        </is>
      </c>
      <c r="B19602" s="4" t="s">
        <f>=HYPERLINK("http://anyluxury.ru/shop/odezhda/rubashki-polo/rubashka-polo-zhenskaya-virma-lady-chernaya-249730/" , "2497.30 Рубашка поло женская Virma lady, черная, размер L")</f>
      </c>
      <c r="C19602" s="4" t="n">
        <v>831.00</v>
      </c>
      <c r="D19602" s="4"/>
    </row>
    <row collapsed="" customFormat="false" customHeight="1" hidden="" ht="14" outlineLevel="0" r="19603">
      <c r="A19603" s="3" t="inlineStr">
        <is>
          <t>19555</t>
        </is>
      </c>
      <c r="B19603" s="4" t="s">
        <f>=HYPERLINK("http://anyluxury.ru/shop/odezhda/rubashki-polo/rubashka-polo-zhenskaya-virma-lady-chernaya-249730/" , "2497.30 Рубашка поло женская Virma lady, черная, размер XL")</f>
      </c>
      <c r="C19603" s="4" t="n">
        <v>831.00</v>
      </c>
      <c r="D19603" s="4"/>
    </row>
    <row collapsed="" customFormat="false" customHeight="1" hidden="" ht="14" outlineLevel="0" r="19604">
      <c r="A19604" s="3" t="inlineStr">
        <is>
          <t>19556</t>
        </is>
      </c>
      <c r="B19604" s="4" t="s">
        <f>=HYPERLINK("http://anyluxury.ru/shop/odezhda/rubashki-polo/rubashka-polo-zhenskaya-virma-lady-chernaya-249730/" , "2497.30 Рубашка поло женская Virma lady, черная, размер XXL")</f>
      </c>
      <c r="C19604" s="4" t="n">
        <v>831.00</v>
      </c>
      <c r="D19604" s="4"/>
    </row>
    <row collapsed="" customFormat="false" customHeight="1" hidden="" ht="14" outlineLevel="0" r="19605">
      <c r="A19605" s="3" t="inlineStr">
        <is>
          <t>19557</t>
        </is>
      </c>
      <c r="B19605" s="4" t="s">
        <f>=HYPERLINK("http://anyluxury.ru/shop/odezhda/rubashki-polo/rubashka-polo-zhenskaya-virma-lady-chernaya-249730/" , "2497.30 Рубашка поло женская Virma lady, черная, размер 3XL")</f>
      </c>
      <c r="C19605" s="4" t="n">
        <v>831.00</v>
      </c>
      <c r="D19605" s="4"/>
    </row>
    <row collapsed="" customFormat="false" customHeight="1" hidden="" ht="14" outlineLevel="0" r="19606">
      <c r="A19606" s="3" t="inlineStr">
        <is>
          <t>19558</t>
        </is>
      </c>
      <c r="B19606" s="4" t="s">
        <f>=HYPERLINK("http://anyluxury.ru/shop/odezhda/rubashki-polo/rubashka-polo-zhenskaya-virma-lady-yarkosinyaya-249744/" , "2497.44 Рубашка поло женская Virma lady, ярко-синяя, размер S")</f>
      </c>
      <c r="C19606" s="4" t="n">
        <v>831.00</v>
      </c>
      <c r="D19606" s="4"/>
    </row>
    <row collapsed="" customFormat="false" customHeight="1" hidden="" ht="14" outlineLevel="0" r="19607">
      <c r="A19607" s="3" t="inlineStr">
        <is>
          <t>19559</t>
        </is>
      </c>
      <c r="B19607" s="4" t="s">
        <f>=HYPERLINK("http://anyluxury.ru/shop/odezhda/rubashki-polo/rubashka-polo-zhenskaya-virma-lady-yarkosinyaya-249744/" , "2497.44 Рубашка поло женская Virma lady, ярко-синяя, размер M")</f>
      </c>
      <c r="C19607" s="4" t="n">
        <v>831.00</v>
      </c>
      <c r="D19607" s="4"/>
    </row>
    <row collapsed="" customFormat="false" customHeight="1" hidden="" ht="14" outlineLevel="0" r="19608">
      <c r="A19608" s="3" t="inlineStr">
        <is>
          <t>19560</t>
        </is>
      </c>
      <c r="B19608" s="4" t="s">
        <f>=HYPERLINK("http://anyluxury.ru/shop/odezhda/rubashki-polo/rubashka-polo-zhenskaya-virma-lady-yarkosinyaya-249744/" , "2497.44 Рубашка поло женская Virma lady, ярко-синяя, размер L")</f>
      </c>
      <c r="C19608" s="4" t="n">
        <v>831.00</v>
      </c>
      <c r="D19608" s="4"/>
    </row>
    <row collapsed="" customFormat="false" customHeight="1" hidden="" ht="14" outlineLevel="0" r="19609">
      <c r="A19609" s="3" t="inlineStr">
        <is>
          <t>19561</t>
        </is>
      </c>
      <c r="B19609" s="4" t="s">
        <f>=HYPERLINK("http://anyluxury.ru/shop/odezhda/rubashki-polo/rubashka-polo-zhenskaya-virma-lady-yarkosinyaya-249744/" , "2497.44 Рубашка поло женская Virma lady, ярко-синяя, размер XL")</f>
      </c>
      <c r="C19609" s="4" t="n">
        <v>831.00</v>
      </c>
      <c r="D19609" s="4"/>
    </row>
    <row collapsed="" customFormat="false" customHeight="1" hidden="" ht="14" outlineLevel="0" r="19610">
      <c r="A19610" s="3" t="inlineStr">
        <is>
          <t>19562</t>
        </is>
      </c>
      <c r="B19610" s="4" t="s">
        <f>=HYPERLINK("http://anyluxury.ru/shop/odezhda/rubashki-polo/rubashka-polo-zhenskaya-virma-lady-yarkosinyaya-249744/" , "2497.44 Рубашка поло женская Virma lady, ярко-синяя, размер XXL")</f>
      </c>
      <c r="C19610" s="4" t="n">
        <v>831.00</v>
      </c>
      <c r="D19610" s="4"/>
    </row>
    <row collapsed="" customFormat="false" customHeight="1" hidden="" ht="14" outlineLevel="0" r="19611">
      <c r="A19611" s="3" t="inlineStr">
        <is>
          <t>19563</t>
        </is>
      </c>
      <c r="B19611" s="4" t="s">
        <f>=HYPERLINK("http://anyluxury.ru/shop/odezhda/rubashki-polo/rubashka-polo-zhenskaya-virma-lady-yarkosinyaya-249744/" , "2497.44 Рубашка поло женская Virma lady, ярко-синяя, размер 3XL")</f>
      </c>
      <c r="C19611" s="4" t="n">
        <v>831.00</v>
      </c>
      <c r="D19611" s="4"/>
    </row>
    <row collapsed="" customFormat="false" customHeight="1" hidden="" ht="14" outlineLevel="0" r="19612">
      <c r="A19612" s="3" t="inlineStr">
        <is>
          <t>19564</t>
        </is>
      </c>
      <c r="B19612" s="4" t="s">
        <f>=HYPERLINK("http://anyluxury.ru/shop/odezhda/rubashki-polo/rubashka-polo-zhenskaya-virma-lady-krasnaya-249750/" , "2497.50 Рубашка поло женская Virma lady, красная, размер S")</f>
      </c>
      <c r="C19612" s="4" t="n">
        <v>831.00</v>
      </c>
      <c r="D19612" s="4"/>
    </row>
    <row collapsed="" customFormat="false" customHeight="1" hidden="" ht="14" outlineLevel="0" r="19613">
      <c r="A19613" s="3" t="inlineStr">
        <is>
          <t>19565</t>
        </is>
      </c>
      <c r="B19613" s="4" t="s">
        <f>=HYPERLINK("http://anyluxury.ru/shop/odezhda/rubashki-polo/rubashka-polo-zhenskaya-virma-lady-krasnaya-249750/" , "2497.50 Рубашка поло женская Virma lady, красная, размер M")</f>
      </c>
      <c r="C19613" s="4" t="n">
        <v>831.00</v>
      </c>
      <c r="D19613" s="4"/>
    </row>
    <row collapsed="" customFormat="false" customHeight="1" hidden="" ht="14" outlineLevel="0" r="19614">
      <c r="A19614" s="3" t="inlineStr">
        <is>
          <t>19566</t>
        </is>
      </c>
      <c r="B19614" s="4" t="s">
        <f>=HYPERLINK("http://anyluxury.ru/shop/odezhda/rubashki-polo/rubashka-polo-zhenskaya-virma-lady-krasnaya-249750/" , "2497.50 Рубашка поло женская Virma lady, красная, размер L")</f>
      </c>
      <c r="C19614" s="4" t="n">
        <v>831.00</v>
      </c>
      <c r="D19614" s="4"/>
    </row>
    <row collapsed="" customFormat="false" customHeight="1" hidden="" ht="14" outlineLevel="0" r="19615">
      <c r="A19615" s="3" t="inlineStr">
        <is>
          <t>19567</t>
        </is>
      </c>
      <c r="B19615" s="4" t="s">
        <f>=HYPERLINK("http://anyluxury.ru/shop/odezhda/rubashki-polo/rubashka-polo-zhenskaya-virma-lady-krasnaya-249750/" , "2497.50 Рубашка поло женская Virma lady, красная, размер XL")</f>
      </c>
      <c r="C19615" s="4" t="n">
        <v>831.00</v>
      </c>
      <c r="D19615" s="4"/>
    </row>
    <row collapsed="" customFormat="false" customHeight="1" hidden="" ht="14" outlineLevel="0" r="19616">
      <c r="A19616" s="3" t="inlineStr">
        <is>
          <t>19568</t>
        </is>
      </c>
      <c r="B19616" s="4" t="s">
        <f>=HYPERLINK("http://anyluxury.ru/shop/odezhda/rubashki-polo/rubashka-polo-zhenskaya-virma-lady-krasnaya-249750/" , "2497.50 Рубашка поло женская Virma lady, красная, размер XXL")</f>
      </c>
      <c r="C19616" s="4" t="n">
        <v>831.00</v>
      </c>
      <c r="D19616" s="4"/>
    </row>
    <row collapsed="" customFormat="false" customHeight="1" hidden="" ht="14" outlineLevel="0" r="19617">
      <c r="A19617" s="3" t="inlineStr">
        <is>
          <t>19569</t>
        </is>
      </c>
      <c r="B19617" s="4" t="s">
        <f>=HYPERLINK("http://anyluxury.ru/shop/odezhda/rubashki-polo/rubashka-polo-zhenskaya-virma-lady-oranzhevaya-249720/" , "2497.20 Рубашка поло женская Virma lady, оранжевая, размер S")</f>
      </c>
      <c r="C19617" s="4" t="n">
        <v>831.00</v>
      </c>
      <c r="D19617" s="4"/>
    </row>
    <row collapsed="" customFormat="false" customHeight="1" hidden="" ht="14" outlineLevel="0" r="19618">
      <c r="A19618" s="3" t="inlineStr">
        <is>
          <t>19570</t>
        </is>
      </c>
      <c r="B19618" s="4" t="s">
        <f>=HYPERLINK("http://anyluxury.ru/shop/odezhda/rubashki-polo/rubashka-polo-zhenskaya-virma-lady-oranzhevaya-249720/" , "2497.20 Рубашка поло женская Virma lady, оранжевая, размер M")</f>
      </c>
      <c r="C19618" s="4" t="n">
        <v>831.00</v>
      </c>
      <c r="D19618" s="4"/>
    </row>
    <row collapsed="" customFormat="false" customHeight="1" hidden="" ht="14" outlineLevel="0" r="19619">
      <c r="A19619" s="3" t="inlineStr">
        <is>
          <t>19571</t>
        </is>
      </c>
      <c r="B19619" s="4" t="s">
        <f>=HYPERLINK("http://anyluxury.ru/shop/odezhda/rubashki-polo/rubashka-polo-zhenskaya-virma-lady-oranzhevaya-249720/" , "2497.20 Рубашка поло женская Virma lady, оранжевая, размер L")</f>
      </c>
      <c r="C19619" s="4" t="n">
        <v>831.00</v>
      </c>
      <c r="D19619" s="4"/>
    </row>
    <row collapsed="" customFormat="false" customHeight="1" hidden="" ht="14" outlineLevel="0" r="19620">
      <c r="A19620" s="3" t="inlineStr">
        <is>
          <t>19572</t>
        </is>
      </c>
      <c r="B19620" s="4" t="s">
        <f>=HYPERLINK("http://anyluxury.ru/shop/odezhda/rubashki-polo/rubashka-polo-zhenskaya-virma-lady-oranzhevaya-249720/" , "2497.20 Рубашка поло женская Virma lady, оранжевая, размер XL")</f>
      </c>
      <c r="C19620" s="4" t="n">
        <v>831.00</v>
      </c>
      <c r="D19620" s="4"/>
    </row>
    <row collapsed="" customFormat="false" customHeight="1" hidden="" ht="14" outlineLevel="0" r="19621">
      <c r="A19621" s="3" t="inlineStr">
        <is>
          <t>19573</t>
        </is>
      </c>
      <c r="B19621" s="4" t="s">
        <f>=HYPERLINK("http://anyluxury.ru/shop/odezhda/rubashki-polo/rubashka-polo-zhenskaya-virma-lady-oranzhevaya-249720/" , "2497.20 Рубашка поло женская Virma lady, оранжевая, размер XXL")</f>
      </c>
      <c r="C19621" s="4" t="n">
        <v>831.00</v>
      </c>
      <c r="D19621" s="4"/>
    </row>
    <row collapsed="" customFormat="false" customHeight="1" hidden="" ht="14" outlineLevel="0" r="19622">
      <c r="A19622" s="3" t="inlineStr">
        <is>
          <t>19574</t>
        </is>
      </c>
      <c r="B19622" s="4" t="s">
        <f>=HYPERLINK("http://anyluxury.ru/shop/odezhda/rubashki-polo/rubashka-polo-zhenskaya-virma-lady-zheltaya-249780/" , "2497.80 Рубашка поло женская Virma lady, желтая, размер S")</f>
      </c>
      <c r="C19622" s="4" t="n">
        <v>831.00</v>
      </c>
      <c r="D19622" s="4"/>
    </row>
    <row collapsed="" customFormat="false" customHeight="1" hidden="" ht="14" outlineLevel="0" r="19623">
      <c r="A19623" s="3" t="inlineStr">
        <is>
          <t>19575</t>
        </is>
      </c>
      <c r="B19623" s="4" t="s">
        <f>=HYPERLINK("http://anyluxury.ru/shop/odezhda/rubashki-polo/rubashka-polo-zhenskaya-virma-lady-zheltaya-249780/" , "2497.80 Рубашка поло женская Virma lady, желтая, размер M")</f>
      </c>
      <c r="C19623" s="4" t="n">
        <v>831.00</v>
      </c>
      <c r="D19623" s="4"/>
    </row>
    <row collapsed="" customFormat="false" customHeight="1" hidden="" ht="14" outlineLevel="0" r="19624">
      <c r="A19624" s="3" t="inlineStr">
        <is>
          <t>19576</t>
        </is>
      </c>
      <c r="B19624" s="4" t="s">
        <f>=HYPERLINK("http://anyluxury.ru/shop/odezhda/rubashki-polo/rubashka-polo-zhenskaya-virma-lady-zheltaya-249780/" , "2497.80 Рубашка поло женская Virma lady, желтая, размер L")</f>
      </c>
      <c r="C19624" s="4" t="n">
        <v>831.00</v>
      </c>
      <c r="D19624" s="4"/>
    </row>
    <row collapsed="" customFormat="false" customHeight="1" hidden="" ht="14" outlineLevel="0" r="19625">
      <c r="A19625" s="3" t="inlineStr">
        <is>
          <t>19577</t>
        </is>
      </c>
      <c r="B19625" s="4" t="s">
        <f>=HYPERLINK("http://anyluxury.ru/shop/odezhda/rubashki-polo/rubashka-polo-zhenskaya-virma-lady-zheltaya-249780/" , "2497.80 Рубашка поло женская Virma lady, желтая, размер XL")</f>
      </c>
      <c r="C19625" s="4" t="n">
        <v>831.00</v>
      </c>
      <c r="D19625" s="4"/>
    </row>
    <row collapsed="" customFormat="false" customHeight="1" hidden="" ht="14" outlineLevel="0" r="19626">
      <c r="A19626" s="3" t="inlineStr">
        <is>
          <t>19578</t>
        </is>
      </c>
      <c r="B19626" s="4" t="s">
        <f>=HYPERLINK("http://anyluxury.ru/shop/odezhda/rubashki-polo/rubashka-polo-zhenskaya-virma-lady-zheltaya-249780/" , "2497.80 Рубашка поло женская Virma lady, желтая, размер XXL")</f>
      </c>
      <c r="C19626" s="4" t="n">
        <v>831.00</v>
      </c>
      <c r="D19626" s="4"/>
    </row>
    <row collapsed="" customFormat="false" customHeight="1" hidden="" ht="14" outlineLevel="0" r="19627">
      <c r="A19627" s="3" t="inlineStr">
        <is>
          <t>19579</t>
        </is>
      </c>
      <c r="B19627" s="4" t="s">
        <f>=HYPERLINK("http://anyluxury.ru/shop/odezhda/rubashki-polo/rubashka-polo-zhenskaya-virma-lady-seriy-melanzh-249711/" , "2497.11 Рубашка поло женская Virma lady, серый меланж, размер S")</f>
      </c>
      <c r="C19627" s="4" t="n">
        <v>831.00</v>
      </c>
      <c r="D19627" s="4"/>
    </row>
    <row collapsed="" customFormat="false" customHeight="1" hidden="" ht="14" outlineLevel="0" r="19628">
      <c r="A19628" s="3" t="inlineStr">
        <is>
          <t>19580</t>
        </is>
      </c>
      <c r="B19628" s="4" t="s">
        <f>=HYPERLINK("http://anyluxury.ru/shop/odezhda/rubashki-polo/rubashka-polo-zhenskaya-virma-lady-seriy-melanzh-249711/" , "2497.11 Рубашка поло женская Virma lady, серый меланж, размер M")</f>
      </c>
      <c r="C19628" s="4" t="n">
        <v>831.00</v>
      </c>
      <c r="D19628" s="4"/>
    </row>
    <row collapsed="" customFormat="false" customHeight="1" hidden="" ht="14" outlineLevel="0" r="19629">
      <c r="A19629" s="3" t="inlineStr">
        <is>
          <t>19581</t>
        </is>
      </c>
      <c r="B19629" s="4" t="s">
        <f>=HYPERLINK("http://anyluxury.ru/shop/odezhda/rubashki-polo/rubashka-polo-zhenskaya-virma-lady-seriy-melanzh-249711/" , "2497.11 Рубашка поло женская Virma lady, серый меланж, размер L")</f>
      </c>
      <c r="C19629" s="4" t="n">
        <v>831.00</v>
      </c>
      <c r="D19629" s="4"/>
    </row>
    <row collapsed="" customFormat="false" customHeight="1" hidden="" ht="14" outlineLevel="0" r="19630">
      <c r="A19630" s="3" t="inlineStr">
        <is>
          <t>19582</t>
        </is>
      </c>
      <c r="B19630" s="4" t="s">
        <f>=HYPERLINK("http://anyluxury.ru/shop/odezhda/rubashki-polo/rubashka-polo-zhenskaya-virma-lady-seriy-melanzh-249711/" , "2497.11 Рубашка поло женская Virma lady, серый меланж, размер XXL")</f>
      </c>
      <c r="C19630" s="4" t="n">
        <v>831.00</v>
      </c>
      <c r="D19630" s="4"/>
    </row>
    <row collapsed="" customFormat="false" customHeight="1" hidden="" ht="14" outlineLevel="0" r="19631">
      <c r="A19631" s="3" t="inlineStr">
        <is>
          <t>19583</t>
        </is>
      </c>
      <c r="B19631" s="4" t="s">
        <f>=HYPERLINK("http://anyluxury.ru/shop/odezhda/rubashki-polo/rubashka-polo-zhenskaya-virma-lady-seriy-melanzh-249711/" , "2497.11 Рубашка поло женская Virma lady, серый меланж, размер 3XL")</f>
      </c>
      <c r="C19631" s="4" t="n">
        <v>831.00</v>
      </c>
      <c r="D19631" s="4"/>
    </row>
    <row collapsed="" customFormat="false" customHeight="1" hidden="" ht="14" outlineLevel="0" r="19632">
      <c r="A19632" s="3" t="inlineStr">
        <is>
          <t>19584</t>
        </is>
      </c>
      <c r="B19632" s="4" t="s">
        <f>=HYPERLINK("http://anyluxury.ru/shop/odezhda/rubashki-polo/rubashka-polo-zhenskaya-virma-lady-temnosinyaya-249740/" , "2497.40 Рубашка поло женская Virma lady, темно-синяя, размер S")</f>
      </c>
      <c r="C19632" s="4" t="n">
        <v>831.00</v>
      </c>
      <c r="D19632" s="4"/>
    </row>
    <row collapsed="" customFormat="false" customHeight="1" hidden="" ht="14" outlineLevel="0" r="19633">
      <c r="A19633" s="3" t="inlineStr">
        <is>
          <t>19585</t>
        </is>
      </c>
      <c r="B19633" s="4" t="s">
        <f>=HYPERLINK("http://anyluxury.ru/shop/odezhda/rubashki-polo/rubashka-polo-zhenskaya-virma-lady-temnosinyaya-249740/" , "2497.40 Рубашка поло женская Virma lady, темно-синяя, размер M")</f>
      </c>
      <c r="C19633" s="4" t="n">
        <v>831.00</v>
      </c>
      <c r="D19633" s="4"/>
    </row>
    <row collapsed="" customFormat="false" customHeight="1" hidden="" ht="14" outlineLevel="0" r="19634">
      <c r="A19634" s="3" t="inlineStr">
        <is>
          <t>19586</t>
        </is>
      </c>
      <c r="B19634" s="4" t="s">
        <f>=HYPERLINK("http://anyluxury.ru/shop/odezhda/rubashki-polo/rubashka-polo-zhenskaya-virma-lady-temnosinyaya-249740/" , "2497.40 Рубашка поло женская Virma lady, темно-синяя, размер L")</f>
      </c>
      <c r="C19634" s="4" t="n">
        <v>831.00</v>
      </c>
      <c r="D19634" s="4"/>
    </row>
    <row collapsed="" customFormat="false" customHeight="1" hidden="" ht="14" outlineLevel="0" r="19635">
      <c r="A19635" s="3" t="inlineStr">
        <is>
          <t>19587</t>
        </is>
      </c>
      <c r="B19635" s="4" t="s">
        <f>=HYPERLINK("http://anyluxury.ru/shop/odezhda/rubashki-polo/rubashka-polo-zhenskaya-virma-lady-temnosinyaya-249740/" , "2497.40 Рубашка поло женская Virma lady, темно-синяя, размер XL")</f>
      </c>
      <c r="C19635" s="4" t="n">
        <v>831.00</v>
      </c>
      <c r="D19635" s="4"/>
    </row>
    <row collapsed="" customFormat="false" customHeight="1" hidden="" ht="14" outlineLevel="0" r="19636">
      <c r="A19636" s="3" t="inlineStr">
        <is>
          <t>19588</t>
        </is>
      </c>
      <c r="B19636" s="4" t="s">
        <f>=HYPERLINK("http://anyluxury.ru/shop/odezhda/rubashki-polo/rubashka-polo-zhenskaya-virma-lady-temnosinyaya-249740/" , "2497.40 Рубашка поло женская Virma lady, темно-синяя, размер XXL")</f>
      </c>
      <c r="C19636" s="4" t="n">
        <v>831.00</v>
      </c>
      <c r="D19636" s="4"/>
    </row>
    <row collapsed="" customFormat="false" customHeight="1" hidden="" ht="14" outlineLevel="0" r="19637">
      <c r="A19637" s="3" t="inlineStr">
        <is>
          <t>19589</t>
        </is>
      </c>
      <c r="B19637" s="4" t="s">
        <f>=HYPERLINK("http://anyluxury.ru/shop/odezhda/rubashki-polo/rubashka-polo-zhenskaya-virma-lady-zelenoe-yabloko-249794/" , "2497.94 Рубашка поло женская Virma lady, зеленое яблоко, размер S")</f>
      </c>
      <c r="C19637" s="4" t="n">
        <v>831.00</v>
      </c>
      <c r="D19637" s="4"/>
    </row>
    <row collapsed="" customFormat="false" customHeight="1" hidden="" ht="14" outlineLevel="0" r="19638">
      <c r="A19638" s="3" t="inlineStr">
        <is>
          <t>19590</t>
        </is>
      </c>
      <c r="B19638" s="4" t="s">
        <f>=HYPERLINK("http://anyluxury.ru/shop/odezhda/rubashki-polo/rubashka-polo-zhenskaya-virma-lady-zelenoe-yabloko-249794/" , "2497.94 Рубашка поло женская Virma lady, зеленое яблоко, размер M")</f>
      </c>
      <c r="C19638" s="4" t="n">
        <v>831.00</v>
      </c>
      <c r="D19638" s="4"/>
    </row>
    <row collapsed="" customFormat="false" customHeight="1" hidden="" ht="14" outlineLevel="0" r="19639">
      <c r="A19639" s="3" t="inlineStr">
        <is>
          <t>19591</t>
        </is>
      </c>
      <c r="B19639" s="4" t="s">
        <f>=HYPERLINK("http://anyluxury.ru/shop/odezhda/rubashki-polo/rubashka-polo-zhenskaya-virma-lady-zelenoe-yabloko-249794/" , "2497.94 Рубашка поло женская Virma lady, зеленое яблоко, размер L")</f>
      </c>
      <c r="C19639" s="4" t="n">
        <v>831.00</v>
      </c>
      <c r="D19639" s="4"/>
    </row>
    <row collapsed="" customFormat="false" customHeight="1" hidden="" ht="14" outlineLevel="0" r="19640">
      <c r="A19640" s="3" t="inlineStr">
        <is>
          <t>19592</t>
        </is>
      </c>
      <c r="B19640" s="4" t="s">
        <f>=HYPERLINK("http://anyluxury.ru/shop/odezhda/rubashki-polo/rubashka-polo-zhenskaya-virma-lady-zelenoe-yabloko-249794/" , "2497.94 Рубашка поло женская Virma lady, зеленое яблоко, размер XL")</f>
      </c>
      <c r="C19640" s="4" t="n">
        <v>831.00</v>
      </c>
      <c r="D19640" s="4"/>
    </row>
    <row collapsed="" customFormat="false" customHeight="1" hidden="" ht="14" outlineLevel="0" r="19641">
      <c r="A19641" s="3" t="inlineStr">
        <is>
          <t>19593</t>
        </is>
      </c>
      <c r="B19641" s="4" t="s">
        <f>=HYPERLINK("http://anyluxury.ru/shop/odezhda/rubashki-polo/rubashka-polo-zhenskaya-virma-lady-zelenoe-yabloko-249794/" , "2497.94 Рубашка поло женская Virma lady, зеленое яблоко, размер XXL")</f>
      </c>
      <c r="C19641" s="4" t="n">
        <v>831.00</v>
      </c>
      <c r="D19641" s="4"/>
    </row>
    <row collapsed="" customFormat="false" customHeight="1" hidden="" ht="14" outlineLevel="0" r="19642">
      <c r="A19642" s="3" t="inlineStr">
        <is>
          <t>19594</t>
        </is>
      </c>
      <c r="B19642" s="4" t="s">
        <f>=HYPERLINK("http://anyluxury.ru/shop/odezhda/rubashki-polo/rubashka-polo-zhenskaya-virma-lady-fioletovaya-249777/" , "2497.77 Рубашка поло женская Virma lady, фиолетовая, размер S")</f>
      </c>
      <c r="C19642" s="4" t="n">
        <v>831.00</v>
      </c>
      <c r="D19642" s="4"/>
    </row>
    <row collapsed="" customFormat="false" customHeight="1" hidden="" ht="14" outlineLevel="0" r="19643">
      <c r="A19643" s="3" t="inlineStr">
        <is>
          <t>19595</t>
        </is>
      </c>
      <c r="B19643" s="4" t="s">
        <f>=HYPERLINK("http://anyluxury.ru/shop/odezhda/rubashki-polo/rubashka-polo-zhenskaya-virma-lady-fioletovaya-249777/" , "2497.77 Рубашка поло женская Virma lady, фиолетовая, размер M")</f>
      </c>
      <c r="C19643" s="4" t="n">
        <v>831.00</v>
      </c>
      <c r="D19643" s="4"/>
    </row>
    <row collapsed="" customFormat="false" customHeight="1" hidden="" ht="14" outlineLevel="0" r="19644">
      <c r="A19644" s="3" t="inlineStr">
        <is>
          <t>19596</t>
        </is>
      </c>
      <c r="B19644" s="4" t="s">
        <f>=HYPERLINK("http://anyluxury.ru/shop/odezhda/rubashki-polo/rubashka-polo-zhenskaya-virma-lady-fioletovaya-249777/" , "2497.77 Рубашка поло женская Virma lady, фиолетовая, размер L")</f>
      </c>
      <c r="C19644" s="4" t="n">
        <v>831.00</v>
      </c>
      <c r="D19644" s="4"/>
    </row>
    <row collapsed="" customFormat="false" customHeight="1" hidden="" ht="14" outlineLevel="0" r="19645">
      <c r="A19645" s="3" t="inlineStr">
        <is>
          <t>19597</t>
        </is>
      </c>
      <c r="B19645" s="4" t="s">
        <f>=HYPERLINK("http://anyluxury.ru/shop/odezhda/rubashki-polo/rubashka-polo-zhenskaya-virma-lady-fioletovaya-249777/" , "2497.77 Рубашка поло женская Virma lady, фиолетовая, размер XL")</f>
      </c>
      <c r="C19645" s="4" t="n">
        <v>831.00</v>
      </c>
      <c r="D19645" s="4"/>
    </row>
    <row collapsed="" customFormat="false" customHeight="1" hidden="" ht="14" outlineLevel="0" r="19646">
      <c r="A19646" s="3" t="inlineStr">
        <is>
          <t>19598</t>
        </is>
      </c>
      <c r="B19646" s="4" t="s">
        <f>=HYPERLINK("http://anyluxury.ru/shop/odezhda/rubashki-polo/rubashka-polo-zhenskaya-virma-lady-fioletovaya-249777/" , "2497.77 Рубашка поло женская Virma lady, фиолетовая, размер XXL")</f>
      </c>
      <c r="C19646" s="4" t="n">
        <v>831.00</v>
      </c>
      <c r="D19646" s="4"/>
    </row>
    <row collapsed="" customFormat="false" customHeight="1" hidden="" ht="14" outlineLevel="0" r="19647">
      <c r="A19647" s="3" t="inlineStr">
        <is>
          <t>19599</t>
        </is>
      </c>
      <c r="B19647" s="4" t="s">
        <f>=HYPERLINK("http://anyluxury.ru/shop/odezhda/rubashki-polo/rubashka-polo-zhenskaya-virma-lady-golubaya-249714/" , "2497.14 Рубашка поло женская Virma lady, голубая, размер S")</f>
      </c>
      <c r="C19647" s="4" t="n">
        <v>831.00</v>
      </c>
      <c r="D19647" s="4"/>
    </row>
    <row collapsed="" customFormat="false" customHeight="1" hidden="" ht="14" outlineLevel="0" r="19648">
      <c r="A19648" s="3" t="inlineStr">
        <is>
          <t>19600</t>
        </is>
      </c>
      <c r="B19648" s="4" t="s">
        <f>=HYPERLINK("http://anyluxury.ru/shop/odezhda/rubashki-polo/rubashka-polo-zhenskaya-virma-lady-golubaya-249714/" , "2497.14 Рубашка поло женская Virma lady, голубая, размер M")</f>
      </c>
      <c r="C19648" s="4" t="n">
        <v>831.00</v>
      </c>
      <c r="D19648" s="4"/>
    </row>
    <row collapsed="" customFormat="false" customHeight="1" hidden="" ht="14" outlineLevel="0" r="19649">
      <c r="A19649" s="3" t="inlineStr">
        <is>
          <t>19601</t>
        </is>
      </c>
      <c r="B19649" s="4" t="s">
        <f>=HYPERLINK("http://anyluxury.ru/shop/odezhda/rubashki-polo/rubashka-polo-zhenskaya-virma-lady-golubaya-249714/" , "2497.14 Рубашка поло женская Virma lady, голубая, размер L")</f>
      </c>
      <c r="C19649" s="4" t="n">
        <v>831.00</v>
      </c>
      <c r="D19649" s="4"/>
    </row>
    <row collapsed="" customFormat="false" customHeight="1" hidden="" ht="14" outlineLevel="0" r="19650">
      <c r="A19650" s="3" t="inlineStr">
        <is>
          <t>19602</t>
        </is>
      </c>
      <c r="B19650" s="4" t="s">
        <f>=HYPERLINK("http://anyluxury.ru/shop/odezhda/rubashki-polo/rubashka-polo-zhenskaya-virma-lady-golubaya-249714/" , "2497.14 Рубашка поло женская Virma lady, голубая, размер XL")</f>
      </c>
      <c r="C19650" s="4" t="n">
        <v>831.00</v>
      </c>
      <c r="D19650" s="4"/>
    </row>
    <row collapsed="" customFormat="false" customHeight="1" hidden="" ht="14" outlineLevel="0" r="19651">
      <c r="A19651" s="3" t="inlineStr">
        <is>
          <t>19603</t>
        </is>
      </c>
      <c r="B19651" s="4" t="s">
        <f>=HYPERLINK("http://anyluxury.ru/shop/odezhda/rubashki-polo/rubashka-polo-zhenskaya-virma-lady-golubaya-249714/" , "2497.14 Рубашка поло женская Virma lady, голубая, размер XXL")</f>
      </c>
      <c r="C19651" s="4" t="n">
        <v>831.00</v>
      </c>
      <c r="D19651" s="4"/>
    </row>
    <row collapsed="" customFormat="false" customHeight="1" hidden="" ht="14" outlineLevel="0" r="19652">
      <c r="A19652" s="3" t="inlineStr">
        <is>
          <t>19604</t>
        </is>
      </c>
      <c r="B19652" s="4" t="s">
        <f>=HYPERLINK("http://anyluxury.ru/shop/odezhda/rubashki-polo/rubashka-polo-muzhskaya-dnm-forward-bordovaya-pmd30931/" , "PMD30931 Рубашка поло мужская DNM Forward бордовая, размер S")</f>
      </c>
      <c r="C19652" s="4" t="n">
        <v>1540.00</v>
      </c>
      <c r="D19652" s="4"/>
    </row>
    <row collapsed="" customFormat="false" customHeight="1" hidden="" ht="14" outlineLevel="0" r="19653">
      <c r="A19653" s="3" t="inlineStr">
        <is>
          <t>19605</t>
        </is>
      </c>
      <c r="B19653" s="4" t="s">
        <f>=HYPERLINK("http://anyluxury.ru/shop/odezhda/rubashki-polo/rubashka-polo-muzhskaya-dnm-forward-bordovaya-pmd30931/" , "PMD30931 Рубашка поло мужская DNM Forward бордовая, размер XL")</f>
      </c>
      <c r="C19653" s="4" t="n">
        <v>1540.00</v>
      </c>
      <c r="D19653" s="4"/>
    </row>
    <row collapsed="" customFormat="false" customHeight="1" hidden="" ht="14" outlineLevel="0" r="19654">
      <c r="A19654" s="3" t="inlineStr">
        <is>
          <t>19606</t>
        </is>
      </c>
      <c r="B19654" s="4" t="s">
        <f>=HYPERLINK("http://anyluxury.ru/shop/odezhda/rubashki-polo/rubashka-polo-muzhskaya-dnm-forward-seriy-melanzh-pmd30933/" , "PMD30933 Рубашка поло мужская DNM Forward серый меланж, размер S")</f>
      </c>
      <c r="C19654" s="4" t="n">
        <v>1540.00</v>
      </c>
      <c r="D19654" s="4"/>
    </row>
    <row collapsed="" customFormat="false" customHeight="1" hidden="" ht="14" outlineLevel="0" r="19655">
      <c r="A19655" s="3" t="inlineStr">
        <is>
          <t>19607</t>
        </is>
      </c>
      <c r="B19655" s="4" t="s">
        <f>=HYPERLINK("http://anyluxury.ru/shop/odezhda/rubashki-polo/rubashka-polo-muzhskaya-dnm-forward-seriy-melanzh-pmd30933/" , "PMD30933 Рубашка поло мужская DNM Forward серый меланж, размер M")</f>
      </c>
      <c r="C19655" s="4" t="n">
        <v>1540.00</v>
      </c>
      <c r="D19655" s="4"/>
    </row>
    <row collapsed="" customFormat="false" customHeight="1" hidden="" ht="14" outlineLevel="0" r="19656">
      <c r="A19656" s="3" t="inlineStr">
        <is>
          <t>19608</t>
        </is>
      </c>
      <c r="B19656" s="4" t="s">
        <f>=HYPERLINK("http://anyluxury.ru/shop/odezhda/rubashki-polo/rubashka-polo-muzhskaya-dnm-forward-seriy-melanzh-pmd30933/" , "PMD30933 Рубашка поло мужская DNM Forward серый меланж, размер L")</f>
      </c>
      <c r="C19656" s="4" t="n">
        <v>1540.00</v>
      </c>
      <c r="D19656" s="4"/>
    </row>
    <row collapsed="" customFormat="false" customHeight="1" hidden="" ht="14" outlineLevel="0" r="19657">
      <c r="A19657" s="3" t="inlineStr">
        <is>
          <t>19609</t>
        </is>
      </c>
      <c r="B19657" s="4" t="s">
        <f>=HYPERLINK("http://anyluxury.ru/shop/odezhda/rubashki-polo/rubashka-polo-muzhskaya-dnm-forward-seriy-melanzh-pmd30933/" , "PMD30933 Рубашка поло мужская DNM Forward серый меланж, размер XXL")</f>
      </c>
      <c r="C19657" s="4" t="n">
        <v>1540.00</v>
      </c>
      <c r="D19657" s="4"/>
    </row>
    <row collapsed="" customFormat="false" customHeight="1" hidden="" ht="14" outlineLevel="0" r="19658">
      <c r="A19658" s="3" t="inlineStr">
        <is>
          <t>19610</t>
        </is>
      </c>
      <c r="B19658" s="4" t="s">
        <f>=HYPERLINK("http://anyluxury.ru/shop/odezhda/rubashki-polo/rubashka-polo-safran-belaya-pu409001/" , "PU409001 Рубашка поло Safran белая, размер S")</f>
      </c>
      <c r="C19658" s="4" t="n">
        <v>1540.00</v>
      </c>
      <c r="D19658" s="4"/>
    </row>
    <row collapsed="" customFormat="false" customHeight="1" hidden="" ht="14" outlineLevel="0" r="19659">
      <c r="A19659" s="3" t="inlineStr">
        <is>
          <t>19611</t>
        </is>
      </c>
      <c r="B19659" s="4" t="s">
        <f>=HYPERLINK("http://anyluxury.ru/shop/odezhda/rubashki-polo/rubashka-polo-safran-belaya-pu409001/" , "PU409001 Рубашка поло Safran белая, размер M")</f>
      </c>
      <c r="C19659" s="4" t="n">
        <v>1540.00</v>
      </c>
      <c r="D19659" s="4"/>
    </row>
    <row collapsed="" customFormat="false" customHeight="1" hidden="" ht="14" outlineLevel="0" r="19660">
      <c r="A19660" s="3" t="inlineStr">
        <is>
          <t>19612</t>
        </is>
      </c>
      <c r="B19660" s="4" t="s">
        <f>=HYPERLINK("http://anyluxury.ru/shop/odezhda/rubashki-polo/rubashka-polo-safran-belaya-pu409001/" , "PU409001 Рубашка поло Safran белая, размер XL")</f>
      </c>
      <c r="C19660" s="4" t="n">
        <v>1540.00</v>
      </c>
      <c r="D19660" s="4"/>
    </row>
    <row collapsed="" customFormat="false" customHeight="1" hidden="" ht="14" outlineLevel="0" r="19661">
      <c r="A19661" s="3" t="inlineStr">
        <is>
          <t>19613</t>
        </is>
      </c>
      <c r="B19661" s="4" t="s">
        <f>=HYPERLINK("http://anyluxury.ru/shop/odezhda/rubashki-polo/rubashka-polo-safran-belaya-pu409001/" , "PU409001 Рубашка поло Safran белая, размер XXL")</f>
      </c>
      <c r="C19661" s="4" t="n">
        <v>1540.00</v>
      </c>
      <c r="D19661" s="4"/>
    </row>
    <row collapsed="" customFormat="false" customHeight="1" hidden="" ht="14" outlineLevel="0" r="19662">
      <c r="A19662" s="3" t="inlineStr">
        <is>
          <t>19614</t>
        </is>
      </c>
      <c r="B19662" s="4" t="s">
        <f>=HYPERLINK("http://anyluxury.ru/shop/odezhda/rubashki-polo/rubashka-polo-safran-belaya-pu409001/" , "PU409001 Рубашка поло Safran белая, размер 3XL")</f>
      </c>
      <c r="C19662" s="4" t="n">
        <v>1540.00</v>
      </c>
      <c r="D19662" s="4"/>
    </row>
    <row collapsed="" customFormat="false" customHeight="1" hidden="" ht="14" outlineLevel="0" r="19663">
      <c r="A19663" s="3" t="inlineStr">
        <is>
          <t>19615</t>
        </is>
      </c>
      <c r="B19663" s="4" t="s">
        <f>=HYPERLINK("http://anyluxury.ru/shop/odezhda/rubashki-polo/rubashka-polo-safran-chernaya-pu409002/" , "PU409002 Рубашка поло Safran черная, размер S")</f>
      </c>
      <c r="C19663" s="4" t="n">
        <v>1687.00</v>
      </c>
      <c r="D19663" s="4"/>
    </row>
    <row collapsed="" customFormat="false" customHeight="1" hidden="" ht="14" outlineLevel="0" r="19664">
      <c r="A19664" s="3" t="inlineStr">
        <is>
          <t>19616</t>
        </is>
      </c>
      <c r="B19664" s="4" t="s">
        <f>=HYPERLINK("http://anyluxury.ru/shop/odezhda/rubashki-polo/rubashka-polo-safran-chernaya-pu409002/" , "PU409002 Рубашка поло Safran черная, размер L")</f>
      </c>
      <c r="C19664" s="4" t="n">
        <v>1687.00</v>
      </c>
      <c r="D19664" s="4"/>
    </row>
    <row collapsed="" customFormat="false" customHeight="1" hidden="" ht="14" outlineLevel="0" r="19665">
      <c r="A19665" s="3" t="inlineStr">
        <is>
          <t>19617</t>
        </is>
      </c>
      <c r="B19665" s="4" t="s">
        <f>=HYPERLINK("http://anyluxury.ru/shop/odezhda/rubashki-polo/rubashka-polo-safran-chernaya-pu409002/" , "PU409002 Рубашка поло Safran черная, размер XXL")</f>
      </c>
      <c r="C19665" s="4" t="n">
        <v>1687.00</v>
      </c>
      <c r="D19665" s="4"/>
    </row>
    <row collapsed="" customFormat="false" customHeight="1" hidden="" ht="14" outlineLevel="0" r="19666">
      <c r="A19666" s="3" t="inlineStr">
        <is>
          <t>19618</t>
        </is>
      </c>
      <c r="B19666" s="4" t="s">
        <f>=HYPERLINK("http://anyluxury.ru/shop/odezhda/rubashki-polo/rubashka-polo-safran-temnosinyaya-pu409003/" , "PU409003 Рубашка поло Safran темно-синяя, размер S")</f>
      </c>
      <c r="C19666" s="4" t="n">
        <v>1687.00</v>
      </c>
      <c r="D19666" s="4"/>
    </row>
    <row collapsed="" customFormat="false" customHeight="1" hidden="" ht="14" outlineLevel="0" r="19667">
      <c r="A19667" s="3" t="inlineStr">
        <is>
          <t>19619</t>
        </is>
      </c>
      <c r="B19667" s="4" t="s">
        <f>=HYPERLINK("http://anyluxury.ru/shop/odezhda/rubashki-polo/rubashka-polo-safran-temnosinyaya-pu409003/" , "PU409003 Рубашка поло Safran темно-синяя, размер M")</f>
      </c>
      <c r="C19667" s="4" t="n">
        <v>1687.00</v>
      </c>
      <c r="D19667" s="4"/>
    </row>
    <row collapsed="" customFormat="false" customHeight="1" hidden="" ht="14" outlineLevel="0" r="19668">
      <c r="A19668" s="3" t="inlineStr">
        <is>
          <t>19620</t>
        </is>
      </c>
      <c r="B19668" s="4" t="s">
        <f>=HYPERLINK("http://anyluxury.ru/shop/odezhda/rubashki-polo/rubashka-polo-safran-temnosinyaya-pu409003/" , "PU409003 Рубашка поло Safran темно-синяя, размер XL")</f>
      </c>
      <c r="C19668" s="4" t="n">
        <v>1687.00</v>
      </c>
      <c r="D19668" s="4"/>
    </row>
    <row collapsed="" customFormat="false" customHeight="1" hidden="" ht="14" outlineLevel="0" r="19669">
      <c r="A19669" s="3" t="inlineStr">
        <is>
          <t>19621</t>
        </is>
      </c>
      <c r="B19669" s="4" t="s">
        <f>=HYPERLINK("http://anyluxury.ru/shop/odezhda/rubashki-polo/rubashka-polo-safran-temnosinyaya-pu409003/" , "PU409003 Рубашка поло Safran темно-синяя, размер XXL")</f>
      </c>
      <c r="C19669" s="4" t="n">
        <v>1687.00</v>
      </c>
      <c r="D19669" s="4"/>
    </row>
    <row collapsed="" customFormat="false" customHeight="1" hidden="" ht="14" outlineLevel="0" r="19670">
      <c r="A19670" s="3" t="inlineStr">
        <is>
          <t>19622</t>
        </is>
      </c>
      <c r="B19670" s="4" t="s">
        <f>=HYPERLINK("http://anyluxury.ru/shop/odezhda/rubashki-polo/rubashka-polo-safran-krasnaya-pu409004/" , "PU409004 Рубашка поло Safran красная, размер S")</f>
      </c>
      <c r="C19670" s="4" t="n">
        <v>1687.00</v>
      </c>
      <c r="D19670" s="4"/>
    </row>
    <row collapsed="" customFormat="false" customHeight="1" hidden="" ht="14" outlineLevel="0" r="19671">
      <c r="A19671" s="3" t="inlineStr">
        <is>
          <t>19623</t>
        </is>
      </c>
      <c r="B19671" s="4" t="s">
        <f>=HYPERLINK("http://anyluxury.ru/shop/odezhda/rubashki-polo/rubashka-polo-safran-krasnaya-pu409004/" , "PU409004 Рубашка поло Safran красная, размер M")</f>
      </c>
      <c r="C19671" s="4" t="n">
        <v>1687.00</v>
      </c>
      <c r="D19671" s="4"/>
    </row>
    <row collapsed="" customFormat="false" customHeight="1" hidden="" ht="14" outlineLevel="0" r="19672">
      <c r="A19672" s="3" t="inlineStr">
        <is>
          <t>19624</t>
        </is>
      </c>
      <c r="B19672" s="4" t="s">
        <f>=HYPERLINK("http://anyluxury.ru/shop/odezhda/rubashki-polo/rubashka-polo-safran-krasnaya-pu409004/" , "PU409004 Рубашка поло Safran красная, размер L")</f>
      </c>
      <c r="C19672" s="4" t="n">
        <v>1687.00</v>
      </c>
      <c r="D19672" s="4"/>
    </row>
    <row collapsed="" customFormat="false" customHeight="1" hidden="" ht="14" outlineLevel="0" r="19673">
      <c r="A19673" s="3" t="inlineStr">
        <is>
          <t>19625</t>
        </is>
      </c>
      <c r="B19673" s="4" t="s">
        <f>=HYPERLINK("http://anyluxury.ru/shop/odezhda/rubashki-polo/rubashka-polo-safran-krasnaya-pu409004/" , "PU409004 Рубашка поло Safran красная, размер XXL")</f>
      </c>
      <c r="C19673" s="4" t="n">
        <v>1687.00</v>
      </c>
      <c r="D19673" s="4"/>
    </row>
    <row collapsed="" customFormat="false" customHeight="1" hidden="" ht="14" outlineLevel="0" r="19674">
      <c r="A19674" s="3" t="inlineStr">
        <is>
          <t>19626</t>
        </is>
      </c>
      <c r="B19674" s="4" t="s">
        <f>=HYPERLINK("http://anyluxury.ru/shop/odezhda/rubashki-polo/rubashka-polo-safran-krasnaya-pu409004/" , "PU409004 Рубашка поло Safran красная, размер S")</f>
      </c>
      <c r="C19674" s="4" t="n">
        <v>1687.00</v>
      </c>
      <c r="D19674" s="4"/>
    </row>
    <row collapsed="" customFormat="false" customHeight="1" hidden="" ht="14" outlineLevel="0" r="19675">
      <c r="A19675" s="3" t="inlineStr">
        <is>
          <t>19627</t>
        </is>
      </c>
      <c r="B19675" s="4" t="s">
        <f>=HYPERLINK("http://anyluxury.ru/shop/odezhda/rubashki-polo/rubashka-polo-safran-krasnaya-pu409004/" , "PU409004 Рубашка поло Safran красная, размер M")</f>
      </c>
      <c r="C19675" s="4" t="n">
        <v>1687.00</v>
      </c>
      <c r="D19675" s="4"/>
    </row>
    <row collapsed="" customFormat="false" customHeight="1" hidden="" ht="14" outlineLevel="0" r="19676">
      <c r="A19676" s="3" t="inlineStr">
        <is>
          <t>19628</t>
        </is>
      </c>
      <c r="B19676" s="4" t="s">
        <f>=HYPERLINK("http://anyluxury.ru/shop/odezhda/rubashki-polo/rubashka-polo-safran-krasnaya-pu409004/" , "PU409004 Рубашка поло Safran красная, размер L")</f>
      </c>
      <c r="C19676" s="4" t="n">
        <v>1687.00</v>
      </c>
      <c r="D19676" s="4"/>
    </row>
    <row collapsed="" customFormat="false" customHeight="1" hidden="" ht="14" outlineLevel="0" r="19677">
      <c r="A19677" s="3" t="inlineStr">
        <is>
          <t>19629</t>
        </is>
      </c>
      <c r="B19677" s="4" t="s">
        <f>=HYPERLINK("http://anyluxury.ru/shop/odezhda/rubashki-polo/rubashka-polo-safran-krasnaya-pu409004/" , "PU409004 Рубашка поло Safran красная, размер XL")</f>
      </c>
      <c r="C19677" s="4" t="n">
        <v>1687.00</v>
      </c>
      <c r="D19677" s="4"/>
    </row>
    <row collapsed="" customFormat="false" customHeight="1" hidden="" ht="14" outlineLevel="0" r="19678">
      <c r="A19678" s="3" t="inlineStr">
        <is>
          <t>19630</t>
        </is>
      </c>
      <c r="B19678" s="4" t="s">
        <f>=HYPERLINK("http://anyluxury.ru/shop/odezhda/rubashki-polo/rubashka-polo-safran-krasnaya-pu409004/" , "PU409004 Рубашка поло Safran красная, размер XXL")</f>
      </c>
      <c r="C19678" s="4" t="n">
        <v>1687.00</v>
      </c>
      <c r="D19678" s="4"/>
    </row>
    <row collapsed="" customFormat="false" customHeight="1" hidden="" ht="14" outlineLevel="0" r="19679">
      <c r="A19679" s="3" t="inlineStr">
        <is>
          <t>19631</t>
        </is>
      </c>
      <c r="B19679" s="4" t="s">
        <f>=HYPERLINK("http://anyluxury.ru/shop/odezhda/rubashki-polo/rubashka-polo-safran-zheltaya-pu409210/" , "PU409210 Рубашка поло Safran желтая, размер S")</f>
      </c>
      <c r="C19679" s="4" t="n">
        <v>1687.00</v>
      </c>
      <c r="D19679" s="4"/>
    </row>
    <row collapsed="" customFormat="false" customHeight="1" hidden="" ht="14" outlineLevel="0" r="19680">
      <c r="A19680" s="3" t="inlineStr">
        <is>
          <t>19632</t>
        </is>
      </c>
      <c r="B19680" s="4" t="s">
        <f>=HYPERLINK("http://anyluxury.ru/shop/odezhda/rubashki-polo/rubashka-polo-safran-zheltaya-pu409210/" , "PU409210 Рубашка поло Safran желтая, размер M")</f>
      </c>
      <c r="C19680" s="4" t="n">
        <v>1687.00</v>
      </c>
      <c r="D19680" s="4"/>
    </row>
    <row collapsed="" customFormat="false" customHeight="1" hidden="" ht="14" outlineLevel="0" r="19681">
      <c r="A19681" s="3" t="inlineStr">
        <is>
          <t>19633</t>
        </is>
      </c>
      <c r="B19681" s="4" t="s">
        <f>=HYPERLINK("http://anyluxury.ru/shop/odezhda/rubashki-polo/rubashka-polo-safran-zheltaya-pu409210/" , "PU409210 Рубашка поло Safran желтая, размер XL")</f>
      </c>
      <c r="C19681" s="4" t="n">
        <v>1687.00</v>
      </c>
      <c r="D19681" s="4"/>
    </row>
    <row collapsed="" customFormat="false" customHeight="1" hidden="" ht="14" outlineLevel="0" r="19682">
      <c r="A19682" s="3" t="inlineStr">
        <is>
          <t>19634</t>
        </is>
      </c>
      <c r="B19682" s="4" t="s">
        <f>=HYPERLINK("http://anyluxury.ru/shop/odezhda/rubashki-polo/rubashka-polo-safran-zheltaya-pu409210/" , "PU409210 Рубашка поло Safran желтая, размер XXL")</f>
      </c>
      <c r="C19682" s="4" t="n">
        <v>1687.00</v>
      </c>
      <c r="D19682" s="4"/>
    </row>
    <row collapsed="" customFormat="false" customHeight="1" hidden="" ht="14" outlineLevel="0" r="19683">
      <c r="A19683" s="3" t="inlineStr">
        <is>
          <t>19635</t>
        </is>
      </c>
      <c r="B19683" s="4" t="s">
        <f>=HYPERLINK("http://anyluxury.ru/shop/odezhda/rubashki-polo/rubashka-polo-safran-zheltaya-pu409210/" , "PU409210 Рубашка поло Safran желтая, размер S")</f>
      </c>
      <c r="C19683" s="4" t="n">
        <v>1384.00</v>
      </c>
      <c r="D19683" s="4"/>
    </row>
    <row collapsed="" customFormat="false" customHeight="1" hidden="" ht="14" outlineLevel="0" r="19684">
      <c r="A19684" s="3" t="inlineStr">
        <is>
          <t>19636</t>
        </is>
      </c>
      <c r="B19684" s="4" t="s">
        <f>=HYPERLINK("http://anyluxury.ru/shop/odezhda/rubashki-polo/rubashka-polo-safran-zheltaya-pu409210/" , "PU409210 Рубашка поло Safran желтая, размер M")</f>
      </c>
      <c r="C19684" s="4" t="n">
        <v>1384.00</v>
      </c>
      <c r="D19684" s="4"/>
    </row>
    <row collapsed="" customFormat="false" customHeight="1" hidden="" ht="14" outlineLevel="0" r="19685">
      <c r="A19685" s="3" t="inlineStr">
        <is>
          <t>19637</t>
        </is>
      </c>
      <c r="B19685" s="4" t="s">
        <f>=HYPERLINK("http://anyluxury.ru/shop/odezhda/rubashki-polo/rubashka-polo-safran-zheltaya-pu409210/" , "PU409210 Рубашка поло Safran желтая, размер L")</f>
      </c>
      <c r="C19685" s="4" t="n">
        <v>1384.00</v>
      </c>
      <c r="D19685" s="4"/>
    </row>
    <row collapsed="" customFormat="false" customHeight="1" hidden="" ht="14" outlineLevel="0" r="19686">
      <c r="A19686" s="3" t="inlineStr">
        <is>
          <t>19638</t>
        </is>
      </c>
      <c r="B19686" s="4" t="s">
        <f>=HYPERLINK("http://anyluxury.ru/shop/odezhda/rubashki-polo/rubashka-polo-safran-zheltaya-pu409210/" , "PU409210 Рубашка поло Safran желтая, размер XL")</f>
      </c>
      <c r="C19686" s="4" t="n">
        <v>1384.00</v>
      </c>
      <c r="D19686" s="4"/>
    </row>
    <row collapsed="" customFormat="false" customHeight="1" hidden="" ht="14" outlineLevel="0" r="19687">
      <c r="A19687" s="3" t="inlineStr">
        <is>
          <t>19639</t>
        </is>
      </c>
      <c r="B19687" s="4" t="s">
        <f>=HYPERLINK("http://anyluxury.ru/shop/odezhda/rubashki-polo/rubashka-polo-safran-zheltaya-pu409210/" , "PU409210 Рубашка поло Safran желтая, размер XXL")</f>
      </c>
      <c r="C19687" s="4" t="n">
        <v>1384.00</v>
      </c>
      <c r="D19687" s="4"/>
    </row>
    <row collapsed="" customFormat="false" customHeight="1" hidden="" ht="14" outlineLevel="0" r="19688">
      <c r="A19688" s="3" t="inlineStr">
        <is>
          <t>19640</t>
        </is>
      </c>
      <c r="B19688" s="4" t="s">
        <f>=HYPERLINK("http://anyluxury.ru/shop/odezhda/rubashki-polo/rubashka-polo-safran-yarkosinyaya-pu409450/" , "PU409450 Рубашка поло Safran ярко-синяя, размер S")</f>
      </c>
      <c r="C19688" s="4" t="n">
        <v>1687.00</v>
      </c>
      <c r="D19688" s="4"/>
    </row>
    <row collapsed="" customFormat="false" customHeight="1" hidden="" ht="14" outlineLevel="0" r="19689">
      <c r="A19689" s="3" t="inlineStr">
        <is>
          <t>19641</t>
        </is>
      </c>
      <c r="B19689" s="4" t="s">
        <f>=HYPERLINK("http://anyluxury.ru/shop/odezhda/rubashki-polo/rubashka-polo-safran-yarkosinyaya-pu409450/" , "PU409450 Рубашка поло Safran ярко-синяя, размер M")</f>
      </c>
      <c r="C19689" s="4" t="n">
        <v>1687.00</v>
      </c>
      <c r="D19689" s="4"/>
    </row>
    <row collapsed="" customFormat="false" customHeight="1" hidden="" ht="14" outlineLevel="0" r="19690">
      <c r="A19690" s="3" t="inlineStr">
        <is>
          <t>19642</t>
        </is>
      </c>
      <c r="B19690" s="4" t="s">
        <f>=HYPERLINK("http://anyluxury.ru/shop/odezhda/rubashki-polo/rubashka-polo-safran-yarkosinyaya-pu409450/" , "PU409450 Рубашка поло Safran ярко-синяя, размер XL")</f>
      </c>
      <c r="C19690" s="4" t="n">
        <v>1687.00</v>
      </c>
      <c r="D19690" s="4"/>
    </row>
    <row collapsed="" customFormat="false" customHeight="1" hidden="" ht="14" outlineLevel="0" r="19691">
      <c r="A19691" s="3" t="inlineStr">
        <is>
          <t>19643</t>
        </is>
      </c>
      <c r="B19691" s="4" t="s">
        <f>=HYPERLINK("http://anyluxury.ru/shop/odezhda/rubashki-polo/rubashka-polo-safran-yarkosinyaya-pu409450/" , "PU409450 Рубашка поло Safran ярко-синяя, размер S")</f>
      </c>
      <c r="C19691" s="4" t="n">
        <v>1687.00</v>
      </c>
      <c r="D19691" s="4"/>
    </row>
    <row collapsed="" customFormat="false" customHeight="1" hidden="" ht="14" outlineLevel="0" r="19692">
      <c r="A19692" s="3" t="inlineStr">
        <is>
          <t>19644</t>
        </is>
      </c>
      <c r="B19692" s="4" t="s">
        <f>=HYPERLINK("http://anyluxury.ru/shop/odezhda/rubashki-polo/rubashka-polo-safran-yarkosinyaya-pu409450/" , "PU409450 Рубашка поло Safran ярко-синяя, размер M")</f>
      </c>
      <c r="C19692" s="4" t="n">
        <v>1687.00</v>
      </c>
      <c r="D19692" s="4"/>
    </row>
    <row collapsed="" customFormat="false" customHeight="1" hidden="" ht="14" outlineLevel="0" r="19693">
      <c r="A19693" s="3" t="inlineStr">
        <is>
          <t>19645</t>
        </is>
      </c>
      <c r="B19693" s="4" t="s">
        <f>=HYPERLINK("http://anyluxury.ru/shop/odezhda/rubashki-polo/rubashka-polo-safran-yarkosinyaya-pu409450/" , "PU409450 Рубашка поло Safran ярко-синяя, размер L")</f>
      </c>
      <c r="C19693" s="4" t="n">
        <v>1687.00</v>
      </c>
      <c r="D19693" s="4"/>
    </row>
    <row collapsed="" customFormat="false" customHeight="1" hidden="" ht="14" outlineLevel="0" r="19694">
      <c r="A19694" s="3" t="inlineStr">
        <is>
          <t>19646</t>
        </is>
      </c>
      <c r="B19694" s="4" t="s">
        <f>=HYPERLINK("http://anyluxury.ru/shop/odezhda/rubashki-polo/rubashka-polo-safran-yarkosinyaya-pu409450/" , "PU409450 Рубашка поло Safran ярко-синяя, размер XL")</f>
      </c>
      <c r="C19694" s="4" t="n">
        <v>1687.00</v>
      </c>
      <c r="D19694" s="4"/>
    </row>
    <row collapsed="" customFormat="false" customHeight="1" hidden="" ht="14" outlineLevel="0" r="19695">
      <c r="A19695" s="3" t="inlineStr">
        <is>
          <t>19647</t>
        </is>
      </c>
      <c r="B19695" s="4" t="s">
        <f>=HYPERLINK("http://anyluxury.ru/shop/odezhda/rubashki-polo/rubashka-polo-safran-yarkosinyaya-pu409450/" , "PU409450 Рубашка поло Safran ярко-синяя, размер XXL")</f>
      </c>
      <c r="C19695" s="4" t="n">
        <v>1687.00</v>
      </c>
      <c r="D19695" s="4"/>
    </row>
    <row collapsed="" customFormat="false" customHeight="1" hidden="" ht="14" outlineLevel="0" r="19696">
      <c r="A19696" s="3" t="inlineStr">
        <is>
          <t>19648</t>
        </is>
      </c>
      <c r="B19696" s="4" t="s">
        <f>=HYPERLINK("http://anyluxury.ru/shop/odezhda/rubashki-polo/rubashka-polo-safran-temnozelenaya-pu409540/" , "PU409540 Рубашка поло Safran темно-зеленая, размер S")</f>
      </c>
      <c r="C19696" s="4" t="n">
        <v>1687.00</v>
      </c>
      <c r="D19696" s="4"/>
    </row>
    <row collapsed="" customFormat="false" customHeight="1" hidden="" ht="14" outlineLevel="0" r="19697">
      <c r="A19697" s="3" t="inlineStr">
        <is>
          <t>19649</t>
        </is>
      </c>
      <c r="B19697" s="4" t="s">
        <f>=HYPERLINK("http://anyluxury.ru/shop/odezhda/rubashki-polo/rubashka-polo-safran-temnozelenaya-pu409540/" , "PU409540 Рубашка поло Safran темно-зеленая, размер XL")</f>
      </c>
      <c r="C19697" s="4" t="n">
        <v>1687.00</v>
      </c>
      <c r="D19697" s="4"/>
    </row>
    <row collapsed="" customFormat="false" customHeight="1" hidden="" ht="14" outlineLevel="0" r="19698">
      <c r="A19698" s="3" t="inlineStr">
        <is>
          <t>19650</t>
        </is>
      </c>
      <c r="B19698" s="4" t="s">
        <f>=HYPERLINK("http://anyluxury.ru/shop/odezhda/rubashki-polo/rubashka-polo-safran-temnozelenaya-pu409540/" , "PU409540 Рубашка поло Safran темно-зеленая, размер S")</f>
      </c>
      <c r="C19698" s="4" t="n">
        <v>1384.00</v>
      </c>
      <c r="D19698" s="4"/>
    </row>
    <row collapsed="" customFormat="false" customHeight="1" hidden="" ht="14" outlineLevel="0" r="19699">
      <c r="A19699" s="3" t="inlineStr">
        <is>
          <t>19651</t>
        </is>
      </c>
      <c r="B19699" s="4" t="s">
        <f>=HYPERLINK("http://anyluxury.ru/shop/odezhda/rubashki-polo/rubashka-polo-safran-temnozelenaya-pu409540/" , "PU409540 Рубашка поло Safran темно-зеленая, размер M")</f>
      </c>
      <c r="C19699" s="4" t="n">
        <v>1384.00</v>
      </c>
      <c r="D19699" s="4"/>
    </row>
    <row collapsed="" customFormat="false" customHeight="1" hidden="" ht="14" outlineLevel="0" r="19700">
      <c r="A19700" s="3" t="inlineStr">
        <is>
          <t>19652</t>
        </is>
      </c>
      <c r="B19700" s="4" t="s">
        <f>=HYPERLINK("http://anyluxury.ru/shop/odezhda/rubashki-polo/rubashka-polo-safran-temnozelenaya-pu409540/" , "PU409540 Рубашка поло Safran темно-зеленая, размер L")</f>
      </c>
      <c r="C19700" s="4" t="n">
        <v>1384.00</v>
      </c>
      <c r="D19700" s="4"/>
    </row>
    <row collapsed="" customFormat="false" customHeight="1" hidden="" ht="14" outlineLevel="0" r="19701">
      <c r="A19701" s="3" t="inlineStr">
        <is>
          <t>19653</t>
        </is>
      </c>
      <c r="B19701" s="4" t="s">
        <f>=HYPERLINK("http://anyluxury.ru/shop/odezhda/rubashki-polo/rubashka-polo-safran-temnozelenaya-pu409540/" , "PU409540 Рубашка поло Safran темно-зеленая, размер XL")</f>
      </c>
      <c r="C19701" s="4" t="n">
        <v>1687.00</v>
      </c>
      <c r="D19701" s="4"/>
    </row>
    <row collapsed="" customFormat="false" customHeight="1" hidden="" ht="14" outlineLevel="0" r="19702">
      <c r="A19702" s="3" t="inlineStr">
        <is>
          <t>19654</t>
        </is>
      </c>
      <c r="B19702" s="4" t="s">
        <f>=HYPERLINK("http://anyluxury.ru/shop/odezhda/rubashki-polo/rubashka-polo-safran-temnozelenaya-pu409540/" , "PU409540 Рубашка поло Safran темно-зеленая, размер XXL")</f>
      </c>
      <c r="C19702" s="4" t="n">
        <v>1687.00</v>
      </c>
      <c r="D19702" s="4"/>
    </row>
    <row collapsed="" customFormat="false" customHeight="1" hidden="" ht="14" outlineLevel="0" r="19703">
      <c r="A19703" s="3" t="inlineStr">
        <is>
          <t>19655</t>
        </is>
      </c>
      <c r="B19703" s="4" t="s">
        <f>=HYPERLINK("http://anyluxury.ru/shop/odezhda/rubashki-polo/rubashka-polo-zhenskaya-safran-pure-belaya-pw455001/" , "PW455001 Рубашка поло женская Safran Pure белая, размер XL")</f>
      </c>
      <c r="C19703" s="4" t="n">
        <v>1197.00</v>
      </c>
      <c r="D19703" s="4"/>
    </row>
    <row collapsed="" customFormat="false" customHeight="1" hidden="" ht="14" outlineLevel="0" r="19704">
      <c r="A19704" s="3" t="inlineStr">
        <is>
          <t>19656</t>
        </is>
      </c>
      <c r="B19704" s="4" t="s">
        <f>=HYPERLINK("http://anyluxury.ru/shop/odezhda/rubashki-polo/rubashka-polo-zhenskaya-safran-pure-belaya-pw455001/" , "PW455001 Рубашка поло женская Safran Pure белая, размер XXL")</f>
      </c>
      <c r="C19704" s="4" t="n">
        <v>1197.00</v>
      </c>
      <c r="D19704" s="4"/>
    </row>
    <row collapsed="" customFormat="false" customHeight="1" hidden="" ht="14" outlineLevel="0" r="19705">
      <c r="A19705" s="3" t="inlineStr">
        <is>
          <t>19657</t>
        </is>
      </c>
      <c r="B19705" s="4" t="s">
        <f>=HYPERLINK("http://anyluxury.ru/shop/odezhda/rubashki-polo/rubashka-polo-zhenskaya-safran-pure-krasnaya-pw455004/" , "PW455004 Рубашка поло женская Safran Pure красная, размер S")</f>
      </c>
      <c r="C19705" s="4" t="n">
        <v>1335.00</v>
      </c>
      <c r="D19705" s="4"/>
    </row>
    <row collapsed="" customFormat="false" customHeight="1" hidden="" ht="14" outlineLevel="0" r="19706">
      <c r="A19706" s="3" t="inlineStr">
        <is>
          <t>19658</t>
        </is>
      </c>
      <c r="B19706" s="4" t="s">
        <f>=HYPERLINK("http://anyluxury.ru/shop/odezhda/rubashki-polo/rubashka-polo-zhenskaya-safran-pure-krasnaya-pw455004/" , "PW455004 Рубашка поло женская Safran Pure красная, размер M")</f>
      </c>
      <c r="C19706" s="4" t="n">
        <v>1335.00</v>
      </c>
      <c r="D19706" s="4"/>
    </row>
    <row collapsed="" customFormat="false" customHeight="1" hidden="" ht="14" outlineLevel="0" r="19707">
      <c r="A19707" s="3" t="inlineStr">
        <is>
          <t>19659</t>
        </is>
      </c>
      <c r="B19707" s="4" t="s">
        <f>=HYPERLINK("http://anyluxury.ru/shop/odezhda/rubashki-polo/rubashka-polo-zhenskaya-safran-pure-krasnaya-pw455004/" , "PW455004 Рубашка поло женская Safran Pure красная, размер XL")</f>
      </c>
      <c r="C19707" s="4" t="n">
        <v>1335.00</v>
      </c>
      <c r="D19707" s="4"/>
    </row>
    <row collapsed="" customFormat="false" customHeight="1" hidden="" ht="14" outlineLevel="0" r="19708">
      <c r="A19708" s="3" t="inlineStr">
        <is>
          <t>19660</t>
        </is>
      </c>
      <c r="B19708" s="4" t="s">
        <f>=HYPERLINK("http://anyluxury.ru/shop/odezhda/rubashki-polo/rubashka-polo-zhenskaya-safran-pure-krasnaya-pw455004/" , "PW455004 Рубашка поло женская Safran Pure красная, размер XXL")</f>
      </c>
      <c r="C19708" s="4" t="n">
        <v>1335.00</v>
      </c>
      <c r="D19708" s="4"/>
    </row>
    <row collapsed="" customFormat="false" customHeight="1" hidden="" ht="14" outlineLevel="0" r="19709">
      <c r="A19709" s="3" t="inlineStr">
        <is>
          <t>19661</t>
        </is>
      </c>
      <c r="B19709" s="4" t="s">
        <f>=HYPERLINK("http://anyluxury.ru/shop/odezhda/rubashki-polo/rubashka-polo-zhenskaya-heavymill-belaya-pw460001/" , "PW460001 Рубашка поло женская Heavymill белая, размер S")</f>
      </c>
      <c r="C19709" s="4" t="n">
        <v>1927.00</v>
      </c>
      <c r="D19709" s="4"/>
    </row>
    <row collapsed="" customFormat="false" customHeight="1" hidden="" ht="14" outlineLevel="0" r="19710">
      <c r="A19710" s="3" t="inlineStr">
        <is>
          <t>19662</t>
        </is>
      </c>
      <c r="B19710" s="4" t="s">
        <f>=HYPERLINK("http://anyluxury.ru/shop/odezhda/rubashki-polo/rubashka-polo-zhenskaya-heavymill-belaya-pw460001/" , "PW460001 Рубашка поло женская Heavymill белая, размер M")</f>
      </c>
      <c r="C19710" s="4" t="n">
        <v>1927.00</v>
      </c>
      <c r="D19710" s="4"/>
    </row>
    <row collapsed="" customFormat="false" customHeight="1" hidden="" ht="14" outlineLevel="0" r="19711">
      <c r="A19711" s="3" t="inlineStr">
        <is>
          <t>19663</t>
        </is>
      </c>
      <c r="B19711" s="4" t="s">
        <f>=HYPERLINK("http://anyluxury.ru/shop/odezhda/rubashki-polo/rubashka-polo-zhenskaya-heavymill-belaya-pw460001/" , "PW460001 Рубашка поло женская Heavymill белая, размер L")</f>
      </c>
      <c r="C19711" s="4" t="n">
        <v>1927.00</v>
      </c>
      <c r="D19711" s="4"/>
    </row>
    <row collapsed="" customFormat="false" customHeight="1" hidden="" ht="14" outlineLevel="0" r="19712">
      <c r="A19712" s="3" t="inlineStr">
        <is>
          <t>19664</t>
        </is>
      </c>
      <c r="B19712" s="4" t="s">
        <f>=HYPERLINK("http://anyluxury.ru/shop/odezhda/rubashki-polo/rubashka-polo-zhenskaya-heavymill-belaya-pw460001/" , "PW460001 Рубашка поло женская Heavymill белая, размер XL")</f>
      </c>
      <c r="C19712" s="4" t="n">
        <v>1927.00</v>
      </c>
      <c r="D19712" s="4"/>
    </row>
    <row collapsed="" customFormat="false" customHeight="1" hidden="" ht="14" outlineLevel="0" r="19713">
      <c r="A19713" s="3" t="inlineStr">
        <is>
          <t>19665</t>
        </is>
      </c>
      <c r="B19713" s="4" t="s">
        <f>=HYPERLINK("http://anyluxury.ru/shop/odezhda/rubashki-polo/rubashka-polo-zhenskaya-heavymill-belaya-pw460001/" , "PW460001 Рубашка поло женская Heavymill белая, размер XXL")</f>
      </c>
      <c r="C19713" s="4" t="n">
        <v>1927.00</v>
      </c>
      <c r="D19713" s="4"/>
    </row>
    <row collapsed="" customFormat="false" customHeight="1" hidden="" ht="14" outlineLevel="0" r="19714">
      <c r="A19714" s="3" t="inlineStr">
        <is>
          <t>19666</t>
        </is>
      </c>
      <c r="B19714" s="4" t="s">
        <f>=HYPERLINK("http://anyluxury.ru/shop/odezhda/rubashki-polo/rubashka-polo-zhenskaya-heavymill-chernaya-pw460002/" , "PW460002 Рубашка поло женская Heavymill черная, размер S")</f>
      </c>
      <c r="C19714" s="4" t="n">
        <v>2107.00</v>
      </c>
      <c r="D19714" s="4"/>
    </row>
    <row collapsed="" customFormat="false" customHeight="1" hidden="" ht="14" outlineLevel="0" r="19715">
      <c r="A19715" s="3" t="inlineStr">
        <is>
          <t>19667</t>
        </is>
      </c>
      <c r="B19715" s="4" t="s">
        <f>=HYPERLINK("http://anyluxury.ru/shop/odezhda/rubashki-polo/rubashka-polo-zhenskaya-heavymill-chernaya-pw460002/" , "PW460002 Рубашка поло женская Heavymill черная, размер M")</f>
      </c>
      <c r="C19715" s="4" t="n">
        <v>2107.00</v>
      </c>
      <c r="D19715" s="4"/>
    </row>
    <row collapsed="" customFormat="false" customHeight="1" hidden="" ht="14" outlineLevel="0" r="19716">
      <c r="A19716" s="3" t="inlineStr">
        <is>
          <t>19668</t>
        </is>
      </c>
      <c r="B19716" s="4" t="s">
        <f>=HYPERLINK("http://anyluxury.ru/shop/odezhda/rubashki-polo/rubashka-polo-zhenskaya-heavymill-chernaya-pw460002/" , "PW460002 Рубашка поло женская Heavymill черная, размер L")</f>
      </c>
      <c r="C19716" s="4" t="n">
        <v>2107.00</v>
      </c>
      <c r="D19716" s="4"/>
    </row>
    <row collapsed="" customFormat="false" customHeight="1" hidden="" ht="14" outlineLevel="0" r="19717">
      <c r="A19717" s="3" t="inlineStr">
        <is>
          <t>19669</t>
        </is>
      </c>
      <c r="B19717" s="4" t="s">
        <f>=HYPERLINK("http://anyluxury.ru/shop/odezhda/rubashki-polo/rubashka-polo-zhenskaya-heavymill-chernaya-pw460002/" , "PW460002 Рубашка поло женская Heavymill черная, размер XL")</f>
      </c>
      <c r="C19717" s="4" t="n">
        <v>2107.00</v>
      </c>
      <c r="D19717" s="4"/>
    </row>
    <row collapsed="" customFormat="false" customHeight="1" hidden="" ht="14" outlineLevel="0" r="19718">
      <c r="A19718" s="3" t="inlineStr">
        <is>
          <t>19670</t>
        </is>
      </c>
      <c r="B19718" s="4" t="s">
        <f>=HYPERLINK("http://anyluxury.ru/shop/odezhda/rubashki-polo/rubashka-polo-zhenskaya-heavymill-temnosinyaya-pw460003/" , "PW460003 Рубашка поло женская Heavymill темно-синяя, размер S")</f>
      </c>
      <c r="C19718" s="4" t="n">
        <v>2107.00</v>
      </c>
      <c r="D19718" s="4"/>
    </row>
    <row collapsed="" customFormat="false" customHeight="1" hidden="" ht="14" outlineLevel="0" r="19719">
      <c r="A19719" s="3" t="inlineStr">
        <is>
          <t>19671</t>
        </is>
      </c>
      <c r="B19719" s="4" t="s">
        <f>=HYPERLINK("http://anyluxury.ru/shop/odezhda/rubashki-polo/rubashka-polo-zhenskaya-heavymill-temnosinyaya-pw460003/" , "PW460003 Рубашка поло женская Heavymill темно-синяя, размер M")</f>
      </c>
      <c r="C19719" s="4" t="n">
        <v>2107.00</v>
      </c>
      <c r="D19719" s="4"/>
    </row>
    <row collapsed="" customFormat="false" customHeight="1" hidden="" ht="14" outlineLevel="0" r="19720">
      <c r="A19720" s="3" t="inlineStr">
        <is>
          <t>19672</t>
        </is>
      </c>
      <c r="B19720" s="4" t="s">
        <f>=HYPERLINK("http://anyluxury.ru/shop/odezhda/rubashki-polo/rubashka-polo-zhenskaya-heavymill-temnosinyaya-pw460003/" , "PW460003 Рубашка поло женская Heavymill темно-синяя, размер L")</f>
      </c>
      <c r="C19720" s="4" t="n">
        <v>2107.00</v>
      </c>
      <c r="D19720" s="4"/>
    </row>
    <row collapsed="" customFormat="false" customHeight="1" hidden="" ht="14" outlineLevel="0" r="19721">
      <c r="A19721" s="3" t="inlineStr">
        <is>
          <t>19673</t>
        </is>
      </c>
      <c r="B19721" s="4" t="s">
        <f>=HYPERLINK("http://anyluxury.ru/shop/odezhda/rubashki-polo/rubashka-polo-zhenskaya-heavymill-temnosinyaya-pw460003/" , "PW460003 Рубашка поло женская Heavymill темно-синяя, размер XL")</f>
      </c>
      <c r="C19721" s="4" t="n">
        <v>2107.00</v>
      </c>
      <c r="D19721" s="4"/>
    </row>
    <row collapsed="" customFormat="false" customHeight="1" hidden="" ht="14" outlineLevel="0" r="19722">
      <c r="A19722" s="3" t="inlineStr">
        <is>
          <t>19674</t>
        </is>
      </c>
      <c r="B19722" s="4" t="s">
        <f>=HYPERLINK("http://anyluxury.ru/shop/odezhda/rubashki-polo/rubashka-polo-zhenskaya-dnm-forward-bordovaya-pwd31931/" , "PWD31931 Рубашка поло женская DNM Forward бордовая, размер XL")</f>
      </c>
      <c r="C19722" s="4" t="n">
        <v>1790.00</v>
      </c>
      <c r="D19722" s="4"/>
    </row>
    <row collapsed="" customFormat="false" customHeight="1" hidden="" ht="14" outlineLevel="0" r="19723">
      <c r="A19723" s="3" t="inlineStr">
        <is>
          <t>19675</t>
        </is>
      </c>
      <c r="B19723" s="4" t="s">
        <f>=HYPERLINK("http://anyluxury.ru/shop/odezhda/rubashki-polo/rubashka-polo-zhenskaya-id001-belaya-pwi11001/" , "PWI11001 Рубашка поло женская ID.001 белая, размер XL")</f>
      </c>
      <c r="C19723" s="4" t="n">
        <v>1011.00</v>
      </c>
      <c r="D19723" s="4"/>
    </row>
    <row collapsed="" customFormat="false" customHeight="1" hidden="" ht="14" outlineLevel="0" r="19724">
      <c r="A19724" s="3" t="inlineStr">
        <is>
          <t>19676</t>
        </is>
      </c>
      <c r="B19724" s="4" t="s">
        <f>=HYPERLINK("http://anyluxury.ru/shop/odezhda/rubashki-polo/rubashka-polo-zhenskaya-id001-krasnaya-pwi11004/" , "PWI11004 Рубашка поло женская ID.001 красная, размер XS")</f>
      </c>
      <c r="C19724" s="4" t="n">
        <v>1200.00</v>
      </c>
      <c r="D19724" s="4"/>
    </row>
    <row collapsed="" customFormat="false" customHeight="1" hidden="" ht="14" outlineLevel="0" r="19725">
      <c r="A19725" s="3" t="inlineStr">
        <is>
          <t>19677</t>
        </is>
      </c>
      <c r="B19725" s="4" t="s">
        <f>=HYPERLINK("http://anyluxury.ru/shop/odezhda/rubashki-polo/rubashka-polo-zhenskaya-id001-krasnaya-pwi11004/" , "PWI11004 Рубашка поло женская ID.001 красная, размер L")</f>
      </c>
      <c r="C19725" s="4" t="n">
        <v>1200.00</v>
      </c>
      <c r="D19725" s="4"/>
    </row>
    <row collapsed="" customFormat="false" customHeight="1" hidden="" ht="14" outlineLevel="0" r="19726">
      <c r="A19726" s="3" t="inlineStr">
        <is>
          <t>19678</t>
        </is>
      </c>
      <c r="B19726" s="4" t="s">
        <f>=HYPERLINK("http://anyluxury.ru/shop/odezhda/rubashki-polo/rubashka-polo-zhenskaya-id001-krasnaya-pwi11004/" , "PWI11004 Рубашка поло женская ID.001 красная, размер XL")</f>
      </c>
      <c r="C19726" s="4" t="n">
        <v>1200.00</v>
      </c>
      <c r="D19726" s="4"/>
    </row>
    <row collapsed="" customFormat="false" customHeight="1" hidden="" ht="14" outlineLevel="0" r="19727">
      <c r="A19727" s="3" t="inlineStr">
        <is>
          <t>19679</t>
        </is>
      </c>
      <c r="B19727" s="4" t="s">
        <f>=HYPERLINK("http://anyluxury.ru/shop/odezhda/rubashki-polo/rubashka-polo-zhenskaya-id001-krasnaya-pwi11004/" , "PWI11004 Рубашка поло женская ID.001 красная, размер XXL")</f>
      </c>
      <c r="C19727" s="4" t="n">
        <v>1200.00</v>
      </c>
      <c r="D19727" s="4"/>
    </row>
    <row collapsed="" customFormat="false" customHeight="1" hidden="" ht="14" outlineLevel="0" r="19728">
      <c r="A19728" s="3" t="inlineStr">
        <is>
          <t>19680</t>
        </is>
      </c>
      <c r="B19728" s="4" t="s">
        <f>=HYPERLINK("http://anyluxury.ru/shop/odezhda/rubashki-polo/rubashka-polo-zhenskaya-id001-yarkosinyaya-pwi11450/" , "PWI11450 Рубашка поло женская ID.001 ярко-синяя, размер M")</f>
      </c>
      <c r="C19728" s="4" t="n">
        <v>1200.00</v>
      </c>
      <c r="D19728" s="4"/>
    </row>
    <row collapsed="" customFormat="false" customHeight="1" hidden="" ht="14" outlineLevel="0" r="19729">
      <c r="A19729" s="3" t="inlineStr">
        <is>
          <t>19681</t>
        </is>
      </c>
      <c r="B19729" s="4" t="s">
        <f>=HYPERLINK("http://anyluxury.ru/shop/odezhda/rubashki-polo/rubashka-polo-zhenskaya-id001-yarkosinyaya-pwi11450/" , "PWI11450 Рубашка поло женская ID.001 ярко-синяя, размер XS")</f>
      </c>
      <c r="C19729" s="4" t="n">
        <v>1200.00</v>
      </c>
      <c r="D19729" s="4"/>
    </row>
    <row collapsed="" customFormat="false" customHeight="1" hidden="" ht="14" outlineLevel="0" r="19730">
      <c r="A19730" s="3" t="inlineStr">
        <is>
          <t>19682</t>
        </is>
      </c>
      <c r="B19730" s="4" t="s">
        <f>=HYPERLINK("http://anyluxury.ru/shop/odezhda/rubashki-polo/rubashka-polo-zhenskaya-id001-yarkosinyaya-pwi11450/" , "PWI11450 Рубашка поло женская ID.001 ярко-синяя, размер 3XL")</f>
      </c>
      <c r="C19730" s="4" t="n">
        <v>1528.00</v>
      </c>
      <c r="D19730" s="4"/>
    </row>
    <row collapsed="" customFormat="false" customHeight="1" hidden="" ht="14" outlineLevel="0" r="19731">
      <c r="A19731" s="3" t="inlineStr">
        <is>
          <t>19683</t>
        </is>
      </c>
      <c r="B19731" s="4" t="s">
        <f>=HYPERLINK("http://anyluxury.ru/shop/odezhda/rubashki-polo/rubashka-polo-safran-seriy-melanzh-pu409610/" , "PU409610 Рубашка поло Safran серый меланж, размер 3XL")</f>
      </c>
      <c r="C19731" s="4" t="n">
        <v>1687.00</v>
      </c>
      <c r="D19731" s="4"/>
    </row>
    <row collapsed="" customFormat="false" customHeight="1" hidden="" ht="14" outlineLevel="0" r="19732">
      <c r="A19732" s="3" t="inlineStr">
        <is>
          <t>19684</t>
        </is>
      </c>
      <c r="B19732" s="4" t="s">
        <f>=HYPERLINK("http://anyluxury.ru/shop/odezhda/rubashki-polo/rubashka-polo-safran-seriy-melanzh-pu409610/" , "PU409610 Рубашка поло Safran серый меланж, размер S")</f>
      </c>
      <c r="C19732" s="4" t="n">
        <v>1687.00</v>
      </c>
      <c r="D19732" s="4"/>
    </row>
    <row collapsed="" customFormat="false" customHeight="1" hidden="" ht="14" outlineLevel="0" r="19733">
      <c r="A19733" s="3" t="inlineStr">
        <is>
          <t>19685</t>
        </is>
      </c>
      <c r="B19733" s="4" t="s">
        <f>=HYPERLINK("http://anyluxury.ru/shop/odezhda/rubashki-polo/rubashka-polo-safran-seriy-melanzh-pu409610/" , "PU409610 Рубашка поло Safran серый меланж, размер 3XL")</f>
      </c>
      <c r="C19733" s="4" t="n">
        <v>1687.00</v>
      </c>
      <c r="D19733" s="4"/>
    </row>
    <row collapsed="" customFormat="false" customHeight="1" hidden="" ht="14" outlineLevel="0" r="19734">
      <c r="A19734" s="3" t="inlineStr">
        <is>
          <t>19686</t>
        </is>
      </c>
      <c r="B19734" s="4" t="s">
        <f>=HYPERLINK("http://anyluxury.ru/shop/odezhda/rubashki-polo/rubashka-polo-heavymill-chernaya-pu422002/" , "PU422002 Рубашка поло Heavymill черная, размер S")</f>
      </c>
      <c r="C19734" s="4" t="n">
        <v>1900.00</v>
      </c>
      <c r="D19734" s="4"/>
    </row>
    <row collapsed="" customFormat="false" customHeight="1" hidden="" ht="14" outlineLevel="0" r="19735">
      <c r="A19735" s="3" t="inlineStr">
        <is>
          <t>19687</t>
        </is>
      </c>
      <c r="B19735" s="4" t="s">
        <f>=HYPERLINK("http://anyluxury.ru/shop/odezhda/rubashki-polo/rubashka-polo-heavymill-chernaya-pu422002/" , "PU422002 Рубашка поло Heavymill черная, размер M")</f>
      </c>
      <c r="C19735" s="4" t="n">
        <v>1900.00</v>
      </c>
      <c r="D19735" s="4"/>
    </row>
    <row collapsed="" customFormat="false" customHeight="1" hidden="" ht="14" outlineLevel="0" r="19736">
      <c r="A19736" s="3" t="inlineStr">
        <is>
          <t>19688</t>
        </is>
      </c>
      <c r="B19736" s="4" t="s">
        <f>=HYPERLINK("http://anyluxury.ru/shop/odezhda/rubashki-polo/rubashka-polo-heavymill-chernaya-pu422002/" , "PU422002 Рубашка поло Heavymill черная, размер XXL")</f>
      </c>
      <c r="C19736" s="4" t="n">
        <v>1900.00</v>
      </c>
      <c r="D19736" s="4"/>
    </row>
    <row collapsed="" customFormat="false" customHeight="1" hidden="" ht="14" outlineLevel="0" r="19737">
      <c r="A19737" s="3" t="inlineStr">
        <is>
          <t>19689</t>
        </is>
      </c>
      <c r="B19737" s="4" t="s">
        <f>=HYPERLINK("http://anyluxury.ru/shop/odezhda/rubashki-polo/rubashka-polo-heavymill-chernaya-pu422002/" , "PU422002 Рубашка поло Heavymill черная, размер S")</f>
      </c>
      <c r="C19737" s="4" t="n">
        <v>2107.00</v>
      </c>
      <c r="D19737" s="4"/>
    </row>
    <row collapsed="" customFormat="false" customHeight="1" hidden="" ht="14" outlineLevel="0" r="19738">
      <c r="A19738" s="3" t="inlineStr">
        <is>
          <t>19690</t>
        </is>
      </c>
      <c r="B19738" s="4" t="s">
        <f>=HYPERLINK("http://anyluxury.ru/shop/odezhda/rubashki-polo/rubashka-polo-heavymill-chernaya-pu422002/" , "PU422002 Рубашка поло Heavymill черная, размер M")</f>
      </c>
      <c r="C19738" s="4" t="n">
        <v>2107.00</v>
      </c>
      <c r="D19738" s="4"/>
    </row>
    <row collapsed="" customFormat="false" customHeight="1" hidden="" ht="14" outlineLevel="0" r="19739">
      <c r="A19739" s="3" t="inlineStr">
        <is>
          <t>19691</t>
        </is>
      </c>
      <c r="B19739" s="4" t="s">
        <f>=HYPERLINK("http://anyluxury.ru/shop/odezhda/rubashki-polo/rubashka-polo-heavymill-chernaya-pu422002/" , "PU422002 Рубашка поло Heavymill черная, размер L")</f>
      </c>
      <c r="C19739" s="4" t="n">
        <v>1900.00</v>
      </c>
      <c r="D19739" s="4"/>
    </row>
    <row collapsed="" customFormat="false" customHeight="1" hidden="" ht="14" outlineLevel="0" r="19740">
      <c r="A19740" s="3" t="inlineStr">
        <is>
          <t>19692</t>
        </is>
      </c>
      <c r="B19740" s="4" t="s">
        <f>=HYPERLINK("http://anyluxury.ru/shop/odezhda/rubashki-polo/rubashka-polo-heavymill-chernaya-pu422002/" , "PU422002 Рубашка поло Heavymill черная, размер XXL")</f>
      </c>
      <c r="C19740" s="4" t="n">
        <v>2107.00</v>
      </c>
      <c r="D19740" s="4"/>
    </row>
    <row collapsed="" customFormat="false" customHeight="1" hidden="" ht="14" outlineLevel="0" r="19741">
      <c r="A19741" s="3" t="inlineStr">
        <is>
          <t>19693</t>
        </is>
      </c>
      <c r="B19741" s="4" t="s">
        <f>=HYPERLINK("http://anyluxury.ru/shop/odezhda/rubashki-polo/rubashka-polo-heavymill-temnosinyaya-pu422003/" , "PU422003 Рубашка поло Heavymill темно-синяя, размер S")</f>
      </c>
      <c r="C19741" s="4" t="n">
        <v>1900.00</v>
      </c>
      <c r="D19741" s="4"/>
    </row>
    <row collapsed="" customFormat="false" customHeight="1" hidden="" ht="14" outlineLevel="0" r="19742">
      <c r="A19742" s="3" t="inlineStr">
        <is>
          <t>19694</t>
        </is>
      </c>
      <c r="B19742" s="4" t="s">
        <f>=HYPERLINK("http://anyluxury.ru/shop/odezhda/rubashki-polo/rubashka-polo-heavymill-temnosinyaya-pu422003/" , "PU422003 Рубашка поло Heavymill темно-синяя, размер S")</f>
      </c>
      <c r="C19742" s="4" t="n">
        <v>2107.00</v>
      </c>
      <c r="D19742" s="4"/>
    </row>
    <row collapsed="" customFormat="false" customHeight="1" hidden="" ht="14" outlineLevel="0" r="19743">
      <c r="A19743" s="3" t="inlineStr">
        <is>
          <t>19695</t>
        </is>
      </c>
      <c r="B19743" s="4" t="s">
        <f>=HYPERLINK("http://anyluxury.ru/shop/odezhda/rubashki-polo/rubashka-polo-heavymill-temnosinyaya-pu422003/" , "PU422003 Рубашка поло Heavymill темно-синяя, размер L")</f>
      </c>
      <c r="C19743" s="4" t="n">
        <v>1900.00</v>
      </c>
      <c r="D19743" s="4"/>
    </row>
    <row collapsed="" customFormat="false" customHeight="1" hidden="" ht="14" outlineLevel="0" r="19744">
      <c r="A19744" s="3" t="inlineStr">
        <is>
          <t>19696</t>
        </is>
      </c>
      <c r="B19744" s="4" t="s">
        <f>=HYPERLINK("http://anyluxury.ru/shop/odezhda/rubashki-polo/rubashka-polo-heavymill-temnosinyaya-pu422003/" , "PU422003 Рубашка поло Heavymill темно-синяя, размер XL")</f>
      </c>
      <c r="C19744" s="4" t="n">
        <v>2107.00</v>
      </c>
      <c r="D19744" s="4"/>
    </row>
    <row collapsed="" customFormat="false" customHeight="1" hidden="" ht="14" outlineLevel="0" r="19745">
      <c r="A19745" s="3" t="inlineStr">
        <is>
          <t>19697</t>
        </is>
      </c>
      <c r="B19745" s="4" t="s">
        <f>=HYPERLINK("http://anyluxury.ru/shop/odezhda/rubashki-polo/rubashka-polo-heavymill-krasnaya-pu422004/" , "PU422004 Рубашка поло Heavymill красная, размер S")</f>
      </c>
      <c r="C19745" s="4" t="n">
        <v>1900.00</v>
      </c>
      <c r="D19745" s="4"/>
    </row>
    <row collapsed="" customFormat="false" customHeight="1" hidden="" ht="14" outlineLevel="0" r="19746">
      <c r="A19746" s="3" t="inlineStr">
        <is>
          <t>19698</t>
        </is>
      </c>
      <c r="B19746" s="4" t="s">
        <f>=HYPERLINK("http://anyluxury.ru/shop/odezhda/rubashki-polo/rubashka-polo-heavymill-krasnaya-pu422004/" , "PU422004 Рубашка поло Heavymill красная, размер M")</f>
      </c>
      <c r="C19746" s="4" t="n">
        <v>1900.00</v>
      </c>
      <c r="D19746" s="4"/>
    </row>
    <row collapsed="" customFormat="false" customHeight="1" hidden="" ht="14" outlineLevel="0" r="19747">
      <c r="A19747" s="3" t="inlineStr">
        <is>
          <t>19699</t>
        </is>
      </c>
      <c r="B19747" s="4" t="s">
        <f>=HYPERLINK("http://anyluxury.ru/shop/odezhda/rubashki-polo/rubashka-polo-heavymill-krasnaya-pu422004/" , "PU422004 Рубашка поло Heavymill красная, размер L")</f>
      </c>
      <c r="C19747" s="4" t="n">
        <v>1900.00</v>
      </c>
      <c r="D19747" s="4"/>
    </row>
    <row collapsed="" customFormat="false" customHeight="1" hidden="" ht="14" outlineLevel="0" r="19748">
      <c r="A19748" s="3" t="inlineStr">
        <is>
          <t>19700</t>
        </is>
      </c>
      <c r="B19748" s="4" t="s">
        <f>=HYPERLINK("http://anyluxury.ru/shop/odezhda/rubashki-polo/rubashka-polo-heavymill-krasnaya-pu422004/" , "PU422004 Рубашка поло Heavymill красная, размер XL")</f>
      </c>
      <c r="C19748" s="4" t="n">
        <v>1900.00</v>
      </c>
      <c r="D19748" s="4"/>
    </row>
    <row collapsed="" customFormat="false" customHeight="1" hidden="" ht="14" outlineLevel="0" r="19749">
      <c r="A19749" s="3" t="inlineStr">
        <is>
          <t>19701</t>
        </is>
      </c>
      <c r="B19749" s="4" t="s">
        <f>=HYPERLINK("http://anyluxury.ru/shop/odezhda/rubashki-polo/rubashka-polo-heavymill-krasnaya-pu422004/" , "PU422004 Рубашка поло Heavymill красная, размер XXL")</f>
      </c>
      <c r="C19749" s="4" t="n">
        <v>1900.00</v>
      </c>
      <c r="D19749" s="4"/>
    </row>
    <row collapsed="" customFormat="false" customHeight="1" hidden="" ht="14" outlineLevel="0" r="19750">
      <c r="A19750" s="3" t="inlineStr">
        <is>
          <t>19702</t>
        </is>
      </c>
      <c r="B19750" s="4" t="s">
        <f>=HYPERLINK("http://anyluxury.ru/shop/odezhda/rubashki-polo/rubashka-polo-heavymill-krasnaya-pu422004/" , "PU422004 Рубашка поло Heavymill красная, размер S")</f>
      </c>
      <c r="C19750" s="4" t="n">
        <v>2107.00</v>
      </c>
      <c r="D19750" s="4"/>
    </row>
    <row collapsed="" customFormat="false" customHeight="1" hidden="" ht="14" outlineLevel="0" r="19751">
      <c r="A19751" s="3" t="inlineStr">
        <is>
          <t>19703</t>
        </is>
      </c>
      <c r="B19751" s="4" t="s">
        <f>=HYPERLINK("http://anyluxury.ru/shop/odezhda/rubashki-polo/rubashka-polo-heavymill-krasnaya-pu422004/" , "PU422004 Рубашка поло Heavymill красная, размер M")</f>
      </c>
      <c r="C19751" s="4" t="n">
        <v>2107.00</v>
      </c>
      <c r="D19751" s="4"/>
    </row>
    <row collapsed="" customFormat="false" customHeight="1" hidden="" ht="14" outlineLevel="0" r="19752">
      <c r="A19752" s="3" t="inlineStr">
        <is>
          <t>19704</t>
        </is>
      </c>
      <c r="B19752" s="4" t="s">
        <f>=HYPERLINK("http://anyluxury.ru/shop/odezhda/rubashki-polo/rubashka-polo-heavymill-krasnaya-pu422004/" , "PU422004 Рубашка поло Heavymill красная, размер L")</f>
      </c>
      <c r="C19752" s="4" t="n">
        <v>2107.00</v>
      </c>
      <c r="D19752" s="4"/>
    </row>
    <row collapsed="" customFormat="false" customHeight="1" hidden="" ht="14" outlineLevel="0" r="19753">
      <c r="A19753" s="3" t="inlineStr">
        <is>
          <t>19705</t>
        </is>
      </c>
      <c r="B19753" s="4" t="s">
        <f>=HYPERLINK("http://anyluxury.ru/shop/odezhda/rubashki-polo/rubashka-polo-heavymill-krasnaya-pu422004/" , "PU422004 Рубашка поло Heavymill красная, размер XL")</f>
      </c>
      <c r="C19753" s="4" t="n">
        <v>2107.00</v>
      </c>
      <c r="D19753" s="4"/>
    </row>
    <row collapsed="" customFormat="false" customHeight="1" hidden="" ht="14" outlineLevel="0" r="19754">
      <c r="A19754" s="3" t="inlineStr">
        <is>
          <t>19706</t>
        </is>
      </c>
      <c r="B19754" s="4" t="s">
        <f>=HYPERLINK("http://anyluxury.ru/shop/odezhda/rubashki-polo/rubashka-polo-heavymill-krasnaya-pu422004/" , "PU422004 Рубашка поло Heavymill красная, размер XXL")</f>
      </c>
      <c r="C19754" s="4" t="n">
        <v>2107.00</v>
      </c>
      <c r="D19754" s="4"/>
    </row>
    <row collapsed="" customFormat="false" customHeight="1" hidden="" ht="14" outlineLevel="0" r="19755">
      <c r="A19755" s="3" t="inlineStr">
        <is>
          <t>19707</t>
        </is>
      </c>
      <c r="B19755" s="4" t="s">
        <f>=HYPERLINK("http://anyluxury.ru/shop/odezhda/rubashki-polo/rubashka-polo-heavymill-yarkosinyaya-pu422450/" , "PU422450 Рубашка поло Heavymill ярко-синяя, размер M")</f>
      </c>
      <c r="C19755" s="4" t="n">
        <v>1900.00</v>
      </c>
      <c r="D19755" s="4"/>
    </row>
    <row collapsed="" customFormat="false" customHeight="1" hidden="" ht="14" outlineLevel="0" r="19756">
      <c r="A19756" s="3" t="inlineStr">
        <is>
          <t>19708</t>
        </is>
      </c>
      <c r="B19756" s="4" t="s">
        <f>=HYPERLINK("http://anyluxury.ru/shop/odezhda/rubashki-polo/rubashka-polo-heavymill-yarkosinyaya-pu422450/" , "PU422450 Рубашка поло Heavymill ярко-синяя, размер L")</f>
      </c>
      <c r="C19756" s="4" t="n">
        <v>1900.00</v>
      </c>
      <c r="D19756" s="4"/>
    </row>
    <row collapsed="" customFormat="false" customHeight="1" hidden="" ht="14" outlineLevel="0" r="19757">
      <c r="A19757" s="3" t="inlineStr">
        <is>
          <t>19709</t>
        </is>
      </c>
      <c r="B19757" s="4" t="s">
        <f>=HYPERLINK("http://anyluxury.ru/shop/odezhda/rubashki-polo/rubashka-polo-heavymill-yarkosinyaya-pu422450/" , "PU422450 Рубашка поло Heavymill ярко-синяя, размер M")</f>
      </c>
      <c r="C19757" s="4" t="n">
        <v>1900.00</v>
      </c>
      <c r="D19757" s="4"/>
    </row>
    <row collapsed="" customFormat="false" customHeight="1" hidden="" ht="14" outlineLevel="0" r="19758">
      <c r="A19758" s="3" t="inlineStr">
        <is>
          <t>19710</t>
        </is>
      </c>
      <c r="B19758" s="4" t="s">
        <f>=HYPERLINK("http://anyluxury.ru/shop/odezhda/rubashki-polo/rubashka-polo-heavymill-yarkosinyaya-pu422450/" , "PU422450 Рубашка поло Heavymill ярко-синяя, размер L")</f>
      </c>
      <c r="C19758" s="4" t="n">
        <v>1900.00</v>
      </c>
      <c r="D19758" s="4"/>
    </row>
    <row collapsed="" customFormat="false" customHeight="1" hidden="" ht="14" outlineLevel="0" r="19759">
      <c r="A19759" s="3" t="inlineStr">
        <is>
          <t>19711</t>
        </is>
      </c>
      <c r="B19759" s="4" t="s">
        <f>=HYPERLINK("http://anyluxury.ru/shop/odezhda/rubashki-polo/rubashka-polo-heavymill-yarkosinyaya-pu422450/" , "PU422450 Рубашка поло Heavymill ярко-синяя, размер XL")</f>
      </c>
      <c r="C19759" s="4" t="n">
        <v>1900.00</v>
      </c>
      <c r="D19759" s="4"/>
    </row>
    <row collapsed="" customFormat="false" customHeight="1" hidden="" ht="14" outlineLevel="0" r="19760">
      <c r="A19760" s="3" t="inlineStr">
        <is>
          <t>19712</t>
        </is>
      </c>
      <c r="B19760" s="4" t="s">
        <f>=HYPERLINK("http://anyluxury.ru/shop/odezhda/rubashki-polo/rubashka-polo-heavymill-yarkosinyaya-pu422450/" , "PU422450 Рубашка поло Heavymill ярко-синяя, размер XXL")</f>
      </c>
      <c r="C19760" s="4" t="n">
        <v>1900.00</v>
      </c>
      <c r="D19760" s="4"/>
    </row>
    <row collapsed="" customFormat="false" customHeight="1" hidden="" ht="14" outlineLevel="0" r="19761">
      <c r="A19761" s="3" t="inlineStr">
        <is>
          <t>19713</t>
        </is>
      </c>
      <c r="B19761" s="4" t="s">
        <f>=HYPERLINK("http://anyluxury.ru/shop/odezhda/rubashki-polo/rubashka-polo-heavymill-seriy-melanzh-pu422610/" , "PU422610 Рубашка поло Heavymill серый меланж, размер S")</f>
      </c>
      <c r="C19761" s="4" t="n">
        <v>1900.00</v>
      </c>
      <c r="D19761" s="4"/>
    </row>
    <row collapsed="" customFormat="false" customHeight="1" hidden="" ht="14" outlineLevel="0" r="19762">
      <c r="A19762" s="3" t="inlineStr">
        <is>
          <t>19714</t>
        </is>
      </c>
      <c r="B19762" s="4" t="s">
        <f>=HYPERLINK("http://anyluxury.ru/shop/odezhda/rubashki-polo/rubashka-polo-heavymill-seriy-melanzh-pu422610/" , "PU422610 Рубашка поло Heavymill серый меланж, размер M")</f>
      </c>
      <c r="C19762" s="4" t="n">
        <v>1900.00</v>
      </c>
      <c r="D19762" s="4"/>
    </row>
    <row collapsed="" customFormat="false" customHeight="1" hidden="" ht="14" outlineLevel="0" r="19763">
      <c r="A19763" s="3" t="inlineStr">
        <is>
          <t>19715</t>
        </is>
      </c>
      <c r="B19763" s="4" t="s">
        <f>=HYPERLINK("http://anyluxury.ru/shop/odezhda/rubashki-polo/rubashka-polo-heavymill-seriy-melanzh-pu422610/" , "PU422610 Рубашка поло Heavymill серый меланж, размер XL")</f>
      </c>
      <c r="C19763" s="4" t="n">
        <v>1900.00</v>
      </c>
      <c r="D19763" s="4"/>
    </row>
    <row collapsed="" customFormat="false" customHeight="1" hidden="" ht="14" outlineLevel="0" r="19764">
      <c r="A19764" s="3" t="inlineStr">
        <is>
          <t>19716</t>
        </is>
      </c>
      <c r="B19764" s="4" t="s">
        <f>=HYPERLINK("http://anyluxury.ru/shop/odezhda/rubashki-polo/rubashka-polo-heavymill-seriy-melanzh-pu422610/" , "PU422610 Рубашка поло Heavymill серый меланж, размер XXL")</f>
      </c>
      <c r="C19764" s="4" t="n">
        <v>1900.00</v>
      </c>
      <c r="D19764" s="4"/>
    </row>
    <row collapsed="" customFormat="false" customHeight="1" hidden="" ht="14" outlineLevel="0" r="19765">
      <c r="A19765" s="3" t="inlineStr">
        <is>
          <t>19717</t>
        </is>
      </c>
      <c r="B19765" s="4" t="s">
        <f>=HYPERLINK("http://anyluxury.ru/shop/odezhda/rubashki-polo/rubashka-polo-heavymill-seriy-melanzh-pu422610/" , "PU422610 Рубашка поло Heavymill серый меланж, размер S")</f>
      </c>
      <c r="C19765" s="4" t="n">
        <v>2107.00</v>
      </c>
      <c r="D19765" s="4"/>
    </row>
    <row collapsed="" customFormat="false" customHeight="1" hidden="" ht="14" outlineLevel="0" r="19766">
      <c r="A19766" s="3" t="inlineStr">
        <is>
          <t>19718</t>
        </is>
      </c>
      <c r="B19766" s="4" t="s">
        <f>=HYPERLINK("http://anyluxury.ru/shop/odezhda/rubashki-polo/rubashka-polo-heavymill-seriy-melanzh-pu422610/" , "PU422610 Рубашка поло Heavymill серый меланж, размер M")</f>
      </c>
      <c r="C19766" s="4" t="n">
        <v>2107.00</v>
      </c>
      <c r="D19766" s="4"/>
    </row>
    <row collapsed="" customFormat="false" customHeight="1" hidden="" ht="14" outlineLevel="0" r="19767">
      <c r="A19767" s="3" t="inlineStr">
        <is>
          <t>19719</t>
        </is>
      </c>
      <c r="B19767" s="4" t="s">
        <f>=HYPERLINK("http://anyluxury.ru/shop/odezhda/rubashki-polo/rubashka-polo-heavymill-seriy-melanzh-pu422610/" , "PU422610 Рубашка поло Heavymill серый меланж, размер L")</f>
      </c>
      <c r="C19767" s="4" t="n">
        <v>2107.00</v>
      </c>
      <c r="D19767" s="4"/>
    </row>
    <row collapsed="" customFormat="false" customHeight="1" hidden="" ht="14" outlineLevel="0" r="19768">
      <c r="A19768" s="3" t="inlineStr">
        <is>
          <t>19720</t>
        </is>
      </c>
      <c r="B19768" s="4" t="s">
        <f>=HYPERLINK("http://anyluxury.ru/shop/odezhda/rubashki-polo/rubashka-polo-heavymill-seriy-melanzh-pu422610/" , "PU422610 Рубашка поло Heavymill серый меланж, размер XL")</f>
      </c>
      <c r="C19768" s="4" t="n">
        <v>2107.00</v>
      </c>
      <c r="D19768" s="4"/>
    </row>
    <row collapsed="" customFormat="false" customHeight="1" hidden="" ht="14" outlineLevel="0" r="19769">
      <c r="A19769" s="3" t="inlineStr">
        <is>
          <t>19721</t>
        </is>
      </c>
      <c r="B19769" s="4" t="s">
        <f>=HYPERLINK("http://anyluxury.ru/shop/odezhda/rubashki-polo/rubashka-polo-heavymill-seriy-melanzh-pu422610/" , "PU422610 Рубашка поло Heavymill серый меланж, размер XXL")</f>
      </c>
      <c r="C19769" s="4" t="n">
        <v>2107.00</v>
      </c>
      <c r="D19769" s="4"/>
    </row>
    <row collapsed="" customFormat="false" customHeight="1" hidden="" ht="14" outlineLevel="0" r="19770">
      <c r="A19770" s="3" t="inlineStr">
        <is>
          <t>19722</t>
        </is>
      </c>
      <c r="B19770" s="4" t="s">
        <f>=HYPERLINK("http://anyluxury.ru/shop/odezhda/rubashki-polo/rubashka-polo-id001-chernaya-pui10002/" , "PUI10002 Рубашка поло ID.001 черная, размер S")</f>
      </c>
      <c r="C19770" s="4" t="n">
        <v>1190.00</v>
      </c>
      <c r="D19770" s="4"/>
    </row>
    <row collapsed="" customFormat="false" customHeight="1" hidden="" ht="14" outlineLevel="0" r="19771">
      <c r="A19771" s="3" t="inlineStr">
        <is>
          <t>19723</t>
        </is>
      </c>
      <c r="B19771" s="4" t="s">
        <f>=HYPERLINK("http://anyluxury.ru/shop/odezhda/rubashki-polo/rubashka-polo-id001-chernaya-pui10002/" , "PUI10002 Рубашка поло ID.001 черная, размер XXL")</f>
      </c>
      <c r="C19771" s="4" t="n">
        <v>1190.00</v>
      </c>
      <c r="D19771" s="4"/>
    </row>
    <row collapsed="" customFormat="false" customHeight="1" hidden="" ht="14" outlineLevel="0" r="19772">
      <c r="A19772" s="3" t="inlineStr">
        <is>
          <t>19724</t>
        </is>
      </c>
      <c r="B19772" s="4" t="s">
        <f>=HYPERLINK("http://anyluxury.ru/shop/odezhda/rubashki-polo/rubashka-polo-id001-chernaya-pui10002/" , "PUI10002 Рубашка поло ID.001 черная, размер S")</f>
      </c>
      <c r="C19772" s="4" t="n">
        <v>1190.00</v>
      </c>
      <c r="D19772" s="4"/>
    </row>
    <row collapsed="" customFormat="false" customHeight="1" hidden="" ht="14" outlineLevel="0" r="19773">
      <c r="A19773" s="3" t="inlineStr">
        <is>
          <t>19725</t>
        </is>
      </c>
      <c r="B19773" s="4" t="s">
        <f>=HYPERLINK("http://anyluxury.ru/shop/odezhda/rubashki-polo/rubashka-polo-id001-chernaya-pui10002/" , "PUI10002 Рубашка поло ID.001 черная, размер XL")</f>
      </c>
      <c r="C19773" s="4" t="n">
        <v>1190.00</v>
      </c>
      <c r="D19773" s="4"/>
    </row>
    <row collapsed="" customFormat="false" customHeight="1" hidden="" ht="14" outlineLevel="0" r="19774">
      <c r="A19774" s="3" t="inlineStr">
        <is>
          <t>19726</t>
        </is>
      </c>
      <c r="B19774" s="4" t="s">
        <f>=HYPERLINK("http://anyluxury.ru/shop/odezhda/rubashki-polo/rubashka-polo-id001-chernaya-pui10002/" , "PUI10002 Рубашка поло ID.001 черная, размер XXL")</f>
      </c>
      <c r="C19774" s="4" t="n">
        <v>1190.00</v>
      </c>
      <c r="D19774" s="4"/>
    </row>
    <row collapsed="" customFormat="false" customHeight="1" hidden="" ht="14" outlineLevel="0" r="19775">
      <c r="A19775" s="3" t="inlineStr">
        <is>
          <t>19727</t>
        </is>
      </c>
      <c r="B19775" s="4" t="s">
        <f>=HYPERLINK("http://anyluxury.ru/shop/odezhda/rubashki-polo/rubashka-polo-id001-temnosinyaya-pui10003/" , "PUI10003 Рубашка поло ID.001 темно-синяя, размер S")</f>
      </c>
      <c r="C19775" s="4" t="n">
        <v>1190.00</v>
      </c>
      <c r="D19775" s="4"/>
    </row>
    <row collapsed="" customFormat="false" customHeight="1" hidden="" ht="14" outlineLevel="0" r="19776">
      <c r="A19776" s="3" t="inlineStr">
        <is>
          <t>19728</t>
        </is>
      </c>
      <c r="B19776" s="4" t="s">
        <f>=HYPERLINK("http://anyluxury.ru/shop/odezhda/rubashki-polo/rubashka-polo-id001-temnosinyaya-pui10003/" , "PUI10003 Рубашка поло ID.001 темно-синяя, размер S")</f>
      </c>
      <c r="C19776" s="4" t="n">
        <v>1190.00</v>
      </c>
      <c r="D19776" s="4"/>
    </row>
    <row collapsed="" customFormat="false" customHeight="1" hidden="" ht="14" outlineLevel="0" r="19777">
      <c r="A19777" s="3" t="inlineStr">
        <is>
          <t>19729</t>
        </is>
      </c>
      <c r="B19777" s="4" t="s">
        <f>=HYPERLINK("http://anyluxury.ru/shop/odezhda/rubashki-polo/rubashka-polo-id001-temnosinyaya-pui10003/" , "PUI10003 Рубашка поло ID.001 темно-синяя, размер M")</f>
      </c>
      <c r="C19777" s="4" t="n">
        <v>1190.00</v>
      </c>
      <c r="D19777" s="4"/>
    </row>
    <row collapsed="" customFormat="false" customHeight="1" hidden="" ht="14" outlineLevel="0" r="19778">
      <c r="A19778" s="3" t="inlineStr">
        <is>
          <t>19730</t>
        </is>
      </c>
      <c r="B19778" s="4" t="s">
        <f>=HYPERLINK("http://anyluxury.ru/shop/odezhda/rubashki-polo/rubashka-polo-id001-temnosinyaya-pui10003/" , "PUI10003 Рубашка поло ID.001 темно-синяя, размер XXL")</f>
      </c>
      <c r="C19778" s="4" t="n">
        <v>1190.00</v>
      </c>
      <c r="D19778" s="4"/>
    </row>
    <row collapsed="" customFormat="false" customHeight="1" hidden="" ht="14" outlineLevel="0" r="19779">
      <c r="A19779" s="3" t="inlineStr">
        <is>
          <t>19731</t>
        </is>
      </c>
      <c r="B19779" s="4" t="s">
        <f>=HYPERLINK("http://anyluxury.ru/shop/odezhda/rubashki-polo/rubashka-polo-id001-temnosinyaya-pui10003/" , "PUI10003 Рубашка поло ID.001 темно-синяя, размер 3XL")</f>
      </c>
      <c r="C19779" s="4" t="n">
        <v>1450.00</v>
      </c>
      <c r="D19779" s="4"/>
    </row>
    <row collapsed="" customFormat="false" customHeight="1" hidden="" ht="14" outlineLevel="0" r="19780">
      <c r="A19780" s="3" t="inlineStr">
        <is>
          <t>19732</t>
        </is>
      </c>
      <c r="B19780" s="4" t="s">
        <f>=HYPERLINK("http://anyluxury.ru/shop/odezhda/rubashki-polo/rubashka-polo-id001-biryuzovaya-pui10441/" , "PUI10441 Рубашка поло ID.001 бирюзовая, размер XL")</f>
      </c>
      <c r="C19780" s="4" t="n">
        <v>1190.00</v>
      </c>
      <c r="D19780" s="4"/>
    </row>
    <row collapsed="" customFormat="false" customHeight="1" hidden="" ht="14" outlineLevel="0" r="19781">
      <c r="A19781" s="3" t="inlineStr">
        <is>
          <t>19733</t>
        </is>
      </c>
      <c r="B19781" s="4" t="s">
        <f>=HYPERLINK("http://anyluxury.ru/shop/odezhda/rubashki-polo/rubashka-polo-id001-biryuzovaya-pui10441/" , "PUI10441 Рубашка поло ID.001 бирюзовая, размер XXL")</f>
      </c>
      <c r="C19781" s="4" t="n">
        <v>1190.00</v>
      </c>
      <c r="D19781" s="4"/>
    </row>
    <row collapsed="" customFormat="false" customHeight="1" hidden="" ht="14" outlineLevel="0" r="19782">
      <c r="A19782" s="3" t="inlineStr">
        <is>
          <t>19734</t>
        </is>
      </c>
      <c r="B19782" s="4" t="s">
        <f>=HYPERLINK("http://anyluxury.ru/shop/odezhda/rubashki-polo/rubashka-polo-id001-biryuzovaya-pui10441/" , "PUI10441 Рубашка поло ID.001 бирюзовая, размер L")</f>
      </c>
      <c r="C19782" s="4" t="n">
        <v>1190.00</v>
      </c>
      <c r="D19782" s="4"/>
    </row>
    <row collapsed="" customFormat="false" customHeight="1" hidden="" ht="14" outlineLevel="0" r="19783">
      <c r="A19783" s="3" t="inlineStr">
        <is>
          <t>19735</t>
        </is>
      </c>
      <c r="B19783" s="4" t="s">
        <f>=HYPERLINK("http://anyluxury.ru/shop/odezhda/rubashki-polo/rubashka-polo-id001-biryuzovaya-pui10441/" , "PUI10441 Рубашка поло ID.001 бирюзовая, размер XL")</f>
      </c>
      <c r="C19783" s="4" t="n">
        <v>1190.00</v>
      </c>
      <c r="D19783" s="4"/>
    </row>
    <row collapsed="" customFormat="false" customHeight="1" hidden="" ht="14" outlineLevel="0" r="19784">
      <c r="A19784" s="3" t="inlineStr">
        <is>
          <t>19736</t>
        </is>
      </c>
      <c r="B19784" s="4" t="s">
        <f>=HYPERLINK("http://anyluxury.ru/shop/odezhda/rubashki-polo/rubashka-polo-id001-biryuzovaya-pui10441/" , "PUI10441 Рубашка поло ID.001 бирюзовая, размер XXL")</f>
      </c>
      <c r="C19784" s="4" t="n">
        <v>1190.00</v>
      </c>
      <c r="D19784" s="4"/>
    </row>
    <row collapsed="" customFormat="false" customHeight="1" hidden="" ht="14" outlineLevel="0" r="19785">
      <c r="A19785" s="3" t="inlineStr">
        <is>
          <t>19737</t>
        </is>
      </c>
      <c r="B19785" s="4" t="s">
        <f>=HYPERLINK("http://anyluxury.ru/shop/odezhda/rubashki-polo/rubashka-polo-id001-yarkosinyaya-pui10450/" , "PUI10450 Рубашка поло ID.001 ярко-синяя, размер M")</f>
      </c>
      <c r="C19785" s="4" t="n">
        <v>1190.00</v>
      </c>
      <c r="D19785" s="4"/>
    </row>
    <row collapsed="" customFormat="false" customHeight="1" hidden="" ht="14" outlineLevel="0" r="19786">
      <c r="A19786" s="3" t="inlineStr">
        <is>
          <t>19738</t>
        </is>
      </c>
      <c r="B19786" s="4" t="s">
        <f>=HYPERLINK("http://anyluxury.ru/shop/odezhda/rubashki-polo/rubashka-polo-id001-yarkosinyaya-pui10450/" , "PUI10450 Рубашка поло ID.001 ярко-синяя, размер S")</f>
      </c>
      <c r="C19786" s="4" t="n">
        <v>1190.00</v>
      </c>
      <c r="D19786" s="4"/>
    </row>
    <row collapsed="" customFormat="false" customHeight="1" hidden="" ht="14" outlineLevel="0" r="19787">
      <c r="A19787" s="3" t="inlineStr">
        <is>
          <t>19739</t>
        </is>
      </c>
      <c r="B19787" s="4" t="s">
        <f>=HYPERLINK("http://anyluxury.ru/shop/odezhda/rubashki-polo/rubashka-polo-id001-yarkosinyaya-pui10450/" , "PUI10450 Рубашка поло ID.001 ярко-синяя, размер M")</f>
      </c>
      <c r="C19787" s="4" t="n">
        <v>1190.00</v>
      </c>
      <c r="D19787" s="4"/>
    </row>
    <row collapsed="" customFormat="false" customHeight="1" hidden="" ht="14" outlineLevel="0" r="19788">
      <c r="A19788" s="3" t="inlineStr">
        <is>
          <t>19740</t>
        </is>
      </c>
      <c r="B19788" s="4" t="s">
        <f>=HYPERLINK("http://anyluxury.ru/shop/odezhda/rubashki-polo/rubashka-polo-id001-yarkosinyaya-pui10450/" , "PUI10450 Рубашка поло ID.001 ярко-синяя, размер XL")</f>
      </c>
      <c r="C19788" s="4" t="n">
        <v>1190.00</v>
      </c>
      <c r="D19788" s="4"/>
    </row>
    <row collapsed="" customFormat="false" customHeight="1" hidden="" ht="14" outlineLevel="0" r="19789">
      <c r="A19789" s="3" t="inlineStr">
        <is>
          <t>19741</t>
        </is>
      </c>
      <c r="B19789" s="4" t="s">
        <f>=HYPERLINK("http://anyluxury.ru/shop/odezhda/rubashki-polo/rubashka-polo-id001-yarkosinyaya-pui10450/" , "PUI10450 Рубашка поло ID.001 ярко-синяя, размер XXL")</f>
      </c>
      <c r="C19789" s="4" t="n">
        <v>1190.00</v>
      </c>
      <c r="D19789" s="4"/>
    </row>
    <row collapsed="" customFormat="false" customHeight="1" hidden="" ht="14" outlineLevel="0" r="19790">
      <c r="A19790" s="3" t="inlineStr">
        <is>
          <t>19742</t>
        </is>
      </c>
      <c r="B19790" s="4" t="s">
        <f>=HYPERLINK("http://anyluxury.ru/shop/odezhda/rubashki-polo/rubashka-polo-id001-yarkosinyaya-pui10450/" , "PUI10450 Рубашка поло ID.001 ярко-синяя, размер 3XL")</f>
      </c>
      <c r="C19790" s="4" t="n">
        <v>1450.00</v>
      </c>
      <c r="D19790" s="4"/>
    </row>
    <row collapsed="" customFormat="false" customHeight="1" hidden="" ht="14" outlineLevel="0" r="19791">
      <c r="A19791" s="3" t="inlineStr">
        <is>
          <t>19743</t>
        </is>
      </c>
      <c r="B19791" s="4" t="s">
        <f>=HYPERLINK("http://anyluxury.ru/shop/odezhda/rubashki-polo/rubashka-polo-muzhskaya-paname-men-cherniy-melanzh-02081311/" , "02081311 Рубашка поло мужская PANAME MEN черный меланж, размер L")</f>
      </c>
      <c r="C19791" s="4" t="n">
        <v>2518.00</v>
      </c>
      <c r="D19791" s="4"/>
    </row>
    <row collapsed="" customFormat="false" customHeight="1" hidden="" ht="14" outlineLevel="0" r="19792">
      <c r="A19792" s="3" t="inlineStr">
        <is>
          <t>19744</t>
        </is>
      </c>
      <c r="B19792" s="4" t="s">
        <f>=HYPERLINK("http://anyluxury.ru/shop/odezhda/rubashki-polo/rubashka-polo-muzhskaya-paname-men-cherniy-melanzh-02081311/" , "02081311 Рубашка поло мужская PANAME MEN черный меланж, размер XXL")</f>
      </c>
      <c r="C19792" s="4" t="n">
        <v>2518.00</v>
      </c>
      <c r="D19792" s="4"/>
    </row>
    <row collapsed="" customFormat="false" customHeight="1" hidden="" ht="14" outlineLevel="0" r="19793">
      <c r="A19793" s="3" t="inlineStr">
        <is>
          <t>19745</t>
        </is>
      </c>
      <c r="B19793" s="4" t="s">
        <f>=HYPERLINK("http://anyluxury.ru/shop/odezhda/rubashki-polo/rubashka-polo-muzhskaya-paname-men-cherniy-melanzh-02081311/" , "02081311 Рубашка поло мужская PANAME MEN черный меланж, размер 3XL")</f>
      </c>
      <c r="C19793" s="4" t="n">
        <v>2892.00</v>
      </c>
      <c r="D19793" s="4"/>
    </row>
    <row collapsed="" customFormat="false" customHeight="1" hidden="" ht="14" outlineLevel="0" r="19794">
      <c r="A19794" s="3" t="inlineStr">
        <is>
          <t>19746</t>
        </is>
      </c>
      <c r="B19794" s="4" t="s">
        <f>=HYPERLINK("http://anyluxury.ru/shop/odezhda/rubashki-polo/rubashka-polo-muzhskaya-paname-men-goluboy-melanzh-02081218/" , "02081218 Рубашка поло мужская PANAME MEN голубой меланж, размер S")</f>
      </c>
      <c r="C19794" s="4" t="n">
        <v>2518.00</v>
      </c>
      <c r="D19794" s="4"/>
    </row>
    <row collapsed="" customFormat="false" customHeight="1" hidden="" ht="14" outlineLevel="0" r="19795">
      <c r="A19795" s="3" t="inlineStr">
        <is>
          <t>19747</t>
        </is>
      </c>
      <c r="B19795" s="4" t="s">
        <f>=HYPERLINK("http://anyluxury.ru/shop/odezhda/rubashki-polo/rubashka-polo-muzhskaya-paname-men-goluboy-melanzh-02081218/" , "02081218 Рубашка поло мужская PANAME MEN голубой меланж, размер XL")</f>
      </c>
      <c r="C19795" s="4" t="n">
        <v>2518.00</v>
      </c>
      <c r="D19795" s="4"/>
    </row>
    <row collapsed="" customFormat="false" customHeight="1" hidden="" ht="14" outlineLevel="0" r="19796">
      <c r="A19796" s="3" t="inlineStr">
        <is>
          <t>19748</t>
        </is>
      </c>
      <c r="B19796" s="4" t="s">
        <f>=HYPERLINK("http://anyluxury.ru/shop/odezhda/rubashki-polo/rubashka-polo-muzhskaya-paname-men-goluboy-melanzh-02081218/" , "02081218 Рубашка поло мужская PANAME MEN голубой меланж, размер 3XL")</f>
      </c>
      <c r="C19796" s="4" t="n">
        <v>2892.00</v>
      </c>
      <c r="D19796" s="4"/>
    </row>
    <row collapsed="" customFormat="false" customHeight="1" hidden="" ht="14" outlineLevel="0" r="19797">
      <c r="A19797" s="3" t="inlineStr">
        <is>
          <t>19749</t>
        </is>
      </c>
      <c r="B19797" s="4" t="s">
        <f>=HYPERLINK("http://anyluxury.ru/shop/odezhda/rubashki-polo/rubashka-polo-zhenskaya-paname-women-cherniy-melanzh-02082311/" , "02082311 Рубашка поло женская PANAME WOMEN черный меланж, размер S")</f>
      </c>
      <c r="C19797" s="4" t="n">
        <v>2484.00</v>
      </c>
      <c r="D19797" s="4"/>
    </row>
    <row collapsed="" customFormat="false" customHeight="1" hidden="" ht="14" outlineLevel="0" r="19798">
      <c r="A19798" s="3" t="inlineStr">
        <is>
          <t>19750</t>
        </is>
      </c>
      <c r="B19798" s="4" t="s">
        <f>=HYPERLINK("http://anyluxury.ru/shop/odezhda/rubashki-polo/rubashka-polo-zhenskaya-paname-women-cherniy-melanzh-02082311/" , "02082311 Рубашка поло женская PANAME WOMEN черный меланж, размер M")</f>
      </c>
      <c r="C19798" s="4" t="n">
        <v>2484.00</v>
      </c>
      <c r="D19798" s="4"/>
    </row>
    <row collapsed="" customFormat="false" customHeight="1" hidden="" ht="14" outlineLevel="0" r="19799">
      <c r="A19799" s="3" t="inlineStr">
        <is>
          <t>19751</t>
        </is>
      </c>
      <c r="B19799" s="4" t="s">
        <f>=HYPERLINK("http://anyluxury.ru/shop/odezhda/rubashki-polo/rubashka-polo-zhenskaya-paname-women-cherniy-melanzh-02082311/" , "02082311 Рубашка поло женская PANAME WOMEN черный меланж, размер L")</f>
      </c>
      <c r="C19799" s="4" t="n">
        <v>2484.00</v>
      </c>
      <c r="D19799" s="4"/>
    </row>
    <row collapsed="" customFormat="false" customHeight="1" hidden="" ht="14" outlineLevel="0" r="19800">
      <c r="A19800" s="3" t="inlineStr">
        <is>
          <t>19752</t>
        </is>
      </c>
      <c r="B19800" s="4" t="s">
        <f>=HYPERLINK("http://anyluxury.ru/shop/odezhda/rubashki-polo/rubashka-polo-zhenskaya-paname-women-cherniy-melanzh-02082311/" , "02082311 Рубашка поло женская PANAME WOMEN черный меланж, размер XL")</f>
      </c>
      <c r="C19800" s="4" t="n">
        <v>2484.00</v>
      </c>
      <c r="D19800" s="4"/>
    </row>
    <row collapsed="" customFormat="false" customHeight="1" hidden="" ht="14" outlineLevel="0" r="19801">
      <c r="A19801" s="3" t="inlineStr">
        <is>
          <t>19753</t>
        </is>
      </c>
      <c r="B19801" s="4" t="s">
        <f>=HYPERLINK("http://anyluxury.ru/shop/odezhda/rubashki-polo/rubashka-polo-zhenskaya-paname-women-cherniy-melanzh-02082311/" , "02082311 Рубашка поло женская PANAME WOMEN черный меланж, размер XXL")</f>
      </c>
      <c r="C19801" s="4" t="n">
        <v>2484.00</v>
      </c>
      <c r="D19801" s="4"/>
    </row>
    <row collapsed="" customFormat="false" customHeight="1" hidden="" ht="14" outlineLevel="0" r="19802">
      <c r="A19802" s="3" t="inlineStr">
        <is>
          <t>19754</t>
        </is>
      </c>
      <c r="B19802" s="4" t="s">
        <f>=HYPERLINK("http://anyluxury.ru/shop/odezhda/rubashki-polo/rubashka-polo-zhenskaya-paname-women-goluboy-melanzh-02082218/" , "02082218 Рубашка поло женская PANAME WOMEN голубой меланж, размер S")</f>
      </c>
      <c r="C19802" s="4" t="n">
        <v>2484.00</v>
      </c>
      <c r="D19802" s="4"/>
    </row>
    <row collapsed="" customFormat="false" customHeight="1" hidden="" ht="14" outlineLevel="0" r="19803">
      <c r="A19803" s="3" t="inlineStr">
        <is>
          <t>19755</t>
        </is>
      </c>
      <c r="B19803" s="4" t="s">
        <f>=HYPERLINK("http://anyluxury.ru/shop/odezhda/rubashki-polo/rubashka-polo-zhenskaya-paname-women-goluboy-melanzh-02082218/" , "02082218 Рубашка поло женская PANAME WOMEN голубой меланж, размер M")</f>
      </c>
      <c r="C19803" s="4" t="n">
        <v>2484.00</v>
      </c>
      <c r="D19803" s="4"/>
    </row>
    <row collapsed="" customFormat="false" customHeight="1" hidden="" ht="14" outlineLevel="0" r="19804">
      <c r="A19804" s="3" t="inlineStr">
        <is>
          <t>19756</t>
        </is>
      </c>
      <c r="B19804" s="4" t="s">
        <f>=HYPERLINK("http://anyluxury.ru/shop/odezhda/rubashki-polo/rubashka-polo-zhenskaya-paname-women-goluboy-melanzh-02082218/" , "02082218 Рубашка поло женская PANAME WOMEN голубой меланж, размер L")</f>
      </c>
      <c r="C19804" s="4" t="n">
        <v>2484.00</v>
      </c>
      <c r="D19804" s="4"/>
    </row>
    <row collapsed="" customFormat="false" customHeight="1" hidden="" ht="14" outlineLevel="0" r="19805">
      <c r="A19805" s="3" t="inlineStr">
        <is>
          <t>19757</t>
        </is>
      </c>
      <c r="B19805" s="4" t="s">
        <f>=HYPERLINK("http://anyluxury.ru/shop/odezhda/rubashki-polo/rubashka-polo-zhenskaya-paname-women-goluboy-melanzh-02082218/" , "02082218 Рубашка поло женская PANAME WOMEN голубой меланж, размер XL")</f>
      </c>
      <c r="C19805" s="4" t="n">
        <v>2484.00</v>
      </c>
      <c r="D19805" s="4"/>
    </row>
    <row collapsed="" customFormat="false" customHeight="1" hidden="" ht="14" outlineLevel="0" r="19806">
      <c r="A19806" s="3" t="inlineStr">
        <is>
          <t>19758</t>
        </is>
      </c>
      <c r="B19806" s="4" t="s">
        <f>=HYPERLINK("http://anyluxury.ru/shop/odezhda/rubashki-polo/rubashka-polo-zhenskaya-paname-women-goluboy-melanzh-02082218/" , "02082218 Рубашка поло женская PANAME WOMEN голубой меланж, размер XXL")</f>
      </c>
      <c r="C19806" s="4" t="n">
        <v>2484.00</v>
      </c>
      <c r="D19806" s="4"/>
    </row>
    <row collapsed="" customFormat="false" customHeight="1" hidden="" ht="14" outlineLevel="0" r="19807">
      <c r="A19807" s="3" t="inlineStr">
        <is>
          <t>19759</t>
        </is>
      </c>
      <c r="B19807" s="4" t="s">
        <f>=HYPERLINK("http://anyluxury.ru/shop/odezhda/rubashki-polo/rubashka-polo-muzhskaya-s-dlinnim-rukavom-perfect-lsl-men-zelenoe-yabloko-02087280/" , "02087280 Рубашка поло мужская с длинным рукавом PERFECT LSL MEN зеленое яблоко, размер 3XL")</f>
      </c>
      <c r="C19807" s="4" t="n">
        <v>2161.00</v>
      </c>
      <c r="D19807" s="4"/>
    </row>
    <row collapsed="" customFormat="false" customHeight="1" hidden="" ht="14" outlineLevel="0" r="19808">
      <c r="A19808" s="3" t="inlineStr">
        <is>
          <t>19760</t>
        </is>
      </c>
      <c r="B19808" s="4" t="s">
        <f>=HYPERLINK("http://anyluxury.ru/shop/odezhda/rubashki-polo/rubashka-polo-muzhskaya-s-dlinnim-rukavom-perfect-lsl-men-chernaya-02087312/" , "02087312 Рубашка поло мужская с длинным рукавом PERFECT LSL MEN черная, размер S")</f>
      </c>
      <c r="C19808" s="4" t="n">
        <v>1880.00</v>
      </c>
      <c r="D19808" s="4"/>
    </row>
    <row collapsed="" customFormat="false" customHeight="1" hidden="" ht="14" outlineLevel="0" r="19809">
      <c r="A19809" s="3" t="inlineStr">
        <is>
          <t>19761</t>
        </is>
      </c>
      <c r="B19809" s="4" t="s">
        <f>=HYPERLINK("http://anyluxury.ru/shop/odezhda/rubashki-polo/rubashka-polo-muzhskaya-s-dlinnim-rukavom-perfect-lsl-men-chernaya-02087312/" , "02087312 Рубашка поло мужская с длинным рукавом PERFECT LSL MEN черная, размер 3XL")</f>
      </c>
      <c r="C19809" s="4" t="n">
        <v>2161.00</v>
      </c>
      <c r="D19809" s="4"/>
    </row>
    <row collapsed="" customFormat="false" customHeight="1" hidden="" ht="14" outlineLevel="0" r="19810">
      <c r="A19810" s="3" t="inlineStr">
        <is>
          <t>19762</t>
        </is>
      </c>
      <c r="B19810" s="4" t="s">
        <f>=HYPERLINK("http://anyluxury.ru/shop/odezhda/rubashki-polo/rubashka-polo-muzhskaya-s-dlinnim-rukavom-perfect-lsl-men-cherniy-melanzh-02087348/" , "02087348 Рубашка поло мужская с длинным рукавом PERFECT LSL MEN черный меланж, размер 3XL")</f>
      </c>
      <c r="C19810" s="4" t="n">
        <v>2161.00</v>
      </c>
      <c r="D19810" s="4"/>
    </row>
    <row collapsed="" customFormat="false" customHeight="1" hidden="" ht="14" outlineLevel="0" r="19811">
      <c r="A19811" s="3" t="inlineStr">
        <is>
          <t>19763</t>
        </is>
      </c>
      <c r="B19811" s="4" t="s">
        <f>=HYPERLINK("http://anyluxury.ru/shop/odezhda/rubashki-polo/rubashka-polo-muzhskaya-s-dlinnim-rukavom-perfect-lsl-men-temnosinyaya-02087319/" , "02087319 Рубашка поло мужская с длинным рукавом PERFECT LSL MEN темно-синяя, размер S")</f>
      </c>
      <c r="C19811" s="4" t="n">
        <v>1880.00</v>
      </c>
      <c r="D19811" s="4"/>
    </row>
    <row collapsed="" customFormat="false" customHeight="1" hidden="" ht="14" outlineLevel="0" r="19812">
      <c r="A19812" s="3" t="inlineStr">
        <is>
          <t>19764</t>
        </is>
      </c>
      <c r="B19812" s="4" t="s">
        <f>=HYPERLINK("http://anyluxury.ru/shop/odezhda/rubashki-polo/rubashka-polo-muzhskaya-s-dlinnim-rukavom-perfect-lsl-men-temnosinyaya-02087319/" , "02087319 Рубашка поло мужская с длинным рукавом PERFECT LSL MEN темно-синяя, размер 3XL")</f>
      </c>
      <c r="C19812" s="4" t="n">
        <v>2161.00</v>
      </c>
      <c r="D19812" s="4"/>
    </row>
    <row collapsed="" customFormat="false" customHeight="1" hidden="" ht="14" outlineLevel="0" r="19813">
      <c r="A19813" s="3" t="inlineStr">
        <is>
          <t>19765</t>
        </is>
      </c>
      <c r="B19813" s="4" t="s">
        <f>=HYPERLINK("http://anyluxury.ru/shop/odezhda/rubashki-polo/rubashka-polo-muzhskaya-s-dlinnim-rukavom-perfect-lsl-men-seriy-melanzh-02087360/" , "02087360 Рубашка поло мужская с длинным рукавом PERFECT LSL MEN серый меланж, размер 3XL")</f>
      </c>
      <c r="C19813" s="4" t="n">
        <v>2161.00</v>
      </c>
      <c r="D19813" s="4"/>
    </row>
    <row collapsed="" customFormat="false" customHeight="1" hidden="" ht="14" outlineLevel="0" r="19814">
      <c r="A19814" s="3" t="inlineStr">
        <is>
          <t>19766</t>
        </is>
      </c>
      <c r="B19814" s="4" t="s">
        <f>=HYPERLINK("http://anyluxury.ru/shop/odezhda/rubashki-polo/rubashka-polo-muzhskaya-s-dlinnim-rukavom-perfect-lsl-men-krasnaya-02087145/" , "02087145 Рубашка поло мужская с длинным рукавом PERFECT LSL MEN красная, размер 3XL")</f>
      </c>
      <c r="C19814" s="4" t="n">
        <v>2161.00</v>
      </c>
      <c r="D19814" s="4"/>
    </row>
    <row collapsed="" customFormat="false" customHeight="1" hidden="" ht="14" outlineLevel="0" r="19815">
      <c r="A19815" s="3" t="inlineStr">
        <is>
          <t>19767</t>
        </is>
      </c>
      <c r="B19815" s="4" t="s">
        <f>=HYPERLINK("http://anyluxury.ru/shop/odezhda/rubashki-polo/rubashka-polo-muzhskaya-s-dlinnim-rukavom-perfect-lsl-men-yarkosinyaya-02087241/" , "02087241 Рубашка поло мужская с длинным рукавом PERFECT LSL MEN ярко-синяя, размер 3XL")</f>
      </c>
      <c r="C19815" s="4" t="n">
        <v>2161.00</v>
      </c>
      <c r="D19815" s="4"/>
    </row>
    <row collapsed="" customFormat="false" customHeight="1" hidden="" ht="14" outlineLevel="0" r="19816">
      <c r="A19816" s="3" t="inlineStr">
        <is>
          <t>19768</t>
        </is>
      </c>
      <c r="B19816" s="4" t="s">
        <f>=HYPERLINK("http://anyluxury.ru/shop/odezhda/rubashki-polo/rubashka-polo-muzhskaya-s-dlinnim-rukavom-perfect-lsl-men-belaya-02087102/" , "02087102 Рубашка поло мужская с длинным рукавом PERFECT LSL MEN белая, размер XXL")</f>
      </c>
      <c r="C19816" s="4" t="n">
        <v>1730.00</v>
      </c>
      <c r="D19816" s="4"/>
    </row>
    <row collapsed="" customFormat="false" customHeight="1" hidden="" ht="14" outlineLevel="0" r="19817">
      <c r="A19817" s="3" t="inlineStr">
        <is>
          <t>19769</t>
        </is>
      </c>
      <c r="B19817" s="4" t="s">
        <f>=HYPERLINK("http://anyluxury.ru/shop/odezhda/rubashki-polo/rubashka-polo-muzhskaya-s-dlinnim-rukavom-perfect-lsl-men-belaya-02087102/" , "02087102 Рубашка поло мужская с длинным рукавом PERFECT LSL MEN белая, размер 3XL")</f>
      </c>
      <c r="C19817" s="4" t="n">
        <v>2008.00</v>
      </c>
      <c r="D19817" s="4"/>
    </row>
    <row collapsed="" customFormat="false" customHeight="1" hidden="" ht="14" outlineLevel="0" r="19818">
      <c r="A19818" s="3" t="inlineStr">
        <is>
          <t>19770</t>
        </is>
      </c>
      <c r="B19818" s="4" t="s">
        <f>=HYPERLINK("http://anyluxury.ru/shop/odezhda/rubashki-polo/rubashka-polo-zhenskaya-s-dlinnim-rukavom-perfect-lsl-women-zelenoe-yabloko-02083280/" , "02083280 Рубашка поло женская с длинным рукавом PERFECT LSL WOMEN зеленое яблоко, размер S")</f>
      </c>
      <c r="C19818" s="4" t="n">
        <v>1840.00</v>
      </c>
      <c r="D19818" s="4"/>
    </row>
    <row collapsed="" customFormat="false" customHeight="1" hidden="" ht="14" outlineLevel="0" r="19819">
      <c r="A19819" s="3" t="inlineStr">
        <is>
          <t>19771</t>
        </is>
      </c>
      <c r="B19819" s="4" t="s">
        <f>=HYPERLINK("http://anyluxury.ru/shop/odezhda/rubashki-polo/rubashka-polo-zhenskaya-s-dlinnim-rukavom-perfect-lsl-women-zelenoe-yabloko-02083280/" , "02083280 Рубашка поло женская с длинным рукавом PERFECT LSL WOMEN зеленое яблоко, размер XXL")</f>
      </c>
      <c r="C19819" s="4" t="n">
        <v>1840.00</v>
      </c>
      <c r="D19819" s="4"/>
    </row>
    <row collapsed="" customFormat="false" customHeight="1" hidden="" ht="14" outlineLevel="0" r="19820">
      <c r="A19820" s="3" t="inlineStr">
        <is>
          <t>19772</t>
        </is>
      </c>
      <c r="B19820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S")</f>
      </c>
      <c r="C19820" s="4" t="n">
        <v>1840.00</v>
      </c>
      <c r="D19820" s="4"/>
    </row>
    <row collapsed="" customFormat="false" customHeight="1" hidden="" ht="14" outlineLevel="0" r="19821">
      <c r="A19821" s="3" t="inlineStr">
        <is>
          <t>19773</t>
        </is>
      </c>
      <c r="B19821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M")</f>
      </c>
      <c r="C19821" s="4" t="n">
        <v>1840.00</v>
      </c>
      <c r="D19821" s="4"/>
    </row>
    <row collapsed="" customFormat="false" customHeight="1" hidden="" ht="14" outlineLevel="0" r="19822">
      <c r="A19822" s="3" t="inlineStr">
        <is>
          <t>19774</t>
        </is>
      </c>
      <c r="B19822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L")</f>
      </c>
      <c r="C19822" s="4" t="n">
        <v>1840.00</v>
      </c>
      <c r="D19822" s="4"/>
    </row>
    <row collapsed="" customFormat="false" customHeight="1" hidden="" ht="14" outlineLevel="0" r="19823">
      <c r="A19823" s="3" t="inlineStr">
        <is>
          <t>19775</t>
        </is>
      </c>
      <c r="B19823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XXL")</f>
      </c>
      <c r="C19823" s="4" t="n">
        <v>1840.00</v>
      </c>
      <c r="D19823" s="4"/>
    </row>
    <row collapsed="" customFormat="false" customHeight="1" hidden="" ht="14" outlineLevel="0" r="19824">
      <c r="A19824" s="3" t="inlineStr">
        <is>
          <t>19776</t>
        </is>
      </c>
      <c r="B19824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S")</f>
      </c>
      <c r="C19824" s="4" t="n">
        <v>1840.00</v>
      </c>
      <c r="D19824" s="4"/>
    </row>
    <row collapsed="" customFormat="false" customHeight="1" hidden="" ht="14" outlineLevel="0" r="19825">
      <c r="A19825" s="3" t="inlineStr">
        <is>
          <t>19777</t>
        </is>
      </c>
      <c r="B19825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M")</f>
      </c>
      <c r="C19825" s="4" t="n">
        <v>1840.00</v>
      </c>
      <c r="D19825" s="4"/>
    </row>
    <row collapsed="" customFormat="false" customHeight="1" hidden="" ht="14" outlineLevel="0" r="19826">
      <c r="A19826" s="3" t="inlineStr">
        <is>
          <t>19778</t>
        </is>
      </c>
      <c r="B19826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L")</f>
      </c>
      <c r="C19826" s="4" t="n">
        <v>1840.00</v>
      </c>
      <c r="D19826" s="4"/>
    </row>
    <row collapsed="" customFormat="false" customHeight="1" hidden="" ht="14" outlineLevel="0" r="19827">
      <c r="A19827" s="3" t="inlineStr">
        <is>
          <t>19779</t>
        </is>
      </c>
      <c r="B19827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XL")</f>
      </c>
      <c r="C19827" s="4" t="n">
        <v>1840.00</v>
      </c>
      <c r="D19827" s="4"/>
    </row>
    <row collapsed="" customFormat="false" customHeight="1" hidden="" ht="14" outlineLevel="0" r="19828">
      <c r="A19828" s="3" t="inlineStr">
        <is>
          <t>19780</t>
        </is>
      </c>
      <c r="B19828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XXL")</f>
      </c>
      <c r="C19828" s="4" t="n">
        <v>1840.00</v>
      </c>
      <c r="D19828" s="4"/>
    </row>
    <row collapsed="" customFormat="false" customHeight="1" hidden="" ht="14" outlineLevel="0" r="19829">
      <c r="A19829" s="3" t="inlineStr">
        <is>
          <t>19781</t>
        </is>
      </c>
      <c r="B19829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S")</f>
      </c>
      <c r="C19829" s="4" t="n">
        <v>1840.00</v>
      </c>
      <c r="D19829" s="4"/>
    </row>
    <row collapsed="" customFormat="false" customHeight="1" hidden="" ht="14" outlineLevel="0" r="19830">
      <c r="A19830" s="3" t="inlineStr">
        <is>
          <t>19782</t>
        </is>
      </c>
      <c r="B19830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M")</f>
      </c>
      <c r="C19830" s="4" t="n">
        <v>1840.00</v>
      </c>
      <c r="D19830" s="4"/>
    </row>
    <row collapsed="" customFormat="false" customHeight="1" hidden="" ht="14" outlineLevel="0" r="19831">
      <c r="A19831" s="3" t="inlineStr">
        <is>
          <t>19783</t>
        </is>
      </c>
      <c r="B19831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L")</f>
      </c>
      <c r="C19831" s="4" t="n">
        <v>1840.00</v>
      </c>
      <c r="D19831" s="4"/>
    </row>
    <row collapsed="" customFormat="false" customHeight="1" hidden="" ht="14" outlineLevel="0" r="19832">
      <c r="A19832" s="3" t="inlineStr">
        <is>
          <t>19784</t>
        </is>
      </c>
      <c r="B19832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XL")</f>
      </c>
      <c r="C19832" s="4" t="n">
        <v>1840.00</v>
      </c>
      <c r="D19832" s="4"/>
    </row>
    <row collapsed="" customFormat="false" customHeight="1" hidden="" ht="14" outlineLevel="0" r="19833">
      <c r="A19833" s="3" t="inlineStr">
        <is>
          <t>19785</t>
        </is>
      </c>
      <c r="B19833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XXL")</f>
      </c>
      <c r="C19833" s="4" t="n">
        <v>1840.00</v>
      </c>
      <c r="D19833" s="4"/>
    </row>
    <row collapsed="" customFormat="false" customHeight="1" hidden="" ht="14" outlineLevel="0" r="19834">
      <c r="A19834" s="3" t="inlineStr">
        <is>
          <t>19786</t>
        </is>
      </c>
      <c r="B19834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S")</f>
      </c>
      <c r="C19834" s="4" t="n">
        <v>1840.00</v>
      </c>
      <c r="D19834" s="4"/>
    </row>
    <row collapsed="" customFormat="false" customHeight="1" hidden="" ht="14" outlineLevel="0" r="19835">
      <c r="A19835" s="3" t="inlineStr">
        <is>
          <t>19787</t>
        </is>
      </c>
      <c r="B19835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L")</f>
      </c>
      <c r="C19835" s="4" t="n">
        <v>1840.00</v>
      </c>
      <c r="D19835" s="4"/>
    </row>
    <row collapsed="" customFormat="false" customHeight="1" hidden="" ht="14" outlineLevel="0" r="19836">
      <c r="A19836" s="3" t="inlineStr">
        <is>
          <t>19788</t>
        </is>
      </c>
      <c r="B19836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XXL")</f>
      </c>
      <c r="C19836" s="4" t="n">
        <v>1840.00</v>
      </c>
      <c r="D19836" s="4"/>
    </row>
    <row collapsed="" customFormat="false" customHeight="1" hidden="" ht="14" outlineLevel="0" r="19837">
      <c r="A19837" s="3" t="inlineStr">
        <is>
          <t>19789</t>
        </is>
      </c>
      <c r="B19837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XL")</f>
      </c>
      <c r="C19837" s="4" t="n">
        <v>1690.00</v>
      </c>
      <c r="D19837" s="4"/>
    </row>
    <row collapsed="" customFormat="false" customHeight="1" hidden="" ht="14" outlineLevel="0" r="19838">
      <c r="A19838" s="3" t="inlineStr">
        <is>
          <t>19790</t>
        </is>
      </c>
      <c r="B19838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XXL")</f>
      </c>
      <c r="C19838" s="4" t="n">
        <v>1690.00</v>
      </c>
      <c r="D19838" s="4"/>
    </row>
    <row collapsed="" customFormat="false" customHeight="1" hidden="" ht="14" outlineLevel="0" r="19839">
      <c r="A19839" s="3" t="inlineStr">
        <is>
          <t>19791</t>
        </is>
      </c>
      <c r="B19839" s="4" t="s">
        <f>=HYPERLINK("http://anyluxury.ru/shop/odezhda/rubashki-polo/rubashka-polo-muzhskaya-dnm-forward-temnosinyaya-pmd30932/" , "PMD30932 Рубашка поло мужская DNM Forward темно-синяя, размер S")</f>
      </c>
      <c r="C19839" s="4" t="n">
        <v>1540.00</v>
      </c>
      <c r="D19839" s="4"/>
    </row>
    <row collapsed="" customFormat="false" customHeight="1" hidden="" ht="14" outlineLevel="0" r="19840">
      <c r="A19840" s="3" t="inlineStr">
        <is>
          <t>19792</t>
        </is>
      </c>
      <c r="B19840" s="4" t="s">
        <f>=HYPERLINK("http://anyluxury.ru/shop/odezhda/rubashki-polo/rubashka-polo-muzhskaya-dnm-forward-temnosinyaya-pmd30932/" , "PMD30932 Рубашка поло мужская DNM Forward темно-синяя, размер M")</f>
      </c>
      <c r="C19840" s="4" t="n">
        <v>1540.00</v>
      </c>
      <c r="D19840" s="4"/>
    </row>
    <row collapsed="" customFormat="false" customHeight="1" hidden="" ht="14" outlineLevel="0" r="19841">
      <c r="A19841" s="3" t="inlineStr">
        <is>
          <t>19793</t>
        </is>
      </c>
      <c r="B19841" s="4" t="s">
        <f>=HYPERLINK("http://anyluxury.ru/shop/odezhda/rubashki-polo/rubashka-polo-muzhskaya-dnm-forward-temnosinyaya-pmd30932/" , "PMD30932 Рубашка поло мужская DNM Forward темно-синяя, размер XXL")</f>
      </c>
      <c r="C19841" s="4" t="n">
        <v>1540.00</v>
      </c>
      <c r="D19841" s="4"/>
    </row>
    <row collapsed="" customFormat="false" customHeight="1" hidden="" ht="14" outlineLevel="0" r="19842">
      <c r="A19842" s="3" t="inlineStr">
        <is>
          <t>19794</t>
        </is>
      </c>
      <c r="B19842" s="4" t="s">
        <f>=HYPERLINK("http://anyluxury.ru/shop/odezhda/rubashki-polo/rubashka-polo-safran-biryuzovaya-pu409441/" , "PU409441 Рубашка поло Safran бирюзовая, размер S")</f>
      </c>
      <c r="C19842" s="4" t="n">
        <v>1687.00</v>
      </c>
      <c r="D19842" s="4"/>
    </row>
    <row collapsed="" customFormat="false" customHeight="1" hidden="" ht="14" outlineLevel="0" r="19843">
      <c r="A19843" s="3" t="inlineStr">
        <is>
          <t>19795</t>
        </is>
      </c>
      <c r="B19843" s="4" t="s">
        <f>=HYPERLINK("http://anyluxury.ru/shop/odezhda/rubashki-polo/rubashka-polo-safran-biryuzovaya-pu409441/" , "PU409441 Рубашка поло Safran бирюзовая, размер XL")</f>
      </c>
      <c r="C19843" s="4" t="n">
        <v>1687.00</v>
      </c>
      <c r="D19843" s="4"/>
    </row>
    <row collapsed="" customFormat="false" customHeight="1" hidden="" ht="14" outlineLevel="0" r="19844">
      <c r="A19844" s="3" t="inlineStr">
        <is>
          <t>19796</t>
        </is>
      </c>
      <c r="B19844" s="4" t="s">
        <f>=HYPERLINK("http://anyluxury.ru/shop/odezhda/rubashki-polo/rubashka-polo-safran-biryuzovaya-pu409441/" , "PU409441 Рубашка поло Safran бирюзовая, размер XXL")</f>
      </c>
      <c r="C19844" s="4" t="n">
        <v>1687.00</v>
      </c>
      <c r="D19844" s="4"/>
    </row>
    <row collapsed="" customFormat="false" customHeight="1" hidden="" ht="14" outlineLevel="0" r="19845">
      <c r="A19845" s="3" t="inlineStr">
        <is>
          <t>19797</t>
        </is>
      </c>
      <c r="B19845" s="4" t="s">
        <f>=HYPERLINK("http://anyluxury.ru/shop/odezhda/rubashki-polo/rubashka-polo-safran-zelenaya-pu409520/" , "PU409520 Рубашка поло Safran зеленая, размер S")</f>
      </c>
      <c r="C19845" s="4" t="n">
        <v>1687.00</v>
      </c>
      <c r="D19845" s="4"/>
    </row>
    <row collapsed="" customFormat="false" customHeight="1" hidden="" ht="14" outlineLevel="0" r="19846">
      <c r="A19846" s="3" t="inlineStr">
        <is>
          <t>19798</t>
        </is>
      </c>
      <c r="B19846" s="4" t="s">
        <f>=HYPERLINK("http://anyluxury.ru/shop/odezhda/rubashki-polo/rubashka-polo-safran-zelenaya-pu409520/" , "PU409520 Рубашка поло Safran зеленая, размер M")</f>
      </c>
      <c r="C19846" s="4" t="n">
        <v>1687.00</v>
      </c>
      <c r="D19846" s="4"/>
    </row>
    <row collapsed="" customFormat="false" customHeight="1" hidden="" ht="14" outlineLevel="0" r="19847">
      <c r="A19847" s="3" t="inlineStr">
        <is>
          <t>19799</t>
        </is>
      </c>
      <c r="B19847" s="4" t="s">
        <f>=HYPERLINK("http://anyluxury.ru/shop/odezhda/rubashki-polo/rubashka-polo-safran-zelenaya-pu409520/" , "PU409520 Рубашка поло Safran зеленая, размер XXL")</f>
      </c>
      <c r="C19847" s="4" t="n">
        <v>1687.00</v>
      </c>
      <c r="D19847" s="4"/>
    </row>
    <row collapsed="" customFormat="false" customHeight="1" hidden="" ht="14" outlineLevel="0" r="19848">
      <c r="A19848" s="3" t="inlineStr">
        <is>
          <t>19800</t>
        </is>
      </c>
      <c r="B19848" s="4" t="s">
        <f>=HYPERLINK("http://anyluxury.ru/shop/odezhda/rubashki-polo/rubashka-polo-safran-zelenaya-pu409520/" , "PU409520 Рубашка поло Safran зеленая, размер S")</f>
      </c>
      <c r="C19848" s="4" t="n">
        <v>1384.00</v>
      </c>
      <c r="D19848" s="4"/>
    </row>
    <row collapsed="" customFormat="false" customHeight="1" hidden="" ht="14" outlineLevel="0" r="19849">
      <c r="A19849" s="3" t="inlineStr">
        <is>
          <t>19801</t>
        </is>
      </c>
      <c r="B19849" s="4" t="s">
        <f>=HYPERLINK("http://anyluxury.ru/shop/odezhda/rubashki-polo/rubashka-polo-safran-zelenaya-pu409520/" , "PU409520 Рубашка поло Safran зеленая, размер M")</f>
      </c>
      <c r="C19849" s="4" t="n">
        <v>1384.00</v>
      </c>
      <c r="D19849" s="4"/>
    </row>
    <row collapsed="" customFormat="false" customHeight="1" hidden="" ht="14" outlineLevel="0" r="19850">
      <c r="A19850" s="3" t="inlineStr">
        <is>
          <t>19802</t>
        </is>
      </c>
      <c r="B19850" s="4" t="s">
        <f>=HYPERLINK("http://anyluxury.ru/shop/odezhda/rubashki-polo/rubashka-polo-safran-zelenaya-pu409520/" , "PU409520 Рубашка поло Safran зеленая, размер L")</f>
      </c>
      <c r="C19850" s="4" t="n">
        <v>1384.00</v>
      </c>
      <c r="D19850" s="4"/>
    </row>
    <row collapsed="" customFormat="false" customHeight="1" hidden="" ht="14" outlineLevel="0" r="19851">
      <c r="A19851" s="3" t="inlineStr">
        <is>
          <t>19803</t>
        </is>
      </c>
      <c r="B19851" s="4" t="s">
        <f>=HYPERLINK("http://anyluxury.ru/shop/odezhda/rubashki-polo/rubashka-polo-safran-zelenaya-pu409520/" , "PU409520 Рубашка поло Safran зеленая, размер XL")</f>
      </c>
      <c r="C19851" s="4" t="n">
        <v>1384.00</v>
      </c>
      <c r="D19851" s="4"/>
    </row>
    <row collapsed="" customFormat="false" customHeight="1" hidden="" ht="14" outlineLevel="0" r="19852">
      <c r="A19852" s="3" t="inlineStr">
        <is>
          <t>19804</t>
        </is>
      </c>
      <c r="B19852" s="4" t="s">
        <f>=HYPERLINK("http://anyluxury.ru/shop/odezhda/rubashki-polo/rubashka-polo-safran-zelenaya-pu409520/" , "PU409520 Рубашка поло Safran зеленая, размер XXL")</f>
      </c>
      <c r="C19852" s="4" t="n">
        <v>1384.00</v>
      </c>
      <c r="D19852" s="4"/>
    </row>
    <row collapsed="" customFormat="false" customHeight="1" hidden="" ht="14" outlineLevel="0" r="19853">
      <c r="A19853" s="3" t="inlineStr">
        <is>
          <t>19805</t>
        </is>
      </c>
      <c r="B19853" s="4" t="s">
        <f>=HYPERLINK("http://anyluxury.ru/shop/odezhda/rubashki-polo/rubashka-polo-safran-zelenoe-yabloko-pu409732/" , "PU409732 Рубашка поло Safran зеленое яблоко, размер S")</f>
      </c>
      <c r="C19853" s="4" t="n">
        <v>1687.00</v>
      </c>
      <c r="D19853" s="4"/>
    </row>
    <row collapsed="" customFormat="false" customHeight="1" hidden="" ht="14" outlineLevel="0" r="19854">
      <c r="A19854" s="3" t="inlineStr">
        <is>
          <t>19806</t>
        </is>
      </c>
      <c r="B19854" s="4" t="s">
        <f>=HYPERLINK("http://anyluxury.ru/shop/odezhda/rubashki-polo/rubashka-polo-safran-zelenoe-yabloko-pu409732/" , "PU409732 Рубашка поло Safran зеленое яблоко, размер M")</f>
      </c>
      <c r="C19854" s="4" t="n">
        <v>1687.00</v>
      </c>
      <c r="D19854" s="4"/>
    </row>
    <row collapsed="" customFormat="false" customHeight="1" hidden="" ht="14" outlineLevel="0" r="19855">
      <c r="A19855" s="3" t="inlineStr">
        <is>
          <t>19807</t>
        </is>
      </c>
      <c r="B19855" s="4" t="s">
        <f>=HYPERLINK("http://anyluxury.ru/shop/odezhda/rubashki-polo/rubashka-polo-safran-zelenoe-yabloko-pu409732/" , "PU409732 Рубашка поло Safran зеленое яблоко, размер L")</f>
      </c>
      <c r="C19855" s="4" t="n">
        <v>1687.00</v>
      </c>
      <c r="D19855" s="4"/>
    </row>
    <row collapsed="" customFormat="false" customHeight="1" hidden="" ht="14" outlineLevel="0" r="19856">
      <c r="A19856" s="3" t="inlineStr">
        <is>
          <t>19808</t>
        </is>
      </c>
      <c r="B19856" s="4" t="s">
        <f>=HYPERLINK("http://anyluxury.ru/shop/odezhda/rubashki-polo/rubashka-polo-safran-zelenoe-yabloko-pu409732/" , "PU409732 Рубашка поло Safran зеленое яблоко, размер XL")</f>
      </c>
      <c r="C19856" s="4" t="n">
        <v>1687.00</v>
      </c>
      <c r="D19856" s="4"/>
    </row>
    <row collapsed="" customFormat="false" customHeight="1" hidden="" ht="14" outlineLevel="0" r="19857">
      <c r="A19857" s="3" t="inlineStr">
        <is>
          <t>19809</t>
        </is>
      </c>
      <c r="B19857" s="4" t="s">
        <f>=HYPERLINK("http://anyluxury.ru/shop/odezhda/rubashki-polo/rubashka-polo-safran-zelenoe-yabloko-pu409732/" , "PU409732 Рубашка поло Safran зеленое яблоко, размер XXL")</f>
      </c>
      <c r="C19857" s="4" t="n">
        <v>1687.00</v>
      </c>
      <c r="D19857" s="4"/>
    </row>
    <row collapsed="" customFormat="false" customHeight="1" hidden="" ht="14" outlineLevel="0" r="19858">
      <c r="A19858" s="3" t="inlineStr">
        <is>
          <t>19810</t>
        </is>
      </c>
      <c r="B19858" s="4" t="s">
        <f>=HYPERLINK("http://anyluxury.ru/shop/odezhda/rubashki-polo/rubashka-polo-safran-zelenoe-yabloko-pu409732/" , "PU409732 Рубашка поло Safran зеленое яблоко, размер S")</f>
      </c>
      <c r="C19858" s="4" t="n">
        <v>1384.00</v>
      </c>
      <c r="D19858" s="4"/>
    </row>
    <row collapsed="" customFormat="false" customHeight="1" hidden="" ht="14" outlineLevel="0" r="19859">
      <c r="A19859" s="3" t="inlineStr">
        <is>
          <t>19811</t>
        </is>
      </c>
      <c r="B19859" s="4" t="s">
        <f>=HYPERLINK("http://anyluxury.ru/shop/odezhda/rubashki-polo/rubashka-polo-safran-zelenoe-yabloko-pu409732/" , "PU409732 Рубашка поло Safran зеленое яблоко, размер M")</f>
      </c>
      <c r="C19859" s="4" t="n">
        <v>1384.00</v>
      </c>
      <c r="D19859" s="4"/>
    </row>
    <row collapsed="" customFormat="false" customHeight="1" hidden="" ht="14" outlineLevel="0" r="19860">
      <c r="A19860" s="3" t="inlineStr">
        <is>
          <t>19812</t>
        </is>
      </c>
      <c r="B19860" s="4" t="s">
        <f>=HYPERLINK("http://anyluxury.ru/shop/odezhda/rubashki-polo/rubashka-polo-safran-zelenoe-yabloko-pu409732/" , "PU409732 Рубашка поло Safran зеленое яблоко, размер L")</f>
      </c>
      <c r="C19860" s="4" t="n">
        <v>1384.00</v>
      </c>
      <c r="D19860" s="4"/>
    </row>
    <row collapsed="" customFormat="false" customHeight="1" hidden="" ht="14" outlineLevel="0" r="19861">
      <c r="A19861" s="3" t="inlineStr">
        <is>
          <t>19813</t>
        </is>
      </c>
      <c r="B19861" s="4" t="s">
        <f>=HYPERLINK("http://anyluxury.ru/shop/odezhda/rubashki-polo/rubashka-polo-safran-zelenoe-yabloko-pu409732/" , "PU409732 Рубашка поло Safran зеленое яблоко, размер XL")</f>
      </c>
      <c r="C19861" s="4" t="n">
        <v>1384.00</v>
      </c>
      <c r="D19861" s="4"/>
    </row>
    <row collapsed="" customFormat="false" customHeight="1" hidden="" ht="14" outlineLevel="0" r="19862">
      <c r="A19862" s="3" t="inlineStr">
        <is>
          <t>19814</t>
        </is>
      </c>
      <c r="B19862" s="4" t="s">
        <f>=HYPERLINK("http://anyluxury.ru/shop/odezhda/rubashki-polo/rubashka-polo-safran-zelenoe-yabloko-pu409732/" , "PU409732 Рубашка поло Safran зеленое яблоко, размер XXL")</f>
      </c>
      <c r="C19862" s="4" t="n">
        <v>1384.00</v>
      </c>
      <c r="D19862" s="4"/>
    </row>
    <row collapsed="" customFormat="false" customHeight="1" hidden="" ht="14" outlineLevel="0" r="19863">
      <c r="A19863" s="3" t="inlineStr">
        <is>
          <t>19815</t>
        </is>
      </c>
      <c r="B19863" s="4" t="s">
        <f>=HYPERLINK("http://anyluxury.ru/shop/odezhda/rubashki-polo/rubashka-polo-heavymill-belaya-pu422001/" , "PU422001 Рубашка поло Heavymill белая, размер 3XL")</f>
      </c>
      <c r="C19863" s="4" t="n">
        <v>1900.00</v>
      </c>
      <c r="D19863" s="4"/>
    </row>
    <row collapsed="" customFormat="false" customHeight="1" hidden="" ht="14" outlineLevel="0" r="19864">
      <c r="A19864" s="3" t="inlineStr">
        <is>
          <t>19816</t>
        </is>
      </c>
      <c r="B19864" s="4" t="s">
        <f>=HYPERLINK("http://anyluxury.ru/shop/odezhda/rubashki-polo/rubashka-polo-heavymill-belaya-pu422001/" , "PU422001 Рубашка поло Heavymill белая, размер S")</f>
      </c>
      <c r="C19864" s="4" t="n">
        <v>1900.00</v>
      </c>
      <c r="D19864" s="4"/>
    </row>
    <row collapsed="" customFormat="false" customHeight="1" hidden="" ht="14" outlineLevel="0" r="19865">
      <c r="A19865" s="3" t="inlineStr">
        <is>
          <t>19817</t>
        </is>
      </c>
      <c r="B19865" s="4" t="s">
        <f>=HYPERLINK("http://anyluxury.ru/shop/odezhda/rubashki-polo/rubashka-polo-heavymill-belaya-pu422001/" , "PU422001 Рубашка поло Heavymill белая, размер XL")</f>
      </c>
      <c r="C19865" s="4" t="n">
        <v>1900.00</v>
      </c>
      <c r="D19865" s="4"/>
    </row>
    <row collapsed="" customFormat="false" customHeight="1" hidden="" ht="14" outlineLevel="0" r="19866">
      <c r="A19866" s="3" t="inlineStr">
        <is>
          <t>19818</t>
        </is>
      </c>
      <c r="B19866" s="4" t="s">
        <f>=HYPERLINK("http://anyluxury.ru/shop/odezhda/rubashki-polo/rubashka-polo-heavymill-belaya-pu422001/" , "PU422001 Рубашка поло Heavymill белая, размер XXL")</f>
      </c>
      <c r="C19866" s="4" t="n">
        <v>1900.00</v>
      </c>
      <c r="D19866" s="4"/>
    </row>
    <row collapsed="" customFormat="false" customHeight="1" hidden="" ht="14" outlineLevel="0" r="19867">
      <c r="A19867" s="3" t="inlineStr">
        <is>
          <t>19819</t>
        </is>
      </c>
      <c r="B19867" s="4" t="s">
        <f>=HYPERLINK("http://anyluxury.ru/shop/odezhda/rubashki-polo/rubashka-polo-heavymill-belaya-pu422001/" , "PU422001 Рубашка поло Heavymill белая, размер 3XL")</f>
      </c>
      <c r="C19867" s="4" t="n">
        <v>1927.00</v>
      </c>
      <c r="D19867" s="4"/>
    </row>
    <row collapsed="" customFormat="false" customHeight="1" hidden="" ht="14" outlineLevel="0" r="19868">
      <c r="A19868" s="3" t="inlineStr">
        <is>
          <t>19820</t>
        </is>
      </c>
      <c r="B19868" s="4" t="s">
        <f>=HYPERLINK("http://anyluxury.ru/shop/odezhda/rubashki-polo/rubashka-polo-id001-krasnaya-pui10004/" , "PUI10004 Рубашка поло ID.001 красная, размер XS")</f>
      </c>
      <c r="C19868" s="4" t="n">
        <v>1190.00</v>
      </c>
      <c r="D19868" s="4"/>
    </row>
    <row collapsed="" customFormat="false" customHeight="1" hidden="" ht="14" outlineLevel="0" r="19869">
      <c r="A19869" s="3" t="inlineStr">
        <is>
          <t>19821</t>
        </is>
      </c>
      <c r="B19869" s="4" t="s">
        <f>=HYPERLINK("http://anyluxury.ru/shop/odezhda/rubashki-polo/rubashka-polo-id001-krasnaya-pui10004/" , "PUI10004 Рубашка поло ID.001 красная, размер S")</f>
      </c>
      <c r="C19869" s="4" t="n">
        <v>1045.00</v>
      </c>
      <c r="D19869" s="4"/>
    </row>
    <row collapsed="" customFormat="false" customHeight="1" hidden="" ht="14" outlineLevel="0" r="19870">
      <c r="A19870" s="3" t="inlineStr">
        <is>
          <t>19822</t>
        </is>
      </c>
      <c r="B19870" s="4" t="s">
        <f>=HYPERLINK("http://anyluxury.ru/shop/odezhda/rubashki-polo/rubashka-polo-id001-krasnaya-pui10004/" , "PUI10004 Рубашка поло ID.001 красная, размер XS")</f>
      </c>
      <c r="C19870" s="4" t="n">
        <v>1190.00</v>
      </c>
      <c r="D19870" s="4"/>
    </row>
    <row collapsed="" customFormat="false" customHeight="1" hidden="" ht="14" outlineLevel="0" r="19871">
      <c r="A19871" s="3" t="inlineStr">
        <is>
          <t>19823</t>
        </is>
      </c>
      <c r="B19871" s="4" t="s">
        <f>=HYPERLINK("http://anyluxury.ru/shop/odezhda/rubashki-polo/rubashka-polo-id001-krasnaya-pui10004/" , "PUI10004 Рубашка поло ID.001 красная, размер S")</f>
      </c>
      <c r="C19871" s="4" t="n">
        <v>1190.00</v>
      </c>
      <c r="D19871" s="4"/>
    </row>
    <row collapsed="" customFormat="false" customHeight="1" hidden="" ht="14" outlineLevel="0" r="19872">
      <c r="A19872" s="3" t="inlineStr">
        <is>
          <t>19824</t>
        </is>
      </c>
      <c r="B19872" s="4" t="s">
        <f>=HYPERLINK("http://anyluxury.ru/shop/odezhda/rubashki-polo/rubashka-polo-id001-krasnaya-pui10004/" , "PUI10004 Рубашка поло ID.001 красная, размер M")</f>
      </c>
      <c r="C19872" s="4" t="n">
        <v>1190.00</v>
      </c>
      <c r="D19872" s="4"/>
    </row>
    <row collapsed="" customFormat="false" customHeight="1" hidden="" ht="14" outlineLevel="0" r="19873">
      <c r="A19873" s="3" t="inlineStr">
        <is>
          <t>19825</t>
        </is>
      </c>
      <c r="B19873" s="4" t="s">
        <f>=HYPERLINK("http://anyluxury.ru/shop/odezhda/rubashki-polo/rubashka-polo-id001-krasnaya-pui10004/" , "PUI10004 Рубашка поло ID.001 красная, размер L")</f>
      </c>
      <c r="C19873" s="4" t="n">
        <v>1190.00</v>
      </c>
      <c r="D19873" s="4"/>
    </row>
    <row collapsed="" customFormat="false" customHeight="1" hidden="" ht="14" outlineLevel="0" r="19874">
      <c r="A19874" s="3" t="inlineStr">
        <is>
          <t>19826</t>
        </is>
      </c>
      <c r="B19874" s="4" t="s">
        <f>=HYPERLINK("http://anyluxury.ru/shop/odezhda/rubashki-polo/rubashka-polo-id001-krasnaya-pui10004/" , "PUI10004 Рубашка поло ID.001 красная, размер XXL")</f>
      </c>
      <c r="C19874" s="4" t="n">
        <v>1190.00</v>
      </c>
      <c r="D19874" s="4"/>
    </row>
    <row collapsed="" customFormat="false" customHeight="1" hidden="" ht="14" outlineLevel="0" r="19875">
      <c r="A19875" s="3" t="inlineStr">
        <is>
          <t>19827</t>
        </is>
      </c>
      <c r="B19875" s="4" t="s">
        <f>=HYPERLINK("http://anyluxury.ru/shop/odezhda/rubashki-polo/rubashka-polo-id001-krasnaya-pui10004/" , "PUI10004 Рубашка поло ID.001 красная, размер 3XL")</f>
      </c>
      <c r="C19875" s="4" t="n">
        <v>1450.00</v>
      </c>
      <c r="D19875" s="4"/>
    </row>
    <row collapsed="" customFormat="false" customHeight="1" hidden="" ht="14" outlineLevel="0" r="19876">
      <c r="A19876" s="3" t="inlineStr">
        <is>
          <t>19828</t>
        </is>
      </c>
      <c r="B19876" s="4" t="s">
        <f>=HYPERLINK("http://anyluxury.ru/shop/odezhda/rubashki-polo/rubashka-polo-id001-zelenaya-pui10520/" , "PUI10520 Рубашка поло ID.001 зеленая, размер S")</f>
      </c>
      <c r="C19876" s="4" t="n">
        <v>1190.00</v>
      </c>
      <c r="D19876" s="4"/>
    </row>
    <row collapsed="" customFormat="false" customHeight="1" hidden="" ht="14" outlineLevel="0" r="19877">
      <c r="A19877" s="3" t="inlineStr">
        <is>
          <t>19829</t>
        </is>
      </c>
      <c r="B19877" s="4" t="s">
        <f>=HYPERLINK("http://anyluxury.ru/shop/odezhda/rubashki-polo/rubashka-polo-id001-zelenaya-pui10520/" , "PUI10520 Рубашка поло ID.001 зеленая, размер S")</f>
      </c>
      <c r="C19877" s="4" t="n">
        <v>1190.00</v>
      </c>
      <c r="D19877" s="4"/>
    </row>
    <row collapsed="" customFormat="false" customHeight="1" hidden="" ht="14" outlineLevel="0" r="19878">
      <c r="A19878" s="3" t="inlineStr">
        <is>
          <t>19830</t>
        </is>
      </c>
      <c r="B19878" s="4" t="s">
        <f>=HYPERLINK("http://anyluxury.ru/shop/odezhda/rubashki-polo/rubashka-polo-id001-zelenaya-pui10520/" , "PUI10520 Рубашка поло ID.001 зеленая, размер L")</f>
      </c>
      <c r="C19878" s="4" t="n">
        <v>1190.00</v>
      </c>
      <c r="D19878" s="4"/>
    </row>
    <row collapsed="" customFormat="false" customHeight="1" hidden="" ht="14" outlineLevel="0" r="19879">
      <c r="A19879" s="3" t="inlineStr">
        <is>
          <t>19831</t>
        </is>
      </c>
      <c r="B19879" s="4" t="s">
        <f>=HYPERLINK("http://anyluxury.ru/shop/odezhda/rubashki-polo/rubashka-polo-id001-zelenoe-yabloko-pui10732/" , "PUI10732 Рубашка поло ID.001 зеленое яблоко, размер S")</f>
      </c>
      <c r="C19879" s="4" t="n">
        <v>1190.00</v>
      </c>
      <c r="D19879" s="4"/>
    </row>
    <row collapsed="" customFormat="false" customHeight="1" hidden="" ht="14" outlineLevel="0" r="19880">
      <c r="A19880" s="3" t="inlineStr">
        <is>
          <t>19832</t>
        </is>
      </c>
      <c r="B19880" s="4" t="s">
        <f>=HYPERLINK("http://anyluxury.ru/shop/odezhda/rubashki-polo/rubashka-polo-id001-zelenoe-yabloko-pui10732/" , "PUI10732 Рубашка поло ID.001 зеленое яблоко, размер M")</f>
      </c>
      <c r="C19880" s="4" t="n">
        <v>1190.00</v>
      </c>
      <c r="D19880" s="4"/>
    </row>
    <row collapsed="" customFormat="false" customHeight="1" hidden="" ht="14" outlineLevel="0" r="19881">
      <c r="A19881" s="3" t="inlineStr">
        <is>
          <t>19833</t>
        </is>
      </c>
      <c r="B19881" s="4" t="s">
        <f>=HYPERLINK("http://anyluxury.ru/shop/odezhda/rubashki-polo/rubashka-polo-id001-zelenoe-yabloko-pui10732/" , "PUI10732 Рубашка поло ID.001 зеленое яблоко, размер S")</f>
      </c>
      <c r="C19881" s="4" t="n">
        <v>1190.00</v>
      </c>
      <c r="D19881" s="4"/>
    </row>
    <row collapsed="" customFormat="false" customHeight="1" hidden="" ht="14" outlineLevel="0" r="19882">
      <c r="A19882" s="3" t="inlineStr">
        <is>
          <t>19834</t>
        </is>
      </c>
      <c r="B19882" s="4" t="s">
        <f>=HYPERLINK("http://anyluxury.ru/shop/odezhda/rubashki-polo/rubashka-polo-id001-zelenoe-yabloko-pui10732/" , "PUI10732 Рубашка поло ID.001 зеленое яблоко, размер M")</f>
      </c>
      <c r="C19882" s="4" t="n">
        <v>1190.00</v>
      </c>
      <c r="D19882" s="4"/>
    </row>
    <row collapsed="" customFormat="false" customHeight="1" hidden="" ht="14" outlineLevel="0" r="19883">
      <c r="A19883" s="3" t="inlineStr">
        <is>
          <t>19835</t>
        </is>
      </c>
      <c r="B19883" s="4" t="s">
        <f>=HYPERLINK("http://anyluxury.ru/shop/odezhda/rubashki-polo/rubashka-polo-id001-zelenoe-yabloko-pui10732/" , "PUI10732 Рубашка поло ID.001 зеленое яблоко, размер L")</f>
      </c>
      <c r="C19883" s="4" t="n">
        <v>1190.00</v>
      </c>
      <c r="D19883" s="4"/>
    </row>
    <row collapsed="" customFormat="false" customHeight="1" hidden="" ht="14" outlineLevel="0" r="19884">
      <c r="A19884" s="3" t="inlineStr">
        <is>
          <t>19836</t>
        </is>
      </c>
      <c r="B19884" s="4" t="s">
        <f>=HYPERLINK("http://anyluxury.ru/shop/odezhda/rubashki-polo/rubashka-polo-id001-zelenoe-yabloko-pui10732/" , "PUI10732 Рубашка поло ID.001 зеленое яблоко, размер XL")</f>
      </c>
      <c r="C19884" s="4" t="n">
        <v>1190.00</v>
      </c>
      <c r="D19884" s="4"/>
    </row>
    <row collapsed="" customFormat="false" customHeight="1" hidden="" ht="14" outlineLevel="0" r="19885">
      <c r="A19885" s="3" t="inlineStr">
        <is>
          <t>19837</t>
        </is>
      </c>
      <c r="B19885" s="4" t="s">
        <f>=HYPERLINK("http://anyluxury.ru/shop/odezhda/rubashki-polo/rubashka-polo-zhenskaya-safran-timeless-belaya-pw457001/" , "PW457001 Рубашка поло женская Safran Timeless белая, размер XXL")</f>
      </c>
      <c r="C19885" s="4" t="n">
        <v>1335.00</v>
      </c>
      <c r="D19885" s="4"/>
    </row>
    <row collapsed="" customFormat="false" customHeight="1" hidden="" ht="14" outlineLevel="0" r="19886">
      <c r="A19886" s="3" t="inlineStr">
        <is>
          <t>19838</t>
        </is>
      </c>
      <c r="B19886" s="4" t="s">
        <f>=HYPERLINK("http://anyluxury.ru/shop/odezhda/rubashki-polo/rubashka-polo-zhenskaya-safran-timeless-temnosinyaya-pw457003/" , "PW457003 Рубашка поло женская Safran Timeless темно-синяя, размер XXL")</f>
      </c>
      <c r="C19886" s="4" t="n">
        <v>1335.00</v>
      </c>
      <c r="D19886" s="4"/>
    </row>
    <row collapsed="" customFormat="false" customHeight="1" hidden="" ht="14" outlineLevel="0" r="19887">
      <c r="A19887" s="3" t="inlineStr">
        <is>
          <t>19839</t>
        </is>
      </c>
      <c r="B19887" s="4" t="s">
        <f>=HYPERLINK("http://anyluxury.ru/shop/odezhda/rubashki-polo/rubashka-polo-zhenskaya-safran-timeless-krasnaya-pw457004/" , "PW457004 Рубашка поло женская Safran Timeless красная, размер S")</f>
      </c>
      <c r="C19887" s="4" t="n">
        <v>1335.00</v>
      </c>
      <c r="D19887" s="4"/>
    </row>
    <row collapsed="" customFormat="false" customHeight="1" hidden="" ht="14" outlineLevel="0" r="19888">
      <c r="A19888" s="3" t="inlineStr">
        <is>
          <t>19840</t>
        </is>
      </c>
      <c r="B19888" s="4" t="s">
        <f>=HYPERLINK("http://anyluxury.ru/shop/odezhda/rubashki-polo/rubashka-polo-zhenskaya-safran-timeless-yarkosinyaya-pw457450/" , "PW457450 Рубашка поло женская Safran Timeless ярко-синяя, размер S")</f>
      </c>
      <c r="C19888" s="4" t="n">
        <v>1335.00</v>
      </c>
      <c r="D19888" s="4"/>
    </row>
    <row collapsed="" customFormat="false" customHeight="1" hidden="" ht="14" outlineLevel="0" r="19889">
      <c r="A19889" s="3" t="inlineStr">
        <is>
          <t>19841</t>
        </is>
      </c>
      <c r="B19889" s="4" t="s">
        <f>=HYPERLINK("http://anyluxury.ru/shop/odezhda/rubashki-polo/rubashka-polo-zhenskaya-safran-timeless-yarkosinyaya-pw457450/" , "PW457450 Рубашка поло женская Safran Timeless ярко-синяя, размер XL")</f>
      </c>
      <c r="C19889" s="4" t="n">
        <v>1335.00</v>
      </c>
      <c r="D19889" s="4"/>
    </row>
    <row collapsed="" customFormat="false" customHeight="1" hidden="" ht="14" outlineLevel="0" r="19890">
      <c r="A19890" s="3" t="inlineStr">
        <is>
          <t>19842</t>
        </is>
      </c>
      <c r="B19890" s="4" t="s">
        <f>=HYPERLINK("http://anyluxury.ru/shop/odezhda/rubashki-polo/rubashka-polo-zhenskaya-safran-timeless-zelenaya-pw457520/" , "PW457520 Рубашка поло женская Safran Timeless зеленая, размер S")</f>
      </c>
      <c r="C19890" s="4" t="n">
        <v>1335.00</v>
      </c>
      <c r="D19890" s="4"/>
    </row>
    <row collapsed="" customFormat="false" customHeight="1" hidden="" ht="14" outlineLevel="0" r="19891">
      <c r="A19891" s="3" t="inlineStr">
        <is>
          <t>19843</t>
        </is>
      </c>
      <c r="B19891" s="4" t="s">
        <f>=HYPERLINK("http://anyluxury.ru/shop/odezhda/rubashki-polo/rubashka-polo-zhenskaya-safran-timeless-seriy-melanzh-pw457610/" , "PW457610 Рубашка поло женская Safran Timeless серый меланж, размер S")</f>
      </c>
      <c r="C19891" s="4" t="n">
        <v>1335.00</v>
      </c>
      <c r="D19891" s="4"/>
    </row>
    <row collapsed="" customFormat="false" customHeight="1" hidden="" ht="14" outlineLevel="0" r="19892">
      <c r="A19892" s="3" t="inlineStr">
        <is>
          <t>19844</t>
        </is>
      </c>
      <c r="B19892" s="4" t="s">
        <f>=HYPERLINK("http://anyluxury.ru/shop/odezhda/rubashki-polo/rubashka-polo-zhenskaya-safran-timeless-seriy-melanzh-pw457610/" , "PW457610 Рубашка поло женская Safran Timeless серый меланж, размер M")</f>
      </c>
      <c r="C19892" s="4" t="n">
        <v>1335.00</v>
      </c>
      <c r="D19892" s="4"/>
    </row>
    <row collapsed="" customFormat="false" customHeight="1" hidden="" ht="14" outlineLevel="0" r="19893">
      <c r="A19893" s="3" t="inlineStr">
        <is>
          <t>19845</t>
        </is>
      </c>
      <c r="B19893" s="4" t="s">
        <f>=HYPERLINK("http://anyluxury.ru/shop/odezhda/rubashki-polo/rubashka-polo-zhenskaya-safran-timeless-seriy-melanzh-pw457610/" , "PW457610 Рубашка поло женская Safran Timeless серый меланж, размер L")</f>
      </c>
      <c r="C19893" s="4" t="n">
        <v>1335.00</v>
      </c>
      <c r="D19893" s="4"/>
    </row>
    <row collapsed="" customFormat="false" customHeight="1" hidden="" ht="14" outlineLevel="0" r="19894">
      <c r="A19894" s="3" t="inlineStr">
        <is>
          <t>19846</t>
        </is>
      </c>
      <c r="B19894" s="4" t="s">
        <f>=HYPERLINK("http://anyluxury.ru/shop/odezhda/rubashki-polo/rubashka-polo-zhenskaya-safran-timeless-zelenoe-yabloko-pw457732/" , "PW457732 Рубашка поло женская Safran Timeless зеленое яблоко, размер S")</f>
      </c>
      <c r="C19894" s="4" t="n">
        <v>1335.00</v>
      </c>
      <c r="D19894" s="4"/>
    </row>
    <row collapsed="" customFormat="false" customHeight="1" hidden="" ht="14" outlineLevel="0" r="19895">
      <c r="A19895" s="3" t="inlineStr">
        <is>
          <t>19847</t>
        </is>
      </c>
      <c r="B19895" s="4" t="s">
        <f>=HYPERLINK("http://anyluxury.ru/shop/odezhda/rubashki-polo/rubashka-polo-zhenskaya-safran-timeless-zelenoe-yabloko-pw457732/" , "PW457732 Рубашка поло женская Safran Timeless зеленое яблоко, размер M")</f>
      </c>
      <c r="C19895" s="4" t="n">
        <v>1335.00</v>
      </c>
      <c r="D19895" s="4"/>
    </row>
    <row collapsed="" customFormat="false" customHeight="1" hidden="" ht="14" outlineLevel="0" r="19896">
      <c r="A19896" s="3" t="inlineStr">
        <is>
          <t>19848</t>
        </is>
      </c>
      <c r="B19896" s="4" t="s">
        <f>=HYPERLINK("http://anyluxury.ru/shop/odezhda/rubashki-polo/rubashka-polo-zhenskaya-heavymill-krasnaya-pw460004/" , "PW460004 Рубашка поло женская Heavymill красная, размер S")</f>
      </c>
      <c r="C19896" s="4" t="n">
        <v>2107.00</v>
      </c>
      <c r="D19896" s="4"/>
    </row>
    <row collapsed="" customFormat="false" customHeight="1" hidden="" ht="14" outlineLevel="0" r="19897">
      <c r="A19897" s="3" t="inlineStr">
        <is>
          <t>19849</t>
        </is>
      </c>
      <c r="B19897" s="4" t="s">
        <f>=HYPERLINK("http://anyluxury.ru/shop/odezhda/rubashki-polo/rubashka-polo-zhenskaya-heavymill-krasnaya-pw460004/" , "PW460004 Рубашка поло женская Heavymill красная, размер M")</f>
      </c>
      <c r="C19897" s="4" t="n">
        <v>2107.00</v>
      </c>
      <c r="D19897" s="4"/>
    </row>
    <row collapsed="" customFormat="false" customHeight="1" hidden="" ht="14" outlineLevel="0" r="19898">
      <c r="A19898" s="3" t="inlineStr">
        <is>
          <t>19850</t>
        </is>
      </c>
      <c r="B19898" s="4" t="s">
        <f>=HYPERLINK("http://anyluxury.ru/shop/odezhda/rubashki-polo/rubashka-polo-zhenskaya-heavymill-krasnaya-pw460004/" , "PW460004 Рубашка поло женская Heavymill красная, размер L")</f>
      </c>
      <c r="C19898" s="4" t="n">
        <v>2107.00</v>
      </c>
      <c r="D19898" s="4"/>
    </row>
    <row collapsed="" customFormat="false" customHeight="1" hidden="" ht="14" outlineLevel="0" r="19899">
      <c r="A19899" s="3" t="inlineStr">
        <is>
          <t>19851</t>
        </is>
      </c>
      <c r="B19899" s="4" t="s">
        <f>=HYPERLINK("http://anyluxury.ru/shop/odezhda/rubashki-polo/rubashka-polo-zhenskaya-heavymill-krasnaya-pw460004/" , "PW460004 Рубашка поло женская Heavymill красная, размер XL")</f>
      </c>
      <c r="C19899" s="4" t="n">
        <v>2107.00</v>
      </c>
      <c r="D19899" s="4"/>
    </row>
    <row collapsed="" customFormat="false" customHeight="1" hidden="" ht="14" outlineLevel="0" r="19900">
      <c r="A19900" s="3" t="inlineStr">
        <is>
          <t>19852</t>
        </is>
      </c>
      <c r="B19900" s="4" t="s">
        <f>=HYPERLINK("http://anyluxury.ru/shop/odezhda/rubashki-polo/rubashka-polo-zhenskaya-heavymill-krasnaya-pw460004/" , "PW460004 Рубашка поло женская Heavymill красная, размер XXL")</f>
      </c>
      <c r="C19900" s="4" t="n">
        <v>2107.00</v>
      </c>
      <c r="D19900" s="4"/>
    </row>
    <row collapsed="" customFormat="false" customHeight="1" hidden="" ht="14" outlineLevel="0" r="19901">
      <c r="A19901" s="3" t="inlineStr">
        <is>
          <t>19853</t>
        </is>
      </c>
      <c r="B19901" s="4" t="s">
        <f>=HYPERLINK("http://anyluxury.ru/shop/odezhda/rubashki-polo/rubashka-polo-zhenskaya-dnm-forward-seriy-melanzh-pwd31933/" , "PWD31933 Рубашка поло женская DNM Forward серый меланж, размер S")</f>
      </c>
      <c r="C19901" s="4" t="n">
        <v>1790.00</v>
      </c>
      <c r="D19901" s="4"/>
    </row>
    <row collapsed="" customFormat="false" customHeight="1" hidden="" ht="14" outlineLevel="0" r="19902">
      <c r="A19902" s="3" t="inlineStr">
        <is>
          <t>19854</t>
        </is>
      </c>
      <c r="B19902" s="4" t="s">
        <f>=HYPERLINK("http://anyluxury.ru/shop/odezhda/rubashki-polo/rubashka-polo-zhenskaya-dnm-forward-seriy-melanzh-pwd31933/" , "PWD31933 Рубашка поло женская DNM Forward серый меланж, размер M")</f>
      </c>
      <c r="C19902" s="4" t="n">
        <v>1790.00</v>
      </c>
      <c r="D19902" s="4"/>
    </row>
    <row collapsed="" customFormat="false" customHeight="1" hidden="" ht="14" outlineLevel="0" r="19903">
      <c r="A19903" s="3" t="inlineStr">
        <is>
          <t>19855</t>
        </is>
      </c>
      <c r="B19903" s="4" t="s">
        <f>=HYPERLINK("http://anyluxury.ru/shop/odezhda/rubashki-polo/rubashka-polo-zhenskaya-dnm-forward-seriy-melanzh-pwd31933/" , "PWD31933 Рубашка поло женская DNM Forward серый меланж, размер L")</f>
      </c>
      <c r="C19903" s="4" t="n">
        <v>1790.00</v>
      </c>
      <c r="D19903" s="4"/>
    </row>
    <row collapsed="" customFormat="false" customHeight="1" hidden="" ht="14" outlineLevel="0" r="19904">
      <c r="A19904" s="3" t="inlineStr">
        <is>
          <t>19856</t>
        </is>
      </c>
      <c r="B19904" s="4" t="s">
        <f>=HYPERLINK("http://anyluxury.ru/shop/odezhda/rubashki-polo/rubashka-polo-zhenskaya-dnm-forward-seriy-melanzh-pwd31933/" , "PWD31933 Рубашка поло женская DNM Forward серый меланж, размер XL")</f>
      </c>
      <c r="C19904" s="4" t="n">
        <v>1790.00</v>
      </c>
      <c r="D19904" s="4"/>
    </row>
    <row collapsed="" customFormat="false" customHeight="1" hidden="" ht="14" outlineLevel="0" r="19905">
      <c r="A19905" s="3" t="inlineStr">
        <is>
          <t>19857</t>
        </is>
      </c>
      <c r="B19905" s="4" t="s">
        <f>=HYPERLINK("http://anyluxury.ru/shop/odezhda/rubashki-polo/rubashka-polo-id001-korichnevaya-pui10145/" , "PUI10145 Рубашка поло ID.001 коричневая, размер M")</f>
      </c>
      <c r="C19905" s="4" t="n">
        <v>1190.00</v>
      </c>
      <c r="D19905" s="4"/>
    </row>
    <row collapsed="" customFormat="false" customHeight="1" hidden="" ht="14" outlineLevel="0" r="19906">
      <c r="A19906" s="3" t="inlineStr">
        <is>
          <t>19858</t>
        </is>
      </c>
      <c r="B19906" s="4" t="s">
        <f>=HYPERLINK("http://anyluxury.ru/shop/odezhda/rubashki-polo/rubashka-polo-id001-korichnevaya-pui10145/" , "PUI10145 Рубашка поло ID.001 коричневая, размер L")</f>
      </c>
      <c r="C19906" s="4" t="n">
        <v>1190.00</v>
      </c>
      <c r="D19906" s="4"/>
    </row>
    <row collapsed="" customFormat="false" customHeight="1" hidden="" ht="14" outlineLevel="0" r="19907">
      <c r="A19907" s="3" t="inlineStr">
        <is>
          <t>19859</t>
        </is>
      </c>
      <c r="B19907" s="4" t="s">
        <f>=HYPERLINK("http://anyluxury.ru/shop/odezhda/rubashki-polo/rubashka-polo-id001-korichnevaya-pui10145/" , "PUI10145 Рубашка поло ID.001 коричневая, размер XL")</f>
      </c>
      <c r="C19907" s="4" t="n">
        <v>1190.00</v>
      </c>
      <c r="D19907" s="4"/>
    </row>
    <row collapsed="" customFormat="false" customHeight="1" hidden="" ht="14" outlineLevel="0" r="19908">
      <c r="A19908" s="3" t="inlineStr">
        <is>
          <t>19860</t>
        </is>
      </c>
      <c r="B19908" s="4" t="s">
        <f>=HYPERLINK("http://anyluxury.ru/shop/odezhda/rubashki-polo/rubashka-polo-id001-korichnevaya-pui10145/" , "PUI10145 Рубашка поло ID.001 коричневая, размер XXL")</f>
      </c>
      <c r="C19908" s="4" t="n">
        <v>1190.00</v>
      </c>
      <c r="D19908" s="4"/>
    </row>
    <row collapsed="" customFormat="false" customHeight="1" hidden="" ht="14" outlineLevel="0" r="19909">
      <c r="A19909" s="3" t="inlineStr">
        <is>
          <t>19861</t>
        </is>
      </c>
      <c r="B19909" s="4" t="s">
        <f>=HYPERLINK("http://anyluxury.ru/shop/odezhda/rubashki-polo/rubashka-polo-id001-korichnevaya-pui10145/" , "PUI10145 Рубашка поло ID.001 коричневая, размер XS")</f>
      </c>
      <c r="C19909" s="4" t="n">
        <v>783.00</v>
      </c>
      <c r="D19909" s="4"/>
    </row>
    <row collapsed="" customFormat="false" customHeight="1" hidden="" ht="14" outlineLevel="0" r="19910">
      <c r="A19910" s="3" t="inlineStr">
        <is>
          <t>19862</t>
        </is>
      </c>
      <c r="B19910" s="4" t="s">
        <f>=HYPERLINK("http://anyluxury.ru/shop/odezhda/rubashki-polo/rubashka-polo-id001-korichnevaya-pui10145/" , "PUI10145 Рубашка поло ID.001 коричневая, размер S")</f>
      </c>
      <c r="C19910" s="4" t="n">
        <v>783.00</v>
      </c>
      <c r="D19910" s="4"/>
    </row>
    <row collapsed="" customFormat="false" customHeight="1" hidden="" ht="14" outlineLevel="0" r="19911">
      <c r="A19911" s="3" t="inlineStr">
        <is>
          <t>19863</t>
        </is>
      </c>
      <c r="B19911" s="4" t="s">
        <f>=HYPERLINK("http://anyluxury.ru/shop/odezhda/rubashki-polo/rubashka-polo-id001-korichnevaya-pui10145/" , "PUI10145 Рубашка поло ID.001 коричневая, размер XXXL")</f>
      </c>
      <c r="C19911" s="4" t="n">
        <v>944.00</v>
      </c>
      <c r="D19911" s="4"/>
    </row>
    <row collapsed="" customFormat="false" customHeight="1" hidden="" ht="14" outlineLevel="0" r="19912">
      <c r="A19912" s="3" t="inlineStr">
        <is>
          <t>19864</t>
        </is>
      </c>
      <c r="B19912" s="4" t="s">
        <f>=HYPERLINK("http://anyluxury.ru/shop/odezhda/rubashki-polo/rubashka-polo-id001-korichnevaya-pui10145/" , "PUI10145 Рубашка поло ID.001 коричневая, размер XXXXL")</f>
      </c>
      <c r="C19912" s="4" t="n">
        <v>944.00</v>
      </c>
      <c r="D19912" s="4"/>
    </row>
    <row collapsed="" customFormat="false" customHeight="1" hidden="" ht="14" outlineLevel="0" r="19913">
      <c r="A19913" s="3" t="inlineStr">
        <is>
          <t>19865</t>
        </is>
      </c>
      <c r="B19913" s="4" t="s">
        <f>=HYPERLINK("http://anyluxury.ru/shop/odezhda/rubashki-polo/rubashka-polo-id001-korichnevaya-pui10145/" , "PUI10145 Рубашка поло ID.001 коричневая, размер XS")</f>
      </c>
      <c r="C19913" s="4" t="n">
        <v>995.00</v>
      </c>
      <c r="D19913" s="4"/>
    </row>
    <row collapsed="" customFormat="false" customHeight="1" hidden="" ht="14" outlineLevel="0" r="19914">
      <c r="A19914" s="3" t="inlineStr">
        <is>
          <t>19866</t>
        </is>
      </c>
      <c r="B19914" s="4" t="s">
        <f>=HYPERLINK("http://anyluxury.ru/shop/odezhda/rubashki-polo/rubashka-polo-id001-korichnevaya-pui10145/" , "PUI10145 Рубашка поло ID.001 коричневая, размер S")</f>
      </c>
      <c r="C19914" s="4" t="n">
        <v>995.00</v>
      </c>
      <c r="D19914" s="4"/>
    </row>
    <row collapsed="" customFormat="false" customHeight="1" hidden="" ht="14" outlineLevel="0" r="19915">
      <c r="A19915" s="3" t="inlineStr">
        <is>
          <t>19867</t>
        </is>
      </c>
      <c r="B19915" s="4" t="s">
        <f>=HYPERLINK("http://anyluxury.ru/shop/odezhda/rubashki-polo/rubashka-polo-id001-korichnevaya-pui10145/" , "PUI10145 Рубашка поло ID.001 коричневая, размер M")</f>
      </c>
      <c r="C19915" s="4" t="n">
        <v>995.00</v>
      </c>
      <c r="D19915" s="4"/>
    </row>
    <row collapsed="" customFormat="false" customHeight="1" hidden="" ht="14" outlineLevel="0" r="19916">
      <c r="A19916" s="3" t="inlineStr">
        <is>
          <t>19868</t>
        </is>
      </c>
      <c r="B19916" s="4" t="s">
        <f>=HYPERLINK("http://anyluxury.ru/shop/odezhda/rubashki-polo/rubashka-polo-id001-korichnevaya-pui10145/" , "PUI10145 Рубашка поло ID.001 коричневая, размер L")</f>
      </c>
      <c r="C19916" s="4" t="n">
        <v>995.00</v>
      </c>
      <c r="D19916" s="4"/>
    </row>
    <row collapsed="" customFormat="false" customHeight="1" hidden="" ht="14" outlineLevel="0" r="19917">
      <c r="A19917" s="3" t="inlineStr">
        <is>
          <t>19869</t>
        </is>
      </c>
      <c r="B19917" s="4" t="s">
        <f>=HYPERLINK("http://anyluxury.ru/shop/odezhda/rubashki-polo/rubashka-polo-id001-korichnevaya-pui10145/" , "PUI10145 Рубашка поло ID.001 коричневая, размер XL")</f>
      </c>
      <c r="C19917" s="4" t="n">
        <v>995.00</v>
      </c>
      <c r="D19917" s="4"/>
    </row>
    <row collapsed="" customFormat="false" customHeight="1" hidden="" ht="14" outlineLevel="0" r="19918">
      <c r="A19918" s="3" t="inlineStr">
        <is>
          <t>19870</t>
        </is>
      </c>
      <c r="B19918" s="4" t="s">
        <f>=HYPERLINK("http://anyluxury.ru/shop/odezhda/rubashki-polo/rubashka-polo-id001-korichnevaya-pui10145/" , "PUI10145 Рубашка поло ID.001 коричневая, размер XXL")</f>
      </c>
      <c r="C19918" s="4" t="n">
        <v>995.00</v>
      </c>
      <c r="D19918" s="4"/>
    </row>
    <row collapsed="" customFormat="false" customHeight="1" hidden="" ht="14" outlineLevel="0" r="19919">
      <c r="A19919" s="3" t="inlineStr">
        <is>
          <t>19871</t>
        </is>
      </c>
      <c r="B19919" s="4" t="s">
        <f>=HYPERLINK("http://anyluxury.ru/shop/odezhda/rubashki-polo/rubashka-polo-id001-korichnevaya-pui10145/" , "PUI10145 Рубашка поло ID.001 коричневая, размер XXXL")</f>
      </c>
      <c r="C19919" s="4" t="n">
        <v>1198.00</v>
      </c>
      <c r="D19919" s="4"/>
    </row>
    <row collapsed="" customFormat="false" customHeight="1" hidden="" ht="14" outlineLevel="0" r="19920">
      <c r="A19920" s="3" t="inlineStr">
        <is>
          <t>19872</t>
        </is>
      </c>
      <c r="B19920" s="4" t="s">
        <f>=HYPERLINK("http://anyluxury.ru/shop/odezhda/rubashki-polo/rubashka-polo-id001-korichnevaya-pui10145/" , "PUI10145 Рубашка поло ID.001 коричневая, размер XXXXL")</f>
      </c>
      <c r="C19920" s="4" t="n">
        <v>1198.00</v>
      </c>
      <c r="D19920" s="4"/>
    </row>
    <row collapsed="" customFormat="false" customHeight="1" hidden="" ht="14" outlineLevel="0" r="19921">
      <c r="A19921" s="3" t="inlineStr">
        <is>
          <t>19873</t>
        </is>
      </c>
      <c r="B19921" s="4" t="s">
        <f>=HYPERLINK("http://anyluxury.ru/shop/odezhda/rubashki-polo/rubashka-polo-muzhskaya-inspire-belaya-pm430001/" , "PM430001 Рубашка поло мужская Inspire белая, размер S")</f>
      </c>
      <c r="C19921" s="4" t="n">
        <v>1265.00</v>
      </c>
      <c r="D19921" s="4"/>
    </row>
    <row collapsed="" customFormat="false" customHeight="1" hidden="" ht="14" outlineLevel="0" r="19922">
      <c r="A19922" s="3" t="inlineStr">
        <is>
          <t>19874</t>
        </is>
      </c>
      <c r="B19922" s="4" t="s">
        <f>=HYPERLINK("http://anyluxury.ru/shop/odezhda/rubashki-polo/rubashka-polo-muzhskaya-inspire-belaya-pm430001/" , "PM430001 Рубашка поло мужская Inspire белая, размер XL")</f>
      </c>
      <c r="C19922" s="4" t="n">
        <v>1265.00</v>
      </c>
      <c r="D19922" s="4"/>
    </row>
    <row collapsed="" customFormat="false" customHeight="1" hidden="" ht="14" outlineLevel="0" r="19923">
      <c r="A19923" s="3" t="inlineStr">
        <is>
          <t>19875</t>
        </is>
      </c>
      <c r="B19923" s="4" t="s">
        <f>=HYPERLINK("http://anyluxury.ru/shop/odezhda/rubashki-polo/rubashka-polo-muzhskaya-inspire-belaya-pm430001/" , "PM430001 Рубашка поло мужская Inspire белая, размер XXL")</f>
      </c>
      <c r="C19923" s="4" t="n">
        <v>1265.00</v>
      </c>
      <c r="D19923" s="4"/>
    </row>
    <row collapsed="" customFormat="false" customHeight="1" hidden="" ht="14" outlineLevel="0" r="19924">
      <c r="A19924" s="3" t="inlineStr">
        <is>
          <t>19876</t>
        </is>
      </c>
      <c r="B19924" s="4" t="s">
        <f>=HYPERLINK("http://anyluxury.ru/shop/odezhda/rubashki-polo/rubashka-polo-muzhskaya-inspire-chernaya-pm430002/" , "PM430002 Рубашка поло мужская Inspire черная, размер S")</f>
      </c>
      <c r="C19924" s="4" t="n">
        <v>1433.00</v>
      </c>
      <c r="D19924" s="4"/>
    </row>
    <row collapsed="" customFormat="false" customHeight="1" hidden="" ht="14" outlineLevel="0" r="19925">
      <c r="A19925" s="3" t="inlineStr">
        <is>
          <t>19877</t>
        </is>
      </c>
      <c r="B19925" s="4" t="s">
        <f>=HYPERLINK("http://anyluxury.ru/shop/odezhda/rubashki-polo/rubashka-polo-muzhskaya-inspire-chernaya-pm430002/" , "PM430002 Рубашка поло мужская Inspire черная, размер XL")</f>
      </c>
      <c r="C19925" s="4" t="n">
        <v>1433.00</v>
      </c>
      <c r="D19925" s="4"/>
    </row>
    <row collapsed="" customFormat="false" customHeight="1" hidden="" ht="14" outlineLevel="0" r="19926">
      <c r="A19926" s="3" t="inlineStr">
        <is>
          <t>19878</t>
        </is>
      </c>
      <c r="B19926" s="4" t="s">
        <f>=HYPERLINK("http://anyluxury.ru/shop/odezhda/rubashki-polo/rubashka-polo-muzhskaya-inspire-chernaya-pm430002/" , "PM430002 Рубашка поло мужская Inspire черная, размер XXL")</f>
      </c>
      <c r="C19926" s="4" t="n">
        <v>1433.00</v>
      </c>
      <c r="D19926" s="4"/>
    </row>
    <row collapsed="" customFormat="false" customHeight="1" hidden="" ht="14" outlineLevel="0" r="19927">
      <c r="A19927" s="3" t="inlineStr">
        <is>
          <t>19879</t>
        </is>
      </c>
      <c r="B19927" s="4" t="s">
        <f>=HYPERLINK("http://anyluxury.ru/shop/odezhda/rubashki-polo/rubashka-polo-muzhskaya-inspire-sinyaya-pm430008/" , "PM430008 Рубашка поло мужская Inspire синяя, размер S")</f>
      </c>
      <c r="C19927" s="4" t="n">
        <v>1433.00</v>
      </c>
      <c r="D19927" s="4"/>
    </row>
    <row collapsed="" customFormat="false" customHeight="1" hidden="" ht="14" outlineLevel="0" r="19928">
      <c r="A19928" s="3" t="inlineStr">
        <is>
          <t>19880</t>
        </is>
      </c>
      <c r="B19928" s="4" t="s">
        <f>=HYPERLINK("http://anyluxury.ru/shop/odezhda/rubashki-polo/rubashka-polo-muzhskaya-inspire-sinyaya-pm430008/" , "PM430008 Рубашка поло мужская Inspire синяя, размер M")</f>
      </c>
      <c r="C19928" s="4" t="n">
        <v>1433.00</v>
      </c>
      <c r="D19928" s="4"/>
    </row>
    <row collapsed="" customFormat="false" customHeight="1" hidden="" ht="14" outlineLevel="0" r="19929">
      <c r="A19929" s="3" t="inlineStr">
        <is>
          <t>19881</t>
        </is>
      </c>
      <c r="B19929" s="4" t="s">
        <f>=HYPERLINK("http://anyluxury.ru/shop/odezhda/rubashki-polo/rubashka-polo-muzhskaya-inspire-sinyaya-pm430008/" , "PM430008 Рубашка поло мужская Inspire синяя, размер L")</f>
      </c>
      <c r="C19929" s="4" t="n">
        <v>1433.00</v>
      </c>
      <c r="D19929" s="4"/>
    </row>
    <row collapsed="" customFormat="false" customHeight="1" hidden="" ht="14" outlineLevel="0" r="19930">
      <c r="A19930" s="3" t="inlineStr">
        <is>
          <t>19882</t>
        </is>
      </c>
      <c r="B19930" s="4" t="s">
        <f>=HYPERLINK("http://anyluxury.ru/shop/odezhda/rubashki-polo/rubashka-polo-muzhskaya-inspire-sinyaya-pm430008/" , "PM430008 Рубашка поло мужская Inspire синяя, размер XL")</f>
      </c>
      <c r="C19930" s="4" t="n">
        <v>1433.00</v>
      </c>
      <c r="D19930" s="4"/>
    </row>
    <row collapsed="" customFormat="false" customHeight="1" hidden="" ht="14" outlineLevel="0" r="19931">
      <c r="A19931" s="3" t="inlineStr">
        <is>
          <t>19883</t>
        </is>
      </c>
      <c r="B19931" s="4" t="s">
        <f>=HYPERLINK("http://anyluxury.ru/shop/odezhda/rubashki-polo/rubashka-polo-muzhskaya-inspire-sinyaya-pm430008/" , "PM430008 Рубашка поло мужская Inspire синяя, размер XXL")</f>
      </c>
      <c r="C19931" s="4" t="n">
        <v>1433.00</v>
      </c>
      <c r="D19931" s="4"/>
    </row>
    <row collapsed="" customFormat="false" customHeight="1" hidden="" ht="14" outlineLevel="0" r="19932">
      <c r="A19932" s="3" t="inlineStr">
        <is>
          <t>19884</t>
        </is>
      </c>
      <c r="B19932" s="4" t="s">
        <f>=HYPERLINK("http://anyluxury.ru/shop/odezhda/rubashki-polo/rubashka-polo-zhenskaya-inspire-chernaya-pw440002/" , "PW440002 Рубашка поло женская Inspire черная, размер S")</f>
      </c>
      <c r="C19932" s="4" t="n">
        <v>1440.00</v>
      </c>
      <c r="D19932" s="4"/>
    </row>
    <row collapsed="" customFormat="false" customHeight="1" hidden="" ht="14" outlineLevel="0" r="19933">
      <c r="A19933" s="3" t="inlineStr">
        <is>
          <t>19885</t>
        </is>
      </c>
      <c r="B19933" s="4" t="s">
        <f>=HYPERLINK("http://anyluxury.ru/shop/odezhda/rubashki-polo/rubashka-polo-zhenskaya-inspire-chernaya-pw440002/" , "PW440002 Рубашка поло женская Inspire черная, размер XL")</f>
      </c>
      <c r="C19933" s="4" t="n">
        <v>1440.00</v>
      </c>
      <c r="D19933" s="4"/>
    </row>
    <row collapsed="" customFormat="false" customHeight="1" hidden="" ht="14" outlineLevel="0" r="19934">
      <c r="A19934" s="3" t="inlineStr">
        <is>
          <t>19886</t>
        </is>
      </c>
      <c r="B19934" s="4" t="s">
        <f>=HYPERLINK("http://anyluxury.ru/shop/odezhda/rubashki-polo/rubashka-polo-zhenskaya-inspire-sinyaya-pw440008/" , "PW440008 Рубашка поло женская Inspire синяя, размер M")</f>
      </c>
      <c r="C19934" s="4" t="n">
        <v>1440.00</v>
      </c>
      <c r="D19934" s="4"/>
    </row>
    <row collapsed="" customFormat="false" customHeight="1" hidden="" ht="14" outlineLevel="0" r="19935">
      <c r="A19935" s="3" t="inlineStr">
        <is>
          <t>19887</t>
        </is>
      </c>
      <c r="B19935" s="4" t="s">
        <f>=HYPERLINK("http://anyluxury.ru/shop/odezhda/rubashki-polo/rubashka-polo-zhenskaya-inspire-sinyaya-pw440008/" , "PW440008 Рубашка поло женская Inspire синяя, размер L")</f>
      </c>
      <c r="C19935" s="4" t="n">
        <v>1440.00</v>
      </c>
      <c r="D19935" s="4"/>
    </row>
    <row collapsed="" customFormat="false" customHeight="1" hidden="" ht="14" outlineLevel="0" r="19936">
      <c r="A19936" s="3" t="inlineStr">
        <is>
          <t>19888</t>
        </is>
      </c>
      <c r="B19936" s="4" t="s">
        <f>=HYPERLINK("http://anyluxury.ru/shop/odezhda/rubashki-polo/rubashka-polo-zhenskaya-inspire-sinyaya-pw440008/" , "PW440008 Рубашка поло женская Inspire синяя, размер XL")</f>
      </c>
      <c r="C19936" s="4" t="n">
        <v>1440.00</v>
      </c>
      <c r="D19936" s="4"/>
    </row>
    <row collapsed="" customFormat="false" customHeight="1" hidden="" ht="14" outlineLevel="0" r="19937">
      <c r="A19937" s="3" t="inlineStr">
        <is>
          <t>19889</t>
        </is>
      </c>
      <c r="B19937" s="4" t="s">
        <f>=HYPERLINK("http://anyluxury.ru/shop/odezhda/rubashki-polo/rubashka-polo-muzhskaya-prestige-men-temnosinyaya-02949319/" , "02949319 Рубашка поло мужская PRESTIGE MEN темно-синяя, размер S")</f>
      </c>
      <c r="C19937" s="4" t="n">
        <v>2206.00</v>
      </c>
      <c r="D19937" s="4"/>
    </row>
    <row collapsed="" customFormat="false" customHeight="1" hidden="" ht="14" outlineLevel="0" r="19938">
      <c r="A19938" s="3" t="inlineStr">
        <is>
          <t>19890</t>
        </is>
      </c>
      <c r="B19938" s="4" t="s">
        <f>=HYPERLINK("http://anyluxury.ru/shop/odezhda/rubashki-polo/rubashka-polo-muzhskaya-prestige-men-temnosinyaya-02949319/" , "02949319 Рубашка поло мужская PRESTIGE MEN темно-синяя, размер M")</f>
      </c>
      <c r="C19938" s="4" t="n">
        <v>2206.00</v>
      </c>
      <c r="D19938" s="4"/>
    </row>
    <row collapsed="" customFormat="false" customHeight="1" hidden="" ht="14" outlineLevel="0" r="19939">
      <c r="A19939" s="3" t="inlineStr">
        <is>
          <t>19891</t>
        </is>
      </c>
      <c r="B19939" s="4" t="s">
        <f>=HYPERLINK("http://anyluxury.ru/shop/odezhda/rubashki-polo/rubashka-polo-muzhskaya-prestige-men-temnosinyaya-02949319/" , "02949319 Рубашка поло мужская PRESTIGE MEN темно-синяя, размер L")</f>
      </c>
      <c r="C19939" s="4" t="n">
        <v>2206.00</v>
      </c>
      <c r="D19939" s="4"/>
    </row>
    <row collapsed="" customFormat="false" customHeight="1" hidden="" ht="14" outlineLevel="0" r="19940">
      <c r="A19940" s="3" t="inlineStr">
        <is>
          <t>19892</t>
        </is>
      </c>
      <c r="B19940" s="4" t="s">
        <f>=HYPERLINK("http://anyluxury.ru/shop/odezhda/rubashki-polo/rubashka-polo-muzhskaya-prestige-men-temnosinyaya-02949319/" , "02949319 Рубашка поло мужская PRESTIGE MEN темно-синяя, размер XL")</f>
      </c>
      <c r="C19940" s="4" t="n">
        <v>2206.00</v>
      </c>
      <c r="D19940" s="4"/>
    </row>
    <row collapsed="" customFormat="false" customHeight="1" hidden="" ht="14" outlineLevel="0" r="19941">
      <c r="A19941" s="3" t="inlineStr">
        <is>
          <t>19893</t>
        </is>
      </c>
      <c r="B19941" s="4" t="s">
        <f>=HYPERLINK("http://anyluxury.ru/shop/odezhda/rubashki-polo/rubashka-polo-muzhskaya-prestige-men-temnosinyaya-02949319/" , "02949319 Рубашка поло мужская PRESTIGE MEN темно-синяя, размер XXL")</f>
      </c>
      <c r="C19941" s="4" t="n">
        <v>2206.00</v>
      </c>
      <c r="D19941" s="4"/>
    </row>
    <row collapsed="" customFormat="false" customHeight="1" hidden="" ht="14" outlineLevel="0" r="19942">
      <c r="A19942" s="3" t="inlineStr">
        <is>
          <t>19894</t>
        </is>
      </c>
      <c r="B19942" s="4" t="s">
        <f>=HYPERLINK("http://anyluxury.ru/shop/odezhda/rubashki-polo/rubashka-polo-muzhskaya-prestige-men-temnosinyaya-02949319/" , "02949319 Рубашка поло мужская PRESTIGE MEN темно-синяя, размер 3XL")</f>
      </c>
      <c r="C19942" s="4" t="n">
        <v>2422.00</v>
      </c>
      <c r="D19942" s="4"/>
    </row>
    <row collapsed="" customFormat="false" customHeight="1" hidden="" ht="14" outlineLevel="0" r="19943">
      <c r="A19943" s="3" t="inlineStr">
        <is>
          <t>19895</t>
        </is>
      </c>
      <c r="B19943" s="4" t="s">
        <f>=HYPERLINK("http://anyluxury.ru/shop/odezhda/rubashki-polo/rubashka-polo-muzhskaya-prestige-men-yarkosinyaya-02949241/" , "02949241 Рубашка поло мужская PRESTIGE MEN ярко-синяя, размер S")</f>
      </c>
      <c r="C19943" s="4" t="n">
        <v>2206.00</v>
      </c>
      <c r="D19943" s="4"/>
    </row>
    <row collapsed="" customFormat="false" customHeight="1" hidden="" ht="14" outlineLevel="0" r="19944">
      <c r="A19944" s="3" t="inlineStr">
        <is>
          <t>19896</t>
        </is>
      </c>
      <c r="B19944" s="4" t="s">
        <f>=HYPERLINK("http://anyluxury.ru/shop/odezhda/rubashki-polo/rubashka-polo-muzhskaya-prestige-men-belaya-02949102/" , "02949102 Рубашка поло мужская PRESTIGE MEN белая, размер S")</f>
      </c>
      <c r="C19944" s="4" t="n">
        <v>2099.00</v>
      </c>
      <c r="D19944" s="4"/>
    </row>
    <row collapsed="" customFormat="false" customHeight="1" hidden="" ht="14" outlineLevel="0" r="19945">
      <c r="A19945" s="3" t="inlineStr">
        <is>
          <t>19897</t>
        </is>
      </c>
      <c r="B19945" s="4" t="s">
        <f>=HYPERLINK("http://anyluxury.ru/shop/odezhda/rubashki-polo/rubashka-polo-muzhskaya-prestige-men-belaya-02949102/" , "02949102 Рубашка поло мужская PRESTIGE MEN белая, размер M")</f>
      </c>
      <c r="C19945" s="4" t="n">
        <v>2099.00</v>
      </c>
      <c r="D19945" s="4"/>
    </row>
    <row collapsed="" customFormat="false" customHeight="1" hidden="" ht="14" outlineLevel="0" r="19946">
      <c r="A19946" s="3" t="inlineStr">
        <is>
          <t>19898</t>
        </is>
      </c>
      <c r="B19946" s="4" t="s">
        <f>=HYPERLINK("http://anyluxury.ru/shop/odezhda/rubashki-polo/rubashka-polo-muzhskaya-prestige-men-belaya-02949102/" , "02949102 Рубашка поло мужская PRESTIGE MEN белая, размер L")</f>
      </c>
      <c r="C19946" s="4" t="n">
        <v>2099.00</v>
      </c>
      <c r="D19946" s="4"/>
    </row>
    <row collapsed="" customFormat="false" customHeight="1" hidden="" ht="14" outlineLevel="0" r="19947">
      <c r="A19947" s="3" t="inlineStr">
        <is>
          <t>19899</t>
        </is>
      </c>
      <c r="B19947" s="4" t="s">
        <f>=HYPERLINK("http://anyluxury.ru/shop/odezhda/rubashki-polo/rubashka-polo-muzhskaya-prestige-men-belaya-02949102/" , "02949102 Рубашка поло мужская PRESTIGE MEN белая, размер XL")</f>
      </c>
      <c r="C19947" s="4" t="n">
        <v>2099.00</v>
      </c>
      <c r="D19947" s="4"/>
    </row>
    <row collapsed="" customFormat="false" customHeight="1" hidden="" ht="14" outlineLevel="0" r="19948">
      <c r="A19948" s="3" t="inlineStr">
        <is>
          <t>19900</t>
        </is>
      </c>
      <c r="B19948" s="4" t="s">
        <f>=HYPERLINK("http://anyluxury.ru/shop/odezhda/rubashki-polo/rubashka-polo-muzhskaya-prestige-men-belaya-02949102/" , "02949102 Рубашка поло мужская PRESTIGE MEN белая, размер XXL")</f>
      </c>
      <c r="C19948" s="4" t="n">
        <v>2099.00</v>
      </c>
      <c r="D19948" s="4"/>
    </row>
    <row collapsed="" customFormat="false" customHeight="1" hidden="" ht="14" outlineLevel="0" r="19949">
      <c r="A19949" s="3" t="inlineStr">
        <is>
          <t>19901</t>
        </is>
      </c>
      <c r="B19949" s="4" t="s">
        <f>=HYPERLINK("http://anyluxury.ru/shop/odezhda/rubashki-polo/rubashka-polo-zhenskaya-prestige-women-temnosinyaya-02950319/" , "02950319 Рубашка поло женская PRESTIGE WOMEN темно-синяя, размер XL")</f>
      </c>
      <c r="C19949" s="4" t="n">
        <v>2162.00</v>
      </c>
      <c r="D19949" s="4"/>
    </row>
    <row collapsed="" customFormat="false" customHeight="1" hidden="" ht="14" outlineLevel="0" r="19950">
      <c r="A19950" s="3" t="inlineStr">
        <is>
          <t>19902</t>
        </is>
      </c>
      <c r="B19950" s="4" t="s">
        <f>=HYPERLINK("http://anyluxury.ru/shop/odezhda/rubashki-polo/rubashka-polo-zhenskaya-prestige-women-temnosinyaya-02950319/" , "02950319 Рубашка поло женская PRESTIGE WOMEN темно-синяя, размер XXL")</f>
      </c>
      <c r="C19950" s="4" t="n">
        <v>2162.00</v>
      </c>
      <c r="D19950" s="4"/>
    </row>
    <row collapsed="" customFormat="false" customHeight="1" hidden="" ht="14" outlineLevel="0" r="19951">
      <c r="A19951" s="3" t="inlineStr">
        <is>
          <t>19903</t>
        </is>
      </c>
      <c r="B19951" s="4" t="s">
        <f>=HYPERLINK("http://anyluxury.ru/shop/odezhda/rubashki-polo/rubashka-polo-zhenskaya-prestige-women-yarkosinyaya-02950241/" , "02950241 Рубашка поло женская PRESTIGE WOMEN ярко-синяя, размер S")</f>
      </c>
      <c r="C19951" s="4" t="n">
        <v>2162.00</v>
      </c>
      <c r="D19951" s="4"/>
    </row>
    <row collapsed="" customFormat="false" customHeight="1" hidden="" ht="14" outlineLevel="0" r="19952">
      <c r="A19952" s="3" t="inlineStr">
        <is>
          <t>19904</t>
        </is>
      </c>
      <c r="B19952" s="4" t="s">
        <f>=HYPERLINK("http://anyluxury.ru/shop/odezhda/rubashki-polo/rubashka-polo-zhenskaya-prestige-women-yarkosinyaya-02950241/" , "02950241 Рубашка поло женская PRESTIGE WOMEN ярко-синяя, размер M")</f>
      </c>
      <c r="C19952" s="4" t="n">
        <v>2162.00</v>
      </c>
      <c r="D19952" s="4"/>
    </row>
    <row collapsed="" customFormat="false" customHeight="1" hidden="" ht="14" outlineLevel="0" r="19953">
      <c r="A19953" s="3" t="inlineStr">
        <is>
          <t>19905</t>
        </is>
      </c>
      <c r="B19953" s="4" t="s">
        <f>=HYPERLINK("http://anyluxury.ru/shop/odezhda/rubashki-polo/rubashka-polo-zhenskaya-prestige-women-yarkosinyaya-02950241/" , "02950241 Рубашка поло женская PRESTIGE WOMEN ярко-синяя, размер L")</f>
      </c>
      <c r="C19953" s="4" t="n">
        <v>2162.00</v>
      </c>
      <c r="D19953" s="4"/>
    </row>
    <row collapsed="" customFormat="false" customHeight="1" hidden="" ht="14" outlineLevel="0" r="19954">
      <c r="A19954" s="3" t="inlineStr">
        <is>
          <t>19906</t>
        </is>
      </c>
      <c r="B19954" s="4" t="s">
        <f>=HYPERLINK("http://anyluxury.ru/shop/odezhda/rubashki-polo/rubashka-polo-zhenskaya-prestige-women-yarkosinyaya-02950241/" , "02950241 Рубашка поло женская PRESTIGE WOMEN ярко-синяя, размер XL")</f>
      </c>
      <c r="C19954" s="4" t="n">
        <v>2162.00</v>
      </c>
      <c r="D19954" s="4"/>
    </row>
    <row collapsed="" customFormat="false" customHeight="1" hidden="" ht="14" outlineLevel="0" r="19955">
      <c r="A19955" s="3" t="inlineStr">
        <is>
          <t>19907</t>
        </is>
      </c>
      <c r="B19955" s="4" t="s">
        <f>=HYPERLINK("http://anyluxury.ru/shop/odezhda/rubashki-polo/rubashka-polo-zhenskaya-prestige-women-yarkosinyaya-02950241/" , "02950241 Рубашка поло женская PRESTIGE WOMEN ярко-синяя, размер XXL")</f>
      </c>
      <c r="C19955" s="4" t="n">
        <v>2162.00</v>
      </c>
      <c r="D19955" s="4"/>
    </row>
    <row collapsed="" customFormat="false" customHeight="1" hidden="" ht="14" outlineLevel="0" r="19956">
      <c r="A19956" s="3" t="inlineStr">
        <is>
          <t>19908</t>
        </is>
      </c>
      <c r="B19956" s="4" t="s">
        <f>=HYPERLINK("http://anyluxury.ru/shop/odezhda/rubashki-polo/rubashka-polo-zhenskaya-prestige-women-belaya-02950102/" , "02950102 Рубашка поло женская PRESTIGE WOMEN белая, размер XXL")</f>
      </c>
      <c r="C19956" s="4" t="n">
        <v>2055.00</v>
      </c>
      <c r="D19956" s="4"/>
    </row>
    <row collapsed="" customFormat="false" customHeight="1" hidden="" ht="14" outlineLevel="0" r="19957">
      <c r="A19957" s="3" t="inlineStr">
        <is>
          <t>19909</t>
        </is>
      </c>
      <c r="B19957" s="4" t="s">
        <f>=HYPERLINK("http://anyluxury.ru/shop/odezhda/rubashki-polo/rubashka-polo-muzhskaya-virma-premium-seriy-melanzh-1114511/" , "11145.11 Рубашка поло мужская Virma Premium, серый меланж, размер S")</f>
      </c>
      <c r="C19957" s="4" t="n">
        <v>1104.00</v>
      </c>
      <c r="D19957" s="4"/>
    </row>
    <row collapsed="" customFormat="false" customHeight="1" hidden="" ht="14" outlineLevel="0" r="19958">
      <c r="A19958" s="3" t="inlineStr">
        <is>
          <t>19910</t>
        </is>
      </c>
      <c r="B19958" s="4" t="s">
        <f>=HYPERLINK("http://anyluxury.ru/shop/odezhda/rubashki-polo/rubashka-polo-muzhskaya-virma-premium-seriy-melanzh-1114511/" , "11145.11 Рубашка поло мужская Virma Premium, серый меланж, размер M")</f>
      </c>
      <c r="C19958" s="4" t="n">
        <v>1104.00</v>
      </c>
      <c r="D19958" s="4"/>
    </row>
    <row collapsed="" customFormat="false" customHeight="1" hidden="" ht="14" outlineLevel="0" r="19959">
      <c r="A19959" s="3" t="inlineStr">
        <is>
          <t>19911</t>
        </is>
      </c>
      <c r="B19959" s="4" t="s">
        <f>=HYPERLINK("http://anyluxury.ru/shop/odezhda/rubashki-polo/rubashka-polo-muzhskaya-virma-premium-seriy-melanzh-1114511/" , "11145.11 Рубашка поло мужская Virma Premium, серый меланж, размер XL")</f>
      </c>
      <c r="C19959" s="4" t="n">
        <v>1104.00</v>
      </c>
      <c r="D19959" s="4"/>
    </row>
    <row collapsed="" customFormat="false" customHeight="1" hidden="" ht="14" outlineLevel="0" r="19960">
      <c r="A19960" s="3" t="inlineStr">
        <is>
          <t>19912</t>
        </is>
      </c>
      <c r="B19960" s="4" t="s">
        <f>=HYPERLINK("http://anyluxury.ru/shop/odezhda/rubashki-polo/rubashka-polo-muzhskaya-virma-premium-seriy-melanzh-1114511/" , "11145.11 Рубашка поло мужская Virma Premium, серый меланж, размер XXL")</f>
      </c>
      <c r="C19960" s="4" t="n">
        <v>1104.00</v>
      </c>
      <c r="D19960" s="4"/>
    </row>
    <row collapsed="" customFormat="false" customHeight="1" hidden="" ht="14" outlineLevel="0" r="19961">
      <c r="A19961" s="3" t="inlineStr">
        <is>
          <t>19913</t>
        </is>
      </c>
      <c r="B19961" s="4" t="s">
        <f>=HYPERLINK("http://anyluxury.ru/shop/odezhda/rubashki-polo/rubashka-polo-muzhskaya-virma-premium-seriy-melanzh-1114511/" , "11145.11 Рубашка поло мужская Virma Premium, серый меланж, размер 3XL")</f>
      </c>
      <c r="C19961" s="4" t="n">
        <v>1104.00</v>
      </c>
      <c r="D19961" s="4"/>
    </row>
    <row collapsed="" customFormat="false" customHeight="1" hidden="" ht="14" outlineLevel="0" r="19962">
      <c r="A19962" s="3" t="inlineStr">
        <is>
          <t>19914</t>
        </is>
      </c>
      <c r="B19962" s="4" t="s">
        <f>=HYPERLINK("http://anyluxury.ru/shop/odezhda/rubashki-polo/rubashka-polo-muzhskaya-virma-premium-seriy-melanzh-1114511/" , "11145.11 Рубашка поло мужская Virma Premium, серый меланж, размер 4XL")</f>
      </c>
      <c r="C19962" s="4" t="n">
        <v>1104.00</v>
      </c>
      <c r="D19962" s="4"/>
    </row>
    <row collapsed="" customFormat="false" customHeight="1" hidden="" ht="14" outlineLevel="0" r="19963">
      <c r="A19963" s="3" t="inlineStr">
        <is>
          <t>19915</t>
        </is>
      </c>
      <c r="B19963" s="4" t="s">
        <f>=HYPERLINK("http://anyluxury.ru/shop/odezhda/rubashki-polo/rubashka-polo-muzhskaya-virma-premium-chernaya-1114530/" , "11145.30 Рубашка поло мужская Virma Premium, черная, размер S")</f>
      </c>
      <c r="C19963" s="4" t="n">
        <v>1104.00</v>
      </c>
      <c r="D19963" s="4"/>
    </row>
    <row collapsed="" customFormat="false" customHeight="1" hidden="" ht="14" outlineLevel="0" r="19964">
      <c r="A19964" s="3" t="inlineStr">
        <is>
          <t>19916</t>
        </is>
      </c>
      <c r="B19964" s="4" t="s">
        <f>=HYPERLINK("http://anyluxury.ru/shop/odezhda/rubashki-polo/rubashka-polo-muzhskaya-virma-premium-chernaya-1114530/" , "11145.30 Рубашка поло мужская Virma Premium, черная, размер M")</f>
      </c>
      <c r="C19964" s="4" t="n">
        <v>1104.00</v>
      </c>
      <c r="D19964" s="4"/>
    </row>
    <row collapsed="" customFormat="false" customHeight="1" hidden="" ht="14" outlineLevel="0" r="19965">
      <c r="A19965" s="3" t="inlineStr">
        <is>
          <t>19917</t>
        </is>
      </c>
      <c r="B19965" s="4" t="s">
        <f>=HYPERLINK("http://anyluxury.ru/shop/odezhda/rubashki-polo/rubashka-polo-muzhskaya-virma-premium-chernaya-1114530/" , "11145.30 Рубашка поло мужская Virma Premium, черная, размер XXL")</f>
      </c>
      <c r="C19965" s="4" t="n">
        <v>1104.00</v>
      </c>
      <c r="D19965" s="4"/>
    </row>
    <row collapsed="" customFormat="false" customHeight="1" hidden="" ht="14" outlineLevel="0" r="19966">
      <c r="A19966" s="3" t="inlineStr">
        <is>
          <t>19918</t>
        </is>
      </c>
      <c r="B19966" s="4" t="s">
        <f>=HYPERLINK("http://anyluxury.ru/shop/odezhda/rubashki-polo/rubashka-polo-muzhskaya-virma-premium-chernaya-1114530/" , "11145.30 Рубашка поло мужская Virma Premium, черная, размер 3XL")</f>
      </c>
      <c r="C19966" s="4" t="n">
        <v>1104.00</v>
      </c>
      <c r="D19966" s="4"/>
    </row>
    <row collapsed="" customFormat="false" customHeight="1" hidden="" ht="14" outlineLevel="0" r="19967">
      <c r="A19967" s="3" t="inlineStr">
        <is>
          <t>19919</t>
        </is>
      </c>
      <c r="B19967" s="4" t="s">
        <f>=HYPERLINK("http://anyluxury.ru/shop/odezhda/rubashki-polo/rubashka-polo-muzhskaya-virma-premium-chernaya-1114530/" , "11145.30 Рубашка поло мужская Virma Premium, черная, размер 4XL")</f>
      </c>
      <c r="C19967" s="4" t="n">
        <v>1104.00</v>
      </c>
      <c r="D19967" s="4"/>
    </row>
    <row collapsed="" customFormat="false" customHeight="1" hidden="" ht="14" outlineLevel="0" r="19968">
      <c r="A19968" s="3" t="inlineStr">
        <is>
          <t>19920</t>
        </is>
      </c>
      <c r="B19968" s="4" t="s">
        <f>=HYPERLINK("http://anyluxury.ru/shop/odezhda/rubashki-polo/rubashka-polo-muzhskaya-virma-premium-yarkosinyaya-royal-1114544/" , "11145.44 Рубашка поло мужская Virma Premium, ярко-синяя (royal), размер S")</f>
      </c>
      <c r="C19968" s="4" t="n">
        <v>1104.00</v>
      </c>
      <c r="D19968" s="4"/>
    </row>
    <row collapsed="" customFormat="false" customHeight="1" hidden="" ht="14" outlineLevel="0" r="19969">
      <c r="A19969" s="3" t="inlineStr">
        <is>
          <t>19921</t>
        </is>
      </c>
      <c r="B19969" s="4" t="s">
        <f>=HYPERLINK("http://anyluxury.ru/shop/odezhda/rubashki-polo/rubashka-polo-muzhskaya-virma-premium-yarkosinyaya-royal-1114544/" , "11145.44 Рубашка поло мужская Virma Premium, ярко-синяя (royal), размер L")</f>
      </c>
      <c r="C19969" s="4" t="n">
        <v>1104.00</v>
      </c>
      <c r="D19969" s="4"/>
    </row>
    <row collapsed="" customFormat="false" customHeight="1" hidden="" ht="14" outlineLevel="0" r="19970">
      <c r="A19970" s="3" t="inlineStr">
        <is>
          <t>19922</t>
        </is>
      </c>
      <c r="B19970" s="4" t="s">
        <f>=HYPERLINK("http://anyluxury.ru/shop/odezhda/rubashki-polo/rubashka-polo-muzhskaya-virma-premium-yarkosinyaya-royal-1114544/" , "11145.44 Рубашка поло мужская Virma Premium, ярко-синяя (royal), размер XL")</f>
      </c>
      <c r="C19970" s="4" t="n">
        <v>1104.00</v>
      </c>
      <c r="D19970" s="4"/>
    </row>
    <row collapsed="" customFormat="false" customHeight="1" hidden="" ht="14" outlineLevel="0" r="19971">
      <c r="A19971" s="3" t="inlineStr">
        <is>
          <t>19923</t>
        </is>
      </c>
      <c r="B19971" s="4" t="s">
        <f>=HYPERLINK("http://anyluxury.ru/shop/odezhda/rubashki-polo/rubashka-polo-muzhskaya-virma-premium-yarkosinyaya-royal-1114544/" , "11145.44 Рубашка поло мужская Virma Premium, ярко-синяя (royal), размер XXL")</f>
      </c>
      <c r="C19971" s="4" t="n">
        <v>1104.00</v>
      </c>
      <c r="D19971" s="4"/>
    </row>
    <row collapsed="" customFormat="false" customHeight="1" hidden="" ht="14" outlineLevel="0" r="19972">
      <c r="A19972" s="3" t="inlineStr">
        <is>
          <t>19924</t>
        </is>
      </c>
      <c r="B19972" s="4" t="s">
        <f>=HYPERLINK("http://anyluxury.ru/shop/odezhda/rubashki-polo/rubashka-polo-muzhskaya-virma-premium-yarkosinyaya-royal-1114544/" , "11145.44 Рубашка поло мужская Virma Premium, ярко-синяя (royal), размер 3XL")</f>
      </c>
      <c r="C19972" s="4" t="n">
        <v>1104.00</v>
      </c>
      <c r="D19972" s="4"/>
    </row>
    <row collapsed="" customFormat="false" customHeight="1" hidden="" ht="14" outlineLevel="0" r="19973">
      <c r="A19973" s="3" t="inlineStr">
        <is>
          <t>19925</t>
        </is>
      </c>
      <c r="B19973" s="4" t="s">
        <f>=HYPERLINK("http://anyluxury.ru/shop/odezhda/rubashki-polo/rubashka-polo-muzhskaya-virma-premium-krasnaya-1114550/" , "11145.50 Рубашка поло мужская Virma Premium, красная, размер S")</f>
      </c>
      <c r="C19973" s="4" t="n">
        <v>1104.00</v>
      </c>
      <c r="D19973" s="4"/>
    </row>
    <row collapsed="" customFormat="false" customHeight="1" hidden="" ht="14" outlineLevel="0" r="19974">
      <c r="A19974" s="3" t="inlineStr">
        <is>
          <t>19926</t>
        </is>
      </c>
      <c r="B19974" s="4" t="s">
        <f>=HYPERLINK("http://anyluxury.ru/shop/odezhda/rubashki-polo/rubashka-polo-muzhskaya-virma-premium-krasnaya-1114550/" , "11145.50 Рубашка поло мужская Virma Premium, красная, размер M")</f>
      </c>
      <c r="C19974" s="4" t="n">
        <v>1104.00</v>
      </c>
      <c r="D19974" s="4"/>
    </row>
    <row collapsed="" customFormat="false" customHeight="1" hidden="" ht="14" outlineLevel="0" r="19975">
      <c r="A19975" s="3" t="inlineStr">
        <is>
          <t>19927</t>
        </is>
      </c>
      <c r="B19975" s="4" t="s">
        <f>=HYPERLINK("http://anyluxury.ru/shop/odezhda/rubashki-polo/rubashka-polo-muzhskaya-virma-premium-krasnaya-1114550/" , "11145.50 Рубашка поло мужская Virma Premium, красная, размер L")</f>
      </c>
      <c r="C19975" s="4" t="n">
        <v>1104.00</v>
      </c>
      <c r="D19975" s="4"/>
    </row>
    <row collapsed="" customFormat="false" customHeight="1" hidden="" ht="14" outlineLevel="0" r="19976">
      <c r="A19976" s="3" t="inlineStr">
        <is>
          <t>19928</t>
        </is>
      </c>
      <c r="B19976" s="4" t="s">
        <f>=HYPERLINK("http://anyluxury.ru/shop/odezhda/rubashki-polo/rubashka-polo-muzhskaya-virma-premium-krasnaya-1114550/" , "11145.50 Рубашка поло мужская Virma Premium, красная, размер XL")</f>
      </c>
      <c r="C19976" s="4" t="n">
        <v>1104.00</v>
      </c>
      <c r="D19976" s="4"/>
    </row>
    <row collapsed="" customFormat="false" customHeight="1" hidden="" ht="14" outlineLevel="0" r="19977">
      <c r="A19977" s="3" t="inlineStr">
        <is>
          <t>19929</t>
        </is>
      </c>
      <c r="B19977" s="4" t="s">
        <f>=HYPERLINK("http://anyluxury.ru/shop/odezhda/rubashki-polo/rubashka-polo-muzhskaya-virma-premium-krasnaya-1114550/" , "11145.50 Рубашка поло мужская Virma Premium, красная, размер XXL")</f>
      </c>
      <c r="C19977" s="4" t="n">
        <v>1104.00</v>
      </c>
      <c r="D19977" s="4"/>
    </row>
    <row collapsed="" customFormat="false" customHeight="1" hidden="" ht="14" outlineLevel="0" r="19978">
      <c r="A19978" s="3" t="inlineStr">
        <is>
          <t>19930</t>
        </is>
      </c>
      <c r="B19978" s="4" t="s">
        <f>=HYPERLINK("http://anyluxury.ru/shop/odezhda/rubashki-polo/rubashka-polo-muzhskaya-virma-premium-belaya-1114560/" , "11145.60 Рубашка поло мужская Virma Premium, белая, размер S")</f>
      </c>
      <c r="C19978" s="4" t="n">
        <v>1104.00</v>
      </c>
      <c r="D19978" s="4"/>
    </row>
    <row collapsed="" customFormat="false" customHeight="1" hidden="" ht="14" outlineLevel="0" r="19979">
      <c r="A19979" s="3" t="inlineStr">
        <is>
          <t>19931</t>
        </is>
      </c>
      <c r="B19979" s="4" t="s">
        <f>=HYPERLINK("http://anyluxury.ru/shop/odezhda/rubashki-polo/rubashka-polo-muzhskaya-virma-premium-belaya-1114560/" , "11145.60 Рубашка поло мужская Virma Premium, белая, размер M")</f>
      </c>
      <c r="C19979" s="4" t="n">
        <v>1104.00</v>
      </c>
      <c r="D19979" s="4"/>
    </row>
    <row collapsed="" customFormat="false" customHeight="1" hidden="" ht="14" outlineLevel="0" r="19980">
      <c r="A19980" s="3" t="inlineStr">
        <is>
          <t>19932</t>
        </is>
      </c>
      <c r="B19980" s="4" t="s">
        <f>=HYPERLINK("http://anyluxury.ru/shop/odezhda/rubashki-polo/rubashka-polo-muzhskaya-virma-premium-belaya-1114560/" , "11145.60 Рубашка поло мужская Virma Premium, белая, размер L")</f>
      </c>
      <c r="C19980" s="4" t="n">
        <v>1104.00</v>
      </c>
      <c r="D19980" s="4"/>
    </row>
    <row collapsed="" customFormat="false" customHeight="1" hidden="" ht="14" outlineLevel="0" r="19981">
      <c r="A19981" s="3" t="inlineStr">
        <is>
          <t>19933</t>
        </is>
      </c>
      <c r="B19981" s="4" t="s">
        <f>=HYPERLINK("http://anyluxury.ru/shop/odezhda/rubashki-polo/rubashka-polo-muzhskaya-virma-premium-belaya-1114560/" , "11145.60 Рубашка поло мужская Virma Premium, белая, размер XL")</f>
      </c>
      <c r="C19981" s="4" t="n">
        <v>1104.00</v>
      </c>
      <c r="D19981" s="4"/>
    </row>
    <row collapsed="" customFormat="false" customHeight="1" hidden="" ht="14" outlineLevel="0" r="19982">
      <c r="A19982" s="3" t="inlineStr">
        <is>
          <t>19934</t>
        </is>
      </c>
      <c r="B19982" s="4" t="s">
        <f>=HYPERLINK("http://anyluxury.ru/shop/odezhda/rubashki-polo/rubashka-polo-muzhskaya-virma-premium-belaya-1114560/" , "11145.60 Рубашка поло мужская Virma Premium, белая, размер 3XL")</f>
      </c>
      <c r="C19982" s="4" t="n">
        <v>1104.00</v>
      </c>
      <c r="D19982" s="4"/>
    </row>
    <row collapsed="" customFormat="false" customHeight="1" hidden="" ht="14" outlineLevel="0" r="19983">
      <c r="A19983" s="3" t="inlineStr">
        <is>
          <t>19935</t>
        </is>
      </c>
      <c r="B19983" s="4" t="s">
        <f>=HYPERLINK("http://anyluxury.ru/shop/odezhda/rubashki-polo/rubashka-polo-muzhskaya-virma-premium-belaya-1114560/" , "11145.60 Рубашка поло мужская Virma Premium, белая, размер 4XL")</f>
      </c>
      <c r="C19983" s="4" t="n">
        <v>1104.00</v>
      </c>
      <c r="D19983" s="4"/>
    </row>
    <row collapsed="" customFormat="false" customHeight="1" hidden="" ht="14" outlineLevel="0" r="19984">
      <c r="A19984" s="3" t="inlineStr">
        <is>
          <t>19936</t>
        </is>
      </c>
      <c r="B19984" s="4" t="s">
        <f>=HYPERLINK("http://anyluxury.ru/shop/odezhda/rubashki-polo/rubashka-polo-zhenskaya-virma-premium-lady-seriy-melanzh-1114611/" , "11146.11 Рубашка поло женская Virma Premium Lady, серый меланж, размер S")</f>
      </c>
      <c r="C19984" s="4" t="n">
        <v>995.00</v>
      </c>
      <c r="D19984" s="4"/>
    </row>
    <row collapsed="" customFormat="false" customHeight="1" hidden="" ht="14" outlineLevel="0" r="19985">
      <c r="A19985" s="3" t="inlineStr">
        <is>
          <t>19937</t>
        </is>
      </c>
      <c r="B19985" s="4" t="s">
        <f>=HYPERLINK("http://anyluxury.ru/shop/odezhda/rubashki-polo/rubashka-polo-zhenskaya-virma-premium-lady-seriy-melanzh-1114611/" , "11146.11 Рубашка поло женская Virma Premium Lady, серый меланж, размер M")</f>
      </c>
      <c r="C19985" s="4" t="n">
        <v>995.00</v>
      </c>
      <c r="D19985" s="4"/>
    </row>
    <row collapsed="" customFormat="false" customHeight="1" hidden="" ht="14" outlineLevel="0" r="19986">
      <c r="A19986" s="3" t="inlineStr">
        <is>
          <t>19938</t>
        </is>
      </c>
      <c r="B19986" s="4" t="s">
        <f>=HYPERLINK("http://anyluxury.ru/shop/odezhda/rubashki-polo/rubashka-polo-zhenskaya-virma-premium-lady-seriy-melanzh-1114611/" , "11146.11 Рубашка поло женская Virma Premium Lady, серый меланж, размер XXL")</f>
      </c>
      <c r="C19986" s="4" t="n">
        <v>995.00</v>
      </c>
      <c r="D19986" s="4"/>
    </row>
    <row collapsed="" customFormat="false" customHeight="1" hidden="" ht="14" outlineLevel="0" r="19987">
      <c r="A19987" s="3" t="inlineStr">
        <is>
          <t>19939</t>
        </is>
      </c>
      <c r="B19987" s="4" t="s">
        <f>=HYPERLINK("http://anyluxury.ru/shop/odezhda/rubashki-polo/rubashka-polo-zhenskaya-virma-premium-lady-seriy-melanzh-1114611/" , "11146.11 Рубашка поло женская Virma Premium Lady, серый меланж, размер 3XL")</f>
      </c>
      <c r="C19987" s="4" t="n">
        <v>995.00</v>
      </c>
      <c r="D19987" s="4"/>
    </row>
    <row collapsed="" customFormat="false" customHeight="1" hidden="" ht="14" outlineLevel="0" r="19988">
      <c r="A19988" s="3" t="inlineStr">
        <is>
          <t>19940</t>
        </is>
      </c>
      <c r="B19988" s="4" t="s">
        <f>=HYPERLINK("http://anyluxury.ru/shop/odezhda/rubashki-polo/rubashka-polo-zhenskaya-virma-premium-lady-chernaya-1114630/" , "11146.30 Рубашка поло женская Virma Premium Lady, черная, размер S")</f>
      </c>
      <c r="C19988" s="4" t="n">
        <v>995.00</v>
      </c>
      <c r="D19988" s="4"/>
    </row>
    <row collapsed="" customFormat="false" customHeight="1" hidden="" ht="14" outlineLevel="0" r="19989">
      <c r="A19989" s="3" t="inlineStr">
        <is>
          <t>19941</t>
        </is>
      </c>
      <c r="B19989" s="4" t="s">
        <f>=HYPERLINK("http://anyluxury.ru/shop/odezhda/rubashki-polo/rubashka-polo-zhenskaya-virma-premium-lady-chernaya-1114630/" , "11146.30 Рубашка поло женская Virma Premium Lady, черная, размер M")</f>
      </c>
      <c r="C19989" s="4" t="n">
        <v>995.00</v>
      </c>
      <c r="D19989" s="4"/>
    </row>
    <row collapsed="" customFormat="false" customHeight="1" hidden="" ht="14" outlineLevel="0" r="19990">
      <c r="A19990" s="3" t="inlineStr">
        <is>
          <t>19942</t>
        </is>
      </c>
      <c r="B19990" s="4" t="s">
        <f>=HYPERLINK("http://anyluxury.ru/shop/odezhda/rubashki-polo/rubashka-polo-zhenskaya-virma-premium-lady-chernaya-1114630/" , "11146.30 Рубашка поло женская Virma Premium Lady, черная, размер L")</f>
      </c>
      <c r="C19990" s="4" t="n">
        <v>995.00</v>
      </c>
      <c r="D19990" s="4"/>
    </row>
    <row collapsed="" customFormat="false" customHeight="1" hidden="" ht="14" outlineLevel="0" r="19991">
      <c r="A19991" s="3" t="inlineStr">
        <is>
          <t>19943</t>
        </is>
      </c>
      <c r="B19991" s="4" t="s">
        <f>=HYPERLINK("http://anyluxury.ru/shop/odezhda/rubashki-polo/rubashka-polo-zhenskaya-virma-premium-lady-chernaya-1114630/" , "11146.30 Рубашка поло женская Virma Premium Lady, черная, размер XL")</f>
      </c>
      <c r="C19991" s="4" t="n">
        <v>995.00</v>
      </c>
      <c r="D19991" s="4"/>
    </row>
    <row collapsed="" customFormat="false" customHeight="1" hidden="" ht="14" outlineLevel="0" r="19992">
      <c r="A19992" s="3" t="inlineStr">
        <is>
          <t>19944</t>
        </is>
      </c>
      <c r="B19992" s="4" t="s">
        <f>=HYPERLINK("http://anyluxury.ru/shop/odezhda/rubashki-polo/rubashka-polo-zhenskaya-virma-premium-lady-chernaya-1114630/" , "11146.30 Рубашка поло женская Virma Premium Lady, черная, размер XXL")</f>
      </c>
      <c r="C19992" s="4" t="n">
        <v>995.00</v>
      </c>
      <c r="D19992" s="4"/>
    </row>
    <row collapsed="" customFormat="false" customHeight="1" hidden="" ht="14" outlineLevel="0" r="19993">
      <c r="A19993" s="3" t="inlineStr">
        <is>
          <t>19945</t>
        </is>
      </c>
      <c r="B19993" s="4" t="s">
        <f>=HYPERLINK("http://anyluxury.ru/shop/odezhda/rubashki-polo/rubashka-polo-zhenskaya-virma-premium-lady-chernaya-1114630/" , "11146.30 Рубашка поло женская Virma Premium Lady, черная, размер 3XL")</f>
      </c>
      <c r="C19993" s="4" t="n">
        <v>995.00</v>
      </c>
      <c r="D19993" s="4"/>
    </row>
    <row collapsed="" customFormat="false" customHeight="1" hidden="" ht="14" outlineLevel="0" r="19994">
      <c r="A19994" s="3" t="inlineStr">
        <is>
          <t>19946</t>
        </is>
      </c>
      <c r="B19994" s="4" t="s">
        <f>=HYPERLINK("http://anyluxury.ru/shop/odezhda/rubashki-polo/rubashka-polo-zhenskaya-virma-premium-lady-yarkosinyaya-1114644/" , "11146.44 Рубашка поло женская Virma Premium Lady, ярко-синяя, размер S")</f>
      </c>
      <c r="C19994" s="4" t="n">
        <v>995.00</v>
      </c>
      <c r="D19994" s="4"/>
    </row>
    <row collapsed="" customFormat="false" customHeight="1" hidden="" ht="14" outlineLevel="0" r="19995">
      <c r="A19995" s="3" t="inlineStr">
        <is>
          <t>19947</t>
        </is>
      </c>
      <c r="B19995" s="4" t="s">
        <f>=HYPERLINK("http://anyluxury.ru/shop/odezhda/rubashki-polo/rubashka-polo-zhenskaya-virma-premium-lady-yarkosinyaya-1114644/" , "11146.44 Рубашка поло женская Virma Premium Lady, ярко-синяя, размер M")</f>
      </c>
      <c r="C19995" s="4" t="n">
        <v>995.00</v>
      </c>
      <c r="D19995" s="4"/>
    </row>
    <row collapsed="" customFormat="false" customHeight="1" hidden="" ht="14" outlineLevel="0" r="19996">
      <c r="A19996" s="3" t="inlineStr">
        <is>
          <t>19948</t>
        </is>
      </c>
      <c r="B19996" s="4" t="s">
        <f>=HYPERLINK("http://anyluxury.ru/shop/odezhda/rubashki-polo/rubashka-polo-zhenskaya-virma-premium-lady-yarkosinyaya-1114644/" , "11146.44 Рубашка поло женская Virma Premium Lady, ярко-синяя, размер L")</f>
      </c>
      <c r="C19996" s="4" t="n">
        <v>995.00</v>
      </c>
      <c r="D19996" s="4"/>
    </row>
    <row collapsed="" customFormat="false" customHeight="1" hidden="" ht="14" outlineLevel="0" r="19997">
      <c r="A19997" s="3" t="inlineStr">
        <is>
          <t>19949</t>
        </is>
      </c>
      <c r="B19997" s="4" t="s">
        <f>=HYPERLINK("http://anyluxury.ru/shop/odezhda/rubashki-polo/rubashka-polo-zhenskaya-virma-premium-lady-yarkosinyaya-1114644/" , "11146.44 Рубашка поло женская Virma Premium Lady, ярко-синяя, размер XL")</f>
      </c>
      <c r="C19997" s="4" t="n">
        <v>995.00</v>
      </c>
      <c r="D19997" s="4"/>
    </row>
    <row collapsed="" customFormat="false" customHeight="1" hidden="" ht="14" outlineLevel="0" r="19998">
      <c r="A19998" s="3" t="inlineStr">
        <is>
          <t>19950</t>
        </is>
      </c>
      <c r="B19998" s="4" t="s">
        <f>=HYPERLINK("http://anyluxury.ru/shop/odezhda/rubashki-polo/rubashka-polo-zhenskaya-virma-premium-lady-yarkosinyaya-1114644/" , "11146.44 Рубашка поло женская Virma Premium Lady, ярко-синяя, размер XXL")</f>
      </c>
      <c r="C19998" s="4" t="n">
        <v>995.00</v>
      </c>
      <c r="D19998" s="4"/>
    </row>
    <row collapsed="" customFormat="false" customHeight="1" hidden="" ht="14" outlineLevel="0" r="19999">
      <c r="A19999" s="3" t="inlineStr">
        <is>
          <t>19951</t>
        </is>
      </c>
      <c r="B19999" s="4" t="s">
        <f>=HYPERLINK("http://anyluxury.ru/shop/odezhda/rubashki-polo/rubashka-polo-zhenskaya-virma-premium-lady-yarkosinyaya-1114644/" , "11146.44 Рубашка поло женская Virma Premium Lady, ярко-синяя, размер 3XL")</f>
      </c>
      <c r="C19999" s="4" t="n">
        <v>995.00</v>
      </c>
      <c r="D19999" s="4"/>
    </row>
    <row collapsed="" customFormat="false" customHeight="1" hidden="" ht="14" outlineLevel="0" r="20000">
      <c r="A20000" s="3" t="inlineStr">
        <is>
          <t>19952</t>
        </is>
      </c>
      <c r="B20000" s="4" t="s">
        <f>=HYPERLINK("http://anyluxury.ru/shop/odezhda/rubashki-polo/rubashka-polo-zhenskaya-virma-premium-lady-krasnaya-1114650/" , "11146.50 Рубашка поло женская Virma Premium Lady, красная, размер S")</f>
      </c>
      <c r="C20000" s="4" t="n">
        <v>995.00</v>
      </c>
      <c r="D20000" s="4"/>
    </row>
    <row collapsed="" customFormat="false" customHeight="1" hidden="" ht="14" outlineLevel="0" r="20001">
      <c r="A20001" s="3" t="inlineStr">
        <is>
          <t>19953</t>
        </is>
      </c>
      <c r="B20001" s="4" t="s">
        <f>=HYPERLINK("http://anyluxury.ru/shop/odezhda/rubashki-polo/rubashka-polo-zhenskaya-virma-premium-lady-krasnaya-1114650/" , "11146.50 Рубашка поло женская Virma Premium Lady, красная, размер M")</f>
      </c>
      <c r="C20001" s="4" t="n">
        <v>995.00</v>
      </c>
      <c r="D20001" s="4"/>
    </row>
    <row collapsed="" customFormat="false" customHeight="1" hidden="" ht="14" outlineLevel="0" r="20002">
      <c r="A20002" s="3" t="inlineStr">
        <is>
          <t>19954</t>
        </is>
      </c>
      <c r="B20002" s="4" t="s">
        <f>=HYPERLINK("http://anyluxury.ru/shop/odezhda/rubashki-polo/rubashka-polo-zhenskaya-virma-premium-lady-krasnaya-1114650/" , "11146.50 Рубашка поло женская Virma Premium Lady, красная, размер L")</f>
      </c>
      <c r="C20002" s="4" t="n">
        <v>995.00</v>
      </c>
      <c r="D20002" s="4"/>
    </row>
    <row collapsed="" customFormat="false" customHeight="1" hidden="" ht="14" outlineLevel="0" r="20003">
      <c r="A20003" s="3" t="inlineStr">
        <is>
          <t>19955</t>
        </is>
      </c>
      <c r="B20003" s="4" t="s">
        <f>=HYPERLINK("http://anyluxury.ru/shop/odezhda/rubashki-polo/rubashka-polo-zhenskaya-virma-premium-lady-belaya-1114660/" , "11146.60 Рубашка поло женская Virma Premium Lady, белая, размер XL")</f>
      </c>
      <c r="C20003" s="4" t="n">
        <v>995.00</v>
      </c>
      <c r="D20003" s="4"/>
    </row>
    <row collapsed="" customFormat="false" customHeight="1" hidden="" ht="14" outlineLevel="0" r="20004">
      <c r="A20004" s="3" t="inlineStr">
        <is>
          <t>19956</t>
        </is>
      </c>
      <c r="B20004" s="4" t="s">
        <f>=HYPERLINK("http://anyluxury.ru/shop/odezhda/rubashki-polo/rubashka-polo-zhenskaya-virma-premium-lady-belaya-1114660/" , "11146.60 Рубашка поло женская Virma Premium Lady, белая, размер XXL")</f>
      </c>
      <c r="C20004" s="4" t="n">
        <v>995.00</v>
      </c>
      <c r="D20004" s="4"/>
    </row>
    <row collapsed="" customFormat="false" customHeight="1" hidden="" ht="14" outlineLevel="0" r="20005">
      <c r="A20005" s="3" t="inlineStr">
        <is>
          <t>19957</t>
        </is>
      </c>
      <c r="B20005" s="4" t="s">
        <f>=HYPERLINK("http://anyluxury.ru/shop/odezhda/rubashki-polo/rubashka-polo-zhenskaya-virma-premium-lady-belaya-1114660/" , "11146.60 Рубашка поло женская Virma Premium Lady, белая, размер 3XL")</f>
      </c>
      <c r="C20005" s="4" t="n">
        <v>995.00</v>
      </c>
      <c r="D20005" s="4"/>
    </row>
    <row collapsed="" customFormat="false" customHeight="1" hidden="" ht="14" outlineLevel="0" r="20006">
      <c r="A20006" s="3" t="inlineStr">
        <is>
          <t>19958</t>
        </is>
      </c>
      <c r="B20006" s="4" t="s">
        <f>=HYPERLINK("http://anyluxury.ru/shop/odezhda/rubashki-polo/rubashka-polo-muzhskaya-virma-stretch-seriy-melanzh-1114311/" , "11143.11 Рубашка поло мужская Virma Stretch, серый меланж, размер S")</f>
      </c>
      <c r="C20006" s="4" t="n">
        <v>1648.00</v>
      </c>
      <c r="D20006" s="4"/>
    </row>
    <row collapsed="" customFormat="false" customHeight="1" hidden="" ht="14" outlineLevel="0" r="20007">
      <c r="A20007" s="3" t="inlineStr">
        <is>
          <t>19959</t>
        </is>
      </c>
      <c r="B20007" s="4" t="s">
        <f>=HYPERLINK("http://anyluxury.ru/shop/odezhda/rubashki-polo/rubashka-polo-muzhskaya-virma-stretch-seriy-melanzh-1114311/" , "11143.11 Рубашка поло мужская Virma Stretch, серый меланж, размер M")</f>
      </c>
      <c r="C20007" s="4" t="n">
        <v>1648.00</v>
      </c>
      <c r="D20007" s="4"/>
    </row>
    <row collapsed="" customFormat="false" customHeight="1" hidden="" ht="14" outlineLevel="0" r="20008">
      <c r="A20008" s="3" t="inlineStr">
        <is>
          <t>19960</t>
        </is>
      </c>
      <c r="B20008" s="4" t="s">
        <f>=HYPERLINK("http://anyluxury.ru/shop/odezhda/rubashki-polo/rubashka-polo-muzhskaya-virma-stretch-seriy-melanzh-1114311/" , "11143.11 Рубашка поло мужская Virma Stretch, серый меланж, размер L")</f>
      </c>
      <c r="C20008" s="4" t="n">
        <v>1648.00</v>
      </c>
      <c r="D20008" s="4"/>
    </row>
    <row collapsed="" customFormat="false" customHeight="1" hidden="" ht="14" outlineLevel="0" r="20009">
      <c r="A20009" s="3" t="inlineStr">
        <is>
          <t>19961</t>
        </is>
      </c>
      <c r="B20009" s="4" t="s">
        <f>=HYPERLINK("http://anyluxury.ru/shop/odezhda/rubashki-polo/rubashka-polo-muzhskaya-virma-stretch-seriy-melanzh-1114311/" , "11143.11 Рубашка поло мужская Virma Stretch, серый меланж, размер XL")</f>
      </c>
      <c r="C20009" s="4" t="n">
        <v>1648.00</v>
      </c>
      <c r="D20009" s="4"/>
    </row>
    <row collapsed="" customFormat="false" customHeight="1" hidden="" ht="14" outlineLevel="0" r="20010">
      <c r="A20010" s="3" t="inlineStr">
        <is>
          <t>19962</t>
        </is>
      </c>
      <c r="B20010" s="4" t="s">
        <f>=HYPERLINK("http://anyluxury.ru/shop/odezhda/rubashki-polo/rubashka-polo-muzhskaya-virma-stretch-seriy-melanzh-1114311/" , "11143.11 Рубашка поло мужская Virma Stretch, серый меланж, размер XXL")</f>
      </c>
      <c r="C20010" s="4" t="n">
        <v>1648.00</v>
      </c>
      <c r="D20010" s="4"/>
    </row>
    <row collapsed="" customFormat="false" customHeight="1" hidden="" ht="14" outlineLevel="0" r="20011">
      <c r="A20011" s="3" t="inlineStr">
        <is>
          <t>19963</t>
        </is>
      </c>
      <c r="B20011" s="4" t="s">
        <f>=HYPERLINK("http://anyluxury.ru/shop/odezhda/rubashki-polo/rubashka-polo-muzhskaya-virma-stretch-seriy-melanzh-1114311/" , "11143.11 Рубашка поло мужская Virma Stretch, серый меланж, размер 3XL")</f>
      </c>
      <c r="C20011" s="4" t="n">
        <v>1648.00</v>
      </c>
      <c r="D20011" s="4"/>
    </row>
    <row collapsed="" customFormat="false" customHeight="1" hidden="" ht="14" outlineLevel="0" r="20012">
      <c r="A20012" s="3" t="inlineStr">
        <is>
          <t>19964</t>
        </is>
      </c>
      <c r="B20012" s="4" t="s">
        <f>=HYPERLINK("http://anyluxury.ru/shop/odezhda/rubashki-polo/rubashka-polo-muzhskaya-virma-stretch-chernaya-1114330/" , "11143.30 Рубашка поло мужская Virma Stretch, черная, размер S")</f>
      </c>
      <c r="C20012" s="4" t="n">
        <v>1648.00</v>
      </c>
      <c r="D20012" s="4"/>
    </row>
    <row collapsed="" customFormat="false" customHeight="1" hidden="" ht="14" outlineLevel="0" r="20013">
      <c r="A20013" s="3" t="inlineStr">
        <is>
          <t>19965</t>
        </is>
      </c>
      <c r="B20013" s="4" t="s">
        <f>=HYPERLINK("http://anyluxury.ru/shop/odezhda/rubashki-polo/rubashka-polo-muzhskaya-virma-stretch-chernaya-1114330/" , "11143.30 Рубашка поло мужская Virma Stretch, черная, размер M")</f>
      </c>
      <c r="C20013" s="4" t="n">
        <v>1648.00</v>
      </c>
      <c r="D20013" s="4"/>
    </row>
    <row collapsed="" customFormat="false" customHeight="1" hidden="" ht="14" outlineLevel="0" r="20014">
      <c r="A20014" s="3" t="inlineStr">
        <is>
          <t>19966</t>
        </is>
      </c>
      <c r="B20014" s="4" t="s">
        <f>=HYPERLINK("http://anyluxury.ru/shop/odezhda/rubashki-polo/rubashka-polo-muzhskaya-virma-stretch-chernaya-1114330/" , "11143.30 Рубашка поло мужская Virma Stretch, черная, размер XL")</f>
      </c>
      <c r="C20014" s="4" t="n">
        <v>1648.00</v>
      </c>
      <c r="D20014" s="4"/>
    </row>
    <row collapsed="" customFormat="false" customHeight="1" hidden="" ht="14" outlineLevel="0" r="20015">
      <c r="A20015" s="3" t="inlineStr">
        <is>
          <t>19967</t>
        </is>
      </c>
      <c r="B20015" s="4" t="s">
        <f>=HYPERLINK("http://anyluxury.ru/shop/odezhda/rubashki-polo/rubashka-polo-muzhskaya-virma-stretch-chernaya-1114330/" , "11143.30 Рубашка поло мужская Virma Stretch, черная, размер XXL")</f>
      </c>
      <c r="C20015" s="4" t="n">
        <v>1648.00</v>
      </c>
      <c r="D20015" s="4"/>
    </row>
    <row collapsed="" customFormat="false" customHeight="1" hidden="" ht="14" outlineLevel="0" r="20016">
      <c r="A20016" s="3" t="inlineStr">
        <is>
          <t>19968</t>
        </is>
      </c>
      <c r="B20016" s="4" t="s">
        <f>=HYPERLINK("http://anyluxury.ru/shop/odezhda/rubashki-polo/rubashka-polo-muzhskaya-virma-stretch-chernaya-1114330/" , "11143.30 Рубашка поло мужская Virma Stretch, черная, размер 3XL")</f>
      </c>
      <c r="C20016" s="4" t="n">
        <v>1648.00</v>
      </c>
      <c r="D20016" s="4"/>
    </row>
    <row collapsed="" customFormat="false" customHeight="1" hidden="" ht="14" outlineLevel="0" r="20017">
      <c r="A20017" s="3" t="inlineStr">
        <is>
          <t>19969</t>
        </is>
      </c>
      <c r="B20017" s="4" t="s">
        <f>=HYPERLINK("http://anyluxury.ru/shop/odezhda/rubashki-polo/rubashka-polo-muzhskaya-virma-stretch-yarkosinyaya-royal-1114344/" , "11143.44 Рубашка поло мужская Virma Stretch, ярко-синяя (royal), размер S")</f>
      </c>
      <c r="C20017" s="4" t="n">
        <v>1648.00</v>
      </c>
      <c r="D20017" s="4"/>
    </row>
    <row collapsed="" customFormat="false" customHeight="1" hidden="" ht="14" outlineLevel="0" r="20018">
      <c r="A20018" s="3" t="inlineStr">
        <is>
          <t>19970</t>
        </is>
      </c>
      <c r="B20018" s="4" t="s">
        <f>=HYPERLINK("http://anyluxury.ru/shop/odezhda/rubashki-polo/rubashka-polo-muzhskaya-virma-stretch-yarkosinyaya-royal-1114344/" , "11143.44 Рубашка поло мужская Virma Stretch, ярко-синяя (royal), размер M")</f>
      </c>
      <c r="C20018" s="4" t="n">
        <v>1648.00</v>
      </c>
      <c r="D20018" s="4"/>
    </row>
    <row collapsed="" customFormat="false" customHeight="1" hidden="" ht="14" outlineLevel="0" r="20019">
      <c r="A20019" s="3" t="inlineStr">
        <is>
          <t>19971</t>
        </is>
      </c>
      <c r="B20019" s="4" t="s">
        <f>=HYPERLINK("http://anyluxury.ru/shop/odezhda/rubashki-polo/rubashka-polo-muzhskaya-virma-stretch-yarkosinyaya-royal-1114344/" , "11143.44 Рубашка поло мужская Virma Stretch, ярко-синяя (royal), размер L")</f>
      </c>
      <c r="C20019" s="4" t="n">
        <v>1648.00</v>
      </c>
      <c r="D20019" s="4"/>
    </row>
    <row collapsed="" customFormat="false" customHeight="1" hidden="" ht="14" outlineLevel="0" r="20020">
      <c r="A20020" s="3" t="inlineStr">
        <is>
          <t>19972</t>
        </is>
      </c>
      <c r="B20020" s="4" t="s">
        <f>=HYPERLINK("http://anyluxury.ru/shop/odezhda/rubashki-polo/rubashka-polo-muzhskaya-virma-stretch-yarkosinyaya-royal-1114344/" , "11143.44 Рубашка поло мужская Virma Stretch, ярко-синяя (royal), размер XL")</f>
      </c>
      <c r="C20020" s="4" t="n">
        <v>1648.00</v>
      </c>
      <c r="D20020" s="4"/>
    </row>
    <row collapsed="" customFormat="false" customHeight="1" hidden="" ht="14" outlineLevel="0" r="20021">
      <c r="A20021" s="3" t="inlineStr">
        <is>
          <t>19973</t>
        </is>
      </c>
      <c r="B20021" s="4" t="s">
        <f>=HYPERLINK("http://anyluxury.ru/shop/odezhda/rubashki-polo/rubashka-polo-muzhskaya-virma-stretch-yarkosinyaya-royal-1114344/" , "11143.44 Рубашка поло мужская Virma Stretch, ярко-синяя (royal), размер XXL")</f>
      </c>
      <c r="C20021" s="4" t="n">
        <v>1648.00</v>
      </c>
      <c r="D20021" s="4"/>
    </row>
    <row collapsed="" customFormat="false" customHeight="1" hidden="" ht="14" outlineLevel="0" r="20022">
      <c r="A20022" s="3" t="inlineStr">
        <is>
          <t>19974</t>
        </is>
      </c>
      <c r="B20022" s="4" t="s">
        <f>=HYPERLINK("http://anyluxury.ru/shop/odezhda/rubashki-polo/rubashka-polo-muzhskaya-virma-stretch-yarkosinyaya-royal-1114344/" , "11143.44 Рубашка поло мужская Virma Stretch, ярко-синяя (royal), размер 3XL")</f>
      </c>
      <c r="C20022" s="4" t="n">
        <v>1648.00</v>
      </c>
      <c r="D20022" s="4"/>
    </row>
    <row collapsed="" customFormat="false" customHeight="1" hidden="" ht="14" outlineLevel="0" r="20023">
      <c r="A20023" s="3" t="inlineStr">
        <is>
          <t>19975</t>
        </is>
      </c>
      <c r="B20023" s="4" t="s">
        <f>=HYPERLINK("http://anyluxury.ru/shop/odezhda/rubashki-polo/rubashka-polo-muzhskaya-virma-stretch-temnosinyaya-1114340/" , "11143.40 Рубашка поло мужская Virma Stretch, темно-синяя, размер S")</f>
      </c>
      <c r="C20023" s="4" t="n">
        <v>1648.00</v>
      </c>
      <c r="D20023" s="4"/>
    </row>
    <row collapsed="" customFormat="false" customHeight="1" hidden="" ht="14" outlineLevel="0" r="20024">
      <c r="A20024" s="3" t="inlineStr">
        <is>
          <t>19976</t>
        </is>
      </c>
      <c r="B20024" s="4" t="s">
        <f>=HYPERLINK("http://anyluxury.ru/shop/odezhda/rubashki-polo/rubashka-polo-muzhskaya-virma-stretch-temnosinyaya-1114340/" , "11143.40 Рубашка поло мужская Virma Stretch, темно-синяя, размер L")</f>
      </c>
      <c r="C20024" s="4" t="n">
        <v>1648.00</v>
      </c>
      <c r="D20024" s="4"/>
    </row>
    <row collapsed="" customFormat="false" customHeight="1" hidden="" ht="14" outlineLevel="0" r="20025">
      <c r="A20025" s="3" t="inlineStr">
        <is>
          <t>19977</t>
        </is>
      </c>
      <c r="B20025" s="4" t="s">
        <f>=HYPERLINK("http://anyluxury.ru/shop/odezhda/rubashki-polo/rubashka-polo-muzhskaya-virma-stretch-temnosinyaya-1114340/" , "11143.40 Рубашка поло мужская Virma Stretch, темно-синяя, размер XL")</f>
      </c>
      <c r="C20025" s="4" t="n">
        <v>1648.00</v>
      </c>
      <c r="D20025" s="4"/>
    </row>
    <row collapsed="" customFormat="false" customHeight="1" hidden="" ht="14" outlineLevel="0" r="20026">
      <c r="A20026" s="3" t="inlineStr">
        <is>
          <t>19978</t>
        </is>
      </c>
      <c r="B20026" s="4" t="s">
        <f>=HYPERLINK("http://anyluxury.ru/shop/odezhda/rubashki-polo/rubashka-polo-muzhskaya-virma-stretch-temnosinyaya-1114340/" , "11143.40 Рубашка поло мужская Virma Stretch, темно-синяя, размер XXL")</f>
      </c>
      <c r="C20026" s="4" t="n">
        <v>1648.00</v>
      </c>
      <c r="D20026" s="4"/>
    </row>
    <row collapsed="" customFormat="false" customHeight="1" hidden="" ht="14" outlineLevel="0" r="20027">
      <c r="A20027" s="3" t="inlineStr">
        <is>
          <t>19979</t>
        </is>
      </c>
      <c r="B20027" s="4" t="s">
        <f>=HYPERLINK("http://anyluxury.ru/shop/odezhda/rubashki-polo/rubashka-polo-muzhskaya-virma-stretch-temnosinyaya-1114340/" , "11143.40 Рубашка поло мужская Virma Stretch, темно-синяя, размер 3XL")</f>
      </c>
      <c r="C20027" s="4" t="n">
        <v>1648.00</v>
      </c>
      <c r="D20027" s="4"/>
    </row>
    <row collapsed="" customFormat="false" customHeight="1" hidden="" ht="14" outlineLevel="0" r="20028">
      <c r="A20028" s="3" t="inlineStr">
        <is>
          <t>19980</t>
        </is>
      </c>
      <c r="B20028" s="4" t="s">
        <f>=HYPERLINK("http://anyluxury.ru/shop/odezhda/rubashki-polo/rubashka-polo-muzhskaya-virma-stretch-belaya-1114360/" , "11143.60 Рубашка поло мужская Virma Stretch, белая, размер S")</f>
      </c>
      <c r="C20028" s="4" t="n">
        <v>1648.00</v>
      </c>
      <c r="D20028" s="4"/>
    </row>
    <row collapsed="" customFormat="false" customHeight="1" hidden="" ht="14" outlineLevel="0" r="20029">
      <c r="A20029" s="3" t="inlineStr">
        <is>
          <t>19981</t>
        </is>
      </c>
      <c r="B20029" s="4" t="s">
        <f>=HYPERLINK("http://anyluxury.ru/shop/odezhda/rubashki-polo/rubashka-polo-muzhskaya-virma-stretch-belaya-1114360/" , "11143.60 Рубашка поло мужская Virma Stretch, белая, размер M")</f>
      </c>
      <c r="C20029" s="4" t="n">
        <v>1648.00</v>
      </c>
      <c r="D20029" s="4"/>
    </row>
    <row collapsed="" customFormat="false" customHeight="1" hidden="" ht="14" outlineLevel="0" r="20030">
      <c r="A20030" s="3" t="inlineStr">
        <is>
          <t>19982</t>
        </is>
      </c>
      <c r="B20030" s="4" t="s">
        <f>=HYPERLINK("http://anyluxury.ru/shop/odezhda/rubashki-polo/rubashka-polo-muzhskaya-virma-stretch-belaya-1114360/" , "11143.60 Рубашка поло мужская Virma Stretch, белая, размер L")</f>
      </c>
      <c r="C20030" s="4" t="n">
        <v>1648.00</v>
      </c>
      <c r="D20030" s="4"/>
    </row>
    <row collapsed="" customFormat="false" customHeight="1" hidden="" ht="14" outlineLevel="0" r="20031">
      <c r="A20031" s="3" t="inlineStr">
        <is>
          <t>19983</t>
        </is>
      </c>
      <c r="B20031" s="4" t="s">
        <f>=HYPERLINK("http://anyluxury.ru/shop/odezhda/rubashki-polo/rubashka-polo-muzhskaya-virma-stretch-belaya-1114360/" , "11143.60 Рубашка поло мужская Virma Stretch, белая, размер XL")</f>
      </c>
      <c r="C20031" s="4" t="n">
        <v>1648.00</v>
      </c>
      <c r="D20031" s="4"/>
    </row>
    <row collapsed="" customFormat="false" customHeight="1" hidden="" ht="14" outlineLevel="0" r="20032">
      <c r="A20032" s="3" t="inlineStr">
        <is>
          <t>19984</t>
        </is>
      </c>
      <c r="B20032" s="4" t="s">
        <f>=HYPERLINK("http://anyluxury.ru/shop/odezhda/rubashki-polo/rubashka-polo-muzhskaya-virma-stretch-belaya-1114360/" , "11143.60 Рубашка поло мужская Virma Stretch, белая, размер XXL")</f>
      </c>
      <c r="C20032" s="4" t="n">
        <v>1648.00</v>
      </c>
      <c r="D20032" s="4"/>
    </row>
    <row collapsed="" customFormat="false" customHeight="1" hidden="" ht="14" outlineLevel="0" r="20033">
      <c r="A20033" s="3" t="inlineStr">
        <is>
          <t>19985</t>
        </is>
      </c>
      <c r="B20033" s="4" t="s">
        <f>=HYPERLINK("http://anyluxury.ru/shop/odezhda/rubashki-polo/rubashka-polo-muzhskaya-virma-stretch-belaya-1114360/" , "11143.60 Рубашка поло мужская Virma Stretch, белая, размер 3XL")</f>
      </c>
      <c r="C20033" s="4" t="n">
        <v>1648.00</v>
      </c>
      <c r="D20033" s="4"/>
    </row>
    <row collapsed="" customFormat="false" customHeight="1" hidden="" ht="14" outlineLevel="0" r="20034">
      <c r="A20034" s="3" t="inlineStr">
        <is>
          <t>19986</t>
        </is>
      </c>
      <c r="B20034" s="4" t="s">
        <f>=HYPERLINK("http://anyluxury.ru/shop/odezhda/rubashki-polo/rubashka-polo-zhenskaya-virma-stretch-lady-seriy-melanzh-1114411/" , "11144.11 Рубашка поло женская Virma Stretch Lady, серый меланж, размер M")</f>
      </c>
      <c r="C20034" s="4" t="n">
        <v>1553.00</v>
      </c>
      <c r="D20034" s="4"/>
    </row>
    <row collapsed="" customFormat="false" customHeight="1" hidden="" ht="14" outlineLevel="0" r="20035">
      <c r="A20035" s="3" t="inlineStr">
        <is>
          <t>19987</t>
        </is>
      </c>
      <c r="B20035" s="4" t="s">
        <f>=HYPERLINK("http://anyluxury.ru/shop/odezhda/rubashki-polo/rubashka-polo-zhenskaya-virma-stretch-lady-seriy-melanzh-1114411/" , "11144.11 Рубашка поло женская Virma Stretch Lady, серый меланж, размер L")</f>
      </c>
      <c r="C20035" s="4" t="n">
        <v>1553.00</v>
      </c>
      <c r="D20035" s="4"/>
    </row>
    <row collapsed="" customFormat="false" customHeight="1" hidden="" ht="14" outlineLevel="0" r="20036">
      <c r="A20036" s="3" t="inlineStr">
        <is>
          <t>19988</t>
        </is>
      </c>
      <c r="B20036" s="4" t="s">
        <f>=HYPERLINK("http://anyluxury.ru/shop/odezhda/rubashki-polo/rubashka-polo-zhenskaya-virma-stretch-lady-chernaya-1114430/" , "11144.30 Рубашка поло женская Virma Stretch Lady, черная, размер M")</f>
      </c>
      <c r="C20036" s="4" t="n">
        <v>1553.00</v>
      </c>
      <c r="D20036" s="4"/>
    </row>
    <row collapsed="" customFormat="false" customHeight="1" hidden="" ht="14" outlineLevel="0" r="20037">
      <c r="A20037" s="3" t="inlineStr">
        <is>
          <t>19989</t>
        </is>
      </c>
      <c r="B20037" s="4" t="s">
        <f>=HYPERLINK("http://anyluxury.ru/shop/odezhda/rubashki-polo/rubashka-polo-zhenskaya-virma-stretch-lady-chernaya-1114430/" , "11144.30 Рубашка поло женская Virma Stretch Lady, черная, размер L")</f>
      </c>
      <c r="C20037" s="4" t="n">
        <v>1553.00</v>
      </c>
      <c r="D20037" s="4"/>
    </row>
    <row collapsed="" customFormat="false" customHeight="1" hidden="" ht="14" outlineLevel="0" r="20038">
      <c r="A20038" s="3" t="inlineStr">
        <is>
          <t>19990</t>
        </is>
      </c>
      <c r="B20038" s="4" t="s">
        <f>=HYPERLINK("http://anyluxury.ru/shop/odezhda/rubashki-polo/rubashka-polo-zhenskaya-virma-stretch-lady-chernaya-1114430/" , "11144.30 Рубашка поло женская Virma Stretch Lady, черная, размер XL")</f>
      </c>
      <c r="C20038" s="4" t="n">
        <v>1553.00</v>
      </c>
      <c r="D20038" s="4"/>
    </row>
    <row collapsed="" customFormat="false" customHeight="1" hidden="" ht="14" outlineLevel="0" r="20039">
      <c r="A20039" s="3" t="inlineStr">
        <is>
          <t>19991</t>
        </is>
      </c>
      <c r="B20039" s="4" t="s">
        <f>=HYPERLINK("http://anyluxury.ru/shop/odezhda/rubashki-polo/rubashka-polo-zhenskaya-virma-stretch-lady-chernaya-1114430/" , "11144.30 Рубашка поло женская Virma Stretch Lady, черная, размер XXL")</f>
      </c>
      <c r="C20039" s="4" t="n">
        <v>1553.00</v>
      </c>
      <c r="D20039" s="4"/>
    </row>
    <row collapsed="" customFormat="false" customHeight="1" hidden="" ht="14" outlineLevel="0" r="20040">
      <c r="A20040" s="3" t="inlineStr">
        <is>
          <t>19992</t>
        </is>
      </c>
      <c r="B20040" s="4" t="s">
        <f>=HYPERLINK("http://anyluxury.ru/shop/odezhda/rubashki-polo/rubashka-polo-zhenskaya-virma-stretch-lady-yarkosinyaya-1114444/" , "11144.44 Рубашка поло женская Virma Stretch Lady, ярко-синяя, размер S")</f>
      </c>
      <c r="C20040" s="4" t="n">
        <v>1553.00</v>
      </c>
      <c r="D20040" s="4"/>
    </row>
    <row collapsed="" customFormat="false" customHeight="1" hidden="" ht="14" outlineLevel="0" r="20041">
      <c r="A20041" s="3" t="inlineStr">
        <is>
          <t>19993</t>
        </is>
      </c>
      <c r="B20041" s="4" t="s">
        <f>=HYPERLINK("http://anyluxury.ru/shop/odezhda/rubashki-polo/rubashka-polo-zhenskaya-virma-stretch-lady-yarkosinyaya-1114444/" , "11144.44 Рубашка поло женская Virma Stretch Lady, ярко-синяя, размер XL")</f>
      </c>
      <c r="C20041" s="4" t="n">
        <v>1553.00</v>
      </c>
      <c r="D20041" s="4"/>
    </row>
    <row collapsed="" customFormat="false" customHeight="1" hidden="" ht="14" outlineLevel="0" r="20042">
      <c r="A20042" s="3" t="inlineStr">
        <is>
          <t>19994</t>
        </is>
      </c>
      <c r="B20042" s="4" t="s">
        <f>=HYPERLINK("http://anyluxury.ru/shop/odezhda/rubashki-polo/rubashka-polo-zhenskaya-virma-stretch-lady-temnosinyaya-1114440/" , "11144.40 Рубашка поло женская Virma Stretch Lady, темно-синяя, размер S")</f>
      </c>
      <c r="C20042" s="4" t="n">
        <v>1553.00</v>
      </c>
      <c r="D20042" s="4"/>
    </row>
    <row collapsed="" customFormat="false" customHeight="1" hidden="" ht="14" outlineLevel="0" r="20043">
      <c r="A20043" s="3" t="inlineStr">
        <is>
          <t>19995</t>
        </is>
      </c>
      <c r="B20043" s="4" t="s">
        <f>=HYPERLINK("http://anyluxury.ru/shop/odezhda/rubashki-polo/rubashka-polo-zhenskaya-virma-stretch-lady-temnosinyaya-1114440/" , "11144.40 Рубашка поло женская Virma Stretch Lady, темно-синяя, размер M")</f>
      </c>
      <c r="C20043" s="4" t="n">
        <v>1553.00</v>
      </c>
      <c r="D20043" s="4"/>
    </row>
    <row collapsed="" customFormat="false" customHeight="1" hidden="" ht="14" outlineLevel="0" r="20044">
      <c r="A20044" s="3" t="inlineStr">
        <is>
          <t>19996</t>
        </is>
      </c>
      <c r="B20044" s="4" t="s">
        <f>=HYPERLINK("http://anyluxury.ru/shop/odezhda/rubashki-polo/rubashka-polo-zhenskaya-virma-stretch-lady-temnosinyaya-1114440/" , "11144.40 Рубашка поло женская Virma Stretch Lady, темно-синяя, размер L")</f>
      </c>
      <c r="C20044" s="4" t="n">
        <v>1553.00</v>
      </c>
      <c r="D20044" s="4"/>
    </row>
    <row collapsed="" customFormat="false" customHeight="1" hidden="" ht="14" outlineLevel="0" r="20045">
      <c r="A20045" s="3" t="inlineStr">
        <is>
          <t>19997</t>
        </is>
      </c>
      <c r="B20045" s="4" t="s">
        <f>=HYPERLINK("http://anyluxury.ru/shop/odezhda/rubashki-polo/rubashka-polo-zhenskaya-virma-stretch-lady-belaya-1114460/" , "11144.60 Рубашка поло женская Virma Stretch Lady, белая, размер M")</f>
      </c>
      <c r="C20045" s="4" t="n">
        <v>1550.00</v>
      </c>
      <c r="D20045" s="4"/>
    </row>
    <row collapsed="" customFormat="false" customHeight="1" hidden="" ht="14" outlineLevel="0" r="20046">
      <c r="A20046" s="3" t="inlineStr">
        <is>
          <t>19998</t>
        </is>
      </c>
      <c r="B20046" s="4" t="s">
        <f>=HYPERLINK("http://anyluxury.ru/shop/odezhda/rubashki-polo/rubashka-polo-zhenskaya-virma-stretch-lady-belaya-1114460/" , "11144.60 Рубашка поло женская Virma Stretch Lady, белая, размер L")</f>
      </c>
      <c r="C20046" s="4" t="n">
        <v>1550.00</v>
      </c>
      <c r="D20046" s="4"/>
    </row>
    <row collapsed="" customFormat="false" customHeight="1" hidden="" ht="14" outlineLevel="0" r="20047">
      <c r="A20047" s="3" t="inlineStr">
        <is>
          <t>19999</t>
        </is>
      </c>
      <c r="B20047" s="4" t="s">
        <f>=HYPERLINK("http://anyluxury.ru/shop/odezhda/rubashki-polo/rubashka-polo-zhenskaya-virma-stretch-lady-belaya-1114460/" , "11144.60 Рубашка поло женская Virma Stretch Lady, белая, размер XL")</f>
      </c>
      <c r="C20047" s="4" t="n">
        <v>1550.00</v>
      </c>
      <c r="D20047" s="4"/>
    </row>
    <row collapsed="" customFormat="false" customHeight="1" hidden="" ht="14" outlineLevel="0" r="20048">
      <c r="A20048" s="3" t="inlineStr">
        <is>
          <t>20000</t>
        </is>
      </c>
      <c r="B20048" s="4" t="s">
        <f>=HYPERLINK("http://anyluxury.ru/shop/odezhda/rubashki-polo/rubashka-polo-zhenskaya-virma-stretch-lady-belaya-1114460/" , "11144.60 Рубашка поло женская Virma Stretch Lady, белая, размер XXL")</f>
      </c>
      <c r="C20048" s="4" t="n">
        <v>1550.00</v>
      </c>
      <c r="D20048" s="4"/>
    </row>
    <row collapsed="" customFormat="false" customHeight="1" hidden="" ht="14" outlineLevel="0" r="20049">
      <c r="A20049" s="3" t="inlineStr">
        <is>
          <t>20001</t>
        </is>
      </c>
      <c r="B20049" s="4" t="s">
        <f>=HYPERLINK("http://anyluxury.ru/shop/odezhda/rubashki-polo/rubashka-polo-muzhskaya-neptune-belaya-1112960/" , "11129.60 Рубашка поло мужская Neptune белая, размер S")</f>
      </c>
      <c r="C20049" s="4" t="n">
        <v>2419.00</v>
      </c>
      <c r="D20049" s="4"/>
    </row>
    <row collapsed="" customFormat="false" customHeight="1" hidden="" ht="14" outlineLevel="0" r="20050">
      <c r="A20050" s="3" t="inlineStr">
        <is>
          <t>20002</t>
        </is>
      </c>
      <c r="B20050" s="4" t="s">
        <f>=HYPERLINK("http://anyluxury.ru/shop/odezhda/rubashki-polo/rubashka-polo-muzhskaya-neptune-vishnevokrasnaya-1112955/" , "11129.55 Рубашка поло мужская Neptune вишнево-красная, размер S")</f>
      </c>
      <c r="C20050" s="4" t="n">
        <v>2419.00</v>
      </c>
      <c r="D20050" s="4"/>
    </row>
    <row collapsed="" customFormat="false" customHeight="1" hidden="" ht="14" outlineLevel="0" r="20051">
      <c r="A20051" s="3" t="inlineStr">
        <is>
          <t>20003</t>
        </is>
      </c>
      <c r="B20051" s="4" t="s">
        <f>=HYPERLINK("http://anyluxury.ru/shop/odezhda/rubashki-polo/rubashka-polo-muzhskaya-neptune-vishnevokrasnaya-1112955/" , "11129.55 Рубашка поло мужская Neptune вишнево-красная, размер M")</f>
      </c>
      <c r="C20051" s="4" t="n">
        <v>2419.00</v>
      </c>
      <c r="D20051" s="4"/>
    </row>
    <row collapsed="" customFormat="false" customHeight="1" hidden="" ht="14" outlineLevel="0" r="20052">
      <c r="A20052" s="3" t="inlineStr">
        <is>
          <t>20004</t>
        </is>
      </c>
      <c r="B20052" s="4" t="s">
        <f>=HYPERLINK("http://anyluxury.ru/shop/odezhda/rubashki-polo/rubashka-polo-muzhskaya-neptune-vishnevokrasnaya-1112955/" , "11129.55 Рубашка поло мужская Neptune вишнево-красная, размер XL")</f>
      </c>
      <c r="C20052" s="4" t="n">
        <v>2419.00</v>
      </c>
      <c r="D20052" s="4"/>
    </row>
    <row collapsed="" customFormat="false" customHeight="1" hidden="" ht="14" outlineLevel="0" r="20053">
      <c r="A20053" s="3" t="inlineStr">
        <is>
          <t>20005</t>
        </is>
      </c>
      <c r="B20053" s="4" t="s">
        <f>=HYPERLINK("http://anyluxury.ru/shop/odezhda/rubashki-polo/rubashka-polo-muzhskaya-neptune-vishnevokrasnaya-1112955/" , "11129.55 Рубашка поло мужская Neptune вишнево-красная, размер XXL")</f>
      </c>
      <c r="C20053" s="4" t="n">
        <v>2419.00</v>
      </c>
      <c r="D20053" s="4"/>
    </row>
    <row collapsed="" customFormat="false" customHeight="1" hidden="" ht="14" outlineLevel="0" r="20054">
      <c r="A20054" s="3" t="inlineStr">
        <is>
          <t>20006</t>
        </is>
      </c>
      <c r="B20054" s="4" t="s">
        <f>=HYPERLINK("http://anyluxury.ru/shop/odezhda/rubashki-polo/rubashka-polo-muzhskaya-neptune-temnosinyaya-1112940/" , "11129.40 Рубашка поло мужская Neptune темно-синяя, размер S")</f>
      </c>
      <c r="C20054" s="4" t="n">
        <v>2419.00</v>
      </c>
      <c r="D20054" s="4"/>
    </row>
    <row collapsed="" customFormat="false" customHeight="1" hidden="" ht="14" outlineLevel="0" r="20055">
      <c r="A20055" s="3" t="inlineStr">
        <is>
          <t>20007</t>
        </is>
      </c>
      <c r="B20055" s="4" t="s">
        <f>=HYPERLINK("http://anyluxury.ru/shop/odezhda/rubashki-polo/rubashka-polo-muzhskaya-neptune-temnosinyaya-1112940/" , "11129.40 Рубашка поло мужская Neptune темно-синяя, размер M")</f>
      </c>
      <c r="C20055" s="4" t="n">
        <v>2419.00</v>
      </c>
      <c r="D20055" s="4"/>
    </row>
    <row collapsed="" customFormat="false" customHeight="1" hidden="" ht="14" outlineLevel="0" r="20056">
      <c r="A20056" s="3" t="inlineStr">
        <is>
          <t>20008</t>
        </is>
      </c>
      <c r="B20056" s="4" t="s">
        <f>=HYPERLINK("http://anyluxury.ru/shop/odezhda/rubashki-polo/rubashka-polo-muzhskaya-neptune-temnoseraya-1112910/" , "11129.10 Рубашка поло мужская Neptune темно-серая, размер S")</f>
      </c>
      <c r="C20056" s="4" t="n">
        <v>2419.00</v>
      </c>
      <c r="D20056" s="4"/>
    </row>
    <row collapsed="" customFormat="false" customHeight="1" hidden="" ht="14" outlineLevel="0" r="20057">
      <c r="A20057" s="3" t="inlineStr">
        <is>
          <t>20009</t>
        </is>
      </c>
      <c r="B20057" s="4" t="s">
        <f>=HYPERLINK("http://anyluxury.ru/shop/odezhda/rubashki-polo/rubashka-polo-muzhskaya-neptune-temnoseraya-1112910/" , "11129.10 Рубашка поло мужская Neptune темно-серая, размер L")</f>
      </c>
      <c r="C20057" s="4" t="n">
        <v>2419.00</v>
      </c>
      <c r="D20057" s="4"/>
    </row>
    <row collapsed="" customFormat="false" customHeight="1" hidden="" ht="14" outlineLevel="0" r="20058">
      <c r="A20058" s="3" t="inlineStr">
        <is>
          <t>20010</t>
        </is>
      </c>
      <c r="B20058" s="4" t="s">
        <f>=HYPERLINK("http://anyluxury.ru/shop/odezhda/rubashki-polo/rubashka-polo-muzhskaya-neptune-temnoseraya-1112910/" , "11129.10 Рубашка поло мужская Neptune темно-серая, размер XXL")</f>
      </c>
      <c r="C20058" s="4" t="n">
        <v>2419.00</v>
      </c>
      <c r="D20058" s="4"/>
    </row>
    <row collapsed="" customFormat="false" customHeight="1" hidden="" ht="14" outlineLevel="0" r="20059">
      <c r="A20059" s="3" t="inlineStr">
        <is>
          <t>20011</t>
        </is>
      </c>
      <c r="B20059" s="4" t="s">
        <f>=HYPERLINK("http://anyluxury.ru/shop/odezhda/rubashki-polo/rubashka-polo-zhenskaya-neptune-belaya-1113060/" , "11130.60 Рубашка поло женская Neptune белая, размер L")</f>
      </c>
      <c r="C20059" s="4" t="n">
        <v>2282.00</v>
      </c>
      <c r="D20059" s="4"/>
    </row>
    <row collapsed="" customFormat="false" customHeight="1" hidden="" ht="14" outlineLevel="0" r="20060">
      <c r="A20060" s="3" t="inlineStr">
        <is>
          <t>20012</t>
        </is>
      </c>
      <c r="B20060" s="4" t="s">
        <f>=HYPERLINK("http://anyluxury.ru/shop/odezhda/rubashki-polo/rubashka-polo-zhenskaya-neptune-belaya-1113060/" , "11130.60 Рубашка поло женская Neptune белая, размер XL")</f>
      </c>
      <c r="C20060" s="4" t="n">
        <v>2282.00</v>
      </c>
      <c r="D20060" s="4"/>
    </row>
    <row collapsed="" customFormat="false" customHeight="1" hidden="" ht="14" outlineLevel="0" r="20061">
      <c r="A20061" s="3" t="inlineStr">
        <is>
          <t>20013</t>
        </is>
      </c>
      <c r="B20061" s="4" t="s">
        <f>=HYPERLINK("http://anyluxury.ru/shop/odezhda/rubashki-polo/rubashka-polo-zhenskaya-neptune-belaya-1113060/" , "11130.60 Рубашка поло женская Neptune белая, размер XXL")</f>
      </c>
      <c r="C20061" s="4" t="n">
        <v>2282.00</v>
      </c>
      <c r="D20061" s="4"/>
    </row>
    <row collapsed="" customFormat="false" customHeight="1" hidden="" ht="14" outlineLevel="0" r="20062">
      <c r="A20062" s="3" t="inlineStr">
        <is>
          <t>20014</t>
        </is>
      </c>
      <c r="B20062" s="4" t="s">
        <f>=HYPERLINK("http://anyluxury.ru/shop/odezhda/rubashki-polo/rubashka-polo-zhenskaya-neptune-vishnevokrasnaya-1113055/" , "11130.55 Рубашка поло женская Neptune вишнево-красная, размер S")</f>
      </c>
      <c r="C20062" s="4" t="n">
        <v>2282.00</v>
      </c>
      <c r="D20062" s="4"/>
    </row>
    <row collapsed="" customFormat="false" customHeight="1" hidden="" ht="14" outlineLevel="0" r="20063">
      <c r="A20063" s="3" t="inlineStr">
        <is>
          <t>20015</t>
        </is>
      </c>
      <c r="B20063" s="4" t="s">
        <f>=HYPERLINK("http://anyluxury.ru/shop/odezhda/rubashki-polo/rubashka-polo-zhenskaya-neptune-vishnevokrasnaya-1113055/" , "11130.55 Рубашка поло женская Neptune вишнево-красная, размер M")</f>
      </c>
      <c r="C20063" s="4" t="n">
        <v>2282.00</v>
      </c>
      <c r="D20063" s="4"/>
    </row>
    <row collapsed="" customFormat="false" customHeight="1" hidden="" ht="14" outlineLevel="0" r="20064">
      <c r="A20064" s="3" t="inlineStr">
        <is>
          <t>20016</t>
        </is>
      </c>
      <c r="B20064" s="4" t="s">
        <f>=HYPERLINK("http://anyluxury.ru/shop/odezhda/rubashki-polo/rubashka-polo-zhenskaya-neptune-vishnevokrasnaya-1113055/" , "11130.55 Рубашка поло женская Neptune вишнево-красная, размер L")</f>
      </c>
      <c r="C20064" s="4" t="n">
        <v>2282.00</v>
      </c>
      <c r="D20064" s="4"/>
    </row>
    <row collapsed="" customFormat="false" customHeight="1" hidden="" ht="14" outlineLevel="0" r="20065">
      <c r="A20065" s="3" t="inlineStr">
        <is>
          <t>20017</t>
        </is>
      </c>
      <c r="B20065" s="4" t="s">
        <f>=HYPERLINK("http://anyluxury.ru/shop/odezhda/rubashki-polo/rubashka-polo-zhenskaya-neptune-vishnevokrasnaya-1113055/" , "11130.55 Рубашка поло женская Neptune вишнево-красная, размер XL")</f>
      </c>
      <c r="C20065" s="4" t="n">
        <v>2282.00</v>
      </c>
      <c r="D20065" s="4"/>
    </row>
    <row collapsed="" customFormat="false" customHeight="1" hidden="" ht="14" outlineLevel="0" r="20066">
      <c r="A20066" s="3" t="inlineStr">
        <is>
          <t>20018</t>
        </is>
      </c>
      <c r="B20066" s="4" t="s">
        <f>=HYPERLINK("http://anyluxury.ru/shop/odezhda/rubashki-polo/rubashka-polo-zhenskaya-neptune-vishnevokrasnaya-1113055/" , "11130.55 Рубашка поло женская Neptune вишнево-красная, размер XXL")</f>
      </c>
      <c r="C20066" s="4" t="n">
        <v>2282.00</v>
      </c>
      <c r="D20066" s="4"/>
    </row>
    <row collapsed="" customFormat="false" customHeight="1" hidden="" ht="14" outlineLevel="0" r="20067">
      <c r="A20067" s="3" t="inlineStr">
        <is>
          <t>20019</t>
        </is>
      </c>
      <c r="B20067" s="4" t="s">
        <f>=HYPERLINK("http://anyluxury.ru/shop/odezhda/rubashki-polo/rubashka-polo-zhenskaya-neptune-temnosinyaya-1113040/" , "11130.40 Рубашка поло женская Neptune темно-синяя, размер S")</f>
      </c>
      <c r="C20067" s="4" t="n">
        <v>2282.00</v>
      </c>
      <c r="D20067" s="4"/>
    </row>
    <row collapsed="" customFormat="false" customHeight="1" hidden="" ht="14" outlineLevel="0" r="20068">
      <c r="A20068" s="3" t="inlineStr">
        <is>
          <t>20020</t>
        </is>
      </c>
      <c r="B20068" s="4" t="s">
        <f>=HYPERLINK("http://anyluxury.ru/shop/odezhda/rubashki-polo/rubashka-polo-zhenskaya-neptune-temnosinyaya-1113040/" , "11130.40 Рубашка поло женская Neptune темно-синяя, размер M")</f>
      </c>
      <c r="C20068" s="4" t="n">
        <v>2282.00</v>
      </c>
      <c r="D20068" s="4"/>
    </row>
    <row collapsed="" customFormat="false" customHeight="1" hidden="" ht="14" outlineLevel="0" r="20069">
      <c r="A20069" s="3" t="inlineStr">
        <is>
          <t>20021</t>
        </is>
      </c>
      <c r="B20069" s="4" t="s">
        <f>=HYPERLINK("http://anyluxury.ru/shop/odezhda/rubashki-polo/rubashka-polo-zhenskaya-neptune-temnosinyaya-1113040/" , "11130.40 Рубашка поло женская Neptune темно-синяя, размер L")</f>
      </c>
      <c r="C20069" s="4" t="n">
        <v>2282.00</v>
      </c>
      <c r="D20069" s="4"/>
    </row>
    <row collapsed="" customFormat="false" customHeight="1" hidden="" ht="14" outlineLevel="0" r="20070">
      <c r="A20070" s="3" t="inlineStr">
        <is>
          <t>20022</t>
        </is>
      </c>
      <c r="B20070" s="4" t="s">
        <f>=HYPERLINK("http://anyluxury.ru/shop/odezhda/rubashki-polo/rubashka-polo-zhenskaya-neptune-temnosinyaya-1113040/" , "11130.40 Рубашка поло женская Neptune темно-синяя, размер XL")</f>
      </c>
      <c r="C20070" s="4" t="n">
        <v>2282.00</v>
      </c>
      <c r="D20070" s="4"/>
    </row>
    <row collapsed="" customFormat="false" customHeight="1" hidden="" ht="14" outlineLevel="0" r="20071">
      <c r="A20071" s="3" t="inlineStr">
        <is>
          <t>20023</t>
        </is>
      </c>
      <c r="B20071" s="4" t="s">
        <f>=HYPERLINK("http://anyluxury.ru/shop/odezhda/rubashki-polo/rubashka-polo-zhenskaya-neptune-temnosinyaya-1113040/" , "11130.40 Рубашка поло женская Neptune темно-синяя, размер XXL")</f>
      </c>
      <c r="C20071" s="4" t="n">
        <v>2282.00</v>
      </c>
      <c r="D20071" s="4"/>
    </row>
    <row collapsed="" customFormat="false" customHeight="1" hidden="" ht="14" outlineLevel="0" r="20072">
      <c r="A20072" s="3" t="inlineStr">
        <is>
          <t>20024</t>
        </is>
      </c>
      <c r="B20072" s="4" t="s">
        <f>=HYPERLINK("http://anyluxury.ru/shop/odezhda/rubashki-polo/rubashka-polo-zhenskaya-neptune-chernaya-1113030/" , "11130.30 Рубашка поло женская Neptune черная, размер S")</f>
      </c>
      <c r="C20072" s="4" t="n">
        <v>2282.00</v>
      </c>
      <c r="D20072" s="4"/>
    </row>
    <row collapsed="" customFormat="false" customHeight="1" hidden="" ht="14" outlineLevel="0" r="20073">
      <c r="A20073" s="3" t="inlineStr">
        <is>
          <t>20025</t>
        </is>
      </c>
      <c r="B20073" s="4" t="s">
        <f>=HYPERLINK("http://anyluxury.ru/shop/odezhda/rubashki-polo/rubashka-polo-zhenskaya-neptune-chernaya-1113030/" , "11130.30 Рубашка поло женская Neptune черная, размер M")</f>
      </c>
      <c r="C20073" s="4" t="n">
        <v>2282.00</v>
      </c>
      <c r="D20073" s="4"/>
    </row>
    <row collapsed="" customFormat="false" customHeight="1" hidden="" ht="14" outlineLevel="0" r="20074">
      <c r="A20074" s="3" t="inlineStr">
        <is>
          <t>20026</t>
        </is>
      </c>
      <c r="B20074" s="4" t="s">
        <f>=HYPERLINK("http://anyluxury.ru/shop/odezhda/rubashki-polo/rubashka-polo-zhenskaya-neptune-chernaya-1113030/" , "11130.30 Рубашка поло женская Neptune черная, размер L")</f>
      </c>
      <c r="C20074" s="4" t="n">
        <v>2282.00</v>
      </c>
      <c r="D20074" s="4"/>
    </row>
    <row collapsed="" customFormat="false" customHeight="1" hidden="" ht="14" outlineLevel="0" r="20075">
      <c r="A20075" s="3" t="inlineStr">
        <is>
          <t>20027</t>
        </is>
      </c>
      <c r="B20075" s="4" t="s">
        <f>=HYPERLINK("http://anyluxury.ru/shop/odezhda/rubashki-polo/rubashka-polo-zhenskaya-neptune-chernaya-1113030/" , "11130.30 Рубашка поло женская Neptune черная, размер XL")</f>
      </c>
      <c r="C20075" s="4" t="n">
        <v>2282.00</v>
      </c>
      <c r="D20075" s="4"/>
    </row>
    <row collapsed="" customFormat="false" customHeight="1" hidden="" ht="14" outlineLevel="0" r="20076">
      <c r="A20076" s="3" t="inlineStr">
        <is>
          <t>20028</t>
        </is>
      </c>
      <c r="B20076" s="4" t="s">
        <f>=HYPERLINK("http://anyluxury.ru/shop/odezhda/rubashki-polo/rubashka-polo-zhenskaya-neptune-chernaya-1113030/" , "11130.30 Рубашка поло женская Neptune черная, размер XXL")</f>
      </c>
      <c r="C20076" s="4" t="n">
        <v>2282.00</v>
      </c>
      <c r="D20076" s="4"/>
    </row>
    <row collapsed="" customFormat="false" customHeight="1" hidden="" ht="14" outlineLevel="0" r="20077">
      <c r="A20077" s="3" t="inlineStr">
        <is>
          <t>20029</t>
        </is>
      </c>
      <c r="B20077" s="4" t="s">
        <f>=HYPERLINK("http://anyluxury.ru/shop/odezhda/rubashki-polo/rubashka-polo-zhenskaya-neptune-temnoseraya-1113010/" , "11130.10 Рубашка поло женская Neptune темно-серая, размер S")</f>
      </c>
      <c r="C20077" s="4" t="n">
        <v>2282.00</v>
      </c>
      <c r="D20077" s="4"/>
    </row>
    <row collapsed="" customFormat="false" customHeight="1" hidden="" ht="14" outlineLevel="0" r="20078">
      <c r="A20078" s="3" t="inlineStr">
        <is>
          <t>20030</t>
        </is>
      </c>
      <c r="B20078" s="4" t="s">
        <f>=HYPERLINK("http://anyluxury.ru/shop/odezhda/rubashki-polo/rubashka-polo-zhenskaya-neptune-temnoseraya-1113010/" , "11130.10 Рубашка поло женская Neptune темно-серая, размер M")</f>
      </c>
      <c r="C20078" s="4" t="n">
        <v>2282.00</v>
      </c>
      <c r="D20078" s="4"/>
    </row>
    <row collapsed="" customFormat="false" customHeight="1" hidden="" ht="14" outlineLevel="0" r="20079">
      <c r="A20079" s="3" t="inlineStr">
        <is>
          <t>20031</t>
        </is>
      </c>
      <c r="B20079" s="4" t="s">
        <f>=HYPERLINK("http://anyluxury.ru/shop/odezhda/rubashki-polo/rubashka-polo-zhenskaya-neptune-temnoseraya-1113010/" , "11130.10 Рубашка поло женская Neptune темно-серая, размер L")</f>
      </c>
      <c r="C20079" s="4" t="n">
        <v>2282.00</v>
      </c>
      <c r="D20079" s="4"/>
    </row>
    <row collapsed="" customFormat="false" customHeight="1" hidden="" ht="14" outlineLevel="0" r="20080">
      <c r="A20080" s="3" t="inlineStr">
        <is>
          <t>20032</t>
        </is>
      </c>
      <c r="B20080" s="4" t="s">
        <f>=HYPERLINK("http://anyluxury.ru/shop/odezhda/rubashki-polo/rubashka-polo-zhenskaya-neptune-temnoseraya-1113010/" , "11130.10 Рубашка поло женская Neptune темно-серая, размер XL")</f>
      </c>
      <c r="C20080" s="4" t="n">
        <v>2282.00</v>
      </c>
      <c r="D20080" s="4"/>
    </row>
    <row collapsed="" customFormat="false" customHeight="1" hidden="" ht="14" outlineLevel="0" r="20081">
      <c r="A20081" s="3" t="inlineStr">
        <is>
          <t>20033</t>
        </is>
      </c>
      <c r="B20081" s="4" t="s">
        <f>=HYPERLINK("http://anyluxury.ru/shop/odezhda/rubashki-polo/rubashka-polo-zhenskaya-neptune-temnoseraya-1113010/" , "11130.10 Рубашка поло женская Neptune темно-серая, размер XXL")</f>
      </c>
      <c r="C20081" s="4" t="n">
        <v>2282.00</v>
      </c>
      <c r="D20081" s="4"/>
    </row>
    <row collapsed="" customFormat="false" customHeight="1" hidden="" ht="14" outlineLevel="0" r="20082">
      <c r="A20082" s="3" t="inlineStr">
        <is>
          <t>20034</t>
        </is>
      </c>
      <c r="B20082" s="4" t="s">
        <f>=HYPERLINK("http://anyluxury.ru/shop/odezhda/rubashki-polo/rubashka-polo-muzhskaya-sunset-belaya-1112760/" , "11127.60 Рубашка поло мужская Sunset белая, размер S")</f>
      </c>
      <c r="C20082" s="4" t="n">
        <v>2687.00</v>
      </c>
      <c r="D20082" s="4"/>
    </row>
    <row collapsed="" customFormat="false" customHeight="1" hidden="" ht="14" outlineLevel="0" r="20083">
      <c r="A20083" s="3" t="inlineStr">
        <is>
          <t>20035</t>
        </is>
      </c>
      <c r="B20083" s="4" t="s">
        <f>=HYPERLINK("http://anyluxury.ru/shop/odezhda/rubashki-polo/rubashka-polo-muzhskaya-sunset-krasnaya-1112750/" , "11127.50 Рубашка поло мужская Sunset красная, размер S")</f>
      </c>
      <c r="C20083" s="4" t="n">
        <v>2687.00</v>
      </c>
      <c r="D20083" s="4"/>
    </row>
    <row collapsed="" customFormat="false" customHeight="1" hidden="" ht="14" outlineLevel="0" r="20084">
      <c r="A20084" s="3" t="inlineStr">
        <is>
          <t>20036</t>
        </is>
      </c>
      <c r="B20084" s="4" t="s">
        <f>=HYPERLINK("http://anyluxury.ru/shop/odezhda/rubashki-polo/rubashka-polo-muzhskaya-sunset-krasnaya-1112750/" , "11127.50 Рубашка поло мужская Sunset красная, размер M")</f>
      </c>
      <c r="C20084" s="4" t="n">
        <v>2687.00</v>
      </c>
      <c r="D20084" s="4"/>
    </row>
    <row collapsed="" customFormat="false" customHeight="1" hidden="" ht="14" outlineLevel="0" r="20085">
      <c r="A20085" s="3" t="inlineStr">
        <is>
          <t>20037</t>
        </is>
      </c>
      <c r="B20085" s="4" t="s">
        <f>=HYPERLINK("http://anyluxury.ru/shop/odezhda/rubashki-polo/rubashka-polo-muzhskaya-sunset-krasnaya-1112750/" , "11127.50 Рубашка поло мужская Sunset красная, размер XXL")</f>
      </c>
      <c r="C20085" s="4" t="n">
        <v>2687.00</v>
      </c>
      <c r="D20085" s="4"/>
    </row>
    <row collapsed="" customFormat="false" customHeight="1" hidden="" ht="14" outlineLevel="0" r="20086">
      <c r="A20086" s="3" t="inlineStr">
        <is>
          <t>20038</t>
        </is>
      </c>
      <c r="B20086" s="4" t="s">
        <f>=HYPERLINK("http://anyluxury.ru/shop/odezhda/rubashki-polo/rubashka-polo-muzhskaya-sunset-krasnaya-1112750/" , "11127.50 Рубашка поло мужская Sunset красная, размер 4XL")</f>
      </c>
      <c r="C20086" s="4" t="n">
        <v>2687.00</v>
      </c>
      <c r="D20086" s="4"/>
    </row>
    <row collapsed="" customFormat="false" customHeight="1" hidden="" ht="14" outlineLevel="0" r="20087">
      <c r="A20087" s="3" t="inlineStr">
        <is>
          <t>20039</t>
        </is>
      </c>
      <c r="B20087" s="4" t="s">
        <f>=HYPERLINK("http://anyluxury.ru/shop/odezhda/rubashki-polo/rubashka-polo-muzhskaya-sunset-chernaya-1112730/" , "11127.30 Рубашка поло мужская Sunset черная, размер S")</f>
      </c>
      <c r="C20087" s="4" t="n">
        <v>2687.00</v>
      </c>
      <c r="D20087" s="4"/>
    </row>
    <row collapsed="" customFormat="false" customHeight="1" hidden="" ht="14" outlineLevel="0" r="20088">
      <c r="A20088" s="3" t="inlineStr">
        <is>
          <t>20040</t>
        </is>
      </c>
      <c r="B20088" s="4" t="s">
        <f>=HYPERLINK("http://anyluxury.ru/shop/odezhda/rubashki-polo/rubashka-polo-zhenskaya-sunset-belaya-1112860/" , "11128.60 Рубашка поло женская Sunset белая, размер L")</f>
      </c>
      <c r="C20088" s="4" t="n">
        <v>2725.00</v>
      </c>
      <c r="D20088" s="4"/>
    </row>
    <row collapsed="" customFormat="false" customHeight="1" hidden="" ht="14" outlineLevel="0" r="20089">
      <c r="A20089" s="3" t="inlineStr">
        <is>
          <t>20041</t>
        </is>
      </c>
      <c r="B20089" s="4" t="s">
        <f>=HYPERLINK("http://anyluxury.ru/shop/odezhda/rubashki-polo/rubashka-polo-zhenskaya-sunset-belaya-1112860/" , "11128.60 Рубашка поло женская Sunset белая, размер XXL")</f>
      </c>
      <c r="C20089" s="4" t="n">
        <v>2725.00</v>
      </c>
      <c r="D20089" s="4"/>
    </row>
    <row collapsed="" customFormat="false" customHeight="1" hidden="" ht="14" outlineLevel="0" r="20090">
      <c r="A20090" s="3" t="inlineStr">
        <is>
          <t>20042</t>
        </is>
      </c>
      <c r="B20090" s="4" t="s">
        <f>=HYPERLINK("http://anyluxury.ru/shop/odezhda/rubashki-polo/rubashka-polo-zhenskaya-sunset-krasnaya-1112850/" , "11128.50 Рубашка поло женская Sunset красная, размер S")</f>
      </c>
      <c r="C20090" s="4" t="n">
        <v>2725.00</v>
      </c>
      <c r="D20090" s="4"/>
    </row>
    <row collapsed="" customFormat="false" customHeight="1" hidden="" ht="14" outlineLevel="0" r="20091">
      <c r="A20091" s="3" t="inlineStr">
        <is>
          <t>20043</t>
        </is>
      </c>
      <c r="B20091" s="4" t="s">
        <f>=HYPERLINK("http://anyluxury.ru/shop/odezhda/rubashki-polo/rubashka-polo-zhenskaya-sunset-krasnaya-1112850/" , "11128.50 Рубашка поло женская Sunset красная, размер M")</f>
      </c>
      <c r="C20091" s="4" t="n">
        <v>2725.00</v>
      </c>
      <c r="D20091" s="4"/>
    </row>
    <row collapsed="" customFormat="false" customHeight="1" hidden="" ht="14" outlineLevel="0" r="20092">
      <c r="A20092" s="3" t="inlineStr">
        <is>
          <t>20044</t>
        </is>
      </c>
      <c r="B20092" s="4" t="s">
        <f>=HYPERLINK("http://anyluxury.ru/shop/odezhda/rubashki-polo/rubashka-polo-zhenskaya-sunset-krasnaya-1112850/" , "11128.50 Рубашка поло женская Sunset красная, размер L")</f>
      </c>
      <c r="C20092" s="4" t="n">
        <v>2725.00</v>
      </c>
      <c r="D20092" s="4"/>
    </row>
    <row collapsed="" customFormat="false" customHeight="1" hidden="" ht="14" outlineLevel="0" r="20093">
      <c r="A20093" s="3" t="inlineStr">
        <is>
          <t>20045</t>
        </is>
      </c>
      <c r="B20093" s="4" t="s">
        <f>=HYPERLINK("http://anyluxury.ru/shop/odezhda/rubashki-polo/rubashka-polo-zhenskaya-sunset-krasnaya-1112850/" , "11128.50 Рубашка поло женская Sunset красная, размер XL")</f>
      </c>
      <c r="C20093" s="4" t="n">
        <v>2725.00</v>
      </c>
      <c r="D20093" s="4"/>
    </row>
    <row collapsed="" customFormat="false" customHeight="1" hidden="" ht="14" outlineLevel="0" r="20094">
      <c r="A20094" s="3" t="inlineStr">
        <is>
          <t>20046</t>
        </is>
      </c>
      <c r="B20094" s="4" t="s">
        <f>=HYPERLINK("http://anyluxury.ru/shop/odezhda/rubashki-polo/rubashka-polo-zhenskaya-sunset-krasnaya-1112850/" , "11128.50 Рубашка поло женская Sunset красная, размер XXL")</f>
      </c>
      <c r="C20094" s="4" t="n">
        <v>2725.00</v>
      </c>
      <c r="D20094" s="4"/>
    </row>
    <row collapsed="" customFormat="false" customHeight="1" hidden="" ht="14" outlineLevel="0" r="20095">
      <c r="A20095" s="3" t="inlineStr">
        <is>
          <t>20047</t>
        </is>
      </c>
      <c r="B20095" s="4" t="s">
        <f>=HYPERLINK("http://anyluxury.ru/shop/odezhda/rubashki-polo/rubashka-polo-zhenskaya-sunset-temnosinyaya-1112840/" , "11128.40 Рубашка поло женская Sunset темно-синяя, размер XXL")</f>
      </c>
      <c r="C20095" s="4" t="n">
        <v>2725.00</v>
      </c>
      <c r="D20095" s="4"/>
    </row>
    <row collapsed="" customFormat="false" customHeight="1" hidden="" ht="14" outlineLevel="0" r="20096">
      <c r="A20096" s="3" t="inlineStr">
        <is>
          <t>20048</t>
        </is>
      </c>
      <c r="B20096" s="4" t="s">
        <f>=HYPERLINK("http://anyluxury.ru/shop/odezhda/rubashki-polo/rubashka-polo-zhenskaya-sunset-chernaya-1112830/" , "11128.30 Рубашка поло женская Sunset черная, размер S")</f>
      </c>
      <c r="C20096" s="4" t="n">
        <v>2725.00</v>
      </c>
      <c r="D20096" s="4"/>
    </row>
    <row collapsed="" customFormat="false" customHeight="1" hidden="" ht="14" outlineLevel="0" r="20097">
      <c r="A20097" s="3" t="inlineStr">
        <is>
          <t>20049</t>
        </is>
      </c>
      <c r="B20097" s="4" t="s">
        <f>=HYPERLINK("http://anyluxury.ru/shop/odezhda/rubashki-polo/rubashka-polo-zhenskaya-sunset-chernaya-1112830/" , "11128.30 Рубашка поло женская Sunset черная, размер M")</f>
      </c>
      <c r="C20097" s="4" t="n">
        <v>2725.00</v>
      </c>
      <c r="D20097" s="4"/>
    </row>
    <row collapsed="" customFormat="false" customHeight="1" hidden="" ht="14" outlineLevel="0" r="20098">
      <c r="A20098" s="3" t="inlineStr">
        <is>
          <t>20050</t>
        </is>
      </c>
      <c r="B20098" s="4" t="s">
        <f>=HYPERLINK("http://anyluxury.ru/shop/odezhda/rubashki-polo/rubashka-polo-zhenskaya-sunset-chernaya-1112830/" , "11128.30 Рубашка поло женская Sunset черная, размер L")</f>
      </c>
      <c r="C20098" s="4" t="n">
        <v>2725.00</v>
      </c>
      <c r="D20098" s="4"/>
    </row>
    <row collapsed="" customFormat="false" customHeight="1" hidden="" ht="14" outlineLevel="0" r="20099">
      <c r="A20099" s="3" t="inlineStr">
        <is>
          <t>20051</t>
        </is>
      </c>
      <c r="B20099" s="4" t="s">
        <f>=HYPERLINK("http://anyluxury.ru/shop/odezhda/rubashki-polo/rubashka-polo-zhenskaya-sunset-chernaya-1112830/" , "11128.30 Рубашка поло женская Sunset черная, размер XL")</f>
      </c>
      <c r="C20099" s="4" t="n">
        <v>2725.00</v>
      </c>
      <c r="D20099" s="4"/>
    </row>
    <row collapsed="" customFormat="false" customHeight="1" hidden="" ht="14" outlineLevel="0" r="20100">
      <c r="A20100" s="3" t="inlineStr">
        <is>
          <t>20052</t>
        </is>
      </c>
      <c r="B20100" s="4" t="s">
        <f>=HYPERLINK("http://anyluxury.ru/shop/odezhda/rubashki-polo/rubashka-polo-zhenskaya-sunset-chernaya-1112830/" , "11128.30 Рубашка поло женская Sunset черная, размер XXL")</f>
      </c>
      <c r="C20100" s="4" t="n">
        <v>2725.00</v>
      </c>
      <c r="D20100" s="4"/>
    </row>
    <row collapsed="" customFormat="false" customHeight="1" hidden="" ht="14" outlineLevel="0" r="20101">
      <c r="A20101" s="3" t="inlineStr">
        <is>
          <t>20053</t>
        </is>
      </c>
      <c r="B20101" s="4" t="s">
        <f>=HYPERLINK("http://anyluxury.ru/shop/odezhda/rubashki-polo/rubashka-polo-muzhskaya-inspire-temnosinyaya-pm430006/" , "PM430006 Рубашка поло мужская Inspire темно-синяя, размер S")</f>
      </c>
      <c r="C20101" s="4" t="n">
        <v>1433.00</v>
      </c>
      <c r="D20101" s="4"/>
    </row>
    <row collapsed="" customFormat="false" customHeight="1" hidden="" ht="14" outlineLevel="0" r="20102">
      <c r="A20102" s="3" t="inlineStr">
        <is>
          <t>20054</t>
        </is>
      </c>
      <c r="B20102" s="4" t="s">
        <f>=HYPERLINK("http://anyluxury.ru/shop/odezhda/rubashki-polo/rubashka-polo-muzhskaya-inspire-krasnaya-pm430007/" , "PM430007 Рубашка поло мужская Inspire красная, размер S")</f>
      </c>
      <c r="C20102" s="4" t="n">
        <v>1433.00</v>
      </c>
      <c r="D20102" s="4"/>
    </row>
    <row collapsed="" customFormat="false" customHeight="1" hidden="" ht="14" outlineLevel="0" r="20103">
      <c r="A20103" s="3" t="inlineStr">
        <is>
          <t>20055</t>
        </is>
      </c>
      <c r="B20103" s="4" t="s">
        <f>=HYPERLINK("http://anyluxury.ru/shop/odezhda/rubashki-polo/rubashka-polo-muzhskaya-inspire-krasnaya-pm430007/" , "PM430007 Рубашка поло мужская Inspire красная, размер M")</f>
      </c>
      <c r="C20103" s="4" t="n">
        <v>1433.00</v>
      </c>
      <c r="D20103" s="4"/>
    </row>
    <row collapsed="" customFormat="false" customHeight="1" hidden="" ht="14" outlineLevel="0" r="20104">
      <c r="A20104" s="3" t="inlineStr">
        <is>
          <t>20056</t>
        </is>
      </c>
      <c r="B20104" s="4" t="s">
        <f>=HYPERLINK("http://anyluxury.ru/shop/odezhda/rubashki-polo/rubashka-polo-muzhskaya-inspire-krasnaya-pm430007/" , "PM430007 Рубашка поло мужская Inspire красная, размер XL")</f>
      </c>
      <c r="C20104" s="4" t="n">
        <v>1433.00</v>
      </c>
      <c r="D20104" s="4"/>
    </row>
    <row collapsed="" customFormat="false" customHeight="1" hidden="" ht="14" outlineLevel="0" r="20105">
      <c r="A20105" s="3" t="inlineStr">
        <is>
          <t>20057</t>
        </is>
      </c>
      <c r="B20105" s="4" t="s">
        <f>=HYPERLINK("http://anyluxury.ru/shop/odezhda/rubashki-polo/rubashka-polo-muzhskaya-inspire-krasnaya-pm430007/" , "PM430007 Рубашка поло мужская Inspire красная, размер XXL")</f>
      </c>
      <c r="C20105" s="4" t="n">
        <v>1433.00</v>
      </c>
      <c r="D20105" s="4"/>
    </row>
    <row collapsed="" customFormat="false" customHeight="1" hidden="" ht="14" outlineLevel="0" r="20106">
      <c r="A20106" s="3" t="inlineStr">
        <is>
          <t>20058</t>
        </is>
      </c>
      <c r="B20106" s="4" t="s">
        <f>=HYPERLINK("http://anyluxury.ru/shop/odezhda/rubashki-polo/rubashka-polo-muzhskaya-inspire-krasnaya-pm430007/" , "PM430007 Рубашка поло мужская Inspire красная, размер XXXL")</f>
      </c>
      <c r="C20106" s="4" t="n">
        <v>1433.00</v>
      </c>
      <c r="D20106" s="4"/>
    </row>
    <row collapsed="" customFormat="false" customHeight="1" hidden="" ht="14" outlineLevel="0" r="20107">
      <c r="A20107" s="3" t="inlineStr">
        <is>
          <t>20059</t>
        </is>
      </c>
      <c r="B20107" s="4" t="s">
        <f>=HYPERLINK("http://anyluxury.ru/shop/odezhda/rubashki-polo/rubashka-polo-muzhskaya-inspire-oranzhevaya-pm430235/" , "PM430235 Рубашка поло мужская Inspire оранжевая, размер S")</f>
      </c>
      <c r="C20107" s="4" t="n">
        <v>1433.00</v>
      </c>
      <c r="D20107" s="4"/>
    </row>
    <row collapsed="" customFormat="false" customHeight="1" hidden="" ht="14" outlineLevel="0" r="20108">
      <c r="A20108" s="3" t="inlineStr">
        <is>
          <t>20060</t>
        </is>
      </c>
      <c r="B20108" s="4" t="s">
        <f>=HYPERLINK("http://anyluxury.ru/shop/odezhda/rubashki-polo/rubashka-polo-muzhskaya-inspire-oranzhevaya-pm430235/" , "PM430235 Рубашка поло мужская Inspire оранжевая, размер M")</f>
      </c>
      <c r="C20108" s="4" t="n">
        <v>1433.00</v>
      </c>
      <c r="D20108" s="4"/>
    </row>
    <row collapsed="" customFormat="false" customHeight="1" hidden="" ht="14" outlineLevel="0" r="20109">
      <c r="A20109" s="3" t="inlineStr">
        <is>
          <t>20061</t>
        </is>
      </c>
      <c r="B20109" s="4" t="s">
        <f>=HYPERLINK("http://anyluxury.ru/shop/odezhda/rubashki-polo/rubashka-polo-muzhskaya-inspire-oranzhevaya-pm430235/" , "PM430235 Рубашка поло мужская Inspire оранжевая, размер L")</f>
      </c>
      <c r="C20109" s="4" t="n">
        <v>1433.00</v>
      </c>
      <c r="D20109" s="4"/>
    </row>
    <row collapsed="" customFormat="false" customHeight="1" hidden="" ht="14" outlineLevel="0" r="20110">
      <c r="A20110" s="3" t="inlineStr">
        <is>
          <t>20062</t>
        </is>
      </c>
      <c r="B20110" s="4" t="s">
        <f>=HYPERLINK("http://anyluxury.ru/shop/odezhda/rubashki-polo/rubashka-polo-muzhskaya-inspire-oranzhevaya-pm430235/" , "PM430235 Рубашка поло мужская Inspire оранжевая, размер XXL")</f>
      </c>
      <c r="C20110" s="4" t="n">
        <v>1433.00</v>
      </c>
      <c r="D20110" s="4"/>
    </row>
    <row collapsed="" customFormat="false" customHeight="1" hidden="" ht="14" outlineLevel="0" r="20111">
      <c r="A20111" s="3" t="inlineStr">
        <is>
          <t>20063</t>
        </is>
      </c>
      <c r="B20111" s="4" t="s">
        <f>=HYPERLINK("http://anyluxury.ru/shop/odezhda/rubashki-polo/rubashka-polo-muzhskaya-inspire-zelenoe-yabloko-pm430511/" , "PM430511 Рубашка поло мужская Inspire зеленое яблоко, размер S")</f>
      </c>
      <c r="C20111" s="4" t="n">
        <v>1433.00</v>
      </c>
      <c r="D20111" s="4"/>
    </row>
    <row collapsed="" customFormat="false" customHeight="1" hidden="" ht="14" outlineLevel="0" r="20112">
      <c r="A20112" s="3" t="inlineStr">
        <is>
          <t>20064</t>
        </is>
      </c>
      <c r="B20112" s="4" t="s">
        <f>=HYPERLINK("http://anyluxury.ru/shop/odezhda/rubashki-polo/rubashka-polo-muzhskaya-inspire-zelenoe-yabloko-pm430511/" , "PM430511 Рубашка поло мужская Inspire зеленое яблоко, размер L")</f>
      </c>
      <c r="C20112" s="4" t="n">
        <v>1433.00</v>
      </c>
      <c r="D20112" s="4"/>
    </row>
    <row collapsed="" customFormat="false" customHeight="1" hidden="" ht="14" outlineLevel="0" r="20113">
      <c r="A20113" s="3" t="inlineStr">
        <is>
          <t>20065</t>
        </is>
      </c>
      <c r="B20113" s="4" t="s">
        <f>=HYPERLINK("http://anyluxury.ru/shop/odezhda/rubashki-polo/rubashka-polo-muzhskaya-inspire-temnozelenaya-pm430540/" , "PM430540 Рубашка поло мужская Inspire темно-зеленая, размер S")</f>
      </c>
      <c r="C20113" s="4" t="n">
        <v>1433.00</v>
      </c>
      <c r="D20113" s="4"/>
    </row>
    <row collapsed="" customFormat="false" customHeight="1" hidden="" ht="14" outlineLevel="0" r="20114">
      <c r="A20114" s="3" t="inlineStr">
        <is>
          <t>20066</t>
        </is>
      </c>
      <c r="B20114" s="4" t="s">
        <f>=HYPERLINK("http://anyluxury.ru/shop/odezhda/rubashki-polo/rubashka-polo-muzhskaya-inspire-temnozelenaya-pm430540/" , "PM430540 Рубашка поло мужская Inspire темно-зеленая, размер XXL")</f>
      </c>
      <c r="C20114" s="4" t="n">
        <v>1433.00</v>
      </c>
      <c r="D20114" s="4"/>
    </row>
    <row collapsed="" customFormat="false" customHeight="1" hidden="" ht="14" outlineLevel="0" r="20115">
      <c r="A20115" s="3" t="inlineStr">
        <is>
          <t>20067</t>
        </is>
      </c>
      <c r="B20115" s="4" t="s">
        <f>=HYPERLINK("http://anyluxury.ru/shop/odezhda/rubashki-polo/rubashka-polo-muzhskaya-inspire-temnozelenaya-pm430540/" , "PM430540 Рубашка поло мужская Inspire темно-зеленая, размер XXXL")</f>
      </c>
      <c r="C20115" s="4" t="n">
        <v>1433.00</v>
      </c>
      <c r="D20115" s="4"/>
    </row>
    <row collapsed="" customFormat="false" customHeight="1" hidden="" ht="14" outlineLevel="0" r="20116">
      <c r="A20116" s="3" t="inlineStr">
        <is>
          <t>20068</t>
        </is>
      </c>
      <c r="B20116" s="4" t="s">
        <f>=HYPERLINK("http://anyluxury.ru/shop/odezhda/rubashki-polo/rubashka-polo-muzhskaya-inspire-biryuzovaya-pm430705/" , "PM430705 Рубашка поло мужская Inspire бирюзовая, размер S")</f>
      </c>
      <c r="C20116" s="4" t="n">
        <v>1433.00</v>
      </c>
      <c r="D20116" s="4"/>
    </row>
    <row collapsed="" customFormat="false" customHeight="1" hidden="" ht="14" outlineLevel="0" r="20117">
      <c r="A20117" s="3" t="inlineStr">
        <is>
          <t>20069</t>
        </is>
      </c>
      <c r="B20117" s="4" t="s">
        <f>=HYPERLINK("http://anyluxury.ru/shop/odezhda/rubashki-polo/rubashka-polo-muzhskaya-inspire-biryuzovaya-pm430705/" , "PM430705 Рубашка поло мужская Inspire бирюзовая, размер XL")</f>
      </c>
      <c r="C20117" s="4" t="n">
        <v>1433.00</v>
      </c>
      <c r="D20117" s="4"/>
    </row>
    <row collapsed="" customFormat="false" customHeight="1" hidden="" ht="14" outlineLevel="0" r="20118">
      <c r="A20118" s="3" t="inlineStr">
        <is>
          <t>20070</t>
        </is>
      </c>
      <c r="B20118" s="4" t="s">
        <f>=HYPERLINK("http://anyluxury.ru/shop/odezhda/rubashki-polo/rubashka-polo-zhenskaya-inspire-temnosinyaya-pw440006/" , "PW440006 Рубашка поло женская Inspire темно-синяя, размер XS")</f>
      </c>
      <c r="C20118" s="4" t="n">
        <v>1440.00</v>
      </c>
      <c r="D20118" s="4"/>
    </row>
    <row collapsed="" customFormat="false" customHeight="1" hidden="" ht="14" outlineLevel="0" r="20119">
      <c r="A20119" s="3" t="inlineStr">
        <is>
          <t>20071</t>
        </is>
      </c>
      <c r="B20119" s="4" t="s">
        <f>=HYPERLINK("http://anyluxury.ru/shop/odezhda/rubashki-polo/rubashka-polo-zhenskaya-inspire-temnosinyaya-pw440006/" , "PW440006 Рубашка поло женская Inspire темно-синяя, размер S")</f>
      </c>
      <c r="C20119" s="4" t="n">
        <v>1440.00</v>
      </c>
      <c r="D20119" s="4"/>
    </row>
    <row collapsed="" customFormat="false" customHeight="1" hidden="" ht="14" outlineLevel="0" r="20120">
      <c r="A20120" s="3" t="inlineStr">
        <is>
          <t>20072</t>
        </is>
      </c>
      <c r="B20120" s="4" t="s">
        <f>=HYPERLINK("http://anyluxury.ru/shop/odezhda/rubashki-polo/rubashka-polo-zhenskaya-inspire-temnosinyaya-pw440006/" , "PW440006 Рубашка поло женская Inspire темно-синяя, размер XL")</f>
      </c>
      <c r="C20120" s="4" t="n">
        <v>1440.00</v>
      </c>
      <c r="D20120" s="4"/>
    </row>
    <row collapsed="" customFormat="false" customHeight="1" hidden="" ht="14" outlineLevel="0" r="20121">
      <c r="A20121" s="3" t="inlineStr">
        <is>
          <t>20073</t>
        </is>
      </c>
      <c r="B20121" s="4" t="s">
        <f>=HYPERLINK("http://anyluxury.ru/shop/odezhda/rubashki-polo/rubashka-polo-zhenskaya-inspire-temnosinyaya-pw440006/" , "PW440006 Рубашка поло женская Inspire темно-синяя, размер XXL")</f>
      </c>
      <c r="C20121" s="4" t="n">
        <v>1440.00</v>
      </c>
      <c r="D20121" s="4"/>
    </row>
    <row collapsed="" customFormat="false" customHeight="1" hidden="" ht="14" outlineLevel="0" r="20122">
      <c r="A20122" s="3" t="inlineStr">
        <is>
          <t>20074</t>
        </is>
      </c>
      <c r="B20122" s="4" t="s">
        <f>=HYPERLINK("http://anyluxury.ru/shop/odezhda/rubashki-polo/rubashka-polo-zhenskaya-inspire-krasnaya-pw440007/" , "PW440007 Рубашка поло женская Inspire красная, размер XS")</f>
      </c>
      <c r="C20122" s="4" t="n">
        <v>1440.00</v>
      </c>
      <c r="D20122" s="4"/>
    </row>
    <row collapsed="" customFormat="false" customHeight="1" hidden="" ht="14" outlineLevel="0" r="20123">
      <c r="A20123" s="3" t="inlineStr">
        <is>
          <t>20075</t>
        </is>
      </c>
      <c r="B20123" s="4" t="s">
        <f>=HYPERLINK("http://anyluxury.ru/shop/odezhda/rubashki-polo/rubashka-polo-zhenskaya-inspire-krasnaya-pw440007/" , "PW440007 Рубашка поло женская Inspire красная, размер S")</f>
      </c>
      <c r="C20123" s="4" t="n">
        <v>1440.00</v>
      </c>
      <c r="D20123" s="4"/>
    </row>
    <row collapsed="" customFormat="false" customHeight="1" hidden="" ht="14" outlineLevel="0" r="20124">
      <c r="A20124" s="3" t="inlineStr">
        <is>
          <t>20076</t>
        </is>
      </c>
      <c r="B20124" s="4" t="s">
        <f>=HYPERLINK("http://anyluxury.ru/shop/odezhda/rubashki-polo/rubashka-polo-zhenskaya-inspire-krasnaya-pw440007/" , "PW440007 Рубашка поло женская Inspire красная, размер XL")</f>
      </c>
      <c r="C20124" s="4" t="n">
        <v>1440.00</v>
      </c>
      <c r="D20124" s="4"/>
    </row>
    <row collapsed="" customFormat="false" customHeight="1" hidden="" ht="14" outlineLevel="0" r="20125">
      <c r="A20125" s="3" t="inlineStr">
        <is>
          <t>20077</t>
        </is>
      </c>
      <c r="B20125" s="4" t="s">
        <f>=HYPERLINK("http://anyluxury.ru/shop/odezhda/rubashki-polo/rubashka-polo-zhenskaya-inspire-krasnaya-pw440007/" , "PW440007 Рубашка поло женская Inspire красная, размер XXL")</f>
      </c>
      <c r="C20125" s="4" t="n">
        <v>1440.00</v>
      </c>
      <c r="D20125" s="4"/>
    </row>
    <row collapsed="" customFormat="false" customHeight="1" hidden="" ht="14" outlineLevel="0" r="20126">
      <c r="A20126" s="3" t="inlineStr">
        <is>
          <t>20078</t>
        </is>
      </c>
      <c r="B20126" s="4" t="s">
        <f>=HYPERLINK("http://anyluxury.ru/shop/odezhda/rubashki-polo/rubashka-polo-zhenskaya-inspire-oranzhevaya-pw440235/" , "PW440235 Рубашка поло женская Inspire оранжевая, размер XS")</f>
      </c>
      <c r="C20126" s="4" t="n">
        <v>1440.00</v>
      </c>
      <c r="D20126" s="4"/>
    </row>
    <row collapsed="" customFormat="false" customHeight="1" hidden="" ht="14" outlineLevel="0" r="20127">
      <c r="A20127" s="3" t="inlineStr">
        <is>
          <t>20079</t>
        </is>
      </c>
      <c r="B20127" s="4" t="s">
        <f>=HYPERLINK("http://anyluxury.ru/shop/odezhda/rubashki-polo/rubashka-polo-zhenskaya-inspire-zelenoe-yabloko-pw440511/" , "PW440511 Рубашка поло женская Inspire зеленое яблоко, размер XS")</f>
      </c>
      <c r="C20127" s="4" t="n">
        <v>1440.00</v>
      </c>
      <c r="D20127" s="4"/>
    </row>
    <row collapsed="" customFormat="false" customHeight="1" hidden="" ht="14" outlineLevel="0" r="20128">
      <c r="A20128" s="3" t="inlineStr">
        <is>
          <t>20080</t>
        </is>
      </c>
      <c r="B20128" s="4" t="s">
        <f>=HYPERLINK("http://anyluxury.ru/shop/odezhda/rubashki-polo/rubashka-polo-zhenskaya-inspire-zelenoe-yabloko-pw440511/" , "PW440511 Рубашка поло женская Inspire зеленое яблоко, размер S")</f>
      </c>
      <c r="C20128" s="4" t="n">
        <v>1440.00</v>
      </c>
      <c r="D20128" s="4"/>
    </row>
    <row collapsed="" customFormat="false" customHeight="1" hidden="" ht="14" outlineLevel="0" r="20129">
      <c r="A20129" s="3" t="inlineStr">
        <is>
          <t>20081</t>
        </is>
      </c>
      <c r="B20129" s="4" t="s">
        <f>=HYPERLINK("http://anyluxury.ru/shop/odezhda/rubashki-polo/rubashka-polo-zhenskaya-inspire-zelenoe-yabloko-pw440511/" , "PW440511 Рубашка поло женская Inspire зеленое яблоко, размер XL")</f>
      </c>
      <c r="C20129" s="4" t="n">
        <v>1440.00</v>
      </c>
      <c r="D20129" s="4"/>
    </row>
    <row collapsed="" customFormat="false" customHeight="1" hidden="" ht="14" outlineLevel="0" r="20130">
      <c r="A20130" s="3" t="inlineStr">
        <is>
          <t>20082</t>
        </is>
      </c>
      <c r="B20130" s="4" t="s">
        <f>=HYPERLINK("http://anyluxury.ru/shop/odezhda/rubashki-polo/rubashka-polo-zhenskaya-inspire-zelenoe-yabloko-pw440511/" , "PW440511 Рубашка поло женская Inspire зеленое яблоко, размер XXL")</f>
      </c>
      <c r="C20130" s="4" t="n">
        <v>1440.00</v>
      </c>
      <c r="D20130" s="4"/>
    </row>
    <row collapsed="" customFormat="false" customHeight="1" hidden="" ht="14" outlineLevel="0" r="20131">
      <c r="A20131" s="3" t="inlineStr">
        <is>
          <t>20083</t>
        </is>
      </c>
      <c r="B20131" s="4" t="s">
        <f>=HYPERLINK("http://anyluxury.ru/shop/odezhda/rubashki-polo/rubashka-polo-zhenskaya-inspire-temnozelenaya-pw440540/" , "PW440540 Рубашка поло женская Inspire темно-зеленая, размер XS")</f>
      </c>
      <c r="C20131" s="4" t="n">
        <v>1440.00</v>
      </c>
      <c r="D20131" s="4"/>
    </row>
    <row collapsed="" customFormat="false" customHeight="1" hidden="" ht="14" outlineLevel="0" r="20132">
      <c r="A20132" s="3" t="inlineStr">
        <is>
          <t>20084</t>
        </is>
      </c>
      <c r="B20132" s="4" t="s">
        <f>=HYPERLINK("http://anyluxury.ru/shop/odezhda/rubashki-polo/rubashka-polo-zhenskaya-inspire-temnozelenaya-pw440540/" , "PW440540 Рубашка поло женская Inspire темно-зеленая, размер S")</f>
      </c>
      <c r="C20132" s="4" t="n">
        <v>1440.00</v>
      </c>
      <c r="D20132" s="4"/>
    </row>
    <row collapsed="" customFormat="false" customHeight="1" hidden="" ht="14" outlineLevel="0" r="20133">
      <c r="A20133" s="3" t="inlineStr">
        <is>
          <t>20085</t>
        </is>
      </c>
      <c r="B20133" s="4" t="s">
        <f>=HYPERLINK("http://anyluxury.ru/shop/odezhda/rubashki-polo/rubashka-polo-zhenskaya-inspire-temnozelenaya-pw440540/" , "PW440540 Рубашка поло женская Inspire темно-зеленая, размер XXL")</f>
      </c>
      <c r="C20133" s="4" t="n">
        <v>1440.00</v>
      </c>
      <c r="D20133" s="4"/>
    </row>
    <row collapsed="" customFormat="false" customHeight="1" hidden="" ht="14" outlineLevel="0" r="20134">
      <c r="A20134" s="3" t="inlineStr">
        <is>
          <t>20086</t>
        </is>
      </c>
      <c r="B20134" s="4" t="s">
        <f>=HYPERLINK("http://anyluxury.ru/shop/odezhda/rubashki-polo/rubashka-polo-zhenskaya-inspire-biryuzovaya-pw440705/" , "PW440705 Рубашка поло женская Inspire бирюзовая, размер XS")</f>
      </c>
      <c r="C20134" s="4" t="n">
        <v>1440.00</v>
      </c>
      <c r="D20134" s="4"/>
    </row>
    <row collapsed="" customFormat="false" customHeight="1" hidden="" ht="14" outlineLevel="0" r="20135">
      <c r="A20135" s="3" t="inlineStr">
        <is>
          <t>20087</t>
        </is>
      </c>
      <c r="B20135" s="4" t="s">
        <f>=HYPERLINK("http://anyluxury.ru/shop/odezhda/rubashki-polo/rubashka-polo-zhenskaya-inspire-biryuzovaya-pw440705/" , "PW440705 Рубашка поло женская Inspire бирюзовая, размер S")</f>
      </c>
      <c r="C20135" s="4" t="n">
        <v>1440.00</v>
      </c>
      <c r="D20135" s="4"/>
    </row>
    <row collapsed="" customFormat="false" customHeight="1" hidden="" ht="14" outlineLevel="0" r="20136">
      <c r="A20136" s="3" t="inlineStr">
        <is>
          <t>20088</t>
        </is>
      </c>
      <c r="B20136" s="4" t="s">
        <f>=HYPERLINK("http://anyluxury.ru/shop/odezhda/rubashki-polo/rubashka-polo-zhenskaya-inspire-biryuzovaya-pw440705/" , "PW440705 Рубашка поло женская Inspire бирюзовая, размер XL")</f>
      </c>
      <c r="C20136" s="4" t="n">
        <v>1440.00</v>
      </c>
      <c r="D20136" s="4"/>
    </row>
    <row collapsed="" customFormat="false" customHeight="1" hidden="" ht="14" outlineLevel="0" r="20137">
      <c r="A20137" s="3" t="inlineStr">
        <is>
          <t>20089</t>
        </is>
      </c>
      <c r="B20137" s="4" t="s">
        <f>=HYPERLINK("http://anyluxury.ru/shop/odezhda/rubashki-polo/rubashka-polo-zhenskaya-inspire-biryuzovaya-pw440705/" , "PW440705 Рубашка поло женская Inspire бирюзовая, размер XXL")</f>
      </c>
      <c r="C20137" s="4" t="n">
        <v>1440.00</v>
      </c>
      <c r="D20137" s="4"/>
    </row>
    <row collapsed="" customFormat="false" customHeight="1" hidden="" ht="14" outlineLevel="0" r="20138">
      <c r="A20138" s="3" t="inlineStr">
        <is>
          <t>20090</t>
        </is>
      </c>
      <c r="B20138" s="4" t="s">
        <f>=HYPERLINK("http://anyluxury.ru/shop/odezhda/rubashki-polo/rubashka-polo-zhenskaya-inspire-rozovaya-pw440303/" , "PW440303 Рубашка поло женская Inspire розовая, размер XS")</f>
      </c>
      <c r="C20138" s="4" t="n">
        <v>1342.00</v>
      </c>
      <c r="D20138" s="4"/>
    </row>
    <row collapsed="" customFormat="false" customHeight="1" hidden="" ht="14" outlineLevel="0" r="20139">
      <c r="A20139" s="3" t="inlineStr">
        <is>
          <t>20091</t>
        </is>
      </c>
      <c r="B20139" s="4" t="s">
        <f>=HYPERLINK("http://anyluxury.ru/shop/odezhda/rubashki-polo/rubashka-polo-zhenskaya-inspire-rozovaya-pw440303/" , "PW440303 Рубашка поло женская Inspire розовая, размер S")</f>
      </c>
      <c r="C20139" s="4" t="n">
        <v>1342.00</v>
      </c>
      <c r="D20139" s="4"/>
    </row>
    <row collapsed="" customFormat="false" customHeight="1" hidden="" ht="14" outlineLevel="0" r="20140">
      <c r="A20140" s="3" t="inlineStr">
        <is>
          <t>20092</t>
        </is>
      </c>
      <c r="B20140" s="4" t="s">
        <f>=HYPERLINK("http://anyluxury.ru/shop/odezhda/rubashki-polo/rubashka-polo-zhenskaya-inspire-rozovaya-pw440303/" , "PW440303 Рубашка поло женская Inspire розовая, размер M")</f>
      </c>
      <c r="C20140" s="4" t="n">
        <v>1342.00</v>
      </c>
      <c r="D20140" s="4"/>
    </row>
    <row collapsed="" customFormat="false" customHeight="1" hidden="" ht="14" outlineLevel="0" r="20141">
      <c r="A20141" s="3" t="inlineStr">
        <is>
          <t>20093</t>
        </is>
      </c>
      <c r="B20141" s="4" t="s">
        <f>=HYPERLINK("http://anyluxury.ru/shop/odezhda/rubashki-polo/rubashka-polo-zhenskaya-inspire-rozovaya-pw440303/" , "PW440303 Рубашка поло женская Inspire розовая, размер L")</f>
      </c>
      <c r="C20141" s="4" t="n">
        <v>1342.00</v>
      </c>
      <c r="D20141" s="4"/>
    </row>
    <row collapsed="" customFormat="false" customHeight="1" hidden="" ht="14" outlineLevel="0" r="20142">
      <c r="A20142" s="3" t="inlineStr">
        <is>
          <t>20094</t>
        </is>
      </c>
      <c r="B20142" s="4" t="s">
        <f>=HYPERLINK("http://anyluxury.ru/shop/odezhda/rubashki-polo/rubashka-polo-zhenskaya-inspire-rozovaya-pw440303/" , "PW440303 Рубашка поло женская Inspire розовая, размер XL")</f>
      </c>
      <c r="C20142" s="4" t="n">
        <v>1342.00</v>
      </c>
      <c r="D20142" s="4"/>
    </row>
    <row collapsed="" customFormat="false" customHeight="1" hidden="" ht="14" outlineLevel="0" r="20143">
      <c r="A20143" s="3" t="inlineStr">
        <is>
          <t>20095</t>
        </is>
      </c>
      <c r="B20143" s="4" t="s">
        <f>=HYPERLINK("http://anyluxury.ru/shop/odezhda/rubashki-polo/rubashka-polo-zhenskaya-inspire-rozovaya-pw440303/" , "PW440303 Рубашка поло женская Inspire розовая, размер XXL")</f>
      </c>
      <c r="C20143" s="4" t="n">
        <v>1342.00</v>
      </c>
      <c r="D20143" s="4"/>
    </row>
    <row collapsed="" customFormat="false" customHeight="1" hidden="" ht="14" outlineLevel="0" r="20144">
      <c r="A20144" s="3" t="inlineStr">
        <is>
          <t>20096</t>
        </is>
      </c>
      <c r="B20144" s="4" t="s">
        <f>=HYPERLINK("http://anyluxury.ru/shop/odezhda/rubashki-polo/rubashka-polo-zhenskaya-inspire-haki-pw440552/" , "PW440552 Рубашка поло женская Inspire хаки, размер XS")</f>
      </c>
      <c r="C20144" s="4" t="n">
        <v>1440.00</v>
      </c>
      <c r="D20144" s="4"/>
    </row>
    <row collapsed="" customFormat="false" customHeight="1" hidden="" ht="14" outlineLevel="0" r="20145">
      <c r="A20145" s="3" t="inlineStr">
        <is>
          <t>20097</t>
        </is>
      </c>
      <c r="B20145" s="4" t="s">
        <f>=HYPERLINK("http://anyluxury.ru/shop/odezhda/rubashki-polo/rubashka-polo-zhenskaya-inspire-haki-pw440552/" , "PW440552 Рубашка поло женская Inspire хаки, размер S")</f>
      </c>
      <c r="C20145" s="4" t="n">
        <v>1440.00</v>
      </c>
      <c r="D20145" s="4"/>
    </row>
    <row collapsed="" customFormat="false" customHeight="1" hidden="" ht="14" outlineLevel="0" r="20146">
      <c r="A20146" s="3" t="inlineStr">
        <is>
          <t>20098</t>
        </is>
      </c>
      <c r="B20146" s="4" t="s">
        <f>=HYPERLINK("http://anyluxury.ru/shop/odezhda/rubashki-polo/rubashka-polo-zhenskaya-inspire-haki-pw440552/" , "PW440552 Рубашка поло женская Inspire хаки, размер M")</f>
      </c>
      <c r="C20146" s="4" t="n">
        <v>1440.00</v>
      </c>
      <c r="D20146" s="4"/>
    </row>
    <row collapsed="" customFormat="false" customHeight="1" hidden="" ht="14" outlineLevel="0" r="20147">
      <c r="A20147" s="3" t="inlineStr">
        <is>
          <t>20099</t>
        </is>
      </c>
      <c r="B20147" s="4" t="s">
        <f>=HYPERLINK("http://anyluxury.ru/shop/odezhda/rubashki-polo/rubashka-polo-zhenskaya-inspire-haki-pw440552/" , "PW440552 Рубашка поло женская Inspire хаки, размер L")</f>
      </c>
      <c r="C20147" s="4" t="n">
        <v>1440.00</v>
      </c>
      <c r="D20147" s="4"/>
    </row>
    <row collapsed="" customFormat="false" customHeight="1" hidden="" ht="14" outlineLevel="0" r="20148">
      <c r="A20148" s="3" t="inlineStr">
        <is>
          <t>20100</t>
        </is>
      </c>
      <c r="B20148" s="4" t="s">
        <f>=HYPERLINK("http://anyluxury.ru/shop/odezhda/rubashki-polo/rubashka-polo-zhenskaya-inspire-haki-pw440552/" , "PW440552 Рубашка поло женская Inspire хаки, размер XL")</f>
      </c>
      <c r="C20148" s="4" t="n">
        <v>1440.00</v>
      </c>
      <c r="D20148" s="4"/>
    </row>
    <row collapsed="" customFormat="false" customHeight="1" hidden="" ht="14" outlineLevel="0" r="20149">
      <c r="A20149" s="3" t="inlineStr">
        <is>
          <t>20101</t>
        </is>
      </c>
      <c r="B20149" s="4" t="s">
        <f>=HYPERLINK("http://anyluxury.ru/shop/odezhda/rubashki-polo/rubashka-polo-zhenskaya-inspire-haki-pw440552/" , "PW440552 Рубашка поло женская Inspire хаки, размер XXL")</f>
      </c>
      <c r="C20149" s="4" t="n">
        <v>1440.00</v>
      </c>
      <c r="D20149" s="4"/>
    </row>
    <row collapsed="" customFormat="false" customHeight="1" hidden="" ht="14" outlineLevel="0" r="20150">
      <c r="A20150" s="3" t="inlineStr">
        <is>
          <t>20102</t>
        </is>
      </c>
      <c r="B20150" s="4" t="s">
        <f>=HYPERLINK("http://anyluxury.ru/shop/odezhda/rubashki-polo/rubashka-polo-zhenskaya-inspire-temnoseraya-pw440670/" , "PW440670 Рубашка поло женская Inspire темно-серая, размер XS")</f>
      </c>
      <c r="C20150" s="4" t="n">
        <v>1342.00</v>
      </c>
      <c r="D20150" s="4"/>
    </row>
    <row collapsed="" customFormat="false" customHeight="1" hidden="" ht="14" outlineLevel="0" r="20151">
      <c r="A20151" s="3" t="inlineStr">
        <is>
          <t>20103</t>
        </is>
      </c>
      <c r="B20151" s="4" t="s">
        <f>=HYPERLINK("http://anyluxury.ru/shop/odezhda/rubashki-polo/rubashka-polo-zhenskaya-inspire-temnoseraya-pw440670/" , "PW440670 Рубашка поло женская Inspire темно-серая, размер S")</f>
      </c>
      <c r="C20151" s="4" t="n">
        <v>1342.00</v>
      </c>
      <c r="D20151" s="4"/>
    </row>
    <row collapsed="" customFormat="false" customHeight="1" hidden="" ht="14" outlineLevel="0" r="20152">
      <c r="A20152" s="3" t="inlineStr">
        <is>
          <t>20104</t>
        </is>
      </c>
      <c r="B20152" s="4" t="s">
        <f>=HYPERLINK("http://anyluxury.ru/shop/odezhda/rubashki-polo/rubashka-polo-zhenskaya-inspire-temnoseraya-pw440670/" , "PW440670 Рубашка поло женская Inspire темно-серая, размер M")</f>
      </c>
      <c r="C20152" s="4" t="n">
        <v>1342.00</v>
      </c>
      <c r="D20152" s="4"/>
    </row>
    <row collapsed="" customFormat="false" customHeight="1" hidden="" ht="14" outlineLevel="0" r="20153">
      <c r="A20153" s="3" t="inlineStr">
        <is>
          <t>20105</t>
        </is>
      </c>
      <c r="B20153" s="4" t="s">
        <f>=HYPERLINK("http://anyluxury.ru/shop/odezhda/rubashki-polo/rubashka-polo-zhenskaya-inspire-temnoseraya-pw440670/" , "PW440670 Рубашка поло женская Inspire темно-серая, размер L")</f>
      </c>
      <c r="C20153" s="4" t="n">
        <v>1342.00</v>
      </c>
      <c r="D20153" s="4"/>
    </row>
    <row collapsed="" customFormat="false" customHeight="1" hidden="" ht="14" outlineLevel="0" r="20154">
      <c r="A20154" s="3" t="inlineStr">
        <is>
          <t>20106</t>
        </is>
      </c>
      <c r="B20154" s="4" t="s">
        <f>=HYPERLINK("http://anyluxury.ru/shop/odezhda/rubashki-polo/rubashka-polo-zhenskaya-inspire-temnoseraya-pw440670/" , "PW440670 Рубашка поло женская Inspire темно-серая, размер XL")</f>
      </c>
      <c r="C20154" s="4" t="n">
        <v>1342.00</v>
      </c>
      <c r="D20154" s="4"/>
    </row>
    <row collapsed="" customFormat="false" customHeight="1" hidden="" ht="14" outlineLevel="0" r="20155">
      <c r="A20155" s="3" t="inlineStr">
        <is>
          <t>20107</t>
        </is>
      </c>
      <c r="B20155" s="4" t="s">
        <f>=HYPERLINK("http://anyluxury.ru/shop/odezhda/rubashki-polo/rubashka-polo-zhenskaya-inspire-temnoseraya-pw440670/" , "PW440670 Рубашка поло женская Inspire темно-серая, размер XXL")</f>
      </c>
      <c r="C20155" s="4" t="n">
        <v>1342.00</v>
      </c>
      <c r="D20155" s="4"/>
    </row>
    <row collapsed="" customFormat="false" customHeight="1" hidden="" ht="14" outlineLevel="0" r="20156">
      <c r="A20156" s="3" t="inlineStr">
        <is>
          <t>20108</t>
        </is>
      </c>
      <c r="B20156" s="4" t="s">
        <f>=HYPERLINK("http://anyluxury.ru/shop/odezhda/rubashki-polo/rubashka-polo-muzhskaya-inspire-haki-pm430552/" , "PM430552 Рубашка поло мужская Inspire хаки, размер S")</f>
      </c>
      <c r="C20156" s="4" t="n">
        <v>1387.00</v>
      </c>
      <c r="D20156" s="4"/>
    </row>
    <row collapsed="" customFormat="false" customHeight="1" hidden="" ht="14" outlineLevel="0" r="20157">
      <c r="A20157" s="3" t="inlineStr">
        <is>
          <t>20109</t>
        </is>
      </c>
      <c r="B20157" s="4" t="s">
        <f>=HYPERLINK("http://anyluxury.ru/shop/odezhda/rubashki-polo/rubashka-polo-muzhskaya-inspire-haki-pm430552/" , "PM430552 Рубашка поло мужская Inspire хаки, размер M")</f>
      </c>
      <c r="C20157" s="4" t="n">
        <v>1387.00</v>
      </c>
      <c r="D20157" s="4"/>
    </row>
    <row collapsed="" customFormat="false" customHeight="1" hidden="" ht="14" outlineLevel="0" r="20158">
      <c r="A20158" s="3" t="inlineStr">
        <is>
          <t>20110</t>
        </is>
      </c>
      <c r="B20158" s="4" t="s">
        <f>=HYPERLINK("http://anyluxury.ru/shop/odezhda/rubashki-polo/rubashka-polo-muzhskaya-inspire-haki-pm430552/" , "PM430552 Рубашка поло мужская Inspire хаки, размер L")</f>
      </c>
      <c r="C20158" s="4" t="n">
        <v>1387.00</v>
      </c>
      <c r="D20158" s="4"/>
    </row>
    <row collapsed="" customFormat="false" customHeight="1" hidden="" ht="14" outlineLevel="0" r="20159">
      <c r="A20159" s="3" t="inlineStr">
        <is>
          <t>20111</t>
        </is>
      </c>
      <c r="B20159" s="4" t="s">
        <f>=HYPERLINK("http://anyluxury.ru/shop/odezhda/rubashki-polo/rubashka-polo-muzhskaya-inspire-haki-pm430552/" , "PM430552 Рубашка поло мужская Inspire хаки, размер XL")</f>
      </c>
      <c r="C20159" s="4" t="n">
        <v>1387.00</v>
      </c>
      <c r="D20159" s="4"/>
    </row>
    <row collapsed="" customFormat="false" customHeight="1" hidden="" ht="14" outlineLevel="0" r="20160">
      <c r="A20160" s="3" t="inlineStr">
        <is>
          <t>20112</t>
        </is>
      </c>
      <c r="B20160" s="4" t="s">
        <f>=HYPERLINK("http://anyluxury.ru/shop/odezhda/rubashki-polo/rubashka-polo-muzhskaya-inspire-haki-pm430552/" , "PM430552 Рубашка поло мужская Inspire хаки, размер XXL")</f>
      </c>
      <c r="C20160" s="4" t="n">
        <v>1387.00</v>
      </c>
      <c r="D20160" s="4"/>
    </row>
    <row collapsed="" customFormat="false" customHeight="1" hidden="" ht="14" outlineLevel="0" r="20161">
      <c r="A20161" s="3" t="inlineStr">
        <is>
          <t>20113</t>
        </is>
      </c>
      <c r="B20161" s="4" t="s">
        <f>=HYPERLINK("http://anyluxury.ru/shop/odezhda/rubashki-polo/rubashka-polo-muzhskaya-inspire-haki-pm430552/" , "PM430552 Рубашка поло мужская Inspire хаки, размер 3XL")</f>
      </c>
      <c r="C20161" s="4" t="n">
        <v>1387.00</v>
      </c>
      <c r="D20161" s="4"/>
    </row>
    <row collapsed="" customFormat="false" customHeight="1" hidden="" ht="14" outlineLevel="0" r="20162">
      <c r="A20162" s="3" t="inlineStr">
        <is>
          <t>20114</t>
        </is>
      </c>
      <c r="B20162" s="4" t="s">
        <f>=HYPERLINK("http://anyluxury.ru/shop/odezhda/rubashki-polo/rubashka-polo-zhenskaya-virma-stripes-lady-temnosinyaya-1113940/" , "11139.40 Рубашка поло женская Virma Stripes Lady, темно-синяя, размер S")</f>
      </c>
      <c r="C20162" s="4" t="n">
        <v>992.00</v>
      </c>
      <c r="D20162" s="4"/>
    </row>
    <row collapsed="" customFormat="false" customHeight="1" hidden="" ht="14" outlineLevel="0" r="20163">
      <c r="A20163" s="3" t="inlineStr">
        <is>
          <t>20115</t>
        </is>
      </c>
      <c r="B20163" s="4" t="s">
        <f>=HYPERLINK("http://anyluxury.ru/shop/odezhda/rubashki-polo/rubashka-polo-zhenskaya-virma-stripes-lady-temnosinyaya-1113940/" , "11139.40 Рубашка поло женская Virma Stripes Lady, темно-синяя, размер M")</f>
      </c>
      <c r="C20163" s="4" t="n">
        <v>992.00</v>
      </c>
      <c r="D20163" s="4"/>
    </row>
    <row collapsed="" customFormat="false" customHeight="1" hidden="" ht="14" outlineLevel="0" r="20164">
      <c r="A20164" s="3" t="inlineStr">
        <is>
          <t>20116</t>
        </is>
      </c>
      <c r="B20164" s="4" t="s">
        <f>=HYPERLINK("http://anyluxury.ru/shop/odezhda/rubashki-polo/rubashka-polo-zhenskaya-virma-stripes-lady-temnosinyaya-1113940/" , "11139.40 Рубашка поло женская Virma Stripes lady, темно-синяя, размер L")</f>
      </c>
      <c r="C20164" s="4" t="n">
        <v>992.00</v>
      </c>
      <c r="D20164" s="4"/>
    </row>
    <row collapsed="" customFormat="false" customHeight="1" hidden="" ht="14" outlineLevel="0" r="20165">
      <c r="A20165" s="3" t="inlineStr">
        <is>
          <t>20117</t>
        </is>
      </c>
      <c r="B20165" s="4" t="s">
        <f>=HYPERLINK("http://anyluxury.ru/shop/odezhda/rubashki-polo/rubashka-polo-zhenskaya-virma-stripes-lady-temnosinyaya-1113940/" , "11139.40 Рубашка поло женская Virma Stripes lady, темно-синяя, размер XL")</f>
      </c>
      <c r="C20165" s="4" t="n">
        <v>992.00</v>
      </c>
      <c r="D20165" s="4"/>
    </row>
    <row collapsed="" customFormat="false" customHeight="1" hidden="" ht="14" outlineLevel="0" r="20166">
      <c r="A20166" s="3" t="inlineStr">
        <is>
          <t>20118</t>
        </is>
      </c>
      <c r="B20166" s="4" t="s">
        <f>=HYPERLINK("http://anyluxury.ru/shop/odezhda/rubashki-polo/rubashka-polo-zhenskaya-virma-stripes-lady-temnosinyaya-1113940/" , "11139.40 Рубашка поло женская Virma Stripes Lady, темно-синяя, размер XXL")</f>
      </c>
      <c r="C20166" s="4" t="n">
        <v>992.00</v>
      </c>
      <c r="D20166" s="4"/>
    </row>
    <row collapsed="" customFormat="false" customHeight="1" hidden="" ht="14" outlineLevel="0" r="20167">
      <c r="A20167" s="3" t="inlineStr">
        <is>
          <t>20119</t>
        </is>
      </c>
      <c r="B20167" s="4" t="s">
        <f>=HYPERLINK("http://anyluxury.ru/shop/odezhda/rubashki-polo/rubashka-polo-zhenskaya-virma-stripes-lady-chernaya-1113930/" , "11139.30 Рубашка поло женская Virma Stripes Lady, черная, размер S")</f>
      </c>
      <c r="C20167" s="4" t="n">
        <v>992.00</v>
      </c>
      <c r="D20167" s="4"/>
    </row>
    <row collapsed="" customFormat="false" customHeight="1" hidden="" ht="14" outlineLevel="0" r="20168">
      <c r="A20168" s="3" t="inlineStr">
        <is>
          <t>20120</t>
        </is>
      </c>
      <c r="B20168" s="4" t="s">
        <f>=HYPERLINK("http://anyluxury.ru/shop/odezhda/rubashki-polo/rubashka-polo-zhenskaya-virma-stripes-lady-chernaya-1113930/" , "11139.30 Рубашка поло женская Virma Stripes Lady, черная, размер M")</f>
      </c>
      <c r="C20168" s="4" t="n">
        <v>992.00</v>
      </c>
      <c r="D20168" s="4"/>
    </row>
    <row collapsed="" customFormat="false" customHeight="1" hidden="" ht="14" outlineLevel="0" r="20169">
      <c r="A20169" s="3" t="inlineStr">
        <is>
          <t>20121</t>
        </is>
      </c>
      <c r="B20169" s="4" t="s">
        <f>=HYPERLINK("http://anyluxury.ru/shop/odezhda/rubashki-polo/rubashka-polo-zhenskaya-virma-stripes-lady-chernaya-1113930/" , "11139.30 Рубашка поло женская Virma Stripes Lady, черная, размер L")</f>
      </c>
      <c r="C20169" s="4" t="n">
        <v>992.00</v>
      </c>
      <c r="D20169" s="4"/>
    </row>
    <row collapsed="" customFormat="false" customHeight="1" hidden="" ht="14" outlineLevel="0" r="20170">
      <c r="A20170" s="3" t="inlineStr">
        <is>
          <t>20122</t>
        </is>
      </c>
      <c r="B20170" s="4" t="s">
        <f>=HYPERLINK("http://anyluxury.ru/shop/odezhda/rubashki-polo/rubashka-polo-zhenskaya-virma-stripes-lady-chernaya-1113930/" , "11139.30 Рубашка поло женская Virma Stripes Lady, черная, размер XL")</f>
      </c>
      <c r="C20170" s="4" t="n">
        <v>992.00</v>
      </c>
      <c r="D20170" s="4"/>
    </row>
    <row collapsed="" customFormat="false" customHeight="1" hidden="" ht="14" outlineLevel="0" r="20171">
      <c r="A20171" s="3" t="inlineStr">
        <is>
          <t>20123</t>
        </is>
      </c>
      <c r="B20171" s="4" t="s">
        <f>=HYPERLINK("http://anyluxury.ru/shop/odezhda/rubashki-polo/rubashka-polo-zhenskaya-virma-stripes-lady-yarkosinyaya-1113944/" , "11139.44 Рубашка поло женская Virma Stripes Lady, ярко-синяя, размер S")</f>
      </c>
      <c r="C20171" s="4" t="n">
        <v>992.00</v>
      </c>
      <c r="D20171" s="4"/>
    </row>
    <row collapsed="" customFormat="false" customHeight="1" hidden="" ht="14" outlineLevel="0" r="20172">
      <c r="A20172" s="3" t="inlineStr">
        <is>
          <t>20124</t>
        </is>
      </c>
      <c r="B20172" s="4" t="s">
        <f>=HYPERLINK("http://anyluxury.ru/shop/odezhda/rubashki-polo/rubashka-polo-zhenskaya-virma-stripes-lady-yarkosinyaya-1113944/" , "11139.44 Рубашка поло женская Virma Stripes Lady, ярко-синяя, размер M")</f>
      </c>
      <c r="C20172" s="4" t="n">
        <v>992.00</v>
      </c>
      <c r="D20172" s="4"/>
    </row>
    <row collapsed="" customFormat="false" customHeight="1" hidden="" ht="14" outlineLevel="0" r="20173">
      <c r="A20173" s="3" t="inlineStr">
        <is>
          <t>20125</t>
        </is>
      </c>
      <c r="B20173" s="4" t="s">
        <f>=HYPERLINK("http://anyluxury.ru/shop/odezhda/rubashki-polo/rubashka-polo-zhenskaya-virma-stripes-lady-yarkosinyaya-1113944/" , "11139.44 Рубашка поло женская Virma Stripes Lady, ярко-синяя, размер L")</f>
      </c>
      <c r="C20173" s="4" t="n">
        <v>992.00</v>
      </c>
      <c r="D20173" s="4"/>
    </row>
    <row collapsed="" customFormat="false" customHeight="1" hidden="" ht="14" outlineLevel="0" r="20174">
      <c r="A20174" s="3" t="inlineStr">
        <is>
          <t>20126</t>
        </is>
      </c>
      <c r="B20174" s="4" t="s">
        <f>=HYPERLINK("http://anyluxury.ru/shop/odezhda/rubashki-polo/rubashka-polo-zhenskaya-virma-stripes-lady-yarkosinyaya-1113944/" , "11139.44 Рубашка поло женская Virma Stripes Lady, ярко-синяя, размер XL")</f>
      </c>
      <c r="C20174" s="4" t="n">
        <v>992.00</v>
      </c>
      <c r="D20174" s="4"/>
    </row>
    <row collapsed="" customFormat="false" customHeight="1" hidden="" ht="14" outlineLevel="0" r="20175">
      <c r="A20175" s="3" t="inlineStr">
        <is>
          <t>20127</t>
        </is>
      </c>
      <c r="B20175" s="4" t="s">
        <f>=HYPERLINK("http://anyluxury.ru/shop/odezhda/rubashki-polo/rubashka-polo-zhenskaya-virma-stripes-lady-yarkosinyaya-1113944/" , "11139.44 Рубашка поло женская Virma Stripes Lady, ярко-синяя, размер XXL")</f>
      </c>
      <c r="C20175" s="4" t="n">
        <v>992.00</v>
      </c>
      <c r="D20175" s="4"/>
    </row>
    <row collapsed="" customFormat="false" customHeight="1" hidden="" ht="14" outlineLevel="0" r="20176">
      <c r="A20176" s="3" t="inlineStr">
        <is>
          <t>20128</t>
        </is>
      </c>
      <c r="B20176" s="4" t="s">
        <f>=HYPERLINK("http://anyluxury.ru/shop/odezhda/rubashki-polo/rubashka-polo-zhenskaya-virma-stripes-lady-krasnaya-1113950/" , "11139.50 Рубашка поло женская Virma Stripes Lady, красная, размер S")</f>
      </c>
      <c r="C20176" s="4" t="n">
        <v>992.00</v>
      </c>
      <c r="D20176" s="4"/>
    </row>
    <row collapsed="" customFormat="false" customHeight="1" hidden="" ht="14" outlineLevel="0" r="20177">
      <c r="A20177" s="3" t="inlineStr">
        <is>
          <t>20129</t>
        </is>
      </c>
      <c r="B20177" s="4" t="s">
        <f>=HYPERLINK("http://anyluxury.ru/shop/odezhda/rubashki-polo/rubashka-polo-zhenskaya-virma-stripes-lady-krasnaya-1113950/" , "11139.50 Рубашка поло женская Virma Stripes Lady, красная, размер L")</f>
      </c>
      <c r="C20177" s="4" t="n">
        <v>992.00</v>
      </c>
      <c r="D20177" s="4"/>
    </row>
    <row collapsed="" customFormat="false" customHeight="1" hidden="" ht="14" outlineLevel="0" r="20178">
      <c r="A20178" s="3" t="inlineStr">
        <is>
          <t>20130</t>
        </is>
      </c>
      <c r="B20178" s="4" t="s">
        <f>=HYPERLINK("http://anyluxury.ru/shop/odezhda/rubashki-polo/rubashka-polo-zhenskaya-virma-stripes-lady-belaya-1113960/" , "11139.60 Рубашка поло женская Virma Stripes Lady, белая, размер S")</f>
      </c>
      <c r="C20178" s="4" t="n">
        <v>992.00</v>
      </c>
      <c r="D20178" s="4"/>
    </row>
    <row collapsed="" customFormat="false" customHeight="1" hidden="" ht="14" outlineLevel="0" r="20179">
      <c r="A20179" s="3" t="inlineStr">
        <is>
          <t>20131</t>
        </is>
      </c>
      <c r="B20179" s="4" t="s">
        <f>=HYPERLINK("http://anyluxury.ru/shop/odezhda/rubashki-polo/rubashka-polo-zhenskaya-virma-stripes-lady-belaya-1113960/" , "11139.60 Рубашка поло женская Virma Stripes Lady, белая, размер M")</f>
      </c>
      <c r="C20179" s="4" t="n">
        <v>992.00</v>
      </c>
      <c r="D20179" s="4"/>
    </row>
    <row collapsed="" customFormat="false" customHeight="1" hidden="" ht="14" outlineLevel="0" r="20180">
      <c r="A20180" s="3" t="inlineStr">
        <is>
          <t>20132</t>
        </is>
      </c>
      <c r="B20180" s="4" t="s">
        <f>=HYPERLINK("http://anyluxury.ru/shop/odezhda/rubashki-polo/rubashka-polo-zhenskaya-virma-stripes-lady-belaya-1113960/" , "11139.60 Рубашка поло женская Virma Stripes Lady, белая, размер L")</f>
      </c>
      <c r="C20180" s="4" t="n">
        <v>992.00</v>
      </c>
      <c r="D20180" s="4"/>
    </row>
    <row collapsed="" customFormat="false" customHeight="1" hidden="" ht="14" outlineLevel="0" r="20181">
      <c r="A20181" s="3" t="inlineStr">
        <is>
          <t>20133</t>
        </is>
      </c>
      <c r="B20181" s="4" t="s">
        <f>=HYPERLINK("http://anyluxury.ru/shop/odezhda/rubashki-polo/rubashka-polo-zhenskaya-virma-stripes-lady-belaya-1113960/" , "11139.60 Рубашка поло женская Virma Stripes Lady, белая, размер XXL")</f>
      </c>
      <c r="C20181" s="4" t="n">
        <v>992.00</v>
      </c>
      <c r="D20181" s="4"/>
    </row>
    <row collapsed="" customFormat="false" customHeight="1" hidden="" ht="14" outlineLevel="0" r="20182">
      <c r="A20182" s="3" t="inlineStr">
        <is>
          <t>20134</t>
        </is>
      </c>
      <c r="B20182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S")</f>
      </c>
      <c r="C20182" s="4" t="n">
        <v>1880.00</v>
      </c>
      <c r="D20182" s="4"/>
    </row>
    <row collapsed="" customFormat="false" customHeight="1" hidden="" ht="14" outlineLevel="0" r="20183">
      <c r="A20183" s="3" t="inlineStr">
        <is>
          <t>20135</t>
        </is>
      </c>
      <c r="B20183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M")</f>
      </c>
      <c r="C20183" s="4" t="n">
        <v>1880.00</v>
      </c>
      <c r="D20183" s="4"/>
    </row>
    <row collapsed="" customFormat="false" customHeight="1" hidden="" ht="14" outlineLevel="0" r="20184">
      <c r="A20184" s="3" t="inlineStr">
        <is>
          <t>20136</t>
        </is>
      </c>
      <c r="B20184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L")</f>
      </c>
      <c r="C20184" s="4" t="n">
        <v>1880.00</v>
      </c>
      <c r="D20184" s="4"/>
    </row>
    <row collapsed="" customFormat="false" customHeight="1" hidden="" ht="14" outlineLevel="0" r="20185">
      <c r="A20185" s="3" t="inlineStr">
        <is>
          <t>20137</t>
        </is>
      </c>
      <c r="B20185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XL")</f>
      </c>
      <c r="C20185" s="4" t="n">
        <v>1880.00</v>
      </c>
      <c r="D20185" s="4"/>
    </row>
    <row collapsed="" customFormat="false" customHeight="1" hidden="" ht="14" outlineLevel="0" r="20186">
      <c r="A20186" s="3" t="inlineStr">
        <is>
          <t>20138</t>
        </is>
      </c>
      <c r="B20186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XXL")</f>
      </c>
      <c r="C20186" s="4" t="n">
        <v>1880.00</v>
      </c>
      <c r="D20186" s="4"/>
    </row>
    <row collapsed="" customFormat="false" customHeight="1" hidden="" ht="14" outlineLevel="0" r="20187">
      <c r="A20187" s="3" t="inlineStr">
        <is>
          <t>20139</t>
        </is>
      </c>
      <c r="B20187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3XL")</f>
      </c>
      <c r="C20187" s="4" t="n">
        <v>2161.00</v>
      </c>
      <c r="D20187" s="4"/>
    </row>
    <row collapsed="" customFormat="false" customHeight="1" hidden="" ht="14" outlineLevel="0" r="20188">
      <c r="A20188" s="3" t="inlineStr">
        <is>
          <t>20140</t>
        </is>
      </c>
      <c r="B20188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S")</f>
      </c>
      <c r="C20188" s="4" t="n">
        <v>1880.00</v>
      </c>
      <c r="D20188" s="4"/>
    </row>
    <row collapsed="" customFormat="false" customHeight="1" hidden="" ht="14" outlineLevel="0" r="20189">
      <c r="A20189" s="3" t="inlineStr">
        <is>
          <t>20141</t>
        </is>
      </c>
      <c r="B20189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L")</f>
      </c>
      <c r="C20189" s="4" t="n">
        <v>1880.00</v>
      </c>
      <c r="D20189" s="4"/>
    </row>
    <row collapsed="" customFormat="false" customHeight="1" hidden="" ht="14" outlineLevel="0" r="20190">
      <c r="A20190" s="3" t="inlineStr">
        <is>
          <t>20142</t>
        </is>
      </c>
      <c r="B20190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XL")</f>
      </c>
      <c r="C20190" s="4" t="n">
        <v>1880.00</v>
      </c>
      <c r="D20190" s="4"/>
    </row>
    <row collapsed="" customFormat="false" customHeight="1" hidden="" ht="14" outlineLevel="0" r="20191">
      <c r="A20191" s="3" t="inlineStr">
        <is>
          <t>20143</t>
        </is>
      </c>
      <c r="B20191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XXL")</f>
      </c>
      <c r="C20191" s="4" t="n">
        <v>1880.00</v>
      </c>
      <c r="D20191" s="4"/>
    </row>
    <row collapsed="" customFormat="false" customHeight="1" hidden="" ht="14" outlineLevel="0" r="20192">
      <c r="A20192" s="3" t="inlineStr">
        <is>
          <t>20144</t>
        </is>
      </c>
      <c r="B20192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3XL")</f>
      </c>
      <c r="C20192" s="4" t="n">
        <v>2161.00</v>
      </c>
      <c r="D20192" s="4"/>
    </row>
    <row collapsed="" customFormat="false" customHeight="1" hidden="" ht="14" outlineLevel="0" r="20193">
      <c r="A20193" s="3" t="inlineStr">
        <is>
          <t>20145</t>
        </is>
      </c>
      <c r="B20193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S")</f>
      </c>
      <c r="C20193" s="4" t="n">
        <v>1840.00</v>
      </c>
      <c r="D20193" s="4"/>
    </row>
    <row collapsed="" customFormat="false" customHeight="1" hidden="" ht="14" outlineLevel="0" r="20194">
      <c r="A20194" s="3" t="inlineStr">
        <is>
          <t>20146</t>
        </is>
      </c>
      <c r="B20194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M")</f>
      </c>
      <c r="C20194" s="4" t="n">
        <v>1840.00</v>
      </c>
      <c r="D20194" s="4"/>
    </row>
    <row collapsed="" customFormat="false" customHeight="1" hidden="" ht="14" outlineLevel="0" r="20195">
      <c r="A20195" s="3" t="inlineStr">
        <is>
          <t>20147</t>
        </is>
      </c>
      <c r="B20195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L")</f>
      </c>
      <c r="C20195" s="4" t="n">
        <v>1840.00</v>
      </c>
      <c r="D20195" s="4"/>
    </row>
    <row collapsed="" customFormat="false" customHeight="1" hidden="" ht="14" outlineLevel="0" r="20196">
      <c r="A20196" s="3" t="inlineStr">
        <is>
          <t>20148</t>
        </is>
      </c>
      <c r="B20196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XL")</f>
      </c>
      <c r="C20196" s="4" t="n">
        <v>1840.00</v>
      </c>
      <c r="D20196" s="4"/>
    </row>
    <row collapsed="" customFormat="false" customHeight="1" hidden="" ht="14" outlineLevel="0" r="20197">
      <c r="A20197" s="3" t="inlineStr">
        <is>
          <t>20149</t>
        </is>
      </c>
      <c r="B20197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XXL")</f>
      </c>
      <c r="C20197" s="4" t="n">
        <v>1840.00</v>
      </c>
      <c r="D20197" s="4"/>
    </row>
    <row collapsed="" customFormat="false" customHeight="1" hidden="" ht="14" outlineLevel="0" r="20198">
      <c r="A20198" s="3" t="inlineStr">
        <is>
          <t>20150</t>
        </is>
      </c>
      <c r="B20198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S")</f>
      </c>
      <c r="C20198" s="4" t="n">
        <v>1840.00</v>
      </c>
      <c r="D20198" s="4"/>
    </row>
    <row collapsed="" customFormat="false" customHeight="1" hidden="" ht="14" outlineLevel="0" r="20199">
      <c r="A20199" s="3" t="inlineStr">
        <is>
          <t>20151</t>
        </is>
      </c>
      <c r="B20199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M")</f>
      </c>
      <c r="C20199" s="4" t="n">
        <v>1840.00</v>
      </c>
      <c r="D20199" s="4"/>
    </row>
    <row collapsed="" customFormat="false" customHeight="1" hidden="" ht="14" outlineLevel="0" r="20200">
      <c r="A20200" s="3" t="inlineStr">
        <is>
          <t>20152</t>
        </is>
      </c>
      <c r="B20200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L")</f>
      </c>
      <c r="C20200" s="4" t="n">
        <v>1840.00</v>
      </c>
      <c r="D20200" s="4"/>
    </row>
    <row collapsed="" customFormat="false" customHeight="1" hidden="" ht="14" outlineLevel="0" r="20201">
      <c r="A20201" s="3" t="inlineStr">
        <is>
          <t>20153</t>
        </is>
      </c>
      <c r="B20201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XL")</f>
      </c>
      <c r="C20201" s="4" t="n">
        <v>1840.00</v>
      </c>
      <c r="D20201" s="4"/>
    </row>
    <row collapsed="" customFormat="false" customHeight="1" hidden="" ht="14" outlineLevel="0" r="20202">
      <c r="A20202" s="3" t="inlineStr">
        <is>
          <t>20154</t>
        </is>
      </c>
      <c r="B20202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XXL")</f>
      </c>
      <c r="C20202" s="4" t="n">
        <v>1840.00</v>
      </c>
      <c r="D20202" s="4"/>
    </row>
    <row collapsed="" customFormat="false" customHeight="1" hidden="" ht="14" outlineLevel="0" r="20203">
      <c r="A20203" s="3" t="inlineStr">
        <is>
          <t>20155</t>
        </is>
      </c>
      <c r="B20203" s="4" t="s">
        <f>=HYPERLINK("http://anyluxury.ru/shop/odezhda/rubashki-polo/rubashka-polo-muzhskaya-eclipse-h2xdry-sinyaya-1162143/" , "11621.43 Рубашка поло мужская Eclipse H2X-Dry синяя, размер XL")</f>
      </c>
      <c r="C20203" s="4" t="n">
        <v>2310.00</v>
      </c>
      <c r="D20203" s="4"/>
    </row>
    <row collapsed="" customFormat="false" customHeight="1" hidden="" ht="14" outlineLevel="0" r="20204">
      <c r="A20204" s="3" t="inlineStr">
        <is>
          <t>20156</t>
        </is>
      </c>
      <c r="B20204" s="4" t="s">
        <f>=HYPERLINK("http://anyluxury.ru/shop/odezhda/rubashki-polo/rubashka-polo-muzhskaya-eclipse-h2xdry-sinyaya-1162143/" , "11621.43 Рубашка поло мужская Eclipse H2X-Dry синяя, размер XXL")</f>
      </c>
      <c r="C20204" s="4" t="n">
        <v>2310.00</v>
      </c>
      <c r="D20204" s="4"/>
    </row>
    <row collapsed="" customFormat="false" customHeight="1" hidden="" ht="14" outlineLevel="0" r="20205">
      <c r="A20205" s="3" t="inlineStr">
        <is>
          <t>20157</t>
        </is>
      </c>
      <c r="B20205" s="4" t="s">
        <f>=HYPERLINK("http://anyluxury.ru/shop/odezhda/rubashki-polo/rubashka-polo-muzhskaya-eclipse-h2xdry-chernaya-1162130/" , "11621.30 Рубашка поло мужская Eclipse H2X-Dry черная, размер L")</f>
      </c>
      <c r="C20205" s="4" t="n">
        <v>2310.00</v>
      </c>
      <c r="D20205" s="4"/>
    </row>
    <row collapsed="" customFormat="false" customHeight="1" hidden="" ht="14" outlineLevel="0" r="20206">
      <c r="A20206" s="3" t="inlineStr">
        <is>
          <t>20158</t>
        </is>
      </c>
      <c r="B20206" s="4" t="s">
        <f>=HYPERLINK("http://anyluxury.ru/shop/odezhda/rubashki-polo/rubashka-polo-muzhskaya-eclipse-h2xdry-krasnaya-1162135/" , "11621.35 Рубашка поло мужская Eclipse H2X-Dry красная, размер S")</f>
      </c>
      <c r="C20206" s="4" t="n">
        <v>2310.00</v>
      </c>
      <c r="D20206" s="4"/>
    </row>
    <row collapsed="" customFormat="false" customHeight="1" hidden="" ht="14" outlineLevel="0" r="20207">
      <c r="A20207" s="3" t="inlineStr">
        <is>
          <t>20159</t>
        </is>
      </c>
      <c r="B20207" s="4" t="s">
        <f>=HYPERLINK("http://anyluxury.ru/shop/odezhda/rubashki-polo/rubashka-polo-muzhskaya-eclipse-h2xdry-krasnaya-1162135/" , "11621.35 Рубашка поло мужская Eclipse H2X-Dry красная, размер M")</f>
      </c>
      <c r="C20207" s="4" t="n">
        <v>2310.00</v>
      </c>
      <c r="D20207" s="4"/>
    </row>
    <row collapsed="" customFormat="false" customHeight="1" hidden="" ht="14" outlineLevel="0" r="20208">
      <c r="A20208" s="3" t="inlineStr">
        <is>
          <t>20160</t>
        </is>
      </c>
      <c r="B20208" s="4" t="s">
        <f>=HYPERLINK("http://anyluxury.ru/shop/odezhda/rubashki-polo/rubashka-polo-muzhskaya-eclipse-h2xdry-krasnaya-1162135/" , "11621.35 Рубашка поло мужская Eclipse H2X-Dry красная, размер L")</f>
      </c>
      <c r="C20208" s="4" t="n">
        <v>2310.00</v>
      </c>
      <c r="D20208" s="4"/>
    </row>
    <row collapsed="" customFormat="false" customHeight="1" hidden="" ht="14" outlineLevel="0" r="20209">
      <c r="A20209" s="3" t="inlineStr">
        <is>
          <t>20161</t>
        </is>
      </c>
      <c r="B20209" s="4" t="s">
        <f>=HYPERLINK("http://anyluxury.ru/shop/odezhda/rubashki-polo/rubashka-polo-muzhskaya-eclipse-h2xdry-krasnaya-1162135/" , "11621.35 Рубашка поло мужская Eclipse H2X-Dry красная, размер XL")</f>
      </c>
      <c r="C20209" s="4" t="n">
        <v>2310.00</v>
      </c>
      <c r="D20209" s="4"/>
    </row>
    <row collapsed="" customFormat="false" customHeight="1" hidden="" ht="14" outlineLevel="0" r="20210">
      <c r="A20210" s="3" t="inlineStr">
        <is>
          <t>20162</t>
        </is>
      </c>
      <c r="B20210" s="4" t="s">
        <f>=HYPERLINK("http://anyluxury.ru/shop/odezhda/rubashki-polo/rubashka-polo-muzhskaya-eclipse-h2xdry-krasnaya-1162135/" , "11621.35 Рубашка поло мужская Eclipse H2X-Dry красная, размер XXL")</f>
      </c>
      <c r="C20210" s="4" t="n">
        <v>2310.00</v>
      </c>
      <c r="D20210" s="4"/>
    </row>
    <row collapsed="" customFormat="false" customHeight="1" hidden="" ht="14" outlineLevel="0" r="20211">
      <c r="A20211" s="3" t="inlineStr">
        <is>
          <t>20163</t>
        </is>
      </c>
      <c r="B20211" s="4" t="s">
        <f>=HYPERLINK("http://anyluxury.ru/shop/odezhda/rubashki-polo/rubashka-polo-muzhskaya-eclipse-h2xdry-temnosinyaya-1162140/" , "11621.40 Рубашка поло мужская Eclipse H2X-Dry темно-синяя, размер S")</f>
      </c>
      <c r="C20211" s="4" t="n">
        <v>2310.00</v>
      </c>
      <c r="D20211" s="4"/>
    </row>
    <row collapsed="" customFormat="false" customHeight="1" hidden="" ht="14" outlineLevel="0" r="20212">
      <c r="A20212" s="3" t="inlineStr">
        <is>
          <t>20164</t>
        </is>
      </c>
      <c r="B20212" s="4" t="s">
        <f>=HYPERLINK("http://anyluxury.ru/shop/odezhda/rubashki-polo/rubashka-polo-muzhskaya-eclipse-h2xdry-temnosinyaya-1162140/" , "11621.40 Рубашка поло мужская Eclipse H2X-Dry темно-синяя, размер XL")</f>
      </c>
      <c r="C20212" s="4" t="n">
        <v>2310.00</v>
      </c>
      <c r="D20212" s="4"/>
    </row>
    <row collapsed="" customFormat="false" customHeight="1" hidden="" ht="14" outlineLevel="0" r="20213">
      <c r="A20213" s="3" t="inlineStr">
        <is>
          <t>20165</t>
        </is>
      </c>
      <c r="B20213" s="4" t="s">
        <f>=HYPERLINK("http://anyluxury.ru/shop/odezhda/rubashki-polo/rubashka-polo-muzhskaya-eclipse-h2xdry-belaya-1162160/" , "11621.60 Рубашка поло мужская Eclipse H2X-Dry белая, размер S")</f>
      </c>
      <c r="C20213" s="4" t="n">
        <v>2310.00</v>
      </c>
      <c r="D20213" s="4"/>
    </row>
    <row collapsed="" customFormat="false" customHeight="1" hidden="" ht="14" outlineLevel="0" r="20214">
      <c r="A20214" s="3" t="inlineStr">
        <is>
          <t>20166</t>
        </is>
      </c>
      <c r="B20214" s="4" t="s">
        <f>=HYPERLINK("http://anyluxury.ru/shop/odezhda/rubashki-polo/rubashka-polo-muzhskaya-eclipse-h2xdry-belaya-1162160/" , "11621.60 Рубашка поло мужская Eclipse H2X-Dry белая, размер M")</f>
      </c>
      <c r="C20214" s="4" t="n">
        <v>2310.00</v>
      </c>
      <c r="D20214" s="4"/>
    </row>
    <row collapsed="" customFormat="false" customHeight="1" hidden="" ht="14" outlineLevel="0" r="20215">
      <c r="A20215" s="3" t="inlineStr">
        <is>
          <t>20167</t>
        </is>
      </c>
      <c r="B20215" s="4" t="s">
        <f>=HYPERLINK("http://anyluxury.ru/shop/odezhda/rubashki-polo/rubashka-polo-zhenskaya-eclipse-h2xdry-sinyaya-1162243/" , "11622.43 Рубашка поло женская Eclipse H2X-Dry синяя, размер XS")</f>
      </c>
      <c r="C20215" s="4" t="n">
        <v>2250.00</v>
      </c>
      <c r="D20215" s="4"/>
    </row>
    <row collapsed="" customFormat="false" customHeight="1" hidden="" ht="14" outlineLevel="0" r="20216">
      <c r="A20216" s="3" t="inlineStr">
        <is>
          <t>20168</t>
        </is>
      </c>
      <c r="B20216" s="4" t="s">
        <f>=HYPERLINK("http://anyluxury.ru/shop/odezhda/rubashki-polo/rubashka-polo-zhenskaya-eclipse-h2xdry-sinyaya-1162243/" , "11622.43 Рубашка поло женская Eclipse H2X-Dry синяя, размер 3XL")</f>
      </c>
      <c r="C20216" s="4" t="n">
        <v>2250.00</v>
      </c>
      <c r="D20216" s="4"/>
    </row>
    <row collapsed="" customFormat="false" customHeight="1" hidden="" ht="14" outlineLevel="0" r="20217">
      <c r="A20217" s="3" t="inlineStr">
        <is>
          <t>20169</t>
        </is>
      </c>
      <c r="B20217" s="4" t="s">
        <f>=HYPERLINK("http://anyluxury.ru/shop/odezhda/rubashki-polo/rubashka-polo-zhenskaya-eclipse-h2xdry-chernaya-1162230/" , "11622.30 Рубашка поло женская Eclipse H2X-Dry черная, размер XS")</f>
      </c>
      <c r="C20217" s="4" t="n">
        <v>2250.00</v>
      </c>
      <c r="D20217" s="4"/>
    </row>
    <row collapsed="" customFormat="false" customHeight="1" hidden="" ht="14" outlineLevel="0" r="20218">
      <c r="A20218" s="3" t="inlineStr">
        <is>
          <t>20170</t>
        </is>
      </c>
      <c r="B20218" s="4" t="s">
        <f>=HYPERLINK("http://anyluxury.ru/shop/odezhda/rubashki-polo/rubashka-polo-zhenskaya-eclipse-h2xdry-chernaya-1162230/" , "11622.30 Рубашка поло женская Eclipse H2X-Dry черная, размер 3XL")</f>
      </c>
      <c r="C20218" s="4" t="n">
        <v>2250.00</v>
      </c>
      <c r="D20218" s="4"/>
    </row>
    <row collapsed="" customFormat="false" customHeight="1" hidden="" ht="14" outlineLevel="0" r="20219">
      <c r="A20219" s="3" t="inlineStr">
        <is>
          <t>20171</t>
        </is>
      </c>
      <c r="B20219" s="4" t="s">
        <f>=HYPERLINK("http://anyluxury.ru/shop/odezhda/rubashki-polo/rubashka-polo-zhenskaya-eclipse-h2xdry-krasnaya-1162235/" , "11622.35 Рубашка поло женская Eclipse H2X-Dry красная, размер XS")</f>
      </c>
      <c r="C20219" s="4" t="n">
        <v>2250.00</v>
      </c>
      <c r="D20219" s="4"/>
    </row>
    <row collapsed="" customFormat="false" customHeight="1" hidden="" ht="14" outlineLevel="0" r="20220">
      <c r="A20220" s="3" t="inlineStr">
        <is>
          <t>20172</t>
        </is>
      </c>
      <c r="B20220" s="4" t="s">
        <f>=HYPERLINK("http://anyluxury.ru/shop/odezhda/rubashki-polo/rubashka-polo-zhenskaya-eclipse-h2xdry-temnosinyaya-1162240/" , "11622.40 Рубашка поло женская Eclipse H2X-Dry темно-синяя, размер XS")</f>
      </c>
      <c r="C20220" s="4" t="n">
        <v>2250.00</v>
      </c>
      <c r="D20220" s="4"/>
    </row>
    <row collapsed="" customFormat="false" customHeight="1" hidden="" ht="14" outlineLevel="0" r="20221">
      <c r="A20221" s="3" t="inlineStr">
        <is>
          <t>20173</t>
        </is>
      </c>
      <c r="B20221" s="4" t="s">
        <f>=HYPERLINK("http://anyluxury.ru/shop/odezhda/rubashki-polo/rubashka-polo-zhenskaya-eclipse-h2xdry-temnosinyaya-1162240/" , "11622.40 Рубашка поло женская Eclipse H2X-Dry темно-синяя, размер XXL")</f>
      </c>
      <c r="C20221" s="4" t="n">
        <v>2250.00</v>
      </c>
      <c r="D20221" s="4"/>
    </row>
    <row collapsed="" customFormat="false" customHeight="1" hidden="" ht="14" outlineLevel="0" r="20222">
      <c r="A20222" s="3" t="inlineStr">
        <is>
          <t>20174</t>
        </is>
      </c>
      <c r="B20222" s="4" t="s">
        <f>=HYPERLINK("http://anyluxury.ru/shop/odezhda/rubashki-polo/rubashka-polo-zhenskaya-eclipse-h2xdry-temnosinyaya-1162240/" , "11622.40 Рубашка поло женская Eclipse H2X-Dry темно-синяя, размер 3XL")</f>
      </c>
      <c r="C20222" s="4" t="n">
        <v>2250.00</v>
      </c>
      <c r="D20222" s="4"/>
    </row>
    <row collapsed="" customFormat="false" customHeight="1" hidden="" ht="14" outlineLevel="0" r="20223">
      <c r="A20223" s="3" t="inlineStr">
        <is>
          <t>20175</t>
        </is>
      </c>
      <c r="B20223" s="4" t="s">
        <f>=HYPERLINK("http://anyluxury.ru/shop/odezhda/rubashki-polo/rubashka-polo-zhenskaya-eclipse-h2xdry-belaya-1162260/" , "11622.60 Рубашка поло женская Eclipse H2X-Dry белая, размер L")</f>
      </c>
      <c r="C20223" s="4" t="n">
        <v>2250.00</v>
      </c>
      <c r="D20223" s="4"/>
    </row>
    <row collapsed="" customFormat="false" customHeight="1" hidden="" ht="14" outlineLevel="0" r="20224">
      <c r="A20224" s="3" t="inlineStr">
        <is>
          <t>20176</t>
        </is>
      </c>
      <c r="B20224" s="4" t="s">
        <f>=HYPERLINK("http://anyluxury.ru/shop/odezhda/rubashki-polo/rubashka-polo-zhenskaya-eclipse-h2xdry-belaya-1162260/" , "11622.60 Рубашка поло женская Eclipse H2X-Dry белая, размер XL")</f>
      </c>
      <c r="C20224" s="4" t="n">
        <v>2250.00</v>
      </c>
      <c r="D20224" s="4"/>
    </row>
    <row collapsed="" customFormat="false" customHeight="1" hidden="" ht="14" outlineLevel="0" r="20225">
      <c r="A20225" s="3" t="inlineStr">
        <is>
          <t>20177</t>
        </is>
      </c>
      <c r="B20225" s="4" t="s">
        <f>=HYPERLINK("http://anyluxury.ru/shop/odezhda/rubashki-polo/rubashka-polo-zhenskaya-eclipse-h2xdry-belaya-1162260/" , "11622.60 Рубашка поло женская Eclipse H2X-Dry белая, размер XXL")</f>
      </c>
      <c r="C20225" s="4" t="n">
        <v>2250.00</v>
      </c>
      <c r="D20225" s="4"/>
    </row>
    <row collapsed="" customFormat="false" customHeight="1" hidden="" ht="14" outlineLevel="0" r="20226">
      <c r="A20226" s="3" t="inlineStr">
        <is>
          <t>20178</t>
        </is>
      </c>
      <c r="B20226" s="4" t="s">
        <f>=HYPERLINK("http://anyluxury.ru/shop/odezhda/rubashki-polo/rubashka-polo-muzhskaya-surf-chernaya-154630/" , "1546.30 Рубашка поло мужская SURF черная, размер S")</f>
      </c>
      <c r="C20226" s="4" t="n">
        <v>1969.00</v>
      </c>
      <c r="D20226" s="4"/>
    </row>
    <row collapsed="" customFormat="false" customHeight="1" hidden="" ht="14" outlineLevel="0" r="20227">
      <c r="A20227" s="3" t="inlineStr">
        <is>
          <t>20179</t>
        </is>
      </c>
      <c r="B20227" s="4" t="s">
        <f>=HYPERLINK("http://anyluxury.ru/shop/odezhda/rubashki-polo/rubashka-polo-zhenskaya-surf-lady-chernaya-154730/" , "1547.30 Рубашка поло женская SURF LADY черная, размер M")</f>
      </c>
      <c r="C20227" s="4" t="n">
        <v>1780.00</v>
      </c>
      <c r="D20227" s="4"/>
    </row>
    <row collapsed="" customFormat="false" customHeight="1" hidden="" ht="14" outlineLevel="0" r="20228">
      <c r="A20228" s="3" t="inlineStr">
        <is>
          <t>20180</t>
        </is>
      </c>
      <c r="B20228" s="4" t="s">
        <f>=HYPERLINK("http://anyluxury.ru/shop/odezhda/rubashki-polo/rubashka-polo-zhenskaya-surf-lady-chernaya-154730/" , "1547.30 Рубашка поло женская SURF LADY черная, размер L")</f>
      </c>
      <c r="C20228" s="4" t="n">
        <v>1780.00</v>
      </c>
      <c r="D20228" s="4"/>
    </row>
    <row collapsed="" customFormat="false" customHeight="1" hidden="" ht="14" outlineLevel="0" r="20229">
      <c r="A20229" s="3" t="inlineStr">
        <is>
          <t>20181</t>
        </is>
      </c>
      <c r="B20229" s="4" t="s">
        <f>=HYPERLINK("http://anyluxury.ru/shop/odezhda/rubashki-polo/rubashka-polo-zhenskaya-surf-lady-chernaya-154730/" , "1547.30 Рубашка поло женская SURF LADY черная, размер XL")</f>
      </c>
      <c r="C20229" s="4" t="n">
        <v>1780.00</v>
      </c>
      <c r="D20229" s="4"/>
    </row>
    <row collapsed="" customFormat="false" customHeight="1" hidden="" ht="14" outlineLevel="0" r="20230">
      <c r="A20230" s="3" t="inlineStr">
        <is>
          <t>20182</t>
        </is>
      </c>
      <c r="B20230" s="4" t="s">
        <f>=HYPERLINK("http://anyluxury.ru/shop/odezhda/rubashki-polo/rubashka-polo-zhenskaya-surf-lady-chernaya-154730/" , "1547.30 Рубашка поло женская SURF LADY черная, размер XXL")</f>
      </c>
      <c r="C20230" s="4" t="n">
        <v>1780.00</v>
      </c>
      <c r="D20230" s="4"/>
    </row>
    <row collapsed="" customFormat="false" customHeight="1" hidden="" ht="14" outlineLevel="0" r="20231">
      <c r="A20231" s="3" t="inlineStr">
        <is>
          <t>20183</t>
        </is>
      </c>
      <c r="B20231" s="4" t="s">
        <f>=HYPERLINK("http://anyluxury.ru/shop/odezhda/rubashki-polo/rubashka-polo-zhenskaya-id001-chernaya-pwi11002/" , "PWI11002 Рубашка поло женская ID.001 черная, размер XS")</f>
      </c>
      <c r="C20231" s="4" t="n">
        <v>1200.00</v>
      </c>
      <c r="D20231" s="4"/>
    </row>
    <row collapsed="" customFormat="false" customHeight="1" hidden="" ht="14" outlineLevel="0" r="20232">
      <c r="A20232" s="3" t="inlineStr">
        <is>
          <t>20184</t>
        </is>
      </c>
      <c r="B20232" s="4" t="s">
        <f>=HYPERLINK("http://anyluxury.ru/shop/odezhda/rubashki-polo/rubashka-polo-zhenskaya-id001-chernaya-pwi11002/" , "PWI11002 Рубашка поло женская ID.001 черная, размер L")</f>
      </c>
      <c r="C20232" s="4" t="n">
        <v>1200.00</v>
      </c>
      <c r="D20232" s="4"/>
    </row>
    <row collapsed="" customFormat="false" customHeight="1" hidden="" ht="14" outlineLevel="0" r="20233">
      <c r="A20233" s="3" t="inlineStr">
        <is>
          <t>20185</t>
        </is>
      </c>
      <c r="B20233" s="4" t="s">
        <f>=HYPERLINK("http://anyluxury.ru/shop/odezhda/rubashki-polo/rubashka-polo-zhenskaya-id001-chernaya-pwi11002/" , "PWI11002 Рубашка поло женская ID.001 черная, размер XL")</f>
      </c>
      <c r="C20233" s="4" t="n">
        <v>1200.00</v>
      </c>
      <c r="D20233" s="4"/>
    </row>
    <row collapsed="" customFormat="false" customHeight="1" hidden="" ht="14" outlineLevel="0" r="20234">
      <c r="A20234" s="3" t="inlineStr">
        <is>
          <t>20186</t>
        </is>
      </c>
      <c r="B20234" s="4" t="s">
        <f>=HYPERLINK("http://anyluxury.ru/shop/odezhda/rubashki-polo/rubashka-polo-zhenskaya-id001-chernaya-pwi11002/" , "PWI11002 Рубашка поло женская ID.001 черная, размер XXL")</f>
      </c>
      <c r="C20234" s="4" t="n">
        <v>1200.00</v>
      </c>
      <c r="D20234" s="4"/>
    </row>
    <row collapsed="" customFormat="false" customHeight="1" hidden="" ht="14" outlineLevel="0" r="20235">
      <c r="A20235" s="3" t="inlineStr">
        <is>
          <t>20187</t>
        </is>
      </c>
      <c r="B20235" s="4" t="s">
        <f>=HYPERLINK("http://anyluxury.ru/shop/odezhda/rubashki-polo/rubashka-polo-zhenskaya-id001-temnosinyaya-pwi11003/" , "PWI11003 Рубашка поло женская ID.001 темно-синяя, размер XS")</f>
      </c>
      <c r="C20235" s="4" t="n">
        <v>1200.00</v>
      </c>
      <c r="D20235" s="4"/>
    </row>
    <row collapsed="" customFormat="false" customHeight="1" hidden="" ht="14" outlineLevel="0" r="20236">
      <c r="A20236" s="3" t="inlineStr">
        <is>
          <t>20188</t>
        </is>
      </c>
      <c r="B20236" s="4" t="s">
        <f>=HYPERLINK("http://anyluxury.ru/shop/odezhda/rubashki-polo/rubashka-polo-zhenskaya-id001-temnosinyaya-pwi11003/" , "PWI11003 Рубашка поло женская ID.001 темно-синяя, размер S")</f>
      </c>
      <c r="C20236" s="4" t="n">
        <v>1200.00</v>
      </c>
      <c r="D20236" s="4"/>
    </row>
    <row collapsed="" customFormat="false" customHeight="1" hidden="" ht="14" outlineLevel="0" r="20237">
      <c r="A20237" s="3" t="inlineStr">
        <is>
          <t>20189</t>
        </is>
      </c>
      <c r="B20237" s="4" t="s">
        <f>=HYPERLINK("http://anyluxury.ru/shop/odezhda/rubashki-polo/rubashka-polo-zhenskaya-id001-temnosinyaya-pwi11003/" , "PWI11003 Рубашка поло женская ID.001 темно-синяя, размер XL")</f>
      </c>
      <c r="C20237" s="4" t="n">
        <v>1200.00</v>
      </c>
      <c r="D20237" s="4"/>
    </row>
    <row collapsed="" customFormat="false" customHeight="1" hidden="" ht="14" outlineLevel="0" r="20238">
      <c r="A20238" s="3" t="inlineStr">
        <is>
          <t>20190</t>
        </is>
      </c>
      <c r="B20238" s="4" t="s">
        <f>=HYPERLINK("http://anyluxury.ru/shop/odezhda/rubashki-polo/rubashka-polo-zhenskaya-id001-temnosinyaya-pwi11003/" , "PWI11003 Рубашка поло женская ID.001 темно-синяя, размер XXL")</f>
      </c>
      <c r="C20238" s="4" t="n">
        <v>1200.00</v>
      </c>
      <c r="D20238" s="4"/>
    </row>
    <row collapsed="" customFormat="false" customHeight="1" hidden="" ht="14" outlineLevel="0" r="20239">
      <c r="A20239" s="3" t="inlineStr">
        <is>
          <t>20191</t>
        </is>
      </c>
      <c r="B20239" s="4" t="s">
        <f>=HYPERLINK("http://anyluxury.ru/shop/odezhda/rubashki-polo/rubashka-polo-zhenskaya-id001-temnosinyaya-pwi11003/" , "PWI11003 Рубашка поло женская ID.001 темно-синяя, размер 3XL")</f>
      </c>
      <c r="C20239" s="4" t="n">
        <v>1528.00</v>
      </c>
      <c r="D20239" s="4"/>
    </row>
    <row collapsed="" customFormat="false" customHeight="1" hidden="" ht="14" outlineLevel="0" r="20240">
      <c r="A20240" s="3" t="inlineStr">
        <is>
          <t>20192</t>
        </is>
      </c>
      <c r="B20240" s="4" t="s">
        <f>=HYPERLINK("http://anyluxury.ru/shop/odezhda/rubashki-polo/rubashka-polo-zhenskaya-id001-biryuzovaya-pwi11441/" , "PWI11441 Рубашка поло женская ID.001 бирюзовая, размер XS")</f>
      </c>
      <c r="C20240" s="4" t="n">
        <v>1200.00</v>
      </c>
      <c r="D20240" s="4"/>
    </row>
    <row collapsed="" customFormat="false" customHeight="1" hidden="" ht="14" outlineLevel="0" r="20241">
      <c r="A20241" s="3" t="inlineStr">
        <is>
          <t>20193</t>
        </is>
      </c>
      <c r="B20241" s="4" t="s">
        <f>=HYPERLINK("http://anyluxury.ru/shop/odezhda/rubashki-polo/rubashka-polo-zhenskaya-id001-biryuzovaya-pwi11441/" , "PWI11441 Рубашка поло женская ID.001 бирюзовая, размер S")</f>
      </c>
      <c r="C20241" s="4" t="n">
        <v>1200.00</v>
      </c>
      <c r="D20241" s="4"/>
    </row>
    <row collapsed="" customFormat="false" customHeight="1" hidden="" ht="14" outlineLevel="0" r="20242">
      <c r="A20242" s="3" t="inlineStr">
        <is>
          <t>20194</t>
        </is>
      </c>
      <c r="B20242" s="4" t="s">
        <f>=HYPERLINK("http://anyluxury.ru/shop/odezhda/rubashki-polo/rubashka-polo-zhenskaya-id001-biryuzovaya-pwi11441/" , "PWI11441 Рубашка поло женская ID.001 бирюзовая, размер XL")</f>
      </c>
      <c r="C20242" s="4" t="n">
        <v>1200.00</v>
      </c>
      <c r="D20242" s="4"/>
    </row>
    <row collapsed="" customFormat="false" customHeight="1" hidden="" ht="14" outlineLevel="0" r="20243">
      <c r="A20243" s="3" t="inlineStr">
        <is>
          <t>20195</t>
        </is>
      </c>
      <c r="B20243" s="4" t="s">
        <f>=HYPERLINK("http://anyluxury.ru/shop/odezhda/rubashki-polo/rubashka-polo-zhenskaya-id001-zelenaya-pwi11520/" , "PWI11520 Рубашка поло женская ID.001 зеленая, размер XS")</f>
      </c>
      <c r="C20243" s="4" t="n">
        <v>1200.00</v>
      </c>
      <c r="D20243" s="4"/>
    </row>
    <row collapsed="" customFormat="false" customHeight="1" hidden="" ht="14" outlineLevel="0" r="20244">
      <c r="A20244" s="3" t="inlineStr">
        <is>
          <t>20196</t>
        </is>
      </c>
      <c r="B20244" s="4" t="s">
        <f>=HYPERLINK("http://anyluxury.ru/shop/odezhda/rubashki-polo/rubashka-polo-zhenskaya-id001-zelenaya-pwi11520/" , "PWI11520 Рубашка поло женская ID.001 зеленая, размер 3XL")</f>
      </c>
      <c r="C20244" s="4" t="n">
        <v>1528.00</v>
      </c>
      <c r="D20244" s="4"/>
    </row>
    <row collapsed="" customFormat="false" customHeight="1" hidden="" ht="14" outlineLevel="0" r="20245">
      <c r="A20245" s="3" t="inlineStr">
        <is>
          <t>20197</t>
        </is>
      </c>
      <c r="B20245" s="4" t="s">
        <f>=HYPERLINK("http://anyluxury.ru/shop/odezhda/rubashki-polo/rubashka-polo-muzhskaya-planet-men-chernaya-03566312/" , "03566312 Рубашка поло мужская Planet Men, черная, размер S")</f>
      </c>
      <c r="C20245" s="4" t="n">
        <v>1312.00</v>
      </c>
      <c r="D20245" s="4"/>
    </row>
    <row collapsed="" customFormat="false" customHeight="1" hidden="" ht="14" outlineLevel="0" r="20246">
      <c r="A20246" s="3" t="inlineStr">
        <is>
          <t>20198</t>
        </is>
      </c>
      <c r="B20246" s="4" t="s">
        <f>=HYPERLINK("http://anyluxury.ru/shop/odezhda/rubashki-polo/rubashka-polo-muzhskaya-planet-men-chernaya-03566312/" , "03566312 Рубашка поло мужская Planet Men, черная, размер M")</f>
      </c>
      <c r="C20246" s="4" t="n">
        <v>1312.00</v>
      </c>
      <c r="D20246" s="4"/>
    </row>
    <row collapsed="" customFormat="false" customHeight="1" hidden="" ht="14" outlineLevel="0" r="20247">
      <c r="A20247" s="3" t="inlineStr">
        <is>
          <t>20199</t>
        </is>
      </c>
      <c r="B20247" s="4" t="s">
        <f>=HYPERLINK("http://anyluxury.ru/shop/odezhda/rubashki-polo/rubashka-polo-muzhskaya-planet-men-chernaya-03566312/" , "03566312 Рубашка поло мужская Planet Men, черная, размер L")</f>
      </c>
      <c r="C20247" s="4" t="n">
        <v>1312.00</v>
      </c>
      <c r="D20247" s="4"/>
    </row>
    <row collapsed="" customFormat="false" customHeight="1" hidden="" ht="14" outlineLevel="0" r="20248">
      <c r="A20248" s="3" t="inlineStr">
        <is>
          <t>20200</t>
        </is>
      </c>
      <c r="B20248" s="4" t="s">
        <f>=HYPERLINK("http://anyluxury.ru/shop/odezhda/rubashki-polo/rubashka-polo-muzhskaya-planet-men-chernaya-03566312/" , "03566312 Рубашка поло мужская Planet Men, черная, размер XL")</f>
      </c>
      <c r="C20248" s="4" t="n">
        <v>1312.00</v>
      </c>
      <c r="D20248" s="4"/>
    </row>
    <row collapsed="" customFormat="false" customHeight="1" hidden="" ht="14" outlineLevel="0" r="20249">
      <c r="A20249" s="3" t="inlineStr">
        <is>
          <t>20201</t>
        </is>
      </c>
      <c r="B20249" s="4" t="s">
        <f>=HYPERLINK("http://anyluxury.ru/shop/odezhda/rubashki-polo/rubashka-polo-muzhskaya-planet-men-chernaya-03566312/" , "03566312 Рубашка поло мужская Planet Men, черная, размер XXL")</f>
      </c>
      <c r="C20249" s="4" t="n">
        <v>1312.00</v>
      </c>
      <c r="D20249" s="4"/>
    </row>
    <row collapsed="" customFormat="false" customHeight="1" hidden="" ht="14" outlineLevel="0" r="20250">
      <c r="A20250" s="3" t="inlineStr">
        <is>
          <t>20202</t>
        </is>
      </c>
      <c r="B20250" s="4" t="s">
        <f>=HYPERLINK("http://anyluxury.ru/shop/odezhda/rubashki-polo/rubashka-polo-muzhskaya-planet-men-chernaya-03566312/" , "03566312 Рубашка поло мужская Planet Men, черная, размер 3XL")</f>
      </c>
      <c r="C20250" s="4" t="n">
        <v>1522.00</v>
      </c>
      <c r="D20250" s="4"/>
    </row>
    <row collapsed="" customFormat="false" customHeight="1" hidden="" ht="14" outlineLevel="0" r="20251">
      <c r="A20251" s="3" t="inlineStr">
        <is>
          <t>20203</t>
        </is>
      </c>
      <c r="B20251" s="4" t="s">
        <f>=HYPERLINK("http://anyluxury.ru/shop/odezhda/rubashki-polo/rubashka-polo-muzhskaya-planet-men-chernaya-03566312/" , "03566312 Рубашка поло мужская Planet Men, черная, размер 4XL")</f>
      </c>
      <c r="C20251" s="4" t="n">
        <v>1790.00</v>
      </c>
      <c r="D20251" s="4"/>
    </row>
    <row collapsed="" customFormat="false" customHeight="1" hidden="" ht="14" outlineLevel="0" r="20252">
      <c r="A20252" s="3" t="inlineStr">
        <is>
          <t>20204</t>
        </is>
      </c>
      <c r="B20252" s="4" t="s">
        <f>=HYPERLINK("http://anyluxury.ru/shop/odezhda/rubashki-polo/rubashka-polo-muzhskaya-planet-men-chernaya-03566312/" , "03566312 Рубашка поло мужская Planet Men, черная, размер 5XL")</f>
      </c>
      <c r="C20252" s="4" t="n">
        <v>1790.00</v>
      </c>
      <c r="D20252" s="4"/>
    </row>
    <row collapsed="" customFormat="false" customHeight="1" hidden="" ht="14" outlineLevel="0" r="20253">
      <c r="A20253" s="3" t="inlineStr">
        <is>
          <t>20205</t>
        </is>
      </c>
      <c r="B20253" s="4" t="s">
        <f>=HYPERLINK("http://anyluxury.ru/shop/odezhda/rubashki-polo/rubashka-polo-muzhskaya-planet-men-temnozelenaya-03566264/" , "03566264 Рубашка поло мужская Planet Men, темно-зеленая, размер S")</f>
      </c>
      <c r="C20253" s="4" t="n">
        <v>1312.00</v>
      </c>
      <c r="D20253" s="4"/>
    </row>
    <row collapsed="" customFormat="false" customHeight="1" hidden="" ht="14" outlineLevel="0" r="20254">
      <c r="A20254" s="3" t="inlineStr">
        <is>
          <t>20206</t>
        </is>
      </c>
      <c r="B20254" s="4" t="s">
        <f>=HYPERLINK("http://anyluxury.ru/shop/odezhda/rubashki-polo/rubashka-polo-muzhskaya-planet-men-temnozelenaya-03566264/" , "03566264 Рубашка поло мужская Planet Men, темно-зеленая, размер M")</f>
      </c>
      <c r="C20254" s="4" t="n">
        <v>1312.00</v>
      </c>
      <c r="D20254" s="4"/>
    </row>
    <row collapsed="" customFormat="false" customHeight="1" hidden="" ht="14" outlineLevel="0" r="20255">
      <c r="A20255" s="3" t="inlineStr">
        <is>
          <t>20207</t>
        </is>
      </c>
      <c r="B20255" s="4" t="s">
        <f>=HYPERLINK("http://anyluxury.ru/shop/odezhda/rubashki-polo/rubashka-polo-muzhskaya-planet-men-temnozelenaya-03566264/" , "03566264 Рубашка поло мужская Planet Men, темно-зеленая, размер L")</f>
      </c>
      <c r="C20255" s="4" t="n">
        <v>1312.00</v>
      </c>
      <c r="D20255" s="4"/>
    </row>
    <row collapsed="" customFormat="false" customHeight="1" hidden="" ht="14" outlineLevel="0" r="20256">
      <c r="A20256" s="3" t="inlineStr">
        <is>
          <t>20208</t>
        </is>
      </c>
      <c r="B20256" s="4" t="s">
        <f>=HYPERLINK("http://anyluxury.ru/shop/odezhda/rubashki-polo/rubashka-polo-muzhskaya-planet-men-temnozelenaya-03566264/" , "03566264 Рубашка поло мужская Planet Men, темно-зеленая, размер XL")</f>
      </c>
      <c r="C20256" s="4" t="n">
        <v>1312.00</v>
      </c>
      <c r="D20256" s="4"/>
    </row>
    <row collapsed="" customFormat="false" customHeight="1" hidden="" ht="14" outlineLevel="0" r="20257">
      <c r="A20257" s="3" t="inlineStr">
        <is>
          <t>20209</t>
        </is>
      </c>
      <c r="B20257" s="4" t="s">
        <f>=HYPERLINK("http://anyluxury.ru/shop/odezhda/rubashki-polo/rubashka-polo-muzhskaya-planet-men-temnozelenaya-03566264/" , "03566264 Рубашка поло мужская Planet Men, темно-зеленая, размер XXL")</f>
      </c>
      <c r="C20257" s="4" t="n">
        <v>1312.00</v>
      </c>
      <c r="D20257" s="4"/>
    </row>
    <row collapsed="" customFormat="false" customHeight="1" hidden="" ht="14" outlineLevel="0" r="20258">
      <c r="A20258" s="3" t="inlineStr">
        <is>
          <t>20210</t>
        </is>
      </c>
      <c r="B20258" s="4" t="s">
        <f>=HYPERLINK("http://anyluxury.ru/shop/odezhda/rubashki-polo/rubashka-polo-muzhskaya-planet-men-temnozelenaya-03566264/" , "03566264 Рубашка поло мужская Planet Men, темно-зеленая, размер 3XL")</f>
      </c>
      <c r="C20258" s="4" t="n">
        <v>1522.00</v>
      </c>
      <c r="D20258" s="4"/>
    </row>
    <row collapsed="" customFormat="false" customHeight="1" hidden="" ht="14" outlineLevel="0" r="20259">
      <c r="A20259" s="3" t="inlineStr">
        <is>
          <t>20211</t>
        </is>
      </c>
      <c r="B20259" s="4" t="s">
        <f>=HYPERLINK("http://anyluxury.ru/shop/odezhda/rubashki-polo/rubashka-polo-muzhskaya-planet-men-temnozelenaya-03566264/" , "03566264 Рубашка поло мужская Planet Men, темно-зеленая, размер 4XL")</f>
      </c>
      <c r="C20259" s="4" t="n">
        <v>1790.00</v>
      </c>
      <c r="D20259" s="4"/>
    </row>
    <row collapsed="" customFormat="false" customHeight="1" hidden="" ht="14" outlineLevel="0" r="20260">
      <c r="A20260" s="3" t="inlineStr">
        <is>
          <t>20212</t>
        </is>
      </c>
      <c r="B20260" s="4" t="s">
        <f>=HYPERLINK("http://anyluxury.ru/shop/odezhda/rubashki-polo/rubashka-polo-muzhskaya-planet-men-temnozelenaya-03566264/" , "03566264 Рубашка поло мужская Planet Men, темно-зеленая, размер 5XL")</f>
      </c>
      <c r="C20260" s="4" t="n">
        <v>1790.00</v>
      </c>
      <c r="D20260" s="4"/>
    </row>
    <row collapsed="" customFormat="false" customHeight="1" hidden="" ht="14" outlineLevel="0" r="20261">
      <c r="A20261" s="3" t="inlineStr">
        <is>
          <t>20213</t>
        </is>
      </c>
      <c r="B20261" s="4" t="s">
        <f>=HYPERLINK("http://anyluxury.ru/shop/odezhda/rubashki-polo/rubashka-polo-muzhskaya-planet-men-temnosinyaya-03566319/" , "03566319 Рубашка поло мужская Planet Men, темно-синяя, размер S")</f>
      </c>
      <c r="C20261" s="4" t="n">
        <v>1312.00</v>
      </c>
      <c r="D20261" s="4"/>
    </row>
    <row collapsed="" customFormat="false" customHeight="1" hidden="" ht="14" outlineLevel="0" r="20262">
      <c r="A20262" s="3" t="inlineStr">
        <is>
          <t>20214</t>
        </is>
      </c>
      <c r="B20262" s="4" t="s">
        <f>=HYPERLINK("http://anyluxury.ru/shop/odezhda/rubashki-polo/rubashka-polo-muzhskaya-planet-men-temnosinyaya-03566319/" , "03566319 Рубашка поло мужская Planet Men, темно-синяя, размер M")</f>
      </c>
      <c r="C20262" s="4" t="n">
        <v>1312.00</v>
      </c>
      <c r="D20262" s="4"/>
    </row>
    <row collapsed="" customFormat="false" customHeight="1" hidden="" ht="14" outlineLevel="0" r="20263">
      <c r="A20263" s="3" t="inlineStr">
        <is>
          <t>20215</t>
        </is>
      </c>
      <c r="B20263" s="4" t="s">
        <f>=HYPERLINK("http://anyluxury.ru/shop/odezhda/rubashki-polo/rubashka-polo-muzhskaya-planet-men-temnosinyaya-03566319/" , "03566319 Рубашка поло мужская Planet Men, темно-синяя, размер L")</f>
      </c>
      <c r="C20263" s="4" t="n">
        <v>1312.00</v>
      </c>
      <c r="D20263" s="4"/>
    </row>
    <row collapsed="" customFormat="false" customHeight="1" hidden="" ht="14" outlineLevel="0" r="20264">
      <c r="A20264" s="3" t="inlineStr">
        <is>
          <t>20216</t>
        </is>
      </c>
      <c r="B20264" s="4" t="s">
        <f>=HYPERLINK("http://anyluxury.ru/shop/odezhda/rubashki-polo/rubashka-polo-muzhskaya-planet-men-temnosinyaya-03566319/" , "03566319 Рубашка поло мужская Planet Men, темно-синяя, размер XL")</f>
      </c>
      <c r="C20264" s="4" t="n">
        <v>1312.00</v>
      </c>
      <c r="D20264" s="4"/>
    </row>
    <row collapsed="" customFormat="false" customHeight="1" hidden="" ht="14" outlineLevel="0" r="20265">
      <c r="A20265" s="3" t="inlineStr">
        <is>
          <t>20217</t>
        </is>
      </c>
      <c r="B20265" s="4" t="s">
        <f>=HYPERLINK("http://anyluxury.ru/shop/odezhda/rubashki-polo/rubashka-polo-muzhskaya-planet-men-temnosinyaya-03566319/" , "03566319 Рубашка поло мужская Planet Men, темно-синяя, размер XXL")</f>
      </c>
      <c r="C20265" s="4" t="n">
        <v>1312.00</v>
      </c>
      <c r="D20265" s="4"/>
    </row>
    <row collapsed="" customFormat="false" customHeight="1" hidden="" ht="14" outlineLevel="0" r="20266">
      <c r="A20266" s="3" t="inlineStr">
        <is>
          <t>20218</t>
        </is>
      </c>
      <c r="B20266" s="4" t="s">
        <f>=HYPERLINK("http://anyluxury.ru/shop/odezhda/rubashki-polo/rubashka-polo-muzhskaya-planet-men-temnosinyaya-03566319/" , "03566319 Рубашка поло мужская Planet Men, темно-синяя, размер 3XL")</f>
      </c>
      <c r="C20266" s="4" t="n">
        <v>1522.00</v>
      </c>
      <c r="D20266" s="4"/>
    </row>
    <row collapsed="" customFormat="false" customHeight="1" hidden="" ht="14" outlineLevel="0" r="20267">
      <c r="A20267" s="3" t="inlineStr">
        <is>
          <t>20219</t>
        </is>
      </c>
      <c r="B20267" s="4" t="s">
        <f>=HYPERLINK("http://anyluxury.ru/shop/odezhda/rubashki-polo/rubashka-polo-muzhskaya-planet-men-temnosinyaya-03566319/" , "03566319 Рубашка поло мужская Planet Men, темно-синяя, размер 4XL")</f>
      </c>
      <c r="C20267" s="4" t="n">
        <v>1790.00</v>
      </c>
      <c r="D20267" s="4"/>
    </row>
    <row collapsed="" customFormat="false" customHeight="1" hidden="" ht="14" outlineLevel="0" r="20268">
      <c r="A20268" s="3" t="inlineStr">
        <is>
          <t>20220</t>
        </is>
      </c>
      <c r="B20268" s="4" t="s">
        <f>=HYPERLINK("http://anyluxury.ru/shop/odezhda/rubashki-polo/rubashka-polo-muzhskaya-planet-men-temnosinyaya-03566319/" , "03566319 Рубашка поло мужская Planet Men, темно-синяя, размер 5XL")</f>
      </c>
      <c r="C20268" s="4" t="n">
        <v>1790.00</v>
      </c>
      <c r="D20268" s="4"/>
    </row>
    <row collapsed="" customFormat="false" customHeight="1" hidden="" ht="14" outlineLevel="0" r="20269">
      <c r="A20269" s="3" t="inlineStr">
        <is>
          <t>20221</t>
        </is>
      </c>
      <c r="B20269" s="4" t="s">
        <f>=HYPERLINK("http://anyluxury.ru/shop/odezhda/rubashki-polo/rubashka-polo-muzhskaya-planet-men-seriy-melanzh-03566360/" , "03566360 Рубашка поло мужская Planet Men, серый меланж, размер S")</f>
      </c>
      <c r="C20269" s="4" t="n">
        <v>1312.00</v>
      </c>
      <c r="D20269" s="4"/>
    </row>
    <row collapsed="" customFormat="false" customHeight="1" hidden="" ht="14" outlineLevel="0" r="20270">
      <c r="A20270" s="3" t="inlineStr">
        <is>
          <t>20222</t>
        </is>
      </c>
      <c r="B20270" s="4" t="s">
        <f>=HYPERLINK("http://anyluxury.ru/shop/odezhda/rubashki-polo/rubashka-polo-muzhskaya-planet-men-seriy-melanzh-03566360/" , "03566360 Рубашка поло мужская Planet Men, серый меланж, размер M")</f>
      </c>
      <c r="C20270" s="4" t="n">
        <v>1312.00</v>
      </c>
      <c r="D20270" s="4"/>
    </row>
    <row collapsed="" customFormat="false" customHeight="1" hidden="" ht="14" outlineLevel="0" r="20271">
      <c r="A20271" s="3" t="inlineStr">
        <is>
          <t>20223</t>
        </is>
      </c>
      <c r="B20271" s="4" t="s">
        <f>=HYPERLINK("http://anyluxury.ru/shop/odezhda/rubashki-polo/rubashka-polo-muzhskaya-planet-men-seriy-melanzh-03566360/" , "03566360 Рубашка поло мужская Planet Men, серый меланж, размер L")</f>
      </c>
      <c r="C20271" s="4" t="n">
        <v>1312.00</v>
      </c>
      <c r="D20271" s="4"/>
    </row>
    <row collapsed="" customFormat="false" customHeight="1" hidden="" ht="14" outlineLevel="0" r="20272">
      <c r="A20272" s="3" t="inlineStr">
        <is>
          <t>20224</t>
        </is>
      </c>
      <c r="B20272" s="4" t="s">
        <f>=HYPERLINK("http://anyluxury.ru/shop/odezhda/rubashki-polo/rubashka-polo-muzhskaya-planet-men-seriy-melanzh-03566360/" , "03566360 Рубашка поло мужская Planet Men, серый меланж, размер XL")</f>
      </c>
      <c r="C20272" s="4" t="n">
        <v>1312.00</v>
      </c>
      <c r="D20272" s="4"/>
    </row>
    <row collapsed="" customFormat="false" customHeight="1" hidden="" ht="14" outlineLevel="0" r="20273">
      <c r="A20273" s="3" t="inlineStr">
        <is>
          <t>20225</t>
        </is>
      </c>
      <c r="B20273" s="4" t="s">
        <f>=HYPERLINK("http://anyluxury.ru/shop/odezhda/rubashki-polo/rubashka-polo-muzhskaya-planet-men-seriy-melanzh-03566360/" , "03566360 Рубашка поло мужская Planet Men, серый меланж, размер XXL")</f>
      </c>
      <c r="C20273" s="4" t="n">
        <v>1312.00</v>
      </c>
      <c r="D20273" s="4"/>
    </row>
    <row collapsed="" customFormat="false" customHeight="1" hidden="" ht="14" outlineLevel="0" r="20274">
      <c r="A20274" s="3" t="inlineStr">
        <is>
          <t>20226</t>
        </is>
      </c>
      <c r="B20274" s="4" t="s">
        <f>=HYPERLINK("http://anyluxury.ru/shop/odezhda/rubashki-polo/rubashka-polo-muzhskaya-planet-men-seriy-melanzh-03566360/" , "03566360 Рубашка поло мужская Planet Men, серый меланж, размер 3XL")</f>
      </c>
      <c r="C20274" s="4" t="n">
        <v>1522.00</v>
      </c>
      <c r="D20274" s="4"/>
    </row>
    <row collapsed="" customFormat="false" customHeight="1" hidden="" ht="14" outlineLevel="0" r="20275">
      <c r="A20275" s="3" t="inlineStr">
        <is>
          <t>20227</t>
        </is>
      </c>
      <c r="B20275" s="4" t="s">
        <f>=HYPERLINK("http://anyluxury.ru/shop/odezhda/rubashki-polo/rubashka-polo-muzhskaya-planet-men-seriy-melanzh-03566360/" , "03566360 Рубашка поло мужская Planet Men, серый меланж, размер 4XL")</f>
      </c>
      <c r="C20275" s="4" t="n">
        <v>1790.00</v>
      </c>
      <c r="D20275" s="4"/>
    </row>
    <row collapsed="" customFormat="false" customHeight="1" hidden="" ht="14" outlineLevel="0" r="20276">
      <c r="A20276" s="3" t="inlineStr">
        <is>
          <t>20228</t>
        </is>
      </c>
      <c r="B20276" s="4" t="s">
        <f>=HYPERLINK("http://anyluxury.ru/shop/odezhda/rubashki-polo/rubashka-polo-muzhskaya-planet-men-seriy-melanzh-03566360/" , "03566360 Рубашка поло мужская Planet Men, серый меланж, размер 5XL")</f>
      </c>
      <c r="C20276" s="4" t="n">
        <v>1790.00</v>
      </c>
      <c r="D20276" s="4"/>
    </row>
    <row collapsed="" customFormat="false" customHeight="1" hidden="" ht="14" outlineLevel="0" r="20277">
      <c r="A20277" s="3" t="inlineStr">
        <is>
          <t>20229</t>
        </is>
      </c>
      <c r="B20277" s="4" t="s">
        <f>=HYPERLINK("http://anyluxury.ru/shop/odezhda/rubashki-polo/rubashka-polo-muzhskaya-planet-men-krasnaya-03566145/" , "03566145 Рубашка поло мужская Planet Men, красная, размер S")</f>
      </c>
      <c r="C20277" s="4" t="n">
        <v>1312.00</v>
      </c>
      <c r="D20277" s="4"/>
    </row>
    <row collapsed="" customFormat="false" customHeight="1" hidden="" ht="14" outlineLevel="0" r="20278">
      <c r="A20278" s="3" t="inlineStr">
        <is>
          <t>20230</t>
        </is>
      </c>
      <c r="B20278" s="4" t="s">
        <f>=HYPERLINK("http://anyluxury.ru/shop/odezhda/rubashki-polo/rubashka-polo-muzhskaya-planet-men-krasnaya-03566145/" , "03566145 Рубашка поло мужская Planet Men, красная, размер M")</f>
      </c>
      <c r="C20278" s="4" t="n">
        <v>1312.00</v>
      </c>
      <c r="D20278" s="4"/>
    </row>
    <row collapsed="" customFormat="false" customHeight="1" hidden="" ht="14" outlineLevel="0" r="20279">
      <c r="A20279" s="3" t="inlineStr">
        <is>
          <t>20231</t>
        </is>
      </c>
      <c r="B20279" s="4" t="s">
        <f>=HYPERLINK("http://anyluxury.ru/shop/odezhda/rubashki-polo/rubashka-polo-muzhskaya-planet-men-krasnaya-03566145/" , "03566145 Рубашка поло мужская Planet Men, красная, размер L")</f>
      </c>
      <c r="C20279" s="4" t="n">
        <v>1312.00</v>
      </c>
      <c r="D20279" s="4"/>
    </row>
    <row collapsed="" customFormat="false" customHeight="1" hidden="" ht="14" outlineLevel="0" r="20280">
      <c r="A20280" s="3" t="inlineStr">
        <is>
          <t>20232</t>
        </is>
      </c>
      <c r="B20280" s="4" t="s">
        <f>=HYPERLINK("http://anyluxury.ru/shop/odezhda/rubashki-polo/rubashka-polo-muzhskaya-planet-men-krasnaya-03566145/" , "03566145 Рубашка поло мужская Planet Men, красная, размер XL")</f>
      </c>
      <c r="C20280" s="4" t="n">
        <v>1312.00</v>
      </c>
      <c r="D20280" s="4"/>
    </row>
    <row collapsed="" customFormat="false" customHeight="1" hidden="" ht="14" outlineLevel="0" r="20281">
      <c r="A20281" s="3" t="inlineStr">
        <is>
          <t>20233</t>
        </is>
      </c>
      <c r="B20281" s="4" t="s">
        <f>=HYPERLINK("http://anyluxury.ru/shop/odezhda/rubashki-polo/rubashka-polo-muzhskaya-planet-men-krasnaya-03566145/" , "03566145 Рубашка поло мужская Planet Men, красная, размер XXL")</f>
      </c>
      <c r="C20281" s="4" t="n">
        <v>1312.00</v>
      </c>
      <c r="D20281" s="4"/>
    </row>
    <row collapsed="" customFormat="false" customHeight="1" hidden="" ht="14" outlineLevel="0" r="20282">
      <c r="A20282" s="3" t="inlineStr">
        <is>
          <t>20234</t>
        </is>
      </c>
      <c r="B20282" s="4" t="s">
        <f>=HYPERLINK("http://anyluxury.ru/shop/odezhda/rubashki-polo/rubashka-polo-muzhskaya-planet-men-krasnaya-03566145/" , "03566145 Рубашка поло мужская Planet Men, красная, размер 3XL")</f>
      </c>
      <c r="C20282" s="4" t="n">
        <v>1522.00</v>
      </c>
      <c r="D20282" s="4"/>
    </row>
    <row collapsed="" customFormat="false" customHeight="1" hidden="" ht="14" outlineLevel="0" r="20283">
      <c r="A20283" s="3" t="inlineStr">
        <is>
          <t>20235</t>
        </is>
      </c>
      <c r="B20283" s="4" t="s">
        <f>=HYPERLINK("http://anyluxury.ru/shop/odezhda/rubashki-polo/rubashka-polo-muzhskaya-planet-men-krasnaya-03566145/" , "03566145 Рубашка поло мужская Planet Men, красная, размер 4XL")</f>
      </c>
      <c r="C20283" s="4" t="n">
        <v>1790.00</v>
      </c>
      <c r="D20283" s="4"/>
    </row>
    <row collapsed="" customFormat="false" customHeight="1" hidden="" ht="14" outlineLevel="0" r="20284">
      <c r="A20284" s="3" t="inlineStr">
        <is>
          <t>20236</t>
        </is>
      </c>
      <c r="B20284" s="4" t="s">
        <f>=HYPERLINK("http://anyluxury.ru/shop/odezhda/rubashki-polo/rubashka-polo-muzhskaya-planet-men-krasnaya-03566145/" , "03566145 Рубашка поло мужская Planet Men, красная, размер 5XL")</f>
      </c>
      <c r="C20284" s="4" t="n">
        <v>1790.00</v>
      </c>
      <c r="D20284" s="4"/>
    </row>
    <row collapsed="" customFormat="false" customHeight="1" hidden="" ht="14" outlineLevel="0" r="20285">
      <c r="A20285" s="3" t="inlineStr">
        <is>
          <t>20237</t>
        </is>
      </c>
      <c r="B20285" s="4" t="s">
        <f>=HYPERLINK("http://anyluxury.ru/shop/odezhda/rubashki-polo/rubashka-polo-muzhskaya-planet-men-yarkosinyaya-03566241/" , "03566241 Рубашка поло мужская Planet Men, ярко-синяя, размер S")</f>
      </c>
      <c r="C20285" s="4" t="n">
        <v>1312.00</v>
      </c>
      <c r="D20285" s="4"/>
    </row>
    <row collapsed="" customFormat="false" customHeight="1" hidden="" ht="14" outlineLevel="0" r="20286">
      <c r="A20286" s="3" t="inlineStr">
        <is>
          <t>20238</t>
        </is>
      </c>
      <c r="B20286" s="4" t="s">
        <f>=HYPERLINK("http://anyluxury.ru/shop/odezhda/rubashki-polo/rubashka-polo-muzhskaya-planet-men-yarkosinyaya-03566241/" , "03566241 Рубашка поло мужская Planet Men, ярко-синяя, размер M")</f>
      </c>
      <c r="C20286" s="4" t="n">
        <v>1312.00</v>
      </c>
      <c r="D20286" s="4"/>
    </row>
    <row collapsed="" customFormat="false" customHeight="1" hidden="" ht="14" outlineLevel="0" r="20287">
      <c r="A20287" s="3" t="inlineStr">
        <is>
          <t>20239</t>
        </is>
      </c>
      <c r="B20287" s="4" t="s">
        <f>=HYPERLINK("http://anyluxury.ru/shop/odezhda/rubashki-polo/rubashka-polo-muzhskaya-planet-men-yarkosinyaya-03566241/" , "03566241 Рубашка поло мужская Planet Men, ярко-синяя, размер L")</f>
      </c>
      <c r="C20287" s="4" t="n">
        <v>1312.00</v>
      </c>
      <c r="D20287" s="4"/>
    </row>
    <row collapsed="" customFormat="false" customHeight="1" hidden="" ht="14" outlineLevel="0" r="20288">
      <c r="A20288" s="3" t="inlineStr">
        <is>
          <t>20240</t>
        </is>
      </c>
      <c r="B20288" s="4" t="s">
        <f>=HYPERLINK("http://anyluxury.ru/shop/odezhda/rubashki-polo/rubashka-polo-muzhskaya-planet-men-yarkosinyaya-03566241/" , "03566241 Рубашка поло мужская Planet Men, ярко-синяя, размер XL")</f>
      </c>
      <c r="C20288" s="4" t="n">
        <v>1312.00</v>
      </c>
      <c r="D20288" s="4"/>
    </row>
    <row collapsed="" customFormat="false" customHeight="1" hidden="" ht="14" outlineLevel="0" r="20289">
      <c r="A20289" s="3" t="inlineStr">
        <is>
          <t>20241</t>
        </is>
      </c>
      <c r="B20289" s="4" t="s">
        <f>=HYPERLINK("http://anyluxury.ru/shop/odezhda/rubashki-polo/rubashka-polo-muzhskaya-planet-men-yarkosinyaya-03566241/" , "03566241 Рубашка поло мужская Planet Men, ярко-синяя, размер XXL")</f>
      </c>
      <c r="C20289" s="4" t="n">
        <v>1312.00</v>
      </c>
      <c r="D20289" s="4"/>
    </row>
    <row collapsed="" customFormat="false" customHeight="1" hidden="" ht="14" outlineLevel="0" r="20290">
      <c r="A20290" s="3" t="inlineStr">
        <is>
          <t>20242</t>
        </is>
      </c>
      <c r="B20290" s="4" t="s">
        <f>=HYPERLINK("http://anyluxury.ru/shop/odezhda/rubashki-polo/rubashka-polo-muzhskaya-planet-men-yarkosinyaya-03566241/" , "03566241 Рубашка поло мужская Planet Men, ярко-синяя, размер 3XL")</f>
      </c>
      <c r="C20290" s="4" t="n">
        <v>1522.00</v>
      </c>
      <c r="D20290" s="4"/>
    </row>
    <row collapsed="" customFormat="false" customHeight="1" hidden="" ht="14" outlineLevel="0" r="20291">
      <c r="A20291" s="3" t="inlineStr">
        <is>
          <t>20243</t>
        </is>
      </c>
      <c r="B20291" s="4" t="s">
        <f>=HYPERLINK("http://anyluxury.ru/shop/odezhda/rubashki-polo/rubashka-polo-muzhskaya-planet-men-yarkosinyaya-03566241/" , "03566241 Рубашка поло мужская Planet Men, ярко-синяя, размер 4XL")</f>
      </c>
      <c r="C20291" s="4" t="n">
        <v>1790.00</v>
      </c>
      <c r="D20291" s="4"/>
    </row>
    <row collapsed="" customFormat="false" customHeight="1" hidden="" ht="14" outlineLevel="0" r="20292">
      <c r="A20292" s="3" t="inlineStr">
        <is>
          <t>20244</t>
        </is>
      </c>
      <c r="B20292" s="4" t="s">
        <f>=HYPERLINK("http://anyluxury.ru/shop/odezhda/rubashki-polo/rubashka-polo-muzhskaya-planet-men-yarkosinyaya-03566241/" , "03566241 Рубашка поло мужская Planet Men, ярко-синяя, размер 5XL")</f>
      </c>
      <c r="C20292" s="4" t="n">
        <v>1790.00</v>
      </c>
      <c r="D20292" s="4"/>
    </row>
    <row collapsed="" customFormat="false" customHeight="1" hidden="" ht="14" outlineLevel="0" r="20293">
      <c r="A20293" s="3" t="inlineStr">
        <is>
          <t>20245</t>
        </is>
      </c>
      <c r="B20293" s="4" t="s">
        <f>=HYPERLINK("http://anyluxury.ru/shop/odezhda/rubashki-polo/rubashka-polo-muzhskaya-planet-men-belaya-03566102/" , "03566102 Рубашка поло мужская Planet Men, белая, размер S")</f>
      </c>
      <c r="C20293" s="4" t="n">
        <v>1178.00</v>
      </c>
      <c r="D20293" s="4"/>
    </row>
    <row collapsed="" customFormat="false" customHeight="1" hidden="" ht="14" outlineLevel="0" r="20294">
      <c r="A20294" s="3" t="inlineStr">
        <is>
          <t>20246</t>
        </is>
      </c>
      <c r="B20294" s="4" t="s">
        <f>=HYPERLINK("http://anyluxury.ru/shop/odezhda/rubashki-polo/rubashka-polo-muzhskaya-planet-men-belaya-03566102/" , "03566102 Рубашка поло мужская Planet Men, белая, размер M")</f>
      </c>
      <c r="C20294" s="4" t="n">
        <v>1178.00</v>
      </c>
      <c r="D20294" s="4"/>
    </row>
    <row collapsed="" customFormat="false" customHeight="1" hidden="" ht="14" outlineLevel="0" r="20295">
      <c r="A20295" s="3" t="inlineStr">
        <is>
          <t>20247</t>
        </is>
      </c>
      <c r="B20295" s="4" t="s">
        <f>=HYPERLINK("http://anyluxury.ru/shop/odezhda/rubashki-polo/rubashka-polo-muzhskaya-planet-men-belaya-03566102/" , "03566102 Рубашка поло мужская Planet Men, белая, размер L")</f>
      </c>
      <c r="C20295" s="4" t="n">
        <v>1178.00</v>
      </c>
      <c r="D20295" s="4"/>
    </row>
    <row collapsed="" customFormat="false" customHeight="1" hidden="" ht="14" outlineLevel="0" r="20296">
      <c r="A20296" s="3" t="inlineStr">
        <is>
          <t>20248</t>
        </is>
      </c>
      <c r="B20296" s="4" t="s">
        <f>=HYPERLINK("http://anyluxury.ru/shop/odezhda/rubashki-polo/rubashka-polo-muzhskaya-planet-men-belaya-03566102/" , "03566102 Рубашка поло мужская Planet Men, белая, размер XL")</f>
      </c>
      <c r="C20296" s="4" t="n">
        <v>1178.00</v>
      </c>
      <c r="D20296" s="4"/>
    </row>
    <row collapsed="" customFormat="false" customHeight="1" hidden="" ht="14" outlineLevel="0" r="20297">
      <c r="A20297" s="3" t="inlineStr">
        <is>
          <t>20249</t>
        </is>
      </c>
      <c r="B20297" s="4" t="s">
        <f>=HYPERLINK("http://anyluxury.ru/shop/odezhda/rubashki-polo/rubashka-polo-muzhskaya-planet-men-belaya-03566102/" , "03566102 Рубашка поло мужская Planet Men, белая, размер XXL")</f>
      </c>
      <c r="C20297" s="4" t="n">
        <v>1178.00</v>
      </c>
      <c r="D20297" s="4"/>
    </row>
    <row collapsed="" customFormat="false" customHeight="1" hidden="" ht="14" outlineLevel="0" r="20298">
      <c r="A20298" s="3" t="inlineStr">
        <is>
          <t>20250</t>
        </is>
      </c>
      <c r="B20298" s="4" t="s">
        <f>=HYPERLINK("http://anyluxury.ru/shop/odezhda/rubashki-polo/rubashka-polo-muzhskaya-planet-men-belaya-03566102/" , "03566102 Рубашка поло мужская Planet Men, белая, размер 3XL")</f>
      </c>
      <c r="C20298" s="4" t="n">
        <v>1370.00</v>
      </c>
      <c r="D20298" s="4"/>
    </row>
    <row collapsed="" customFormat="false" customHeight="1" hidden="" ht="14" outlineLevel="0" r="20299">
      <c r="A20299" s="3" t="inlineStr">
        <is>
          <t>20251</t>
        </is>
      </c>
      <c r="B20299" s="4" t="s">
        <f>=HYPERLINK("http://anyluxury.ru/shop/odezhda/rubashki-polo/rubashka-polo-muzhskaya-planet-men-belaya-03566102/" , "03566102 Рубашка поло мужская Planet Men, белая, размер 4XL")</f>
      </c>
      <c r="C20299" s="4" t="n">
        <v>1613.00</v>
      </c>
      <c r="D20299" s="4"/>
    </row>
    <row collapsed="" customFormat="false" customHeight="1" hidden="" ht="14" outlineLevel="0" r="20300">
      <c r="A20300" s="3" t="inlineStr">
        <is>
          <t>20252</t>
        </is>
      </c>
      <c r="B20300" s="4" t="s">
        <f>=HYPERLINK("http://anyluxury.ru/shop/odezhda/rubashki-polo/rubashka-polo-muzhskaya-planet-men-belaya-03566102/" , "03566102 Рубашка поло мужская Planet Men, белая размер 5XL")</f>
      </c>
      <c r="C20300" s="4" t="n">
        <v>1613.00</v>
      </c>
      <c r="D20300" s="4"/>
    </row>
    <row collapsed="" customFormat="false" customHeight="1" hidden="" ht="14" outlineLevel="0" r="20301">
      <c r="A20301" s="3" t="inlineStr">
        <is>
          <t>20253</t>
        </is>
      </c>
      <c r="B20301" s="4" t="s">
        <f>=HYPERLINK("http://anyluxury.ru/shop/odezhda/rubashki-polo/rubashka-polo-zhenskaya-planet-women-chernaya-03575312/" , "03575312 Рубашка поло женская Planet Women, черная, размер XS")</f>
      </c>
      <c r="C20301" s="4" t="n">
        <v>1277.00</v>
      </c>
      <c r="D20301" s="4"/>
    </row>
    <row collapsed="" customFormat="false" customHeight="1" hidden="" ht="14" outlineLevel="0" r="20302">
      <c r="A20302" s="3" t="inlineStr">
        <is>
          <t>20254</t>
        </is>
      </c>
      <c r="B20302" s="4" t="s">
        <f>=HYPERLINK("http://anyluxury.ru/shop/odezhda/rubashki-polo/rubashka-polo-zhenskaya-planet-women-chernaya-03575312/" , "03575312 Рубашка поло женская Planet Women, черная, размер S")</f>
      </c>
      <c r="C20302" s="4" t="n">
        <v>1277.00</v>
      </c>
      <c r="D20302" s="4"/>
    </row>
    <row collapsed="" customFormat="false" customHeight="1" hidden="" ht="14" outlineLevel="0" r="20303">
      <c r="A20303" s="3" t="inlineStr">
        <is>
          <t>20255</t>
        </is>
      </c>
      <c r="B20303" s="4" t="s">
        <f>=HYPERLINK("http://anyluxury.ru/shop/odezhda/rubashki-polo/rubashka-polo-zhenskaya-planet-women-chernaya-03575312/" , "03575312 Рубашка поло женская Planet Women, черная, размер M")</f>
      </c>
      <c r="C20303" s="4" t="n">
        <v>1277.00</v>
      </c>
      <c r="D20303" s="4"/>
    </row>
    <row collapsed="" customFormat="false" customHeight="1" hidden="" ht="14" outlineLevel="0" r="20304">
      <c r="A20304" s="3" t="inlineStr">
        <is>
          <t>20256</t>
        </is>
      </c>
      <c r="B20304" s="4" t="s">
        <f>=HYPERLINK("http://anyluxury.ru/shop/odezhda/rubashki-polo/rubashka-polo-zhenskaya-planet-women-chernaya-03575312/" , "03575312 Рубашка поло женская Planet Women, черная, размер L")</f>
      </c>
      <c r="C20304" s="4" t="n">
        <v>1277.00</v>
      </c>
      <c r="D20304" s="4"/>
    </row>
    <row collapsed="" customFormat="false" customHeight="1" hidden="" ht="14" outlineLevel="0" r="20305">
      <c r="A20305" s="3" t="inlineStr">
        <is>
          <t>20257</t>
        </is>
      </c>
      <c r="B20305" s="4" t="s">
        <f>=HYPERLINK("http://anyluxury.ru/shop/odezhda/rubashki-polo/rubashka-polo-zhenskaya-planet-women-chernaya-03575312/" , "03575312 Рубашка поло женская Planet Women, черная, размер XL")</f>
      </c>
      <c r="C20305" s="4" t="n">
        <v>1277.00</v>
      </c>
      <c r="D20305" s="4"/>
    </row>
    <row collapsed="" customFormat="false" customHeight="1" hidden="" ht="14" outlineLevel="0" r="20306">
      <c r="A20306" s="3" t="inlineStr">
        <is>
          <t>20258</t>
        </is>
      </c>
      <c r="B20306" s="4" t="s">
        <f>=HYPERLINK("http://anyluxury.ru/shop/odezhda/rubashki-polo/rubashka-polo-zhenskaya-planet-women-chernaya-03575312/" , "03575312 Рубашка поло женская Planet Women, черная, размер XXL")</f>
      </c>
      <c r="C20306" s="4" t="n">
        <v>1277.00</v>
      </c>
      <c r="D20306" s="4"/>
    </row>
    <row collapsed="" customFormat="false" customHeight="1" hidden="" ht="14" outlineLevel="0" r="20307">
      <c r="A20307" s="3" t="inlineStr">
        <is>
          <t>20259</t>
        </is>
      </c>
      <c r="B20307" s="4" t="s">
        <f>=HYPERLINK("http://anyluxury.ru/shop/odezhda/rubashki-polo/rubashka-polo-zhenskaya-planet-women-chernaya-03575312/" , "03575312 Рубашка поло женская Planet Women, черная, размер 3XL")</f>
      </c>
      <c r="C20307" s="4" t="n">
        <v>1479.00</v>
      </c>
      <c r="D20307" s="4"/>
    </row>
    <row collapsed="" customFormat="false" customHeight="1" hidden="" ht="14" outlineLevel="0" r="20308">
      <c r="A20308" s="3" t="inlineStr">
        <is>
          <t>20260</t>
        </is>
      </c>
      <c r="B20308" s="4" t="s">
        <f>=HYPERLINK("http://anyluxury.ru/shop/odezhda/rubashki-polo/rubashka-polo-zhenskaya-planet-women-temnozelenaya-03575264/" , "03575264 Рубашка поло женская Planet Women, темно-зеленая, размер XS")</f>
      </c>
      <c r="C20308" s="4" t="n">
        <v>1277.00</v>
      </c>
      <c r="D20308" s="4"/>
    </row>
    <row collapsed="" customFormat="false" customHeight="1" hidden="" ht="14" outlineLevel="0" r="20309">
      <c r="A20309" s="3" t="inlineStr">
        <is>
          <t>20261</t>
        </is>
      </c>
      <c r="B20309" s="4" t="s">
        <f>=HYPERLINK("http://anyluxury.ru/shop/odezhda/rubashki-polo/rubashka-polo-zhenskaya-planet-women-temnozelenaya-03575264/" , "03575264 Рубашка поло женская Planet Women, темно-зеленая, размер S")</f>
      </c>
      <c r="C20309" s="4" t="n">
        <v>1277.00</v>
      </c>
      <c r="D20309" s="4"/>
    </row>
    <row collapsed="" customFormat="false" customHeight="1" hidden="" ht="14" outlineLevel="0" r="20310">
      <c r="A20310" s="3" t="inlineStr">
        <is>
          <t>20262</t>
        </is>
      </c>
      <c r="B20310" s="4" t="s">
        <f>=HYPERLINK("http://anyluxury.ru/shop/odezhda/rubashki-polo/rubashka-polo-zhenskaya-planet-women-temnozelenaya-03575264/" , "03575264 Рубашка поло женская Planet Women, темно-зеленая, размер M")</f>
      </c>
      <c r="C20310" s="4" t="n">
        <v>1277.00</v>
      </c>
      <c r="D20310" s="4"/>
    </row>
    <row collapsed="" customFormat="false" customHeight="1" hidden="" ht="14" outlineLevel="0" r="20311">
      <c r="A20311" s="3" t="inlineStr">
        <is>
          <t>20263</t>
        </is>
      </c>
      <c r="B20311" s="4" t="s">
        <f>=HYPERLINK("http://anyluxury.ru/shop/odezhda/rubashki-polo/rubashka-polo-zhenskaya-planet-women-temnozelenaya-03575264/" , "03575264 Рубашка поло женская Planet Women, темно-зеленая, размер L")</f>
      </c>
      <c r="C20311" s="4" t="n">
        <v>1277.00</v>
      </c>
      <c r="D20311" s="4"/>
    </row>
    <row collapsed="" customFormat="false" customHeight="1" hidden="" ht="14" outlineLevel="0" r="20312">
      <c r="A20312" s="3" t="inlineStr">
        <is>
          <t>20264</t>
        </is>
      </c>
      <c r="B20312" s="4" t="s">
        <f>=HYPERLINK("http://anyluxury.ru/shop/odezhda/rubashki-polo/rubashka-polo-zhenskaya-planet-women-temnozelenaya-03575264/" , "03575264 Рубашка поло женская Planet Women, темно-зеленая, размер XL")</f>
      </c>
      <c r="C20312" s="4" t="n">
        <v>1277.00</v>
      </c>
      <c r="D20312" s="4"/>
    </row>
    <row collapsed="" customFormat="false" customHeight="1" hidden="" ht="14" outlineLevel="0" r="20313">
      <c r="A20313" s="3" t="inlineStr">
        <is>
          <t>20265</t>
        </is>
      </c>
      <c r="B20313" s="4" t="s">
        <f>=HYPERLINK("http://anyluxury.ru/shop/odezhda/rubashki-polo/rubashka-polo-zhenskaya-planet-women-temnozelenaya-03575264/" , "03575264 Рубашка поло женская Planet Women, темно-зеленая, размер XXL")</f>
      </c>
      <c r="C20313" s="4" t="n">
        <v>1277.00</v>
      </c>
      <c r="D20313" s="4"/>
    </row>
    <row collapsed="" customFormat="false" customHeight="1" hidden="" ht="14" outlineLevel="0" r="20314">
      <c r="A20314" s="3" t="inlineStr">
        <is>
          <t>20266</t>
        </is>
      </c>
      <c r="B20314" s="4" t="s">
        <f>=HYPERLINK("http://anyluxury.ru/shop/odezhda/rubashki-polo/rubashka-polo-zhenskaya-planet-women-temnozelenaya-03575264/" , "03575264 Рубашка поло женская Planet Women, темно-зеленая, размер 3XL")</f>
      </c>
      <c r="C20314" s="4" t="n">
        <v>1479.00</v>
      </c>
      <c r="D20314" s="4"/>
    </row>
    <row collapsed="" customFormat="false" customHeight="1" hidden="" ht="14" outlineLevel="0" r="20315">
      <c r="A20315" s="3" t="inlineStr">
        <is>
          <t>20267</t>
        </is>
      </c>
      <c r="B20315" s="4" t="s">
        <f>=HYPERLINK("http://anyluxury.ru/shop/odezhda/rubashki-polo/rubashka-polo-zhenskaya-planet-women-temnosinyaya-03575319/" , "03575319 Рубашка поло женская Planet Women, темно-синяя, размер XS")</f>
      </c>
      <c r="C20315" s="4" t="n">
        <v>1277.00</v>
      </c>
      <c r="D20315" s="4"/>
    </row>
    <row collapsed="" customFormat="false" customHeight="1" hidden="" ht="14" outlineLevel="0" r="20316">
      <c r="A20316" s="3" t="inlineStr">
        <is>
          <t>20268</t>
        </is>
      </c>
      <c r="B20316" s="4" t="s">
        <f>=HYPERLINK("http://anyluxury.ru/shop/odezhda/rubashki-polo/rubashka-polo-zhenskaya-planet-women-temnosinyaya-03575319/" , "03575319 Рубашка поло женская Planet Women, темно-синяя, размер S")</f>
      </c>
      <c r="C20316" s="4" t="n">
        <v>1277.00</v>
      </c>
      <c r="D20316" s="4"/>
    </row>
    <row collapsed="" customFormat="false" customHeight="1" hidden="" ht="14" outlineLevel="0" r="20317">
      <c r="A20317" s="3" t="inlineStr">
        <is>
          <t>20269</t>
        </is>
      </c>
      <c r="B20317" s="4" t="s">
        <f>=HYPERLINK("http://anyluxury.ru/shop/odezhda/rubashki-polo/rubashka-polo-zhenskaya-planet-women-temnosinyaya-03575319/" , "03575319 Рубашка поло женская Planet Women, темно-синяя, размер M")</f>
      </c>
      <c r="C20317" s="4" t="n">
        <v>1277.00</v>
      </c>
      <c r="D20317" s="4"/>
    </row>
    <row collapsed="" customFormat="false" customHeight="1" hidden="" ht="14" outlineLevel="0" r="20318">
      <c r="A20318" s="3" t="inlineStr">
        <is>
          <t>20270</t>
        </is>
      </c>
      <c r="B20318" s="4" t="s">
        <f>=HYPERLINK("http://anyluxury.ru/shop/odezhda/rubashki-polo/rubashka-polo-zhenskaya-planet-women-temnosinyaya-03575319/" , "03575319 Рубашка поло женская Planet Women, темно-синяя, размер L")</f>
      </c>
      <c r="C20318" s="4" t="n">
        <v>1277.00</v>
      </c>
      <c r="D20318" s="4"/>
    </row>
    <row collapsed="" customFormat="false" customHeight="1" hidden="" ht="14" outlineLevel="0" r="20319">
      <c r="A20319" s="3" t="inlineStr">
        <is>
          <t>20271</t>
        </is>
      </c>
      <c r="B20319" s="4" t="s">
        <f>=HYPERLINK("http://anyluxury.ru/shop/odezhda/rubashki-polo/rubashka-polo-zhenskaya-planet-women-temnosinyaya-03575319/" , "03575319 Рубашка поло женская Planet Women, темно-синяя, размер XL")</f>
      </c>
      <c r="C20319" s="4" t="n">
        <v>1277.00</v>
      </c>
      <c r="D20319" s="4"/>
    </row>
    <row collapsed="" customFormat="false" customHeight="1" hidden="" ht="14" outlineLevel="0" r="20320">
      <c r="A20320" s="3" t="inlineStr">
        <is>
          <t>20272</t>
        </is>
      </c>
      <c r="B20320" s="4" t="s">
        <f>=HYPERLINK("http://anyluxury.ru/shop/odezhda/rubashki-polo/rubashka-polo-zhenskaya-planet-women-temnosinyaya-03575319/" , "03575319 Рубашка поло женская Planet Women, темно-синяя, размер XXL")</f>
      </c>
      <c r="C20320" s="4" t="n">
        <v>1277.00</v>
      </c>
      <c r="D20320" s="4"/>
    </row>
    <row collapsed="" customFormat="false" customHeight="1" hidden="" ht="14" outlineLevel="0" r="20321">
      <c r="A20321" s="3" t="inlineStr">
        <is>
          <t>20273</t>
        </is>
      </c>
      <c r="B20321" s="4" t="s">
        <f>=HYPERLINK("http://anyluxury.ru/shop/odezhda/rubashki-polo/rubashka-polo-zhenskaya-planet-women-temnosinyaya-03575319/" , "03575319 Рубашка поло женская Planet Women, темно-синяя, размер 3XL")</f>
      </c>
      <c r="C20321" s="4" t="n">
        <v>1479.00</v>
      </c>
      <c r="D20321" s="4"/>
    </row>
    <row collapsed="" customFormat="false" customHeight="1" hidden="" ht="14" outlineLevel="0" r="20322">
      <c r="A20322" s="3" t="inlineStr">
        <is>
          <t>20274</t>
        </is>
      </c>
      <c r="B20322" s="4" t="s">
        <f>=HYPERLINK("http://anyluxury.ru/shop/odezhda/rubashki-polo/rubashka-polo-zhenskaya-planet-women-seriy-melanzh-03575360/" , "03575360 Рубашка поло женская Planet Women, серый меланж, размер XS")</f>
      </c>
      <c r="C20322" s="4" t="n">
        <v>1277.00</v>
      </c>
      <c r="D20322" s="4"/>
    </row>
    <row collapsed="" customFormat="false" customHeight="1" hidden="" ht="14" outlineLevel="0" r="20323">
      <c r="A20323" s="3" t="inlineStr">
        <is>
          <t>20275</t>
        </is>
      </c>
      <c r="B20323" s="4" t="s">
        <f>=HYPERLINK("http://anyluxury.ru/shop/odezhda/rubashki-polo/rubashka-polo-zhenskaya-planet-women-seriy-melanzh-03575360/" , "03575360 Рубашка поло женская Planet Women, серый меланж, размер S")</f>
      </c>
      <c r="C20323" s="4" t="n">
        <v>1277.00</v>
      </c>
      <c r="D20323" s="4"/>
    </row>
    <row collapsed="" customFormat="false" customHeight="1" hidden="" ht="14" outlineLevel="0" r="20324">
      <c r="A20324" s="3" t="inlineStr">
        <is>
          <t>20276</t>
        </is>
      </c>
      <c r="B20324" s="4" t="s">
        <f>=HYPERLINK("http://anyluxury.ru/shop/odezhda/rubashki-polo/rubashka-polo-zhenskaya-planet-women-seriy-melanzh-03575360/" , "03575360 Рубашка поло женская Planet Women, серый меланж, размер M")</f>
      </c>
      <c r="C20324" s="4" t="n">
        <v>1277.00</v>
      </c>
      <c r="D20324" s="4"/>
    </row>
    <row collapsed="" customFormat="false" customHeight="1" hidden="" ht="14" outlineLevel="0" r="20325">
      <c r="A20325" s="3" t="inlineStr">
        <is>
          <t>20277</t>
        </is>
      </c>
      <c r="B20325" s="4" t="s">
        <f>=HYPERLINK("http://anyluxury.ru/shop/odezhda/rubashki-polo/rubashka-polo-zhenskaya-planet-women-seriy-melanzh-03575360/" , "03575360 Рубашка поло женская Planet Women, серый меланж, размер L")</f>
      </c>
      <c r="C20325" s="4" t="n">
        <v>1277.00</v>
      </c>
      <c r="D20325" s="4"/>
    </row>
    <row collapsed="" customFormat="false" customHeight="1" hidden="" ht="14" outlineLevel="0" r="20326">
      <c r="A20326" s="3" t="inlineStr">
        <is>
          <t>20278</t>
        </is>
      </c>
      <c r="B20326" s="4" t="s">
        <f>=HYPERLINK("http://anyluxury.ru/shop/odezhda/rubashki-polo/rubashka-polo-zhenskaya-planet-women-seriy-melanzh-03575360/" , "03575360 Рубашка поло женская Planet Women, серый меланж, размер XL")</f>
      </c>
      <c r="C20326" s="4" t="n">
        <v>1277.00</v>
      </c>
      <c r="D20326" s="4"/>
    </row>
    <row collapsed="" customFormat="false" customHeight="1" hidden="" ht="14" outlineLevel="0" r="20327">
      <c r="A20327" s="3" t="inlineStr">
        <is>
          <t>20279</t>
        </is>
      </c>
      <c r="B20327" s="4" t="s">
        <f>=HYPERLINK("http://anyluxury.ru/shop/odezhda/rubashki-polo/rubashka-polo-zhenskaya-planet-women-seriy-melanzh-03575360/" , "03575360 Рубашка поло женская Planet Women, серый меланж, размер XXL")</f>
      </c>
      <c r="C20327" s="4" t="n">
        <v>1277.00</v>
      </c>
      <c r="D20327" s="4"/>
    </row>
    <row collapsed="" customFormat="false" customHeight="1" hidden="" ht="14" outlineLevel="0" r="20328">
      <c r="A20328" s="3" t="inlineStr">
        <is>
          <t>20280</t>
        </is>
      </c>
      <c r="B20328" s="4" t="s">
        <f>=HYPERLINK("http://anyluxury.ru/shop/odezhda/rubashki-polo/rubashka-polo-zhenskaya-planet-women-seriy-melanzh-03575360/" , "03575360 Рубашка поло женская Planet Women, серый меланж, размер 3XL")</f>
      </c>
      <c r="C20328" s="4" t="n">
        <v>1479.00</v>
      </c>
      <c r="D20328" s="4"/>
    </row>
    <row collapsed="" customFormat="false" customHeight="1" hidden="" ht="14" outlineLevel="0" r="20329">
      <c r="A20329" s="3" t="inlineStr">
        <is>
          <t>20281</t>
        </is>
      </c>
      <c r="B20329" s="4" t="s">
        <f>=HYPERLINK("http://anyluxury.ru/shop/odezhda/rubashki-polo/rubashka-polo-zhenskaya-planet-women-krasnaya-03575145/" , "03575145 Рубашка поло женская Planet Women, красная, размер XS")</f>
      </c>
      <c r="C20329" s="4" t="n">
        <v>1277.00</v>
      </c>
      <c r="D20329" s="4"/>
    </row>
    <row collapsed="" customFormat="false" customHeight="1" hidden="" ht="14" outlineLevel="0" r="20330">
      <c r="A20330" s="3" t="inlineStr">
        <is>
          <t>20282</t>
        </is>
      </c>
      <c r="B20330" s="4" t="s">
        <f>=HYPERLINK("http://anyluxury.ru/shop/odezhda/rubashki-polo/rubashka-polo-zhenskaya-planet-women-krasnaya-03575145/" , "03575145 Рубашка поло женская Planet Women, красная, размер S")</f>
      </c>
      <c r="C20330" s="4" t="n">
        <v>1277.00</v>
      </c>
      <c r="D20330" s="4"/>
    </row>
    <row collapsed="" customFormat="false" customHeight="1" hidden="" ht="14" outlineLevel="0" r="20331">
      <c r="A20331" s="3" t="inlineStr">
        <is>
          <t>20283</t>
        </is>
      </c>
      <c r="B20331" s="4" t="s">
        <f>=HYPERLINK("http://anyluxury.ru/shop/odezhda/rubashki-polo/rubashka-polo-zhenskaya-planet-women-krasnaya-03575145/" , "03575145 Рубашка поло женская Planet Women, красная, размер M")</f>
      </c>
      <c r="C20331" s="4" t="n">
        <v>1277.00</v>
      </c>
      <c r="D20331" s="4"/>
    </row>
    <row collapsed="" customFormat="false" customHeight="1" hidden="" ht="14" outlineLevel="0" r="20332">
      <c r="A20332" s="3" t="inlineStr">
        <is>
          <t>20284</t>
        </is>
      </c>
      <c r="B20332" s="4" t="s">
        <f>=HYPERLINK("http://anyluxury.ru/shop/odezhda/rubashki-polo/rubashka-polo-zhenskaya-planet-women-krasnaya-03575145/" , "03575145 Рубашка поло женская Planet Women, красная, размер L")</f>
      </c>
      <c r="C20332" s="4" t="n">
        <v>1277.00</v>
      </c>
      <c r="D20332" s="4"/>
    </row>
    <row collapsed="" customFormat="false" customHeight="1" hidden="" ht="14" outlineLevel="0" r="20333">
      <c r="A20333" s="3" t="inlineStr">
        <is>
          <t>20285</t>
        </is>
      </c>
      <c r="B20333" s="4" t="s">
        <f>=HYPERLINK("http://anyluxury.ru/shop/odezhda/rubashki-polo/rubashka-polo-zhenskaya-planet-women-krasnaya-03575145/" , "03575145 Рубашка поло женская Planet Women, красная, размер XL")</f>
      </c>
      <c r="C20333" s="4" t="n">
        <v>1277.00</v>
      </c>
      <c r="D20333" s="4"/>
    </row>
    <row collapsed="" customFormat="false" customHeight="1" hidden="" ht="14" outlineLevel="0" r="20334">
      <c r="A20334" s="3" t="inlineStr">
        <is>
          <t>20286</t>
        </is>
      </c>
      <c r="B20334" s="4" t="s">
        <f>=HYPERLINK("http://anyluxury.ru/shop/odezhda/rubashki-polo/rubashka-polo-zhenskaya-planet-women-krasnaya-03575145/" , "03575145 Рубашка поло женская Planet Women, красная, размер XXL")</f>
      </c>
      <c r="C20334" s="4" t="n">
        <v>1277.00</v>
      </c>
      <c r="D20334" s="4"/>
    </row>
    <row collapsed="" customFormat="false" customHeight="1" hidden="" ht="14" outlineLevel="0" r="20335">
      <c r="A20335" s="3" t="inlineStr">
        <is>
          <t>20287</t>
        </is>
      </c>
      <c r="B20335" s="4" t="s">
        <f>=HYPERLINK("http://anyluxury.ru/shop/odezhda/rubashki-polo/rubashka-polo-zhenskaya-planet-women-krasnaya-03575145/" , "03575145 Рубашка поло женская Planet Women, красная, размер 3XL")</f>
      </c>
      <c r="C20335" s="4" t="n">
        <v>1479.00</v>
      </c>
      <c r="D20335" s="4"/>
    </row>
    <row collapsed="" customFormat="false" customHeight="1" hidden="" ht="14" outlineLevel="0" r="20336">
      <c r="A20336" s="3" t="inlineStr">
        <is>
          <t>20288</t>
        </is>
      </c>
      <c r="B20336" s="4" t="s">
        <f>=HYPERLINK("http://anyluxury.ru/shop/odezhda/rubashki-polo/rubashka-polo-zhenskaya-planet-women-yarkosinyaya-03575241/" , "03575241 Рубашка поло женская Planet Women, ярко-синяя, размер XS")</f>
      </c>
      <c r="C20336" s="4" t="n">
        <v>1277.00</v>
      </c>
      <c r="D20336" s="4"/>
    </row>
    <row collapsed="" customFormat="false" customHeight="1" hidden="" ht="14" outlineLevel="0" r="20337">
      <c r="A20337" s="3" t="inlineStr">
        <is>
          <t>20289</t>
        </is>
      </c>
      <c r="B20337" s="4" t="s">
        <f>=HYPERLINK("http://anyluxury.ru/shop/odezhda/rubashki-polo/rubashka-polo-zhenskaya-planet-women-yarkosinyaya-03575241/" , "03575241 Рубашка поло женская Planet Women, ярко-синяя, размер S")</f>
      </c>
      <c r="C20337" s="4" t="n">
        <v>1277.00</v>
      </c>
      <c r="D20337" s="4"/>
    </row>
    <row collapsed="" customFormat="false" customHeight="1" hidden="" ht="14" outlineLevel="0" r="20338">
      <c r="A20338" s="3" t="inlineStr">
        <is>
          <t>20290</t>
        </is>
      </c>
      <c r="B20338" s="4" t="s">
        <f>=HYPERLINK("http://anyluxury.ru/shop/odezhda/rubashki-polo/rubashka-polo-zhenskaya-planet-women-yarkosinyaya-03575241/" , "03575241 Рубашка поло женская Planet Women, ярко-синяя, размер M")</f>
      </c>
      <c r="C20338" s="4" t="n">
        <v>1277.00</v>
      </c>
      <c r="D20338" s="4"/>
    </row>
    <row collapsed="" customFormat="false" customHeight="1" hidden="" ht="14" outlineLevel="0" r="20339">
      <c r="A20339" s="3" t="inlineStr">
        <is>
          <t>20291</t>
        </is>
      </c>
      <c r="B20339" s="4" t="s">
        <f>=HYPERLINK("http://anyluxury.ru/shop/odezhda/rubashki-polo/rubashka-polo-zhenskaya-planet-women-yarkosinyaya-03575241/" , "03575241 Рубашка поло женская Planet Women, ярко-синяя, размер L")</f>
      </c>
      <c r="C20339" s="4" t="n">
        <v>1277.00</v>
      </c>
      <c r="D20339" s="4"/>
    </row>
    <row collapsed="" customFormat="false" customHeight="1" hidden="" ht="14" outlineLevel="0" r="20340">
      <c r="A20340" s="3" t="inlineStr">
        <is>
          <t>20292</t>
        </is>
      </c>
      <c r="B20340" s="4" t="s">
        <f>=HYPERLINK("http://anyluxury.ru/shop/odezhda/rubashki-polo/rubashka-polo-zhenskaya-planet-women-yarkosinyaya-03575241/" , "03575241 Рубашка поло женская Planet Women, ярко-синяя, размер XL")</f>
      </c>
      <c r="C20340" s="4" t="n">
        <v>1277.00</v>
      </c>
      <c r="D20340" s="4"/>
    </row>
    <row collapsed="" customFormat="false" customHeight="1" hidden="" ht="14" outlineLevel="0" r="20341">
      <c r="A20341" s="3" t="inlineStr">
        <is>
          <t>20293</t>
        </is>
      </c>
      <c r="B20341" s="4" t="s">
        <f>=HYPERLINK("http://anyluxury.ru/shop/odezhda/rubashki-polo/rubashka-polo-zhenskaya-planet-women-yarkosinyaya-03575241/" , "03575241 Рубашка поло женская Planet Women, ярко-синяя, размер XXL")</f>
      </c>
      <c r="C20341" s="4" t="n">
        <v>1277.00</v>
      </c>
      <c r="D20341" s="4"/>
    </row>
    <row collapsed="" customFormat="false" customHeight="1" hidden="" ht="14" outlineLevel="0" r="20342">
      <c r="A20342" s="3" t="inlineStr">
        <is>
          <t>20294</t>
        </is>
      </c>
      <c r="B20342" s="4" t="s">
        <f>=HYPERLINK("http://anyluxury.ru/shop/odezhda/rubashki-polo/rubashka-polo-zhenskaya-planet-women-yarkosinyaya-03575241/" , "03575241 Рубашка поло женская Planet Women, ярко-синяя, размер 3XL")</f>
      </c>
      <c r="C20342" s="4" t="n">
        <v>1479.00</v>
      </c>
      <c r="D20342" s="4"/>
    </row>
    <row collapsed="" customFormat="false" customHeight="1" hidden="" ht="14" outlineLevel="0" r="20343">
      <c r="A20343" s="3" t="inlineStr">
        <is>
          <t>20295</t>
        </is>
      </c>
      <c r="B20343" s="4" t="s">
        <f>=HYPERLINK("http://anyluxury.ru/shop/odezhda/rubashki-polo/rubashka-polo-zhenskaya-planet-women-belaya-03575102/" , "03575102 Рубашка поло женская Planet Women, белая, размер XS")</f>
      </c>
      <c r="C20343" s="4" t="n">
        <v>1143.00</v>
      </c>
      <c r="D20343" s="4"/>
    </row>
    <row collapsed="" customFormat="false" customHeight="1" hidden="" ht="14" outlineLevel="0" r="20344">
      <c r="A20344" s="3" t="inlineStr">
        <is>
          <t>20296</t>
        </is>
      </c>
      <c r="B20344" s="4" t="s">
        <f>=HYPERLINK("http://anyluxury.ru/shop/odezhda/rubashki-polo/rubashka-polo-zhenskaya-planet-women-belaya-03575102/" , "03575102 Рубашка поло женская Planet Women, белая, размер S")</f>
      </c>
      <c r="C20344" s="4" t="n">
        <v>1143.00</v>
      </c>
      <c r="D20344" s="4"/>
    </row>
    <row collapsed="" customFormat="false" customHeight="1" hidden="" ht="14" outlineLevel="0" r="20345">
      <c r="A20345" s="3" t="inlineStr">
        <is>
          <t>20297</t>
        </is>
      </c>
      <c r="B20345" s="4" t="s">
        <f>=HYPERLINK("http://anyluxury.ru/shop/odezhda/rubashki-polo/rubashka-polo-zhenskaya-planet-women-belaya-03575102/" , "03575102 Рубашка поло женская Planet Women, белая, размер M")</f>
      </c>
      <c r="C20345" s="4" t="n">
        <v>1143.00</v>
      </c>
      <c r="D20345" s="4"/>
    </row>
    <row collapsed="" customFormat="false" customHeight="1" hidden="" ht="14" outlineLevel="0" r="20346">
      <c r="A20346" s="3" t="inlineStr">
        <is>
          <t>20298</t>
        </is>
      </c>
      <c r="B20346" s="4" t="s">
        <f>=HYPERLINK("http://anyluxury.ru/shop/odezhda/rubashki-polo/rubashka-polo-zhenskaya-planet-women-belaya-03575102/" , "03575102 Рубашка поло женская Planet Women, белая, размер L")</f>
      </c>
      <c r="C20346" s="4" t="n">
        <v>1143.00</v>
      </c>
      <c r="D20346" s="4"/>
    </row>
    <row collapsed="" customFormat="false" customHeight="1" hidden="" ht="14" outlineLevel="0" r="20347">
      <c r="A20347" s="3" t="inlineStr">
        <is>
          <t>20299</t>
        </is>
      </c>
      <c r="B20347" s="4" t="s">
        <f>=HYPERLINK("http://anyluxury.ru/shop/odezhda/rubashki-polo/rubashka-polo-zhenskaya-planet-women-belaya-03575102/" , "03575102 Рубашка поло женская Planet Women, белая, размер XL")</f>
      </c>
      <c r="C20347" s="4" t="n">
        <v>1143.00</v>
      </c>
      <c r="D20347" s="4"/>
    </row>
    <row collapsed="" customFormat="false" customHeight="1" hidden="" ht="14" outlineLevel="0" r="20348">
      <c r="A20348" s="3" t="inlineStr">
        <is>
          <t>20300</t>
        </is>
      </c>
      <c r="B20348" s="4" t="s">
        <f>=HYPERLINK("http://anyluxury.ru/shop/odezhda/rubashki-polo/rubashka-polo-zhenskaya-planet-women-belaya-03575102/" , "03575102 Рубашка поло женская Planet Women, белая, размер XXL")</f>
      </c>
      <c r="C20348" s="4" t="n">
        <v>1143.00</v>
      </c>
      <c r="D20348" s="4"/>
    </row>
    <row collapsed="" customFormat="false" customHeight="1" hidden="" ht="14" outlineLevel="0" r="20349">
      <c r="A20349" s="3" t="inlineStr">
        <is>
          <t>20301</t>
        </is>
      </c>
      <c r="B20349" s="4" t="s">
        <f>=HYPERLINK("http://anyluxury.ru/shop/odezhda/rubashki-polo/rubashka-polo-zhenskaya-planet-women-belaya-03575102/" , "03575102 Рубашка поло женская Planet Women, белая, размер 3XL")</f>
      </c>
      <c r="C20349" s="4" t="n">
        <v>1326.00</v>
      </c>
      <c r="D20349" s="4"/>
    </row>
    <row collapsed="" customFormat="false" customHeight="1" hidden="" ht="14" outlineLevel="0" r="20350">
      <c r="A20350" s="3" t="inlineStr">
        <is>
          <t>20302</t>
        </is>
      </c>
      <c r="B20350" s="4" t="s">
        <f>=HYPERLINK("http://anyluxury.ru/shop/odezhda/rubashki-polo/rubashka-polo-s-dlinnim-rukavom-prime-lsl-seriy-melanzh-03983360/" , "03983360 Рубашка поло с длинным рукавом Prime LSL, серый меланж, размер XS")</f>
      </c>
      <c r="C20350" s="4" t="n">
        <v>1967.00</v>
      </c>
      <c r="D20350" s="4"/>
    </row>
    <row collapsed="" customFormat="false" customHeight="1" hidden="" ht="14" outlineLevel="0" r="20351">
      <c r="A20351" s="3" t="inlineStr">
        <is>
          <t>20303</t>
        </is>
      </c>
      <c r="B20351" s="4" t="s">
        <f>=HYPERLINK("http://anyluxury.ru/shop/odezhda/rubashki-polo/rubashka-polo-s-dlinnim-rukavom-prime-lsl-seriy-melanzh-03983360/" , "03983360 Рубашка поло с длинным рукавом Prime LSL, серый меланж, размер S")</f>
      </c>
      <c r="C20351" s="4" t="n">
        <v>1967.00</v>
      </c>
      <c r="D20351" s="4"/>
    </row>
    <row collapsed="" customFormat="false" customHeight="1" hidden="" ht="14" outlineLevel="0" r="20352">
      <c r="A20352" s="3" t="inlineStr">
        <is>
          <t>20304</t>
        </is>
      </c>
      <c r="B20352" s="4" t="s">
        <f>=HYPERLINK("http://anyluxury.ru/shop/odezhda/rubashki-polo/rubashka-polo-s-dlinnim-rukavom-prime-lsl-seriy-melanzh-03983360/" , "03983360 Рубашка поло с длинным рукавом Prime LSL, серый меланж, размер M")</f>
      </c>
      <c r="C20352" s="4" t="n">
        <v>1967.00</v>
      </c>
      <c r="D20352" s="4"/>
    </row>
    <row collapsed="" customFormat="false" customHeight="1" hidden="" ht="14" outlineLevel="0" r="20353">
      <c r="A20353" s="3" t="inlineStr">
        <is>
          <t>20305</t>
        </is>
      </c>
      <c r="B20353" s="4" t="s">
        <f>=HYPERLINK("http://anyluxury.ru/shop/odezhda/rubashki-polo/rubashka-polo-s-dlinnim-rukavom-prime-lsl-seriy-melanzh-03983360/" , "03983360 Рубашка поло с длинным рукавом Prime LSL, серый меланж, размер L")</f>
      </c>
      <c r="C20353" s="4" t="n">
        <v>1967.00</v>
      </c>
      <c r="D20353" s="4"/>
    </row>
    <row collapsed="" customFormat="false" customHeight="1" hidden="" ht="14" outlineLevel="0" r="20354">
      <c r="A20354" s="3" t="inlineStr">
        <is>
          <t>20306</t>
        </is>
      </c>
      <c r="B20354" s="4" t="s">
        <f>=HYPERLINK("http://anyluxury.ru/shop/odezhda/rubashki-polo/rubashka-polo-s-dlinnim-rukavom-prime-lsl-seriy-melanzh-03983360/" , "03983360 Рубашка поло с длинным рукавом Prime LSL, серый меланж, размер XL")</f>
      </c>
      <c r="C20354" s="4" t="n">
        <v>1967.00</v>
      </c>
      <c r="D20354" s="4"/>
    </row>
    <row collapsed="" customFormat="false" customHeight="1" hidden="" ht="14" outlineLevel="0" r="20355">
      <c r="A20355" s="3" t="inlineStr">
        <is>
          <t>20307</t>
        </is>
      </c>
      <c r="B20355" s="4" t="s">
        <f>=HYPERLINK("http://anyluxury.ru/shop/odezhda/rubashki-polo/rubashka-polo-s-dlinnim-rukavom-prime-lsl-seriy-melanzh-03983360/" , "03983360 Рубашка поло с длинным рукавом Prime LSL, серый меланж, размер XXL")</f>
      </c>
      <c r="C20355" s="4" t="n">
        <v>1967.00</v>
      </c>
      <c r="D20355" s="4"/>
    </row>
    <row collapsed="" customFormat="false" customHeight="1" hidden="" ht="14" outlineLevel="0" r="20356">
      <c r="A20356" s="3" t="inlineStr">
        <is>
          <t>20308</t>
        </is>
      </c>
      <c r="B20356" s="4" t="s">
        <f>=HYPERLINK("http://anyluxury.ru/shop/odezhda/rubashki-polo/rubashka-polo-s-dlinnim-rukavom-prime-lsl-seriy-melanzh-03983360/" , "03983360 Рубашка поло с длинным рукавом Prime LSL, серый меланж, размер 3XL")</f>
      </c>
      <c r="C20356" s="4" t="n">
        <v>2268.00</v>
      </c>
      <c r="D20356" s="4"/>
    </row>
    <row collapsed="" customFormat="false" customHeight="1" hidden="" ht="14" outlineLevel="0" r="20357">
      <c r="A20357" s="3" t="inlineStr">
        <is>
          <t>20309</t>
        </is>
      </c>
      <c r="B20357" s="4" t="s">
        <f>=HYPERLINK("http://anyluxury.ru/shop/odezhda/rubashki-polo/rubashka-polo-s-dlinnim-rukavom-prime-lsl-seriy-melanzh-03983360/" , "03983360 Рубашка поло с длинным рукавом Prime LSL, серый меланж, размер 4XL")</f>
      </c>
      <c r="C20357" s="4" t="n">
        <v>2620.00</v>
      </c>
      <c r="D20357" s="4"/>
    </row>
    <row collapsed="" customFormat="false" customHeight="1" hidden="" ht="14" outlineLevel="0" r="20358">
      <c r="A20358" s="3" t="inlineStr">
        <is>
          <t>20310</t>
        </is>
      </c>
      <c r="B20358" s="4" t="s">
        <f>=HYPERLINK("http://anyluxury.ru/shop/odezhda/rubashki-polo/rubashka-polo-s-dlinnim-rukavom-prime-lsl-seriy-melanzh-03983360/" , "03983360 Рубашка поло с длинным рукавом Prime LSL, серый меланж, размер 5XL")</f>
      </c>
      <c r="C20358" s="4" t="n">
        <v>2620.00</v>
      </c>
      <c r="D20358" s="4"/>
    </row>
    <row collapsed="" customFormat="false" customHeight="1" hidden="" ht="14" outlineLevel="0" r="20359">
      <c r="A20359" s="3" t="inlineStr">
        <is>
          <t>20311</t>
        </is>
      </c>
      <c r="B20359" s="4" t="s">
        <f>=HYPERLINK("http://anyluxury.ru/shop/odezhda/rubashki-polo/rubashka-polo-s-dlinnim-rukavom-prime-lsl-krasnaya-03983145/" , "03983145 Рубашка поло с длинным рукавом Prime LSL, красная, размер XS")</f>
      </c>
      <c r="C20359" s="4" t="n">
        <v>1967.00</v>
      </c>
      <c r="D20359" s="4"/>
    </row>
    <row collapsed="" customFormat="false" customHeight="1" hidden="" ht="14" outlineLevel="0" r="20360">
      <c r="A20360" s="3" t="inlineStr">
        <is>
          <t>20312</t>
        </is>
      </c>
      <c r="B20360" s="4" t="s">
        <f>=HYPERLINK("http://anyluxury.ru/shop/odezhda/rubashki-polo/rubashka-polo-s-dlinnim-rukavom-prime-lsl-krasnaya-03983145/" , "03983145 Рубашка поло с длинным рукавом Prime LSL, красная, размер S")</f>
      </c>
      <c r="C20360" s="4" t="n">
        <v>1967.00</v>
      </c>
      <c r="D20360" s="4"/>
    </row>
    <row collapsed="" customFormat="false" customHeight="1" hidden="" ht="14" outlineLevel="0" r="20361">
      <c r="A20361" s="3" t="inlineStr">
        <is>
          <t>20313</t>
        </is>
      </c>
      <c r="B20361" s="4" t="s">
        <f>=HYPERLINK("http://anyluxury.ru/shop/odezhda/rubashki-polo/rubashka-polo-s-dlinnim-rukavom-prime-lsl-krasnaya-03983145/" , "03983145 Рубашка поло с длинным рукавом Prime LSL, красная, размер M")</f>
      </c>
      <c r="C20361" s="4" t="n">
        <v>1967.00</v>
      </c>
      <c r="D20361" s="4"/>
    </row>
    <row collapsed="" customFormat="false" customHeight="1" hidden="" ht="14" outlineLevel="0" r="20362">
      <c r="A20362" s="3" t="inlineStr">
        <is>
          <t>20314</t>
        </is>
      </c>
      <c r="B20362" s="4" t="s">
        <f>=HYPERLINK("http://anyluxury.ru/shop/odezhda/rubashki-polo/rubashka-polo-s-dlinnim-rukavom-prime-lsl-krasnaya-03983145/" , "03983145 Рубашка поло с длинным рукавом Prime LSL, красная, размер L")</f>
      </c>
      <c r="C20362" s="4" t="n">
        <v>1967.00</v>
      </c>
      <c r="D20362" s="4"/>
    </row>
    <row collapsed="" customFormat="false" customHeight="1" hidden="" ht="14" outlineLevel="0" r="20363">
      <c r="A20363" s="3" t="inlineStr">
        <is>
          <t>20315</t>
        </is>
      </c>
      <c r="B20363" s="4" t="s">
        <f>=HYPERLINK("http://anyluxury.ru/shop/odezhda/rubashki-polo/rubashka-polo-s-dlinnim-rukavom-prime-lsl-krasnaya-03983145/" , "03983145 Рубашка поло с длинным рукавом Prime LSL, красная, размер XL")</f>
      </c>
      <c r="C20363" s="4" t="n">
        <v>1967.00</v>
      </c>
      <c r="D20363" s="4"/>
    </row>
    <row collapsed="" customFormat="false" customHeight="1" hidden="" ht="14" outlineLevel="0" r="20364">
      <c r="A20364" s="3" t="inlineStr">
        <is>
          <t>20316</t>
        </is>
      </c>
      <c r="B20364" s="4" t="s">
        <f>=HYPERLINK("http://anyluxury.ru/shop/odezhda/rubashki-polo/rubashka-polo-s-dlinnim-rukavom-prime-lsl-krasnaya-03983145/" , "03983145 Рубашка поло с длинным рукавом Prime LSL, красная, размер XXL")</f>
      </c>
      <c r="C20364" s="4" t="n">
        <v>1967.00</v>
      </c>
      <c r="D20364" s="4"/>
    </row>
    <row collapsed="" customFormat="false" customHeight="1" hidden="" ht="14" outlineLevel="0" r="20365">
      <c r="A20365" s="3" t="inlineStr">
        <is>
          <t>20317</t>
        </is>
      </c>
      <c r="B20365" s="4" t="s">
        <f>=HYPERLINK("http://anyluxury.ru/shop/odezhda/rubashki-polo/rubashka-polo-s-dlinnim-rukavom-prime-lsl-krasnaya-03983145/" , "03983145 Рубашка поло с длинным рукавом Prime LSL, красная, размер 3XL")</f>
      </c>
      <c r="C20365" s="4" t="n">
        <v>2268.00</v>
      </c>
      <c r="D20365" s="4"/>
    </row>
    <row collapsed="" customFormat="false" customHeight="1" hidden="" ht="14" outlineLevel="0" r="20366">
      <c r="A20366" s="3" t="inlineStr">
        <is>
          <t>20318</t>
        </is>
      </c>
      <c r="B20366" s="4" t="s">
        <f>=HYPERLINK("http://anyluxury.ru/shop/odezhda/rubashki-polo/rubashka-polo-s-dlinnim-rukavom-prime-lsl-krasnaya-03983145/" , "03983145 Рубашка поло с длинным рукавом Prime LSL, красная, размер 4XL")</f>
      </c>
      <c r="C20366" s="4" t="n">
        <v>2620.00</v>
      </c>
      <c r="D20366" s="4"/>
    </row>
    <row collapsed="" customFormat="false" customHeight="1" hidden="" ht="14" outlineLevel="0" r="20367">
      <c r="A20367" s="3" t="inlineStr">
        <is>
          <t>20319</t>
        </is>
      </c>
      <c r="B20367" s="4" t="s">
        <f>=HYPERLINK("http://anyluxury.ru/shop/odezhda/rubashki-polo/rubashka-polo-s-dlinnim-rukavom-prime-lsl-krasnaya-03983145/" , "03983145 Рубашка поло с длинным рукавом Prime LSL, красная, размер 5XL")</f>
      </c>
      <c r="C20367" s="4" t="n">
        <v>2620.00</v>
      </c>
      <c r="D20367" s="4"/>
    </row>
    <row collapsed="" customFormat="false" customHeight="1" hidden="" ht="14" outlineLevel="0" r="20368">
      <c r="A20368" s="3" t="inlineStr">
        <is>
          <t>20320</t>
        </is>
      </c>
      <c r="B20368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XS")</f>
      </c>
      <c r="C20368" s="4" t="n">
        <v>3642.00</v>
      </c>
      <c r="D20368" s="4"/>
    </row>
    <row collapsed="" customFormat="false" customHeight="1" hidden="" ht="14" outlineLevel="0" r="20369">
      <c r="A20369" s="3" t="inlineStr">
        <is>
          <t>20321</t>
        </is>
      </c>
      <c r="B20369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S")</f>
      </c>
      <c r="C20369" s="4" t="n">
        <v>3642.00</v>
      </c>
      <c r="D20369" s="4"/>
    </row>
    <row collapsed="" customFormat="false" customHeight="1" hidden="" ht="14" outlineLevel="0" r="20370">
      <c r="A20370" s="3" t="inlineStr">
        <is>
          <t>20322</t>
        </is>
      </c>
      <c r="B20370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M")</f>
      </c>
      <c r="C20370" s="4" t="n">
        <v>3642.00</v>
      </c>
      <c r="D20370" s="4"/>
    </row>
    <row collapsed="" customFormat="false" customHeight="1" hidden="" ht="14" outlineLevel="0" r="20371">
      <c r="A20371" s="3" t="inlineStr">
        <is>
          <t>20323</t>
        </is>
      </c>
      <c r="B20371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L")</f>
      </c>
      <c r="C20371" s="4" t="n">
        <v>3642.00</v>
      </c>
      <c r="D20371" s="4"/>
    </row>
    <row collapsed="" customFormat="false" customHeight="1" hidden="" ht="14" outlineLevel="0" r="20372">
      <c r="A20372" s="3" t="inlineStr">
        <is>
          <t>20324</t>
        </is>
      </c>
      <c r="B20372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XL")</f>
      </c>
      <c r="C20372" s="4" t="n">
        <v>3642.00</v>
      </c>
      <c r="D20372" s="4"/>
    </row>
    <row collapsed="" customFormat="false" customHeight="1" hidden="" ht="14" outlineLevel="0" r="20373">
      <c r="A20373" s="3" t="inlineStr">
        <is>
          <t>20325</t>
        </is>
      </c>
      <c r="B20373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XXL")</f>
      </c>
      <c r="C20373" s="4" t="n">
        <v>3642.00</v>
      </c>
      <c r="D20373" s="4"/>
    </row>
    <row collapsed="" customFormat="false" customHeight="1" hidden="" ht="14" outlineLevel="0" r="20374">
      <c r="A20374" s="3" t="inlineStr">
        <is>
          <t>20326</t>
        </is>
      </c>
      <c r="B20374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3XL")</f>
      </c>
      <c r="C20374" s="4" t="n">
        <v>3910.00</v>
      </c>
      <c r="D20374" s="4"/>
    </row>
    <row collapsed="" customFormat="false" customHeight="1" hidden="" ht="14" outlineLevel="0" r="20375">
      <c r="A20375" s="3" t="inlineStr">
        <is>
          <t>20327</t>
        </is>
      </c>
      <c r="B20375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4XL")</f>
      </c>
      <c r="C20375" s="4" t="n">
        <v>5097.00</v>
      </c>
      <c r="D20375" s="4"/>
    </row>
    <row collapsed="" customFormat="false" customHeight="1" hidden="" ht="14" outlineLevel="0" r="20376">
      <c r="A20376" s="3" t="inlineStr">
        <is>
          <t>20328</t>
        </is>
      </c>
      <c r="B20376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5XL")</f>
      </c>
      <c r="C20376" s="4" t="n">
        <v>5097.00</v>
      </c>
      <c r="D20376" s="4"/>
    </row>
    <row collapsed="" customFormat="false" customHeight="1" hidden="" ht="14" outlineLevel="0" r="20377">
      <c r="A20377" s="3" t="inlineStr">
        <is>
          <t>20329</t>
        </is>
      </c>
      <c r="B20377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XS")</f>
      </c>
      <c r="C20377" s="4" t="n">
        <v>3642.00</v>
      </c>
      <c r="D20377" s="4"/>
    </row>
    <row collapsed="" customFormat="false" customHeight="1" hidden="" ht="14" outlineLevel="0" r="20378">
      <c r="A20378" s="3" t="inlineStr">
        <is>
          <t>20330</t>
        </is>
      </c>
      <c r="B20378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S")</f>
      </c>
      <c r="C20378" s="4" t="n">
        <v>3642.00</v>
      </c>
      <c r="D20378" s="4"/>
    </row>
    <row collapsed="" customFormat="false" customHeight="1" hidden="" ht="14" outlineLevel="0" r="20379">
      <c r="A20379" s="3" t="inlineStr">
        <is>
          <t>20331</t>
        </is>
      </c>
      <c r="B20379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M")</f>
      </c>
      <c r="C20379" s="4" t="n">
        <v>3642.00</v>
      </c>
      <c r="D20379" s="4"/>
    </row>
    <row collapsed="" customFormat="false" customHeight="1" hidden="" ht="14" outlineLevel="0" r="20380">
      <c r="A20380" s="3" t="inlineStr">
        <is>
          <t>20332</t>
        </is>
      </c>
      <c r="B20380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L")</f>
      </c>
      <c r="C20380" s="4" t="n">
        <v>3642.00</v>
      </c>
      <c r="D20380" s="4"/>
    </row>
    <row collapsed="" customFormat="false" customHeight="1" hidden="" ht="14" outlineLevel="0" r="20381">
      <c r="A20381" s="3" t="inlineStr">
        <is>
          <t>20333</t>
        </is>
      </c>
      <c r="B20381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XL")</f>
      </c>
      <c r="C20381" s="4" t="n">
        <v>3642.00</v>
      </c>
      <c r="D20381" s="4"/>
    </row>
    <row collapsed="" customFormat="false" customHeight="1" hidden="" ht="14" outlineLevel="0" r="20382">
      <c r="A20382" s="3" t="inlineStr">
        <is>
          <t>20334</t>
        </is>
      </c>
      <c r="B20382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XXL")</f>
      </c>
      <c r="C20382" s="4" t="n">
        <v>3642.00</v>
      </c>
      <c r="D20382" s="4"/>
    </row>
    <row collapsed="" customFormat="false" customHeight="1" hidden="" ht="14" outlineLevel="0" r="20383">
      <c r="A20383" s="3" t="inlineStr">
        <is>
          <t>20335</t>
        </is>
      </c>
      <c r="B20383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3XL")</f>
      </c>
      <c r="C20383" s="4" t="n">
        <v>3910.00</v>
      </c>
      <c r="D20383" s="4"/>
    </row>
    <row collapsed="" customFormat="false" customHeight="1" hidden="" ht="14" outlineLevel="0" r="20384">
      <c r="A20384" s="3" t="inlineStr">
        <is>
          <t>20336</t>
        </is>
      </c>
      <c r="B20384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4XL")</f>
      </c>
      <c r="C20384" s="4" t="n">
        <v>5097.00</v>
      </c>
      <c r="D20384" s="4"/>
    </row>
    <row collapsed="" customFormat="false" customHeight="1" hidden="" ht="14" outlineLevel="0" r="20385">
      <c r="A20385" s="3" t="inlineStr">
        <is>
          <t>20337</t>
        </is>
      </c>
      <c r="B20385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5XL")</f>
      </c>
      <c r="C20385" s="4" t="n">
        <v>5097.00</v>
      </c>
      <c r="D20385" s="4"/>
    </row>
    <row collapsed="" customFormat="false" customHeight="1" hidden="" ht="14" outlineLevel="0" r="20386">
      <c r="A20386" s="3" t="inlineStr">
        <is>
          <t>20338</t>
        </is>
      </c>
      <c r="B20386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XS")</f>
      </c>
      <c r="C20386" s="4" t="n">
        <v>3642.00</v>
      </c>
      <c r="D20386" s="4"/>
    </row>
    <row collapsed="" customFormat="false" customHeight="1" hidden="" ht="14" outlineLevel="0" r="20387">
      <c r="A20387" s="3" t="inlineStr">
        <is>
          <t>20339</t>
        </is>
      </c>
      <c r="B20387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S")</f>
      </c>
      <c r="C20387" s="4" t="n">
        <v>3642.00</v>
      </c>
      <c r="D20387" s="4"/>
    </row>
    <row collapsed="" customFormat="false" customHeight="1" hidden="" ht="14" outlineLevel="0" r="20388">
      <c r="A20388" s="3" t="inlineStr">
        <is>
          <t>20340</t>
        </is>
      </c>
      <c r="B20388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M")</f>
      </c>
      <c r="C20388" s="4" t="n">
        <v>3642.00</v>
      </c>
      <c r="D20388" s="4"/>
    </row>
    <row collapsed="" customFormat="false" customHeight="1" hidden="" ht="14" outlineLevel="0" r="20389">
      <c r="A20389" s="3" t="inlineStr">
        <is>
          <t>20341</t>
        </is>
      </c>
      <c r="B20389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L")</f>
      </c>
      <c r="C20389" s="4" t="n">
        <v>3642.00</v>
      </c>
      <c r="D20389" s="4"/>
    </row>
    <row collapsed="" customFormat="false" customHeight="1" hidden="" ht="14" outlineLevel="0" r="20390">
      <c r="A20390" s="3" t="inlineStr">
        <is>
          <t>20342</t>
        </is>
      </c>
      <c r="B20390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XL")</f>
      </c>
      <c r="C20390" s="4" t="n">
        <v>3642.00</v>
      </c>
      <c r="D20390" s="4"/>
    </row>
    <row collapsed="" customFormat="false" customHeight="1" hidden="" ht="14" outlineLevel="0" r="20391">
      <c r="A20391" s="3" t="inlineStr">
        <is>
          <t>20343</t>
        </is>
      </c>
      <c r="B20391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XXL")</f>
      </c>
      <c r="C20391" s="4" t="n">
        <v>3642.00</v>
      </c>
      <c r="D20391" s="4"/>
    </row>
    <row collapsed="" customFormat="false" customHeight="1" hidden="" ht="14" outlineLevel="0" r="20392">
      <c r="A20392" s="3" t="inlineStr">
        <is>
          <t>20344</t>
        </is>
      </c>
      <c r="B20392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3XL")</f>
      </c>
      <c r="C20392" s="4" t="n">
        <v>3910.00</v>
      </c>
      <c r="D20392" s="4"/>
    </row>
    <row collapsed="" customFormat="false" customHeight="1" hidden="" ht="14" outlineLevel="0" r="20393">
      <c r="A20393" s="3" t="inlineStr">
        <is>
          <t>20345</t>
        </is>
      </c>
      <c r="B20393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4XL")</f>
      </c>
      <c r="C20393" s="4" t="n">
        <v>5097.00</v>
      </c>
      <c r="D20393" s="4"/>
    </row>
    <row collapsed="" customFormat="false" customHeight="1" hidden="" ht="14" outlineLevel="0" r="20394">
      <c r="A20394" s="3" t="inlineStr">
        <is>
          <t>20346</t>
        </is>
      </c>
      <c r="B20394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5XL")</f>
      </c>
      <c r="C20394" s="4" t="n">
        <v>5097.00</v>
      </c>
      <c r="D20394" s="4"/>
    </row>
    <row collapsed="" customFormat="false" customHeight="1" hidden="" ht="14" outlineLevel="0" r="20395">
      <c r="A20395" s="3" t="inlineStr">
        <is>
          <t>20347</t>
        </is>
      </c>
      <c r="B20395" s="4" t="s">
        <f>=HYPERLINK("http://anyluxury.ru/shop/odezhda/rubashki-polo/rubashka-polo-oversayz-s-dlinnim-rukavom-heritage-chernaya-03990312/" , "03990312 Рубашка поло оверсайз с длинным рукавом Heritage, черная, размер XS")</f>
      </c>
      <c r="C20395" s="4" t="n">
        <v>3642.00</v>
      </c>
      <c r="D20395" s="4"/>
    </row>
    <row collapsed="" customFormat="false" customHeight="1" hidden="" ht="14" outlineLevel="0" r="20396">
      <c r="A20396" s="3" t="inlineStr">
        <is>
          <t>20348</t>
        </is>
      </c>
      <c r="B20396" s="4" t="s">
        <f>=HYPERLINK("http://anyluxury.ru/shop/odezhda/rubashki-polo/rubashka-polo-oversayz-s-dlinnim-rukavom-heritage-chernaya-03990312/" , "03990312 Рубашка поло оверсайз с длинным рукавом Heritage, черная, размер S")</f>
      </c>
      <c r="C20396" s="4" t="n">
        <v>3642.00</v>
      </c>
      <c r="D20396" s="4"/>
    </row>
    <row collapsed="" customFormat="false" customHeight="1" hidden="" ht="14" outlineLevel="0" r="20397">
      <c r="A20397" s="3" t="inlineStr">
        <is>
          <t>20349</t>
        </is>
      </c>
      <c r="B20397" s="4" t="s">
        <f>=HYPERLINK("http://anyluxury.ru/shop/odezhda/rubashki-polo/rubashka-polo-oversayz-s-dlinnim-rukavom-heritage-chernaya-03990312/" , "03990312 Рубашка поло оверсайз с длинным рукавом Heritage, черная, размер M")</f>
      </c>
      <c r="C20397" s="4" t="n">
        <v>3642.00</v>
      </c>
      <c r="D20397" s="4"/>
    </row>
    <row collapsed="" customFormat="false" customHeight="1" hidden="" ht="14" outlineLevel="0" r="20398">
      <c r="A20398" s="3" t="inlineStr">
        <is>
          <t>20350</t>
        </is>
      </c>
      <c r="B20398" s="4" t="s">
        <f>=HYPERLINK("http://anyluxury.ru/shop/odezhda/rubashki-polo/rubashka-polo-oversayz-s-dlinnim-rukavom-heritage-chernaya-03990312/" , "03990312 Рубашка поло оверсайз с длинным рукавом Heritage, черная, размер L")</f>
      </c>
      <c r="C20398" s="4" t="n">
        <v>3642.00</v>
      </c>
      <c r="D20398" s="4"/>
    </row>
    <row collapsed="" customFormat="false" customHeight="1" hidden="" ht="14" outlineLevel="0" r="20399">
      <c r="A20399" s="3" t="inlineStr">
        <is>
          <t>20351</t>
        </is>
      </c>
      <c r="B20399" s="4" t="s">
        <f>=HYPERLINK("http://anyluxury.ru/shop/odezhda/rubashki-polo/rubashka-polo-oversayz-s-dlinnim-rukavom-heritage-chernaya-03990312/" , "03990312 Рубашка поло оверсайз с длинным рукавом Heritage, черная, размер XL")</f>
      </c>
      <c r="C20399" s="4" t="n">
        <v>3642.00</v>
      </c>
      <c r="D20399" s="4"/>
    </row>
    <row collapsed="" customFormat="false" customHeight="1" hidden="" ht="14" outlineLevel="0" r="20400">
      <c r="A20400" s="3" t="inlineStr">
        <is>
          <t>20352</t>
        </is>
      </c>
      <c r="B20400" s="4" t="s">
        <f>=HYPERLINK("http://anyluxury.ru/shop/odezhda/rubashki-polo/rubashka-polo-oversayz-s-dlinnim-rukavom-heritage-chernaya-03990312/" , "03990312 Рубашка поло оверсайз с длинным рукавом Heritage, черная, размер XXL")</f>
      </c>
      <c r="C20400" s="4" t="n">
        <v>3642.00</v>
      </c>
      <c r="D20400" s="4"/>
    </row>
    <row collapsed="" customFormat="false" customHeight="1" hidden="" ht="14" outlineLevel="0" r="20401">
      <c r="A20401" s="3" t="inlineStr">
        <is>
          <t>20353</t>
        </is>
      </c>
      <c r="B20401" s="4" t="s">
        <f>=HYPERLINK("http://anyluxury.ru/shop/odezhda/rubashki-polo/rubashka-polo-oversayz-s-dlinnim-rukavom-heritage-chernaya-03990312/" , "03990312 Рубашка поло оверсайз с длинным рукавом Heritage, черная, размер 3XL")</f>
      </c>
      <c r="C20401" s="4" t="n">
        <v>3910.00</v>
      </c>
      <c r="D20401" s="4"/>
    </row>
    <row collapsed="" customFormat="false" customHeight="1" hidden="" ht="14" outlineLevel="0" r="20402">
      <c r="A20402" s="3" t="inlineStr">
        <is>
          <t>20354</t>
        </is>
      </c>
      <c r="B20402" s="4" t="s">
        <f>=HYPERLINK("http://anyluxury.ru/shop/odezhda/rubashki-polo/rubashka-polo-oversayz-s-dlinnim-rukavom-heritage-chernaya-03990312/" , "03990312 Рубашка поло оверсайз с длинным рукавом Heritage, черная, размер 4XL")</f>
      </c>
      <c r="C20402" s="4" t="n">
        <v>5097.00</v>
      </c>
      <c r="D20402" s="4"/>
    </row>
    <row collapsed="" customFormat="false" customHeight="1" hidden="" ht="14" outlineLevel="0" r="20403">
      <c r="A20403" s="3" t="inlineStr">
        <is>
          <t>20355</t>
        </is>
      </c>
      <c r="B20403" s="4" t="s">
        <f>=HYPERLINK("http://anyluxury.ru/shop/odezhda/rubashki-polo/rubashka-polo-oversayz-s-dlinnim-rukavom-heritage-chernaya-03990312/" , "03990312 Рубашка поло оверсайз с длинным рукавом Heritage, черная, размер 5XL")</f>
      </c>
      <c r="C20403" s="4" t="n">
        <v>5097.00</v>
      </c>
      <c r="D20403" s="4"/>
    </row>
    <row collapsed="" customFormat="false" customHeight="1" hidden="" ht="14" outlineLevel="0" r="20404">
      <c r="A20404" s="3" t="inlineStr">
        <is>
          <t>20356</t>
        </is>
      </c>
      <c r="B20404" s="4" t="s">
        <f>=HYPERLINK("http://anyluxury.ru/shop/odezhda/rubashki-polo/rubashka-polo-oversayz-s-dlinnim-rukavom-heritage-temnosinyaya-03990319/" , "03990319 Рубашка поло с длинным рукавом Heritage, темно-синяя, размер XS")</f>
      </c>
      <c r="C20404" s="4" t="n">
        <v>3642.00</v>
      </c>
      <c r="D20404" s="4"/>
    </row>
    <row collapsed="" customFormat="false" customHeight="1" hidden="" ht="14" outlineLevel="0" r="20405">
      <c r="A20405" s="3" t="inlineStr">
        <is>
          <t>20357</t>
        </is>
      </c>
      <c r="B20405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S")</f>
      </c>
      <c r="C20405" s="4" t="n">
        <v>3642.00</v>
      </c>
      <c r="D20405" s="4"/>
    </row>
    <row collapsed="" customFormat="false" customHeight="1" hidden="" ht="14" outlineLevel="0" r="20406">
      <c r="A20406" s="3" t="inlineStr">
        <is>
          <t>20358</t>
        </is>
      </c>
      <c r="B20406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M")</f>
      </c>
      <c r="C20406" s="4" t="n">
        <v>3642.00</v>
      </c>
      <c r="D20406" s="4"/>
    </row>
    <row collapsed="" customFormat="false" customHeight="1" hidden="" ht="14" outlineLevel="0" r="20407">
      <c r="A20407" s="3" t="inlineStr">
        <is>
          <t>20359</t>
        </is>
      </c>
      <c r="B20407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L")</f>
      </c>
      <c r="C20407" s="4" t="n">
        <v>3642.00</v>
      </c>
      <c r="D20407" s="4"/>
    </row>
    <row collapsed="" customFormat="false" customHeight="1" hidden="" ht="14" outlineLevel="0" r="20408">
      <c r="A20408" s="3" t="inlineStr">
        <is>
          <t>20360</t>
        </is>
      </c>
      <c r="B20408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XL")</f>
      </c>
      <c r="C20408" s="4" t="n">
        <v>3642.00</v>
      </c>
      <c r="D20408" s="4"/>
    </row>
    <row collapsed="" customFormat="false" customHeight="1" hidden="" ht="14" outlineLevel="0" r="20409">
      <c r="A20409" s="3" t="inlineStr">
        <is>
          <t>20361</t>
        </is>
      </c>
      <c r="B20409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XXL")</f>
      </c>
      <c r="C20409" s="4" t="n">
        <v>3642.00</v>
      </c>
      <c r="D20409" s="4"/>
    </row>
    <row collapsed="" customFormat="false" customHeight="1" hidden="" ht="14" outlineLevel="0" r="20410">
      <c r="A20410" s="3" t="inlineStr">
        <is>
          <t>20362</t>
        </is>
      </c>
      <c r="B20410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3XL")</f>
      </c>
      <c r="C20410" s="4" t="n">
        <v>3910.00</v>
      </c>
      <c r="D20410" s="4"/>
    </row>
    <row collapsed="" customFormat="false" customHeight="1" hidden="" ht="14" outlineLevel="0" r="20411">
      <c r="A20411" s="3" t="inlineStr">
        <is>
          <t>20363</t>
        </is>
      </c>
      <c r="B20411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4XL")</f>
      </c>
      <c r="C20411" s="4" t="n">
        <v>5097.00</v>
      </c>
      <c r="D20411" s="4"/>
    </row>
    <row collapsed="" customFormat="false" customHeight="1" hidden="" ht="14" outlineLevel="0" r="20412">
      <c r="A20412" s="3" t="inlineStr">
        <is>
          <t>20364</t>
        </is>
      </c>
      <c r="B20412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5XL")</f>
      </c>
      <c r="C20412" s="4" t="n">
        <v>5097.00</v>
      </c>
      <c r="D20412" s="4"/>
    </row>
    <row collapsed="" customFormat="false" customHeight="1" hidden="" ht="14" outlineLevel="0" r="20413">
      <c r="A20413" s="3" t="inlineStr">
        <is>
          <t>20365</t>
        </is>
      </c>
      <c r="B20413" s="4" t="s">
        <f>=HYPERLINK("http://anyluxury.ru/shop/odezhda/rubashki-polo/rubashka-polo-s-dlinnim-rukavom-prime-lsl-chernaya-03983312/" , "03983312 Рубашка поло с длинным рукавом Prime LSL, черная, размер XS")</f>
      </c>
      <c r="C20413" s="4" t="n">
        <v>1967.00</v>
      </c>
      <c r="D20413" s="4"/>
    </row>
    <row collapsed="" customFormat="false" customHeight="1" hidden="" ht="14" outlineLevel="0" r="20414">
      <c r="A20414" s="3" t="inlineStr">
        <is>
          <t>20366</t>
        </is>
      </c>
      <c r="B20414" s="4" t="s">
        <f>=HYPERLINK("http://anyluxury.ru/shop/odezhda/rubashki-polo/rubashka-polo-s-dlinnim-rukavom-prime-lsl-chernaya-03983312/" , "03983312 Рубашка поло с длинным рукавом Prime LSL, черная, размер S")</f>
      </c>
      <c r="C20414" s="4" t="n">
        <v>1967.00</v>
      </c>
      <c r="D20414" s="4"/>
    </row>
    <row collapsed="" customFormat="false" customHeight="1" hidden="" ht="14" outlineLevel="0" r="20415">
      <c r="A20415" s="3" t="inlineStr">
        <is>
          <t>20367</t>
        </is>
      </c>
      <c r="B20415" s="4" t="s">
        <f>=HYPERLINK("http://anyluxury.ru/shop/odezhda/rubashki-polo/rubashka-polo-s-dlinnim-rukavom-prime-lsl-chernaya-03983312/" , "03983312 Рубашка поло с длинным рукавом Prime LSL, черная, размер M")</f>
      </c>
      <c r="C20415" s="4" t="n">
        <v>1967.00</v>
      </c>
      <c r="D20415" s="4"/>
    </row>
    <row collapsed="" customFormat="false" customHeight="1" hidden="" ht="14" outlineLevel="0" r="20416">
      <c r="A20416" s="3" t="inlineStr">
        <is>
          <t>20368</t>
        </is>
      </c>
      <c r="B20416" s="4" t="s">
        <f>=HYPERLINK("http://anyluxury.ru/shop/odezhda/rubashki-polo/rubashka-polo-s-dlinnim-rukavom-prime-lsl-chernaya-03983312/" , "03983312 Рубашка поло с длинным рукавом Prime LSL, черная, размер L")</f>
      </c>
      <c r="C20416" s="4" t="n">
        <v>1967.00</v>
      </c>
      <c r="D20416" s="4"/>
    </row>
    <row collapsed="" customFormat="false" customHeight="1" hidden="" ht="14" outlineLevel="0" r="20417">
      <c r="A20417" s="3" t="inlineStr">
        <is>
          <t>20369</t>
        </is>
      </c>
      <c r="B20417" s="4" t="s">
        <f>=HYPERLINK("http://anyluxury.ru/shop/odezhda/rubashki-polo/rubashka-polo-s-dlinnim-rukavom-prime-lsl-chernaya-03983312/" , "03983312 Рубашка поло с длинным рукавом Prime LSL, черная, размер XL")</f>
      </c>
      <c r="C20417" s="4" t="n">
        <v>1967.00</v>
      </c>
      <c r="D20417" s="4"/>
    </row>
    <row collapsed="" customFormat="false" customHeight="1" hidden="" ht="14" outlineLevel="0" r="20418">
      <c r="A20418" s="3" t="inlineStr">
        <is>
          <t>20370</t>
        </is>
      </c>
      <c r="B20418" s="4" t="s">
        <f>=HYPERLINK("http://anyluxury.ru/shop/odezhda/rubashki-polo/rubashka-polo-s-dlinnim-rukavom-prime-lsl-chernaya-03983312/" , "03983312 Рубашка поло с длинным рукавом Prime LSL, черная, размер XXL")</f>
      </c>
      <c r="C20418" s="4" t="n">
        <v>1967.00</v>
      </c>
      <c r="D20418" s="4"/>
    </row>
    <row collapsed="" customFormat="false" customHeight="1" hidden="" ht="14" outlineLevel="0" r="20419">
      <c r="A20419" s="3" t="inlineStr">
        <is>
          <t>20371</t>
        </is>
      </c>
      <c r="B20419" s="4" t="s">
        <f>=HYPERLINK("http://anyluxury.ru/shop/odezhda/rubashki-polo/rubashka-polo-s-dlinnim-rukavom-prime-lsl-chernaya-03983312/" , "03983312 Рубашка поло с длинным рукавом Prime LSL, черная, размер 3XL")</f>
      </c>
      <c r="C20419" s="4" t="n">
        <v>2268.00</v>
      </c>
      <c r="D20419" s="4"/>
    </row>
    <row collapsed="" customFormat="false" customHeight="1" hidden="" ht="14" outlineLevel="0" r="20420">
      <c r="A20420" s="3" t="inlineStr">
        <is>
          <t>20372</t>
        </is>
      </c>
      <c r="B20420" s="4" t="s">
        <f>=HYPERLINK("http://anyluxury.ru/shop/odezhda/rubashki-polo/rubashka-polo-s-dlinnim-rukavom-prime-lsl-chernaya-03983312/" , "03983312 Рубашка поло с длинным рукавом Prime LSL, черная, размер 4XL")</f>
      </c>
      <c r="C20420" s="4" t="n">
        <v>2620.00</v>
      </c>
      <c r="D20420" s="4"/>
    </row>
    <row collapsed="" customFormat="false" customHeight="1" hidden="" ht="14" outlineLevel="0" r="20421">
      <c r="A20421" s="3" t="inlineStr">
        <is>
          <t>20373</t>
        </is>
      </c>
      <c r="B20421" s="4" t="s">
        <f>=HYPERLINK("http://anyluxury.ru/shop/odezhda/rubashki-polo/rubashka-polo-s-dlinnim-rukavom-prime-lsl-chernaya-03983312/" , "03983312 Рубашка поло с длинным рукавом Prime LSL, черная, размер 5XL")</f>
      </c>
      <c r="C20421" s="4" t="n">
        <v>2620.00</v>
      </c>
      <c r="D20421" s="4"/>
    </row>
    <row collapsed="" customFormat="false" customHeight="1" hidden="" ht="14" outlineLevel="0" r="20422">
      <c r="A20422" s="3" t="inlineStr">
        <is>
          <t>20374</t>
        </is>
      </c>
      <c r="B20422" s="4" t="s">
        <f>=HYPERLINK("http://anyluxury.ru/shop/odezhda/rubashki-polo/rubashka-polo-s-dlinnim-rukavom-prime-lsl-belaya-03983102/" , "03983102 Рубашка поло с длинным рукавом Prime LSL, белая, размер XS")</f>
      </c>
      <c r="C20422" s="4" t="n">
        <v>1776.00</v>
      </c>
      <c r="D20422" s="4"/>
    </row>
    <row collapsed="" customFormat="false" customHeight="1" hidden="" ht="14" outlineLevel="0" r="20423">
      <c r="A20423" s="3" t="inlineStr">
        <is>
          <t>20375</t>
        </is>
      </c>
      <c r="B20423" s="4" t="s">
        <f>=HYPERLINK("http://anyluxury.ru/shop/odezhda/rubashki-polo/rubashka-polo-s-dlinnim-rukavom-prime-lsl-belaya-03983102/" , "03983102 Рубашка поло с длинным рукавом Prime LSL, белая, размер S")</f>
      </c>
      <c r="C20423" s="4" t="n">
        <v>1776.00</v>
      </c>
      <c r="D20423" s="4"/>
    </row>
    <row collapsed="" customFormat="false" customHeight="1" hidden="" ht="14" outlineLevel="0" r="20424">
      <c r="A20424" s="3" t="inlineStr">
        <is>
          <t>20376</t>
        </is>
      </c>
      <c r="B20424" s="4" t="s">
        <f>=HYPERLINK("http://anyluxury.ru/shop/odezhda/rubashki-polo/rubashka-polo-s-dlinnim-rukavom-prime-lsl-belaya-03983102/" , "03983102 Рубашка поло с длинным рукавом Prime LSL, белая, размер XL")</f>
      </c>
      <c r="C20424" s="4" t="n">
        <v>1776.00</v>
      </c>
      <c r="D20424" s="4"/>
    </row>
    <row collapsed="" customFormat="false" customHeight="1" hidden="" ht="14" outlineLevel="0" r="20425">
      <c r="A20425" s="3" t="inlineStr">
        <is>
          <t>20377</t>
        </is>
      </c>
      <c r="B20425" s="4" t="s">
        <f>=HYPERLINK("http://anyluxury.ru/shop/odezhda/rubashki-polo/rubashka-polo-s-dlinnim-rukavom-prime-lsl-belaya-03983102/" , "03983102 Рубашка поло с длинным рукавом Prime LSL, белая, размер 3XL")</f>
      </c>
      <c r="C20425" s="4" t="n">
        <v>2040.00</v>
      </c>
      <c r="D20425" s="4"/>
    </row>
    <row collapsed="" customFormat="false" customHeight="1" hidden="" ht="14" outlineLevel="0" r="20426">
      <c r="A20426" s="3" t="inlineStr">
        <is>
          <t>20378</t>
        </is>
      </c>
      <c r="B20426" s="4" t="s">
        <f>=HYPERLINK("http://anyluxury.ru/shop/odezhda/rubashki-polo/rubashka-polo-s-dlinnim-rukavom-prime-lsl-belaya-03983102/" , "03983102 Рубашка поло с длинным рукавом Prime LSL, белая, размер 4XL")</f>
      </c>
      <c r="C20426" s="4" t="n">
        <v>2355.00</v>
      </c>
      <c r="D20426" s="4"/>
    </row>
    <row collapsed="" customFormat="false" customHeight="1" hidden="" ht="14" outlineLevel="0" r="20427">
      <c r="A20427" s="3" t="inlineStr">
        <is>
          <t>20379</t>
        </is>
      </c>
      <c r="B20427" s="4" t="s">
        <f>=HYPERLINK("http://anyluxury.ru/shop/odezhda/rubashki-polo/rubashka-polo-s-dlinnim-rukavom-prime-lsl-belaya-03983102/" , "03983102 Рубашка поло с длинным рукавом Prime LSL, белая, размер 5XL")</f>
      </c>
      <c r="C20427" s="4" t="n">
        <v>2355.00</v>
      </c>
      <c r="D20427" s="4"/>
    </row>
    <row collapsed="" customFormat="false" customHeight="1" hidden="" ht="14" outlineLevel="0" r="20428">
      <c r="A20428" s="3" t="inlineStr">
        <is>
          <t>20380</t>
        </is>
      </c>
      <c r="B20428" s="4" t="s">
        <f>=HYPERLINK("http://anyluxury.ru/shop/odezhda/rubashki-polo/rubashka-polo-s-dlinnim-rukavom-prime-lsl-temnozelenaya-03983264/" , "03983264 Рубашка поло с длинным рукавом Prime LSL, темно-зеленая, размер XS")</f>
      </c>
      <c r="C20428" s="4" t="n">
        <v>1967.00</v>
      </c>
      <c r="D20428" s="4"/>
    </row>
    <row collapsed="" customFormat="false" customHeight="1" hidden="" ht="14" outlineLevel="0" r="20429">
      <c r="A20429" s="3" t="inlineStr">
        <is>
          <t>20381</t>
        </is>
      </c>
      <c r="B20429" s="4" t="s">
        <f>=HYPERLINK("http://anyluxury.ru/shop/odezhda/rubashki-polo/rubashka-polo-s-dlinnim-rukavom-prime-lsl-temnozelenaya-03983264/" , "03983264 Рубашка поло с длинным рукавом Prime LSL, темно-зеленая, размер S")</f>
      </c>
      <c r="C20429" s="4" t="n">
        <v>1967.00</v>
      </c>
      <c r="D20429" s="4"/>
    </row>
    <row collapsed="" customFormat="false" customHeight="1" hidden="" ht="14" outlineLevel="0" r="20430">
      <c r="A20430" s="3" t="inlineStr">
        <is>
          <t>20382</t>
        </is>
      </c>
      <c r="B20430" s="4" t="s">
        <f>=HYPERLINK("http://anyluxury.ru/shop/odezhda/rubashki-polo/rubashka-polo-s-dlinnim-rukavom-prime-lsl-temnozelenaya-03983264/" , "03983264 Рубашка поло с длинным рукавом Prime LSL, темно-зеленая, размер M")</f>
      </c>
      <c r="C20430" s="4" t="n">
        <v>1967.00</v>
      </c>
      <c r="D20430" s="4"/>
    </row>
    <row collapsed="" customFormat="false" customHeight="1" hidden="" ht="14" outlineLevel="0" r="20431">
      <c r="A20431" s="3" t="inlineStr">
        <is>
          <t>20383</t>
        </is>
      </c>
      <c r="B20431" s="4" t="s">
        <f>=HYPERLINK("http://anyluxury.ru/shop/odezhda/rubashki-polo/rubashka-polo-s-dlinnim-rukavom-prime-lsl-temnozelenaya-03983264/" , "03983264 Рубашка поло с длинным рукавом Prime LSL, темно-зеленая, размер L")</f>
      </c>
      <c r="C20431" s="4" t="n">
        <v>1967.00</v>
      </c>
      <c r="D20431" s="4"/>
    </row>
    <row collapsed="" customFormat="false" customHeight="1" hidden="" ht="14" outlineLevel="0" r="20432">
      <c r="A20432" s="3" t="inlineStr">
        <is>
          <t>20384</t>
        </is>
      </c>
      <c r="B20432" s="4" t="s">
        <f>=HYPERLINK("http://anyluxury.ru/shop/odezhda/rubashki-polo/rubashka-polo-s-dlinnim-rukavom-prime-lsl-temnozelenaya-03983264/" , "03983264 Рубашка поло с длинным рукавом Prime LSL, темно-зеленая, размер XL")</f>
      </c>
      <c r="C20432" s="4" t="n">
        <v>1967.00</v>
      </c>
      <c r="D20432" s="4"/>
    </row>
    <row collapsed="" customFormat="false" customHeight="1" hidden="" ht="14" outlineLevel="0" r="20433">
      <c r="A20433" s="3" t="inlineStr">
        <is>
          <t>20385</t>
        </is>
      </c>
      <c r="B20433" s="4" t="s">
        <f>=HYPERLINK("http://anyluxury.ru/shop/odezhda/rubashki-polo/rubashka-polo-s-dlinnim-rukavom-prime-lsl-temnozelenaya-03983264/" , "03983264 Рубашка поло с длинным рукавом Prime LSL, темно-зеленая, размер XXL")</f>
      </c>
      <c r="C20433" s="4" t="n">
        <v>1967.00</v>
      </c>
      <c r="D20433" s="4"/>
    </row>
    <row collapsed="" customFormat="false" customHeight="1" hidden="" ht="14" outlineLevel="0" r="20434">
      <c r="A20434" s="3" t="inlineStr">
        <is>
          <t>20386</t>
        </is>
      </c>
      <c r="B20434" s="4" t="s">
        <f>=HYPERLINK("http://anyluxury.ru/shop/odezhda/rubashki-polo/rubashka-polo-s-dlinnim-rukavom-prime-lsl-temnozelenaya-03983264/" , "03983264 Рубашка поло с длинным рукавом Prime LSL, темно-зеленая, размер 3XL")</f>
      </c>
      <c r="C20434" s="4" t="n">
        <v>2268.00</v>
      </c>
      <c r="D20434" s="4"/>
    </row>
    <row collapsed="" customFormat="false" customHeight="1" hidden="" ht="14" outlineLevel="0" r="20435">
      <c r="A20435" s="3" t="inlineStr">
        <is>
          <t>20387</t>
        </is>
      </c>
      <c r="B20435" s="4" t="s">
        <f>=HYPERLINK("http://anyluxury.ru/shop/odezhda/rubashki-polo/rubashka-polo-s-dlinnim-rukavom-prime-lsl-temnozelenaya-03983264/" , "03983264 Рубашка поло с длинным рукавом Prime LSL, темно-зеленая, размер 4XL")</f>
      </c>
      <c r="C20435" s="4" t="n">
        <v>2620.00</v>
      </c>
      <c r="D20435" s="4"/>
    </row>
    <row collapsed="" customFormat="false" customHeight="1" hidden="" ht="14" outlineLevel="0" r="20436">
      <c r="A20436" s="3" t="inlineStr">
        <is>
          <t>20388</t>
        </is>
      </c>
      <c r="B20436" s="4" t="s">
        <f>=HYPERLINK("http://anyluxury.ru/shop/odezhda/rubashki-polo/rubashka-polo-s-dlinnim-rukavom-prime-lsl-temnozelenaya-03983264/" , "03983264 Рубашка поло с длинным рукавом Prime LSL, темно-зеленая, размер 5XL")</f>
      </c>
      <c r="C20436" s="4" t="n">
        <v>2620.00</v>
      </c>
      <c r="D20436" s="4"/>
    </row>
    <row collapsed="" customFormat="false" customHeight="1" hidden="" ht="14" outlineLevel="0" r="20437">
      <c r="A20437" s="3" t="inlineStr">
        <is>
          <t>20389</t>
        </is>
      </c>
      <c r="B20437" s="4" t="s">
        <f>=HYPERLINK("http://anyluxury.ru/shop/odezhda/rubashki-polo/rubashka-polo-s-dlinnim-rukavom-prime-lsl-temnoseraya-03983384/" , "03983384 Рубашка поло с длинным рукавом Prime LSL, темно-серая, размер XS")</f>
      </c>
      <c r="C20437" s="4" t="n">
        <v>1967.00</v>
      </c>
      <c r="D20437" s="4"/>
    </row>
    <row collapsed="" customFormat="false" customHeight="1" hidden="" ht="14" outlineLevel="0" r="20438">
      <c r="A20438" s="3" t="inlineStr">
        <is>
          <t>20390</t>
        </is>
      </c>
      <c r="B20438" s="4" t="s">
        <f>=HYPERLINK("http://anyluxury.ru/shop/odezhda/rubashki-polo/rubashka-polo-s-dlinnim-rukavom-prime-lsl-temnoseraya-03983384/" , "03983384 Рубашка поло с длинным рукавом Prime LSL, темно-серая, размер S")</f>
      </c>
      <c r="C20438" s="4" t="n">
        <v>1967.00</v>
      </c>
      <c r="D20438" s="4"/>
    </row>
    <row collapsed="" customFormat="false" customHeight="1" hidden="" ht="14" outlineLevel="0" r="20439">
      <c r="A20439" s="3" t="inlineStr">
        <is>
          <t>20391</t>
        </is>
      </c>
      <c r="B20439" s="4" t="s">
        <f>=HYPERLINK("http://anyluxury.ru/shop/odezhda/rubashki-polo/rubashka-polo-s-dlinnim-rukavom-prime-lsl-temnoseraya-03983384/" , "03983384 Рубашка поло с длинным рукавом Prime LSL, темно-серая, размер M")</f>
      </c>
      <c r="C20439" s="4" t="n">
        <v>1967.00</v>
      </c>
      <c r="D20439" s="4"/>
    </row>
    <row collapsed="" customFormat="false" customHeight="1" hidden="" ht="14" outlineLevel="0" r="20440">
      <c r="A20440" s="3" t="inlineStr">
        <is>
          <t>20392</t>
        </is>
      </c>
      <c r="B20440" s="4" t="s">
        <f>=HYPERLINK("http://anyluxury.ru/shop/odezhda/rubashki-polo/rubashka-polo-s-dlinnim-rukavom-prime-lsl-temnoseraya-03983384/" , "03983384 Рубашка поло с длинным рукавом Prime LSL, темно-серая, размер L")</f>
      </c>
      <c r="C20440" s="4" t="n">
        <v>1967.00</v>
      </c>
      <c r="D20440" s="4"/>
    </row>
    <row collapsed="" customFormat="false" customHeight="1" hidden="" ht="14" outlineLevel="0" r="20441">
      <c r="A20441" s="3" t="inlineStr">
        <is>
          <t>20393</t>
        </is>
      </c>
      <c r="B20441" s="4" t="s">
        <f>=HYPERLINK("http://anyluxury.ru/shop/odezhda/rubashki-polo/rubashka-polo-s-dlinnim-rukavom-prime-lsl-temnoseraya-03983384/" , "03983384 Рубашка поло с длинным рукавом Prime LSL, темно-серая, размер XL")</f>
      </c>
      <c r="C20441" s="4" t="n">
        <v>1967.00</v>
      </c>
      <c r="D20441" s="4"/>
    </row>
    <row collapsed="" customFormat="false" customHeight="1" hidden="" ht="14" outlineLevel="0" r="20442">
      <c r="A20442" s="3" t="inlineStr">
        <is>
          <t>20394</t>
        </is>
      </c>
      <c r="B20442" s="4" t="s">
        <f>=HYPERLINK("http://anyluxury.ru/shop/odezhda/rubashki-polo/rubashka-polo-s-dlinnim-rukavom-prime-lsl-temnoseraya-03983384/" , "03983384 Рубашка поло с длинным рукавом Prime LSL, темно-серая, размер XXL")</f>
      </c>
      <c r="C20442" s="4" t="n">
        <v>1967.00</v>
      </c>
      <c r="D20442" s="4"/>
    </row>
    <row collapsed="" customFormat="false" customHeight="1" hidden="" ht="14" outlineLevel="0" r="20443">
      <c r="A20443" s="3" t="inlineStr">
        <is>
          <t>20395</t>
        </is>
      </c>
      <c r="B20443" s="4" t="s">
        <f>=HYPERLINK("http://anyluxury.ru/shop/odezhda/rubashki-polo/rubashka-polo-s-dlinnim-rukavom-prime-lsl-temnoseraya-03983384/" , "03983384 Рубашка поло с длинным рукавом Prime LSL, темно-серая, размер 3XL")</f>
      </c>
      <c r="C20443" s="4" t="n">
        <v>2268.00</v>
      </c>
      <c r="D20443" s="4"/>
    </row>
    <row collapsed="" customFormat="false" customHeight="1" hidden="" ht="14" outlineLevel="0" r="20444">
      <c r="A20444" s="3" t="inlineStr">
        <is>
          <t>20396</t>
        </is>
      </c>
      <c r="B20444" s="4" t="s">
        <f>=HYPERLINK("http://anyluxury.ru/shop/odezhda/rubashki-polo/rubashka-polo-s-dlinnim-rukavom-prime-lsl-temnoseraya-03983384/" , "03983384 Рубашка поло с длинным рукавом Prime LSL, темно-серая, размер 4XL")</f>
      </c>
      <c r="C20444" s="4" t="n">
        <v>2620.00</v>
      </c>
      <c r="D20444" s="4"/>
    </row>
    <row collapsed="" customFormat="false" customHeight="1" hidden="" ht="14" outlineLevel="0" r="20445">
      <c r="A20445" s="3" t="inlineStr">
        <is>
          <t>20397</t>
        </is>
      </c>
      <c r="B20445" s="4" t="s">
        <f>=HYPERLINK("http://anyluxury.ru/shop/odezhda/rubashki-polo/rubashka-polo-s-dlinnim-rukavom-prime-lsl-temnoseraya-03983384/" , "03983384 Рубашка поло с длинным рукавом Prime LSL, темно-серая, размер 5XL")</f>
      </c>
      <c r="C20445" s="4" t="n">
        <v>2620.00</v>
      </c>
      <c r="D20445" s="4"/>
    </row>
    <row collapsed="" customFormat="false" customHeight="1" hidden="" ht="14" outlineLevel="0" r="20446">
      <c r="A20446" s="3" t="inlineStr">
        <is>
          <t>20398</t>
        </is>
      </c>
      <c r="B20446" s="4" t="s">
        <f>=HYPERLINK("http://anyluxury.ru/shop/odezhda/rubashki-polo/rubashka-polo-s-dlinnim-rukavom-prime-lsl-temnosinyaya-03983319/" , "03983319 Рубашка поло с длинным рукавом Prime LSL, темно-синяя, размер XS")</f>
      </c>
      <c r="C20446" s="4" t="n">
        <v>1967.00</v>
      </c>
      <c r="D20446" s="4"/>
    </row>
    <row collapsed="" customFormat="false" customHeight="1" hidden="" ht="14" outlineLevel="0" r="20447">
      <c r="A20447" s="3" t="inlineStr">
        <is>
          <t>20399</t>
        </is>
      </c>
      <c r="B20447" s="4" t="s">
        <f>=HYPERLINK("http://anyluxury.ru/shop/odezhda/rubashki-polo/rubashka-polo-s-dlinnim-rukavom-prime-lsl-temnosinyaya-03983319/" , "03983319 Рубашка поло с длинным рукавом Prime LSL, темно-синяя, размер S")</f>
      </c>
      <c r="C20447" s="4" t="n">
        <v>1967.00</v>
      </c>
      <c r="D20447" s="4"/>
    </row>
    <row collapsed="" customFormat="false" customHeight="1" hidden="" ht="14" outlineLevel="0" r="20448">
      <c r="A20448" s="3" t="inlineStr">
        <is>
          <t>20400</t>
        </is>
      </c>
      <c r="B20448" s="4" t="s">
        <f>=HYPERLINK("http://anyluxury.ru/shop/odezhda/rubashki-polo/rubashka-polo-s-dlinnim-rukavom-prime-lsl-temnosinyaya-03983319/" , "03983319 Рубашка поло с длинным рукавом Prime LSL, темно-синяя, размер M")</f>
      </c>
      <c r="C20448" s="4" t="n">
        <v>1967.00</v>
      </c>
      <c r="D20448" s="4"/>
    </row>
    <row collapsed="" customFormat="false" customHeight="1" hidden="" ht="14" outlineLevel="0" r="20449">
      <c r="A20449" s="3" t="inlineStr">
        <is>
          <t>20401</t>
        </is>
      </c>
      <c r="B20449" s="4" t="s">
        <f>=HYPERLINK("http://anyluxury.ru/shop/odezhda/rubashki-polo/rubashka-polo-s-dlinnim-rukavom-prime-lsl-temnosinyaya-03983319/" , "03983319 Рубашка поло с длинным рукавом Prime LSL, темно-синяя, размер L")</f>
      </c>
      <c r="C20449" s="4" t="n">
        <v>1967.00</v>
      </c>
      <c r="D20449" s="4"/>
    </row>
    <row collapsed="" customFormat="false" customHeight="1" hidden="" ht="14" outlineLevel="0" r="20450">
      <c r="A20450" s="3" t="inlineStr">
        <is>
          <t>20402</t>
        </is>
      </c>
      <c r="B20450" s="4" t="s">
        <f>=HYPERLINK("http://anyluxury.ru/shop/odezhda/rubashki-polo/rubashka-polo-s-dlinnim-rukavom-prime-lsl-temnosinyaya-03983319/" , "03983319 Рубашка поло с длинным рукавом Prime LSL, темно-синяя, размер XL")</f>
      </c>
      <c r="C20450" s="4" t="n">
        <v>1967.00</v>
      </c>
      <c r="D20450" s="4"/>
    </row>
    <row collapsed="" customFormat="false" customHeight="1" hidden="" ht="14" outlineLevel="0" r="20451">
      <c r="A20451" s="3" t="inlineStr">
        <is>
          <t>20403</t>
        </is>
      </c>
      <c r="B20451" s="4" t="s">
        <f>=HYPERLINK("http://anyluxury.ru/shop/odezhda/rubashki-polo/rubashka-polo-s-dlinnim-rukavom-prime-lsl-temnosinyaya-03983319/" , "03983319 Рубашка поло с длинным рукавом Prime LSL, темно-синяя, размер XXL")</f>
      </c>
      <c r="C20451" s="4" t="n">
        <v>1967.00</v>
      </c>
      <c r="D20451" s="4"/>
    </row>
    <row collapsed="" customFormat="false" customHeight="1" hidden="" ht="14" outlineLevel="0" r="20452">
      <c r="A20452" s="3" t="inlineStr">
        <is>
          <t>20404</t>
        </is>
      </c>
      <c r="B20452" s="4" t="s">
        <f>=HYPERLINK("http://anyluxury.ru/shop/odezhda/rubashki-polo/rubashka-polo-s-dlinnim-rukavom-prime-lsl-temnosinyaya-03983319/" , "03983319 Рубашка поло с длинным рукавом Prime LSL, темно-синяя, размер 3XL")</f>
      </c>
      <c r="C20452" s="4" t="n">
        <v>2268.00</v>
      </c>
      <c r="D20452" s="4"/>
    </row>
    <row collapsed="" customFormat="false" customHeight="1" hidden="" ht="14" outlineLevel="0" r="20453">
      <c r="A20453" s="3" t="inlineStr">
        <is>
          <t>20405</t>
        </is>
      </c>
      <c r="B20453" s="4" t="s">
        <f>=HYPERLINK("http://anyluxury.ru/shop/odezhda/rubashki-polo/rubashka-polo-s-dlinnim-rukavom-prime-lsl-temnosinyaya-03983319/" , "03983319 Рубашка поло с длинным рукавом Prime LSL, темно-синяя, размер 4XL")</f>
      </c>
      <c r="C20453" s="4" t="n">
        <v>2620.00</v>
      </c>
      <c r="D20453" s="4"/>
    </row>
    <row collapsed="" customFormat="false" customHeight="1" hidden="" ht="14" outlineLevel="0" r="20454">
      <c r="A20454" s="3" t="inlineStr">
        <is>
          <t>20406</t>
        </is>
      </c>
      <c r="B20454" s="4" t="s">
        <f>=HYPERLINK("http://anyluxury.ru/shop/odezhda/rubashki-polo/rubashka-polo-s-dlinnim-rukavom-prime-lsl-temnosinyaya-03983319/" , "03983319 Рубашка поло с длинным рукавом Prime LSL, темно-синяя, размер 5XL")</f>
      </c>
      <c r="C20454" s="4" t="n">
        <v>2620.00</v>
      </c>
      <c r="D20454" s="4"/>
    </row>
    <row collapsed="" customFormat="false" customHeight="1" hidden="" ht="14" outlineLevel="0" r="20455">
      <c r="A20455" s="3" t="inlineStr">
        <is>
          <t>20407</t>
        </is>
      </c>
      <c r="B20455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XS")</f>
      </c>
      <c r="C20455" s="4" t="n">
        <v>1967.00</v>
      </c>
      <c r="D20455" s="4"/>
    </row>
    <row collapsed="" customFormat="false" customHeight="1" hidden="" ht="14" outlineLevel="0" r="20456">
      <c r="A20456" s="3" t="inlineStr">
        <is>
          <t>20408</t>
        </is>
      </c>
      <c r="B20456" s="4" t="s">
        <f>=HYPERLINK("http://anyluxury.ru/shop/odezhda/rubashki-polo/rubashka-polo-s-dlinnim-rukavom-prime-lsl-yarkosinyaya-royal-03983241/" , "03983241 Рубашка поло с длинным рукавом Prime LSL, ярко-синяя (royal), размер S")</f>
      </c>
      <c r="C20456" s="4" t="n">
        <v>1967.00</v>
      </c>
      <c r="D20456" s="4"/>
    </row>
    <row collapsed="" customFormat="false" customHeight="1" hidden="" ht="14" outlineLevel="0" r="20457">
      <c r="A20457" s="3" t="inlineStr">
        <is>
          <t>20409</t>
        </is>
      </c>
      <c r="B20457" s="4" t="s">
        <f>=HYPERLINK("http://anyluxury.ru/shop/odezhda/rubashki-polo/rubashka-polo-s-dlinnim-rukavom-prime-lsl-yarkosinyaya-royal-03983241/" , "03983241 Рубашка поло с длинным рукавом Prime LSL, ярко-синяя (royal), размер M")</f>
      </c>
      <c r="C20457" s="4" t="n">
        <v>1967.00</v>
      </c>
      <c r="D20457" s="4"/>
    </row>
    <row collapsed="" customFormat="false" customHeight="1" hidden="" ht="14" outlineLevel="0" r="20458">
      <c r="A20458" s="3" t="inlineStr">
        <is>
          <t>20410</t>
        </is>
      </c>
      <c r="B20458" s="4" t="s">
        <f>=HYPERLINK("http://anyluxury.ru/shop/odezhda/rubashki-polo/rubashka-polo-s-dlinnim-rukavom-prime-lsl-yarkosinyaya-royal-03983241/" , "03983241 Рубашка поло с длинным рукавом Prime LSL, ярко-синяя (royal), размер L")</f>
      </c>
      <c r="C20458" s="4" t="n">
        <v>1967.00</v>
      </c>
      <c r="D20458" s="4"/>
    </row>
    <row collapsed="" customFormat="false" customHeight="1" hidden="" ht="14" outlineLevel="0" r="20459">
      <c r="A20459" s="3" t="inlineStr">
        <is>
          <t>20411</t>
        </is>
      </c>
      <c r="B20459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XL")</f>
      </c>
      <c r="C20459" s="4" t="n">
        <v>1967.00</v>
      </c>
      <c r="D20459" s="4"/>
    </row>
    <row collapsed="" customFormat="false" customHeight="1" hidden="" ht="14" outlineLevel="0" r="20460">
      <c r="A20460" s="3" t="inlineStr">
        <is>
          <t>20412</t>
        </is>
      </c>
      <c r="B20460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XXL")</f>
      </c>
      <c r="C20460" s="4" t="n">
        <v>1967.00</v>
      </c>
      <c r="D20460" s="4"/>
    </row>
    <row collapsed="" customFormat="false" customHeight="1" hidden="" ht="14" outlineLevel="0" r="20461">
      <c r="A20461" s="3" t="inlineStr">
        <is>
          <t>20413</t>
        </is>
      </c>
      <c r="B20461" s="4" t="s">
        <f>=HYPERLINK("http://anyluxury.ru/shop/odezhda/rubashki-polo/rubashka-polo-s-dlinnim-rukavom-prime-lsl-yarkosinyaya-royal-03983241/" , "03983241 Рубашка поло с длинным рукавом Prime LSL, ярко-синяя (royal), размер 3XL")</f>
      </c>
      <c r="C20461" s="4" t="n">
        <v>2268.00</v>
      </c>
      <c r="D20461" s="4"/>
    </row>
    <row collapsed="" customFormat="false" customHeight="1" hidden="" ht="14" outlineLevel="0" r="20462">
      <c r="A20462" s="3" t="inlineStr">
        <is>
          <t>20414</t>
        </is>
      </c>
      <c r="B20462" s="4" t="s">
        <f>=HYPERLINK("http://anyluxury.ru/shop/odezhda/rubashki-polo/rubashka-polo-s-dlinnim-rukavom-prime-lsl-yarkosinyaya-royal-03983241/" , "03983241 Рубашка поло с длинным рукавом Prime LSL, ярко-синяя (royal), размер 4XL")</f>
      </c>
      <c r="C20462" s="4" t="n">
        <v>2620.00</v>
      </c>
      <c r="D20462" s="4"/>
    </row>
    <row collapsed="" customFormat="false" customHeight="1" hidden="" ht="14" outlineLevel="0" r="20463">
      <c r="A20463" s="3" t="inlineStr">
        <is>
          <t>20415</t>
        </is>
      </c>
      <c r="B20463" s="4" t="s">
        <f>=HYPERLINK("http://anyluxury.ru/shop/odezhda/rubashki-polo/rubashka-polo-s-dlinnim-rukavom-prime-lsl-yarkosinyaya-royal-03983241/" , "03983241 Рубашка поло с длинным рукавом Prime LSL, ярко-синяя (royal), размер 5XL")</f>
      </c>
      <c r="C20463" s="4" t="n">
        <v>2620.00</v>
      </c>
      <c r="D20463" s="4"/>
    </row>
    <row collapsed="" customFormat="false" customHeight="1" hidden="" ht="14" outlineLevel="0" r="20464">
      <c r="A20464" s="3" t="inlineStr">
        <is>
          <t>20416</t>
        </is>
      </c>
      <c r="B20464" s="4" t="s">
        <f>=HYPERLINK("http://anyluxury.ru/shop/odezhda/rubashki-polo/rubashka-polo-muzhskaya-adam-belaya-1627460/" , "16274.60 Рубашка поло мужская Adam, белая, размер S")</f>
      </c>
      <c r="C20464" s="4" t="n">
        <v>1676.00</v>
      </c>
      <c r="D20464" s="4"/>
    </row>
    <row collapsed="" customFormat="false" customHeight="1" hidden="" ht="14" outlineLevel="0" r="20465">
      <c r="A20465" s="3" t="inlineStr">
        <is>
          <t>20417</t>
        </is>
      </c>
      <c r="B20465" s="4" t="s">
        <f>=HYPERLINK("http://anyluxury.ru/shop/odezhda/rubashki-polo/rubashka-polo-muzhskaya-adam-belaya-1627460/" , "16274.60 Рубашка поло мужская Adam, белая, размер M")</f>
      </c>
      <c r="C20465" s="4" t="n">
        <v>1676.00</v>
      </c>
      <c r="D20465" s="4"/>
    </row>
    <row collapsed="" customFormat="false" customHeight="1" hidden="" ht="14" outlineLevel="0" r="20466">
      <c r="A20466" s="3" t="inlineStr">
        <is>
          <t>20418</t>
        </is>
      </c>
      <c r="B20466" s="4" t="s">
        <f>=HYPERLINK("http://anyluxury.ru/shop/odezhda/rubashki-polo/rubashka-polo-muzhskaya-adam-belaya-1627460/" , "16274.60 Рубашка поло мужская Adam, белая, размер L")</f>
      </c>
      <c r="C20466" s="4" t="n">
        <v>1676.00</v>
      </c>
      <c r="D20466" s="4"/>
    </row>
    <row collapsed="" customFormat="false" customHeight="1" hidden="" ht="14" outlineLevel="0" r="20467">
      <c r="A20467" s="3" t="inlineStr">
        <is>
          <t>20419</t>
        </is>
      </c>
      <c r="B20467" s="4" t="s">
        <f>=HYPERLINK("http://anyluxury.ru/shop/odezhda/rubashki-polo/rubashka-polo-muzhskaya-adam-belaya-1627460/" , "16274.60 Рубашка поло мужская Adam, белая, размер XL")</f>
      </c>
      <c r="C20467" s="4" t="n">
        <v>1676.00</v>
      </c>
      <c r="D20467" s="4"/>
    </row>
    <row collapsed="" customFormat="false" customHeight="1" hidden="" ht="14" outlineLevel="0" r="20468">
      <c r="A20468" s="3" t="inlineStr">
        <is>
          <t>20420</t>
        </is>
      </c>
      <c r="B20468" s="4" t="s">
        <f>=HYPERLINK("http://anyluxury.ru/shop/odezhda/rubashki-polo/rubashka-polo-muzhskaya-adam-belaya-1627460/" , "16274.60 Рубашка поло мужская Adam, белая, размер XXL")</f>
      </c>
      <c r="C20468" s="4" t="n">
        <v>1676.00</v>
      </c>
      <c r="D20468" s="4"/>
    </row>
    <row collapsed="" customFormat="false" customHeight="1" hidden="" ht="14" outlineLevel="0" r="20469">
      <c r="A20469" s="3" t="inlineStr">
        <is>
          <t>20421</t>
        </is>
      </c>
      <c r="B20469" s="4" t="s">
        <f>=HYPERLINK("http://anyluxury.ru/shop/odezhda/rubashki-polo/rubashka-polo-muzhskaya-adam-belaya-1627460/" , "16274.60 Рубашка поло мужская Adam, белая, размер 3XL")</f>
      </c>
      <c r="C20469" s="4" t="n">
        <v>1789.00</v>
      </c>
      <c r="D20469" s="4"/>
    </row>
    <row collapsed="" customFormat="false" customHeight="1" hidden="" ht="14" outlineLevel="0" r="20470">
      <c r="A20470" s="3" t="inlineStr">
        <is>
          <t>20422</t>
        </is>
      </c>
      <c r="B20470" s="4" t="s">
        <f>=HYPERLINK("http://anyluxury.ru/shop/odezhda/rubashki-polo/rubashka-polo-muzhskaya-adam-krasnaya-1627450/" , "16274.50 Рубашка поло мужская Adam, красная, размер S")</f>
      </c>
      <c r="C20470" s="4" t="n">
        <v>1814.00</v>
      </c>
      <c r="D20470" s="4"/>
    </row>
    <row collapsed="" customFormat="false" customHeight="1" hidden="" ht="14" outlineLevel="0" r="20471">
      <c r="A20471" s="3" t="inlineStr">
        <is>
          <t>20423</t>
        </is>
      </c>
      <c r="B20471" s="4" t="s">
        <f>=HYPERLINK("http://anyluxury.ru/shop/odezhda/rubashki-polo/rubashka-polo-muzhskaya-adam-krasnaya-1627450/" , "16274.50 Рубашка поло мужская Adam, красная, размер M")</f>
      </c>
      <c r="C20471" s="4" t="n">
        <v>1814.00</v>
      </c>
      <c r="D20471" s="4"/>
    </row>
    <row collapsed="" customFormat="false" customHeight="1" hidden="" ht="14" outlineLevel="0" r="20472">
      <c r="A20472" s="3" t="inlineStr">
        <is>
          <t>20424</t>
        </is>
      </c>
      <c r="B20472" s="4" t="s">
        <f>=HYPERLINK("http://anyluxury.ru/shop/odezhda/rubashki-polo/rubashka-polo-muzhskaya-adam-krasnaya-1627450/" , "16274.50 Рубашка поло мужская Adam, красная, размер L")</f>
      </c>
      <c r="C20472" s="4" t="n">
        <v>1814.00</v>
      </c>
      <c r="D20472" s="4"/>
    </row>
    <row collapsed="" customFormat="false" customHeight="1" hidden="" ht="14" outlineLevel="0" r="20473">
      <c r="A20473" s="3" t="inlineStr">
        <is>
          <t>20425</t>
        </is>
      </c>
      <c r="B20473" s="4" t="s">
        <f>=HYPERLINK("http://anyluxury.ru/shop/odezhda/rubashki-polo/rubashka-polo-muzhskaya-adam-krasnaya-1627450/" , "16274.50 Рубашка поло мужская Adam, красная, размер XL")</f>
      </c>
      <c r="C20473" s="4" t="n">
        <v>1814.00</v>
      </c>
      <c r="D20473" s="4"/>
    </row>
    <row collapsed="" customFormat="false" customHeight="1" hidden="" ht="14" outlineLevel="0" r="20474">
      <c r="A20474" s="3" t="inlineStr">
        <is>
          <t>20426</t>
        </is>
      </c>
      <c r="B20474" s="4" t="s">
        <f>=HYPERLINK("http://anyluxury.ru/shop/odezhda/rubashki-polo/rubashka-polo-muzhskaya-adam-krasnaya-1627450/" , "16274.50 Рубашка поло мужская Adam, красная, размер XXL")</f>
      </c>
      <c r="C20474" s="4" t="n">
        <v>1814.00</v>
      </c>
      <c r="D20474" s="4"/>
    </row>
    <row collapsed="" customFormat="false" customHeight="1" hidden="" ht="14" outlineLevel="0" r="20475">
      <c r="A20475" s="3" t="inlineStr">
        <is>
          <t>20427</t>
        </is>
      </c>
      <c r="B20475" s="4" t="s">
        <f>=HYPERLINK("http://anyluxury.ru/shop/odezhda/rubashki-polo/rubashka-polo-muzhskaya-adam-seriy-melanzh-1627411/" , "16274.11 Рубашка поло мужская Adam, серый меланж, размер S")</f>
      </c>
      <c r="C20475" s="4" t="n">
        <v>1814.00</v>
      </c>
      <c r="D20475" s="4"/>
    </row>
    <row collapsed="" customFormat="false" customHeight="1" hidden="" ht="14" outlineLevel="0" r="20476">
      <c r="A20476" s="3" t="inlineStr">
        <is>
          <t>20428</t>
        </is>
      </c>
      <c r="B20476" s="4" t="s">
        <f>=HYPERLINK("http://anyluxury.ru/shop/odezhda/rubashki-polo/rubashka-polo-muzhskaya-adam-seriy-melanzh-1627411/" , "16274.11 Рубашка поло мужская Adam, серый меланж, размер M")</f>
      </c>
      <c r="C20476" s="4" t="n">
        <v>1814.00</v>
      </c>
      <c r="D20476" s="4"/>
    </row>
    <row collapsed="" customFormat="false" customHeight="1" hidden="" ht="14" outlineLevel="0" r="20477">
      <c r="A20477" s="3" t="inlineStr">
        <is>
          <t>20429</t>
        </is>
      </c>
      <c r="B20477" s="4" t="s">
        <f>=HYPERLINK("http://anyluxury.ru/shop/odezhda/rubashki-polo/rubashka-polo-muzhskaya-adam-seriy-melanzh-1627411/" , "16274.11 Рубашка поло мужская Adam, серый меланж, размер L")</f>
      </c>
      <c r="C20477" s="4" t="n">
        <v>1814.00</v>
      </c>
      <c r="D20477" s="4"/>
    </row>
    <row collapsed="" customFormat="false" customHeight="1" hidden="" ht="14" outlineLevel="0" r="20478">
      <c r="A20478" s="3" t="inlineStr">
        <is>
          <t>20430</t>
        </is>
      </c>
      <c r="B20478" s="4" t="s">
        <f>=HYPERLINK("http://anyluxury.ru/shop/odezhda/rubashki-polo/rubashka-polo-muzhskaya-adam-seriy-melanzh-1627411/" , "16274.11 Рубашка поло мужская Adam, серый меланж, размер XL")</f>
      </c>
      <c r="C20478" s="4" t="n">
        <v>1814.00</v>
      </c>
      <c r="D20478" s="4"/>
    </row>
    <row collapsed="" customFormat="false" customHeight="1" hidden="" ht="14" outlineLevel="0" r="20479">
      <c r="A20479" s="3" t="inlineStr">
        <is>
          <t>20431</t>
        </is>
      </c>
      <c r="B20479" s="4" t="s">
        <f>=HYPERLINK("http://anyluxury.ru/shop/odezhda/rubashki-polo/rubashka-polo-muzhskaya-adam-seriy-melanzh-1627411/" , "16274.11 Рубашка поло мужская Adam, серый меланж, размер XXL")</f>
      </c>
      <c r="C20479" s="4" t="n">
        <v>1814.00</v>
      </c>
      <c r="D20479" s="4"/>
    </row>
    <row collapsed="" customFormat="false" customHeight="1" hidden="" ht="14" outlineLevel="0" r="20480">
      <c r="A20480" s="3" t="inlineStr">
        <is>
          <t>20432</t>
        </is>
      </c>
      <c r="B20480" s="4" t="s">
        <f>=HYPERLINK("http://anyluxury.ru/shop/odezhda/rubashki-polo/rubashka-polo-muzhskaya-adam-temnosinyaya-1627440/" , "16274.40 Рубашка поло мужская Adam, темно-синяя, размер S")</f>
      </c>
      <c r="C20480" s="4" t="n">
        <v>1814.00</v>
      </c>
      <c r="D20480" s="4"/>
    </row>
    <row collapsed="" customFormat="false" customHeight="1" hidden="" ht="14" outlineLevel="0" r="20481">
      <c r="A20481" s="3" t="inlineStr">
        <is>
          <t>20433</t>
        </is>
      </c>
      <c r="B20481" s="4" t="s">
        <f>=HYPERLINK("http://anyluxury.ru/shop/odezhda/rubashki-polo/rubashka-polo-muzhskaya-adam-temnosinyaya-1627440/" , "16274.40 Рубашка поло мужская Adam, темно-синяя, размер M")</f>
      </c>
      <c r="C20481" s="4" t="n">
        <v>1814.00</v>
      </c>
      <c r="D20481" s="4"/>
    </row>
    <row collapsed="" customFormat="false" customHeight="1" hidden="" ht="14" outlineLevel="0" r="20482">
      <c r="A20482" s="3" t="inlineStr">
        <is>
          <t>20434</t>
        </is>
      </c>
      <c r="B20482" s="4" t="s">
        <f>=HYPERLINK("http://anyluxury.ru/shop/odezhda/rubashki-polo/rubashka-polo-muzhskaya-adam-temnosinyaya-1627440/" , "16274.40 Рубашка поло мужская Adam, темно-синяя, размер L")</f>
      </c>
      <c r="C20482" s="4" t="n">
        <v>1814.00</v>
      </c>
      <c r="D20482" s="4"/>
    </row>
    <row collapsed="" customFormat="false" customHeight="1" hidden="" ht="14" outlineLevel="0" r="20483">
      <c r="A20483" s="3" t="inlineStr">
        <is>
          <t>20435</t>
        </is>
      </c>
      <c r="B20483" s="4" t="s">
        <f>=HYPERLINK("http://anyluxury.ru/shop/odezhda/rubashki-polo/rubashka-polo-muzhskaya-adam-temnosinyaya-1627440/" , "16274.40 Рубашка поло мужская Adam, темно-синяя, размер XL")</f>
      </c>
      <c r="C20483" s="4" t="n">
        <v>1814.00</v>
      </c>
      <c r="D20483" s="4"/>
    </row>
    <row collapsed="" customFormat="false" customHeight="1" hidden="" ht="14" outlineLevel="0" r="20484">
      <c r="A20484" s="3" t="inlineStr">
        <is>
          <t>20436</t>
        </is>
      </c>
      <c r="B20484" s="4" t="s">
        <f>=HYPERLINK("http://anyluxury.ru/shop/odezhda/rubashki-polo/rubashka-polo-muzhskaya-adam-temnosinyaya-1627440/" , "16274.40 Рубашка поло мужская Adam, темно-синяя, размер XXL")</f>
      </c>
      <c r="C20484" s="4" t="n">
        <v>1814.00</v>
      </c>
      <c r="D20484" s="4"/>
    </row>
    <row collapsed="" customFormat="false" customHeight="1" hidden="" ht="14" outlineLevel="0" r="20485">
      <c r="A20485" s="3" t="inlineStr">
        <is>
          <t>20437</t>
        </is>
      </c>
      <c r="B20485" s="4" t="s">
        <f>=HYPERLINK("http://anyluxury.ru/shop/odezhda/rubashki-polo/rubashka-polo-muzhskaya-adam-chernaya-1627430/" , "16274.30 Рубашка поло мужская Adam, черная, размер S")</f>
      </c>
      <c r="C20485" s="4" t="n">
        <v>1814.00</v>
      </c>
      <c r="D20485" s="4"/>
    </row>
    <row collapsed="" customFormat="false" customHeight="1" hidden="" ht="14" outlineLevel="0" r="20486">
      <c r="A20486" s="3" t="inlineStr">
        <is>
          <t>20438</t>
        </is>
      </c>
      <c r="B20486" s="4" t="s">
        <f>=HYPERLINK("http://anyluxury.ru/shop/odezhda/rubashki-polo/rubashka-polo-muzhskaya-adam-chernaya-1627430/" , "16274.30 Рубашка поло мужская Adam, черная, размер M")</f>
      </c>
      <c r="C20486" s="4" t="n">
        <v>1814.00</v>
      </c>
      <c r="D20486" s="4"/>
    </row>
    <row collapsed="" customFormat="false" customHeight="1" hidden="" ht="14" outlineLevel="0" r="20487">
      <c r="A20487" s="3" t="inlineStr">
        <is>
          <t>20439</t>
        </is>
      </c>
      <c r="B20487" s="4" t="s">
        <f>=HYPERLINK("http://anyluxury.ru/shop/odezhda/rubashki-polo/rubashka-polo-muzhskaya-adam-chernaya-1627430/" , "16274.30 Рубашка поло мужская Adam, черная, размер L")</f>
      </c>
      <c r="C20487" s="4" t="n">
        <v>1814.00</v>
      </c>
      <c r="D20487" s="4"/>
    </row>
    <row collapsed="" customFormat="false" customHeight="1" hidden="" ht="14" outlineLevel="0" r="20488">
      <c r="A20488" s="3" t="inlineStr">
        <is>
          <t>20440</t>
        </is>
      </c>
      <c r="B20488" s="4" t="s">
        <f>=HYPERLINK("http://anyluxury.ru/shop/odezhda/rubashki-polo/rubashka-polo-muzhskaya-adam-chernaya-1627430/" , "16274.30 Рубашка поло мужская Adam, черная, размер XL")</f>
      </c>
      <c r="C20488" s="4" t="n">
        <v>1814.00</v>
      </c>
      <c r="D20488" s="4"/>
    </row>
    <row collapsed="" customFormat="false" customHeight="1" hidden="" ht="14" outlineLevel="0" r="20489">
      <c r="A20489" s="3" t="inlineStr">
        <is>
          <t>20441</t>
        </is>
      </c>
      <c r="B20489" s="4" t="s">
        <f>=HYPERLINK("http://anyluxury.ru/shop/odezhda/rubashki-polo/rubashka-polo-muzhskaya-adam-chernaya-1627430/" , "16274.30 Рубашка поло мужская Adam, черная, размер XXL")</f>
      </c>
      <c r="C20489" s="4" t="n">
        <v>1814.00</v>
      </c>
      <c r="D20489" s="4"/>
    </row>
    <row collapsed="" customFormat="false" customHeight="1" hidden="" ht="14" outlineLevel="0" r="20490">
      <c r="A20490" s="3" t="inlineStr">
        <is>
          <t>20442</t>
        </is>
      </c>
      <c r="B20490" s="4" t="s">
        <f>=HYPERLINK("http://anyluxury.ru/shop/odezhda/rubashki-polo/rubashka-polo-muzhskaya-adam-yarkosinyaya-1627444/" , "16274.44 Рубашка поло мужская Adam, ярко-синяя, размер S")</f>
      </c>
      <c r="C20490" s="4" t="n">
        <v>1814.00</v>
      </c>
      <c r="D20490" s="4"/>
    </row>
    <row collapsed="" customFormat="false" customHeight="1" hidden="" ht="14" outlineLevel="0" r="20491">
      <c r="A20491" s="3" t="inlineStr">
        <is>
          <t>20443</t>
        </is>
      </c>
      <c r="B20491" s="4" t="s">
        <f>=HYPERLINK("http://anyluxury.ru/shop/odezhda/rubashki-polo/rubashka-polo-muzhskaya-adam-yarkosinyaya-1627444/" , "16274.44 Рубашка поло мужская Adam, ярко-синяя, размер M")</f>
      </c>
      <c r="C20491" s="4" t="n">
        <v>1814.00</v>
      </c>
      <c r="D20491" s="4"/>
    </row>
    <row collapsed="" customFormat="false" customHeight="1" hidden="" ht="14" outlineLevel="0" r="20492">
      <c r="A20492" s="3" t="inlineStr">
        <is>
          <t>20444</t>
        </is>
      </c>
      <c r="B20492" s="4" t="s">
        <f>=HYPERLINK("http://anyluxury.ru/shop/odezhda/rubashki-polo/rubashka-polo-muzhskaya-adam-yarkosinyaya-1627444/" , "16274.44 Рубашка поло мужская Adam, ярко-синяя, размер L")</f>
      </c>
      <c r="C20492" s="4" t="n">
        <v>1814.00</v>
      </c>
      <c r="D20492" s="4"/>
    </row>
    <row collapsed="" customFormat="false" customHeight="1" hidden="" ht="14" outlineLevel="0" r="20493">
      <c r="A20493" s="3" t="inlineStr">
        <is>
          <t>20445</t>
        </is>
      </c>
      <c r="B20493" s="4" t="s">
        <f>=HYPERLINK("http://anyluxury.ru/shop/odezhda/rubashki-polo/rubashka-polo-muzhskaya-adam-yarkosinyaya-1627444/" , "16274.44 Рубашка поло мужская Adam, ярко-синяя, размер XL")</f>
      </c>
      <c r="C20493" s="4" t="n">
        <v>1814.00</v>
      </c>
      <c r="D20493" s="4"/>
    </row>
    <row collapsed="" customFormat="false" customHeight="1" hidden="" ht="14" outlineLevel="0" r="20494">
      <c r="A20494" s="3" t="inlineStr">
        <is>
          <t>20446</t>
        </is>
      </c>
      <c r="B20494" s="4" t="s">
        <f>=HYPERLINK("http://anyluxury.ru/shop/odezhda/rubashki-polo/rubashka-polo-muzhskaya-adam-yarkosinyaya-1627444/" , "16274.44 Рубашка поло мужская Adam, ярко-синяя, размер XXL")</f>
      </c>
      <c r="C20494" s="4" t="n">
        <v>1814.00</v>
      </c>
      <c r="D20494" s="4"/>
    </row>
    <row collapsed="" customFormat="false" customHeight="1" hidden="" ht="14" outlineLevel="0" r="20495">
      <c r="A20495" s="3" t="inlineStr">
        <is>
          <t>20447</t>
        </is>
      </c>
      <c r="B20495" s="4" t="s">
        <f>=HYPERLINK("http://anyluxury.ru/shop/odezhda/rubashki-polo/rubashka-polo-muzhskaya-virma-premium-zelenaya-1114592/" , "11145.92 Рубашка поло мужская Virma Premium, зеленая, размер S")</f>
      </c>
      <c r="C20495" s="4" t="n">
        <v>1104.00</v>
      </c>
      <c r="D20495" s="4"/>
    </row>
    <row collapsed="" customFormat="false" customHeight="1" hidden="" ht="14" outlineLevel="0" r="20496">
      <c r="A20496" s="3" t="inlineStr">
        <is>
          <t>20448</t>
        </is>
      </c>
      <c r="B20496" s="4" t="s">
        <f>=HYPERLINK("http://anyluxury.ru/shop/odezhda/rubashki-polo/rubashka-polo-muzhskaya-virma-premium-zelenaya-1114592/" , "11145.92 Рубашка поло мужская Virma Premium, зеленая, размер M")</f>
      </c>
      <c r="C20496" s="4" t="n">
        <v>1104.00</v>
      </c>
      <c r="D20496" s="4"/>
    </row>
    <row collapsed="" customFormat="false" customHeight="1" hidden="" ht="14" outlineLevel="0" r="20497">
      <c r="A20497" s="3" t="inlineStr">
        <is>
          <t>20449</t>
        </is>
      </c>
      <c r="B20497" s="4" t="s">
        <f>=HYPERLINK("http://anyluxury.ru/shop/odezhda/rubashki-polo/rubashka-polo-muzhskaya-virma-premium-zelenaya-1114592/" , "11145.92 Рубашка поло мужская Virma Premium, зеленая, размер L")</f>
      </c>
      <c r="C20497" s="4" t="n">
        <v>1104.00</v>
      </c>
      <c r="D20497" s="4"/>
    </row>
    <row collapsed="" customFormat="false" customHeight="1" hidden="" ht="14" outlineLevel="0" r="20498">
      <c r="A20498" s="3" t="inlineStr">
        <is>
          <t>20450</t>
        </is>
      </c>
      <c r="B20498" s="4" t="s">
        <f>=HYPERLINK("http://anyluxury.ru/shop/odezhda/rubashki-polo/rubashka-polo-muzhskaya-virma-premium-zelenaya-1114592/" , "11145.92 Рубашка поло мужская Virma Premium, зеленая, размер XL")</f>
      </c>
      <c r="C20498" s="4" t="n">
        <v>1104.00</v>
      </c>
      <c r="D20498" s="4"/>
    </row>
    <row collapsed="" customFormat="false" customHeight="1" hidden="" ht="14" outlineLevel="0" r="20499">
      <c r="A20499" s="3" t="inlineStr">
        <is>
          <t>20451</t>
        </is>
      </c>
      <c r="B20499" s="4" t="s">
        <f>=HYPERLINK("http://anyluxury.ru/shop/odezhda/rubashki-polo/rubashka-polo-muzhskaya-virma-premium-zelenaya-1114592/" , "11145.92 Рубашка поло мужская Virma Premium, зеленая, размер XXL")</f>
      </c>
      <c r="C20499" s="4" t="n">
        <v>1104.00</v>
      </c>
      <c r="D20499" s="4"/>
    </row>
    <row collapsed="" customFormat="false" customHeight="1" hidden="" ht="14" outlineLevel="0" r="20500">
      <c r="A20500" s="3" t="inlineStr">
        <is>
          <t>20452</t>
        </is>
      </c>
      <c r="B20500" s="4" t="s">
        <f>=HYPERLINK("http://anyluxury.ru/shop/odezhda/rubashki-polo/rubashka-polo-muzhskaya-virma-premium-zelenaya-1114592/" , "11145.92 Рубашка поло мужская Virma Premium, зеленая, размер 3XL")</f>
      </c>
      <c r="C20500" s="4" t="n">
        <v>1104.00</v>
      </c>
      <c r="D20500" s="4"/>
    </row>
    <row collapsed="" customFormat="false" customHeight="1" hidden="" ht="14" outlineLevel="0" r="20501">
      <c r="A20501" s="3" t="inlineStr">
        <is>
          <t>20453</t>
        </is>
      </c>
      <c r="B20501" s="4" t="s">
        <f>=HYPERLINK("http://anyluxury.ru/shop/odezhda/rubashki-polo/rubashka-polo-muzhskaya-virma-premium-biryuzovaya-1114542/" , "11145.42 Рубашка поло мужская Virma Premium, бирюзовая, размер S")</f>
      </c>
      <c r="C20501" s="4" t="n">
        <v>1104.00</v>
      </c>
      <c r="D20501" s="4"/>
    </row>
    <row collapsed="" customFormat="false" customHeight="1" hidden="" ht="14" outlineLevel="0" r="20502">
      <c r="A20502" s="3" t="inlineStr">
        <is>
          <t>20454</t>
        </is>
      </c>
      <c r="B20502" s="4" t="s">
        <f>=HYPERLINK("http://anyluxury.ru/shop/odezhda/rubashki-polo/rubashka-polo-muzhskaya-virma-premium-biryuzovaya-1114542/" , "11145.42 Рубашка поло мужская Virma Premium, бирюзовая, размер M")</f>
      </c>
      <c r="C20502" s="4" t="n">
        <v>1104.00</v>
      </c>
      <c r="D20502" s="4"/>
    </row>
    <row collapsed="" customFormat="false" customHeight="1" hidden="" ht="14" outlineLevel="0" r="20503">
      <c r="A20503" s="3" t="inlineStr">
        <is>
          <t>20455</t>
        </is>
      </c>
      <c r="B20503" s="4" t="s">
        <f>=HYPERLINK("http://anyluxury.ru/shop/odezhda/rubashki-polo/rubashka-polo-muzhskaya-virma-premium-biryuzovaya-1114542/" , "11145.42 Рубашка поло мужская Virma Premium, бирюзовая, размер L")</f>
      </c>
      <c r="C20503" s="4" t="n">
        <v>1104.00</v>
      </c>
      <c r="D20503" s="4"/>
    </row>
    <row collapsed="" customFormat="false" customHeight="1" hidden="" ht="14" outlineLevel="0" r="20504">
      <c r="A20504" s="3" t="inlineStr">
        <is>
          <t>20456</t>
        </is>
      </c>
      <c r="B20504" s="4" t="s">
        <f>=HYPERLINK("http://anyluxury.ru/shop/odezhda/rubashki-polo/rubashka-polo-muzhskaya-virma-premium-biryuzovaya-1114542/" , "11145.42 Рубашка поло мужская Virma Premium, бирюзовая, размер XL")</f>
      </c>
      <c r="C20504" s="4" t="n">
        <v>1104.00</v>
      </c>
      <c r="D20504" s="4"/>
    </row>
    <row collapsed="" customFormat="false" customHeight="1" hidden="" ht="14" outlineLevel="0" r="20505">
      <c r="A20505" s="3" t="inlineStr">
        <is>
          <t>20457</t>
        </is>
      </c>
      <c r="B20505" s="4" t="s">
        <f>=HYPERLINK("http://anyluxury.ru/shop/odezhda/rubashki-polo/rubashka-polo-muzhskaya-virma-premium-biryuzovaya-1114542/" , "11145.42 Рубашка поло мужская Virma Premium, бирюзовая, размер XXL")</f>
      </c>
      <c r="C20505" s="4" t="n">
        <v>1104.00</v>
      </c>
      <c r="D20505" s="4"/>
    </row>
    <row collapsed="" customFormat="false" customHeight="1" hidden="" ht="14" outlineLevel="0" r="20506">
      <c r="A20506" s="3" t="inlineStr">
        <is>
          <t>20458</t>
        </is>
      </c>
      <c r="B20506" s="4" t="s">
        <f>=HYPERLINK("http://anyluxury.ru/shop/odezhda/rubashki-polo/rubashka-polo-muzhskaya-virma-premium-biryuzovaya-1114542/" , "11145.42 Рубашка поло мужская Virma Premium, бирюзовая, размер 3XL")</f>
      </c>
      <c r="C20506" s="4" t="n">
        <v>1104.00</v>
      </c>
      <c r="D20506" s="4"/>
    </row>
    <row collapsed="" customFormat="false" customHeight="1" hidden="" ht="14" outlineLevel="0" r="20507">
      <c r="A20507" s="3" t="inlineStr">
        <is>
          <t>20459</t>
        </is>
      </c>
      <c r="B20507" s="4" t="s">
        <f>=HYPERLINK("http://anyluxury.ru/shop/odezhda/rubashki-polo/rubashka-polo-muzhskaya-virma-premium-zelenoe-yabloko-1114594/" , "11145.94 Рубашка поло мужская Virma Premium, зеленое яблоко, размер S")</f>
      </c>
      <c r="C20507" s="4" t="n">
        <v>1104.00</v>
      </c>
      <c r="D20507" s="4"/>
    </row>
    <row collapsed="" customFormat="false" customHeight="1" hidden="" ht="14" outlineLevel="0" r="20508">
      <c r="A20508" s="3" t="inlineStr">
        <is>
          <t>20460</t>
        </is>
      </c>
      <c r="B20508" s="4" t="s">
        <f>=HYPERLINK("http://anyluxury.ru/shop/odezhda/rubashki-polo/rubashka-polo-muzhskaya-virma-premium-zelenoe-yabloko-1114594/" , "11145.94 Рубашка поло мужская Virma Premium, зеленое яблоко, размер M")</f>
      </c>
      <c r="C20508" s="4" t="n">
        <v>1104.00</v>
      </c>
      <c r="D20508" s="4"/>
    </row>
    <row collapsed="" customFormat="false" customHeight="1" hidden="" ht="14" outlineLevel="0" r="20509">
      <c r="A20509" s="3" t="inlineStr">
        <is>
          <t>20461</t>
        </is>
      </c>
      <c r="B20509" s="4" t="s">
        <f>=HYPERLINK("http://anyluxury.ru/shop/odezhda/rubashki-polo/rubashka-polo-muzhskaya-virma-premium-zelenoe-yabloko-1114594/" , "11145.94 Рубашка поло мужская Virma Premium, зеленое яблоко, размер L")</f>
      </c>
      <c r="C20509" s="4" t="n">
        <v>1104.00</v>
      </c>
      <c r="D20509" s="4"/>
    </row>
    <row collapsed="" customFormat="false" customHeight="1" hidden="" ht="14" outlineLevel="0" r="20510">
      <c r="A20510" s="3" t="inlineStr">
        <is>
          <t>20462</t>
        </is>
      </c>
      <c r="B20510" s="4" t="s">
        <f>=HYPERLINK("http://anyluxury.ru/shop/odezhda/rubashki-polo/rubashka-polo-muzhskaya-virma-premium-zelenoe-yabloko-1114594/" , "11145.94 Рубашка поло мужская Virma Premium, зеленое яблоко, размер XL")</f>
      </c>
      <c r="C20510" s="4" t="n">
        <v>1104.00</v>
      </c>
      <c r="D20510" s="4"/>
    </row>
    <row collapsed="" customFormat="false" customHeight="1" hidden="" ht="14" outlineLevel="0" r="20511">
      <c r="A20511" s="3" t="inlineStr">
        <is>
          <t>20463</t>
        </is>
      </c>
      <c r="B20511" s="4" t="s">
        <f>=HYPERLINK("http://anyluxury.ru/shop/odezhda/rubashki-polo/rubashka-polo-muzhskaya-virma-premium-zelenoe-yabloko-1114594/" , "11145.94 Рубашка поло мужская Virma Premium, зеленое яблоко, размер XXL")</f>
      </c>
      <c r="C20511" s="4" t="n">
        <v>1104.00</v>
      </c>
      <c r="D20511" s="4"/>
    </row>
    <row collapsed="" customFormat="false" customHeight="1" hidden="" ht="14" outlineLevel="0" r="20512">
      <c r="A20512" s="3" t="inlineStr">
        <is>
          <t>20464</t>
        </is>
      </c>
      <c r="B20512" s="4" t="s">
        <f>=HYPERLINK("http://anyluxury.ru/shop/odezhda/rubashki-polo/rubashka-polo-muzhskaya-virma-premium-zelenoe-yabloko-1114594/" , "11145.94 Рубашка поло мужская Virma Premium, зеленое яблоко, размер 3XL")</f>
      </c>
      <c r="C20512" s="4" t="n">
        <v>1104.00</v>
      </c>
      <c r="D20512" s="4"/>
    </row>
    <row collapsed="" customFormat="false" customHeight="1" hidden="" ht="14" outlineLevel="0" r="20513">
      <c r="A20513" s="3" t="inlineStr">
        <is>
          <t>20465</t>
        </is>
      </c>
      <c r="B20513" s="4" t="s">
        <f>=HYPERLINK("http://anyluxury.ru/shop/odezhda/rubashki-polo/rubashka-polo-zhenskaya-virma-premium-lady-biryuzovaya-1114642/" , "11146.42 Рубашка поло женская Virma Premium Lady, бирюзовая, размер S")</f>
      </c>
      <c r="C20513" s="4" t="n">
        <v>995.00</v>
      </c>
      <c r="D20513" s="4"/>
    </row>
    <row collapsed="" customFormat="false" customHeight="1" hidden="" ht="14" outlineLevel="0" r="20514">
      <c r="A20514" s="3" t="inlineStr">
        <is>
          <t>20466</t>
        </is>
      </c>
      <c r="B20514" s="4" t="s">
        <f>=HYPERLINK("http://anyluxury.ru/shop/odezhda/rubashki-polo/rubashka-polo-zhenskaya-virma-premium-lady-biryuzovaya-1114642/" , "11146.42 Рубашка поло женская Virma Premium Lady, бирюзовая, размер M")</f>
      </c>
      <c r="C20514" s="4" t="n">
        <v>995.00</v>
      </c>
      <c r="D20514" s="4"/>
    </row>
    <row collapsed="" customFormat="false" customHeight="1" hidden="" ht="14" outlineLevel="0" r="20515">
      <c r="A20515" s="3" t="inlineStr">
        <is>
          <t>20467</t>
        </is>
      </c>
      <c r="B20515" s="4" t="s">
        <f>=HYPERLINK("http://anyluxury.ru/shop/odezhda/rubashki-polo/rubashka-polo-zhenskaya-virma-premium-lady-biryuzovaya-1114642/" , "11146.42 Рубашка поло женская Virma Premium Lady, бирюзовая, размер L")</f>
      </c>
      <c r="C20515" s="4" t="n">
        <v>995.00</v>
      </c>
      <c r="D20515" s="4"/>
    </row>
    <row collapsed="" customFormat="false" customHeight="1" hidden="" ht="14" outlineLevel="0" r="20516">
      <c r="A20516" s="3" t="inlineStr">
        <is>
          <t>20468</t>
        </is>
      </c>
      <c r="B20516" s="4" t="s">
        <f>=HYPERLINK("http://anyluxury.ru/shop/odezhda/rubashki-polo/rubashka-polo-zhenskaya-virma-premium-lady-biryuzovaya-1114642/" , "11146.42 Рубашка поло женская Virma Premium Lady, бирюзовая, размер XL")</f>
      </c>
      <c r="C20516" s="4" t="n">
        <v>995.00</v>
      </c>
      <c r="D20516" s="4"/>
    </row>
    <row collapsed="" customFormat="false" customHeight="1" hidden="" ht="14" outlineLevel="0" r="20517">
      <c r="A20517" s="3" t="inlineStr">
        <is>
          <t>20469</t>
        </is>
      </c>
      <c r="B20517" s="4" t="s">
        <f>=HYPERLINK("http://anyluxury.ru/shop/odezhda/rubashki-polo/rubashka-polo-zhenskaya-virma-premium-lady-biryuzovaya-1114642/" , "11146.42 Рубашка поло женская Virma Premium Lady, бирюзовая, размер XXL")</f>
      </c>
      <c r="C20517" s="4" t="n">
        <v>995.00</v>
      </c>
      <c r="D20517" s="4"/>
    </row>
    <row collapsed="" customFormat="false" customHeight="1" hidden="" ht="14" outlineLevel="0" r="20518">
      <c r="A20518" s="3" t="inlineStr">
        <is>
          <t>20470</t>
        </is>
      </c>
      <c r="B20518" s="4" t="s">
        <f>=HYPERLINK("http://anyluxury.ru/shop/odezhda/rubashki-polo/rubashka-polo-zhenskaya-virma-premium-lady-biryuzovaya-1114642/" , "11146.42 Рубашка поло женская Virma Premium Lady, бирюзовая, размер 3XL")</f>
      </c>
      <c r="C20518" s="4" t="n">
        <v>995.00</v>
      </c>
      <c r="D20518" s="4"/>
    </row>
    <row collapsed="" customFormat="false" customHeight="1" hidden="" ht="14" outlineLevel="0" r="20519">
      <c r="A20519" s="3" t="inlineStr">
        <is>
          <t>20471</t>
        </is>
      </c>
      <c r="B20519" s="4" t="s">
        <f>=HYPERLINK("http://anyluxury.ru/shop/odezhda/rubashki-polo/rubashka-polo-zhenskaya-virma-premium-lady-zelenaya-1114692/" , "11146.92 Рубашка поло женская Virma Premium Lady, зеленая, размер S")</f>
      </c>
      <c r="C20519" s="4" t="n">
        <v>995.00</v>
      </c>
      <c r="D20519" s="4"/>
    </row>
    <row collapsed="" customFormat="false" customHeight="1" hidden="" ht="14" outlineLevel="0" r="20520">
      <c r="A20520" s="3" t="inlineStr">
        <is>
          <t>20472</t>
        </is>
      </c>
      <c r="B20520" s="4" t="s">
        <f>=HYPERLINK("http://anyluxury.ru/shop/odezhda/rubashki-polo/rubashka-polo-zhenskaya-virma-premium-lady-zelenaya-1114692/" , "11146.92 Рубашка поло женская Virma Premium Lady, зеленая, размер M")</f>
      </c>
      <c r="C20520" s="4" t="n">
        <v>995.00</v>
      </c>
      <c r="D20520" s="4"/>
    </row>
    <row collapsed="" customFormat="false" customHeight="1" hidden="" ht="14" outlineLevel="0" r="20521">
      <c r="A20521" s="3" t="inlineStr">
        <is>
          <t>20473</t>
        </is>
      </c>
      <c r="B20521" s="4" t="s">
        <f>=HYPERLINK("http://anyluxury.ru/shop/odezhda/rubashki-polo/rubashka-polo-zhenskaya-virma-premium-lady-zelenaya-1114692/" , "11146.92 Рубашка поло женская Virma Premium Lady, зеленая, размер L")</f>
      </c>
      <c r="C20521" s="4" t="n">
        <v>995.00</v>
      </c>
      <c r="D20521" s="4"/>
    </row>
    <row collapsed="" customFormat="false" customHeight="1" hidden="" ht="14" outlineLevel="0" r="20522">
      <c r="A20522" s="3" t="inlineStr">
        <is>
          <t>20474</t>
        </is>
      </c>
      <c r="B20522" s="4" t="s">
        <f>=HYPERLINK("http://anyluxury.ru/shop/odezhda/rubashki-polo/rubashka-polo-zhenskaya-virma-premium-lady-zelenaya-1114692/" , "11146.92 Рубашка поло женская Virma Premium Lady, зеленая, размер XL")</f>
      </c>
      <c r="C20522" s="4" t="n">
        <v>995.00</v>
      </c>
      <c r="D20522" s="4"/>
    </row>
    <row collapsed="" customFormat="false" customHeight="1" hidden="" ht="14" outlineLevel="0" r="20523">
      <c r="A20523" s="3" t="inlineStr">
        <is>
          <t>20475</t>
        </is>
      </c>
      <c r="B20523" s="4" t="s">
        <f>=HYPERLINK("http://anyluxury.ru/shop/odezhda/rubashki-polo/rubashka-polo-zhenskaya-virma-premium-lady-zelenaya-1114692/" , "11146.92 Рубашка поло женская Virma Premium Lady, зеленая, размер XXL")</f>
      </c>
      <c r="C20523" s="4" t="n">
        <v>995.00</v>
      </c>
      <c r="D20523" s="4"/>
    </row>
    <row collapsed="" customFormat="false" customHeight="1" hidden="" ht="14" outlineLevel="0" r="20524">
      <c r="A20524" s="3" t="inlineStr">
        <is>
          <t>20476</t>
        </is>
      </c>
      <c r="B20524" s="4" t="s">
        <f>=HYPERLINK("http://anyluxury.ru/shop/odezhda/rubashki-polo/rubashka-polo-zhenskaya-virma-premium-lady-zelenaya-1114692/" , "11146.92 Рубашка поло женская Virma Premium Lady, зеленая, размер 3XL")</f>
      </c>
      <c r="C20524" s="4" t="n">
        <v>995.00</v>
      </c>
      <c r="D20524" s="4"/>
    </row>
    <row collapsed="" customFormat="false" customHeight="1" hidden="" ht="14" outlineLevel="0" r="20525">
      <c r="A20525" s="3" t="inlineStr">
        <is>
          <t>20477</t>
        </is>
      </c>
      <c r="B20525" s="4" t="s">
        <f>=HYPERLINK("http://anyluxury.ru/shop/odezhda/rubashki-polo/rubashka-polo-muzhskaya-virma-premium-temnosinyaya-1114540/" , "11145.40 Рубашка поло мужская Virma Premium, темно-синяя, размер S")</f>
      </c>
      <c r="C20525" s="4" t="n">
        <v>1104.00</v>
      </c>
      <c r="D20525" s="4"/>
    </row>
    <row collapsed="" customFormat="false" customHeight="1" hidden="" ht="14" outlineLevel="0" r="20526">
      <c r="A20526" s="3" t="inlineStr">
        <is>
          <t>20478</t>
        </is>
      </c>
      <c r="B20526" s="4" t="s">
        <f>=HYPERLINK("http://anyluxury.ru/shop/odezhda/rubashki-polo/rubashka-polo-muzhskaya-virma-premium-temnosinyaya-1114540/" , "11145.40 Рубашка поло мужская Virma Premium, темно-синяя, размер M")</f>
      </c>
      <c r="C20526" s="4" t="n">
        <v>1104.00</v>
      </c>
      <c r="D20526" s="4"/>
    </row>
    <row collapsed="" customFormat="false" customHeight="1" hidden="" ht="14" outlineLevel="0" r="20527">
      <c r="A20527" s="3" t="inlineStr">
        <is>
          <t>20479</t>
        </is>
      </c>
      <c r="B20527" s="4" t="s">
        <f>=HYPERLINK("http://anyluxury.ru/shop/odezhda/rubashki-polo/rubashka-polo-muzhskaya-virma-premium-temnosinyaya-1114540/" , "11145.40 Рубашка поло мужская Virma Premium, темно-синяя, размер L")</f>
      </c>
      <c r="C20527" s="4" t="n">
        <v>1104.00</v>
      </c>
      <c r="D20527" s="4"/>
    </row>
    <row collapsed="" customFormat="false" customHeight="1" hidden="" ht="14" outlineLevel="0" r="20528">
      <c r="A20528" s="3" t="inlineStr">
        <is>
          <t>20480</t>
        </is>
      </c>
      <c r="B20528" s="4" t="s">
        <f>=HYPERLINK("http://anyluxury.ru/shop/odezhda/rubashki-polo/rubashka-polo-muzhskaya-virma-premium-temnosinyaya-1114540/" , "11145.40 Рубашка поло мужская Virma Premium, темно-синяя, размер XL")</f>
      </c>
      <c r="C20528" s="4" t="n">
        <v>1104.00</v>
      </c>
      <c r="D20528" s="4"/>
    </row>
    <row collapsed="" customFormat="false" customHeight="1" hidden="" ht="14" outlineLevel="0" r="20529">
      <c r="A20529" s="3" t="inlineStr">
        <is>
          <t>20481</t>
        </is>
      </c>
      <c r="B20529" s="4" t="s">
        <f>=HYPERLINK("http://anyluxury.ru/shop/odezhda/rubashki-polo/rubashka-polo-muzhskaya-virma-premium-temnosinyaya-1114540/" , "11145.40 Рубашка поло мужская Virma Premium, темно-синяя, размер XXL")</f>
      </c>
      <c r="C20529" s="4" t="n">
        <v>1104.00</v>
      </c>
      <c r="D20529" s="4"/>
    </row>
    <row collapsed="" customFormat="false" customHeight="1" hidden="" ht="14" outlineLevel="0" r="20530">
      <c r="A20530" s="3" t="inlineStr">
        <is>
          <t>20482</t>
        </is>
      </c>
      <c r="B20530" s="4" t="s">
        <f>=HYPERLINK("http://anyluxury.ru/shop/odezhda/rubashki-polo/rubashka-polo-muzhskaya-virma-premium-temnosinyaya-1114540/" , "11145.40 Рубашка поло мужская Virma Premium, темно-синяя, размер 3XL")</f>
      </c>
      <c r="C20530" s="4" t="n">
        <v>1104.00</v>
      </c>
      <c r="D20530" s="4"/>
    </row>
    <row collapsed="" customFormat="false" customHeight="1" hidden="" ht="14" outlineLevel="0" r="20531">
      <c r="A20531" s="3" t="inlineStr">
        <is>
          <t>20483</t>
        </is>
      </c>
      <c r="B20531" s="4" t="s">
        <f>=HYPERLINK("http://anyluxury.ru/shop/odezhda/rubashki-polo/rubashka-polo-zhenskaya-virma-premium-lady-temnosinyaya-1114640/" , "11146.40 Рубашка поло женская Virma Premium Lady, темно-синяя, размер S")</f>
      </c>
      <c r="C20531" s="4" t="n">
        <v>995.00</v>
      </c>
      <c r="D20531" s="4"/>
    </row>
    <row collapsed="" customFormat="false" customHeight="1" hidden="" ht="14" outlineLevel="0" r="20532">
      <c r="A20532" s="3" t="inlineStr">
        <is>
          <t>20484</t>
        </is>
      </c>
      <c r="B20532" s="4" t="s">
        <f>=HYPERLINK("http://anyluxury.ru/shop/odezhda/rubashki-polo/rubashka-polo-zhenskaya-virma-premium-lady-temnosinyaya-1114640/" , "11146.40 Рубашка поло женская Virma Premium Lady, темно-синяя, размер M")</f>
      </c>
      <c r="C20532" s="4" t="n">
        <v>995.00</v>
      </c>
      <c r="D20532" s="4"/>
    </row>
    <row collapsed="" customFormat="false" customHeight="1" hidden="" ht="14" outlineLevel="0" r="20533">
      <c r="A20533" s="3" t="inlineStr">
        <is>
          <t>20485</t>
        </is>
      </c>
      <c r="B20533" s="4" t="s">
        <f>=HYPERLINK("http://anyluxury.ru/shop/odezhda/rubashki-polo/rubashka-polo-zhenskaya-virma-premium-lady-temnosinyaya-1114640/" , "11146.40 Рубашка поло женская Virma Premium Lady, темно-синяя, размер L")</f>
      </c>
      <c r="C20533" s="4" t="n">
        <v>995.00</v>
      </c>
      <c r="D20533" s="4"/>
    </row>
    <row collapsed="" customFormat="false" customHeight="1" hidden="" ht="14" outlineLevel="0" r="20534">
      <c r="A20534" s="3" t="inlineStr">
        <is>
          <t>20486</t>
        </is>
      </c>
      <c r="B20534" s="4" t="s">
        <f>=HYPERLINK("http://anyluxury.ru/shop/odezhda/rubashki-polo/rubashka-polo-zhenskaya-virma-premium-lady-temnosinyaya-1114640/" , "11146.40 Рубашка поло женская Virma Premium Lady, темно-синяя, размер XL")</f>
      </c>
      <c r="C20534" s="4" t="n">
        <v>995.00</v>
      </c>
      <c r="D20534" s="4"/>
    </row>
    <row collapsed="" customFormat="false" customHeight="1" hidden="" ht="14" outlineLevel="0" r="20535">
      <c r="A20535" s="3" t="inlineStr">
        <is>
          <t>20487</t>
        </is>
      </c>
      <c r="B20535" s="4" t="s">
        <f>=HYPERLINK("http://anyluxury.ru/shop/odezhda/rubashki-polo/rubashka-polo-zhenskaya-virma-premium-lady-temnosinyaya-1114640/" , "11146.40 Рубашка поло женская Virma Premium Lady, темно-синяя, размер XXL")</f>
      </c>
      <c r="C20535" s="4" t="n">
        <v>995.00</v>
      </c>
      <c r="D20535" s="4"/>
    </row>
    <row collapsed="" customFormat="false" customHeight="1" hidden="" ht="14" outlineLevel="0" r="20536">
      <c r="A20536" s="3" t="inlineStr">
        <is>
          <t>20488</t>
        </is>
      </c>
      <c r="B20536" s="4" t="s">
        <f>=HYPERLINK("http://anyluxury.ru/shop/odezhda/rubashki-polo/rubashka-polo-zhenskaya-virma-premium-lady-temnosinyaya-1114640/" , "11146.40 Рубашка поло женская Virma Premium Lady, темно-синяя, размер 3XL")</f>
      </c>
      <c r="C20536" s="4" t="n">
        <v>995.00</v>
      </c>
      <c r="D20536" s="4"/>
    </row>
    <row collapsed="" customFormat="false" customHeight="1" hidden="" ht="14" outlineLevel="0" r="20537">
      <c r="A20537" s="3" t="inlineStr">
        <is>
          <t>20489</t>
        </is>
      </c>
      <c r="B20537" s="4" t="s">
        <f>=HYPERLINK("http://anyluxury.ru/shop/odezhda/rubashki-polo/rubashka-polo-muzhskaya-virma-stretch-temnosinyaya-navy-1114341/" , "11143.41 Рубашка поло мужская Virma Stretch, темно-синяя (navy), размер S")</f>
      </c>
      <c r="C20537" s="4" t="n">
        <v>1648.00</v>
      </c>
      <c r="D20537" s="4"/>
    </row>
    <row collapsed="" customFormat="false" customHeight="1" hidden="" ht="14" outlineLevel="0" r="20538">
      <c r="A20538" s="3" t="inlineStr">
        <is>
          <t>20490</t>
        </is>
      </c>
      <c r="B20538" s="4" t="s">
        <f>=HYPERLINK("http://anyluxury.ru/shop/odezhda/rubashki-polo/rubashka-polo-muzhskaya-virma-stretch-temnosinyaya-navy-1114341/" , "11143.41 Рубашка поло мужская Virma Stretch, темно-синяя (navy), размер M")</f>
      </c>
      <c r="C20538" s="4" t="n">
        <v>1648.00</v>
      </c>
      <c r="D20538" s="4"/>
    </row>
    <row collapsed="" customFormat="false" customHeight="1" hidden="" ht="14" outlineLevel="0" r="20539">
      <c r="A20539" s="3" t="inlineStr">
        <is>
          <t>20491</t>
        </is>
      </c>
      <c r="B20539" s="4" t="s">
        <f>=HYPERLINK("http://anyluxury.ru/shop/odezhda/rubashki-polo/rubashka-polo-muzhskaya-virma-stretch-temnosinyaya-navy-1114341/" , "11143.41 Рубашка поло мужская Virma Stretch, темно-синяя (navy), размер XL")</f>
      </c>
      <c r="C20539" s="4" t="n">
        <v>1648.00</v>
      </c>
      <c r="D20539" s="4"/>
    </row>
    <row collapsed="" customFormat="false" customHeight="1" hidden="" ht="14" outlineLevel="0" r="20540">
      <c r="A20540" s="3" t="inlineStr">
        <is>
          <t>20492</t>
        </is>
      </c>
      <c r="B20540" s="4" t="s">
        <f>=HYPERLINK("http://anyluxury.ru/shop/odezhda/rubashki-polo/rubashka-polo-uniseks-pegase-chernaya-04242312/" , "04242312 Рубашка поло унисекс Pegase, черная, размер XXS")</f>
      </c>
      <c r="C20540" s="4" t="n">
        <v>1767.00</v>
      </c>
      <c r="D20540" s="4"/>
    </row>
    <row collapsed="" customFormat="false" customHeight="1" hidden="" ht="14" outlineLevel="0" r="20541">
      <c r="A20541" s="3" t="inlineStr">
        <is>
          <t>20493</t>
        </is>
      </c>
      <c r="B20541" s="4" t="s">
        <f>=HYPERLINK("http://anyluxury.ru/shop/odezhda/rubashki-polo/rubashka-polo-uniseks-pegase-chernaya-04242312/" , "04242312 Рубашка поло унисекс Pegase, черная, размер XS")</f>
      </c>
      <c r="C20541" s="4" t="n">
        <v>1767.00</v>
      </c>
      <c r="D20541" s="4"/>
    </row>
    <row collapsed="" customFormat="false" customHeight="1" hidden="" ht="14" outlineLevel="0" r="20542">
      <c r="A20542" s="3" t="inlineStr">
        <is>
          <t>20494</t>
        </is>
      </c>
      <c r="B20542" s="4" t="s">
        <f>=HYPERLINK("http://anyluxury.ru/shop/odezhda/rubashki-polo/rubashka-polo-uniseks-pegase-chernaya-04242312/" , "04242312 Рубашка поло унисекс Pegase, черная, размер S")</f>
      </c>
      <c r="C20542" s="4" t="n">
        <v>1767.00</v>
      </c>
      <c r="D20542" s="4"/>
    </row>
    <row collapsed="" customFormat="false" customHeight="1" hidden="" ht="14" outlineLevel="0" r="20543">
      <c r="A20543" s="3" t="inlineStr">
        <is>
          <t>20495</t>
        </is>
      </c>
      <c r="B20543" s="4" t="s">
        <f>=HYPERLINK("http://anyluxury.ru/shop/odezhda/rubashki-polo/rubashka-polo-uniseks-pegase-chernaya-04242312/" , "04242312 Рубашка поло унисекс Pegase, черная, размер M")</f>
      </c>
      <c r="C20543" s="4" t="n">
        <v>1767.00</v>
      </c>
      <c r="D20543" s="4"/>
    </row>
    <row collapsed="" customFormat="false" customHeight="1" hidden="" ht="14" outlineLevel="0" r="20544">
      <c r="A20544" s="3" t="inlineStr">
        <is>
          <t>20496</t>
        </is>
      </c>
      <c r="B20544" s="4" t="s">
        <f>=HYPERLINK("http://anyluxury.ru/shop/odezhda/rubashki-polo/rubashka-polo-uniseks-pegase-chernaya-04242312/" , "04242312 Рубашка поло унисекс Pegase, черная, размер L")</f>
      </c>
      <c r="C20544" s="4" t="n">
        <v>1767.00</v>
      </c>
      <c r="D20544" s="4"/>
    </row>
    <row collapsed="" customFormat="false" customHeight="1" hidden="" ht="14" outlineLevel="0" r="20545">
      <c r="A20545" s="3" t="inlineStr">
        <is>
          <t>20497</t>
        </is>
      </c>
      <c r="B20545" s="4" t="s">
        <f>=HYPERLINK("http://anyluxury.ru/shop/odezhda/rubashki-polo/rubashka-polo-uniseks-pegase-chernaya-04242312/" , "04242312 Рубашка поло унисекс Pegase, черная, размер XL")</f>
      </c>
      <c r="C20545" s="4" t="n">
        <v>1767.00</v>
      </c>
      <c r="D20545" s="4"/>
    </row>
    <row collapsed="" customFormat="false" customHeight="1" hidden="" ht="14" outlineLevel="0" r="20546">
      <c r="A20546" s="3" t="inlineStr">
        <is>
          <t>20498</t>
        </is>
      </c>
      <c r="B20546" s="4" t="s">
        <f>=HYPERLINK("http://anyluxury.ru/shop/odezhda/rubashki-polo/rubashka-polo-uniseks-pegase-chernaya-04242312/" , "04242312 Рубашка поло унисекс Pegase, черная, размер XXL")</f>
      </c>
      <c r="C20546" s="4" t="n">
        <v>1767.00</v>
      </c>
      <c r="D20546" s="4"/>
    </row>
    <row collapsed="" customFormat="false" customHeight="1" hidden="" ht="14" outlineLevel="0" r="20547">
      <c r="A20547" s="3" t="inlineStr">
        <is>
          <t>20499</t>
        </is>
      </c>
      <c r="B20547" s="4" t="s">
        <f>=HYPERLINK("http://anyluxury.ru/shop/odezhda/rubashki-polo/rubashka-polo-uniseks-pegase-chernaya-04242312/" , "04242312 Рубашка поло унисекс Pegase, черная, размер 3XL")</f>
      </c>
      <c r="C20547" s="4" t="n">
        <v>2067.00</v>
      </c>
      <c r="D20547" s="4"/>
    </row>
    <row collapsed="" customFormat="false" customHeight="1" hidden="" ht="14" outlineLevel="0" r="20548">
      <c r="A20548" s="3" t="inlineStr">
        <is>
          <t>20500</t>
        </is>
      </c>
      <c r="B20548" s="4" t="s">
        <f>=HYPERLINK("http://anyluxury.ru/shop/odezhda/rubashki-polo/rubashka-polo-uniseks-pegase-chernaya-04242312/" , "04242312 Рубашка поло унисекс Pegase, черная, размер 4XL")</f>
      </c>
      <c r="C20548" s="4" t="n">
        <v>2826.00</v>
      </c>
      <c r="D20548" s="4"/>
    </row>
    <row collapsed="" customFormat="false" customHeight="1" hidden="" ht="14" outlineLevel="0" r="20549">
      <c r="A20549" s="3" t="inlineStr">
        <is>
          <t>20501</t>
        </is>
      </c>
      <c r="B20549" s="4" t="s">
        <f>=HYPERLINK("http://anyluxury.ru/shop/odezhda/rubashki-polo/rubashka-polo-uniseks-pegase-krasnaya-04242161/" , "04242161 Рубашка поло унисекс Pegase, красная, размер XS")</f>
      </c>
      <c r="C20549" s="4" t="n">
        <v>1767.00</v>
      </c>
      <c r="D20549" s="4"/>
    </row>
    <row collapsed="" customFormat="false" customHeight="1" hidden="" ht="14" outlineLevel="0" r="20550">
      <c r="A20550" s="3" t="inlineStr">
        <is>
          <t>20502</t>
        </is>
      </c>
      <c r="B20550" s="4" t="s">
        <f>=HYPERLINK("http://anyluxury.ru/shop/odezhda/rubashki-polo/rubashka-polo-uniseks-pegase-krasnaya-04242161/" , "04242161 Рубашка поло унисекс Pegase, красная, размер S")</f>
      </c>
      <c r="C20550" s="4" t="n">
        <v>1767.00</v>
      </c>
      <c r="D20550" s="4"/>
    </row>
    <row collapsed="" customFormat="false" customHeight="1" hidden="" ht="14" outlineLevel="0" r="20551">
      <c r="A20551" s="3" t="inlineStr">
        <is>
          <t>20503</t>
        </is>
      </c>
      <c r="B20551" s="4" t="s">
        <f>=HYPERLINK("http://anyluxury.ru/shop/odezhda/rubashki-polo/rubashka-polo-uniseks-pegase-krasnaya-04242161/" , "04242161 Рубашка поло унисекс Pegase, красная, размер M")</f>
      </c>
      <c r="C20551" s="4" t="n">
        <v>1767.00</v>
      </c>
      <c r="D20551" s="4"/>
    </row>
    <row collapsed="" customFormat="false" customHeight="1" hidden="" ht="14" outlineLevel="0" r="20552">
      <c r="A20552" s="3" t="inlineStr">
        <is>
          <t>20504</t>
        </is>
      </c>
      <c r="B20552" s="4" t="s">
        <f>=HYPERLINK("http://anyluxury.ru/shop/odezhda/rubashki-polo/rubashka-polo-uniseks-pegase-krasnaya-04242161/" , "04242161 Рубашка поло унисекс Pegase, красная, размер L")</f>
      </c>
      <c r="C20552" s="4" t="n">
        <v>1767.00</v>
      </c>
      <c r="D20552" s="4"/>
    </row>
    <row collapsed="" customFormat="false" customHeight="1" hidden="" ht="14" outlineLevel="0" r="20553">
      <c r="A20553" s="3" t="inlineStr">
        <is>
          <t>20505</t>
        </is>
      </c>
      <c r="B20553" s="4" t="s">
        <f>=HYPERLINK("http://anyluxury.ru/shop/odezhda/rubashki-polo/rubashka-polo-uniseks-pegase-krasnaya-04242161/" , "04242161 Рубашка поло унисекс Pegase, красная, размер XL")</f>
      </c>
      <c r="C20553" s="4" t="n">
        <v>1767.00</v>
      </c>
      <c r="D20553" s="4"/>
    </row>
    <row collapsed="" customFormat="false" customHeight="1" hidden="" ht="14" outlineLevel="0" r="20554">
      <c r="A20554" s="3" t="inlineStr">
        <is>
          <t>20506</t>
        </is>
      </c>
      <c r="B20554" s="4" t="s">
        <f>=HYPERLINK("http://anyluxury.ru/shop/odezhda/rubashki-polo/rubashka-polo-uniseks-pegase-krasnaya-04242161/" , "04242161 Рубашка поло унисекс Pegase, красная, размер XXL")</f>
      </c>
      <c r="C20554" s="4" t="n">
        <v>1767.00</v>
      </c>
      <c r="D20554" s="4"/>
    </row>
    <row collapsed="" customFormat="false" customHeight="1" hidden="" ht="14" outlineLevel="0" r="20555">
      <c r="A20555" s="3" t="inlineStr">
        <is>
          <t>20507</t>
        </is>
      </c>
      <c r="B20555" s="4" t="s">
        <f>=HYPERLINK("http://anyluxury.ru/shop/odezhda/rubashki-polo/rubashka-polo-uniseks-pegase-krasnaya-04242161/" , "04242161 Рубашка поло унисекс Pegase, красная, размер 3XL")</f>
      </c>
      <c r="C20555" s="4" t="n">
        <v>2067.00</v>
      </c>
      <c r="D20555" s="4"/>
    </row>
    <row collapsed="" customFormat="false" customHeight="1" hidden="" ht="14" outlineLevel="0" r="20556">
      <c r="A20556" s="3" t="inlineStr">
        <is>
          <t>20508</t>
        </is>
      </c>
      <c r="B20556" s="4" t="s">
        <f>=HYPERLINK("http://anyluxury.ru/shop/odezhda/rubashki-polo/rubashka-polo-uniseks-pegase-temnoseraya-grafit-04242374/" , "04242374 Рубашка поло унисекс Pegase, темно-серая (графит), размер XS")</f>
      </c>
      <c r="C20556" s="4" t="n">
        <v>1767.00</v>
      </c>
      <c r="D20556" s="4"/>
    </row>
    <row collapsed="" customFormat="false" customHeight="1" hidden="" ht="14" outlineLevel="0" r="20557">
      <c r="A20557" s="3" t="inlineStr">
        <is>
          <t>20509</t>
        </is>
      </c>
      <c r="B20557" s="4" t="s">
        <f>=HYPERLINK("http://anyluxury.ru/shop/odezhda/rubashki-polo/rubashka-polo-uniseks-pegase-temnoseraya-grafit-04242374/" , "04242374 Рубашка поло унисекс Pegase, темно-серая (графит), размер S")</f>
      </c>
      <c r="C20557" s="4" t="n">
        <v>1767.00</v>
      </c>
      <c r="D20557" s="4"/>
    </row>
    <row collapsed="" customFormat="false" customHeight="1" hidden="" ht="14" outlineLevel="0" r="20558">
      <c r="A20558" s="3" t="inlineStr">
        <is>
          <t>20510</t>
        </is>
      </c>
      <c r="B20558" s="4" t="s">
        <f>=HYPERLINK("http://anyluxury.ru/shop/odezhda/rubashki-polo/rubashka-polo-uniseks-pegase-temnoseraya-grafit-04242374/" , "04242374 Рубашка поло унисекс Pegase, темно-серая (графит), размер M")</f>
      </c>
      <c r="C20558" s="4" t="n">
        <v>1767.00</v>
      </c>
      <c r="D20558" s="4"/>
    </row>
    <row collapsed="" customFormat="false" customHeight="1" hidden="" ht="14" outlineLevel="0" r="20559">
      <c r="A20559" s="3" t="inlineStr">
        <is>
          <t>20511</t>
        </is>
      </c>
      <c r="B20559" s="4" t="s">
        <f>=HYPERLINK("http://anyluxury.ru/shop/odezhda/rubashki-polo/rubashka-polo-uniseks-pegase-temnoseraya-grafit-04242374/" , "04242374 Рубашка поло унисекс Pegase, темно-серая (графит), размер L")</f>
      </c>
      <c r="C20559" s="4" t="n">
        <v>1767.00</v>
      </c>
      <c r="D20559" s="4"/>
    </row>
    <row collapsed="" customFormat="false" customHeight="1" hidden="" ht="14" outlineLevel="0" r="20560">
      <c r="A20560" s="3" t="inlineStr">
        <is>
          <t>20512</t>
        </is>
      </c>
      <c r="B20560" s="4" t="s">
        <f>=HYPERLINK("http://anyluxury.ru/shop/odezhda/rubashki-polo/rubashka-polo-uniseks-pegase-temnoseraya-grafit-04242374/" , "04242374 Рубашка поло унисекс Pegase, темно-серая (графит), размер XL")</f>
      </c>
      <c r="C20560" s="4" t="n">
        <v>1767.00</v>
      </c>
      <c r="D20560" s="4"/>
    </row>
    <row collapsed="" customFormat="false" customHeight="1" hidden="" ht="14" outlineLevel="0" r="20561">
      <c r="A20561" s="3" t="inlineStr">
        <is>
          <t>20513</t>
        </is>
      </c>
      <c r="B20561" s="4" t="s">
        <f>=HYPERLINK("http://anyluxury.ru/shop/odezhda/rubashki-polo/rubashka-polo-uniseks-pegase-temnoseraya-grafit-04242374/" , "04242374 Рубашка поло унисекс Pegase, темно-серая (графит), размер XXL")</f>
      </c>
      <c r="C20561" s="4" t="n">
        <v>1767.00</v>
      </c>
      <c r="D20561" s="4"/>
    </row>
    <row collapsed="" customFormat="false" customHeight="1" hidden="" ht="14" outlineLevel="0" r="20562">
      <c r="A20562" s="3" t="inlineStr">
        <is>
          <t>20514</t>
        </is>
      </c>
      <c r="B20562" s="4" t="s">
        <f>=HYPERLINK("http://anyluxury.ru/shop/odezhda/rubashki-polo/rubashka-polo-uniseks-pegase-temnoseraya-grafit-04242374/" , "04242374 Рубашка поло унисекс Pegase, темно-серая (графит), размер 3XL")</f>
      </c>
      <c r="C20562" s="4" t="n">
        <v>2067.00</v>
      </c>
      <c r="D20562" s="4"/>
    </row>
    <row collapsed="" customFormat="false" customHeight="1" hidden="" ht="14" outlineLevel="0" r="20563">
      <c r="A20563" s="3" t="inlineStr">
        <is>
          <t>20515</t>
        </is>
      </c>
      <c r="B20563" s="4" t="s">
        <f>=HYPERLINK("http://anyluxury.ru/shop/odezhda/rubashki-polo/rubashka-polo-uniseks-pegase-temnosinyaya-04242319/" , "04242319 Рубашка поло унисекс Pegase, темно-синяя, размер XXS")</f>
      </c>
      <c r="C20563" s="4" t="n">
        <v>1767.00</v>
      </c>
      <c r="D20563" s="4"/>
    </row>
    <row collapsed="" customFormat="false" customHeight="1" hidden="" ht="14" outlineLevel="0" r="20564">
      <c r="A20564" s="3" t="inlineStr">
        <is>
          <t>20516</t>
        </is>
      </c>
      <c r="B20564" s="4" t="s">
        <f>=HYPERLINK("http://anyluxury.ru/shop/odezhda/rubashki-polo/rubashka-polo-uniseks-pegase-temnosinyaya-04242319/" , "04242319 Рубашка поло унисекс Pegase, темно-синяя, размер XS")</f>
      </c>
      <c r="C20564" s="4" t="n">
        <v>1767.00</v>
      </c>
      <c r="D20564" s="4"/>
    </row>
    <row collapsed="" customFormat="false" customHeight="1" hidden="" ht="14" outlineLevel="0" r="20565">
      <c r="A20565" s="3" t="inlineStr">
        <is>
          <t>20517</t>
        </is>
      </c>
      <c r="B20565" s="4" t="s">
        <f>=HYPERLINK("http://anyluxury.ru/shop/odezhda/rubashki-polo/rubashka-polo-uniseks-pegase-temnosinyaya-04242319/" , "04242319 Рубашка поло унисекс Pegase, темно-синяя, размер S")</f>
      </c>
      <c r="C20565" s="4" t="n">
        <v>1767.00</v>
      </c>
      <c r="D20565" s="4"/>
    </row>
    <row collapsed="" customFormat="false" customHeight="1" hidden="" ht="14" outlineLevel="0" r="20566">
      <c r="A20566" s="3" t="inlineStr">
        <is>
          <t>20518</t>
        </is>
      </c>
      <c r="B20566" s="4" t="s">
        <f>=HYPERLINK("http://anyluxury.ru/shop/odezhda/rubashki-polo/rubashka-polo-uniseks-pegase-temnosinyaya-04242319/" , "04242319 Рубашка поло унисекс Pegase, темно-синяя, размер M")</f>
      </c>
      <c r="C20566" s="4" t="n">
        <v>1767.00</v>
      </c>
      <c r="D20566" s="4"/>
    </row>
    <row collapsed="" customFormat="false" customHeight="1" hidden="" ht="14" outlineLevel="0" r="20567">
      <c r="A20567" s="3" t="inlineStr">
        <is>
          <t>20519</t>
        </is>
      </c>
      <c r="B20567" s="4" t="s">
        <f>=HYPERLINK("http://anyluxury.ru/shop/odezhda/rubashki-polo/rubashka-polo-uniseks-pegase-temnosinyaya-04242319/" , "04242319 Рубашка поло унисекс Pegase, темно-синяя, размер L")</f>
      </c>
      <c r="C20567" s="4" t="n">
        <v>1767.00</v>
      </c>
      <c r="D20567" s="4"/>
    </row>
    <row collapsed="" customFormat="false" customHeight="1" hidden="" ht="14" outlineLevel="0" r="20568">
      <c r="A20568" s="3" t="inlineStr">
        <is>
          <t>20520</t>
        </is>
      </c>
      <c r="B20568" s="4" t="s">
        <f>=HYPERLINK("http://anyluxury.ru/shop/odezhda/rubashki-polo/rubashka-polo-uniseks-pegase-temnosinyaya-04242319/" , "04242319 Рубашка поло унисекс Pegase, темно-синяя, размер XL")</f>
      </c>
      <c r="C20568" s="4" t="n">
        <v>1767.00</v>
      </c>
      <c r="D20568" s="4"/>
    </row>
    <row collapsed="" customFormat="false" customHeight="1" hidden="" ht="14" outlineLevel="0" r="20569">
      <c r="A20569" s="3" t="inlineStr">
        <is>
          <t>20521</t>
        </is>
      </c>
      <c r="B20569" s="4" t="s">
        <f>=HYPERLINK("http://anyluxury.ru/shop/odezhda/rubashki-polo/rubashka-polo-uniseks-pegase-temnosinyaya-04242319/" , "04242319 Рубашка поло унисекс Pegase, темно-синяя, размер XXL")</f>
      </c>
      <c r="C20569" s="4" t="n">
        <v>1767.00</v>
      </c>
      <c r="D20569" s="4"/>
    </row>
    <row collapsed="" customFormat="false" customHeight="1" hidden="" ht="14" outlineLevel="0" r="20570">
      <c r="A20570" s="3" t="inlineStr">
        <is>
          <t>20522</t>
        </is>
      </c>
      <c r="B20570" s="4" t="s">
        <f>=HYPERLINK("http://anyluxury.ru/shop/odezhda/rubashki-polo/rubashka-polo-uniseks-pegase-temnosinyaya-04242319/" , "04242319 Рубашка поло унисекс Pegase, темно-синяя, размер 3XL")</f>
      </c>
      <c r="C20570" s="4" t="n">
        <v>2067.00</v>
      </c>
      <c r="D20570" s="4"/>
    </row>
    <row collapsed="" customFormat="false" customHeight="1" hidden="" ht="14" outlineLevel="0" r="20571">
      <c r="A20571" s="3" t="inlineStr">
        <is>
          <t>20523</t>
        </is>
      </c>
      <c r="B20571" s="4" t="s">
        <f>=HYPERLINK("http://anyluxury.ru/shop/odezhda/rubashki-polo/rubashka-polo-uniseks-pegase-temnosinyaya-04242319/" , "04242319 Рубашка поло унисекс Pegase, темно-синяя, размер 4XL")</f>
      </c>
      <c r="C20571" s="4" t="n">
        <v>2826.00</v>
      </c>
      <c r="D20571" s="4"/>
    </row>
    <row collapsed="" customFormat="false" customHeight="1" hidden="" ht="14" outlineLevel="0" r="20572">
      <c r="A20572" s="3" t="inlineStr">
        <is>
          <t>20524</t>
        </is>
      </c>
      <c r="B20572" s="4" t="s">
        <f>=HYPERLINK("http://anyluxury.ru/shop/odezhda/rubashki-polo/rubashka-polo-uniseks-pegase-seriy-melanzh-04242360/" , "04242360 Рубашка поло унисекс Pegase, серый меланж, размер XXS")</f>
      </c>
      <c r="C20572" s="4" t="n">
        <v>1767.00</v>
      </c>
      <c r="D20572" s="4"/>
    </row>
    <row collapsed="" customFormat="false" customHeight="1" hidden="" ht="14" outlineLevel="0" r="20573">
      <c r="A20573" s="3" t="inlineStr">
        <is>
          <t>20525</t>
        </is>
      </c>
      <c r="B20573" s="4" t="s">
        <f>=HYPERLINK("http://anyluxury.ru/shop/odezhda/rubashki-polo/rubashka-polo-uniseks-pegase-seriy-melanzh-04242360/" , "04242360 Рубашка поло унисекс Pegase, серый меланж, размер XS")</f>
      </c>
      <c r="C20573" s="4" t="n">
        <v>1767.00</v>
      </c>
      <c r="D20573" s="4"/>
    </row>
    <row collapsed="" customFormat="false" customHeight="1" hidden="" ht="14" outlineLevel="0" r="20574">
      <c r="A20574" s="3" t="inlineStr">
        <is>
          <t>20526</t>
        </is>
      </c>
      <c r="B20574" s="4" t="s">
        <f>=HYPERLINK("http://anyluxury.ru/shop/odezhda/rubashki-polo/rubashka-polo-uniseks-pegase-seriy-melanzh-04242360/" , "04242360 Рубашка поло унисекс Pegase, серый меланж, размер S")</f>
      </c>
      <c r="C20574" s="4" t="n">
        <v>1767.00</v>
      </c>
      <c r="D20574" s="4"/>
    </row>
    <row collapsed="" customFormat="false" customHeight="1" hidden="" ht="14" outlineLevel="0" r="20575">
      <c r="A20575" s="3" t="inlineStr">
        <is>
          <t>20527</t>
        </is>
      </c>
      <c r="B20575" s="4" t="s">
        <f>=HYPERLINK("http://anyluxury.ru/shop/odezhda/rubashki-polo/rubashka-polo-uniseks-pegase-seriy-melanzh-04242360/" , "04242360 Рубашка поло унисекс Pegase, серый меланж, размер M")</f>
      </c>
      <c r="C20575" s="4" t="n">
        <v>1767.00</v>
      </c>
      <c r="D20575" s="4"/>
    </row>
    <row collapsed="" customFormat="false" customHeight="1" hidden="" ht="14" outlineLevel="0" r="20576">
      <c r="A20576" s="3" t="inlineStr">
        <is>
          <t>20528</t>
        </is>
      </c>
      <c r="B20576" s="4" t="s">
        <f>=HYPERLINK("http://anyluxury.ru/shop/odezhda/rubashki-polo/rubashka-polo-uniseks-pegase-seriy-melanzh-04242360/" , "04242360 Рубашка поло унисекс Pegase, серый меланж, размер L")</f>
      </c>
      <c r="C20576" s="4" t="n">
        <v>1767.00</v>
      </c>
      <c r="D20576" s="4"/>
    </row>
    <row collapsed="" customFormat="false" customHeight="1" hidden="" ht="14" outlineLevel="0" r="20577">
      <c r="A20577" s="3" t="inlineStr">
        <is>
          <t>20529</t>
        </is>
      </c>
      <c r="B20577" s="4" t="s">
        <f>=HYPERLINK("http://anyluxury.ru/shop/odezhda/rubashki-polo/rubashka-polo-uniseks-pegase-seriy-melanzh-04242360/" , "04242360 Рубашка поло унисекс Pegase, серый меланж, размер XL")</f>
      </c>
      <c r="C20577" s="4" t="n">
        <v>1767.00</v>
      </c>
      <c r="D20577" s="4"/>
    </row>
    <row collapsed="" customFormat="false" customHeight="1" hidden="" ht="14" outlineLevel="0" r="20578">
      <c r="A20578" s="3" t="inlineStr">
        <is>
          <t>20530</t>
        </is>
      </c>
      <c r="B20578" s="4" t="s">
        <f>=HYPERLINK("http://anyluxury.ru/shop/odezhda/rubashki-polo/rubashka-polo-uniseks-pegase-seriy-melanzh-04242360/" , "04242360 Рубашка поло унисекс Pegase, серый меланж, размер XXL")</f>
      </c>
      <c r="C20578" s="4" t="n">
        <v>1767.00</v>
      </c>
      <c r="D20578" s="4"/>
    </row>
    <row collapsed="" customFormat="false" customHeight="1" hidden="" ht="14" outlineLevel="0" r="20579">
      <c r="A20579" s="3" t="inlineStr">
        <is>
          <t>20531</t>
        </is>
      </c>
      <c r="B20579" s="4" t="s">
        <f>=HYPERLINK("http://anyluxury.ru/shop/odezhda/rubashki-polo/rubashka-polo-uniseks-pegase-seriy-melanzh-04242360/" , "04242360 Рубашка поло унисекс Pegase, серый меланж, размер 3XL")</f>
      </c>
      <c r="C20579" s="4" t="n">
        <v>2067.00</v>
      </c>
      <c r="D20579" s="4"/>
    </row>
    <row collapsed="" customFormat="false" customHeight="1" hidden="" ht="14" outlineLevel="0" r="20580">
      <c r="A20580" s="3" t="inlineStr">
        <is>
          <t>20532</t>
        </is>
      </c>
      <c r="B20580" s="4" t="s">
        <f>=HYPERLINK("http://anyluxury.ru/shop/odezhda/rubashki-polo/rubashka-polo-uniseks-pegase-seriy-melanzh-04242360/" , "04242360 Рубашка поло унисекс Pegase, серый меланж, размер 4XL")</f>
      </c>
      <c r="C20580" s="4" t="n">
        <v>2826.00</v>
      </c>
      <c r="D20580" s="4"/>
    </row>
    <row collapsed="" customFormat="false" customHeight="1" hidden="" ht="14" outlineLevel="0" r="20581">
      <c r="A20581" s="3" t="inlineStr">
        <is>
          <t>20533</t>
        </is>
      </c>
      <c r="B20581" s="4" t="s">
        <f>=HYPERLINK("http://anyluxury.ru/shop/odezhda/rubashki-polo/rubashka-polo-uniseks-pegase-yarkosinyaya-royal-04242241/" , "04242241 Рубашка поло унисекс Pegase, ярко-синяя (royal), размер XS")</f>
      </c>
      <c r="C20581" s="4" t="n">
        <v>1767.00</v>
      </c>
      <c r="D20581" s="4"/>
    </row>
    <row collapsed="" customFormat="false" customHeight="1" hidden="" ht="14" outlineLevel="0" r="20582">
      <c r="A20582" s="3" t="inlineStr">
        <is>
          <t>20534</t>
        </is>
      </c>
      <c r="B20582" s="4" t="s">
        <f>=HYPERLINK("http://anyluxury.ru/shop/odezhda/rubashki-polo/rubashka-polo-uniseks-pegase-yarkosinyaya-royal-04242241/" , "04242241 Рубашка поло унисекс Pegase, ярко-синяя (royal), размер S")</f>
      </c>
      <c r="C20582" s="4" t="n">
        <v>1767.00</v>
      </c>
      <c r="D20582" s="4"/>
    </row>
    <row collapsed="" customFormat="false" customHeight="1" hidden="" ht="14" outlineLevel="0" r="20583">
      <c r="A20583" s="3" t="inlineStr">
        <is>
          <t>20535</t>
        </is>
      </c>
      <c r="B20583" s="4" t="s">
        <f>=HYPERLINK("http://anyluxury.ru/shop/odezhda/rubashki-polo/rubashka-polo-uniseks-pegase-yarkosinyaya-royal-04242241/" , "04242241 Рубашка поло унисекс Pegase, ярко-синяя (royal), размер M")</f>
      </c>
      <c r="C20583" s="4" t="n">
        <v>1767.00</v>
      </c>
      <c r="D20583" s="4"/>
    </row>
    <row collapsed="" customFormat="false" customHeight="1" hidden="" ht="14" outlineLevel="0" r="20584">
      <c r="A20584" s="3" t="inlineStr">
        <is>
          <t>20536</t>
        </is>
      </c>
      <c r="B20584" s="4" t="s">
        <f>=HYPERLINK("http://anyluxury.ru/shop/odezhda/rubashki-polo/rubashka-polo-uniseks-pegase-yarkosinyaya-royal-04242241/" , "04242241 Рубашка поло унисекс Pegase, ярко-синяя (royal), размер L")</f>
      </c>
      <c r="C20584" s="4" t="n">
        <v>1767.00</v>
      </c>
      <c r="D20584" s="4"/>
    </row>
    <row collapsed="" customFormat="false" customHeight="1" hidden="" ht="14" outlineLevel="0" r="20585">
      <c r="A20585" s="3" t="inlineStr">
        <is>
          <t>20537</t>
        </is>
      </c>
      <c r="B20585" s="4" t="s">
        <f>=HYPERLINK("http://anyluxury.ru/shop/odezhda/rubashki-polo/rubashka-polo-uniseks-pegase-yarkosinyaya-royal-04242241/" , "04242241 Рубашка поло унисекс Pegase, ярко-синяя (royal), размер XL")</f>
      </c>
      <c r="C20585" s="4" t="n">
        <v>1767.00</v>
      </c>
      <c r="D20585" s="4"/>
    </row>
    <row collapsed="" customFormat="false" customHeight="1" hidden="" ht="14" outlineLevel="0" r="20586">
      <c r="A20586" s="3" t="inlineStr">
        <is>
          <t>20538</t>
        </is>
      </c>
      <c r="B20586" s="4" t="s">
        <f>=HYPERLINK("http://anyluxury.ru/shop/odezhda/rubashki-polo/rubashka-polo-uniseks-pegase-yarkosinyaya-royal-04242241/" , "04242241 Рубашка поло унисекс Pegase, ярко-синяя (royal), размер XXL")</f>
      </c>
      <c r="C20586" s="4" t="n">
        <v>1767.00</v>
      </c>
      <c r="D20586" s="4"/>
    </row>
    <row collapsed="" customFormat="false" customHeight="1" hidden="" ht="14" outlineLevel="0" r="20587">
      <c r="A20587" s="3" t="inlineStr">
        <is>
          <t>20539</t>
        </is>
      </c>
      <c r="B20587" s="4" t="s">
        <f>=HYPERLINK("http://anyluxury.ru/shop/odezhda/rubashki-polo/rubashka-polo-uniseks-pegase-yarkosinyaya-royal-04242241/" , "04242241 Рубашка поло унисекс Pegase, ярко-синяя (royal), размер 3XL")</f>
      </c>
      <c r="C20587" s="4" t="n">
        <v>2067.00</v>
      </c>
      <c r="D20587" s="4"/>
    </row>
    <row collapsed="" customFormat="false" customHeight="1" hidden="" ht="14" outlineLevel="0" r="20588">
      <c r="A20588" s="3" t="inlineStr">
        <is>
          <t>20540</t>
        </is>
      </c>
      <c r="B20588" s="4" t="s">
        <f>=HYPERLINK("http://anyluxury.ru/shop/odezhda/rubashki-polo/rubashka-polo-uniseks-pegase-vesenniy-zeleniy-04242290/" , "04242290 Рубашка поло унисекс Pegase, весенний зеленый, размер XS")</f>
      </c>
      <c r="C20588" s="4" t="n">
        <v>1767.00</v>
      </c>
      <c r="D20588" s="4"/>
    </row>
    <row collapsed="" customFormat="false" customHeight="1" hidden="" ht="14" outlineLevel="0" r="20589">
      <c r="A20589" s="3" t="inlineStr">
        <is>
          <t>20541</t>
        </is>
      </c>
      <c r="B20589" s="4" t="s">
        <f>=HYPERLINK("http://anyluxury.ru/shop/odezhda/rubashki-polo/rubashka-polo-uniseks-pegase-vesenniy-zeleniy-04242290/" , "04242290 Рубашка поло унисекс Pegase, весенний зеленый, размер S")</f>
      </c>
      <c r="C20589" s="4" t="n">
        <v>1767.00</v>
      </c>
      <c r="D20589" s="4"/>
    </row>
    <row collapsed="" customFormat="false" customHeight="1" hidden="" ht="14" outlineLevel="0" r="20590">
      <c r="A20590" s="3" t="inlineStr">
        <is>
          <t>20542</t>
        </is>
      </c>
      <c r="B20590" s="4" t="s">
        <f>=HYPERLINK("http://anyluxury.ru/shop/odezhda/rubashki-polo/rubashka-polo-uniseks-pegase-vesenniy-zeleniy-04242290/" , "04242290 Рубашка поло унисекс Pegase, весенний зеленый, размер M")</f>
      </c>
      <c r="C20590" s="4" t="n">
        <v>1767.00</v>
      </c>
      <c r="D20590" s="4"/>
    </row>
    <row collapsed="" customFormat="false" customHeight="1" hidden="" ht="14" outlineLevel="0" r="20591">
      <c r="A20591" s="3" t="inlineStr">
        <is>
          <t>20543</t>
        </is>
      </c>
      <c r="B20591" s="4" t="s">
        <f>=HYPERLINK("http://anyluxury.ru/shop/odezhda/rubashki-polo/rubashka-polo-uniseks-pegase-vesenniy-zeleniy-04242290/" , "04242290 Рубашка поло унисекс Pegase, весенний зеленый, размер L")</f>
      </c>
      <c r="C20591" s="4" t="n">
        <v>1767.00</v>
      </c>
      <c r="D20591" s="4"/>
    </row>
    <row collapsed="" customFormat="false" customHeight="1" hidden="" ht="14" outlineLevel="0" r="20592">
      <c r="A20592" s="3" t="inlineStr">
        <is>
          <t>20544</t>
        </is>
      </c>
      <c r="B20592" s="4" t="s">
        <f>=HYPERLINK("http://anyluxury.ru/shop/odezhda/rubashki-polo/rubashka-polo-uniseks-pegase-vesenniy-zeleniy-04242290/" , "04242290 Рубашка поло унисекс Pegase, весенний зеленый, размер XL")</f>
      </c>
      <c r="C20592" s="4" t="n">
        <v>1767.00</v>
      </c>
      <c r="D20592" s="4"/>
    </row>
    <row collapsed="" customFormat="false" customHeight="1" hidden="" ht="14" outlineLevel="0" r="20593">
      <c r="A20593" s="3" t="inlineStr">
        <is>
          <t>20545</t>
        </is>
      </c>
      <c r="B20593" s="4" t="s">
        <f>=HYPERLINK("http://anyluxury.ru/shop/odezhda/rubashki-polo/rubashka-polo-uniseks-pegase-vesenniy-zeleniy-04242290/" , "04242290 Рубашка поло унисекс Pegase, весенний зеленый, размер XXL")</f>
      </c>
      <c r="C20593" s="4" t="n">
        <v>1767.00</v>
      </c>
      <c r="D20593" s="4"/>
    </row>
    <row collapsed="" customFormat="false" customHeight="1" hidden="" ht="14" outlineLevel="0" r="20594">
      <c r="A20594" s="3" t="inlineStr">
        <is>
          <t>20546</t>
        </is>
      </c>
      <c r="B20594" s="4" t="s">
        <f>=HYPERLINK("http://anyluxury.ru/shop/odezhda/rubashki-polo/rubashka-polo-uniseks-pegase-vesenniy-zeleniy-04242290/" , "04242290 Рубашка поло унисекс Pegase, весенний зеленый, размер 3XL")</f>
      </c>
      <c r="C20594" s="4" t="n">
        <v>2067.00</v>
      </c>
      <c r="D20594" s="4"/>
    </row>
    <row collapsed="" customFormat="false" customHeight="1" hidden="" ht="14" outlineLevel="0" r="20595">
      <c r="A20595" s="3" t="inlineStr">
        <is>
          <t>20547</t>
        </is>
      </c>
      <c r="B20595" s="4" t="s">
        <f>=HYPERLINK("http://anyluxury.ru/shop/odezhda/rubashki-polo/rubashka-polo-uniseks-pegase-belaya-04242102/" , "04242102 Рубашка поло унисекс Pegase, белая, размер XXS")</f>
      </c>
      <c r="C20595" s="4" t="n">
        <v>1710.00</v>
      </c>
      <c r="D20595" s="4"/>
    </row>
    <row collapsed="" customFormat="false" customHeight="1" hidden="" ht="14" outlineLevel="0" r="20596">
      <c r="A20596" s="3" t="inlineStr">
        <is>
          <t>20548</t>
        </is>
      </c>
      <c r="B20596" s="4" t="s">
        <f>=HYPERLINK("http://anyluxury.ru/shop/odezhda/rubashki-polo/rubashka-polo-uniseks-pegase-belaya-04242102/" , "04242102 Рубашка поло унисекс Pegase, белая, размер XS")</f>
      </c>
      <c r="C20596" s="4" t="n">
        <v>1710.00</v>
      </c>
      <c r="D20596" s="4"/>
    </row>
    <row collapsed="" customFormat="false" customHeight="1" hidden="" ht="14" outlineLevel="0" r="20597">
      <c r="A20597" s="3" t="inlineStr">
        <is>
          <t>20549</t>
        </is>
      </c>
      <c r="B20597" s="4" t="s">
        <f>=HYPERLINK("http://anyluxury.ru/shop/odezhda/rubashki-polo/rubashka-polo-uniseks-pegase-belaya-04242102/" , "04242102 Рубашка поло унисекс Pegase, белая, размер S")</f>
      </c>
      <c r="C20597" s="4" t="n">
        <v>1710.00</v>
      </c>
      <c r="D20597" s="4"/>
    </row>
    <row collapsed="" customFormat="false" customHeight="1" hidden="" ht="14" outlineLevel="0" r="20598">
      <c r="A20598" s="3" t="inlineStr">
        <is>
          <t>20550</t>
        </is>
      </c>
      <c r="B20598" s="4" t="s">
        <f>=HYPERLINK("http://anyluxury.ru/shop/odezhda/rubashki-polo/rubashka-polo-uniseks-pegase-belaya-04242102/" , "04242102 Рубашка поло унисекс Pegase, белая, размер M")</f>
      </c>
      <c r="C20598" s="4" t="n">
        <v>1710.00</v>
      </c>
      <c r="D20598" s="4"/>
    </row>
    <row collapsed="" customFormat="false" customHeight="1" hidden="" ht="14" outlineLevel="0" r="20599">
      <c r="A20599" s="3" t="inlineStr">
        <is>
          <t>20551</t>
        </is>
      </c>
      <c r="B20599" s="4" t="s">
        <f>=HYPERLINK("http://anyluxury.ru/shop/odezhda/rubashki-polo/rubashka-polo-uniseks-pegase-belaya-04242102/" , "04242102 Рубашка поло унисекс Pegase, белая, размер L")</f>
      </c>
      <c r="C20599" s="4" t="n">
        <v>1710.00</v>
      </c>
      <c r="D20599" s="4"/>
    </row>
    <row collapsed="" customFormat="false" customHeight="1" hidden="" ht="14" outlineLevel="0" r="20600">
      <c r="A20600" s="3" t="inlineStr">
        <is>
          <t>20552</t>
        </is>
      </c>
      <c r="B20600" s="4" t="s">
        <f>=HYPERLINK("http://anyluxury.ru/shop/odezhda/rubashki-polo/rubashka-polo-uniseks-pegase-belaya-04242102/" , "04242102 Рубашка поло унисекс Pegase, белая, размер XL")</f>
      </c>
      <c r="C20600" s="4" t="n">
        <v>1710.00</v>
      </c>
      <c r="D20600" s="4"/>
    </row>
    <row collapsed="" customFormat="false" customHeight="1" hidden="" ht="14" outlineLevel="0" r="20601">
      <c r="A20601" s="3" t="inlineStr">
        <is>
          <t>20553</t>
        </is>
      </c>
      <c r="B20601" s="4" t="s">
        <f>=HYPERLINK("http://anyluxury.ru/shop/odezhda/rubashki-polo/rubashka-polo-uniseks-pegase-belaya-04242102/" , "04242102 Рубашка поло унисекс Pegase, белая, размер XXL")</f>
      </c>
      <c r="C20601" s="4" t="n">
        <v>1710.00</v>
      </c>
      <c r="D20601" s="4"/>
    </row>
    <row collapsed="" customFormat="false" customHeight="1" hidden="" ht="14" outlineLevel="0" r="20602">
      <c r="A20602" s="3" t="inlineStr">
        <is>
          <t>20554</t>
        </is>
      </c>
      <c r="B20602" s="4" t="s">
        <f>=HYPERLINK("http://anyluxury.ru/shop/odezhda/rubashki-polo/rubashka-polo-uniseks-pegase-belaya-04242102/" , "04242102 Рубашка поло унисекс Pegase, белая, размер 3XL")</f>
      </c>
      <c r="C20602" s="4" t="n">
        <v>1997.00</v>
      </c>
      <c r="D20602" s="4"/>
    </row>
    <row collapsed="" customFormat="false" customHeight="1" hidden="" ht="14" outlineLevel="0" r="20603">
      <c r="A20603" s="3" t="inlineStr">
        <is>
          <t>20555</t>
        </is>
      </c>
      <c r="B20603" s="4" t="s">
        <f>=HYPERLINK("http://anyluxury.ru/shop/odezhda/rubashki-polo/rubashka-polo-uniseks-pegase-belaya-04242102/" , "04242102 Рубашка поло унисекс Pegase, белая, размер 4XL")</f>
      </c>
      <c r="C20603" s="4" t="n">
        <v>2734.00</v>
      </c>
      <c r="D20603" s="4"/>
    </row>
    <row collapsed="" customFormat="false" customHeight="1" hidden="" ht="14" outlineLevel="0" r="20604">
      <c r="A20604" s="3" t="inlineStr">
        <is>
          <t>20556</t>
        </is>
      </c>
      <c r="B20604" s="4" t="s">
        <f>=HYPERLINK("http://anyluxury.ru/shop/odezhda/rubashki-polo/rubashka-polo-uniseks-s-dlinnim-rukavom-planet-lsl-chernaya-04241312/" , "04241312 Рубашка поло унисекс с длинным рукавом Planet LSL, черная, размер S")</f>
      </c>
      <c r="C20604" s="4" t="n">
        <v>2089.00</v>
      </c>
      <c r="D20604" s="4"/>
    </row>
    <row collapsed="" customFormat="false" customHeight="1" hidden="" ht="14" outlineLevel="0" r="20605">
      <c r="A20605" s="3" t="inlineStr">
        <is>
          <t>20557</t>
        </is>
      </c>
      <c r="B20605" s="4" t="s">
        <f>=HYPERLINK("http://anyluxury.ru/shop/odezhda/rubashki-polo/rubashka-polo-uniseks-s-dlinnim-rukavom-planet-lsl-chernaya-04241312/" , "04241312 Рубашка поло унисекс с длинным рукавом Planet LSL, черная, размер M")</f>
      </c>
      <c r="C20605" s="4" t="n">
        <v>2089.00</v>
      </c>
      <c r="D20605" s="4"/>
    </row>
    <row collapsed="" customFormat="false" customHeight="1" hidden="" ht="14" outlineLevel="0" r="20606">
      <c r="A20606" s="3" t="inlineStr">
        <is>
          <t>20558</t>
        </is>
      </c>
      <c r="B20606" s="4" t="s">
        <f>=HYPERLINK("http://anyluxury.ru/shop/odezhda/rubashki-polo/rubashka-polo-uniseks-s-dlinnim-rukavom-planet-lsl-chernaya-04241312/" , "04241312 Рубашка поло унисекс с длинным рукавом Planet LSL, черная, размер L")</f>
      </c>
      <c r="C20606" s="4" t="n">
        <v>2089.00</v>
      </c>
      <c r="D20606" s="4"/>
    </row>
    <row collapsed="" customFormat="false" customHeight="1" hidden="" ht="14" outlineLevel="0" r="20607">
      <c r="A20607" s="3" t="inlineStr">
        <is>
          <t>20559</t>
        </is>
      </c>
      <c r="B20607" s="4" t="s">
        <f>=HYPERLINK("http://anyluxury.ru/shop/odezhda/rubashki-polo/rubashka-polo-uniseks-s-dlinnim-rukavom-planet-lsl-chernaya-04241312/" , "04241312 Рубашка поло унисекс с длинным рукавом Planet LSL, черная, размер XL")</f>
      </c>
      <c r="C20607" s="4" t="n">
        <v>2089.00</v>
      </c>
      <c r="D20607" s="4"/>
    </row>
    <row collapsed="" customFormat="false" customHeight="1" hidden="" ht="14" outlineLevel="0" r="20608">
      <c r="A20608" s="3" t="inlineStr">
        <is>
          <t>20560</t>
        </is>
      </c>
      <c r="B20608" s="4" t="s">
        <f>=HYPERLINK("http://anyluxury.ru/shop/odezhda/rubashki-polo/rubashka-polo-uniseks-s-dlinnim-rukavom-planet-lsl-chernaya-04241312/" , "04241312 Рубашка поло унисекс с длинным рукавом Planet LSL, черная, размер XXL")</f>
      </c>
      <c r="C20608" s="4" t="n">
        <v>2089.00</v>
      </c>
      <c r="D20608" s="4"/>
    </row>
    <row collapsed="" customFormat="false" customHeight="1" hidden="" ht="14" outlineLevel="0" r="20609">
      <c r="A20609" s="3" t="inlineStr">
        <is>
          <t>20561</t>
        </is>
      </c>
      <c r="B20609" s="4" t="s">
        <f>=HYPERLINK("http://anyluxury.ru/shop/odezhda/rubashki-polo/rubashka-polo-uniseks-s-dlinnim-rukavom-planet-lsl-chernaya-04241312/" , "04241312 Рубашка поло унисекс с длинным рукавом Planet LSL, черная, размер 3XL")</f>
      </c>
      <c r="C20609" s="4" t="n">
        <v>2444.00</v>
      </c>
      <c r="D20609" s="4"/>
    </row>
    <row collapsed="" customFormat="false" customHeight="1" hidden="" ht="14" outlineLevel="0" r="20610">
      <c r="A20610" s="3" t="inlineStr">
        <is>
          <t>20562</t>
        </is>
      </c>
      <c r="B20610" s="4" t="s">
        <f>=HYPERLINK("http://anyluxury.ru/shop/odezhda/rubashki-polo/rubashka-polo-uniseks-s-dlinnim-rukavom-planet-lsl-chernaya-04241312/" , "04241312 Рубашка поло унисекс с длинным рукавом Planet LSL, черная, размер 4XL")</f>
      </c>
      <c r="C20610" s="4" t="n">
        <v>2925.00</v>
      </c>
      <c r="D20610" s="4"/>
    </row>
    <row collapsed="" customFormat="false" customHeight="1" hidden="" ht="14" outlineLevel="0" r="20611">
      <c r="A20611" s="3" t="inlineStr">
        <is>
          <t>20563</t>
        </is>
      </c>
      <c r="B20611" s="4" t="s">
        <f>=HYPERLINK("http://anyluxury.ru/shop/odezhda/rubashki-polo/rubashka-polo-uniseks-s-dlinnim-rukavom-planet-lsl-chernaya-04241312/" , "04241312 Рубашка поло унисекс с длинным рукавом Planet LSL, черная, размер 5XL")</f>
      </c>
      <c r="C20611" s="4" t="n">
        <v>2925.00</v>
      </c>
      <c r="D20611" s="4"/>
    </row>
    <row collapsed="" customFormat="false" customHeight="1" hidden="" ht="14" outlineLevel="0" r="20612">
      <c r="A20612" s="3" t="inlineStr">
        <is>
          <t>20564</t>
        </is>
      </c>
      <c r="B20612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S")</f>
      </c>
      <c r="C20612" s="4" t="n">
        <v>2089.00</v>
      </c>
      <c r="D20612" s="4"/>
    </row>
    <row collapsed="" customFormat="false" customHeight="1" hidden="" ht="14" outlineLevel="0" r="20613">
      <c r="A20613" s="3" t="inlineStr">
        <is>
          <t>20565</t>
        </is>
      </c>
      <c r="B20613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M")</f>
      </c>
      <c r="C20613" s="4" t="n">
        <v>2089.00</v>
      </c>
      <c r="D20613" s="4"/>
    </row>
    <row collapsed="" customFormat="false" customHeight="1" hidden="" ht="14" outlineLevel="0" r="20614">
      <c r="A20614" s="3" t="inlineStr">
        <is>
          <t>20566</t>
        </is>
      </c>
      <c r="B20614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L")</f>
      </c>
      <c r="C20614" s="4" t="n">
        <v>2089.00</v>
      </c>
      <c r="D20614" s="4"/>
    </row>
    <row collapsed="" customFormat="false" customHeight="1" hidden="" ht="14" outlineLevel="0" r="20615">
      <c r="A20615" s="3" t="inlineStr">
        <is>
          <t>20567</t>
        </is>
      </c>
      <c r="B20615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XL")</f>
      </c>
      <c r="C20615" s="4" t="n">
        <v>2089.00</v>
      </c>
      <c r="D20615" s="4"/>
    </row>
    <row collapsed="" customFormat="false" customHeight="1" hidden="" ht="14" outlineLevel="0" r="20616">
      <c r="A20616" s="3" t="inlineStr">
        <is>
          <t>20568</t>
        </is>
      </c>
      <c r="B20616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XXL")</f>
      </c>
      <c r="C20616" s="4" t="n">
        <v>2089.00</v>
      </c>
      <c r="D20616" s="4"/>
    </row>
    <row collapsed="" customFormat="false" customHeight="1" hidden="" ht="14" outlineLevel="0" r="20617">
      <c r="A20617" s="3" t="inlineStr">
        <is>
          <t>20569</t>
        </is>
      </c>
      <c r="B20617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3XL")</f>
      </c>
      <c r="C20617" s="4" t="n">
        <v>2444.00</v>
      </c>
      <c r="D20617" s="4"/>
    </row>
    <row collapsed="" customFormat="false" customHeight="1" hidden="" ht="14" outlineLevel="0" r="20618">
      <c r="A20618" s="3" t="inlineStr">
        <is>
          <t>20570</t>
        </is>
      </c>
      <c r="B20618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4XL")</f>
      </c>
      <c r="C20618" s="4" t="n">
        <v>2925.00</v>
      </c>
      <c r="D20618" s="4"/>
    </row>
    <row collapsed="" customFormat="false" customHeight="1" hidden="" ht="14" outlineLevel="0" r="20619">
      <c r="A20619" s="3" t="inlineStr">
        <is>
          <t>20571</t>
        </is>
      </c>
      <c r="B20619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5XL")</f>
      </c>
      <c r="C20619" s="4" t="n">
        <v>2925.00</v>
      </c>
      <c r="D20619" s="4"/>
    </row>
    <row collapsed="" customFormat="false" customHeight="1" hidden="" ht="14" outlineLevel="0" r="20620">
      <c r="A20620" s="3" t="inlineStr">
        <is>
          <t>20572</t>
        </is>
      </c>
      <c r="B20620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S")</f>
      </c>
      <c r="C20620" s="4" t="n">
        <v>2089.00</v>
      </c>
      <c r="D20620" s="4"/>
    </row>
    <row collapsed="" customFormat="false" customHeight="1" hidden="" ht="14" outlineLevel="0" r="20621">
      <c r="A20621" s="3" t="inlineStr">
        <is>
          <t>20573</t>
        </is>
      </c>
      <c r="B20621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M")</f>
      </c>
      <c r="C20621" s="4" t="n">
        <v>2089.00</v>
      </c>
      <c r="D20621" s="4"/>
    </row>
    <row collapsed="" customFormat="false" customHeight="1" hidden="" ht="14" outlineLevel="0" r="20622">
      <c r="A20622" s="3" t="inlineStr">
        <is>
          <t>20574</t>
        </is>
      </c>
      <c r="B20622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L")</f>
      </c>
      <c r="C20622" s="4" t="n">
        <v>2089.00</v>
      </c>
      <c r="D20622" s="4"/>
    </row>
    <row collapsed="" customFormat="false" customHeight="1" hidden="" ht="14" outlineLevel="0" r="20623">
      <c r="A20623" s="3" t="inlineStr">
        <is>
          <t>20575</t>
        </is>
      </c>
      <c r="B20623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XL")</f>
      </c>
      <c r="C20623" s="4" t="n">
        <v>2089.00</v>
      </c>
      <c r="D20623" s="4"/>
    </row>
    <row collapsed="" customFormat="false" customHeight="1" hidden="" ht="14" outlineLevel="0" r="20624">
      <c r="A20624" s="3" t="inlineStr">
        <is>
          <t>20576</t>
        </is>
      </c>
      <c r="B20624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XXL")</f>
      </c>
      <c r="C20624" s="4" t="n">
        <v>2089.00</v>
      </c>
      <c r="D20624" s="4"/>
    </row>
    <row collapsed="" customFormat="false" customHeight="1" hidden="" ht="14" outlineLevel="0" r="20625">
      <c r="A20625" s="3" t="inlineStr">
        <is>
          <t>20577</t>
        </is>
      </c>
      <c r="B20625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3XL")</f>
      </c>
      <c r="C20625" s="4" t="n">
        <v>2444.00</v>
      </c>
      <c r="D20625" s="4"/>
    </row>
    <row collapsed="" customFormat="false" customHeight="1" hidden="" ht="14" outlineLevel="0" r="20626">
      <c r="A20626" s="3" t="inlineStr">
        <is>
          <t>20578</t>
        </is>
      </c>
      <c r="B20626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4XL")</f>
      </c>
      <c r="C20626" s="4" t="n">
        <v>2925.00</v>
      </c>
      <c r="D20626" s="4"/>
    </row>
    <row collapsed="" customFormat="false" customHeight="1" hidden="" ht="14" outlineLevel="0" r="20627">
      <c r="A20627" s="3" t="inlineStr">
        <is>
          <t>20579</t>
        </is>
      </c>
      <c r="B20627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5XL")</f>
      </c>
      <c r="C20627" s="4" t="n">
        <v>2925.00</v>
      </c>
      <c r="D20627" s="4"/>
    </row>
    <row collapsed="" customFormat="false" customHeight="1" hidden="" ht="14" outlineLevel="0" r="20628">
      <c r="A20628" s="3" t="inlineStr">
        <is>
          <t>20580</t>
        </is>
      </c>
      <c r="B20628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S")</f>
      </c>
      <c r="C20628" s="4" t="n">
        <v>2089.00</v>
      </c>
      <c r="D20628" s="4"/>
    </row>
    <row collapsed="" customFormat="false" customHeight="1" hidden="" ht="14" outlineLevel="0" r="20629">
      <c r="A20629" s="3" t="inlineStr">
        <is>
          <t>20581</t>
        </is>
      </c>
      <c r="B20629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M")</f>
      </c>
      <c r="C20629" s="4" t="n">
        <v>2089.00</v>
      </c>
      <c r="D20629" s="4"/>
    </row>
    <row collapsed="" customFormat="false" customHeight="1" hidden="" ht="14" outlineLevel="0" r="20630">
      <c r="A20630" s="3" t="inlineStr">
        <is>
          <t>20582</t>
        </is>
      </c>
      <c r="B20630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L")</f>
      </c>
      <c r="C20630" s="4" t="n">
        <v>2089.00</v>
      </c>
      <c r="D20630" s="4"/>
    </row>
    <row collapsed="" customFormat="false" customHeight="1" hidden="" ht="14" outlineLevel="0" r="20631">
      <c r="A20631" s="3" t="inlineStr">
        <is>
          <t>20583</t>
        </is>
      </c>
      <c r="B20631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XL")</f>
      </c>
      <c r="C20631" s="4" t="n">
        <v>2089.00</v>
      </c>
      <c r="D20631" s="4"/>
    </row>
    <row collapsed="" customFormat="false" customHeight="1" hidden="" ht="14" outlineLevel="0" r="20632">
      <c r="A20632" s="3" t="inlineStr">
        <is>
          <t>20584</t>
        </is>
      </c>
      <c r="B20632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XXL")</f>
      </c>
      <c r="C20632" s="4" t="n">
        <v>2089.00</v>
      </c>
      <c r="D20632" s="4"/>
    </row>
    <row collapsed="" customFormat="false" customHeight="1" hidden="" ht="14" outlineLevel="0" r="20633">
      <c r="A20633" s="3" t="inlineStr">
        <is>
          <t>20585</t>
        </is>
      </c>
      <c r="B20633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3XL")</f>
      </c>
      <c r="C20633" s="4" t="n">
        <v>2444.00</v>
      </c>
      <c r="D20633" s="4"/>
    </row>
    <row collapsed="" customFormat="false" customHeight="1" hidden="" ht="14" outlineLevel="0" r="20634">
      <c r="A20634" s="3" t="inlineStr">
        <is>
          <t>20586</t>
        </is>
      </c>
      <c r="B20634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4XL")</f>
      </c>
      <c r="C20634" s="4" t="n">
        <v>2925.00</v>
      </c>
      <c r="D20634" s="4"/>
    </row>
    <row collapsed="" customFormat="false" customHeight="1" hidden="" ht="14" outlineLevel="0" r="20635">
      <c r="A20635" s="3" t="inlineStr">
        <is>
          <t>20587</t>
        </is>
      </c>
      <c r="B20635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5XL")</f>
      </c>
      <c r="C20635" s="4" t="n">
        <v>2925.00</v>
      </c>
      <c r="D20635" s="4"/>
    </row>
    <row collapsed="" customFormat="false" customHeight="1" hidden="" ht="14" outlineLevel="0" r="20636">
      <c r="A20636" s="3" t="inlineStr">
        <is>
          <t>20588</t>
        </is>
      </c>
      <c r="B20636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S")</f>
      </c>
      <c r="C20636" s="4" t="n">
        <v>2089.00</v>
      </c>
      <c r="D20636" s="4"/>
    </row>
    <row collapsed="" customFormat="false" customHeight="1" hidden="" ht="14" outlineLevel="0" r="20637">
      <c r="A20637" s="3" t="inlineStr">
        <is>
          <t>20589</t>
        </is>
      </c>
      <c r="B20637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M")</f>
      </c>
      <c r="C20637" s="4" t="n">
        <v>2089.00</v>
      </c>
      <c r="D20637" s="4"/>
    </row>
    <row collapsed="" customFormat="false" customHeight="1" hidden="" ht="14" outlineLevel="0" r="20638">
      <c r="A20638" s="3" t="inlineStr">
        <is>
          <t>20590</t>
        </is>
      </c>
      <c r="B20638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L")</f>
      </c>
      <c r="C20638" s="4" t="n">
        <v>2089.00</v>
      </c>
      <c r="D20638" s="4"/>
    </row>
    <row collapsed="" customFormat="false" customHeight="1" hidden="" ht="14" outlineLevel="0" r="20639">
      <c r="A20639" s="3" t="inlineStr">
        <is>
          <t>20591</t>
        </is>
      </c>
      <c r="B20639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XL")</f>
      </c>
      <c r="C20639" s="4" t="n">
        <v>2089.00</v>
      </c>
      <c r="D20639" s="4"/>
    </row>
    <row collapsed="" customFormat="false" customHeight="1" hidden="" ht="14" outlineLevel="0" r="20640">
      <c r="A20640" s="3" t="inlineStr">
        <is>
          <t>20592</t>
        </is>
      </c>
      <c r="B20640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XXL")</f>
      </c>
      <c r="C20640" s="4" t="n">
        <v>2089.00</v>
      </c>
      <c r="D20640" s="4"/>
    </row>
    <row collapsed="" customFormat="false" customHeight="1" hidden="" ht="14" outlineLevel="0" r="20641">
      <c r="A20641" s="3" t="inlineStr">
        <is>
          <t>20593</t>
        </is>
      </c>
      <c r="B20641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3XL")</f>
      </c>
      <c r="C20641" s="4" t="n">
        <v>2444.00</v>
      </c>
      <c r="D20641" s="4"/>
    </row>
    <row collapsed="" customFormat="false" customHeight="1" hidden="" ht="14" outlineLevel="0" r="20642">
      <c r="A20642" s="3" t="inlineStr">
        <is>
          <t>20594</t>
        </is>
      </c>
      <c r="B20642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4XL")</f>
      </c>
      <c r="C20642" s="4" t="n">
        <v>2925.00</v>
      </c>
      <c r="D20642" s="4"/>
    </row>
    <row collapsed="" customFormat="false" customHeight="1" hidden="" ht="14" outlineLevel="0" r="20643">
      <c r="A20643" s="3" t="inlineStr">
        <is>
          <t>20595</t>
        </is>
      </c>
      <c r="B20643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5XL")</f>
      </c>
      <c r="C20643" s="4" t="n">
        <v>2925.00</v>
      </c>
      <c r="D20643" s="4"/>
    </row>
    <row collapsed="" customFormat="false" customHeight="1" hidden="" ht="14" outlineLevel="0" r="20644">
      <c r="A20644" s="3" t="inlineStr">
        <is>
          <t>20596</t>
        </is>
      </c>
      <c r="B20644" s="4" t="s">
        <f>=HYPERLINK("http://anyluxury.ru/shop/odezhda/rubashki-polo/rubashka-polo-uniseks-s-dlinnim-rukavom-planet-lsl-belaya-04241102/" , "04241102 Рубашка поло унисекс с длинным рукавом Planet LSL, белая, размер S")</f>
      </c>
      <c r="C20644" s="4" t="n">
        <v>1831.00</v>
      </c>
      <c r="D20644" s="4"/>
    </row>
    <row collapsed="" customFormat="false" customHeight="1" hidden="" ht="14" outlineLevel="0" r="20645">
      <c r="A20645" s="3" t="inlineStr">
        <is>
          <t>20597</t>
        </is>
      </c>
      <c r="B20645" s="4" t="s">
        <f>=HYPERLINK("http://anyluxury.ru/shop/odezhda/rubashki-polo/rubashka-polo-uniseks-s-dlinnim-rukavom-planet-lsl-belaya-04241102/" , "04241102 Рубашка поло унисекс с длинным рукавом Planet LSL, белая, размер M")</f>
      </c>
      <c r="C20645" s="4" t="n">
        <v>1831.00</v>
      </c>
      <c r="D20645" s="4"/>
    </row>
    <row collapsed="" customFormat="false" customHeight="1" hidden="" ht="14" outlineLevel="0" r="20646">
      <c r="A20646" s="3" t="inlineStr">
        <is>
          <t>20598</t>
        </is>
      </c>
      <c r="B20646" s="4" t="s">
        <f>=HYPERLINK("http://anyluxury.ru/shop/odezhda/rubashki-polo/rubashka-polo-uniseks-s-dlinnim-rukavom-planet-lsl-belaya-04241102/" , "04241102 Рубашка поло унисекс с длинным рукавом Planet LSL, белая, размер L")</f>
      </c>
      <c r="C20646" s="4" t="n">
        <v>1831.00</v>
      </c>
      <c r="D20646" s="4"/>
    </row>
    <row collapsed="" customFormat="false" customHeight="1" hidden="" ht="14" outlineLevel="0" r="20647">
      <c r="A20647" s="3" t="inlineStr">
        <is>
          <t>20599</t>
        </is>
      </c>
      <c r="B20647" s="4" t="s">
        <f>=HYPERLINK("http://anyluxury.ru/shop/odezhda/rubashki-polo/rubashka-polo-uniseks-s-dlinnim-rukavom-planet-lsl-belaya-04241102/" , "04241102 Рубашка поло унисекс с длинным рукавом Planet LSL, белая, размер XL")</f>
      </c>
      <c r="C20647" s="4" t="n">
        <v>1831.00</v>
      </c>
      <c r="D20647" s="4"/>
    </row>
    <row collapsed="" customFormat="false" customHeight="1" hidden="" ht="14" outlineLevel="0" r="20648">
      <c r="A20648" s="3" t="inlineStr">
        <is>
          <t>20600</t>
        </is>
      </c>
      <c r="B20648" s="4" t="s">
        <f>=HYPERLINK("http://anyluxury.ru/shop/odezhda/rubashki-polo/rubashka-polo-uniseks-s-dlinnim-rukavom-planet-lsl-belaya-04241102/" , "04241102 Рубашка поло унисекс с длинным рукавом Planet LSL, белая, размер XXL")</f>
      </c>
      <c r="C20648" s="4" t="n">
        <v>1831.00</v>
      </c>
      <c r="D20648" s="4"/>
    </row>
    <row collapsed="" customFormat="false" customHeight="1" hidden="" ht="14" outlineLevel="0" r="20649">
      <c r="A20649" s="3" t="inlineStr">
        <is>
          <t>20601</t>
        </is>
      </c>
      <c r="B20649" s="4" t="s">
        <f>=HYPERLINK("http://anyluxury.ru/shop/odezhda/rubashki-polo/rubashka-polo-uniseks-s-dlinnim-rukavom-planet-lsl-belaya-04241102/" , "04241102 Рубашка поло унисекс с длинным рукавом Planet LSL, белая, размер 3XL")</f>
      </c>
      <c r="C20649" s="4" t="n">
        <v>2144.00</v>
      </c>
      <c r="D20649" s="4"/>
    </row>
    <row collapsed="" customFormat="false" customHeight="1" hidden="" ht="14" outlineLevel="0" r="20650">
      <c r="A20650" s="3" t="inlineStr">
        <is>
          <t>20602</t>
        </is>
      </c>
      <c r="B20650" s="4" t="s">
        <f>=HYPERLINK("http://anyluxury.ru/shop/odezhda/rubashki-polo/rubashka-polo-uniseks-s-dlinnim-rukavom-planet-lsl-belaya-04241102/" , "04241102 Рубашка поло унисекс с длинным рукавом Planet LSL, белая, размер 4XL")</f>
      </c>
      <c r="C20650" s="4" t="n">
        <v>2565.00</v>
      </c>
      <c r="D20650" s="4"/>
    </row>
    <row collapsed="" customFormat="false" customHeight="1" hidden="" ht="14" outlineLevel="0" r="20651">
      <c r="A20651" s="3" t="inlineStr">
        <is>
          <t>20603</t>
        </is>
      </c>
      <c r="B20651" s="4" t="s">
        <f>=HYPERLINK("http://anyluxury.ru/shop/odezhda/rubashki-polo/rubashka-polo-uniseks-s-dlinnim-rukavom-planet-lsl-belaya-04241102/" , "04241102 Рубашка поло унисекс с длинным рукавом Planet LSL, белая, размер 5XL")</f>
      </c>
      <c r="C20651" s="4" t="n">
        <v>2565.00</v>
      </c>
      <c r="D20651" s="4"/>
    </row>
    <row collapsed="" customFormat="false" customHeight="" hidden="" ht="12.1" outlineLevel="0" r="20652">
      <c r="A20652" s="5" t="inlineStr">
        <is>
          <t>Отдых</t>
        </is>
      </c>
      <c r="B20652" s="6"/>
      <c r="C20652" s="6"/>
      <c r="D20652" s="6"/>
    </row>
    <row collapsed="" customFormat="false" customHeight="" hidden="" ht="12.1" outlineLevel="0" r="20653">
      <c r="A20653" s="5" t="inlineStr">
        <is>
          <t> -  - Игры и головоломки</t>
        </is>
      </c>
      <c r="B20653" s="6"/>
      <c r="C20653" s="6"/>
      <c r="D20653" s="6"/>
    </row>
    <row collapsed="" customFormat="false" customHeight="1" hidden="" ht="14" outlineLevel="0" r="20654">
      <c r="A20654" s="3" t="inlineStr">
        <is>
          <t>20604</t>
        </is>
      </c>
      <c r="B20654" s="4" t="s">
        <f>=HYPERLINK("http://anyluxury.ru/shop/otdykh/igry-i-golovolomki/nabor-dlya-igry-v-plyazhnyy-tennis-cupsol-zelenyy/" , "MKT4578grn Набор для игры в пляжный теннис Cupsol, зеленый")</f>
      </c>
      <c r="C20654" s="4" t="n">
        <v>315.00</v>
      </c>
      <c r="D20654" s="4"/>
    </row>
    <row collapsed="" customFormat="false" customHeight="1" hidden="" ht="14" outlineLevel="0" r="20655">
      <c r="A20655" s="3" t="inlineStr">
        <is>
          <t>20605</t>
        </is>
      </c>
      <c r="B20655" s="4" t="s">
        <f>=HYPERLINK("http://anyluxury.ru/shop/otdykh/igry-i-golovolomki/nabor-igr-5-v-1-p940181/" , "P940.181 Набор игр 5 в 1")</f>
      </c>
      <c r="C20655" s="4" t="n">
        <v>2338.00</v>
      </c>
      <c r="D20655" s="4"/>
    </row>
    <row collapsed="" customFormat="false" customHeight="1" hidden="" ht="14" outlineLevel="0" r="20656">
      <c r="A20656" s="3" t="inlineStr">
        <is>
          <t>20606</t>
        </is>
      </c>
      <c r="B20656" s="4" t="s">
        <f>=HYPERLINK("http://anyluxury.ru/shop/otdykh/igry-i-golovolomki/nabor-golovolomok-p940201/" , "P940.201 Набор головоломок")</f>
      </c>
      <c r="C20656" s="4" t="n">
        <v>1649.00</v>
      </c>
      <c r="D20656" s="4"/>
    </row>
    <row collapsed="" customFormat="false" customHeight="1" hidden="" ht="14" outlineLevel="0" r="20657">
      <c r="A20657" s="3" t="inlineStr">
        <is>
          <t>20607</t>
        </is>
      </c>
      <c r="B20657" s="4" t="s">
        <f>=HYPERLINK("http://anyluxury.ru/shop/otdykh/igry-i-golovolomki/igra-derevyannaya-bashnya-mini-535100/" , "5351.00 Игра «Деревянная башня мини», неокрашенная")</f>
      </c>
      <c r="C20657" s="4" t="n">
        <v>490.00</v>
      </c>
      <c r="D20657" s="4"/>
    </row>
    <row collapsed="" customFormat="false" customHeight="1" hidden="" ht="14" outlineLevel="0" r="20658">
      <c r="A20658" s="3" t="inlineStr">
        <is>
          <t>20608</t>
        </is>
      </c>
      <c r="B20658" s="4" t="s">
        <f>=HYPERLINK("http://anyluxury.ru/shop/otdykh/igry-i-golovolomki/shahmati-dorozhnie-damier-344630/" , "3446.30 Шахматы дорожные Damier")</f>
      </c>
      <c r="C20658" s="4" t="n">
        <v>652.00</v>
      </c>
      <c r="D20658" s="4"/>
    </row>
    <row collapsed="" customFormat="false" customHeight="1" hidden="" ht="14" outlineLevel="0" r="20659">
      <c r="A20659" s="3" t="inlineStr">
        <is>
          <t>20609</t>
        </is>
      </c>
      <c r="B20659" s="4" t="s">
        <f>=HYPERLINK("http://anyluxury.ru/shop/otdykh/igry-i-golovolomki/igra-derevyannaya-bashnya-bolshaya-344800/" , "3448.00 Игра «Деревянная башня», большая")</f>
      </c>
      <c r="C20659" s="4" t="n">
        <v>1488.00</v>
      </c>
      <c r="D20659" s="4"/>
    </row>
    <row collapsed="" customFormat="false" customHeight="1" hidden="" ht="14" outlineLevel="0" r="20660">
      <c r="A20660" s="3" t="inlineStr">
        <is>
          <t>20610</t>
        </is>
      </c>
      <c r="B20660" s="4" t="s">
        <f>=HYPERLINK("http://anyluxury.ru/shop/otdykh/igry-i-golovolomki/pazl-tricky-dlya-sublimacionnoy-pechati-beliy-3380/" , "3380 Пазл Tricky для сублимационной печати, белый")</f>
      </c>
      <c r="C20660" s="4" t="n">
        <v>249.00</v>
      </c>
      <c r="D20660" s="4"/>
    </row>
    <row collapsed="" customFormat="false" customHeight="1" hidden="" ht="14" outlineLevel="0" r="20661">
      <c r="A20661" s="3" t="inlineStr">
        <is>
          <t>20611</t>
        </is>
      </c>
      <c r="B20661" s="4" t="s">
        <f>=HYPERLINK("http://anyluxury.ru/shop/otdykh/igry-i-golovolomki/igra-derevyannaya-bashnya-mini-krasnaya-535150/" , "5351.50 Игра «Деревянная башня мини», красная")</f>
      </c>
      <c r="C20661" s="4" t="n">
        <v>490.00</v>
      </c>
      <c r="D20661" s="4"/>
    </row>
    <row collapsed="" customFormat="false" customHeight="1" hidden="" ht="14" outlineLevel="0" r="20662">
      <c r="A20662" s="3" t="inlineStr">
        <is>
          <t>20612</t>
        </is>
      </c>
      <c r="B20662" s="4" t="s">
        <f>=HYPERLINK("http://anyluxury.ru/shop/otdykh/igry-i-golovolomki/igra-derevyannaya-bashnya-mini-sinyaya-535140/" , "5351.40 Игра «Деревянная башня мини», синяя")</f>
      </c>
      <c r="C20662" s="4" t="n">
        <v>490.00</v>
      </c>
      <c r="D20662" s="4"/>
    </row>
    <row collapsed="" customFormat="false" customHeight="1" hidden="" ht="14" outlineLevel="0" r="20663">
      <c r="A20663" s="3" t="inlineStr">
        <is>
          <t>20613</t>
        </is>
      </c>
      <c r="B20663" s="4" t="s">
        <f>=HYPERLINK("http://anyluxury.ru/shop/otdykh/igry-i-golovolomki/naduvnoy-plyazhniy-myach-sun-and-fun-74143/" , "74143 Надувной пляжный мяч Sunny Fun")</f>
      </c>
      <c r="C20663" s="4" t="n">
        <v>293.00</v>
      </c>
      <c r="D20663" s="4"/>
    </row>
    <row collapsed="" customFormat="false" customHeight="1" hidden="" ht="14" outlineLevel="0" r="20664">
      <c r="A20664" s="3" t="inlineStr">
        <is>
          <t>20614</t>
        </is>
      </c>
      <c r="B20664" s="4" t="s">
        <f>=HYPERLINK("http://anyluxury.ru/shop/otdykh/igry-i-golovolomki/naduvnoy-plyazhniy-myach-sun-and-fun-poluprozrachniy-siniy-7414440/" , "74144.40 Надувной пляжный мяч Sun and Fun, полупрозрачный синий")</f>
      </c>
      <c r="C20664" s="4" t="n">
        <v>287.00</v>
      </c>
      <c r="D20664" s="4"/>
    </row>
    <row collapsed="" customFormat="false" customHeight="1" hidden="" ht="14" outlineLevel="0" r="20665">
      <c r="A20665" s="3" t="inlineStr">
        <is>
          <t>20615</t>
        </is>
      </c>
      <c r="B20665" s="4" t="s">
        <f>=HYPERLINK("http://anyluxury.ru/shop/otdykh/igry-i-golovolomki/fraktalniy-pazl-asterisk-elementary-1144601/" , "11446.01 Фрактальный пазл Asterisk Elementary")</f>
      </c>
      <c r="C20665" s="4" t="n">
        <v>992.00</v>
      </c>
      <c r="D20665" s="4"/>
    </row>
    <row collapsed="" customFormat="false" customHeight="1" hidden="" ht="14" outlineLevel="0" r="20666">
      <c r="A20666" s="3" t="inlineStr">
        <is>
          <t>20616</t>
        </is>
      </c>
      <c r="B20666" s="4" t="s">
        <f>=HYPERLINK("http://anyluxury.ru/shop/otdykh/igry-i-golovolomki/fraktalniy-pazl-puzzliki-asterisk-medium-26-detaley-1144701/" , "11447.01 Фрактальный пазл Puzzliki Asterisk Medium, 26 деталей")</f>
      </c>
      <c r="C20666" s="4" t="n">
        <v>992.00</v>
      </c>
      <c r="D20666" s="4"/>
    </row>
    <row collapsed="" customFormat="false" customHeight="1" hidden="" ht="14" outlineLevel="0" r="20667">
      <c r="A20667" s="3" t="inlineStr">
        <is>
          <t>20617</t>
        </is>
      </c>
      <c r="B20667" s="4" t="s">
        <f>=HYPERLINK("http://anyluxury.ru/shop/otdykh/igry-i-golovolomki/fraktalniy-pazl-puzzliki-asterisk-medium-29-detaley-1144702/" , "11447.02 Фрактальный пазл Puzzliki Asterisk Medium, 29 деталей")</f>
      </c>
      <c r="C20667" s="4" t="n">
        <v>1192.00</v>
      </c>
      <c r="D20667" s="4"/>
    </row>
    <row collapsed="" customFormat="false" customHeight="1" hidden="" ht="14" outlineLevel="0" r="20668">
      <c r="A20668" s="3" t="inlineStr">
        <is>
          <t>20618</t>
        </is>
      </c>
      <c r="B20668" s="4" t="s">
        <f>=HYPERLINK("http://anyluxury.ru/shop/otdykh/igry-i-golovolomki/fraktalniy-pazl-puzzliki-asterisk-hard-1144801/" , "11448.01 Фрактальный пазл Puzzliki Asterisk Hard")</f>
      </c>
      <c r="C20668" s="4" t="n">
        <v>1192.00</v>
      </c>
      <c r="D20668" s="4"/>
    </row>
    <row collapsed="" customFormat="false" customHeight="1" hidden="" ht="14" outlineLevel="0" r="20669">
      <c r="A20669" s="3" t="inlineStr">
        <is>
          <t>20619</t>
        </is>
      </c>
      <c r="B20669" s="4" t="s">
        <f>=HYPERLINK("http://anyluxury.ru/shop/otdykh/igry-i-golovolomki/fraktalniy-pazl-puzzliki-ring-elementary-19-detaley-1144901/" , "11449.01 Фрактальный пазл Puzzliki Ring Elementary, 19 деталей")</f>
      </c>
      <c r="C20669" s="4" t="n">
        <v>992.00</v>
      </c>
      <c r="D20669" s="4"/>
    </row>
    <row collapsed="" customFormat="false" customHeight="1" hidden="" ht="14" outlineLevel="0" r="20670">
      <c r="A20670" s="3" t="inlineStr">
        <is>
          <t>20620</t>
        </is>
      </c>
      <c r="B20670" s="4" t="s">
        <f>=HYPERLINK("http://anyluxury.ru/shop/otdykh/igry-i-golovolomki/fraktalniy-pazl-puzzliki-ring-medium-24-detali-1155001/" , "11550.01 Фрактальный пазл Puzzliki Ring Medium, 24 детали")</f>
      </c>
      <c r="C20670" s="4" t="n">
        <v>1192.00</v>
      </c>
      <c r="D20670" s="4"/>
    </row>
    <row collapsed="" customFormat="false" customHeight="1" hidden="" ht="14" outlineLevel="0" r="20671">
      <c r="A20671" s="3" t="inlineStr">
        <is>
          <t>20621</t>
        </is>
      </c>
      <c r="B20671" s="4" t="s">
        <f>=HYPERLINK("http://anyluxury.ru/shop/otdykh/igry-i-golovolomki/fraktalniy-pazl-puzzliki-ring-medium-27-detaley-1155002/" , "11550.02 Фрактальный пазл Puzzliki Ring Medium, 27 деталей")</f>
      </c>
      <c r="C20671" s="4" t="n">
        <v>1192.00</v>
      </c>
      <c r="D20671" s="4"/>
    </row>
    <row collapsed="" customFormat="false" customHeight="1" hidden="" ht="14" outlineLevel="0" r="20672">
      <c r="A20672" s="3" t="inlineStr">
        <is>
          <t>20622</t>
        </is>
      </c>
      <c r="B20672" s="4" t="s">
        <f>=HYPERLINK("http://anyluxury.ru/shop/otdykh/igry-i-golovolomki/fraktalniy-pazl-puzzliki-ring-hard-1155101/" , "11551.01 Фрактальный пазл Puzzliki Ring Hard")</f>
      </c>
      <c r="C20672" s="4" t="n">
        <v>1192.00</v>
      </c>
      <c r="D20672" s="4"/>
    </row>
    <row collapsed="" customFormat="false" customHeight="1" hidden="" ht="14" outlineLevel="0" r="20673">
      <c r="A20673" s="3" t="inlineStr">
        <is>
          <t>20623</t>
        </is>
      </c>
      <c r="B20673" s="4" t="s">
        <f>=HYPERLINK("http://anyluxury.ru/shop/otdykh/igry-i-golovolomki/fraktalniy-pazl-puzzliki-emerald-elementary-1155201/" , "11552.01 Фрактальный пазл Puzzliki Emerald Elementary")</f>
      </c>
      <c r="C20673" s="4" t="n">
        <v>992.00</v>
      </c>
      <c r="D20673" s="4"/>
    </row>
    <row collapsed="" customFormat="false" customHeight="1" hidden="" ht="14" outlineLevel="0" r="20674">
      <c r="A20674" s="3" t="inlineStr">
        <is>
          <t>20624</t>
        </is>
      </c>
      <c r="B20674" s="4" t="s">
        <f>=HYPERLINK("http://anyluxury.ru/shop/otdykh/igry-i-golovolomki/fraktalniy-pazl-puzzliki-emerald-medium-28-detaley-1155301/" , "11553.01 Фрактальный пазл Puzzliki Emerald Medium, 28 деталей")</f>
      </c>
      <c r="C20674" s="4" t="n">
        <v>1356.00</v>
      </c>
      <c r="D20674" s="4"/>
    </row>
    <row collapsed="" customFormat="false" customHeight="1" hidden="" ht="14" outlineLevel="0" r="20675">
      <c r="A20675" s="3" t="inlineStr">
        <is>
          <t>20625</t>
        </is>
      </c>
      <c r="B20675" s="4" t="s">
        <f>=HYPERLINK("http://anyluxury.ru/shop/otdykh/igry-i-golovolomki/fraktalniy-pazl-puzzliki-emerald-medium-31-detal-1155302/" , "11553.02 Фрактальный пазл Puzzliki Emerald Medium, 31 деталь")</f>
      </c>
      <c r="C20675" s="4" t="n">
        <v>1356.00</v>
      </c>
      <c r="D20675" s="4"/>
    </row>
    <row collapsed="" customFormat="false" customHeight="1" hidden="" ht="14" outlineLevel="0" r="20676">
      <c r="A20676" s="3" t="inlineStr">
        <is>
          <t>20626</t>
        </is>
      </c>
      <c r="B20676" s="4" t="s">
        <f>=HYPERLINK("http://anyluxury.ru/shop/otdykh/igry-i-golovolomki/fraktalniy-pazl-puzzliki-emerald-hard-1157901/" , "11579.01 Фрактальный пазл Puzzliki Emerald Hard")</f>
      </c>
      <c r="C20676" s="4" t="n">
        <v>1192.00</v>
      </c>
      <c r="D20676" s="4"/>
    </row>
    <row collapsed="" customFormat="false" customHeight="1" hidden="" ht="14" outlineLevel="0" r="20677">
      <c r="A20677" s="3" t="inlineStr">
        <is>
          <t>20627</t>
        </is>
      </c>
      <c r="B20677" s="4" t="s">
        <f>=HYPERLINK("http://anyluxury.ru/shop/otdykh/igry-i-golovolomki/igra-kubiki-istoriy-uliki-miniversiya-1196901/" , "11969.01 Игра «Кубики Историй. Улики», мини-версия")</f>
      </c>
      <c r="C20677" s="4" t="n">
        <v>400.00</v>
      </c>
      <c r="D20677" s="4"/>
    </row>
    <row collapsed="" customFormat="false" customHeight="1" hidden="" ht="14" outlineLevel="0" r="20678">
      <c r="A20678" s="3" t="inlineStr">
        <is>
          <t>20628</t>
        </is>
      </c>
      <c r="B20678" s="4" t="s">
        <f>=HYPERLINK("http://anyluxury.ru/shop/otdykh/igry-i-golovolomki/igra-kubiki-istoriy-mifi-miniversiya-1196909/" , "11969.09 Игра «Кубики Историй. Мифы», мини-версия")</f>
      </c>
      <c r="C20678" s="4" t="n">
        <v>400.00</v>
      </c>
      <c r="D20678" s="4"/>
    </row>
    <row collapsed="" customFormat="false" customHeight="1" hidden="" ht="14" outlineLevel="0" r="20679">
      <c r="A20679" s="3" t="inlineStr">
        <is>
          <t>20629</t>
        </is>
      </c>
      <c r="B20679" s="4" t="s">
        <f>=HYPERLINK("http://anyluxury.ru/shop/otdykh/igry-i-golovolomki/golovolomka-mishka-rubika-10902/" , "10902 Головоломка «Мишка Рубика»")</f>
      </c>
      <c r="C20679" s="4" t="n">
        <v>1155.00</v>
      </c>
      <c r="D20679" s="4"/>
    </row>
    <row collapsed="" customFormat="false" customHeight="1" hidden="" ht="14" outlineLevel="0" r="20680">
      <c r="A20680" s="3" t="inlineStr">
        <is>
          <t>20630</t>
        </is>
      </c>
      <c r="B20680" s="4" t="s">
        <f>=HYPERLINK("http://anyluxury.ru/shop/otdykh/igry-i-golovolomki/golovolomka-kubik-rubika-3h3-10903/" , "10903 Головоломка «Кубик Рубика 3х3»")</f>
      </c>
      <c r="C20680" s="4" t="n">
        <v>1841.00</v>
      </c>
      <c r="D20680" s="4"/>
    </row>
    <row collapsed="" customFormat="false" customHeight="1" hidden="" ht="14" outlineLevel="0" r="20681">
      <c r="A20681" s="3" t="inlineStr">
        <is>
          <t>20631</t>
        </is>
      </c>
      <c r="B20681" s="4" t="s">
        <f>=HYPERLINK("http://anyluxury.ru/shop/otdykh/igry-i-golovolomki/konstruktor-lego-city-pozhar-na-piknike-16073/" , "16073 Конструктор «LEGO City. Пожар на пикнике»")</f>
      </c>
      <c r="C20681" s="4" t="n">
        <v>789.00</v>
      </c>
      <c r="D20681" s="4"/>
    </row>
    <row collapsed="" customFormat="false" customHeight="1" hidden="" ht="14" outlineLevel="0" r="20682">
      <c r="A20682" s="3" t="inlineStr">
        <is>
          <t>20632</t>
        </is>
      </c>
      <c r="B20682" s="4" t="s">
        <f>=HYPERLINK("http://anyluxury.ru/shop/otdykh/igry-i-golovolomki/igra-tvister-16001/" , "16001 Игра «Твистер»")</f>
      </c>
      <c r="C20682" s="4" t="n">
        <v>2259.00</v>
      </c>
      <c r="D20682" s="4"/>
    </row>
    <row collapsed="" customFormat="false" customHeight="1" hidden="" ht="14" outlineLevel="0" r="20683">
      <c r="A20683" s="3" t="inlineStr">
        <is>
          <t>20633</t>
        </is>
      </c>
      <c r="B20683" s="4" t="s">
        <f>=HYPERLINK("http://anyluxury.ru/shop/otdykh/igry-i-golovolomki/igra-nastolnaya-klassicheskaya-monopoliya-obnovlennaya-16002/" , "16002 Игра настольная «Классическая Монополия. Обновленная»")</f>
      </c>
      <c r="C20683" s="4" t="n">
        <v>4171.00</v>
      </c>
      <c r="D20683" s="4"/>
    </row>
    <row collapsed="" customFormat="false" customHeight="1" hidden="" ht="14" outlineLevel="0" r="20684">
      <c r="A20684" s="3" t="inlineStr">
        <is>
          <t>20634</t>
        </is>
      </c>
      <c r="B20684" s="4" t="s">
        <f>=HYPERLINK("http://anyluxury.ru/shop/otdykh/igry-i-golovolomki/konstruktor-lego-technic-sluzhba-bistrogo-reagirovaniya-16003/" , "16003 Конструктор «LEGO Technic. Служба быстрого реагирования»")</f>
      </c>
      <c r="C20684" s="4" t="n">
        <v>3455.00</v>
      </c>
      <c r="D20684" s="4"/>
    </row>
    <row collapsed="" customFormat="false" customHeight="1" hidden="" ht="14" outlineLevel="0" r="20685">
      <c r="A20685" s="3" t="inlineStr">
        <is>
          <t>20635</t>
        </is>
      </c>
      <c r="B20685" s="4" t="s">
        <f>=HYPERLINK("http://anyluxury.ru/shop/otdykh/igry-i-golovolomki/konstruktor-lego-technic-mashina-dlya-pobega-16004/" , "16004 Конструктор «LEGO Technic. Машина для побега»")</f>
      </c>
      <c r="C20685" s="4" t="n">
        <v>1727.00</v>
      </c>
      <c r="D20685" s="4"/>
    </row>
    <row collapsed="" customFormat="false" customHeight="1" hidden="" ht="14" outlineLevel="0" r="20686">
      <c r="A20686" s="3" t="inlineStr">
        <is>
          <t>20636</t>
        </is>
      </c>
      <c r="B20686" s="4" t="s">
        <f>=HYPERLINK("http://anyluxury.ru/shop/otdykh/igry-i-golovolomki/konstruktor-lego-city-pobeg-na-buksirovshhike-16005/" , "16005 Конструктор «LEGO City. Побег на буксировщике»")</f>
      </c>
      <c r="C20686" s="4" t="n">
        <v>1641.00</v>
      </c>
      <c r="D20686" s="4"/>
    </row>
    <row collapsed="" customFormat="false" customHeight="1" hidden="" ht="14" outlineLevel="0" r="20687">
      <c r="A20687" s="3" t="inlineStr">
        <is>
          <t>20637</t>
        </is>
      </c>
      <c r="B20687" s="4" t="s">
        <f>=HYPERLINK("http://anyluxury.ru/shop/otdykh/igry-i-golovolomki/konstruktor-lego-city-pozharnoe-depo-16007/" , "16007 Конструктор «LEGO City. Пожарное депо»")</f>
      </c>
      <c r="C20687" s="4" t="n">
        <v>5530.00</v>
      </c>
      <c r="D20687" s="4"/>
    </row>
    <row collapsed="" customFormat="false" customHeight="1" hidden="" ht="14" outlineLevel="0" r="20688">
      <c r="A20688" s="3" t="inlineStr">
        <is>
          <t>20638</t>
        </is>
      </c>
      <c r="B20688" s="4" t="s">
        <f>=HYPERLINK("http://anyluxury.ru/shop/otdykh/igry-i-golovolomki/konstruktor-lego-city-avtostoyanka-16008/" , "16008 Конструктор «LEGO City. Автостоянка»")</f>
      </c>
      <c r="C20688" s="4" t="n">
        <v>3455.00</v>
      </c>
      <c r="D20688" s="4"/>
    </row>
    <row collapsed="" customFormat="false" customHeight="1" hidden="" ht="14" outlineLevel="0" r="20689">
      <c r="A20689" s="3" t="inlineStr">
        <is>
          <t>20639</t>
        </is>
      </c>
      <c r="B20689" s="4" t="s">
        <f>=HYPERLINK("http://anyluxury.ru/shop/otdykh/igry-i-golovolomki/mehanicheskiy-konstruktor-pistolet-11489/" , "11489 Механический конструктор «Пистолет»")</f>
      </c>
      <c r="C20689" s="4" t="n">
        <v>1420.00</v>
      </c>
      <c r="D20689" s="4"/>
    </row>
    <row collapsed="" customFormat="false" customHeight="1" hidden="" ht="14" outlineLevel="0" r="20690">
      <c r="A20690" s="3" t="inlineStr">
        <is>
          <t>20640</t>
        </is>
      </c>
      <c r="B20690" s="4" t="s">
        <f>=HYPERLINK("http://anyluxury.ru/shop/otdykh/igry-i-golovolomki/golovolomka-challenging-puzzle-wood-model-2-1210602/" , "12106.02 Головоломка Challenging Puzzle Wood, модель 2")</f>
      </c>
      <c r="C20690" s="4" t="n">
        <v>569.00</v>
      </c>
      <c r="D20690" s="4"/>
    </row>
    <row collapsed="" customFormat="false" customHeight="1" hidden="" ht="14" outlineLevel="0" r="20691">
      <c r="A20691" s="3" t="inlineStr">
        <is>
          <t>20641</t>
        </is>
      </c>
      <c r="B20691" s="4" t="s">
        <f>=HYPERLINK("http://anyluxury.ru/shop/otdykh/igry-i-golovolomki/golovolomka-challenging-puzzle-acrylic-model-4-1210702/" , "12107.02 Головоломка Challenging Puzzle Acrylic, модель 4")</f>
      </c>
      <c r="C20691" s="4" t="n">
        <v>569.00</v>
      </c>
      <c r="D20691" s="4"/>
    </row>
    <row collapsed="" customFormat="false" customHeight="1" hidden="" ht="14" outlineLevel="0" r="20692">
      <c r="A20692" s="3" t="inlineStr">
        <is>
          <t>20642</t>
        </is>
      </c>
      <c r="B20692" s="4" t="s">
        <f>=HYPERLINK("http://anyluxury.ru/shop/otdykh/igry-i-golovolomki/golovolomka-challenging-puzzle-acrylic-model-5-1210703/" , "12107.03 Головоломка Challenging Puzzle Acrylic, модель 5")</f>
      </c>
      <c r="C20692" s="4" t="n">
        <v>569.00</v>
      </c>
      <c r="D20692" s="4"/>
    </row>
    <row collapsed="" customFormat="false" customHeight="1" hidden="" ht="14" outlineLevel="0" r="20693">
      <c r="A20693" s="3" t="inlineStr">
        <is>
          <t>20643</t>
        </is>
      </c>
      <c r="B20693" s="4" t="s">
        <f>=HYPERLINK("http://anyluxury.ru/shop/otdykh/igry-i-golovolomki/golovolomka-challenging-puzzle-acrylic-model-7-1210705/" , "12107.05 Головоломка Challenging Puzzle Acrylic, модель 7")</f>
      </c>
      <c r="C20693" s="4" t="n">
        <v>569.00</v>
      </c>
      <c r="D20693" s="4"/>
    </row>
    <row collapsed="" customFormat="false" customHeight="1" hidden="" ht="14" outlineLevel="0" r="20694">
      <c r="A20694" s="3" t="inlineStr">
        <is>
          <t>20644</t>
        </is>
      </c>
      <c r="B20694" s="4" t="s">
        <f>=HYPERLINK("http://anyluxury.ru/shop/otdykh/igry-i-golovolomki/golovolomka-challenging-puzzle-acrylic-model-8-1210706/" , "12107.06 Головоломка Challenging Puzzle Acrylic, модель 8")</f>
      </c>
      <c r="C20694" s="4" t="n">
        <v>569.00</v>
      </c>
      <c r="D20694" s="4"/>
    </row>
    <row collapsed="" customFormat="false" customHeight="1" hidden="" ht="14" outlineLevel="0" r="20695">
      <c r="A20695" s="3" t="inlineStr">
        <is>
          <t>20645</t>
        </is>
      </c>
      <c r="B20695" s="4" t="s">
        <f>=HYPERLINK("http://anyluxury.ru/shop/otdykh/igry-i-golovolomki/golovolomka-iq-puzzle-serdce-1210801/" , "12108.01 Головоломка IQ Puzzle, сердце")</f>
      </c>
      <c r="C20695" s="4" t="n">
        <v>299.00</v>
      </c>
      <c r="D20695" s="4"/>
    </row>
    <row collapsed="" customFormat="false" customHeight="1" hidden="" ht="14" outlineLevel="0" r="20696">
      <c r="A20696" s="3" t="inlineStr">
        <is>
          <t>20646</t>
        </is>
      </c>
      <c r="B20696" s="4" t="s">
        <f>=HYPERLINK("http://anyluxury.ru/shop/otdykh/igry-i-golovolomki/golovolomka-iq-puzzle-derevo-1210803/" , "12108.03 Головоломка IQ Puzzle, дерево")</f>
      </c>
      <c r="C20696" s="4" t="n">
        <v>299.00</v>
      </c>
      <c r="D20696" s="4"/>
    </row>
    <row collapsed="" customFormat="false" customHeight="1" hidden="" ht="14" outlineLevel="0" r="20697">
      <c r="A20697" s="3" t="inlineStr">
        <is>
          <t>20647</t>
        </is>
      </c>
      <c r="B20697" s="4" t="s">
        <f>=HYPERLINK("http://anyluxury.ru/shop/otdykh/igry-i-golovolomki/golovolomka-iq-puzzle-raketa-1210810/" , "12108.10 Головоломка IQ Puzzle, ракета")</f>
      </c>
      <c r="C20697" s="4" t="n">
        <v>299.00</v>
      </c>
      <c r="D20697" s="4"/>
    </row>
    <row collapsed="" customFormat="false" customHeight="1" hidden="" ht="14" outlineLevel="0" r="20698">
      <c r="A20698" s="3" t="inlineStr">
        <is>
          <t>20648</t>
        </is>
      </c>
      <c r="B20698" s="4" t="s">
        <f>=HYPERLINK("http://anyluxury.ru/shop/otdykh/igry-i-golovolomki/golovolomka-iq-puzzle-rubanok-1210811/" , "12108.11 Головоломка IQ Puzzle, рубанок")</f>
      </c>
      <c r="C20698" s="4" t="n">
        <v>299.00</v>
      </c>
      <c r="D20698" s="4"/>
    </row>
    <row collapsed="" customFormat="false" customHeight="1" hidden="" ht="14" outlineLevel="0" r="20699">
      <c r="A20699" s="3" t="inlineStr">
        <is>
          <t>20649</t>
        </is>
      </c>
      <c r="B20699" s="4" t="s">
        <f>=HYPERLINK("http://anyluxury.ru/shop/otdykh/igry-i-golovolomki/golovolomka-iq-puzzle-ribka-1210812/" , "12108.12 Головоломка IQ Puzzle, рыбка")</f>
      </c>
      <c r="C20699" s="4" t="n">
        <v>299.00</v>
      </c>
      <c r="D20699" s="4"/>
    </row>
    <row collapsed="" customFormat="false" customHeight="1" hidden="" ht="14" outlineLevel="0" r="20700">
      <c r="A20700" s="3" t="inlineStr">
        <is>
          <t>20650</t>
        </is>
      </c>
      <c r="B20700" s="4" t="s">
        <f>=HYPERLINK("http://anyluxury.ru/shop/otdykh/igry-i-golovolomki/golovolomka-iq-puzzle-blizneci-1210814/" , "12108.14 Головоломка IQ Puzzle, близнецы")</f>
      </c>
      <c r="C20700" s="4" t="n">
        <v>299.00</v>
      </c>
      <c r="D20700" s="4"/>
    </row>
    <row collapsed="" customFormat="false" customHeight="1" hidden="" ht="14" outlineLevel="0" r="20701">
      <c r="A20701" s="3" t="inlineStr">
        <is>
          <t>20651</t>
        </is>
      </c>
      <c r="B20701" s="4" t="s">
        <f>=HYPERLINK("http://anyluxury.ru/shop/otdykh/igry-i-golovolomki/golovolomka-iq-puzzle-letter-m-1210902/" , "12109.02 Головоломка IQ Puzzle Letter М")</f>
      </c>
      <c r="C20701" s="4" t="n">
        <v>299.00</v>
      </c>
      <c r="D20701" s="4"/>
    </row>
    <row collapsed="" customFormat="false" customHeight="1" hidden="" ht="14" outlineLevel="0" r="20702">
      <c r="A20702" s="3" t="inlineStr">
        <is>
          <t>20652</t>
        </is>
      </c>
      <c r="B20702" s="4" t="s">
        <f>=HYPERLINK("http://anyluxury.ru/shop/otdykh/igry-i-golovolomki/golovolomka-iq-puzzle-letter-t-1210903/" , "12109.03 Головоломка IQ Puzzle Letter Т")</f>
      </c>
      <c r="C20702" s="4" t="n">
        <v>299.00</v>
      </c>
      <c r="D20702" s="4"/>
    </row>
    <row collapsed="" customFormat="false" customHeight="1" hidden="" ht="14" outlineLevel="0" r="20703">
      <c r="A20703" s="3" t="inlineStr">
        <is>
          <t>20653</t>
        </is>
      </c>
      <c r="B20703" s="4" t="s">
        <f>=HYPERLINK("http://anyluxury.ru/shop/otdykh/igry-i-golovolomki/golovolomka-iq-puzzle-figures-kvadrat-1211001/" , "12110.01 Головоломка IQ Puzzle Figures, квадрат")</f>
      </c>
      <c r="C20703" s="4" t="n">
        <v>299.00</v>
      </c>
      <c r="D20703" s="4"/>
    </row>
    <row collapsed="" customFormat="false" customHeight="1" hidden="" ht="14" outlineLevel="0" r="20704">
      <c r="A20704" s="3" t="inlineStr">
        <is>
          <t>20654</t>
        </is>
      </c>
      <c r="B20704" s="4" t="s">
        <f>=HYPERLINK("http://anyluxury.ru/shop/otdykh/igry-i-golovolomki/golovolomka-iq-puzzle-figures-pryamougolnik-1211003/" , "12110.03 Головоломка IQ Puzzle Figures, прямоугольник")</f>
      </c>
      <c r="C20704" s="4" t="n">
        <v>299.00</v>
      </c>
      <c r="D20704" s="4"/>
    </row>
    <row collapsed="" customFormat="false" customHeight="1" hidden="" ht="14" outlineLevel="0" r="20705">
      <c r="A20705" s="3" t="inlineStr">
        <is>
          <t>20655</t>
        </is>
      </c>
      <c r="B20705" s="4" t="s">
        <f>=HYPERLINK("http://anyluxury.ru/shop/otdykh/igry-i-golovolomki/golovolomka-iq-puzzle-figures-romb-1211004/" , "12110.04 Головоломка IQ Puzzle Figures, ромб")</f>
      </c>
      <c r="C20705" s="4" t="n">
        <v>299.00</v>
      </c>
      <c r="D20705" s="4"/>
    </row>
    <row collapsed="" customFormat="false" customHeight="1" hidden="" ht="14" outlineLevel="0" r="20706">
      <c r="A20706" s="3" t="inlineStr">
        <is>
          <t>20656</t>
        </is>
      </c>
      <c r="B20706" s="4" t="s">
        <f>=HYPERLINK("http://anyluxury.ru/shop/otdykh/igry-i-golovolomki/golovolomka-iq-puzzle-figures-treugolnik-1211005/" , "12110.05 Головоломка IQ Puzzle Figures, треугольник")</f>
      </c>
      <c r="C20706" s="4" t="n">
        <v>299.00</v>
      </c>
      <c r="D20706" s="4"/>
    </row>
    <row collapsed="" customFormat="false" customHeight="1" hidden="" ht="14" outlineLevel="0" r="20707">
      <c r="A20707" s="3" t="inlineStr">
        <is>
          <t>20657</t>
        </is>
      </c>
      <c r="B20707" s="4" t="s">
        <f>=HYPERLINK("http://anyluxury.ru/shop/otdykh/igry-i-golovolomki/golovolomka-iq-puzzle-figures-cifra-4-1211007/" , "12110.07 Головоломка IQ Puzzle Figures, цифра 4")</f>
      </c>
      <c r="C20707" s="4" t="n">
        <v>299.00</v>
      </c>
      <c r="D20707" s="4"/>
    </row>
    <row collapsed="" customFormat="false" customHeight="1" hidden="" ht="14" outlineLevel="0" r="20708">
      <c r="A20708" s="3" t="inlineStr">
        <is>
          <t>20658</t>
        </is>
      </c>
      <c r="B20708" s="4" t="s">
        <f>=HYPERLINK("http://anyluxury.ru/shop/otdykh/igry-i-golovolomki/kartochnaya-igra-zabavnaya-kakerlak-1324901/" , "13249.01 Карточная игра «Забавная. Какерлак»")</f>
      </c>
      <c r="C20708" s="4" t="n">
        <v>120.00</v>
      </c>
      <c r="D20708" s="4"/>
    </row>
    <row collapsed="" customFormat="false" customHeight="1" hidden="" ht="14" outlineLevel="0" r="20709">
      <c r="A20709" s="3" t="inlineStr">
        <is>
          <t>20659</t>
        </is>
      </c>
      <c r="B20709" s="4" t="s">
        <f>=HYPERLINK("http://anyluxury.ru/shop/otdykh/igry-i-golovolomki/voleybolniy-myach-active-goluboy-s-zheltim-1602884/" , "16028.84 Волейбольный мяч Active, голубой с желтым")</f>
      </c>
      <c r="C20709" s="4" t="n">
        <v>1590.00</v>
      </c>
      <c r="D20709" s="4"/>
    </row>
    <row collapsed="" customFormat="false" customHeight="1" hidden="" ht="14" outlineLevel="0" r="20710">
      <c r="A20710" s="3" t="inlineStr">
        <is>
          <t>20660</t>
        </is>
      </c>
      <c r="B20710" s="4" t="s">
        <f>=HYPERLINK("http://anyluxury.ru/shop/otdykh/igry-i-golovolomki/voleybolniy-myach-active-siniy-s-myatnim-1602894/" , "16028.94 Волейбольный мяч Active, синий с мятным")</f>
      </c>
      <c r="C20710" s="4" t="n">
        <v>841.00</v>
      </c>
      <c r="D20710" s="4"/>
    </row>
    <row collapsed="" customFormat="false" customHeight="1" hidden="" ht="14" outlineLevel="0" r="20711">
      <c r="A20711" s="3" t="inlineStr">
        <is>
          <t>20661</t>
        </is>
      </c>
      <c r="B20711" s="4" t="s">
        <f>=HYPERLINK("http://anyluxury.ru/shop/otdykh/igry-i-golovolomki/voleybolniy-myach-active-krasniy-s-zheltim-1602858/" , "16028.58 Волейбольный мяч Active, красный с желтым")</f>
      </c>
      <c r="C20711" s="4" t="n">
        <v>1590.00</v>
      </c>
      <c r="D20711" s="4"/>
    </row>
    <row collapsed="" customFormat="false" customHeight="1" hidden="" ht="14" outlineLevel="0" r="20712">
      <c r="A20712" s="3" t="inlineStr">
        <is>
          <t>20662</t>
        </is>
      </c>
      <c r="B20712" s="4" t="s">
        <f>=HYPERLINK("http://anyluxury.ru/shop/otdykh/igry-i-golovolomki/voleybolniy-myach-training-beliy-1602960/" , "16029.60 Волейбольный мяч Training, белый")</f>
      </c>
      <c r="C20712" s="4" t="n">
        <v>1430.00</v>
      </c>
      <c r="D20712" s="4"/>
    </row>
    <row collapsed="" customFormat="false" customHeight="1" hidden="" ht="14" outlineLevel="0" r="20713">
      <c r="A20713" s="3" t="inlineStr">
        <is>
          <t>20663</t>
        </is>
      </c>
      <c r="B20713" s="4" t="s">
        <f>=HYPERLINK("http://anyluxury.ru/shop/otdykh/igry-i-golovolomki/nastolnaya-igra-banda-umnikov-turboschet-malaya-1700401/" , "17004.01 Настольная игра «Банда Умников. Турбосчет», малая")</f>
      </c>
      <c r="C20713" s="4" t="n">
        <v>787.00</v>
      </c>
      <c r="D20713" s="4"/>
    </row>
    <row collapsed="" customFormat="false" customHeight="1" hidden="" ht="14" outlineLevel="0" r="20714">
      <c r="A20714" s="3" t="inlineStr">
        <is>
          <t>20664</t>
        </is>
      </c>
      <c r="B20714" s="4" t="s">
        <f>=HYPERLINK("http://anyluxury.ru/shop/otdykh/igry-i-golovolomki/nastolnaya-igra-banda-umnikov-geometrika-malaya-1700402/" , "17004.02 Настольная игра «Банда Умников. Геометрика», малая")</f>
      </c>
      <c r="C20714" s="4" t="n">
        <v>787.00</v>
      </c>
      <c r="D20714" s="4"/>
    </row>
    <row collapsed="" customFormat="false" customHeight="1" hidden="" ht="14" outlineLevel="0" r="20715">
      <c r="A20715" s="3" t="inlineStr">
        <is>
          <t>20665</t>
        </is>
      </c>
      <c r="B20715" s="4" t="s">
        <f>=HYPERLINK("http://anyluxury.ru/shop/otdykh/igry-i-golovolomki/nastolnaya-igra-banda-umnikov-fit-friends-srednyaya-1700501/" , "17005.01 Настольная игра «Банда Умников. Fit Friends», средняя")</f>
      </c>
      <c r="C20715" s="4" t="n">
        <v>1447.00</v>
      </c>
      <c r="D20715" s="4"/>
    </row>
    <row collapsed="" customFormat="false" customHeight="1" hidden="" ht="14" outlineLevel="0" r="20716">
      <c r="A20716" s="3" t="inlineStr">
        <is>
          <t>20666</t>
        </is>
      </c>
      <c r="B20716" s="4" t="s">
        <f>=HYPERLINK("http://anyluxury.ru/shop/otdykh/igry-i-golovolomki/nastolnaya-igra-banda-umnikov-startapkonstruktor-srednyaya-1700502/" , "17005.02 Настольная игра «Банда Умников. Стартап-конструктор», средняя")</f>
      </c>
      <c r="C20716" s="4" t="n">
        <v>1447.00</v>
      </c>
      <c r="D20716" s="4"/>
    </row>
    <row collapsed="" customFormat="false" customHeight="1" hidden="" ht="14" outlineLevel="0" r="20717">
      <c r="A20717" s="3" t="inlineStr">
        <is>
          <t>20667</t>
        </is>
      </c>
      <c r="B20717" s="4" t="s">
        <f>=HYPERLINK("http://anyluxury.ru/shop/otdykh/igry-i-golovolomki/nastolnaya-igra-banda-umnikov-progeri-bolshaya-1700601/" , "17006.01 Настольная игра «Банда Умников. Прогеры», большая")</f>
      </c>
      <c r="C20717" s="4" t="n">
        <v>1654.00</v>
      </c>
      <c r="D20717" s="4"/>
    </row>
    <row collapsed="" customFormat="false" customHeight="1" hidden="" ht="14" outlineLevel="0" r="20718">
      <c r="A20718" s="3" t="inlineStr">
        <is>
          <t>20668</t>
        </is>
      </c>
      <c r="B20718" s="4" t="s">
        <f>=HYPERLINK("http://anyluxury.ru/shop/otdykh/igry-i-golovolomki/nastolnaya-igra-banda-umnikov-tur-kultur-bolshaya-1700602/" , "17006.02 Настольная игра «Банда Умников. Тур культур», большая")</f>
      </c>
      <c r="C20718" s="4" t="n">
        <v>1654.00</v>
      </c>
      <c r="D20718" s="4"/>
    </row>
    <row collapsed="" customFormat="false" customHeight="1" hidden="" ht="14" outlineLevel="0" r="20719">
      <c r="A20719" s="3" t="inlineStr">
        <is>
          <t>20669</t>
        </is>
      </c>
      <c r="B20719" s="4" t="s">
        <f>=HYPERLINK("http://anyluxury.ru/shop/otdykh/igry-i-golovolomki/nastolnaya-igra-krestikinoliki-p940063/" , "P940.063 Настольная игра Крестики-нолики")</f>
      </c>
      <c r="C20719" s="4" t="n">
        <v>790.00</v>
      </c>
      <c r="D20719" s="4"/>
    </row>
    <row collapsed="" customFormat="false" customHeight="1" hidden="" ht="14" outlineLevel="0" r="20720">
      <c r="A20720" s="3" t="inlineStr">
        <is>
          <t>20670</t>
        </is>
      </c>
      <c r="B20720" s="4" t="s">
        <f>=HYPERLINK("http://anyluxury.ru/shop/otdykh/igry-i-golovolomki/nastolnaya-igra-iz-dereva-bashnya-p940083/" , "P940.083 Настольная игра из дерева Башня")</f>
      </c>
      <c r="C20720" s="4" t="n">
        <v>1439.00</v>
      </c>
      <c r="D20720" s="4"/>
    </row>
    <row collapsed="" customFormat="false" customHeight="1" hidden="" ht="14" outlineLevel="0" r="20721">
      <c r="A20721" s="3" t="inlineStr">
        <is>
          <t>20671</t>
        </is>
      </c>
      <c r="B20721" s="4" t="s">
        <f>=HYPERLINK("http://anyluxury.ru/shop/otdykh/igry-i-golovolomki/nabor-nastolnih-igr-3-v-1-v-derevyannoy-korobke-p940053/" , "P940.053 Набор настольных игр 3 в 1 в деревянной коробке")</f>
      </c>
      <c r="C20721" s="4" t="n">
        <v>1156.00</v>
      </c>
      <c r="D20721" s="4"/>
    </row>
    <row collapsed="" customFormat="false" customHeight="1" hidden="" ht="14" outlineLevel="0" r="20722">
      <c r="A20722" s="3" t="inlineStr">
        <is>
          <t>20672</t>
        </is>
      </c>
      <c r="B20722" s="4" t="s">
        <f>=HYPERLINK("http://anyluxury.ru/shop/otdykh/igry-i-golovolomki/nabor-nastolnih-igr-mikadodomino-v-derevyannoy-korobke-p940073/" , "P940.073 Набор настольных игр Микадо/Домино в деревянной коробке")</f>
      </c>
      <c r="C20722" s="4" t="n">
        <v>1059.00</v>
      </c>
      <c r="D20722" s="4"/>
    </row>
    <row collapsed="" customFormat="false" customHeight="1" hidden="" ht="14" outlineLevel="0" r="20723">
      <c r="A20723" s="3" t="inlineStr">
        <is>
          <t>20673</t>
        </is>
      </c>
      <c r="B20723" s="4" t="s">
        <f>=HYPERLINK("http://anyluxury.ru/shop/otdykh/igry-i-golovolomki/igra-acryllic-tower-prozrachnaya-1702900/" , "17029.00 Игра Acrylic Tower, прозрачная")</f>
      </c>
      <c r="C20723" s="4" t="n">
        <v>5850.00</v>
      </c>
      <c r="D20723" s="4"/>
    </row>
    <row collapsed="" customFormat="false" customHeight="1" hidden="" ht="14" outlineLevel="0" r="20724">
      <c r="A20724" s="3" t="inlineStr">
        <is>
          <t>20674</t>
        </is>
      </c>
      <c r="B20724" s="4" t="s">
        <f>=HYPERLINK("http://anyluxury.ru/shop/otdykh/igry-i-golovolomki/igra-acryllic-tower-belaya-1702960/" , "17029.60 Игра Acrylic Tower, белая")</f>
      </c>
      <c r="C20724" s="4" t="n">
        <v>6890.00</v>
      </c>
      <c r="D20724" s="4"/>
    </row>
    <row collapsed="" customFormat="false" customHeight="1" hidden="" ht="14" outlineLevel="0" r="20725">
      <c r="A20725" s="3" t="inlineStr">
        <is>
          <t>20675</t>
        </is>
      </c>
      <c r="B20725" s="4" t="s">
        <f>=HYPERLINK("http://anyluxury.ru/shop/otdykh/igry-i-golovolomki/igra-acryllic-tower-chernaya-1702930/" , "17029.30 Игра Acrylic Tower, черная")</f>
      </c>
      <c r="C20725" s="4" t="n">
        <v>7485.00</v>
      </c>
      <c r="D20725" s="4"/>
    </row>
    <row collapsed="" customFormat="false" customHeight="1" hidden="" ht="14" outlineLevel="0" r="20726">
      <c r="A20726" s="3" t="inlineStr">
        <is>
          <t>20676</t>
        </is>
      </c>
      <c r="B20726" s="4" t="s">
        <f>=HYPERLINK("http://anyluxury.ru/shop/otdykh/igry-i-golovolomki/igra-derevyannaya-bashnya-mini-chernaya-535130/" , "5351.30 Игра «Деревянная башня мини», черная")</f>
      </c>
      <c r="C20726" s="4" t="n">
        <v>490.00</v>
      </c>
      <c r="D20726" s="4"/>
    </row>
    <row collapsed="" customFormat="false" customHeight="1" hidden="" ht="14" outlineLevel="0" r="20727">
      <c r="A20727" s="3" t="inlineStr">
        <is>
          <t>20677</t>
        </is>
      </c>
      <c r="B20727" s="4" t="s">
        <f>=HYPERLINK("http://anyluxury.ru/shop/otdykh/igry-i-golovolomki/nabor-dlya-tvorchestva-shapochki-na-elku-1804201/" , "18042.01 Набор для творчества «Шапочки на елку»")</f>
      </c>
      <c r="C20727" s="4" t="n">
        <v>439.00</v>
      </c>
      <c r="D20727" s="4"/>
    </row>
    <row collapsed="" customFormat="false" customHeight="1" hidden="" ht="14" outlineLevel="0" r="20728">
      <c r="A20728" s="3" t="inlineStr">
        <is>
          <t>20678</t>
        </is>
      </c>
      <c r="B20728" s="4" t="s">
        <f>=HYPERLINK("http://anyluxury.ru/shop/otdykh/igry-i-golovolomki/vozdushniy-zmey-delta-p453421/" , "P453.421 Воздушный змей Delta")</f>
      </c>
      <c r="C20728" s="4" t="n">
        <v>1238.00</v>
      </c>
      <c r="D20728" s="4"/>
    </row>
    <row collapsed="" customFormat="false" customHeight="1" hidden="" ht="14" outlineLevel="0" r="20729">
      <c r="A20729" s="3" t="inlineStr">
        <is>
          <t>20679</t>
        </is>
      </c>
      <c r="B20729" s="4" t="s">
        <f>=HYPERLINK("http://anyluxury.ru/shop/otdykh/igry-i-golovolomki/nabor-dlya-plyazhnogo-tennisa-p453415/" , "P453.415 Набор для пляжного тенниса")</f>
      </c>
      <c r="C20729" s="4" t="n">
        <v>449.00</v>
      </c>
      <c r="D20729" s="4"/>
    </row>
    <row collapsed="" customFormat="false" customHeight="1" hidden="" ht="14" outlineLevel="0" r="20730">
      <c r="A20730" s="3" t="inlineStr">
        <is>
          <t>20680</t>
        </is>
      </c>
      <c r="B20730" s="4" t="s">
        <f>=HYPERLINK("http://anyluxury.ru/shop/otdykh/igry-i-golovolomki/futbolniy-myach-5-razmera-p453403/" , "P453.403 Футбольный мяч 5 размера")</f>
      </c>
      <c r="C20730" s="4" t="n">
        <v>1772.00</v>
      </c>
      <c r="D20730" s="4"/>
    </row>
    <row collapsed="" customFormat="false" customHeight="1" hidden="" ht="14" outlineLevel="0" r="20731">
      <c r="A20731" s="3" t="inlineStr">
        <is>
          <t>20681</t>
        </is>
      </c>
      <c r="B20731" s="4" t="s">
        <f>=HYPERLINK("http://anyluxury.ru/shop/otdykh/igry-i-golovolomki/derevyannaya-golovolomka-v-chehle-p940013/" , "P940.013 Деревянная головоломка в чехле")</f>
      </c>
      <c r="C20731" s="4" t="n">
        <v>999.00</v>
      </c>
      <c r="D20731" s="4"/>
    </row>
    <row collapsed="" customFormat="false" customHeight="1" hidden="" ht="14" outlineLevel="0" r="20732">
      <c r="A20732" s="3" t="inlineStr">
        <is>
          <t>20682</t>
        </is>
      </c>
      <c r="B20732" s="4" t="s">
        <f>=HYPERLINK("http://anyluxury.ru/shop/otdykh/igry-i-golovolomki/derevyannaya-igra-chetire-v-ryad-p940093/" , "P940.093 Деревянная игра Четыре в ряд")</f>
      </c>
      <c r="C20732" s="4" t="n">
        <v>1849.00</v>
      </c>
      <c r="D20732" s="4"/>
    </row>
    <row collapsed="" customFormat="false" customHeight="1" hidden="" ht="14" outlineLevel="0" r="20733">
      <c r="A20733" s="3" t="inlineStr">
        <is>
          <t>20683</t>
        </is>
      </c>
      <c r="B20733" s="4" t="s">
        <f>=HYPERLINK("http://anyluxury.ru/shop/otdykh/igry-i-golovolomki/nastolniy-minifutbol-forward-13999/" , "13999 Настольный мини-футбол Forward")</f>
      </c>
      <c r="C20733" s="4" t="n">
        <v>2955.00</v>
      </c>
      <c r="D20733" s="4"/>
    </row>
    <row collapsed="" customFormat="false" customHeight="1" hidden="" ht="14" outlineLevel="0" r="20734">
      <c r="A20734" s="3" t="inlineStr">
        <is>
          <t>20684</t>
        </is>
      </c>
      <c r="B20734" s="4" t="s">
        <f>=HYPERLINK("http://anyluxury.ru/shop/otdykh/igry-i-golovolomki/derevyanniy-nabor-dlya-freskobola-p453509/" , "P453.509 Деревянный набор для фрескобола")</f>
      </c>
      <c r="C20734" s="4" t="n">
        <v>7113.00</v>
      </c>
      <c r="D20734" s="4"/>
    </row>
    <row collapsed="" customFormat="false" customHeight="1" hidden="" ht="14" outlineLevel="0" r="20735">
      <c r="A20735" s="3" t="inlineStr">
        <is>
          <t>20685</t>
        </is>
      </c>
      <c r="B20735" s="4" t="s">
        <f>=HYPERLINK("http://anyluxury.ru/shop/otdykh/igry-i-golovolomki/bambukoviy-nabor-mikado-gigant-p453559/" , "P453.559 Бамбуковый набор Микадо Гигант")</f>
      </c>
      <c r="C20735" s="4" t="n">
        <v>1772.00</v>
      </c>
      <c r="D20735" s="4"/>
    </row>
    <row collapsed="" customFormat="false" customHeight="1" hidden="" ht="14" outlineLevel="0" r="20736">
      <c r="A20736" s="3" t="inlineStr">
        <is>
          <t>20686</t>
        </is>
      </c>
      <c r="B20736" s="4" t="s">
        <f>=HYPERLINK("http://anyluxury.ru/shop/otdykh/igry-i-golovolomki/derevyanniy-igrovoy-nabor-kubb-p453519/" , "P453.519 Деревянный игровой набор Kubb")</f>
      </c>
      <c r="C20736" s="4" t="n">
        <v>4084.00</v>
      </c>
      <c r="D20736" s="4"/>
    </row>
    <row collapsed="" customFormat="false" customHeight="1" hidden="" ht="14" outlineLevel="0" r="20737">
      <c r="A20737" s="3" t="inlineStr">
        <is>
          <t>20687</t>
        </is>
      </c>
      <c r="B20737" s="4" t="s">
        <f>=HYPERLINK("http://anyluxury.ru/shop/otdykh/igry-i-golovolomki/domino-code-chernoe-1598430/" , "15984.30 Домино Code, черное")</f>
      </c>
      <c r="C20737" s="4" t="n">
        <v>8834.00</v>
      </c>
      <c r="D20737" s="4"/>
    </row>
    <row collapsed="" customFormat="false" customHeight="1" hidden="" ht="14" outlineLevel="0" r="20738">
      <c r="A20738" s="3" t="inlineStr">
        <is>
          <t>20688</t>
        </is>
      </c>
      <c r="B20738" s="4" t="s">
        <f>=HYPERLINK("http://anyluxury.ru/shop/otdykh/igry-i-golovolomki/futbolniy-myach-arrow-cherniy-1507630/" , "15076.30 Футбольный мяч Arrow, черный")</f>
      </c>
      <c r="C20738" s="4" t="n">
        <v>3006.00</v>
      </c>
      <c r="D20738" s="4"/>
    </row>
    <row collapsed="" customFormat="false" customHeight="1" hidden="" ht="14" outlineLevel="0" r="20739">
      <c r="A20739" s="3" t="inlineStr">
        <is>
          <t>20689</t>
        </is>
      </c>
      <c r="B20739" s="4" t="s">
        <f>=HYPERLINK("http://anyluxury.ru/shop/otdykh/igry-i-golovolomki/futbolniy-myach-arrow-goluboy-1507644/" , "15076.44 Футбольный мяч Arrow, голубой")</f>
      </c>
      <c r="C20739" s="4" t="n">
        <v>3006.00</v>
      </c>
      <c r="D20739" s="4"/>
    </row>
    <row collapsed="" customFormat="false" customHeight="1" hidden="" ht="14" outlineLevel="0" r="20740">
      <c r="A20740" s="3" t="inlineStr">
        <is>
          <t>20690</t>
        </is>
      </c>
      <c r="B20740" s="4" t="s">
        <f>=HYPERLINK("http://anyluxury.ru/shop/otdykh/igry-i-golovolomki/futbolniy-myach-arrow-krasniy-1507650/" , "15076.50 Футбольный мяч Arrow, красный")</f>
      </c>
      <c r="C20740" s="4" t="n">
        <v>3006.00</v>
      </c>
      <c r="D20740" s="4"/>
    </row>
    <row collapsed="" customFormat="false" customHeight="1" hidden="" ht="14" outlineLevel="0" r="20741">
      <c r="A20741" s="3" t="inlineStr">
        <is>
          <t>20691</t>
        </is>
      </c>
      <c r="B20741" s="4" t="s">
        <f>=HYPERLINK("http://anyluxury.ru/shop/otdykh/igry-i-golovolomki/futbolniy-myach-arrow-zeleniy-1507690/" , "15076.90 Футбольный мяч Arrow, зеленый")</f>
      </c>
      <c r="C20741" s="4" t="n">
        <v>3006.00</v>
      </c>
      <c r="D20741" s="4"/>
    </row>
    <row collapsed="" customFormat="false" customHeight="1" hidden="" ht="14" outlineLevel="0" r="20742">
      <c r="A20742" s="3" t="inlineStr">
        <is>
          <t>20692</t>
        </is>
      </c>
      <c r="B20742" s="4" t="s">
        <f>=HYPERLINK("http://anyluxury.ru/shop/otdykh/igry-i-golovolomki/futbolniy-myach-arrow-zheltiy-1507680/" , "15076.80 Футбольный мяч Arrow, желтый")</f>
      </c>
      <c r="C20742" s="4" t="n">
        <v>3006.00</v>
      </c>
      <c r="D20742" s="4"/>
    </row>
    <row collapsed="" customFormat="false" customHeight="1" hidden="" ht="14" outlineLevel="0" r="20743">
      <c r="A20743" s="3" t="inlineStr">
        <is>
          <t>20693</t>
        </is>
      </c>
      <c r="B20743" s="4" t="s">
        <f>=HYPERLINK("http://anyluxury.ru/shop/otdykh/igry-i-golovolomki/futbolniy-myach-sota-cherniy-1507730/" , "15077.30 Футбольный мяч Sota, черный")</f>
      </c>
      <c r="C20743" s="4" t="n">
        <v>3006.00</v>
      </c>
      <c r="D20743" s="4"/>
    </row>
    <row collapsed="" customFormat="false" customHeight="1" hidden="" ht="14" outlineLevel="0" r="20744">
      <c r="A20744" s="3" t="inlineStr">
        <is>
          <t>20694</t>
        </is>
      </c>
      <c r="B20744" s="4" t="s">
        <f>=HYPERLINK("http://anyluxury.ru/shop/otdykh/igry-i-golovolomki/futbolniy-myach-sota-siniy-1507740/" , "15077.40 Футбольный мяч Sota, синий")</f>
      </c>
      <c r="C20744" s="4" t="n">
        <v>3006.00</v>
      </c>
      <c r="D20744" s="4"/>
    </row>
    <row collapsed="" customFormat="false" customHeight="1" hidden="" ht="14" outlineLevel="0" r="20745">
      <c r="A20745" s="3" t="inlineStr">
        <is>
          <t>20695</t>
        </is>
      </c>
      <c r="B20745" s="4" t="s">
        <f>=HYPERLINK("http://anyluxury.ru/shop/otdykh/igry-i-golovolomki/futbolniy-myach-sota-bordoviy-1507750/" , "15077.50 Футбольный мяч Sota, бордовый")</f>
      </c>
      <c r="C20745" s="4" t="n">
        <v>2622.00</v>
      </c>
      <c r="D20745" s="4"/>
    </row>
    <row collapsed="" customFormat="false" customHeight="1" hidden="" ht="14" outlineLevel="0" r="20746">
      <c r="A20746" s="3" t="inlineStr">
        <is>
          <t>20696</t>
        </is>
      </c>
      <c r="B20746" s="4" t="s">
        <f>=HYPERLINK("http://anyluxury.ru/shop/otdykh/igry-i-golovolomki/futbolniy-myach-sota-zeleniy-1507790/" , "15077.90 Футбольный мяч Sota, зеленый")</f>
      </c>
      <c r="C20746" s="4" t="n">
        <v>3006.00</v>
      </c>
      <c r="D20746" s="4"/>
    </row>
    <row collapsed="" customFormat="false" customHeight="1" hidden="" ht="14" outlineLevel="0" r="20747">
      <c r="A20747" s="3" t="inlineStr">
        <is>
          <t>20697</t>
        </is>
      </c>
      <c r="B20747" s="4" t="s">
        <f>=HYPERLINK("http://anyluxury.ru/shop/otdykh/igry-i-golovolomki/voleybolniy-myach-match-point-sinezeleniy-1507849/" , "15078.49 Волейбольный мяч Match Point, сине-зеленый")</f>
      </c>
      <c r="C20747" s="4" t="n">
        <v>2395.00</v>
      </c>
      <c r="D20747" s="4"/>
    </row>
    <row collapsed="" customFormat="false" customHeight="1" hidden="" ht="14" outlineLevel="0" r="20748">
      <c r="A20748" s="3" t="inlineStr">
        <is>
          <t>20698</t>
        </is>
      </c>
      <c r="B20748" s="4" t="s">
        <f>=HYPERLINK("http://anyluxury.ru/shop/otdykh/igry-i-golovolomki/voleybolniy-myach-match-point-krasnobeliy-1507856/" , "15078.56 Волейбольный мяч Match Point, красно-белый")</f>
      </c>
      <c r="C20748" s="4" t="n">
        <v>2395.00</v>
      </c>
      <c r="D20748" s="4"/>
    </row>
    <row collapsed="" customFormat="false" customHeight="1" hidden="" ht="14" outlineLevel="0" r="20749">
      <c r="A20749" s="3" t="inlineStr">
        <is>
          <t>20699</t>
        </is>
      </c>
      <c r="B20749" s="4" t="s">
        <f>=HYPERLINK("http://anyluxury.ru/shop/otdykh/igry-i-golovolomki/voleybolniy-myach-match-point-trikolor-1507800/" , "15078.00 Волейбольный мяч Match Point, триколор")</f>
      </c>
      <c r="C20749" s="4" t="n">
        <v>2395.00</v>
      </c>
      <c r="D20749" s="4"/>
    </row>
    <row collapsed="" customFormat="false" customHeight="1" hidden="" ht="14" outlineLevel="0" r="20750">
      <c r="A20750" s="3" t="inlineStr">
        <is>
          <t>20700</t>
        </is>
      </c>
      <c r="B20750" s="4" t="s">
        <f>=HYPERLINK("http://anyluxury.ru/shop/otdykh/igry-i-golovolomki/voleybolniy-myach-match-point-chernobeliy-1507836/" , "15078.36 Волейбольный мяч Match Point, черно-белый")</f>
      </c>
      <c r="C20750" s="4" t="n">
        <v>2395.00</v>
      </c>
      <c r="D20750" s="4"/>
    </row>
    <row collapsed="" customFormat="false" customHeight="1" hidden="" ht="14" outlineLevel="0" r="20751">
      <c r="A20751" s="3" t="inlineStr">
        <is>
          <t>20701</t>
        </is>
      </c>
      <c r="B20751" s="4" t="s">
        <f>=HYPERLINK("http://anyluxury.ru/shop/otdykh/igry-i-golovolomki/basketbolniy-myach-belov-razmer-7-1507902/" , "15079.02 Баскетбольный мяч Dunk, размер 7")</f>
      </c>
      <c r="C20751" s="4" t="n">
        <v>4579.00</v>
      </c>
      <c r="D20751" s="4"/>
    </row>
    <row collapsed="" customFormat="false" customHeight="1" hidden="" ht="14" outlineLevel="0" r="20752">
      <c r="A20752" s="3" t="inlineStr">
        <is>
          <t>20702</t>
        </is>
      </c>
      <c r="B20752" s="4" t="s">
        <f>=HYPERLINK("http://anyluxury.ru/shop/otdykh/igry-i-golovolomki/basketbolniy-myach-belov-razmer-5-1507901/" , "15079.01 Баскетбольный мяч Dunk, размер 5")</f>
      </c>
      <c r="C20752" s="4" t="n">
        <v>4579.00</v>
      </c>
      <c r="D20752" s="4"/>
    </row>
    <row collapsed="" customFormat="false" customHeight="1" hidden="" ht="14" outlineLevel="0" r="20753">
      <c r="A20753" s="3" t="inlineStr">
        <is>
          <t>20703</t>
        </is>
      </c>
      <c r="B20753" s="4" t="s">
        <f>=HYPERLINK("http://anyluxury.ru/shop/otdykh/igry-i-golovolomki/myach-voleybolniy-active-beliy-1820960/" , "18209.60 Мяч волейбольный Active, белый")</f>
      </c>
      <c r="C20753" s="4" t="n">
        <v>1369.00</v>
      </c>
      <c r="D20753" s="4"/>
    </row>
    <row collapsed="" customFormat="false" customHeight="1" hidden="" ht="14" outlineLevel="0" r="20754">
      <c r="A20754" s="3" t="inlineStr">
        <is>
          <t>20704</t>
        </is>
      </c>
      <c r="B20754" s="4" t="s">
        <f>=HYPERLINK("http://anyluxury.ru/shop/otdykh/igry-i-golovolomki/igra-nanobouling-1602400/" , "16024.00 Игра «Нанобоулинг»")</f>
      </c>
      <c r="C20754" s="4" t="n">
        <v>2100.00</v>
      </c>
      <c r="D20754" s="4"/>
    </row>
    <row collapsed="" customFormat="false" customHeight="1" hidden="" ht="14" outlineLevel="0" r="20755">
      <c r="A20755" s="3" t="inlineStr">
        <is>
          <t>20705</t>
        </is>
      </c>
      <c r="B20755" s="4" t="s">
        <f>=HYPERLINK("http://anyluxury.ru/shop/otdykh/igry-i-golovolomki/voleybolniy-myach-match-point-beliy-1507860/" , "15078.60 Волейбольный мяч Match Point, белый")</f>
      </c>
      <c r="C20755" s="4" t="n">
        <v>2395.00</v>
      </c>
      <c r="D20755" s="4"/>
    </row>
    <row collapsed="" customFormat="false" customHeight="1" hidden="" ht="14" outlineLevel="0" r="20756">
      <c r="A20756" s="3" t="inlineStr">
        <is>
          <t>20706</t>
        </is>
      </c>
      <c r="B20756" s="4" t="s">
        <f>=HYPERLINK("http://anyluxury.ru/shop/otdykh/igry-i-golovolomki/golovolomka-huzzle-4-cylinder-1556000/" , "15560.00 Головоломка Huzzle 4. Cylinder")</f>
      </c>
      <c r="C20756" s="4" t="n">
        <v>2559.00</v>
      </c>
      <c r="D20756" s="4"/>
    </row>
    <row collapsed="" customFormat="false" customHeight="1" hidden="" ht="14" outlineLevel="0" r="20757">
      <c r="A20757" s="3" t="inlineStr">
        <is>
          <t>20707</t>
        </is>
      </c>
      <c r="B20757" s="4" t="s">
        <f>=HYPERLINK("http://anyluxury.ru/shop/otdykh/igry-i-golovolomki/golovolomka-huzzle-4-donuts-1556001/" , "15560.01 Головоломка Huzzle 4. Donuts")</f>
      </c>
      <c r="C20757" s="4" t="n">
        <v>2559.00</v>
      </c>
      <c r="D20757" s="4"/>
    </row>
    <row collapsed="" customFormat="false" customHeight="1" hidden="" ht="14" outlineLevel="0" r="20758">
      <c r="A20758" s="3" t="inlineStr">
        <is>
          <t>20708</t>
        </is>
      </c>
      <c r="B20758" s="4" t="s">
        <f>=HYPERLINK("http://anyluxury.ru/shop/otdykh/igry-i-golovolomki/golovolomka-huzzle-5-marble-1556100/" , "15561.00 Головоломка Huzzle 5. Marble")</f>
      </c>
      <c r="C20758" s="4" t="n">
        <v>2730.00</v>
      </c>
      <c r="D20758" s="4"/>
    </row>
    <row collapsed="" customFormat="false" customHeight="1" hidden="" ht="14" outlineLevel="0" r="20759">
      <c r="A20759" s="3" t="inlineStr">
        <is>
          <t>20709</t>
        </is>
      </c>
      <c r="B20759" s="4" t="s">
        <f>=HYPERLINK("http://anyluxury.ru/shop/otdykh/igry-i-golovolomki/golovolomka-huzzle-5-equa-1556101/" , "15561.01 Головоломка Huzzle 5. Equa")</f>
      </c>
      <c r="C20759" s="4" t="n">
        <v>2730.00</v>
      </c>
      <c r="D20759" s="4"/>
    </row>
    <row collapsed="" customFormat="false" customHeight="1" hidden="" ht="14" outlineLevel="0" r="20760">
      <c r="A20760" s="3" t="inlineStr">
        <is>
          <t>20710</t>
        </is>
      </c>
      <c r="B20760" s="4" t="s">
        <f>=HYPERLINK("http://anyluxury.ru/shop/otdykh/igry-i-golovolomki/golovolomka-huzzle-6-quartet-1556200/" , "15562.00 Головоломка Huzzle 6. Quartet")</f>
      </c>
      <c r="C20760" s="4" t="n">
        <v>2811.00</v>
      </c>
      <c r="D20760" s="4"/>
    </row>
    <row collapsed="" customFormat="false" customHeight="1" hidden="" ht="14" outlineLevel="0" r="20761">
      <c r="A20761" s="3" t="inlineStr">
        <is>
          <t>20711</t>
        </is>
      </c>
      <c r="B20761" s="4" t="s">
        <f>=HYPERLINK("http://anyluxury.ru/shop/otdykh/igry-i-golovolomki/golovolomka-huzzle-6-infinity-1556201/" , "15562.01 Головоломка Huzzle 6. Infinity")</f>
      </c>
      <c r="C20761" s="4" t="n">
        <v>2811.00</v>
      </c>
      <c r="D20761" s="4"/>
    </row>
    <row collapsed="" customFormat="false" customHeight="1" hidden="" ht="14" outlineLevel="0" r="20762">
      <c r="A20762" s="3" t="inlineStr">
        <is>
          <t>20712</t>
        </is>
      </c>
      <c r="B20762" s="4" t="s">
        <f>=HYPERLINK("http://anyluxury.ru/shop/otdykh/igry-i-golovolomki/raketka-iz-steklovolokna-dlya-padeltennisa-no-fear-p453451/" , "P453.451 Ракетка из стекловолокна для падел-тенниса No Fear")</f>
      </c>
      <c r="C20762" s="4" t="n">
        <v>6990.00</v>
      </c>
      <c r="D20762" s="4"/>
    </row>
    <row collapsed="" customFormat="false" customHeight="1" hidden="" ht="14" outlineLevel="0" r="20763">
      <c r="A20763" s="3" t="inlineStr">
        <is>
          <t>20713</t>
        </is>
      </c>
      <c r="B20763" s="4" t="s">
        <f>=HYPERLINK("http://anyluxury.ru/shop/otdykh/igry-i-golovolomki/voleybolniy-myach-friday-beliy-1370060/" , "13700.60 Волейбольный мяч Friday, белый")</f>
      </c>
      <c r="C20763" s="4" t="n">
        <v>996.00</v>
      </c>
      <c r="D20763" s="4"/>
    </row>
    <row collapsed="" customFormat="false" customHeight="1" hidden="" ht="14" outlineLevel="0" r="20764">
      <c r="A20764" s="3" t="inlineStr">
        <is>
          <t>20714</t>
        </is>
      </c>
      <c r="B20764" s="4" t="s">
        <f>=HYPERLINK("http://anyluxury.ru/shop/otdykh/igry-i-golovolomki/balansirantistress-komanda-goda-30164/" , "30164 Балансир-антистресс «Команда года»")</f>
      </c>
      <c r="C20764" s="4" t="n">
        <v>3498.00</v>
      </c>
      <c r="D20764" s="4"/>
    </row>
    <row collapsed="" customFormat="false" customHeight="1" hidden="" ht="14" outlineLevel="0" r="20765">
      <c r="A20765" s="3" t="inlineStr">
        <is>
          <t>20715</t>
        </is>
      </c>
      <c r="B20765" s="4" t="s">
        <f>=HYPERLINK("http://anyluxury.ru/shop/otdykh/igry-i-golovolomki/pazli-derevyannie-premium-prezent-na-zakaz-s-1897601/" , "18976.01 Пазлы деревянные Prezent Premium на заказ, S")</f>
      </c>
      <c r="C20765" s="4" t="n">
        <v>1400.00</v>
      </c>
      <c r="D20765" s="4"/>
    </row>
    <row collapsed="" customFormat="false" customHeight="1" hidden="" ht="14" outlineLevel="0" r="20766">
      <c r="A20766" s="3" t="inlineStr">
        <is>
          <t>20716</t>
        </is>
      </c>
      <c r="B20766" s="4" t="s">
        <f>=HYPERLINK("http://anyluxury.ru/shop/otdykh/igry-i-golovolomki/pazli-derevyannie-premium-prezent-na-zakaz-m-1897602/" , "18976.02 Пазлы деревянные Prezent Premium на заказ, M")</f>
      </c>
      <c r="C20766" s="4" t="n">
        <v>1900.00</v>
      </c>
      <c r="D20766" s="4"/>
    </row>
    <row collapsed="" customFormat="false" customHeight="1" hidden="" ht="14" outlineLevel="0" r="20767">
      <c r="A20767" s="3" t="inlineStr">
        <is>
          <t>20717</t>
        </is>
      </c>
      <c r="B20767" s="4" t="s">
        <f>=HYPERLINK("http://anyluxury.ru/shop/otdykh/igry-i-golovolomki/pazl-prezent-na-zakaz-s-1897501/" , "18975.01 Пазл Prezent на заказ, S")</f>
      </c>
      <c r="C20767" s="4" t="n">
        <v>312.80</v>
      </c>
      <c r="D20767" s="4"/>
    </row>
    <row collapsed="" customFormat="false" customHeight="1" hidden="" ht="14" outlineLevel="0" r="20768">
      <c r="A20768" s="3" t="inlineStr">
        <is>
          <t>20718</t>
        </is>
      </c>
      <c r="B20768" s="4" t="s">
        <f>=HYPERLINK("http://anyluxury.ru/shop/otdykh/igry-i-golovolomki/pazl-prezent-na-zakaz-m-1897502/" , "18975.02 Пазл Prezent на заказ, M")</f>
      </c>
      <c r="C20768" s="4" t="n">
        <v>503.70</v>
      </c>
      <c r="D20768" s="4"/>
    </row>
    <row collapsed="" customFormat="false" customHeight="1" hidden="" ht="14" outlineLevel="0" r="20769">
      <c r="A20769" s="3" t="inlineStr">
        <is>
          <t>20719</t>
        </is>
      </c>
      <c r="B20769" s="4" t="s">
        <f>=HYPERLINK("http://anyluxury.ru/shop/otdykh/igry-i-golovolomki/derevyannaya-igra-sudoku-fscr-p940103/" , "P940.103 Деревянная игра Судоку FSC®")</f>
      </c>
      <c r="C20769" s="4" t="n">
        <v>1379.00</v>
      </c>
      <c r="D20769" s="4"/>
    </row>
    <row collapsed="" customFormat="false" customHeight="1" hidden="" ht="14" outlineLevel="0" r="20770">
      <c r="A20770" s="3" t="inlineStr">
        <is>
          <t>20720</t>
        </is>
      </c>
      <c r="B20770" s="4" t="s">
        <f>=HYPERLINK("http://anyluxury.ru/shop/otdykh/igry-i-golovolomki/igra-gora-kamney-sosna-i-bereza-9-elementov-1798303/" , "17983.03 Игра «Гора камней», сосна и береза, 9 элементов")</f>
      </c>
      <c r="C20770" s="4" t="n">
        <v>2429.00</v>
      </c>
      <c r="D20770" s="4"/>
    </row>
    <row collapsed="" customFormat="false" customHeight="1" hidden="" ht="14" outlineLevel="0" r="20771">
      <c r="A20771" s="3" t="inlineStr">
        <is>
          <t>20721</t>
        </is>
      </c>
      <c r="B20771" s="4" t="s">
        <f>=HYPERLINK("http://anyluxury.ru/shop/otdykh/igry-i-golovolomki/nastolnaya-igra-vinga-bratzy-9152/" , "9152 Настольная игра VINGA Bratzy")</f>
      </c>
      <c r="C20771" s="4" t="n">
        <v>1772.00</v>
      </c>
      <c r="D20771" s="4"/>
    </row>
    <row collapsed="" customFormat="false" customHeight="1" hidden="" ht="14" outlineLevel="0" r="20772">
      <c r="A20772" s="3" t="inlineStr">
        <is>
          <t>20722</t>
        </is>
      </c>
      <c r="B20772" s="4" t="s">
        <f>=HYPERLINK("http://anyluxury.ru/shop/otdykh/igry-i-golovolomki/nastolnaya-igra-yahta-vinga-9154/" , "9154 Настольная игра Яхта VINGA")</f>
      </c>
      <c r="C20772" s="4" t="n">
        <v>1238.00</v>
      </c>
      <c r="D20772" s="4"/>
    </row>
    <row collapsed="" customFormat="false" customHeight="1" hidden="" ht="14" outlineLevel="0" r="20773">
      <c r="A20773" s="3" t="inlineStr">
        <is>
          <t>20723</t>
        </is>
      </c>
      <c r="B20773" s="4" t="s">
        <f>=HYPERLINK("http://anyluxury.ru/shop/otdykh/igry-i-golovolomki/igralnie-karti-vinga-9155/" , "9155 Игральные карты VINGA")</f>
      </c>
      <c r="C20773" s="4" t="n">
        <v>1066.00</v>
      </c>
      <c r="D20773" s="4"/>
    </row>
    <row collapsed="" customFormat="false" customHeight="1" hidden="" ht="14" outlineLevel="0" r="20774">
      <c r="A20774" s="3" t="inlineStr">
        <is>
          <t>20724</t>
        </is>
      </c>
      <c r="B20774" s="4" t="s">
        <f>=HYPERLINK("http://anyluxury.ru/shop/otdykh/igry-i-golovolomki/nastolnaya-igra-vinga-ludo-9160/" , "9160 Настольная игра VINGA Ludo")</f>
      </c>
      <c r="C20774" s="4" t="n">
        <v>2125.00</v>
      </c>
      <c r="D20774" s="4"/>
    </row>
    <row collapsed="" customFormat="false" customHeight="1" hidden="" ht="14" outlineLevel="0" r="20775">
      <c r="A20775" s="3" t="inlineStr">
        <is>
          <t>20725</t>
        </is>
      </c>
      <c r="B20775" s="4" t="s">
        <f>=HYPERLINK("http://anyluxury.ru/shop/otdykh/igry-i-golovolomki/nastolnaya-igra-krestikinoliki-vinga-9162/" , "9162 Настольная игра Крестики-нолики VINGA")</f>
      </c>
      <c r="C20775" s="4" t="n">
        <v>2134.00</v>
      </c>
      <c r="D20775" s="4"/>
    </row>
    <row collapsed="" customFormat="false" customHeight="1" hidden="" ht="14" outlineLevel="0" r="20776">
      <c r="A20776" s="3" t="inlineStr">
        <is>
          <t>20726</t>
        </is>
      </c>
      <c r="B20776" s="4" t="s">
        <f>=HYPERLINK("http://anyluxury.ru/shop/otdykh/igry-i-golovolomki/igra-kolco-vinga-v4530019/" , "V4530019 Игра Кольцо VINGA")</f>
      </c>
      <c r="C20776" s="4" t="n">
        <v>2125.00</v>
      </c>
      <c r="D20776" s="4"/>
    </row>
    <row collapsed="" customFormat="false" customHeight="1" hidden="" ht="14" outlineLevel="0" r="20777">
      <c r="A20777" s="3" t="inlineStr">
        <is>
          <t>20727</t>
        </is>
      </c>
      <c r="B20777" s="4" t="s">
        <f>=HYPERLINK("http://anyluxury.ru/shop/otdykh/igry-i-golovolomki/derevyannaya-igra-finskie-kegli-vinga-v4530029/" , "V4530029 Деревянная игра Финские кегли VINGA")</f>
      </c>
      <c r="C20777" s="4" t="n">
        <v>4084.00</v>
      </c>
      <c r="D20777" s="4"/>
    </row>
    <row collapsed="" customFormat="false" customHeight="1" hidden="" ht="14" outlineLevel="0" r="20778">
      <c r="A20778" s="3" t="inlineStr">
        <is>
          <t>20728</t>
        </is>
      </c>
      <c r="B20778" s="4" t="s">
        <f>=HYPERLINK("http://anyluxury.ru/shop/otdykh/igry-i-golovolomki/golovolomka-iz-dereva-fscr-v-chehle-iz-kanvasa-p940113/" , "P940.113 Головоломка из дерева FSC® в чехле из канваса")</f>
      </c>
      <c r="C20778" s="4" t="n">
        <v>1349.00</v>
      </c>
      <c r="D20778" s="4"/>
    </row>
    <row collapsed="" customFormat="false" customHeight="1" hidden="" ht="14" outlineLevel="0" r="20779">
      <c r="A20779" s="3" t="inlineStr">
        <is>
          <t>20729</t>
        </is>
      </c>
      <c r="B20779" s="4" t="s">
        <f>=HYPERLINK("http://anyluxury.ru/shop/otdykh/igry-i-golovolomki/nabor-nastolnih-igr-3v1-v-derevyannoy-korobke-fscr-p940133/" , "P940.133 Набор настольных игр 3-в-1 в деревянной коробке FSC®")</f>
      </c>
      <c r="C20779" s="4" t="n">
        <v>1238.00</v>
      </c>
      <c r="D20779" s="4"/>
    </row>
    <row collapsed="" customFormat="false" customHeight="1" hidden="" ht="14" outlineLevel="0" r="20780">
      <c r="A20780" s="3" t="inlineStr">
        <is>
          <t>20730</t>
        </is>
      </c>
      <c r="B20780" s="4" t="s">
        <f>=HYPERLINK("http://anyluxury.ru/shop/otdykh/igry-i-golovolomki/nastolnaya-igra-krestikinoliki-iz-dereva-fscr-p940143/" , "P940.143 Настольная игра Крестики-нолики из дерева FSC®")</f>
      </c>
      <c r="C20780" s="4" t="n">
        <v>1238.00</v>
      </c>
      <c r="D20780" s="4"/>
    </row>
    <row collapsed="" customFormat="false" customHeight="1" hidden="" ht="14" outlineLevel="0" r="20781">
      <c r="A20781" s="3" t="inlineStr">
        <is>
          <t>20731</t>
        </is>
      </c>
      <c r="B20781" s="4" t="s">
        <f>=HYPERLINK("http://anyluxury.ru/shop/otdykh/igry-i-golovolomki/nabor-nastolnih-igr-mikadodomino-v-derevyannoy-korobke-fscr-p940153/" , "P940.153 Набор настольных игр Микадо/Домино в деревянной коробке FSC®")</f>
      </c>
      <c r="C20781" s="4" t="n">
        <v>1238.00</v>
      </c>
      <c r="D20781" s="4"/>
    </row>
    <row collapsed="" customFormat="false" customHeight="1" hidden="" ht="14" outlineLevel="0" r="20782">
      <c r="A20782" s="3" t="inlineStr">
        <is>
          <t>20732</t>
        </is>
      </c>
      <c r="B20782" s="4" t="s">
        <f>=HYPERLINK("http://anyluxury.ru/shop/otdykh/igry-i-golovolomki/igra-bashnya-iz-dereva-fscr-p940163/" , "P940.163 Игра Башня из дерева FSC®")</f>
      </c>
      <c r="C20782" s="4" t="n">
        <v>2125.00</v>
      </c>
      <c r="D20782" s="4"/>
    </row>
    <row collapsed="" customFormat="false" customHeight="1" hidden="" ht="14" outlineLevel="0" r="20783">
      <c r="A20783" s="3" t="inlineStr">
        <is>
          <t>20733</t>
        </is>
      </c>
      <c r="B20783" s="4" t="s">
        <f>=HYPERLINK("http://anyluxury.ru/shop/otdykh/igry-i-golovolomki/igra-chetire-v-ryad-iz-dereva-fscr-p940243/" , "P940.243 Игра Четыре в ряд из дерева FSC®")</f>
      </c>
      <c r="C20783" s="4" t="n">
        <v>2659.00</v>
      </c>
      <c r="D20783" s="4"/>
    </row>
    <row collapsed="" customFormat="false" customHeight="1" hidden="" ht="14" outlineLevel="0" r="20784">
      <c r="A20784" s="3" t="inlineStr">
        <is>
          <t>20734</t>
        </is>
      </c>
      <c r="B20784" s="4" t="s">
        <f>=HYPERLINK("http://anyluxury.ru/shop/otdykh/igry-i-golovolomki/nabor-igr-5v1-iz-dereva-fscr-p940253/" , "P940.253 Набор игр 5-в-1 из дерева FSC®")</f>
      </c>
      <c r="C20784" s="4" t="n">
        <v>3013.00</v>
      </c>
      <c r="D20784" s="4"/>
    </row>
    <row collapsed="" customFormat="false" customHeight="1" hidden="" ht="14" outlineLevel="0" r="20785">
      <c r="A20785" s="3" t="inlineStr">
        <is>
          <t>20735</t>
        </is>
      </c>
      <c r="B20785" s="4" t="s">
        <f>=HYPERLINK("http://anyluxury.ru/shop/otdykh/igry-i-golovolomki/nabor-golovolomok-iz-dereva-fscr-p940263/" , "P940.263 Набор головоломок из дерева FSC®")</f>
      </c>
      <c r="C20785" s="4" t="n">
        <v>1929.00</v>
      </c>
      <c r="D20785" s="4"/>
    </row>
    <row collapsed="" customFormat="false" customHeight="1" hidden="" ht="14" outlineLevel="0" r="20786">
      <c r="A20786" s="3" t="inlineStr">
        <is>
          <t>20736</t>
        </is>
      </c>
      <c r="B20786" s="4" t="s">
        <f>=HYPERLINK("http://anyluxury.ru/shop/otdykh/igry-i-golovolomki/domino-numero-2012700/" , "20127.00 Домино Numero")</f>
      </c>
      <c r="C20786" s="4" t="n">
        <v>395.00</v>
      </c>
      <c r="D20786" s="4"/>
    </row>
    <row collapsed="" customFormat="false" customHeight="1" hidden="" ht="14" outlineLevel="0" r="20787">
      <c r="A20787" s="3" t="inlineStr">
        <is>
          <t>20737</t>
        </is>
      </c>
      <c r="B20787" s="4" t="s">
        <f>=HYPERLINK("http://anyluxury.ru/shop/otdykh/igry-i-golovolomki/pazl-carta-na-zakaz-s-1854101/" , "18541.01 Пазл Carta на заказ, S")</f>
      </c>
      <c r="C20787" s="4" t="n">
        <v>673.00</v>
      </c>
      <c r="D20787" s="4"/>
    </row>
    <row collapsed="" customFormat="false" customHeight="1" hidden="" ht="14" outlineLevel="0" r="20788">
      <c r="A20788" s="3" t="inlineStr">
        <is>
          <t>20738</t>
        </is>
      </c>
      <c r="B20788" s="4" t="s">
        <f>=HYPERLINK("http://anyluxury.ru/shop/otdykh/igry-i-golovolomki/pazl-carta-na-zakaz-m-1854102/" , "18541.02 Пазл Carta на заказ, M")</f>
      </c>
      <c r="C20788" s="4" t="n">
        <v>1516.00</v>
      </c>
      <c r="D20788" s="4"/>
    </row>
    <row collapsed="" customFormat="false" customHeight="1" hidden="" ht="14" outlineLevel="0" r="20789">
      <c r="A20789" s="3" t="inlineStr">
        <is>
          <t>20739</t>
        </is>
      </c>
      <c r="B20789" s="4" t="s">
        <f>=HYPERLINK("http://anyluxury.ru/shop/otdykh/igry-i-golovolomki/pazl-carta-promo-na-zakaz-1854001/" , "18540.01 Пазл Carta Promo на заказ")</f>
      </c>
      <c r="C20789" s="4" t="n">
        <v>230.00</v>
      </c>
      <c r="D20789" s="4"/>
    </row>
    <row collapsed="" customFormat="false" customHeight="1" hidden="" ht="14" outlineLevel="0" r="20790">
      <c r="A20790" s="3" t="inlineStr">
        <is>
          <t>20740</t>
        </is>
      </c>
      <c r="B20790" s="4" t="s">
        <f>=HYPERLINK("http://anyluxury.ru/shop/otdykh/igry-i-golovolomki/shahmati-vinga-91500/" , "91500 Шахматы VINGA")</f>
      </c>
      <c r="C20790" s="4" t="n">
        <v>2279.00</v>
      </c>
      <c r="D20790" s="4"/>
    </row>
    <row collapsed="" customFormat="false" customHeight="" hidden="" ht="12.1" outlineLevel="0" r="20791">
      <c r="A20791" s="5" t="inlineStr">
        <is>
          <t> -  - Пляжный отдых</t>
        </is>
      </c>
      <c r="B20791" s="6"/>
      <c r="C20791" s="6"/>
      <c r="D20791" s="6"/>
    </row>
    <row collapsed="" customFormat="false" customHeight="1" hidden="" ht="14" outlineLevel="0" r="20792">
      <c r="A20792" s="3" t="inlineStr">
        <is>
          <t>20741</t>
        </is>
      </c>
      <c r="B20792" s="4" t="s">
        <f>=HYPERLINK("http://anyluxury.ru/shop/otdykh/plyazhnyy-otdykh/solntsezashchitnye-ochki-eco-zelenyy/" , "P453.917 Солнцезащитные очки ECO, зеленый")</f>
      </c>
      <c r="C20792" s="4" t="n">
        <v>236.00</v>
      </c>
      <c r="D20792" s="4"/>
    </row>
    <row collapsed="" customFormat="false" customHeight="1" hidden="" ht="14" outlineLevel="0" r="20793">
      <c r="A20793" s="3" t="inlineStr">
        <is>
          <t>20742</t>
        </is>
      </c>
      <c r="B20793" s="4" t="s">
        <f>=HYPERLINK("http://anyluxury.ru/shop/otdykh/plyazhnyy-otdykh/solntsezashchitnye-ochki-eco-siniy/" , "P453.915 Солнцезащитные очки ECO, синий")</f>
      </c>
      <c r="C20793" s="4" t="n">
        <v>236.00</v>
      </c>
      <c r="D20793" s="4"/>
    </row>
    <row collapsed="" customFormat="false" customHeight="1" hidden="" ht="14" outlineLevel="0" r="20794">
      <c r="A20794" s="3" t="inlineStr">
        <is>
          <t>20743</t>
        </is>
      </c>
      <c r="B20794" s="4" t="s">
        <f>=HYPERLINK("http://anyluxury.ru/shop/otdykh/plyazhnyy-otdykh/solntsezashchitnye-ochki-eco-chernyy/" , "P453.911 Солнцезащитные очки ECO, черный")</f>
      </c>
      <c r="C20794" s="4" t="n">
        <v>236.00</v>
      </c>
      <c r="D20794" s="4"/>
    </row>
    <row collapsed="" customFormat="false" customHeight="1" hidden="" ht="14" outlineLevel="0" r="20795">
      <c r="A20795" s="3" t="inlineStr">
        <is>
          <t>20744</t>
        </is>
      </c>
      <c r="B20795" s="4" t="s">
        <f>=HYPERLINK("http://anyluxury.ru/shop/otdykh/plyazhnyy-otdykh/ochki-dlya-plavaniya-persistar-comfort-unmirrored-belye/" , "11370.6 Очки для плавания Persistar Comfort Unmirrored, белые")</f>
      </c>
      <c r="C20795" s="4" t="n">
        <v>1392.00</v>
      </c>
      <c r="D20795" s="4"/>
    </row>
    <row collapsed="" customFormat="false" customHeight="1" hidden="" ht="14" outlineLevel="0" r="20796">
      <c r="A20796" s="3" t="inlineStr">
        <is>
          <t>20745</t>
        </is>
      </c>
      <c r="B20796" s="4" t="s">
        <f>=HYPERLINK("http://anyluxury.ru/shop/otdykh/plyazhnyy-otdykh/ochki-solntsezashchitnye-sundance-chernye/" , "7036.3 Очки солнцезащитные Sundance, черные")</f>
      </c>
      <c r="C20796" s="4" t="n">
        <v>119.00</v>
      </c>
      <c r="D20796" s="4"/>
    </row>
    <row collapsed="" customFormat="false" customHeight="1" hidden="" ht="14" outlineLevel="0" r="20797">
      <c r="A20797" s="3" t="inlineStr">
        <is>
          <t>20746</t>
        </is>
      </c>
      <c r="B20797" s="4" t="s">
        <f>=HYPERLINK("http://anyluxury.ru/shop/otdykh/plyazhnyy-otdykh/ochki-solntsezashchitnye-sundance-sinie/" , "7036.4 Очки солнцезащитные Sundance, синие")</f>
      </c>
      <c r="C20797" s="4" t="n">
        <v>119.00</v>
      </c>
      <c r="D20797" s="4"/>
    </row>
    <row collapsed="" customFormat="false" customHeight="1" hidden="" ht="14" outlineLevel="0" r="20798">
      <c r="A20798" s="3" t="inlineStr">
        <is>
          <t>20747</t>
        </is>
      </c>
      <c r="B20798" s="4" t="s">
        <f>=HYPERLINK("http://anyluxury.ru/shop/otdykh/plyazhnyy-otdykh/ochki-solntsezashchitnye-sundance-krasnye/" , "7036.5 Очки солнцезащитные Sundance, красные")</f>
      </c>
      <c r="C20798" s="4" t="n">
        <v>119.00</v>
      </c>
      <c r="D20798" s="4"/>
    </row>
    <row collapsed="" customFormat="false" customHeight="1" hidden="" ht="14" outlineLevel="0" r="20799">
      <c r="A20799" s="3" t="inlineStr">
        <is>
          <t>20748</t>
        </is>
      </c>
      <c r="B20799" s="4" t="s">
        <f>=HYPERLINK("http://anyluxury.ru/shop/otdykh/plyazhnyy-otdykh/ochki-solntsezashchitnye-sundance-belye/" , "7036.6 Очки солнцезащитные Sundance, белые")</f>
      </c>
      <c r="C20799" s="4" t="n">
        <v>119.00</v>
      </c>
      <c r="D20799" s="4"/>
    </row>
    <row collapsed="" customFormat="false" customHeight="1" hidden="" ht="14" outlineLevel="0" r="20800">
      <c r="A20800" s="3" t="inlineStr">
        <is>
          <t>20749</t>
        </is>
      </c>
      <c r="B20800" s="4" t="s">
        <f>=HYPERLINK("http://anyluxury.ru/shop/otdykh/plyazhnyy-otdykh/solntsezashchitnye-ochki-s-funktsiey-besprovodnoy-kolonki/" , "P326.981 Солнцезащитные очки с функцией беспроводной колонки (черныйXD CollectionABS-пластик120Длина 5,6 см., ширина 15,7 см., высота 16,1 см.http://cdn.xindaorus)")</f>
      </c>
      <c r="C20800" s="4" t="n">
        <v>1689.00</v>
      </c>
      <c r="D20800" s="4"/>
    </row>
    <row collapsed="" customFormat="false" customHeight="1" hidden="" ht="14" outlineLevel="0" r="20801">
      <c r="A20801" s="3" t="inlineStr">
        <is>
          <t>20750</t>
        </is>
      </c>
      <c r="B20801" s="4" t="s">
        <f>=HYPERLINK("http://anyluxury.ru/shop/otdykh/plyazhnyy-otdykh/solntsezashchitnye-ochki-s-funktsiey-besprovodnoy-kolonki/" , "P326.981 Солнцезащитные очки с функцией беспроводной колонки (черныйABS-пластик120Длина 5,6 см., ширина 16,1 см., высота 15,7 см.http://cdn.xindaorussia.ru/image/)")</f>
      </c>
      <c r="C20801" s="4" t="n">
        <v>1838.00</v>
      </c>
      <c r="D20801" s="4"/>
    </row>
    <row collapsed="" customFormat="false" customHeight="1" hidden="" ht="14" outlineLevel="0" r="20802">
      <c r="A20802" s="3" t="inlineStr">
        <is>
          <t>20751</t>
        </is>
      </c>
      <c r="B20802" s="4" t="s">
        <f>=HYPERLINK("http://anyluxury.ru/shop/otdykh/plyazhnyy-otdykh/solntsezashchitnye-ochki-s-funktsiey-besprovodnoy-kolonki/" , "P326.981 Солнцезащитные очки с функцией беспроводной колонки (черныйXD CollectionABS-пластик120Длина 5,6 см., ширина 16,1 см., высота 15,7 см.http://cdn.xindaorus)")</f>
      </c>
      <c r="C20802" s="4" t="n">
        <v>1689.00</v>
      </c>
      <c r="D20802" s="4"/>
    </row>
    <row collapsed="" customFormat="false" customHeight="1" hidden="" ht="14" outlineLevel="0" r="20803">
      <c r="A20803" s="3" t="inlineStr">
        <is>
          <t>20752</t>
        </is>
      </c>
      <c r="B20803" s="4" t="s">
        <f>=HYPERLINK("http://anyluxury.ru/shop/otdykh/plyazhnyy-otdykh/kovrik-plyazhnyy-beach-republic-skladnoy-siniy/" , "MKT5512blue Коврик пляжный Beach Republic, складной, синий")</f>
      </c>
      <c r="C20803" s="4" t="n">
        <v>483.00</v>
      </c>
      <c r="D20803" s="4"/>
    </row>
    <row collapsed="" customFormat="false" customHeight="1" hidden="" ht="14" outlineLevel="0" r="20804">
      <c r="A20804" s="3" t="inlineStr">
        <is>
          <t>20753</t>
        </is>
      </c>
      <c r="B20804" s="4" t="s">
        <f>=HYPERLINK("http://anyluxury.ru/shop/otdykh/plyazhnyy-otdykh/kovrik-plyazhnyy-beach-republic-skladnoy-krasnyy/" , "MKT5512red Коврик пляжный Beach Republic, складной, красный")</f>
      </c>
      <c r="C20804" s="4" t="n">
        <v>483.00</v>
      </c>
      <c r="D20804" s="4"/>
    </row>
    <row collapsed="" customFormat="false" customHeight="1" hidden="" ht="14" outlineLevel="0" r="20805">
      <c r="A20805" s="3" t="inlineStr">
        <is>
          <t>20754</t>
        </is>
      </c>
      <c r="B20805" s="4" t="s">
        <f>=HYPERLINK("http://anyluxury.ru/shop/otdykh/plyazhnyy-otdykh/naduvnoy-plyazhnyy-myach-sun-and-fun/" , "74143 Надувной пляжный мяч Sun and Fun")</f>
      </c>
      <c r="C20805" s="4" t="n">
        <v>89.00</v>
      </c>
      <c r="D20805" s="4"/>
    </row>
    <row collapsed="" customFormat="false" customHeight="1" hidden="" ht="14" outlineLevel="0" r="20806">
      <c r="A20806" s="3" t="inlineStr">
        <is>
          <t>20755</t>
        </is>
      </c>
      <c r="B20806" s="4" t="s">
        <f>=HYPERLINK("http://anyluxury.ru/shop/otdykh/plyazhnyy-otdykh/naduvnoy-plyazhnyy-myach-sun-and-fun-poluprozrachnyy-siniy/" , "74144.4 Надувной пляжный мяч Sun and Fun, полупрозрачный синий")</f>
      </c>
      <c r="C20806" s="4" t="n">
        <v>89.00</v>
      </c>
      <c r="D20806" s="4"/>
    </row>
    <row collapsed="" customFormat="false" customHeight="1" hidden="" ht="14" outlineLevel="0" r="20807">
      <c r="A20807" s="3" t="inlineStr">
        <is>
          <t>20756</t>
        </is>
      </c>
      <c r="B20807" s="4" t="s">
        <f>=HYPERLINK("http://anyluxury.ru/shop/otdykh/plyazhnyy-otdykh/naduvnoy-plyazhnyy-myach-sun-and-fun-poluprozrachnyy-krasnyy/" , "74144.5 Надувной пляжный мяч Sun and Fun, полупрозрачный красный")</f>
      </c>
      <c r="C20807" s="4" t="n">
        <v>89.00</v>
      </c>
      <c r="D20807" s="4"/>
    </row>
    <row collapsed="" customFormat="false" customHeight="1" hidden="" ht="14" outlineLevel="0" r="20808">
      <c r="A20808" s="3" t="inlineStr">
        <is>
          <t>20757</t>
        </is>
      </c>
      <c r="B20808" s="4" t="s">
        <f>=HYPERLINK("http://anyluxury.ru/shop/otdykh/plyazhnyy-otdykh/naduvnoy-plyazhnyy-myach-sun-and-fun-poluprozrachnyy-oranzhevyy/" , "74144.2 Надувной пляжный мяч Sun and Fun, полупрозрачный оранжевый")</f>
      </c>
      <c r="C20808" s="4" t="n">
        <v>89.00</v>
      </c>
      <c r="D20808" s="4"/>
    </row>
    <row collapsed="" customFormat="false" customHeight="1" hidden="" ht="14" outlineLevel="0" r="20809">
      <c r="A20809" s="3" t="inlineStr">
        <is>
          <t>20758</t>
        </is>
      </c>
      <c r="B20809" s="4" t="s">
        <f>=HYPERLINK("http://anyluxury.ru/shop/otdykh/plyazhnyy-otdykh/naduvnoy-plyazhnyy-myach-sun-and-fun-poluprozrachnyy-zelenyy/" , "74144.92 Надувной пляжный мяч Sun and Fun, полупрозрачный зеленый")</f>
      </c>
      <c r="C20809" s="4" t="n">
        <v>89.00</v>
      </c>
      <c r="D20809" s="4"/>
    </row>
    <row collapsed="" customFormat="false" customHeight="1" hidden="" ht="14" outlineLevel="0" r="20810">
      <c r="A20810" s="3" t="inlineStr">
        <is>
          <t>20759</t>
        </is>
      </c>
      <c r="B20810" s="4" t="s">
        <f>=HYPERLINK("http://anyluxury.ru/shop/otdykh/plyazhnyy-otdykh/holshhovaya-sumka-dlya-pokupok-bagari-s-chernoy-otdelkoy-486630/" , "4866.30 Холщовая сумка для покупок Bagari с черной отделкой")</f>
      </c>
      <c r="C20810" s="4" t="n">
        <v>582.00</v>
      </c>
      <c r="D20810" s="4"/>
    </row>
    <row collapsed="" customFormat="false" customHeight="1" hidden="" ht="14" outlineLevel="0" r="20811">
      <c r="A20811" s="3" t="inlineStr">
        <is>
          <t>20760</t>
        </is>
      </c>
      <c r="B20811" s="4" t="s">
        <f>=HYPERLINK("http://anyluxury.ru/shop/otdykh/plyazhnyy-otdykh/holshhovaya-sumka-dlya-pokupok-bagari-s-siney-otdelkoy-486640/" , "4866.40 Холщовая сумка для покупок Bagari с синей отделкой")</f>
      </c>
      <c r="C20811" s="4" t="n">
        <v>582.00</v>
      </c>
      <c r="D20811" s="4"/>
    </row>
    <row collapsed="" customFormat="false" customHeight="1" hidden="" ht="14" outlineLevel="0" r="20812">
      <c r="A20812" s="3" t="inlineStr">
        <is>
          <t>20761</t>
        </is>
      </c>
      <c r="B20812" s="4" t="s">
        <f>=HYPERLINK("http://anyluxury.ru/shop/otdykh/plyazhnyy-otdykh/Nabor-dlya-vodki-Metallurgi-6185/" , "6185 Холщовая сумка на плечо Grocery")</f>
      </c>
      <c r="C20812" s="4" t="n">
        <v>735.00</v>
      </c>
      <c r="D20812" s="4"/>
    </row>
    <row collapsed="" customFormat="false" customHeight="1" hidden="" ht="14" outlineLevel="0" r="20813">
      <c r="A20813" s="3" t="inlineStr">
        <is>
          <t>20762</t>
        </is>
      </c>
      <c r="B20813" s="4" t="s">
        <f>=HYPERLINK("http://anyluxury.ru/shop/otdykh/plyazhnyy-otdykh/panama-unit-summer-dvustoronnyaya-zheltaya-s-serim-602181/" , "6021.81 Панама Unit Summer двусторонняя, желтая с серым")</f>
      </c>
      <c r="C20813" s="4" t="n">
        <v>408.00</v>
      </c>
      <c r="D20813" s="4"/>
    </row>
    <row collapsed="" customFormat="false" customHeight="1" hidden="" ht="14" outlineLevel="0" r="20814">
      <c r="A20814" s="3" t="inlineStr">
        <is>
          <t>20763</t>
        </is>
      </c>
      <c r="B20814" s="4" t="s">
        <f>=HYPERLINK("http://anyluxury.ru/shop/otdykh/plyazhnyy-otdykh/platefutbolka-cocktail-beloe-01701102/" , "01701102 Платье-футболка COCKTAIL белое, размер XS/S")</f>
      </c>
      <c r="C20814" s="4" t="n">
        <v>505.00</v>
      </c>
      <c r="D20814" s="4"/>
    </row>
    <row collapsed="" customFormat="false" customHeight="1" hidden="" ht="14" outlineLevel="0" r="20815">
      <c r="A20815" s="3" t="inlineStr">
        <is>
          <t>20764</t>
        </is>
      </c>
      <c r="B20815" s="4" t="s">
        <f>=HYPERLINK("http://anyluxury.ru/shop/otdykh/plyazhnyy-otdykh/platefutbolka-cocktail-beloe-01701102/" , "01701102 Платье-футболка COCKTAIL белое, размер M/L")</f>
      </c>
      <c r="C20815" s="4" t="n">
        <v>505.00</v>
      </c>
      <c r="D20815" s="4"/>
    </row>
    <row collapsed="" customFormat="false" customHeight="1" hidden="" ht="14" outlineLevel="0" r="20816">
      <c r="A20816" s="3" t="inlineStr">
        <is>
          <t>20765</t>
        </is>
      </c>
      <c r="B20816" s="4" t="s">
        <f>=HYPERLINK("http://anyluxury.ru/shop/otdykh/plyazhnyy-otdykh/platefutbolka-cocktail-beloe-01701102/" , "01701102 Платье-футболка COCKTAIL белое, размер XL/XXL")</f>
      </c>
      <c r="C20816" s="4" t="n">
        <v>505.00</v>
      </c>
      <c r="D20816" s="4"/>
    </row>
    <row collapsed="" customFormat="false" customHeight="1" hidden="" ht="14" outlineLevel="0" r="20817">
      <c r="A20817" s="3" t="inlineStr">
        <is>
          <t>20766</t>
        </is>
      </c>
      <c r="B20817" s="4" t="s">
        <f>=HYPERLINK("http://anyluxury.ru/shop/otdykh/plyazhnyy-otdykh/shorti-zhenskie-janeiro-belie-01697102/" , "01697102 Шорты женские JANEIRO белые, размер XS/S")</f>
      </c>
      <c r="C20817" s="4" t="n">
        <v>592.00</v>
      </c>
      <c r="D20817" s="4"/>
    </row>
    <row collapsed="" customFormat="false" customHeight="1" hidden="" ht="14" outlineLevel="0" r="20818">
      <c r="A20818" s="3" t="inlineStr">
        <is>
          <t>20767</t>
        </is>
      </c>
      <c r="B20818" s="4" t="s">
        <f>=HYPERLINK("http://anyluxury.ru/shop/otdykh/plyazhnyy-otdykh/shorti-zhenskie-janeiro-belie-01697102/" , "01697102 Шорты женские JANEIRO белые, размер M/L")</f>
      </c>
      <c r="C20818" s="4" t="n">
        <v>592.00</v>
      </c>
      <c r="D20818" s="4"/>
    </row>
    <row collapsed="" customFormat="false" customHeight="1" hidden="" ht="14" outlineLevel="0" r="20819">
      <c r="A20819" s="3" t="inlineStr">
        <is>
          <t>20768</t>
        </is>
      </c>
      <c r="B20819" s="4" t="s">
        <f>=HYPERLINK("http://anyluxury.ru/shop/otdykh/plyazhnyy-otdykh/shorti-zhenskie-janeiro-belie-01697102/" , "01697102 Шорты женские JANEIRO белые, размер XL/XXL")</f>
      </c>
      <c r="C20819" s="4" t="n">
        <v>592.00</v>
      </c>
      <c r="D20819" s="4"/>
    </row>
    <row collapsed="" customFormat="false" customHeight="1" hidden="" ht="14" outlineLevel="0" r="20820">
      <c r="A20820" s="3" t="inlineStr">
        <is>
          <t>20769</t>
        </is>
      </c>
      <c r="B20820" s="4" t="s">
        <f>=HYPERLINK("http://anyluxury.ru/shop/otdykh/plyazhnyy-otdykh/shorti-zhenskie-janeiro-biryuzovie-01697237/" , "01697237 Шорты женские JANEIRO бирюзовые, размер XS/S")</f>
      </c>
      <c r="C20820" s="4" t="n">
        <v>639.00</v>
      </c>
      <c r="D20820" s="4"/>
    </row>
    <row collapsed="" customFormat="false" customHeight="1" hidden="" ht="14" outlineLevel="0" r="20821">
      <c r="A20821" s="3" t="inlineStr">
        <is>
          <t>20770</t>
        </is>
      </c>
      <c r="B20821" s="4" t="s">
        <f>=HYPERLINK("http://anyluxury.ru/shop/otdykh/plyazhnyy-otdykh/shorti-zhenskie-janeiro-biryuzovie-01697237/" , "01697237 Шорты женские JANEIRO бирюзовые, размер M/L")</f>
      </c>
      <c r="C20821" s="4" t="n">
        <v>639.00</v>
      </c>
      <c r="D20821" s="4"/>
    </row>
    <row collapsed="" customFormat="false" customHeight="1" hidden="" ht="14" outlineLevel="0" r="20822">
      <c r="A20822" s="3" t="inlineStr">
        <is>
          <t>20771</t>
        </is>
      </c>
      <c r="B20822" s="4" t="s">
        <f>=HYPERLINK("http://anyluxury.ru/shop/otdykh/plyazhnyy-otdykh/shorti-zhenskie-janeiro-biryuzovie-01697237/" , "01697237 Шорты женские JANEIRO бирюзовые, размер XL/XXL")</f>
      </c>
      <c r="C20822" s="4" t="n">
        <v>639.00</v>
      </c>
      <c r="D20822" s="4"/>
    </row>
    <row collapsed="" customFormat="false" customHeight="1" hidden="" ht="14" outlineLevel="0" r="20823">
      <c r="A20823" s="3" t="inlineStr">
        <is>
          <t>20772</t>
        </is>
      </c>
      <c r="B20823" s="4" t="s">
        <f>=HYPERLINK("http://anyluxury.ru/shop/otdykh/plyazhnyy-otdykh/shorti-zhenskie-janeiro-zeleniy-neon-01697286/" , "01697286 Шорты женские JANEIRO зеленый неон, размер XS/S")</f>
      </c>
      <c r="C20823" s="4" t="n">
        <v>639.00</v>
      </c>
      <c r="D20823" s="4"/>
    </row>
    <row collapsed="" customFormat="false" customHeight="1" hidden="" ht="14" outlineLevel="0" r="20824">
      <c r="A20824" s="3" t="inlineStr">
        <is>
          <t>20773</t>
        </is>
      </c>
      <c r="B20824" s="4" t="s">
        <f>=HYPERLINK("http://anyluxury.ru/shop/otdykh/plyazhnyy-otdykh/shorti-zhenskie-janeiro-zeleniy-neon-01697286/" , "01697286 Шорты женские JANEIRO зеленый неон, размер M/L")</f>
      </c>
      <c r="C20824" s="4" t="n">
        <v>639.00</v>
      </c>
      <c r="D20824" s="4"/>
    </row>
    <row collapsed="" customFormat="false" customHeight="1" hidden="" ht="14" outlineLevel="0" r="20825">
      <c r="A20825" s="3" t="inlineStr">
        <is>
          <t>20774</t>
        </is>
      </c>
      <c r="B20825" s="4" t="s">
        <f>=HYPERLINK("http://anyluxury.ru/shop/otdykh/plyazhnyy-otdykh/shorti-zhenskie-janeiro-zeleniy-neon-01697286/" , "01697286 Шорты женские JANEIRO зеленый неон, размер XL/XXL")</f>
      </c>
      <c r="C20825" s="4" t="n">
        <v>639.00</v>
      </c>
      <c r="D20825" s="4"/>
    </row>
    <row collapsed="" customFormat="false" customHeight="1" hidden="" ht="14" outlineLevel="0" r="20826">
      <c r="A20826" s="3" t="inlineStr">
        <is>
          <t>20775</t>
        </is>
      </c>
      <c r="B20826" s="4" t="s">
        <f>=HYPERLINK("http://anyluxury.ru/shop/otdykh/plyazhnyy-otdykh/shorti-zhenskie-janeiro-zheltiy-neon-01697306/" , "01697306 Шорты женские JANEIRO желтый неон, размер XS/S")</f>
      </c>
      <c r="C20826" s="4" t="n">
        <v>639.00</v>
      </c>
      <c r="D20826" s="4"/>
    </row>
    <row collapsed="" customFormat="false" customHeight="1" hidden="" ht="14" outlineLevel="0" r="20827">
      <c r="A20827" s="3" t="inlineStr">
        <is>
          <t>20776</t>
        </is>
      </c>
      <c r="B20827" s="4" t="s">
        <f>=HYPERLINK("http://anyluxury.ru/shop/otdykh/plyazhnyy-otdykh/shorti-zhenskie-janeiro-zheltiy-neon-01697306/" , "01697306 Шорты женские JANEIRO желтый неон, размер M/L")</f>
      </c>
      <c r="C20827" s="4" t="n">
        <v>639.00</v>
      </c>
      <c r="D20827" s="4"/>
    </row>
    <row collapsed="" customFormat="false" customHeight="1" hidden="" ht="14" outlineLevel="0" r="20828">
      <c r="A20828" s="3" t="inlineStr">
        <is>
          <t>20777</t>
        </is>
      </c>
      <c r="B20828" s="4" t="s">
        <f>=HYPERLINK("http://anyluxury.ru/shop/otdykh/plyazhnyy-otdykh/shorti-zhenskie-janeiro-zheltiy-neon-01697306/" , "01697306 Шорты женские JANEIRO желтый неон, размер XL/XXL")</f>
      </c>
      <c r="C20828" s="4" t="n">
        <v>639.00</v>
      </c>
      <c r="D20828" s="4"/>
    </row>
    <row collapsed="" customFormat="false" customHeight="1" hidden="" ht="14" outlineLevel="0" r="20829">
      <c r="A20829" s="3" t="inlineStr">
        <is>
          <t>20778</t>
        </is>
      </c>
      <c r="B20829" s="4" t="s">
        <f>=HYPERLINK("http://anyluxury.ru/shop/otdykh/plyazhnyy-otdykh/futbolka-ukorochennaya-zhenskaya-maeva-zeleniy-neon-01703286/" , "01703286 Футболка укороченная женская MAEVA зеленый неон, размер 054")</f>
      </c>
      <c r="C20829" s="4" t="n">
        <v>473.00</v>
      </c>
      <c r="D20829" s="4"/>
    </row>
    <row collapsed="" customFormat="false" customHeight="1" hidden="" ht="14" outlineLevel="0" r="20830">
      <c r="A20830" s="3" t="inlineStr">
        <is>
          <t>20779</t>
        </is>
      </c>
      <c r="B20830" s="4" t="s">
        <f>=HYPERLINK("http://anyluxury.ru/shop/otdykh/plyazhnyy-otdykh/futbolka-ukorochennaya-zhenskaya-maeva-zeleniy-neon-01703286/" , "01703286 Футболка укороченная женская MAEVA зеленый неон, размер M/L")</f>
      </c>
      <c r="C20830" s="4" t="n">
        <v>473.00</v>
      </c>
      <c r="D20830" s="4"/>
    </row>
    <row collapsed="" customFormat="false" customHeight="1" hidden="" ht="14" outlineLevel="0" r="20831">
      <c r="A20831" s="3" t="inlineStr">
        <is>
          <t>20780</t>
        </is>
      </c>
      <c r="B20831" s="4" t="s">
        <f>=HYPERLINK("http://anyluxury.ru/shop/otdykh/plyazhnyy-otdykh/futbolka-ukorochennaya-zhenskaya-maeva-zeleniy-neon-01703286/" , "01703286 Футболка укороченная женская MAEVA зеленый неон, размер XL/XXL")</f>
      </c>
      <c r="C20831" s="4" t="n">
        <v>519.00</v>
      </c>
      <c r="D20831" s="4"/>
    </row>
    <row collapsed="" customFormat="false" customHeight="1" hidden="" ht="14" outlineLevel="0" r="20832">
      <c r="A20832" s="3" t="inlineStr">
        <is>
          <t>20781</t>
        </is>
      </c>
      <c r="B20832" s="4" t="s">
        <f>=HYPERLINK("http://anyluxury.ru/shop/otdykh/plyazhnyy-otdykh/futbolka-ukorochennaya-zhenskaya-maeva-zheltiy-neon-01703306/" , "01703306 Футболка укороченная женская MAEVA желтый неон, размер 042")</f>
      </c>
      <c r="C20832" s="4" t="n">
        <v>473.00</v>
      </c>
      <c r="D20832" s="4"/>
    </row>
    <row collapsed="" customFormat="false" customHeight="1" hidden="" ht="14" outlineLevel="0" r="20833">
      <c r="A20833" s="3" t="inlineStr">
        <is>
          <t>20782</t>
        </is>
      </c>
      <c r="B20833" s="4" t="s">
        <f>=HYPERLINK("http://anyluxury.ru/shop/otdykh/plyazhnyy-otdykh/futbolka-ukorochennaya-zhenskaya-maeva-zheltiy-neon-01703306/" , "01703306 Футболка укороченная женская MAEVA желтый неон, размер M/L")</f>
      </c>
      <c r="C20833" s="4" t="n">
        <v>473.00</v>
      </c>
      <c r="D20833" s="4"/>
    </row>
    <row collapsed="" customFormat="false" customHeight="1" hidden="" ht="14" outlineLevel="0" r="20834">
      <c r="A20834" s="3" t="inlineStr">
        <is>
          <t>20783</t>
        </is>
      </c>
      <c r="B20834" s="4" t="s">
        <f>=HYPERLINK("http://anyluxury.ru/shop/otdykh/plyazhnyy-otdykh/futbolka-ukorochennaya-zhenskaya-maeva-zheltiy-neon-01703306/" , "01703306 Футболка укороченная женская MAEVA желтый неон, размер XL/XXL")</f>
      </c>
      <c r="C20834" s="4" t="n">
        <v>519.00</v>
      </c>
      <c r="D20834" s="4"/>
    </row>
    <row collapsed="" customFormat="false" customHeight="1" hidden="" ht="14" outlineLevel="0" r="20835">
      <c r="A20835" s="3" t="inlineStr">
        <is>
          <t>20784</t>
        </is>
      </c>
      <c r="B20835" s="4" t="s">
        <f>=HYPERLINK("http://anyluxury.ru/shop/otdykh/plyazhnyy-otdykh/platefutbolka-cocktail-rozoviy-neon-01701153/" , "01701153 Платье-футболка COCKTAIL розовый неон, размер XS/S")</f>
      </c>
      <c r="C20835" s="4" t="n">
        <v>556.00</v>
      </c>
      <c r="D20835" s="4"/>
    </row>
    <row collapsed="" customFormat="false" customHeight="1" hidden="" ht="14" outlineLevel="0" r="20836">
      <c r="A20836" s="3" t="inlineStr">
        <is>
          <t>20785</t>
        </is>
      </c>
      <c r="B20836" s="4" t="s">
        <f>=HYPERLINK("http://anyluxury.ru/shop/otdykh/plyazhnyy-otdykh/platefutbolka-cocktail-rozoviy-neon-01701153/" , "01701153 Платье-футболка COCKTAIL розовый неон, размер M/L")</f>
      </c>
      <c r="C20836" s="4" t="n">
        <v>556.00</v>
      </c>
      <c r="D20836" s="4"/>
    </row>
    <row collapsed="" customFormat="false" customHeight="1" hidden="" ht="14" outlineLevel="0" r="20837">
      <c r="A20837" s="3" t="inlineStr">
        <is>
          <t>20786</t>
        </is>
      </c>
      <c r="B20837" s="4" t="s">
        <f>=HYPERLINK("http://anyluxury.ru/shop/otdykh/plyazhnyy-otdykh/platefutbolka-cocktail-rozoviy-neon-01701153/" , "01701153 Платье-футболка COCKTAIL розовый неон, размер XL/XXL")</f>
      </c>
      <c r="C20837" s="4" t="n">
        <v>556.00</v>
      </c>
      <c r="D20837" s="4"/>
    </row>
    <row collapsed="" customFormat="false" customHeight="1" hidden="" ht="14" outlineLevel="0" r="20838">
      <c r="A20838" s="3" t="inlineStr">
        <is>
          <t>20787</t>
        </is>
      </c>
      <c r="B20838" s="4" t="s">
        <f>=HYPERLINK("http://anyluxury.ru/shop/otdykh/plyazhnyy-otdykh/platefutbolka-cocktail-biryuzovoe-01701237/" , "01701237 Платье-футболка COCKTAIL бирюзовое, размер XS/S")</f>
      </c>
      <c r="C20838" s="4" t="n">
        <v>556.00</v>
      </c>
      <c r="D20838" s="4"/>
    </row>
    <row collapsed="" customFormat="false" customHeight="1" hidden="" ht="14" outlineLevel="0" r="20839">
      <c r="A20839" s="3" t="inlineStr">
        <is>
          <t>20788</t>
        </is>
      </c>
      <c r="B20839" s="4" t="s">
        <f>=HYPERLINK("http://anyluxury.ru/shop/otdykh/plyazhnyy-otdykh/platefutbolka-cocktail-biryuzovoe-01701237/" , "01701237 Платье-футболка COCKTAIL бирюзовое, размер M/L")</f>
      </c>
      <c r="C20839" s="4" t="n">
        <v>556.00</v>
      </c>
      <c r="D20839" s="4"/>
    </row>
    <row collapsed="" customFormat="false" customHeight="1" hidden="" ht="14" outlineLevel="0" r="20840">
      <c r="A20840" s="3" t="inlineStr">
        <is>
          <t>20789</t>
        </is>
      </c>
      <c r="B20840" s="4" t="s">
        <f>=HYPERLINK("http://anyluxury.ru/shop/otdykh/plyazhnyy-otdykh/platefutbolka-cocktail-biryuzovoe-01701237/" , "01701237 Платье-футболка COCKTAIL бирюзовое, размер XL/XXL")</f>
      </c>
      <c r="C20840" s="4" t="n">
        <v>556.00</v>
      </c>
      <c r="D20840" s="4"/>
    </row>
    <row collapsed="" customFormat="false" customHeight="1" hidden="" ht="14" outlineLevel="0" r="20841">
      <c r="A20841" s="3" t="inlineStr">
        <is>
          <t>20790</t>
        </is>
      </c>
      <c r="B20841" s="4" t="s">
        <f>=HYPERLINK("http://anyluxury.ru/shop/otdykh/plyazhnyy-otdykh/platefutbolka-cocktail-zeleniy-neon-01701286/" , "01701286 Платье-футболка COCKTAIL зеленый неон, размер XS/S")</f>
      </c>
      <c r="C20841" s="4" t="n">
        <v>556.00</v>
      </c>
      <c r="D20841" s="4"/>
    </row>
    <row collapsed="" customFormat="false" customHeight="1" hidden="" ht="14" outlineLevel="0" r="20842">
      <c r="A20842" s="3" t="inlineStr">
        <is>
          <t>20791</t>
        </is>
      </c>
      <c r="B20842" s="4" t="s">
        <f>=HYPERLINK("http://anyluxury.ru/shop/otdykh/plyazhnyy-otdykh/platefutbolka-cocktail-zeleniy-neon-01701286/" , "01701286 Платье-футболка COCKTAIL зеленый неон, размер M/L")</f>
      </c>
      <c r="C20842" s="4" t="n">
        <v>556.00</v>
      </c>
      <c r="D20842" s="4"/>
    </row>
    <row collapsed="" customFormat="false" customHeight="1" hidden="" ht="14" outlineLevel="0" r="20843">
      <c r="A20843" s="3" t="inlineStr">
        <is>
          <t>20792</t>
        </is>
      </c>
      <c r="B20843" s="4" t="s">
        <f>=HYPERLINK("http://anyluxury.ru/shop/otdykh/plyazhnyy-otdykh/platefutbolka-cocktail-zeleniy-neon-01701286/" , "01701286 Платье-футболка COCKTAIL зеленый неон, размер XL/XXL")</f>
      </c>
      <c r="C20843" s="4" t="n">
        <v>556.00</v>
      </c>
      <c r="D20843" s="4"/>
    </row>
    <row collapsed="" customFormat="false" customHeight="1" hidden="" ht="14" outlineLevel="0" r="20844">
      <c r="A20844" s="3" t="inlineStr">
        <is>
          <t>20793</t>
        </is>
      </c>
      <c r="B20844" s="4" t="s">
        <f>=HYPERLINK("http://anyluxury.ru/shop/otdykh/plyazhnyy-otdykh/platefutbolka-cocktail-zheltiy-neon-01701306/" , "01701306 Платье-футболка COCKTAIL желтый неон, размер XS/S")</f>
      </c>
      <c r="C20844" s="4" t="n">
        <v>556.00</v>
      </c>
      <c r="D20844" s="4"/>
    </row>
    <row collapsed="" customFormat="false" customHeight="1" hidden="" ht="14" outlineLevel="0" r="20845">
      <c r="A20845" s="3" t="inlineStr">
        <is>
          <t>20794</t>
        </is>
      </c>
      <c r="B20845" s="4" t="s">
        <f>=HYPERLINK("http://anyluxury.ru/shop/otdykh/plyazhnyy-otdykh/platefutbolka-cocktail-zheltiy-neon-01701306/" , "01701306 Платье-футболка COCKTAIL желтый неон, размер M/L")</f>
      </c>
      <c r="C20845" s="4" t="n">
        <v>556.00</v>
      </c>
      <c r="D20845" s="4"/>
    </row>
    <row collapsed="" customFormat="false" customHeight="1" hidden="" ht="14" outlineLevel="0" r="20846">
      <c r="A20846" s="3" t="inlineStr">
        <is>
          <t>20795</t>
        </is>
      </c>
      <c r="B20846" s="4" t="s">
        <f>=HYPERLINK("http://anyluxury.ru/shop/otdykh/plyazhnyy-otdykh/platefutbolka-cocktail-zheltiy-neon-01701306/" , "01701306 Платье-футболка COCKTAIL желтый неон, размер XL/XXL")</f>
      </c>
      <c r="C20846" s="4" t="n">
        <v>556.00</v>
      </c>
      <c r="D20846" s="4"/>
    </row>
    <row collapsed="" customFormat="false" customHeight="1" hidden="" ht="14" outlineLevel="0" r="20847">
      <c r="A20847" s="3" t="inlineStr">
        <is>
          <t>20796</t>
        </is>
      </c>
      <c r="B20847" s="4" t="s">
        <f>=HYPERLINK("http://anyluxury.ru/shop/otdykh/plyazhnyy-otdykh/platefutbolka-cocktail-chernoe-01701312/" , "01701312 Платье-футболка COCKTAIL черное, размер XS/S")</f>
      </c>
      <c r="C20847" s="4" t="n">
        <v>556.00</v>
      </c>
      <c r="D20847" s="4"/>
    </row>
    <row collapsed="" customFormat="false" customHeight="1" hidden="" ht="14" outlineLevel="0" r="20848">
      <c r="A20848" s="3" t="inlineStr">
        <is>
          <t>20797</t>
        </is>
      </c>
      <c r="B20848" s="4" t="s">
        <f>=HYPERLINK("http://anyluxury.ru/shop/otdykh/plyazhnyy-otdykh/platefutbolka-cocktail-chernoe-01701312/" , "01701312 Платье-футболка COCKTAIL черное, размер M/L")</f>
      </c>
      <c r="C20848" s="4" t="n">
        <v>556.00</v>
      </c>
      <c r="D20848" s="4"/>
    </row>
    <row collapsed="" customFormat="false" customHeight="1" hidden="" ht="14" outlineLevel="0" r="20849">
      <c r="A20849" s="3" t="inlineStr">
        <is>
          <t>20798</t>
        </is>
      </c>
      <c r="B20849" s="4" t="s">
        <f>=HYPERLINK("http://anyluxury.ru/shop/otdykh/plyazhnyy-otdykh/platefutbolka-cocktail-chernoe-01701312/" , "01701312 Платье-футболка COCKTAIL черное, размер XL/XXL")</f>
      </c>
      <c r="C20849" s="4" t="n">
        <v>556.00</v>
      </c>
      <c r="D20849" s="4"/>
    </row>
    <row collapsed="" customFormat="false" customHeight="1" hidden="" ht="14" outlineLevel="0" r="20850">
      <c r="A20850" s="3" t="inlineStr">
        <is>
          <t>20799</t>
        </is>
      </c>
      <c r="B20850" s="4" t="s">
        <f>=HYPERLINK("http://anyluxury.ru/shop/otdykh/plyazhnyy-otdykh/ochki-solncezashhitnie-sundance-belie-703660/" , "7036.60 Очки солнцезащитные Sundance, белые")</f>
      </c>
      <c r="C20850" s="4" t="n">
        <v>257.00</v>
      </c>
      <c r="D20850" s="4"/>
    </row>
    <row collapsed="" customFormat="false" customHeight="1" hidden="" ht="14" outlineLevel="0" r="20851">
      <c r="A20851" s="3" t="inlineStr">
        <is>
          <t>20800</t>
        </is>
      </c>
      <c r="B20851" s="4" t="s">
        <f>=HYPERLINK("http://anyluxury.ru/shop/otdykh/plyazhnyy-otdykh/plyazhnaya-sumkatransformer-camper-bag-sinyaya-31540/" , "315.40 Пляжная сумка-трансформер Camper Bag, синяя")</f>
      </c>
      <c r="C20851" s="4" t="n">
        <v>1354.00</v>
      </c>
      <c r="D20851" s="4"/>
    </row>
    <row collapsed="" customFormat="false" customHeight="1" hidden="" ht="14" outlineLevel="0" r="20852">
      <c r="A20852" s="3" t="inlineStr">
        <is>
          <t>20801</t>
        </is>
      </c>
      <c r="B20852" s="4" t="s">
        <f>=HYPERLINK("http://anyluxury.ru/shop/otdykh/plyazhnyy-otdykh/naduvnaya-podushka-ease-belaya-766860/" , "7668.60 Надувная подушка Ease, белая")</f>
      </c>
      <c r="C20852" s="4" t="n">
        <v>119.00</v>
      </c>
      <c r="D20852" s="4"/>
    </row>
    <row collapsed="" customFormat="false" customHeight="1" hidden="" ht="14" outlineLevel="0" r="20853">
      <c r="A20853" s="3" t="inlineStr">
        <is>
          <t>20802</t>
        </is>
      </c>
      <c r="B20853" s="4" t="s">
        <f>=HYPERLINK("http://anyluxury.ru/shop/otdykh/plyazhnyy-otdykh/letayushhaya-tarelkafrisbi-catch-me-skladnaya-zheltaya-1138480/" , "11384.80 Летающая тарелка-фрисби Catch Me, складная, желтая")</f>
      </c>
      <c r="C20853" s="4" t="n">
        <v>85.00</v>
      </c>
      <c r="D20853" s="4"/>
    </row>
    <row collapsed="" customFormat="false" customHeight="1" hidden="" ht="14" outlineLevel="0" r="20854">
      <c r="A20854" s="3" t="inlineStr">
        <is>
          <t>20803</t>
        </is>
      </c>
      <c r="B20854" s="4" t="s">
        <f>=HYPERLINK("http://anyluxury.ru/shop/otdykh/plyazhnyy-otdykh/letayushhaya-tarelkafrisbi-catch-me-skladnaya-oranzhevaya-1138420/" , "11384.20 Летающая тарелка-фрисби Catch Me, складная, оранжевая")</f>
      </c>
      <c r="C20854" s="4" t="n">
        <v>85.00</v>
      </c>
      <c r="D20854" s="4"/>
    </row>
    <row collapsed="" customFormat="false" customHeight="1" hidden="" ht="14" outlineLevel="0" r="20855">
      <c r="A20855" s="3" t="inlineStr">
        <is>
          <t>20804</t>
        </is>
      </c>
      <c r="B20855" s="4" t="s">
        <f>=HYPERLINK("http://anyluxury.ru/shop/otdykh/plyazhnyy-otdykh/letayushhaya-tarelkafrisbi-catch-me-skladnaya-zelenaya-1138490/" , "11384.90 Летающая тарелка-фрисби Catch Me, складная, зеленая")</f>
      </c>
      <c r="C20855" s="4" t="n">
        <v>85.00</v>
      </c>
      <c r="D20855" s="4"/>
    </row>
    <row collapsed="" customFormat="false" customHeight="1" hidden="" ht="14" outlineLevel="0" r="20856">
      <c r="A20856" s="3" t="inlineStr">
        <is>
          <t>20805</t>
        </is>
      </c>
      <c r="B20856" s="4" t="s">
        <f>=HYPERLINK("http://anyluxury.ru/shop/otdykh/plyazhnyy-otdykh/letayushhaya-tarelkafrisbi-yukon-oranzhevaya-1600620/" , "16006.20 Летающая тарелка-фрисби Yukon, оранжевая")</f>
      </c>
      <c r="C20856" s="4" t="n">
        <v>246.00</v>
      </c>
      <c r="D20856" s="4"/>
    </row>
    <row collapsed="" customFormat="false" customHeight="1" hidden="" ht="14" outlineLevel="0" r="20857">
      <c r="A20857" s="3" t="inlineStr">
        <is>
          <t>20806</t>
        </is>
      </c>
      <c r="B20857" s="4" t="s">
        <f>=HYPERLINK("http://anyluxury.ru/shop/otdykh/plyazhnyy-otdykh/letayushhaya-tarelkafrisbi-yukon-zheltaya-1600680/" , "16006.80 Летающая тарелка-фрисби Yukon, желтая")</f>
      </c>
      <c r="C20857" s="4" t="n">
        <v>315.00</v>
      </c>
      <c r="D20857" s="4"/>
    </row>
    <row collapsed="" customFormat="false" customHeight="1" hidden="" ht="14" outlineLevel="0" r="20858">
      <c r="A20858" s="3" t="inlineStr">
        <is>
          <t>20807</t>
        </is>
      </c>
      <c r="B20858" s="4" t="s">
        <f>=HYPERLINK("http://anyluxury.ru/shop/otdykh/plyazhnyy-otdykh/letayushhaya-tarelkafrisbi-yukon-zelenaya-1600690/" , "16006.90 Летающая тарелка-фрисби Yukon, зеленая")</f>
      </c>
      <c r="C20858" s="4" t="n">
        <v>315.00</v>
      </c>
      <c r="D20858" s="4"/>
    </row>
    <row collapsed="" customFormat="false" customHeight="1" hidden="" ht="14" outlineLevel="0" r="20859">
      <c r="A20859" s="3" t="inlineStr">
        <is>
          <t>20808</t>
        </is>
      </c>
      <c r="B20859" s="4" t="s">
        <f>=HYPERLINK("http://anyluxury.ru/shop/otdykh/plyazhnyy-otdykh/solncezashhitnie-ochki-uv-400-p453934/" , "P453.934 Солнцезащитные очки UV 400")</f>
      </c>
      <c r="C20859" s="4" t="n">
        <v>110.00</v>
      </c>
      <c r="D20859" s="4"/>
    </row>
    <row collapsed="" customFormat="false" customHeight="1" hidden="" ht="14" outlineLevel="0" r="20860">
      <c r="A20860" s="3" t="inlineStr">
        <is>
          <t>20809</t>
        </is>
      </c>
      <c r="B20860" s="4" t="s">
        <f>=HYPERLINK("http://anyluxury.ru/shop/otdykh/plyazhnyy-otdykh/ochki-solncezashhitnie-varadero-chernie-1378430/" , "13784.30 Очки солнцезащитные Varadero, черные")</f>
      </c>
      <c r="C20860" s="4" t="n">
        <v>652.00</v>
      </c>
      <c r="D20860" s="4"/>
    </row>
    <row collapsed="" customFormat="false" customHeight="1" hidden="" ht="14" outlineLevel="0" r="20861">
      <c r="A20861" s="3" t="inlineStr">
        <is>
          <t>20810</t>
        </is>
      </c>
      <c r="B20861" s="4" t="s">
        <f>=HYPERLINK("http://anyluxury.ru/shop/otdykh/plyazhnyy-otdykh/ochki-solncezashhitnie-sundance-zheltie-703680/" , "7036.80 Очки солнцезащитные Sundance, желтые")</f>
      </c>
      <c r="C20861" s="4" t="n">
        <v>257.00</v>
      </c>
      <c r="D20861" s="4"/>
    </row>
    <row collapsed="" customFormat="false" customHeight="1" hidden="" ht="14" outlineLevel="0" r="20862">
      <c r="A20862" s="3" t="inlineStr">
        <is>
          <t>20811</t>
        </is>
      </c>
      <c r="B20862" s="4" t="s">
        <f>=HYPERLINK("http://anyluxury.ru/shop/otdykh/plyazhnyy-otdykh/ochki-solncezashhitnie-sundance-zelenie-703690/" , "7036.90 Очки солнцезащитные Sundance, зеленые")</f>
      </c>
      <c r="C20862" s="4" t="n">
        <v>257.00</v>
      </c>
      <c r="D20862" s="4"/>
    </row>
    <row collapsed="" customFormat="false" customHeight="1" hidden="" ht="14" outlineLevel="0" r="20863">
      <c r="A20863" s="3" t="inlineStr">
        <is>
          <t>20812</t>
        </is>
      </c>
      <c r="B20863" s="4" t="s">
        <f>=HYPERLINK("http://anyluxury.ru/shop/otdykh/plyazhnyy-otdykh/ochki-solncezashhitnie-sundance-fioletovie-703672/" , "7036.72 Очки солнцезащитные Sundance, фиолетовые")</f>
      </c>
      <c r="C20863" s="4" t="n">
        <v>257.00</v>
      </c>
      <c r="D20863" s="4"/>
    </row>
    <row collapsed="" customFormat="false" customHeight="1" hidden="" ht="14" outlineLevel="0" r="20864">
      <c r="A20864" s="3" t="inlineStr">
        <is>
          <t>20813</t>
        </is>
      </c>
      <c r="B20864" s="4" t="s">
        <f>=HYPERLINK("http://anyluxury.ru/shop/otdykh/plyazhnyy-otdykh/naduvnoy-plyazhniy-myach-cruise-krasniy-s-belim-1344150/" , "13441.50 Надувной пляжный мяч Cruise, красный с белым")</f>
      </c>
      <c r="C20864" s="4" t="n">
        <v>230.00</v>
      </c>
      <c r="D20864" s="4"/>
    </row>
    <row collapsed="" customFormat="false" customHeight="1" hidden="" ht="14" outlineLevel="0" r="20865">
      <c r="A20865" s="3" t="inlineStr">
        <is>
          <t>20814</t>
        </is>
      </c>
      <c r="B20865" s="4" t="s">
        <f>=HYPERLINK("http://anyluxury.ru/shop/otdykh/plyazhnyy-otdykh/naduvnoy-plyazhniy-myach-cruise-zheltiy-s-belim-1344180/" , "13441.80 Надувной пляжный мяч Cruise, желтый с белым")</f>
      </c>
      <c r="C20865" s="4" t="n">
        <v>230.00</v>
      </c>
      <c r="D20865" s="4"/>
    </row>
    <row collapsed="" customFormat="false" customHeight="1" hidden="" ht="14" outlineLevel="0" r="20866">
      <c r="A20866" s="3" t="inlineStr">
        <is>
          <t>20815</t>
        </is>
      </c>
      <c r="B20866" s="4" t="s">
        <f>=HYPERLINK("http://anyluxury.ru/shop/otdykh/plyazhnyy-otdykh/naduvnoy-plyazhniy-myach-cruise-zeleniy-s-belim-1344190/" , "13441.90 Надувной пляжный мяч Cruise, зеленый с белым")</f>
      </c>
      <c r="C20866" s="4" t="n">
        <v>230.00</v>
      </c>
      <c r="D20866" s="4"/>
    </row>
    <row collapsed="" customFormat="false" customHeight="1" hidden="" ht="14" outlineLevel="0" r="20867">
      <c r="A20867" s="3" t="inlineStr">
        <is>
          <t>20816</t>
        </is>
      </c>
      <c r="B20867" s="4" t="s">
        <f>=HYPERLINK("http://anyluxury.ru/shop/otdykh/plyazhnyy-otdykh/naduvnoy-plyazhniy-myach-cruise-goluboy-s-belim-1344144/" , "13441.44 Надувной пляжный мяч Cruise, голубой с белым")</f>
      </c>
      <c r="C20867" s="4" t="n">
        <v>230.00</v>
      </c>
      <c r="D20867" s="4"/>
    </row>
    <row collapsed="" customFormat="false" customHeight="1" hidden="" ht="14" outlineLevel="0" r="20868">
      <c r="A20868" s="3" t="inlineStr">
        <is>
          <t>20817</t>
        </is>
      </c>
      <c r="B20868" s="4" t="s">
        <f>=HYPERLINK("http://anyluxury.ru/shop/otdykh/plyazhnyy-otdykh/naduvnoy-plyazhniy-myach-cruise-oranzheviy-s-belim-1344120/" , "13441.20 Надувной пляжный мяч Cruise, оранжевый с белым")</f>
      </c>
      <c r="C20868" s="4" t="n">
        <v>230.00</v>
      </c>
      <c r="D20868" s="4"/>
    </row>
    <row collapsed="" customFormat="false" customHeight="1" hidden="" ht="14" outlineLevel="0" r="20869">
      <c r="A20869" s="3" t="inlineStr">
        <is>
          <t>20818</t>
        </is>
      </c>
      <c r="B20869" s="4" t="s">
        <f>=HYPERLINK("http://anyluxury.ru/shop/otdykh/plyazhnyy-otdykh/pantoleti-kalve-black-1821530/" , "18215.30 Пантолеты Kalve Black, размер М")</f>
      </c>
      <c r="C20869" s="4" t="n">
        <v>890.00</v>
      </c>
      <c r="D20869" s="4"/>
    </row>
    <row collapsed="" customFormat="false" customHeight="1" hidden="" ht="14" outlineLevel="0" r="20870">
      <c r="A20870" s="3" t="inlineStr">
        <is>
          <t>20819</t>
        </is>
      </c>
      <c r="B20870" s="4" t="s">
        <f>=HYPERLINK("http://anyluxury.ru/shop/otdykh/plyazhnyy-otdykh/pantoleti-kalve-black-1821530/" , "18215.30 Пантолеты Kalve Black, размер L")</f>
      </c>
      <c r="C20870" s="4" t="n">
        <v>890.00</v>
      </c>
      <c r="D20870" s="4"/>
    </row>
    <row collapsed="" customFormat="false" customHeight="1" hidden="" ht="14" outlineLevel="0" r="20871">
      <c r="A20871" s="3" t="inlineStr">
        <is>
          <t>20820</t>
        </is>
      </c>
      <c r="B20871" s="4" t="s">
        <f>=HYPERLINK("http://anyluxury.ru/shop/otdykh/plyazhnyy-otdykh/plyazhnaya-sumkatransformer-camper-bag-zelenaya-31590/" , "315.90 Пляжная сумка-трансформер Camper Bag, зеленая")</f>
      </c>
      <c r="C20871" s="4" t="n">
        <v>1355.00</v>
      </c>
      <c r="D20871" s="4"/>
    </row>
    <row collapsed="" customFormat="false" customHeight="1" hidden="" ht="14" outlineLevel="0" r="20872">
      <c r="A20872" s="3" t="inlineStr">
        <is>
          <t>20821</t>
        </is>
      </c>
      <c r="B20872" s="4" t="s">
        <f>=HYPERLINK("http://anyluxury.ru/shop/otdykh/plyazhnyy-otdykh/letayushhaya-tarelkafrisbi-cancun-krasnaya-1720650/" , "17206.50 Летающая тарелка-фрисби Cancun, красная")</f>
      </c>
      <c r="C20872" s="4" t="n">
        <v>156.00</v>
      </c>
      <c r="D20872" s="4"/>
    </row>
    <row collapsed="" customFormat="false" customHeight="1" hidden="" ht="14" outlineLevel="0" r="20873">
      <c r="A20873" s="3" t="inlineStr">
        <is>
          <t>20822</t>
        </is>
      </c>
      <c r="B20873" s="4" t="s">
        <f>=HYPERLINK("http://anyluxury.ru/shop/otdykh/plyazhnyy-otdykh/letayushhaya-tarelkafrisbi-cancun-sinyaya-1720640/" , "17206.40 Летающая тарелка-фрисби Cancun, синяя")</f>
      </c>
      <c r="C20873" s="4" t="n">
        <v>156.00</v>
      </c>
      <c r="D20873" s="4"/>
    </row>
    <row collapsed="" customFormat="false" customHeight="1" hidden="" ht="14" outlineLevel="0" r="20874">
      <c r="A20874" s="3" t="inlineStr">
        <is>
          <t>20823</t>
        </is>
      </c>
      <c r="B20874" s="4" t="s">
        <f>=HYPERLINK("http://anyluxury.ru/shop/otdykh/plyazhnyy-otdykh/letayushhaya-tarelkafrisbi-cancun-oranzhevaya-1720620/" , "17206.20 Летающая тарелка-фрисби Cancun, оранжевая")</f>
      </c>
      <c r="C20874" s="4" t="n">
        <v>156.00</v>
      </c>
      <c r="D20874" s="4"/>
    </row>
    <row collapsed="" customFormat="false" customHeight="1" hidden="" ht="14" outlineLevel="0" r="20875">
      <c r="A20875" s="3" t="inlineStr">
        <is>
          <t>20824</t>
        </is>
      </c>
      <c r="B20875" s="4" t="s">
        <f>=HYPERLINK("http://anyluxury.ru/shop/otdykh/plyazhnyy-otdykh/letayushhaya-tarelkafrisbi-cancun-zelenaya-1720690/" , "17206.90 Летающая тарелка-фрисби Cancun, зеленая")</f>
      </c>
      <c r="C20875" s="4" t="n">
        <v>145.00</v>
      </c>
      <c r="D20875" s="4"/>
    </row>
    <row collapsed="" customFormat="false" customHeight="1" hidden="" ht="14" outlineLevel="0" r="20876">
      <c r="A20876" s="3" t="inlineStr">
        <is>
          <t>20825</t>
        </is>
      </c>
      <c r="B20876" s="4" t="s">
        <f>=HYPERLINK("http://anyluxury.ru/shop/otdykh/plyazhnyy-otdykh/nabor-dlya-igri-v-plyazhniy-tennis-filipinas-zeleniy-1400090/" , "14000.90 Набор для игры в пляжный теннис Filipinas, зеленый")</f>
      </c>
      <c r="C20876" s="4" t="n">
        <v>587.00</v>
      </c>
      <c r="D20876" s="4"/>
    </row>
    <row collapsed="" customFormat="false" customHeight="1" hidden="" ht="14" outlineLevel="0" r="20877">
      <c r="A20877" s="3" t="inlineStr">
        <is>
          <t>20826</t>
        </is>
      </c>
      <c r="B20877" s="4" t="s">
        <f>=HYPERLINK("http://anyluxury.ru/shop/otdykh/plyazhnyy-otdykh/sabo-muzhskie-krokki-chernie-1665630/" , "16656.30 Сабо мужские Krokki, черные, размер 40")</f>
      </c>
      <c r="C20877" s="4" t="n">
        <v>990.00</v>
      </c>
      <c r="D20877" s="4"/>
    </row>
    <row collapsed="" customFormat="false" customHeight="1" hidden="" ht="14" outlineLevel="0" r="20878">
      <c r="A20878" s="3" t="inlineStr">
        <is>
          <t>20827</t>
        </is>
      </c>
      <c r="B20878" s="4" t="s">
        <f>=HYPERLINK("http://anyluxury.ru/shop/otdykh/plyazhnyy-otdykh/sabo-muzhskie-krokki-chernie-1665630/" , "16656.30 Сабо мужские Krokki, черные, размер 41")</f>
      </c>
      <c r="C20878" s="4" t="n">
        <v>990.00</v>
      </c>
      <c r="D20878" s="4"/>
    </row>
    <row collapsed="" customFormat="false" customHeight="1" hidden="" ht="14" outlineLevel="0" r="20879">
      <c r="A20879" s="3" t="inlineStr">
        <is>
          <t>20828</t>
        </is>
      </c>
      <c r="B20879" s="4" t="s">
        <f>=HYPERLINK("http://anyluxury.ru/shop/otdykh/plyazhnyy-otdykh/sabo-muzhskie-krokki-chernie-1665630/" , "16656.30 Сабо мужские Krokki, черные, размер 42")</f>
      </c>
      <c r="C20879" s="4" t="n">
        <v>990.00</v>
      </c>
      <c r="D20879" s="4"/>
    </row>
    <row collapsed="" customFormat="false" customHeight="1" hidden="" ht="14" outlineLevel="0" r="20880">
      <c r="A20880" s="3" t="inlineStr">
        <is>
          <t>20829</t>
        </is>
      </c>
      <c r="B20880" s="4" t="s">
        <f>=HYPERLINK("http://anyluxury.ru/shop/otdykh/plyazhnyy-otdykh/sabo-muzhskie-krokki-chernie-1665630/" , "16656.30 Сабо мужские Krokki, черные, размер 43")</f>
      </c>
      <c r="C20880" s="4" t="n">
        <v>990.00</v>
      </c>
      <c r="D20880" s="4"/>
    </row>
    <row collapsed="" customFormat="false" customHeight="1" hidden="" ht="14" outlineLevel="0" r="20881">
      <c r="A20881" s="3" t="inlineStr">
        <is>
          <t>20830</t>
        </is>
      </c>
      <c r="B20881" s="4" t="s">
        <f>=HYPERLINK("http://anyluxury.ru/shop/otdykh/plyazhnyy-otdykh/sabo-muzhskie-krokki-chernie-1665630/" , "16656.30 Сабо мужские Krokki, черные, размер 44")</f>
      </c>
      <c r="C20881" s="4" t="n">
        <v>990.00</v>
      </c>
      <c r="D20881" s="4"/>
    </row>
    <row collapsed="" customFormat="false" customHeight="1" hidden="" ht="14" outlineLevel="0" r="20882">
      <c r="A20882" s="3" t="inlineStr">
        <is>
          <t>20831</t>
        </is>
      </c>
      <c r="B20882" s="4" t="s">
        <f>=HYPERLINK("http://anyluxury.ru/shop/otdykh/plyazhnyy-otdykh/sabo-muzhskie-krokki-chernie-1665630/" , "16656.30 Сабо мужские Krokki, черные, размер 45")</f>
      </c>
      <c r="C20882" s="4" t="n">
        <v>990.00</v>
      </c>
      <c r="D20882" s="4"/>
    </row>
    <row collapsed="" customFormat="false" customHeight="1" hidden="" ht="14" outlineLevel="0" r="20883">
      <c r="A20883" s="3" t="inlineStr">
        <is>
          <t>20832</t>
        </is>
      </c>
      <c r="B20883" s="4" t="s">
        <f>=HYPERLINK("http://anyluxury.ru/shop/otdykh/plyazhnyy-otdykh/sabo-muzhskie-krokki-sinie-1665640/" , "16656.40 Сабо мужские Krokki, синие, размер 40")</f>
      </c>
      <c r="C20883" s="4" t="n">
        <v>990.00</v>
      </c>
      <c r="D20883" s="4"/>
    </row>
    <row collapsed="" customFormat="false" customHeight="1" hidden="" ht="14" outlineLevel="0" r="20884">
      <c r="A20884" s="3" t="inlineStr">
        <is>
          <t>20833</t>
        </is>
      </c>
      <c r="B20884" s="4" t="s">
        <f>=HYPERLINK("http://anyluxury.ru/shop/otdykh/plyazhnyy-otdykh/sabo-muzhskie-krokki-sinie-1665640/" , "16656.40 Сабо мужские Krokki, синие, размер 41")</f>
      </c>
      <c r="C20884" s="4" t="n">
        <v>990.00</v>
      </c>
      <c r="D20884" s="4"/>
    </row>
    <row collapsed="" customFormat="false" customHeight="1" hidden="" ht="14" outlineLevel="0" r="20885">
      <c r="A20885" s="3" t="inlineStr">
        <is>
          <t>20834</t>
        </is>
      </c>
      <c r="B20885" s="4" t="s">
        <f>=HYPERLINK("http://anyluxury.ru/shop/otdykh/plyazhnyy-otdykh/sabo-muzhskie-krokki-sinie-1665640/" , "16656.40 Сабо мужские Krokki, синие, размер 42")</f>
      </c>
      <c r="C20885" s="4" t="n">
        <v>990.00</v>
      </c>
      <c r="D20885" s="4"/>
    </row>
    <row collapsed="" customFormat="false" customHeight="1" hidden="" ht="14" outlineLevel="0" r="20886">
      <c r="A20886" s="3" t="inlineStr">
        <is>
          <t>20835</t>
        </is>
      </c>
      <c r="B20886" s="4" t="s">
        <f>=HYPERLINK("http://anyluxury.ru/shop/otdykh/plyazhnyy-otdykh/sabo-muzhskie-krokki-sinie-1665640/" , "16656.40 Сабо мужские Krokki, синие, размер 43")</f>
      </c>
      <c r="C20886" s="4" t="n">
        <v>990.00</v>
      </c>
      <c r="D20886" s="4"/>
    </row>
    <row collapsed="" customFormat="false" customHeight="1" hidden="" ht="14" outlineLevel="0" r="20887">
      <c r="A20887" s="3" t="inlineStr">
        <is>
          <t>20836</t>
        </is>
      </c>
      <c r="B20887" s="4" t="s">
        <f>=HYPERLINK("http://anyluxury.ru/shop/otdykh/plyazhnyy-otdykh/sabo-muzhskie-krokki-sinie-1665640/" , "16656.40 Сабо мужские Krokki, синие, размер 44")</f>
      </c>
      <c r="C20887" s="4" t="n">
        <v>990.00</v>
      </c>
      <c r="D20887" s="4"/>
    </row>
    <row collapsed="" customFormat="false" customHeight="1" hidden="" ht="14" outlineLevel="0" r="20888">
      <c r="A20888" s="3" t="inlineStr">
        <is>
          <t>20837</t>
        </is>
      </c>
      <c r="B20888" s="4" t="s">
        <f>=HYPERLINK("http://anyluxury.ru/shop/otdykh/plyazhnyy-otdykh/sabo-muzhskie-krokki-sinie-1665640/" , "16656.40 Сабо мужские Krokki, синие, размер 45")</f>
      </c>
      <c r="C20888" s="4" t="n">
        <v>990.00</v>
      </c>
      <c r="D20888" s="4"/>
    </row>
    <row collapsed="" customFormat="false" customHeight="1" hidden="" ht="14" outlineLevel="0" r="20889">
      <c r="A20889" s="3" t="inlineStr">
        <is>
          <t>20838</t>
        </is>
      </c>
      <c r="B20889" s="4" t="s">
        <f>=HYPERLINK("http://anyluxury.ru/shop/otdykh/plyazhnyy-otdykh/sabo-zhenskie-krokki-zelenie-1665790/" , "16657.90 Сабо женские Krokki, зеленые, размер 36")</f>
      </c>
      <c r="C20889" s="4" t="n">
        <v>990.00</v>
      </c>
      <c r="D20889" s="4"/>
    </row>
    <row collapsed="" customFormat="false" customHeight="1" hidden="" ht="14" outlineLevel="0" r="20890">
      <c r="A20890" s="3" t="inlineStr">
        <is>
          <t>20839</t>
        </is>
      </c>
      <c r="B20890" s="4" t="s">
        <f>=HYPERLINK("http://anyluxury.ru/shop/otdykh/plyazhnyy-otdykh/sabo-zhenskie-krokki-zelenie-1665790/" , "16657.90 Сабо женские Krokki, зеленые, размер 37")</f>
      </c>
      <c r="C20890" s="4" t="n">
        <v>990.00</v>
      </c>
      <c r="D20890" s="4"/>
    </row>
    <row collapsed="" customFormat="false" customHeight="1" hidden="" ht="14" outlineLevel="0" r="20891">
      <c r="A20891" s="3" t="inlineStr">
        <is>
          <t>20840</t>
        </is>
      </c>
      <c r="B20891" s="4" t="s">
        <f>=HYPERLINK("http://anyluxury.ru/shop/otdykh/plyazhnyy-otdykh/sabo-zhenskie-krokki-zelenie-1665790/" , "16657.90 Сабо женские Krokki, зеленые, размер 38")</f>
      </c>
      <c r="C20891" s="4" t="n">
        <v>990.00</v>
      </c>
      <c r="D20891" s="4"/>
    </row>
    <row collapsed="" customFormat="false" customHeight="1" hidden="" ht="14" outlineLevel="0" r="20892">
      <c r="A20892" s="3" t="inlineStr">
        <is>
          <t>20841</t>
        </is>
      </c>
      <c r="B20892" s="4" t="s">
        <f>=HYPERLINK("http://anyluxury.ru/shop/otdykh/plyazhnyy-otdykh/sabo-zhenskie-krokki-zelenie-1665790/" , "16657.90 Сабо женские Krokki, зеленые, размер 39")</f>
      </c>
      <c r="C20892" s="4" t="n">
        <v>990.00</v>
      </c>
      <c r="D20892" s="4"/>
    </row>
    <row collapsed="" customFormat="false" customHeight="1" hidden="" ht="14" outlineLevel="0" r="20893">
      <c r="A20893" s="3" t="inlineStr">
        <is>
          <t>20842</t>
        </is>
      </c>
      <c r="B20893" s="4" t="s">
        <f>=HYPERLINK("http://anyluxury.ru/shop/otdykh/plyazhnyy-otdykh/sabo-zhenskie-krokki-zelenie-1665790/" , "16657.90 Сабо женские Krokki, зеленые, размер 40")</f>
      </c>
      <c r="C20893" s="4" t="n">
        <v>990.00</v>
      </c>
      <c r="D20893" s="4"/>
    </row>
    <row collapsed="" customFormat="false" customHeight="1" hidden="" ht="14" outlineLevel="0" r="20894">
      <c r="A20894" s="3" t="inlineStr">
        <is>
          <t>20843</t>
        </is>
      </c>
      <c r="B20894" s="4" t="s">
        <f>=HYPERLINK("http://anyluxury.ru/shop/otdykh/plyazhnyy-otdykh/sabo-zhenskie-krokki-zelenie-1665790/" , "16657.90 Сабо женские Krokki, зеленые, размер 41")</f>
      </c>
      <c r="C20894" s="4" t="n">
        <v>990.00</v>
      </c>
      <c r="D20894" s="4"/>
    </row>
    <row collapsed="" customFormat="false" customHeight="1" hidden="" ht="14" outlineLevel="0" r="20895">
      <c r="A20895" s="3" t="inlineStr">
        <is>
          <t>20844</t>
        </is>
      </c>
      <c r="B20895" s="4" t="s">
        <f>=HYPERLINK("http://anyluxury.ru/shop/otdykh/plyazhnyy-otdykh/sabo-zhenskie-krokki-zheltie-1665780/" , "16657.80 Сабо женские Krokki, желтые, размер 36")</f>
      </c>
      <c r="C20895" s="4" t="n">
        <v>990.00</v>
      </c>
      <c r="D20895" s="4"/>
    </row>
    <row collapsed="" customFormat="false" customHeight="1" hidden="" ht="14" outlineLevel="0" r="20896">
      <c r="A20896" s="3" t="inlineStr">
        <is>
          <t>20845</t>
        </is>
      </c>
      <c r="B20896" s="4" t="s">
        <f>=HYPERLINK("http://anyluxury.ru/shop/otdykh/plyazhnyy-otdykh/sabo-zhenskie-krokki-zheltie-1665780/" , "16657.80 Сабо женские Krokki, желтые, размер 37")</f>
      </c>
      <c r="C20896" s="4" t="n">
        <v>990.00</v>
      </c>
      <c r="D20896" s="4"/>
    </row>
    <row collapsed="" customFormat="false" customHeight="1" hidden="" ht="14" outlineLevel="0" r="20897">
      <c r="A20897" s="3" t="inlineStr">
        <is>
          <t>20846</t>
        </is>
      </c>
      <c r="B20897" s="4" t="s">
        <f>=HYPERLINK("http://anyluxury.ru/shop/otdykh/plyazhnyy-otdykh/sabo-zhenskie-krokki-zheltie-1665780/" , "16657.80 Сабо женские Krokki, желтые, размер 38")</f>
      </c>
      <c r="C20897" s="4" t="n">
        <v>990.00</v>
      </c>
      <c r="D20897" s="4"/>
    </row>
    <row collapsed="" customFormat="false" customHeight="1" hidden="" ht="14" outlineLevel="0" r="20898">
      <c r="A20898" s="3" t="inlineStr">
        <is>
          <t>20847</t>
        </is>
      </c>
      <c r="B20898" s="4" t="s">
        <f>=HYPERLINK("http://anyluxury.ru/shop/otdykh/plyazhnyy-otdykh/sabo-zhenskie-krokki-zheltie-1665780/" , "16657.80 Сабо женские Krokki, желтые, размер 39")</f>
      </c>
      <c r="C20898" s="4" t="n">
        <v>990.00</v>
      </c>
      <c r="D20898" s="4"/>
    </row>
    <row collapsed="" customFormat="false" customHeight="1" hidden="" ht="14" outlineLevel="0" r="20899">
      <c r="A20899" s="3" t="inlineStr">
        <is>
          <t>20848</t>
        </is>
      </c>
      <c r="B20899" s="4" t="s">
        <f>=HYPERLINK("http://anyluxury.ru/shop/otdykh/plyazhnyy-otdykh/sabo-zhenskie-krokki-zheltie-1665780/" , "16657.80 Сабо женские Krokki, желтые, размер 40")</f>
      </c>
      <c r="C20899" s="4" t="n">
        <v>990.00</v>
      </c>
      <c r="D20899" s="4"/>
    </row>
    <row collapsed="" customFormat="false" customHeight="1" hidden="" ht="14" outlineLevel="0" r="20900">
      <c r="A20900" s="3" t="inlineStr">
        <is>
          <t>20849</t>
        </is>
      </c>
      <c r="B20900" s="4" t="s">
        <f>=HYPERLINK("http://anyluxury.ru/shop/otdykh/plyazhnyy-otdykh/sabo-zhenskie-krokki-zheltie-1665780/" , "16657.80 Сабо женские Krokki, желтые, размер 41")</f>
      </c>
      <c r="C20900" s="4" t="n">
        <v>990.00</v>
      </c>
      <c r="D20900" s="4"/>
    </row>
    <row collapsed="" customFormat="false" customHeight="1" hidden="" ht="14" outlineLevel="0" r="20901">
      <c r="A20901" s="3" t="inlineStr">
        <is>
          <t>20850</t>
        </is>
      </c>
      <c r="B20901" s="4" t="s">
        <f>=HYPERLINK("http://anyluxury.ru/shop/otdykh/plyazhnyy-otdykh/sabo-zhenskie-krokki-sinie-1665740/" , "16657.40 Сабо женские Krokki, синие, размер 36")</f>
      </c>
      <c r="C20901" s="4" t="n">
        <v>990.00</v>
      </c>
      <c r="D20901" s="4"/>
    </row>
    <row collapsed="" customFormat="false" customHeight="1" hidden="" ht="14" outlineLevel="0" r="20902">
      <c r="A20902" s="3" t="inlineStr">
        <is>
          <t>20851</t>
        </is>
      </c>
      <c r="B20902" s="4" t="s">
        <f>=HYPERLINK("http://anyluxury.ru/shop/otdykh/plyazhnyy-otdykh/sabo-zhenskie-krokki-sinie-1665740/" , "16657.40 Сабо женские Krokki, синие, размер 37")</f>
      </c>
      <c r="C20902" s="4" t="n">
        <v>990.00</v>
      </c>
      <c r="D20902" s="4"/>
    </row>
    <row collapsed="" customFormat="false" customHeight="1" hidden="" ht="14" outlineLevel="0" r="20903">
      <c r="A20903" s="3" t="inlineStr">
        <is>
          <t>20852</t>
        </is>
      </c>
      <c r="B20903" s="4" t="s">
        <f>=HYPERLINK("http://anyluxury.ru/shop/otdykh/plyazhnyy-otdykh/sabo-zhenskie-krokki-sinie-1665740/" , "16657.40 Сабо женские Krokki, синие, размер 38")</f>
      </c>
      <c r="C20903" s="4" t="n">
        <v>990.00</v>
      </c>
      <c r="D20903" s="4"/>
    </row>
    <row collapsed="" customFormat="false" customHeight="1" hidden="" ht="14" outlineLevel="0" r="20904">
      <c r="A20904" s="3" t="inlineStr">
        <is>
          <t>20853</t>
        </is>
      </c>
      <c r="B20904" s="4" t="s">
        <f>=HYPERLINK("http://anyluxury.ru/shop/otdykh/plyazhnyy-otdykh/sabo-zhenskie-krokki-sinie-1665740/" , "16657.40 Сабо женские Krokki, синие, размер 39")</f>
      </c>
      <c r="C20904" s="4" t="n">
        <v>990.00</v>
      </c>
      <c r="D20904" s="4"/>
    </row>
    <row collapsed="" customFormat="false" customHeight="1" hidden="" ht="14" outlineLevel="0" r="20905">
      <c r="A20905" s="3" t="inlineStr">
        <is>
          <t>20854</t>
        </is>
      </c>
      <c r="B20905" s="4" t="s">
        <f>=HYPERLINK("http://anyluxury.ru/shop/otdykh/plyazhnyy-otdykh/sabo-zhenskie-krokki-sinie-1665740/" , "16657.40 Сабо женские Krokki, синие, размер 40")</f>
      </c>
      <c r="C20905" s="4" t="n">
        <v>990.00</v>
      </c>
      <c r="D20905" s="4"/>
    </row>
    <row collapsed="" customFormat="false" customHeight="1" hidden="" ht="14" outlineLevel="0" r="20906">
      <c r="A20906" s="3" t="inlineStr">
        <is>
          <t>20855</t>
        </is>
      </c>
      <c r="B20906" s="4" t="s">
        <f>=HYPERLINK("http://anyluxury.ru/shop/otdykh/plyazhnyy-otdykh/sabo-zhenskie-krokki-sinie-1665740/" , "16657.40 Сабо женские Krokki, синие, размер 41")</f>
      </c>
      <c r="C20906" s="4" t="n">
        <v>990.00</v>
      </c>
      <c r="D20906" s="4"/>
    </row>
    <row collapsed="" customFormat="false" customHeight="1" hidden="" ht="14" outlineLevel="0" r="20907">
      <c r="A20907" s="3" t="inlineStr">
        <is>
          <t>20856</t>
        </is>
      </c>
      <c r="B20907" s="4" t="s">
        <f>=HYPERLINK("http://anyluxury.ru/shop/otdykh/plyazhnyy-otdykh/sabo-zhenskie-krokki-krasnie-1665750/" , "16657.50 Сабо женские Krokki, красные, размер 36")</f>
      </c>
      <c r="C20907" s="4" t="n">
        <v>990.00</v>
      </c>
      <c r="D20907" s="4"/>
    </row>
    <row collapsed="" customFormat="false" customHeight="1" hidden="" ht="14" outlineLevel="0" r="20908">
      <c r="A20908" s="3" t="inlineStr">
        <is>
          <t>20857</t>
        </is>
      </c>
      <c r="B20908" s="4" t="s">
        <f>=HYPERLINK("http://anyluxury.ru/shop/otdykh/plyazhnyy-otdykh/sabo-zhenskie-krokki-krasnie-1665750/" , "16657.50 Сабо женские Krokki, красные, размер 37")</f>
      </c>
      <c r="C20908" s="4" t="n">
        <v>990.00</v>
      </c>
      <c r="D20908" s="4"/>
    </row>
    <row collapsed="" customFormat="false" customHeight="1" hidden="" ht="14" outlineLevel="0" r="20909">
      <c r="A20909" s="3" t="inlineStr">
        <is>
          <t>20858</t>
        </is>
      </c>
      <c r="B20909" s="4" t="s">
        <f>=HYPERLINK("http://anyluxury.ru/shop/otdykh/plyazhnyy-otdykh/sabo-zhenskie-krokki-krasnie-1665750/" , "16657.50 Сабо женские Krokki, красные, размер 38")</f>
      </c>
      <c r="C20909" s="4" t="n">
        <v>990.00</v>
      </c>
      <c r="D20909" s="4"/>
    </row>
    <row collapsed="" customFormat="false" customHeight="1" hidden="" ht="14" outlineLevel="0" r="20910">
      <c r="A20910" s="3" t="inlineStr">
        <is>
          <t>20859</t>
        </is>
      </c>
      <c r="B20910" s="4" t="s">
        <f>=HYPERLINK("http://anyluxury.ru/shop/otdykh/plyazhnyy-otdykh/sabo-zhenskie-krokki-krasnie-1665750/" , "16657.50 Сабо женские Krokki, красные, размер 39")</f>
      </c>
      <c r="C20910" s="4" t="n">
        <v>990.00</v>
      </c>
      <c r="D20910" s="4"/>
    </row>
    <row collapsed="" customFormat="false" customHeight="1" hidden="" ht="14" outlineLevel="0" r="20911">
      <c r="A20911" s="3" t="inlineStr">
        <is>
          <t>20860</t>
        </is>
      </c>
      <c r="B20911" s="4" t="s">
        <f>=HYPERLINK("http://anyluxury.ru/shop/otdykh/plyazhnyy-otdykh/sabo-zhenskie-krokki-krasnie-1665750/" , "16657.50 Сабо женские Krokki, красные, размер 40")</f>
      </c>
      <c r="C20911" s="4" t="n">
        <v>990.00</v>
      </c>
      <c r="D20911" s="4"/>
    </row>
    <row collapsed="" customFormat="false" customHeight="1" hidden="" ht="14" outlineLevel="0" r="20912">
      <c r="A20912" s="3" t="inlineStr">
        <is>
          <t>20861</t>
        </is>
      </c>
      <c r="B20912" s="4" t="s">
        <f>=HYPERLINK("http://anyluxury.ru/shop/otdykh/plyazhnyy-otdykh/sabo-zhenskie-krokki-krasnie-1665750/" , "16657.50 Сабо женские Krokki, красные, размер 41")</f>
      </c>
      <c r="C20912" s="4" t="n">
        <v>990.00</v>
      </c>
      <c r="D20912" s="4"/>
    </row>
    <row collapsed="" customFormat="false" customHeight="1" hidden="" ht="14" outlineLevel="0" r="20913">
      <c r="A20913" s="3" t="inlineStr">
        <is>
          <t>20862</t>
        </is>
      </c>
      <c r="B20913" s="4" t="s">
        <f>=HYPERLINK("http://anyluxury.ru/shop/otdykh/plyazhnyy-otdykh/sabo-zhenskie-krokki-belie-1665760/" , "16657.60 Сабо женские Krokki, белые, размер 36")</f>
      </c>
      <c r="C20913" s="4" t="n">
        <v>990.00</v>
      </c>
      <c r="D20913" s="4"/>
    </row>
    <row collapsed="" customFormat="false" customHeight="1" hidden="" ht="14" outlineLevel="0" r="20914">
      <c r="A20914" s="3" t="inlineStr">
        <is>
          <t>20863</t>
        </is>
      </c>
      <c r="B20914" s="4" t="s">
        <f>=HYPERLINK("http://anyluxury.ru/shop/otdykh/plyazhnyy-otdykh/sabo-zhenskie-krokki-belie-1665760/" , "16657.60 Сабо женские Krokki, белые, размер 37")</f>
      </c>
      <c r="C20914" s="4" t="n">
        <v>990.00</v>
      </c>
      <c r="D20914" s="4"/>
    </row>
    <row collapsed="" customFormat="false" customHeight="1" hidden="" ht="14" outlineLevel="0" r="20915">
      <c r="A20915" s="3" t="inlineStr">
        <is>
          <t>20864</t>
        </is>
      </c>
      <c r="B20915" s="4" t="s">
        <f>=HYPERLINK("http://anyluxury.ru/shop/otdykh/plyazhnyy-otdykh/sabo-zhenskie-krokki-belie-1665760/" , "16657.60 Сабо женские Krokki, белые, размер 38")</f>
      </c>
      <c r="C20915" s="4" t="n">
        <v>990.00</v>
      </c>
      <c r="D20915" s="4"/>
    </row>
    <row collapsed="" customFormat="false" customHeight="1" hidden="" ht="14" outlineLevel="0" r="20916">
      <c r="A20916" s="3" t="inlineStr">
        <is>
          <t>20865</t>
        </is>
      </c>
      <c r="B20916" s="4" t="s">
        <f>=HYPERLINK("http://anyluxury.ru/shop/otdykh/plyazhnyy-otdykh/sabo-zhenskie-krokki-belie-1665760/" , "16657.60 Сабо женские Krokki, белые, размер 39")</f>
      </c>
      <c r="C20916" s="4" t="n">
        <v>990.00</v>
      </c>
      <c r="D20916" s="4"/>
    </row>
    <row collapsed="" customFormat="false" customHeight="1" hidden="" ht="14" outlineLevel="0" r="20917">
      <c r="A20917" s="3" t="inlineStr">
        <is>
          <t>20866</t>
        </is>
      </c>
      <c r="B20917" s="4" t="s">
        <f>=HYPERLINK("http://anyluxury.ru/shop/otdykh/plyazhnyy-otdykh/sabo-zhenskie-krokki-belie-1665760/" , "16657.60 Сабо женские Krokki, белые, размер 40")</f>
      </c>
      <c r="C20917" s="4" t="n">
        <v>990.00</v>
      </c>
      <c r="D20917" s="4"/>
    </row>
    <row collapsed="" customFormat="false" customHeight="1" hidden="" ht="14" outlineLevel="0" r="20918">
      <c r="A20918" s="3" t="inlineStr">
        <is>
          <t>20867</t>
        </is>
      </c>
      <c r="B20918" s="4" t="s">
        <f>=HYPERLINK("http://anyluxury.ru/shop/otdykh/plyazhnyy-otdykh/sabo-zhenskie-krokki-belie-1665760/" , "16657.60 Сабо женские Krokki, белые, размер 41")</f>
      </c>
      <c r="C20918" s="4" t="n">
        <v>990.00</v>
      </c>
      <c r="D20918" s="4"/>
    </row>
    <row collapsed="" customFormat="false" customHeight="1" hidden="" ht="14" outlineLevel="0" r="20919">
      <c r="A20919" s="3" t="inlineStr">
        <is>
          <t>20868</t>
        </is>
      </c>
      <c r="B20919" s="4" t="s">
        <f>=HYPERLINK("http://anyluxury.ru/shop/otdykh/plyazhnyy-otdykh/sabo-zhenskie-krokki-rozovie-1665715/" , "16657.15 Сабо женские Krokki, розовые, размер 36")</f>
      </c>
      <c r="C20919" s="4" t="n">
        <v>990.00</v>
      </c>
      <c r="D20919" s="4"/>
    </row>
    <row collapsed="" customFormat="false" customHeight="1" hidden="" ht="14" outlineLevel="0" r="20920">
      <c r="A20920" s="3" t="inlineStr">
        <is>
          <t>20869</t>
        </is>
      </c>
      <c r="B20920" s="4" t="s">
        <f>=HYPERLINK("http://anyluxury.ru/shop/otdykh/plyazhnyy-otdykh/sabo-zhenskie-krokki-rozovie-1665715/" , "16657.15 Сабо женские Krokki, розовые, размер 37")</f>
      </c>
      <c r="C20920" s="4" t="n">
        <v>990.00</v>
      </c>
      <c r="D20920" s="4"/>
    </row>
    <row collapsed="" customFormat="false" customHeight="1" hidden="" ht="14" outlineLevel="0" r="20921">
      <c r="A20921" s="3" t="inlineStr">
        <is>
          <t>20870</t>
        </is>
      </c>
      <c r="B20921" s="4" t="s">
        <f>=HYPERLINK("http://anyluxury.ru/shop/otdykh/plyazhnyy-otdykh/sabo-zhenskie-krokki-rozovie-1665715/" , "16657.15 Сабо женские Krokki, розовые, размер 38")</f>
      </c>
      <c r="C20921" s="4" t="n">
        <v>990.00</v>
      </c>
      <c r="D20921" s="4"/>
    </row>
    <row collapsed="" customFormat="false" customHeight="1" hidden="" ht="14" outlineLevel="0" r="20922">
      <c r="A20922" s="3" t="inlineStr">
        <is>
          <t>20871</t>
        </is>
      </c>
      <c r="B20922" s="4" t="s">
        <f>=HYPERLINK("http://anyluxury.ru/shop/otdykh/plyazhnyy-otdykh/sabo-zhenskie-krokki-rozovie-1665715/" , "16657.15 Сабо женские Krokki, розовые, размер 39")</f>
      </c>
      <c r="C20922" s="4" t="n">
        <v>990.00</v>
      </c>
      <c r="D20922" s="4"/>
    </row>
    <row collapsed="" customFormat="false" customHeight="1" hidden="" ht="14" outlineLevel="0" r="20923">
      <c r="A20923" s="3" t="inlineStr">
        <is>
          <t>20872</t>
        </is>
      </c>
      <c r="B20923" s="4" t="s">
        <f>=HYPERLINK("http://anyluxury.ru/shop/otdykh/plyazhnyy-otdykh/sabo-zhenskie-krokki-rozovie-1665715/" , "16657.15 Сабо женские Krokki, розовые, размер 40")</f>
      </c>
      <c r="C20923" s="4" t="n">
        <v>990.00</v>
      </c>
      <c r="D20923" s="4"/>
    </row>
    <row collapsed="" customFormat="false" customHeight="1" hidden="" ht="14" outlineLevel="0" r="20924">
      <c r="A20924" s="3" t="inlineStr">
        <is>
          <t>20873</t>
        </is>
      </c>
      <c r="B20924" s="4" t="s">
        <f>=HYPERLINK("http://anyluxury.ru/shop/otdykh/plyazhnyy-otdykh/sabo-zhenskie-krokki-rozovie-1665715/" , "16657.15 Сабо женские Krokki, розовые, размер 41")</f>
      </c>
      <c r="C20924" s="4" t="n">
        <v>990.00</v>
      </c>
      <c r="D20924" s="4"/>
    </row>
    <row collapsed="" customFormat="false" customHeight="1" hidden="" ht="14" outlineLevel="0" r="20925">
      <c r="A20925" s="3" t="inlineStr">
        <is>
          <t>20874</t>
        </is>
      </c>
      <c r="B20925" s="4" t="s">
        <f>=HYPERLINK("http://anyluxury.ru/shop/otdykh/plyazhnyy-otdykh/ochki-solncezashhitnie-palau-chernie-1557030/" , "15570.30 Очки солнцезащитные Palau, черные")</f>
      </c>
      <c r="C20925" s="4" t="n">
        <v>212.00</v>
      </c>
      <c r="D20925" s="4"/>
    </row>
    <row collapsed="" customFormat="false" customHeight="1" hidden="" ht="14" outlineLevel="0" r="20926">
      <c r="A20926" s="3" t="inlineStr">
        <is>
          <t>20875</t>
        </is>
      </c>
      <c r="B20926" s="4" t="s">
        <f>=HYPERLINK("http://anyluxury.ru/shop/otdykh/plyazhnyy-otdykh/ochki-solncezashhitnie-palau-belie-1557060/" , "15570.60 Очки солнцезащитные Palau, белые")</f>
      </c>
      <c r="C20926" s="4" t="n">
        <v>212.00</v>
      </c>
      <c r="D20926" s="4"/>
    </row>
    <row collapsed="" customFormat="false" customHeight="1" hidden="" ht="14" outlineLevel="0" r="20927">
      <c r="A20927" s="3" t="inlineStr">
        <is>
          <t>20876</t>
        </is>
      </c>
      <c r="B20927" s="4" t="s">
        <f>=HYPERLINK("http://anyluxury.ru/shop/otdykh/plyazhnyy-otdykh/ochki-solncezashhitnie-singapore-chernie-1557130/" , "15571.30 Очки солнцезащитные Singapore, черные")</f>
      </c>
      <c r="C20927" s="4" t="n">
        <v>140.00</v>
      </c>
      <c r="D20927" s="4"/>
    </row>
    <row collapsed="" customFormat="false" customHeight="1" hidden="" ht="14" outlineLevel="0" r="20928">
      <c r="A20928" s="3" t="inlineStr">
        <is>
          <t>20877</t>
        </is>
      </c>
      <c r="B20928" s="4" t="s">
        <f>=HYPERLINK("http://anyluxury.ru/shop/otdykh/plyazhnyy-otdykh/ochki-solncezashhitnie-singapore-belie-1557160/" , "15571.60 Очки солнцезащитные Singapore, белые")</f>
      </c>
      <c r="C20928" s="4" t="n">
        <v>140.00</v>
      </c>
      <c r="D20928" s="4"/>
    </row>
    <row collapsed="" customFormat="false" customHeight="1" hidden="" ht="14" outlineLevel="0" r="20929">
      <c r="A20929" s="3" t="inlineStr">
        <is>
          <t>20878</t>
        </is>
      </c>
      <c r="B20929" s="4" t="s">
        <f>=HYPERLINK("http://anyluxury.ru/shop/otdykh/plyazhnyy-otdykh/ochki-solncezashhitnie-singapore-sinie-1557140/" , "15571.40 Очки солнцезащитные Singapore, синие")</f>
      </c>
      <c r="C20929" s="4" t="n">
        <v>140.00</v>
      </c>
      <c r="D20929" s="4"/>
    </row>
    <row collapsed="" customFormat="false" customHeight="1" hidden="" ht="14" outlineLevel="0" r="20930">
      <c r="A20930" s="3" t="inlineStr">
        <is>
          <t>20879</t>
        </is>
      </c>
      <c r="B20930" s="4" t="s">
        <f>=HYPERLINK("http://anyluxury.ru/shop/otdykh/plyazhnyy-otdykh/nabor-pop-up-summer-oranzheviy-1385420/" , "13854.20 Набор Pop Up Summer, оранжевый")</f>
      </c>
      <c r="C20930" s="4" t="n">
        <v>1344.00</v>
      </c>
      <c r="D20930" s="4"/>
    </row>
    <row collapsed="" customFormat="false" customHeight="1" hidden="" ht="14" outlineLevel="0" r="20931">
      <c r="A20931" s="3" t="inlineStr">
        <is>
          <t>20880</t>
        </is>
      </c>
      <c r="B20931" s="4" t="s">
        <f>=HYPERLINK("http://anyluxury.ru/shop/otdykh/plyazhnyy-otdykh/nabor-pop-up-summer-zeleniy-1385490/" , "13854.90 Набор Pop Up Summer, зеленый")</f>
      </c>
      <c r="C20931" s="4" t="n">
        <v>1344.00</v>
      </c>
      <c r="D20931" s="4"/>
    </row>
    <row collapsed="" customFormat="false" customHeight="1" hidden="" ht="14" outlineLevel="0" r="20932">
      <c r="A20932" s="3" t="inlineStr">
        <is>
          <t>20881</t>
        </is>
      </c>
      <c r="B20932" s="4" t="s">
        <f>=HYPERLINK("http://anyluxury.ru/shop/otdykh/plyazhnyy-otdykh/nabor-summer-pop-up-goluboy-1385414/" , "13854.14 Набор Summer Pop Up, голубой")</f>
      </c>
      <c r="C20932" s="4" t="n">
        <v>1344.00</v>
      </c>
      <c r="D20932" s="4"/>
    </row>
    <row collapsed="" customFormat="false" customHeight="1" hidden="" ht="14" outlineLevel="0" r="20933">
      <c r="A20933" s="3" t="inlineStr">
        <is>
          <t>20882</t>
        </is>
      </c>
      <c r="B20933" s="4" t="s">
        <f>=HYPERLINK("http://anyluxury.ru/shop/otdykh/plyazhnyy-otdykh/nabor-pop-up-summer-krasniy-1385450/" , "13854.50 Набор Pop Up Summer, красный")</f>
      </c>
      <c r="C20933" s="4" t="n">
        <v>1344.00</v>
      </c>
      <c r="D20933" s="4"/>
    </row>
    <row collapsed="" customFormat="false" customHeight="1" hidden="" ht="14" outlineLevel="0" r="20934">
      <c r="A20934" s="3" t="inlineStr">
        <is>
          <t>20883</t>
        </is>
      </c>
      <c r="B20934" s="4" t="s">
        <f>=HYPERLINK("http://anyluxury.ru/shop/otdykh/plyazhnyy-otdykh/pokrivalo-vello-color-na-zakaz-m-1893702/" , "18937.02 Покрывало Vello Color на заказ, M")</f>
      </c>
      <c r="C20934" s="4" t="n">
        <v>2319.00</v>
      </c>
      <c r="D20934" s="4"/>
    </row>
    <row collapsed="" customFormat="false" customHeight="1" hidden="" ht="14" outlineLevel="0" r="20935">
      <c r="A20935" s="3" t="inlineStr">
        <is>
          <t>20884</t>
        </is>
      </c>
      <c r="B20935" s="4" t="s">
        <f>=HYPERLINK("http://anyluxury.ru/shop/otdykh/plyazhnyy-otdykh/solncezashhitnie-ochki-iz-pererabotannogo-plastika-sertifikat-grs-p453961/" , "P453.961 Солнцезащитные очки из переработанного пластика (сертификат GRS)")</f>
      </c>
      <c r="C20935" s="4" t="n">
        <v>534.00</v>
      </c>
      <c r="D20935" s="4"/>
    </row>
    <row collapsed="" customFormat="false" customHeight="1" hidden="" ht="14" outlineLevel="0" r="20936">
      <c r="A20936" s="3" t="inlineStr">
        <is>
          <t>20885</t>
        </is>
      </c>
      <c r="B20936" s="4" t="s">
        <f>=HYPERLINK("http://anyluxury.ru/shop/otdykh/plyazhnyy-otdykh/solncezashhitnie-ochki-iz-pererabotannogo-plastika-sertifikat-grs-p453965/" , "P453.965 Солнцезащитные очки из переработанного пластика (сертификат GRS)")</f>
      </c>
      <c r="C20936" s="4" t="n">
        <v>534.00</v>
      </c>
      <c r="D20936" s="4"/>
    </row>
    <row collapsed="" customFormat="false" customHeight="1" hidden="" ht="14" outlineLevel="0" r="20937">
      <c r="A20937" s="3" t="inlineStr">
        <is>
          <t>20886</t>
        </is>
      </c>
      <c r="B20937" s="4" t="s">
        <f>=HYPERLINK("http://anyluxury.ru/shop/otdykh/plyazhnyy-otdykh/naduvnoy-plyazhniy-myach-tenerife-beliy-1385960/" , "13859.60 Надувной пляжный мяч Tenerife, белый")</f>
      </c>
      <c r="C20937" s="4" t="n">
        <v>246.00</v>
      </c>
      <c r="D20937" s="4"/>
    </row>
    <row collapsed="" customFormat="false" customHeight="1" hidden="" ht="14" outlineLevel="0" r="20938">
      <c r="A20938" s="3" t="inlineStr">
        <is>
          <t>20887</t>
        </is>
      </c>
      <c r="B20938" s="4" t="s">
        <f>=HYPERLINK("http://anyluxury.ru/shop/otdykh/plyazhnyy-otdykh/solncezashhitnie-ochki-iz-pererabotannogo-polipropilena-grs-p453890/" , "P453.890 Солнцезащитные очки из переработанного полипропилена GRS")</f>
      </c>
      <c r="C20938" s="4" t="n">
        <v>334.00</v>
      </c>
      <c r="D20938" s="4"/>
    </row>
    <row collapsed="" customFormat="false" customHeight="1" hidden="" ht="14" outlineLevel="0" r="20939">
      <c r="A20939" s="3" t="inlineStr">
        <is>
          <t>20888</t>
        </is>
      </c>
      <c r="B20939" s="4" t="s">
        <f>=HYPERLINK("http://anyluxury.ru/shop/otdykh/plyazhnyy-otdykh/solncezashhitnie-ochki-iz-pererabotannogo-polipropilena-grs-p453891/" , "P453.891 Солнцезащитные очки из переработанного полипропилена GRS")</f>
      </c>
      <c r="C20939" s="4" t="n">
        <v>334.00</v>
      </c>
      <c r="D20939" s="4"/>
    </row>
    <row collapsed="" customFormat="false" customHeight="1" hidden="" ht="14" outlineLevel="0" r="20940">
      <c r="A20940" s="3" t="inlineStr">
        <is>
          <t>20889</t>
        </is>
      </c>
      <c r="B20940" s="4" t="s">
        <f>=HYPERLINK("http://anyluxury.ru/shop/otdykh/plyazhnyy-otdykh/solncezashhitnie-ochki-iz-pererabotannogo-polipropilena-grs-p453894/" , "P453.894 Солнцезащитные очки из переработанного полипропилена GRS")</f>
      </c>
      <c r="C20940" s="4" t="n">
        <v>334.00</v>
      </c>
      <c r="D20940" s="4"/>
    </row>
    <row collapsed="" customFormat="false" customHeight="1" hidden="" ht="14" outlineLevel="0" r="20941">
      <c r="A20941" s="3" t="inlineStr">
        <is>
          <t>20890</t>
        </is>
      </c>
      <c r="B20941" s="4" t="s">
        <f>=HYPERLINK("http://anyluxury.ru/shop/otdykh/plyazhnyy-otdykh/solncezashhitnie-ochki-iz-pererabotannogo-polipropilena-grs-p453895/" , "P453.895 Солнцезащитные очки из переработанного полипропилена GRS")</f>
      </c>
      <c r="C20941" s="4" t="n">
        <v>334.00</v>
      </c>
      <c r="D20941" s="4"/>
    </row>
    <row collapsed="" customFormat="false" customHeight="1" hidden="" ht="14" outlineLevel="0" r="20942">
      <c r="A20942" s="3" t="inlineStr">
        <is>
          <t>20891</t>
        </is>
      </c>
      <c r="B20942" s="4" t="s">
        <f>=HYPERLINK("http://anyluxury.ru/shop/otdykh/plyazhnyy-otdykh/solncezashhitnie-ochki-iz-pererabotannogo-polipropilena-grs-p453896/" , "P453.896 Солнцезащитные очки из переработанного полипропилена GRS")</f>
      </c>
      <c r="C20942" s="4" t="n">
        <v>334.00</v>
      </c>
      <c r="D20942" s="4"/>
    </row>
    <row collapsed="" customFormat="false" customHeight="1" hidden="" ht="14" outlineLevel="0" r="20943">
      <c r="A20943" s="3" t="inlineStr">
        <is>
          <t>20892</t>
        </is>
      </c>
      <c r="B20943" s="4" t="s">
        <f>=HYPERLINK("http://anyluxury.ru/shop/otdykh/plyazhnyy-otdykh/solncezashhitnie-ochki-cork-iz-pererabotannogo-plastika-uv-400-p453881/" , "P453.881 Солнцезащитные очки Cork из переработанного пластика, UV 400")</f>
      </c>
      <c r="C20943" s="4" t="n">
        <v>534.00</v>
      </c>
      <c r="D20943" s="4"/>
    </row>
    <row collapsed="" customFormat="false" customHeight="1" hidden="" ht="14" outlineLevel="0" r="20944">
      <c r="A20944" s="3" t="inlineStr">
        <is>
          <t>20893</t>
        </is>
      </c>
      <c r="B20944" s="4" t="s">
        <f>=HYPERLINK("http://anyluxury.ru/shop/otdykh/plyazhnyy-otdykh/nabor-dlya-igri-v-plyazhniy-tennis-filipinas-oranzheviy-1400020/" , "14000.20 Набор для игры в пляжный теннис Filipinas, оранжевый")</f>
      </c>
      <c r="C20944" s="4" t="n">
        <v>551.00</v>
      </c>
      <c r="D20944" s="4"/>
    </row>
    <row collapsed="" customFormat="false" customHeight="1" hidden="" ht="14" outlineLevel="0" r="20945">
      <c r="A20945" s="3" t="inlineStr">
        <is>
          <t>20894</t>
        </is>
      </c>
      <c r="B20945" s="4" t="s">
        <f>=HYPERLINK("http://anyluxury.ru/shop/otdykh/plyazhnyy-otdykh/solnechnie-ochki-grace-bay-chernie-1679830/" , "16798.30 Солнечные очки Grace Bay, черные")</f>
      </c>
      <c r="C20945" s="4" t="n">
        <v>367.00</v>
      </c>
      <c r="D20945" s="4"/>
    </row>
    <row collapsed="" customFormat="false" customHeight="1" hidden="" ht="14" outlineLevel="0" r="20946">
      <c r="A20946" s="3" t="inlineStr">
        <is>
          <t>20895</t>
        </is>
      </c>
      <c r="B20946" s="4" t="s">
        <f>=HYPERLINK("http://anyluxury.ru/shop/otdykh/plyazhnyy-otdykh/solncezashhitnie-ochki-iz-pererabotannogo-plastika-rcs-s-bambukovimi-duzhkami-p453971/" , "P453.971 Солнцезащитные очки из переработанного пластика RCS с бамбуковыми дужками")</f>
      </c>
      <c r="C20946" s="4" t="n">
        <v>881.00</v>
      </c>
      <c r="D20946" s="4"/>
    </row>
    <row collapsed="" customFormat="false" customHeight="1" hidden="" ht="14" outlineLevel="0" r="20947">
      <c r="A20947" s="3" t="inlineStr">
        <is>
          <t>20896</t>
        </is>
      </c>
      <c r="B20947" s="4" t="s">
        <f>=HYPERLINK("http://anyluxury.ru/shop/otdykh/plyazhnyy-otdykh/solncezashhitnie-ochki-iz-pererabotannogo-plastika-rcs-s-bambukovimi-duzhkami-p453975/" , "P453.975 Солнцезащитные очки из переработанного пластика RCS с бамбуковыми дужками")</f>
      </c>
      <c r="C20947" s="4" t="n">
        <v>881.00</v>
      </c>
      <c r="D20947" s="4"/>
    </row>
    <row collapsed="" customFormat="false" customHeight="1" hidden="" ht="14" outlineLevel="0" r="20948">
      <c r="A20948" s="3" t="inlineStr">
        <is>
          <t>20897</t>
        </is>
      </c>
      <c r="B20948" s="4" t="s">
        <f>=HYPERLINK("http://anyluxury.ru/shop/otdykh/plyazhnyy-otdykh/solncezashhitnie-ochki-iz-pererabotannogo-plastika-rcs-s-bambukovimi-duzhkami-p453977/" , "P453.977 Солнцезащитные очки из переработанного пластика RCS с бамбуковыми дужками")</f>
      </c>
      <c r="C20948" s="4" t="n">
        <v>881.00</v>
      </c>
      <c r="D20948" s="4"/>
    </row>
    <row collapsed="" customFormat="false" customHeight="1" hidden="" ht="14" outlineLevel="0" r="20949">
      <c r="A20949" s="3" t="inlineStr">
        <is>
          <t>20898</t>
        </is>
      </c>
      <c r="B20949" s="4" t="s">
        <f>=HYPERLINK("http://anyluxury.ru/shop/otdykh/plyazhnyy-otdykh/ohlazhdayushhee-polotence-weddell-sinee-596540/" , "5965.40 Охлаждающее полотенце Weddell, синее")</f>
      </c>
      <c r="C20949" s="4" t="n">
        <v>707.00</v>
      </c>
      <c r="D20949" s="4"/>
    </row>
    <row collapsed="" customFormat="false" customHeight="1" hidden="" ht="14" outlineLevel="0" r="20950">
      <c r="A20950" s="3" t="inlineStr">
        <is>
          <t>20899</t>
        </is>
      </c>
      <c r="B20950" s="4" t="s">
        <f>=HYPERLINK("http://anyluxury.ru/shop/otdykh/plyazhnyy-otdykh/zont-skladnoy-color-action-v-keyse-cherniy-1584230/" , "15842.30 Зонт складной Color Action, в кейсе, черный")</f>
      </c>
      <c r="C20950" s="4" t="n">
        <v>1800.00</v>
      </c>
      <c r="D20950" s="4"/>
    </row>
    <row collapsed="" customFormat="false" customHeight="1" hidden="" ht="14" outlineLevel="0" r="20951">
      <c r="A20951" s="3" t="inlineStr">
        <is>
          <t>20900</t>
        </is>
      </c>
      <c r="B20951" s="4" t="s">
        <f>=HYPERLINK("http://anyluxury.ru/shop/otdykh/plyazhnyy-otdykh/zont-skladnoy-color-action-v-keyse-siniy-1584240/" , "15842.40 Зонт складной Color Action, в кейсе, синий")</f>
      </c>
      <c r="C20951" s="4" t="n">
        <v>1800.00</v>
      </c>
      <c r="D20951" s="4"/>
    </row>
    <row collapsed="" customFormat="false" customHeight="1" hidden="" ht="14" outlineLevel="0" r="20952">
      <c r="A20952" s="3" t="inlineStr">
        <is>
          <t>20901</t>
        </is>
      </c>
      <c r="B20952" s="4" t="s">
        <f>=HYPERLINK("http://anyluxury.ru/shop/otdykh/plyazhnyy-otdykh/skladnoy-zont-color-action-v-keyse-krasniy-1584250/" , "15842.50 Складной зонт Color Action, в кейсе, красный")</f>
      </c>
      <c r="C20952" s="4" t="n">
        <v>1800.00</v>
      </c>
      <c r="D20952" s="4"/>
    </row>
    <row collapsed="" customFormat="false" customHeight="1" hidden="" ht="14" outlineLevel="0" r="20953">
      <c r="A20953" s="3" t="inlineStr">
        <is>
          <t>20902</t>
        </is>
      </c>
      <c r="B20953" s="4" t="s">
        <f>=HYPERLINK("http://anyluxury.ru/shop/otdykh/plyazhnyy-otdykh/zont-skladnoy-sunway-v-sumochke-bezheviy-1584300/" , "15843.00 Зонт складной Sunway в сумочке, бежевый")</f>
      </c>
      <c r="C20953" s="4" t="n">
        <v>2124.00</v>
      </c>
      <c r="D20953" s="4"/>
    </row>
    <row collapsed="" customFormat="false" customHeight="" hidden="" ht="12.1" outlineLevel="0" r="20954">
      <c r="A20954" s="5" t="inlineStr">
        <is>
          <t> -  - Подарки для дачи</t>
        </is>
      </c>
      <c r="B20954" s="6"/>
      <c r="C20954" s="6"/>
      <c r="D20954" s="6"/>
    </row>
    <row collapsed="" customFormat="false" customHeight="1" hidden="" ht="14" outlineLevel="0" r="20955">
      <c r="A20955" s="3" t="inlineStr">
        <is>
          <t>20903</t>
        </is>
      </c>
      <c r="B20955" s="4" t="s">
        <f>=HYPERLINK("http://anyluxury.ru/shop/otdykh/podarki-dlya-dachi/lampa-portativnaya-lumin-chernaya-1038330/" , "10383.30 Лампа портативная Lumin, черная")</f>
      </c>
      <c r="C20955" s="4" t="n">
        <v>410.00</v>
      </c>
      <c r="D20955" s="4"/>
    </row>
    <row collapsed="" customFormat="false" customHeight="1" hidden="" ht="14" outlineLevel="0" r="20956">
      <c r="A20956" s="3" t="inlineStr">
        <is>
          <t>20904</t>
        </is>
      </c>
      <c r="B20956" s="4" t="s">
        <f>=HYPERLINK("http://anyluxury.ru/shop/otdykh/podarki-dlya-dachi/lampa-portativnaya-lumin-krasnaya-1038350/" , "10383.50 Лампа портативная Lumin, красная")</f>
      </c>
      <c r="C20956" s="4" t="n">
        <v>349.00</v>
      </c>
      <c r="D20956" s="4"/>
    </row>
    <row collapsed="" customFormat="false" customHeight="1" hidden="" ht="14" outlineLevel="0" r="20957">
      <c r="A20957" s="3" t="inlineStr">
        <is>
          <t>20905</t>
        </is>
      </c>
      <c r="B20957" s="4" t="s">
        <f>=HYPERLINK("http://anyluxury.ru/shop/otdykh/podarki-dlya-dachi/lampa-portativnaya-lumin-belaya-1038360/" , "10383.60 Лампа портативная Lumin, белая")</f>
      </c>
      <c r="C20957" s="4" t="n">
        <v>410.00</v>
      </c>
      <c r="D20957" s="4"/>
    </row>
    <row collapsed="" customFormat="false" customHeight="1" hidden="" ht="14" outlineLevel="0" r="20958">
      <c r="A20958" s="3" t="inlineStr">
        <is>
          <t>20906</t>
        </is>
      </c>
      <c r="B20958" s="4" t="s">
        <f>=HYPERLINK("http://anyluxury.ru/shop/otdykh/podarki-dlya-dachi/kormushka-dlya-ptic-bird-feeder-tube-nastennaya-belaya-1222660/" , "12226.60 Кормушка для птиц Bird Feeder Tube, настенная, белая")</f>
      </c>
      <c r="C20958" s="4" t="n">
        <v>4200.00</v>
      </c>
      <c r="D20958" s="4"/>
    </row>
    <row collapsed="" customFormat="false" customHeight="1" hidden="" ht="14" outlineLevel="0" r="20959">
      <c r="A20959" s="3" t="inlineStr">
        <is>
          <t>20907</t>
        </is>
      </c>
      <c r="B20959" s="4" t="s">
        <f>=HYPERLINK("http://anyluxury.ru/shop/otdykh/podarki-dlya-dachi/kormushka-dlya-ptic-window-bird-feeder-prozrachnaya-bolshaya-1222700/" , "12227.00 Кормушка для птиц Window Bird Feeder, прозрачная, большая")</f>
      </c>
      <c r="C20959" s="4" t="n">
        <v>7750.00</v>
      </c>
      <c r="D20959" s="4"/>
    </row>
    <row collapsed="" customFormat="false" customHeight="1" hidden="" ht="14" outlineLevel="0" r="20960">
      <c r="A20960" s="3" t="inlineStr">
        <is>
          <t>20908</t>
        </is>
      </c>
      <c r="B20960" s="4" t="s">
        <f>=HYPERLINK("http://anyluxury.ru/shop/otdykh/podarki-dlya-dachi/kormushka-dlya-ptic-bird-feeder-podvesnaya-prozrachnaya-1222800/" , "12228.00 Кормушка для птиц Bird Feeder, подвесная, прозрачная")</f>
      </c>
      <c r="C20960" s="4" t="n">
        <v>5590.00</v>
      </c>
      <c r="D20960" s="4"/>
    </row>
    <row collapsed="" customFormat="false" customHeight="1" hidden="" ht="14" outlineLevel="0" r="20961">
      <c r="A20961" s="3" t="inlineStr">
        <is>
          <t>20909</t>
        </is>
      </c>
      <c r="B20961" s="4" t="s">
        <f>=HYPERLINK("http://anyluxury.ru/shop/otdykh/podarki-dlya-dachi/kormushka-dlya-ptic-bird-feeder-tube-podvesnaya-chernaya-1222900/" , "12229.00 Кормушка для птиц Bird Feeder Tube, подвесная, черная")</f>
      </c>
      <c r="C20961" s="4" t="n">
        <v>4840.00</v>
      </c>
      <c r="D20961" s="4"/>
    </row>
    <row collapsed="" customFormat="false" customHeight="1" hidden="" ht="14" outlineLevel="0" r="20962">
      <c r="A20962" s="3" t="inlineStr">
        <is>
          <t>20910</t>
        </is>
      </c>
      <c r="B20962" s="4" t="s">
        <f>=HYPERLINK("http://anyluxury.ru/shop/otdykh/podarki-dlya-dachi/nabor-podvesnih-kormushek-dlya-ptic-mini-bird-feeders-1223002/" , "12230.02 Набор подвесных кормушек для птиц Mini Bird Feeders")</f>
      </c>
      <c r="C20962" s="4" t="n">
        <v>4900.00</v>
      </c>
      <c r="D20962" s="4"/>
    </row>
    <row collapsed="" customFormat="false" customHeight="1" hidden="" ht="14" outlineLevel="0" r="20963">
      <c r="A20963" s="3" t="inlineStr">
        <is>
          <t>20911</t>
        </is>
      </c>
      <c r="B20963" s="4" t="s">
        <f>=HYPERLINK("http://anyluxury.ru/shop/otdykh/podarki-dlya-dachi/nabor-podvesnih-kormushek-dlya-ptic-glass-bird-feeders-1223102/" , "12231.02 Набор подвесных кормушек для птиц Glass Bird Feeders")</f>
      </c>
      <c r="C20963" s="4" t="n">
        <v>4400.00</v>
      </c>
      <c r="D20963" s="4"/>
    </row>
    <row collapsed="" customFormat="false" customHeight="1" hidden="" ht="14" outlineLevel="0" r="20964">
      <c r="A20964" s="3" t="inlineStr">
        <is>
          <t>20912</t>
        </is>
      </c>
      <c r="B20964" s="4" t="s">
        <f>=HYPERLINK("http://anyluxury.ru/shop/otdykh/podarki-dlya-dachi/leyka-aquastar-temnoseraya-1223210/" , "12232.10 Лейка AquaStar, темно-серая")</f>
      </c>
      <c r="C20964" s="4" t="n">
        <v>4950.00</v>
      </c>
      <c r="D20964" s="4"/>
    </row>
    <row collapsed="" customFormat="false" customHeight="1" hidden="" ht="14" outlineLevel="0" r="20965">
      <c r="A20965" s="3" t="inlineStr">
        <is>
          <t>20913</t>
        </is>
      </c>
      <c r="B20965" s="4" t="s">
        <f>=HYPERLINK("http://anyluxury.ru/shop/otdykh/podarki-dlya-dachi/leyka-globe-malaya-belaya-1223360/" , "12233.60 Лейка Globe, малая, белая")</f>
      </c>
      <c r="C20965" s="4" t="n">
        <v>4950.00</v>
      </c>
      <c r="D20965" s="4"/>
    </row>
    <row collapsed="" customFormat="false" customHeight="1" hidden="" ht="14" outlineLevel="0" r="20966">
      <c r="A20966" s="3" t="inlineStr">
        <is>
          <t>20914</t>
        </is>
      </c>
      <c r="B20966" s="4" t="s">
        <f>=HYPERLINK("http://anyluxury.ru/shop/otdykh/podarki-dlya-dachi/leyka-globe-malaya-seraya-1223310/" , "12233.10 Лейка Globe, малая, серая")</f>
      </c>
      <c r="C20966" s="4" t="n">
        <v>4280.00</v>
      </c>
      <c r="D20966" s="4"/>
    </row>
    <row collapsed="" customFormat="false" customHeight="1" hidden="" ht="14" outlineLevel="0" r="20967">
      <c r="A20967" s="3" t="inlineStr">
        <is>
          <t>20915</t>
        </is>
      </c>
      <c r="B20967" s="4" t="s">
        <f>=HYPERLINK("http://anyluxury.ru/shop/otdykh/podarki-dlya-dachi/leyka-globe-bolshaya-seraya-1223410/" , "12234.10 Лейка Globe, большая, серая")</f>
      </c>
      <c r="C20967" s="4" t="n">
        <v>7070.00</v>
      </c>
      <c r="D20967" s="4"/>
    </row>
    <row collapsed="" customFormat="false" customHeight="1" hidden="" ht="14" outlineLevel="0" r="20968">
      <c r="A20968" s="3" t="inlineStr">
        <is>
          <t>20916</t>
        </is>
      </c>
      <c r="B20968" s="4" t="s">
        <f>=HYPERLINK("http://anyluxury.ru/shop/otdykh/podarki-dlya-dachi/ochag-fire-globe-cherniy-1223530/" , "12235.30 Очаг Fire Globe, черный")</f>
      </c>
      <c r="C20968" s="4" t="n">
        <v>58190.00</v>
      </c>
      <c r="D20968" s="4"/>
    </row>
    <row collapsed="" customFormat="false" customHeight="1" hidden="" ht="14" outlineLevel="0" r="20969">
      <c r="A20969" s="3" t="inlineStr">
        <is>
          <t>20917</t>
        </is>
      </c>
      <c r="B20969" s="4" t="s">
        <f>=HYPERLINK("http://anyluxury.ru/shop/otdykh/podarki-dlya-dachi/kormushka-dlya-ptic-window-bird-feeder-prozrachnaya-malaya-1173000/" , "11730.00 Кормушка для птиц Window Bird Feeder, прозрачная, малая")</f>
      </c>
      <c r="C20969" s="4" t="n">
        <v>7070.00</v>
      </c>
      <c r="D20969" s="4"/>
    </row>
    <row collapsed="" customFormat="false" customHeight="1" hidden="" ht="14" outlineLevel="0" r="20970">
      <c r="A20970" s="3" t="inlineStr">
        <is>
          <t>20918</t>
        </is>
      </c>
      <c r="B20970" s="4" t="s">
        <f>=HYPERLINK("http://anyluxury.ru/shop/otdykh/podarki-dlya-dachi/poilka-dlya-ptic-bird-drinker-podvesnaya-belaya-1173160/" , "11731.60 Поилка для птиц Bird Drinker, подвесная, белая")</f>
      </c>
      <c r="C20970" s="4" t="n">
        <v>4300.00</v>
      </c>
      <c r="D20970" s="4"/>
    </row>
    <row collapsed="" customFormat="false" customHeight="1" hidden="" ht="14" outlineLevel="0" r="20971">
      <c r="A20971" s="3" t="inlineStr">
        <is>
          <t>20919</t>
        </is>
      </c>
      <c r="B20971" s="4" t="s">
        <f>=HYPERLINK("http://anyluxury.ru/shop/otdykh/podarki-dlya-dachi/nabor-instrumentov-dlya-barbekyu-grill-12676/" , "12676 Набор для барбекю Grill")</f>
      </c>
      <c r="C20971" s="4" t="n">
        <v>1943.00</v>
      </c>
      <c r="D20971" s="4"/>
    </row>
    <row collapsed="" customFormat="false" customHeight="1" hidden="" ht="14" outlineLevel="0" r="20972">
      <c r="A20972" s="3" t="inlineStr">
        <is>
          <t>20920</t>
        </is>
      </c>
      <c r="B20972" s="4" t="s">
        <f>=HYPERLINK("http://anyluxury.ru/shop/otdykh/podarki-dlya-dachi/skvorechnik-birdhouse-v-konverte-15836/" , "15836 Скворечник Birdhouse в конверте")</f>
      </c>
      <c r="C20972" s="4" t="n">
        <v>500.00</v>
      </c>
      <c r="D20972" s="4"/>
    </row>
    <row collapsed="" customFormat="false" customHeight="1" hidden="" ht="14" outlineLevel="0" r="20973">
      <c r="A20973" s="3" t="inlineStr">
        <is>
          <t>20921</t>
        </is>
      </c>
      <c r="B20973" s="4" t="s">
        <f>=HYPERLINK("http://anyluxury.ru/shop/otdykh/podarki-dlya-dachi/antimoskitnaya-lampa-insecto-belaya-1338660/" , "13386.60 Антимоскитная лампа Insecto, белая")</f>
      </c>
      <c r="C20973" s="4" t="n">
        <v>3190.00</v>
      </c>
      <c r="D20973" s="4"/>
    </row>
    <row collapsed="" customFormat="false" customHeight="1" hidden="" ht="14" outlineLevel="0" r="20974">
      <c r="A20974" s="3" t="inlineStr">
        <is>
          <t>20922</t>
        </is>
      </c>
      <c r="B20974" s="4" t="s">
        <f>=HYPERLINK("http://anyluxury.ru/shop/otdykh/podarki-dlya-dachi/opriskivatel-floret-prozrachniy-1398100/" , "13981.00 Опрыскиватель Floret, прозрачный")</f>
      </c>
      <c r="C20974" s="4" t="n">
        <v>370.00</v>
      </c>
      <c r="D20974" s="4"/>
    </row>
    <row collapsed="" customFormat="false" customHeight="1" hidden="" ht="14" outlineLevel="0" r="20975">
      <c r="A20975" s="3" t="inlineStr">
        <is>
          <t>20923</t>
        </is>
      </c>
      <c r="B20975" s="4" t="s">
        <f>=HYPERLINK("http://anyluxury.ru/shop/otdykh/podarki-dlya-dachi/skladnoe-sadovoe-kreslo-adirondak-1431200/" , "14312.00 Складное садовое кресло «Адирондак»")</f>
      </c>
      <c r="C20975" s="4" t="n">
        <v>16000.00</v>
      </c>
      <c r="D20975" s="4"/>
    </row>
    <row collapsed="" customFormat="false" customHeight="1" hidden="" ht="14" outlineLevel="0" r="20976">
      <c r="A20976" s="3" t="inlineStr">
        <is>
          <t>20924</t>
        </is>
      </c>
      <c r="B20976" s="4" t="s">
        <f>=HYPERLINK("http://anyluxury.ru/shop/otdykh/podarki-dlya-dachi/topor-firebird-fsa01-cherniy-s-zheltim-1430038/" , "14300.38 Топор Firebird FSA01, черный с желтым")</f>
      </c>
      <c r="C20976" s="4" t="n">
        <v>5400.00</v>
      </c>
      <c r="D20976" s="4"/>
    </row>
    <row collapsed="" customFormat="false" customHeight="1" hidden="" ht="14" outlineLevel="0" r="20977">
      <c r="A20977" s="3" t="inlineStr">
        <is>
          <t>20925</t>
        </is>
      </c>
      <c r="B20977" s="4" t="s">
        <f>=HYPERLINK("http://anyluxury.ru/shop/otdykh/podarki-dlya-dachi/raskladnoy-stul-foldi-siniy-1438040/" , "14380.40 Раскладной стул Foldi, синий")</f>
      </c>
      <c r="C20977" s="4" t="n">
        <v>1000.00</v>
      </c>
      <c r="D20977" s="4"/>
    </row>
    <row collapsed="" customFormat="false" customHeight="1" hidden="" ht="14" outlineLevel="0" r="20978">
      <c r="A20978" s="3" t="inlineStr">
        <is>
          <t>20926</t>
        </is>
      </c>
      <c r="B20978" s="4" t="s">
        <f>=HYPERLINK("http://anyluxury.ru/shop/otdykh/podarki-dlya-dachi/pech-dlya-tomleniya-magnum-s-1439510/" , "14395.10 Печь для томления Magnum S")</f>
      </c>
      <c r="C20978" s="4" t="n">
        <v>3750.00</v>
      </c>
      <c r="D20978" s="4"/>
    </row>
    <row collapsed="" customFormat="false" customHeight="1" hidden="" ht="14" outlineLevel="0" r="20979">
      <c r="A20979" s="3" t="inlineStr">
        <is>
          <t>20927</t>
        </is>
      </c>
      <c r="B20979" s="4" t="s">
        <f>=HYPERLINK("http://anyluxury.ru/shop/otdykh/podarki-dlya-dachi/kempingovaya-pech-magnum-1439610/" , "14396.10 Кемпинговая печь Magnum")</f>
      </c>
      <c r="C20979" s="4" t="n">
        <v>7000.00</v>
      </c>
      <c r="D20979" s="4"/>
    </row>
    <row collapsed="" customFormat="false" customHeight="1" hidden="" ht="14" outlineLevel="0" r="20980">
      <c r="A20980" s="3" t="inlineStr">
        <is>
          <t>20928</t>
        </is>
      </c>
      <c r="B20980" s="4" t="s">
        <f>=HYPERLINK("http://anyluxury.ru/shop/otdykh/podarki-dlya-dachi/kocherga-kaminnaya-kamelek-chernaya-1778530/" , "17785.30 Кочерга каминная «Камелек», черная")</f>
      </c>
      <c r="C20980" s="4" t="n">
        <v>350.00</v>
      </c>
      <c r="D20980" s="4"/>
    </row>
    <row collapsed="" customFormat="false" customHeight="1" hidden="" ht="14" outlineLevel="0" r="20981">
      <c r="A20981" s="3" t="inlineStr">
        <is>
          <t>20929</t>
        </is>
      </c>
      <c r="B20981" s="4" t="s">
        <f>=HYPERLINK("http://anyluxury.ru/shop/otdykh/podarki-dlya-dachi/kocherga-mangalnaya-hot-coals-chernaya-1778630/" , "17786.30 Кочерга мангальная Hot Coals, черная")</f>
      </c>
      <c r="C20981" s="4" t="n">
        <v>450.00</v>
      </c>
      <c r="D20981" s="4"/>
    </row>
    <row collapsed="" customFormat="false" customHeight="1" hidden="" ht="14" outlineLevel="0" r="20982">
      <c r="A20982" s="3" t="inlineStr">
        <is>
          <t>20930</t>
        </is>
      </c>
      <c r="B20982" s="4" t="s">
        <f>=HYPERLINK("http://anyluxury.ru/shop/otdykh/podarki-dlya-dachi/sovok-kaminniy-kamelek-cherniy-1778730/" , "17787.30 Совок каминный «Камелек», черный")</f>
      </c>
      <c r="C20982" s="4" t="n">
        <v>650.00</v>
      </c>
      <c r="D20982" s="4"/>
    </row>
    <row collapsed="" customFormat="false" customHeight="" hidden="" ht="12.1" outlineLevel="0" r="20983">
      <c r="A20983" s="5" t="inlineStr">
        <is>
          <t> -  - Спортивные товары</t>
        </is>
      </c>
      <c r="B20983" s="6"/>
      <c r="C20983" s="6"/>
      <c r="D20983" s="6"/>
    </row>
    <row collapsed="" customFormat="false" customHeight="1" hidden="" ht="14" outlineLevel="0" r="20984">
      <c r="A20984" s="3" t="inlineStr">
        <is>
          <t>20931</t>
        </is>
      </c>
      <c r="B20984" s="4" t="s">
        <f>=HYPERLINK("http://anyluxury.ru/shop/otdykh/sportivnye-tovary/svetyashchayasya-povyazka-na-ruku-dlya-bega-1/" , "P239.430 Светящаяся повязка на руку для бега")</f>
      </c>
      <c r="C20984" s="4" t="n">
        <v>324.00</v>
      </c>
      <c r="D20984" s="4"/>
    </row>
    <row collapsed="" customFormat="false" customHeight="1" hidden="" ht="14" outlineLevel="0" r="20985">
      <c r="A20985" s="3" t="inlineStr">
        <is>
          <t>20932</t>
        </is>
      </c>
      <c r="B20985" s="4" t="s">
        <f>=HYPERLINK("http://anyluxury.ru/shop/otdykh/sportivnye-tovary/gantel-heracles-0-5-kg-rozovaya/" , "44.56 Гантель Heracles 0,5 кг, розовая")</f>
      </c>
      <c r="C20985" s="4" t="n">
        <v>179.00</v>
      </c>
      <c r="D20985" s="4"/>
    </row>
    <row collapsed="" customFormat="false" customHeight="1" hidden="" ht="14" outlineLevel="0" r="20986">
      <c r="A20986" s="3" t="inlineStr">
        <is>
          <t>20933</t>
        </is>
      </c>
      <c r="B20986" s="4" t="s">
        <f>=HYPERLINK("http://anyluxury.ru/shop/otdykh/sportivnye-tovary/gantel-heracles-1-kg-krasnaya/" , "51.5 Гантель Heracles 1 кг, красная")</f>
      </c>
      <c r="C20986" s="4" t="n">
        <v>229.00</v>
      </c>
      <c r="D20986" s="4"/>
    </row>
    <row collapsed="" customFormat="false" customHeight="1" hidden="" ht="14" outlineLevel="0" r="20987">
      <c r="A20987" s="3" t="inlineStr">
        <is>
          <t>20934</t>
        </is>
      </c>
      <c r="B20987" s="4" t="s">
        <f>=HYPERLINK("http://anyluxury.ru/shop/otdykh/sportivnye-tovary/sportivnaya-poyasnaya-sumka-run-waist-chernaya-s-biryuzovym/" , "10207.34 Спортивная поясная сумка Run Waist, черная с бирюзовым")</f>
      </c>
      <c r="C20987" s="4" t="n">
        <v>1681.00</v>
      </c>
      <c r="D20987" s="4"/>
    </row>
    <row collapsed="" customFormat="false" customHeight="1" hidden="" ht="14" outlineLevel="0" r="20988">
      <c r="A20988" s="3" t="inlineStr">
        <is>
          <t>20935</t>
        </is>
      </c>
      <c r="B20988" s="4" t="s">
        <f>=HYPERLINK("http://anyluxury.ru/shop/otdykh/sportivnye-tovary/sumka-chekhol-dlya-mobilnogo-telefona-run-mobile-hold-cherno-siniy/" , "11369.34 Сумка-чехол для мобильного телефона Run Mobile Hold, черно-синий")</f>
      </c>
      <c r="C20988" s="4" t="n">
        <v>1692.00</v>
      </c>
      <c r="D20988" s="4"/>
    </row>
    <row collapsed="" customFormat="false" customHeight="1" hidden="" ht="14" outlineLevel="0" r="20989">
      <c r="A20989" s="3" t="inlineStr">
        <is>
          <t>20936</t>
        </is>
      </c>
      <c r="B20989" s="4" t="s">
        <f>=HYPERLINK("http://anyluxury.ru/shop/otdykh/sportivnye-tovary/napulsniki-tennis-small-belye/" , "10198.6 Напульсники Tennis Small, белые")</f>
      </c>
      <c r="C20989" s="4" t="n">
        <v>990.00</v>
      </c>
      <c r="D20989" s="4"/>
    </row>
    <row collapsed="" customFormat="false" customHeight="1" hidden="" ht="14" outlineLevel="0" r="20990">
      <c r="A20990" s="3" t="inlineStr">
        <is>
          <t>20937</t>
        </is>
      </c>
      <c r="B20990" s="4" t="s">
        <f>=HYPERLINK("http://anyluxury.ru/shop/otdykh/sportivnye-tovary/napulsnik-wristsafe-chernyy/" , "11022.3 Напульсник WristSafe, черный")</f>
      </c>
      <c r="C20990" s="4" t="n">
        <v>148.00</v>
      </c>
      <c r="D20990" s="4"/>
    </row>
    <row collapsed="" customFormat="false" customHeight="1" hidden="" ht="14" outlineLevel="0" r="20991">
      <c r="A20991" s="3" t="inlineStr">
        <is>
          <t>20938</t>
        </is>
      </c>
      <c r="B20991" s="4" t="s">
        <f>=HYPERLINK("http://anyluxury.ru/shop/otdykh/sportivnye-tovary/napulsnik-wristsafe-belyy/" , "11022.6 Напульсник WristSafe, белый")</f>
      </c>
      <c r="C20991" s="4" t="n">
        <v>148.00</v>
      </c>
      <c r="D20991" s="4"/>
    </row>
    <row collapsed="" customFormat="false" customHeight="1" hidden="" ht="14" outlineLevel="0" r="20992">
      <c r="A20992" s="3" t="inlineStr">
        <is>
          <t>20939</t>
        </is>
      </c>
      <c r="B20992" s="4" t="s">
        <f>=HYPERLINK("http://anyluxury.ru/shop/otdykh/sportivnye-tovary/napulsnik-wristsafe-siniy/" , "11022.4 Напульсник WristSafe, синий")</f>
      </c>
      <c r="C20992" s="4" t="n">
        <v>148.00</v>
      </c>
      <c r="D20992" s="4"/>
    </row>
    <row collapsed="" customFormat="false" customHeight="1" hidden="" ht="14" outlineLevel="0" r="20993">
      <c r="A20993" s="3" t="inlineStr">
        <is>
          <t>20940</t>
        </is>
      </c>
      <c r="B20993" s="4" t="s">
        <f>=HYPERLINK("http://anyluxury.ru/shop/otdykh/sportivnye-tovary/skakalka-s-derevyannymi-ruchkami-forrest-jump/" , "7667 Скакалка с деревянными ручками Forrest Jump")</f>
      </c>
      <c r="C20993" s="4" t="n">
        <v>199.00</v>
      </c>
      <c r="D20993" s="4"/>
    </row>
    <row collapsed="" customFormat="false" customHeight="1" hidden="" ht="14" outlineLevel="0" r="20994">
      <c r="A20994" s="3" t="inlineStr">
        <is>
          <t>20941</t>
        </is>
      </c>
      <c r="B20994" s="4" t="s">
        <f>=HYPERLINK("http://anyluxury.ru/shop/otdykh/sportivnye-tovary/para-ganteley-biceps-1-kg-oranzhevogo-tsveta/" , "11417.2 Пара гантелей Biceps 1 кг оранжевого цвета")</f>
      </c>
      <c r="C20994" s="4" t="n">
        <v>749.00</v>
      </c>
      <c r="D20994" s="4"/>
    </row>
    <row collapsed="" customFormat="false" customHeight="1" hidden="" ht="14" outlineLevel="0" r="20995">
      <c r="A20995" s="3" t="inlineStr">
        <is>
          <t>20942</t>
        </is>
      </c>
      <c r="B20995" s="4" t="s">
        <f>=HYPERLINK("http://anyluxury.ru/shop/otdykh/sportivnye-tovary/para-ganteley-biceps-1-5-kg-zelenogo-tsveta/" , "11418.9 Пара гантелей Biceps 1,5 кг зеленого цвета")</f>
      </c>
      <c r="C20995" s="4" t="n">
        <v>949.00</v>
      </c>
      <c r="D20995" s="4"/>
    </row>
    <row collapsed="" customFormat="false" customHeight="1" hidden="" ht="14" outlineLevel="0" r="20996">
      <c r="A20996" s="3" t="inlineStr">
        <is>
          <t>20943</t>
        </is>
      </c>
      <c r="B20996" s="4" t="s">
        <f>=HYPERLINK("http://anyluxury.ru/shop/otdykh/sportivnye-tovary/para-ganteley-biceps-2-kg-sinego-tsveta/" , "11419.4 Пара гантелей Biceps 2 кг синего цвета")</f>
      </c>
      <c r="C20996" s="4" t="n">
        <v>1169.00</v>
      </c>
      <c r="D20996" s="4"/>
    </row>
    <row collapsed="" customFormat="false" customHeight="1" hidden="" ht="14" outlineLevel="0" r="20997">
      <c r="A20997" s="3" t="inlineStr">
        <is>
          <t>20944</t>
        </is>
      </c>
      <c r="B20997" s="4" t="s">
        <f>=HYPERLINK("http://anyluxury.ru/shop/otdykh/sportivnye-tovary/skakalka-jump-fit-chernaya/" , "32.3 Скакалка Jump Fit, черная")</f>
      </c>
      <c r="C20997" s="4" t="n">
        <v>159.00</v>
      </c>
      <c r="D20997" s="4"/>
    </row>
    <row collapsed="" customFormat="false" customHeight="1" hidden="" ht="14" outlineLevel="0" r="20998">
      <c r="A20998" s="3" t="inlineStr">
        <is>
          <t>20945</t>
        </is>
      </c>
      <c r="B20998" s="4" t="s">
        <f>=HYPERLINK("http://anyluxury.ru/shop/otdykh/sportivnye-tovary/skakalka-jump-fit-sinyaya/" , "32.4 Скакалка Jump Fit, синяя")</f>
      </c>
      <c r="C20998" s="4" t="n">
        <v>159.00</v>
      </c>
      <c r="D20998" s="4"/>
    </row>
    <row collapsed="" customFormat="false" customHeight="1" hidden="" ht="14" outlineLevel="0" r="20999">
      <c r="A20999" s="3" t="inlineStr">
        <is>
          <t>20946</t>
        </is>
      </c>
      <c r="B20999" s="4" t="s">
        <f>=HYPERLINK("http://anyluxury.ru/shop/otdykh/sportivnye-tovary/palki-stuchalki-dlya-bolelshchikov-thunder-rolls-sinie/" , "11020.4 Палки-стучалки для болельщиков Thunder Rolls, синие")</f>
      </c>
      <c r="C20999" s="4" t="n">
        <v>39.00</v>
      </c>
      <c r="D20999" s="4"/>
    </row>
    <row collapsed="" customFormat="false" customHeight="1" hidden="" ht="14" outlineLevel="0" r="21000">
      <c r="A21000" s="3" t="inlineStr">
        <is>
          <t>20947</t>
        </is>
      </c>
      <c r="B21000" s="4" t="s">
        <f>=HYPERLINK("http://anyluxury.ru/shop/otdykh/sportivnye-tovary/palki-stuchalki-dlya-bolelshchikov-thunder-rolls-belye/" , "11020.6 Палки-стучалки для болельщиков Thunder Rolls, белые")</f>
      </c>
      <c r="C21000" s="4" t="n">
        <v>39.00</v>
      </c>
      <c r="D21000" s="4"/>
    </row>
    <row collapsed="" customFormat="false" customHeight="1" hidden="" ht="14" outlineLevel="0" r="21001">
      <c r="A21001" s="3" t="inlineStr">
        <is>
          <t>20948</t>
        </is>
      </c>
      <c r="B21001" s="4" t="s">
        <f>=HYPERLINK("http://anyluxury.ru/shop/otdykh/sportivnye-tovary/palki-stuchalki-dlya-bolelshchikov-thunder-rolls-krasnye/" , "11020.5 Палки-стучалки для болельщиков Thunder Rolls, красные")</f>
      </c>
      <c r="C21001" s="4" t="n">
        <v>39.00</v>
      </c>
      <c r="D21001" s="4"/>
    </row>
    <row collapsed="" customFormat="false" customHeight="1" hidden="" ht="14" outlineLevel="0" r="21002">
      <c r="A21002" s="3" t="inlineStr">
        <is>
          <t>20949</t>
        </is>
      </c>
      <c r="B21002" s="4" t="s">
        <f>=HYPERLINK("http://anyluxury.ru/shop/otdykh/sportivnye-tovary/svistok-ready-belyy/" , "11021.6 Свисток Ready, белый")</f>
      </c>
      <c r="C21002" s="4" t="n">
        <v>29.00</v>
      </c>
      <c r="D21002" s="4"/>
    </row>
    <row collapsed="" customFormat="false" customHeight="1" hidden="" ht="14" outlineLevel="0" r="21003">
      <c r="A21003" s="3" t="inlineStr">
        <is>
          <t>20950</t>
        </is>
      </c>
      <c r="B21003" s="4" t="s">
        <f>=HYPERLINK("http://anyluxury.ru/shop/otdykh/sportivnye-tovary/espander-under-pressure-chernyy/" , "11023.3 Эспандер Under Pressure, черный")</f>
      </c>
      <c r="C21003" s="4" t="n">
        <v>157.00</v>
      </c>
      <c r="D21003" s="4"/>
    </row>
    <row collapsed="" customFormat="false" customHeight="1" hidden="" ht="14" outlineLevel="0" r="21004">
      <c r="A21004" s="3" t="inlineStr">
        <is>
          <t>20951</t>
        </is>
      </c>
      <c r="B21004" s="4" t="s">
        <f>=HYPERLINK("http://anyluxury.ru/shop/otdykh/sportivnye-tovary/shapochka-dlya-plavaniya/" , "10210.3 Шапочка для плавания")</f>
      </c>
      <c r="C21004" s="4" t="n">
        <v>1390.00</v>
      </c>
      <c r="D21004" s="4"/>
    </row>
    <row collapsed="" customFormat="false" customHeight="1" hidden="" ht="14" outlineLevel="0" r="21005">
      <c r="A21005" s="3" t="inlineStr">
        <is>
          <t>20952</t>
        </is>
      </c>
      <c r="B21005" s="4" t="s">
        <f>=HYPERLINK("http://anyluxury.ru/shop/otdykh/sportivnye-tovary/letayushchaya-tarelka-frisbi-catch-me-skladnaya-sinyaya/" , "11384.4 Летающая тарелка-фрисби Catch Me, складная, синяя")</f>
      </c>
      <c r="C21005" s="4" t="n">
        <v>49.00</v>
      </c>
      <c r="D21005" s="4"/>
    </row>
    <row collapsed="" customFormat="false" customHeight="1" hidden="" ht="14" outlineLevel="0" r="21006">
      <c r="A21006" s="3" t="inlineStr">
        <is>
          <t>20953</t>
        </is>
      </c>
      <c r="B21006" s="4" t="s">
        <f>=HYPERLINK("http://anyluxury.ru/shop/otdykh/sportivnye-tovary/letayushchaya-tarelka-frisbi-catch-me-skladnaya-krasnaya/" , "11384.5 Летающая тарелка-фрисби Catch Me, складная, красная")</f>
      </c>
      <c r="C21006" s="4" t="n">
        <v>49.00</v>
      </c>
      <c r="D21006" s="4"/>
    </row>
    <row collapsed="" customFormat="false" customHeight="1" hidden="" ht="14" outlineLevel="0" r="21007">
      <c r="A21007" s="3" t="inlineStr">
        <is>
          <t>20954</t>
        </is>
      </c>
      <c r="B21007" s="4" t="s">
        <f>=HYPERLINK("http://anyluxury.ru/shop/otdykh/sportivnye-tovary/nabor-dlya-igry-v-badminton-challenger/" , "11751 Набор для игры в бадминтон Challenger")</f>
      </c>
      <c r="C21007" s="4" t="n">
        <v>485.00</v>
      </c>
      <c r="D21007" s="4"/>
    </row>
    <row collapsed="" customFormat="false" customHeight="1" hidden="" ht="14" outlineLevel="0" r="21008">
      <c r="A21008" s="3" t="inlineStr">
        <is>
          <t>20955</t>
        </is>
      </c>
      <c r="B21008" s="4" t="s">
        <f>=HYPERLINK("http://anyluxury.ru/shop/otdykh/sportivnye-tovary/napulsnik-s-karmanom-defence-chernyy/" , "74140.3 Напульсник с карманом Defence, черный")</f>
      </c>
      <c r="C21008" s="4" t="n">
        <v>129.00</v>
      </c>
      <c r="D21008" s="4"/>
    </row>
    <row collapsed="" customFormat="false" customHeight="1" hidden="" ht="14" outlineLevel="0" r="21009">
      <c r="A21009" s="3" t="inlineStr">
        <is>
          <t>20956</t>
        </is>
      </c>
      <c r="B21009" s="4" t="s">
        <f>=HYPERLINK("http://anyluxury.ru/shop/otdykh/sportivnye-tovary/napulsnik-s-karmanom-defence-siniy/" , "74140.4 Напульсник с карманом Defence, синий")</f>
      </c>
      <c r="C21009" s="4" t="n">
        <v>129.00</v>
      </c>
      <c r="D21009" s="4"/>
    </row>
    <row collapsed="" customFormat="false" customHeight="1" hidden="" ht="14" outlineLevel="0" r="21010">
      <c r="A21010" s="3" t="inlineStr">
        <is>
          <t>20957</t>
        </is>
      </c>
      <c r="B21010" s="4" t="s">
        <f>=HYPERLINK("http://anyluxury.ru/shop/otdykh/sportivnye-tovary/napulsnik-s-karmanom-defence-krasnyy/" , "74140.5 Напульсник с карманом Defence, красный")</f>
      </c>
      <c r="C21010" s="4" t="n">
        <v>129.00</v>
      </c>
      <c r="D21010" s="4"/>
    </row>
    <row collapsed="" customFormat="false" customHeight="1" hidden="" ht="14" outlineLevel="0" r="21011">
      <c r="A21011" s="3" t="inlineStr">
        <is>
          <t>20958</t>
        </is>
      </c>
      <c r="B21011" s="4" t="s">
        <f>=HYPERLINK("http://anyluxury.ru/shop/otdykh/sportivnye-tovary/sumka-dlya-velosipeda-on-the-go-chernaya-s-belym/" , "74146.36 Сумка для велосипеда On the Go, черная с белым")</f>
      </c>
      <c r="C21011" s="4" t="n">
        <v>299.00</v>
      </c>
      <c r="D21011" s="4"/>
    </row>
    <row collapsed="" customFormat="false" customHeight="1" hidden="" ht="14" outlineLevel="0" r="21012">
      <c r="A21012" s="3" t="inlineStr">
        <is>
          <t>20959</t>
        </is>
      </c>
      <c r="B21012" s="4" t="s">
        <f>=HYPERLINK("http://anyluxury.ru/shop/otdykh/sportivnye-tovary/skakalka-jump-fit-zelenaya/" , "32.9 Скакалка Jump Fit, зеленая")</f>
      </c>
      <c r="C21012" s="4" t="n">
        <v>159.00</v>
      </c>
      <c r="D21012" s="4"/>
    </row>
    <row collapsed="" customFormat="false" customHeight="1" hidden="" ht="14" outlineLevel="0" r="21013">
      <c r="A21013" s="3" t="inlineStr">
        <is>
          <t>20960</t>
        </is>
      </c>
      <c r="B21013" s="4" t="s">
        <f>=HYPERLINK("http://anyluxury.ru/shop/otdykh/sportivnye-tovary/sportivnie-besprovodnie-naushniki-p326236/" , "P326.236 Спортивные беспроводные наушники")</f>
      </c>
      <c r="C21013" s="4" t="n">
        <v>1679.00</v>
      </c>
      <c r="D21013" s="4"/>
    </row>
    <row collapsed="" customFormat="false" customHeight="1" hidden="" ht="14" outlineLevel="0" r="21014">
      <c r="A21014" s="3" t="inlineStr">
        <is>
          <t>20961</t>
        </is>
      </c>
      <c r="B21014" s="4" t="s">
        <f>=HYPERLINK("http://anyluxury.ru/shop/otdykh/sportivnye-tovary/elektrosamokat-mi-electric-scooter-cherniy-11833/" , "11833 Электросамокат Mi Electric Scooter, черный")</f>
      </c>
      <c r="C21014" s="4" t="n">
        <v>39490.00</v>
      </c>
      <c r="D21014" s="4"/>
    </row>
    <row collapsed="" customFormat="false" customHeight="1" hidden="" ht="14" outlineLevel="0" r="21015">
      <c r="A21015" s="3" t="inlineStr">
        <is>
          <t>20962</t>
        </is>
      </c>
      <c r="B21015" s="4" t="s">
        <f>=HYPERLINK("http://anyluxury.ru/shop/otdykh/sportivnye-tovary/sportivnaya-poyasnaya-sumka-on-the-run-chernaya-7414730/" , "74147.30 Спортивная поясная сумка On the Run, черная")</f>
      </c>
      <c r="C21015" s="4" t="n">
        <v>331.00</v>
      </c>
      <c r="D21015" s="4"/>
    </row>
    <row collapsed="" customFormat="false" customHeight="1" hidden="" ht="14" outlineLevel="0" r="21016">
      <c r="A21016" s="3" t="inlineStr">
        <is>
          <t>20963</t>
        </is>
      </c>
      <c r="B21016" s="4" t="s">
        <f>=HYPERLINK("http://anyluxury.ru/shop/otdykh/sportivnye-tovary/sportivniy-sheyker-radian-insulated-stainless-glyanceviy-medniy-1118200/" , "11182.00 Спортивный шейкер Radian Insulated Stainless, глянцевый медный")</f>
      </c>
      <c r="C21016" s="4" t="n">
        <v>2790.00</v>
      </c>
      <c r="D21016" s="4"/>
    </row>
    <row collapsed="" customFormat="false" customHeight="1" hidden="" ht="14" outlineLevel="0" r="21017">
      <c r="A21017" s="3" t="inlineStr">
        <is>
          <t>20964</t>
        </is>
      </c>
      <c r="B21017" s="4" t="s">
        <f>=HYPERLINK("http://anyluxury.ru/shop/otdykh/sportivnye-tovary/sportivniy-sheyker-sportmixer-morskoy-goluboy-1118444/" , "11184.44 Спортивный шейкер SportMixer, морской голубой")</f>
      </c>
      <c r="C21017" s="4" t="n">
        <v>1090.00</v>
      </c>
      <c r="D21017" s="4"/>
    </row>
    <row collapsed="" customFormat="false" customHeight="1" hidden="" ht="14" outlineLevel="0" r="21018">
      <c r="A21018" s="3" t="inlineStr">
        <is>
          <t>20965</t>
        </is>
      </c>
      <c r="B21018" s="4" t="s">
        <f>=HYPERLINK("http://anyluxury.ru/shop/otdykh/sportivnye-tovary/sportivniy-sheyker-sportmixer-seriy-grafit-1118410/" , "11184.10 Спортивный шейкер SportMixer, серый графит")</f>
      </c>
      <c r="C21018" s="4" t="n">
        <v>1090.00</v>
      </c>
      <c r="D21018" s="4"/>
    </row>
    <row collapsed="" customFormat="false" customHeight="1" hidden="" ht="14" outlineLevel="0" r="21019">
      <c r="A21019" s="3" t="inlineStr">
        <is>
          <t>20966</t>
        </is>
      </c>
      <c r="B21019" s="4" t="s">
        <f>=HYPERLINK("http://anyluxury.ru/shop/otdykh/sportivnye-tovary/sportivniy-sheyker-sportmixer-stainless-cherniy-1118633/" , "11186.33 Спортивный шейкер SportMixer Stainless, черный")</f>
      </c>
      <c r="C21019" s="4" t="n">
        <v>1350.00</v>
      </c>
      <c r="D21019" s="4"/>
    </row>
    <row collapsed="" customFormat="false" customHeight="1" hidden="" ht="14" outlineLevel="0" r="21020">
      <c r="A21020" s="3" t="inlineStr">
        <is>
          <t>20967</t>
        </is>
      </c>
      <c r="B21020" s="4" t="s">
        <f>=HYPERLINK("http://anyluxury.ru/shop/otdykh/sportivnye-tovary/sportivniy-sheyker-sportmixer-stainless-cherniy-s-biryuzovim-1118634/" , "11186.34 Спортивный шейкер SportMixer Stainless, черный с бирюзовым")</f>
      </c>
      <c r="C21020" s="4" t="n">
        <v>1350.00</v>
      </c>
      <c r="D21020" s="4"/>
    </row>
    <row collapsed="" customFormat="false" customHeight="1" hidden="" ht="14" outlineLevel="0" r="21021">
      <c r="A21021" s="3" t="inlineStr">
        <is>
          <t>20968</t>
        </is>
      </c>
      <c r="B21021" s="4" t="s">
        <f>=HYPERLINK("http://anyluxury.ru/shop/otdykh/sportivnye-tovary/nabor-konteynerov-gostak-goluboy-1137840/" , "11378.40 Набор контейнеров GoStak, голубой")</f>
      </c>
      <c r="C21021" s="4" t="n">
        <v>690.00</v>
      </c>
      <c r="D21021" s="4"/>
    </row>
    <row collapsed="" customFormat="false" customHeight="1" hidden="" ht="14" outlineLevel="0" r="21022">
      <c r="A21022" s="3" t="inlineStr">
        <is>
          <t>20969</t>
        </is>
      </c>
      <c r="B21022" s="4" t="s">
        <f>=HYPERLINK("http://anyluxury.ru/shop/otdykh/sportivnye-tovary/nabor-konteynerov-gostak-cherniy-1137830/" , "11378.30 Набор контейнеров GoStak, черный")</f>
      </c>
      <c r="C21022" s="4" t="n">
        <v>690.00</v>
      </c>
      <c r="D21022" s="4"/>
    </row>
    <row collapsed="" customFormat="false" customHeight="1" hidden="" ht="14" outlineLevel="0" r="21023">
      <c r="A21023" s="3" t="inlineStr">
        <is>
          <t>20970</t>
        </is>
      </c>
      <c r="B21023" s="4" t="s">
        <f>=HYPERLINK("http://anyluxury.ru/shop/otdykh/sportivnye-tovary/nabor-konteynerov-gostak-biryuzoviy-1137834/" , "11378.34 Набор контейнеров GoStak, бирюзовый")</f>
      </c>
      <c r="C21023" s="4" t="n">
        <v>690.00</v>
      </c>
      <c r="D21023" s="4"/>
    </row>
    <row collapsed="" customFormat="false" customHeight="1" hidden="" ht="14" outlineLevel="0" r="21024">
      <c r="A21024" s="3" t="inlineStr">
        <is>
          <t>20971</t>
        </is>
      </c>
      <c r="B21024" s="4" t="s">
        <f>=HYPERLINK("http://anyluxury.ru/shop/otdykh/sportivnye-tovary/nabor-konteynerov-gostak-zeleniy-1137890/" , "11378.90 Набор контейнеров GoStak, зеленый")</f>
      </c>
      <c r="C21024" s="4" t="n">
        <v>690.00</v>
      </c>
      <c r="D21024" s="4"/>
    </row>
    <row collapsed="" customFormat="false" customHeight="1" hidden="" ht="14" outlineLevel="0" r="21025">
      <c r="A21025" s="3" t="inlineStr">
        <is>
          <t>20972</t>
        </is>
      </c>
      <c r="B21025" s="4" t="s">
        <f>=HYPERLINK("http://anyluxury.ru/shop/otdykh/sportivnye-tovary/nabor-konteynerov-gostak-oranzheviy-1137820/" , "11378.20 Набор контейнеров GoStak, оранжевый")</f>
      </c>
      <c r="C21025" s="4" t="n">
        <v>690.00</v>
      </c>
      <c r="D21025" s="4"/>
    </row>
    <row collapsed="" customFormat="false" customHeight="1" hidden="" ht="14" outlineLevel="0" r="21026">
      <c r="A21026" s="3" t="inlineStr">
        <is>
          <t>20973</t>
        </is>
      </c>
      <c r="B21026" s="4" t="s">
        <f>=HYPERLINK("http://anyluxury.ru/shop/otdykh/sportivnye-tovary/nabor-konteynerov-gostak-rozoviy-malinoviy-1137850/" , "11378.50 Набор контейнеров GoStak, розовый (малиновый)")</f>
      </c>
      <c r="C21026" s="4" t="n">
        <v>690.00</v>
      </c>
      <c r="D21026" s="4"/>
    </row>
    <row collapsed="" customFormat="false" customHeight="1" hidden="" ht="14" outlineLevel="0" r="21027">
      <c r="A21027" s="3" t="inlineStr">
        <is>
          <t>20974</t>
        </is>
      </c>
      <c r="B21027" s="4" t="s">
        <f>=HYPERLINK("http://anyluxury.ru/shop/otdykh/sportivnye-tovary/nabor-konteynerov-gostak-fioletoviy-slivoviy-1137877/" , "11378.77 Набор контейнеров GoStak, фиолетовый (сливовый)")</f>
      </c>
      <c r="C21027" s="4" t="n">
        <v>690.00</v>
      </c>
      <c r="D21027" s="4"/>
    </row>
    <row collapsed="" customFormat="false" customHeight="1" hidden="" ht="14" outlineLevel="0" r="21028">
      <c r="A21028" s="3" t="inlineStr">
        <is>
          <t>20975</t>
        </is>
      </c>
      <c r="B21028" s="4" t="s">
        <f>=HYPERLINK("http://anyluxury.ru/shop/otdykh/sportivnye-tovary/nabor-konteynerov-gostak-krasniy-1137855/" , "11378.55 Набор контейнеров GoStak, красный")</f>
      </c>
      <c r="C21028" s="4" t="n">
        <v>690.00</v>
      </c>
      <c r="D21028" s="4"/>
    </row>
    <row collapsed="" customFormat="false" customHeight="1" hidden="" ht="14" outlineLevel="0" r="21029">
      <c r="A21029" s="3" t="inlineStr">
        <is>
          <t>20976</t>
        </is>
      </c>
      <c r="B21029" s="4" t="s">
        <f>=HYPERLINK("http://anyluxury.ru/shop/otdykh/sportivnye-tovary/nabor-konteynerov-gostak-morskoy-goluboy-1137844/" , "11378.44 Набор контейнеров GoStak, морской голубой")</f>
      </c>
      <c r="C21029" s="4" t="n">
        <v>690.00</v>
      </c>
      <c r="D21029" s="4"/>
    </row>
    <row collapsed="" customFormat="false" customHeight="1" hidden="" ht="14" outlineLevel="0" r="21030">
      <c r="A21030" s="3" t="inlineStr">
        <is>
          <t>20977</t>
        </is>
      </c>
      <c r="B21030" s="4" t="s">
        <f>=HYPERLINK("http://anyluxury.ru/shop/otdykh/sportivnye-tovary/nabor-konteynerov-prostak-expansion-pak-beliy-1137860/" , "11378.60 Набор контейнеров GoStak, белый")</f>
      </c>
      <c r="C21030" s="4" t="n">
        <v>690.00</v>
      </c>
      <c r="D21030" s="4"/>
    </row>
    <row collapsed="" customFormat="false" customHeight="1" hidden="" ht="14" outlineLevel="0" r="21031">
      <c r="A21031" s="3" t="inlineStr">
        <is>
          <t>20978</t>
        </is>
      </c>
      <c r="B21031" s="4" t="s">
        <f>=HYPERLINK("http://anyluxury.ru/shop/otdykh/sportivnye-tovary/nabor-konteynerov-prostak-expansion-pak-cherniy-1137930/" , "11379.30 Набор контейнеров ProStak Expansion Pak, черный")</f>
      </c>
      <c r="C21031" s="4" t="n">
        <v>890.00</v>
      </c>
      <c r="D21031" s="4"/>
    </row>
    <row collapsed="" customFormat="false" customHeight="1" hidden="" ht="14" outlineLevel="0" r="21032">
      <c r="A21032" s="3" t="inlineStr">
        <is>
          <t>20979</t>
        </is>
      </c>
      <c r="B21032" s="4" t="s">
        <f>=HYPERLINK("http://anyluxury.ru/shop/otdykh/sportivnye-tovary/nabor-konteynerov-prostak-expansion-pak-biryuzoviy-1137934/" , "11379.34 Набор контейнеров ProStak Expansion Pak, бирюзовый")</f>
      </c>
      <c r="C21032" s="4" t="n">
        <v>890.00</v>
      </c>
      <c r="D21032" s="4"/>
    </row>
    <row collapsed="" customFormat="false" customHeight="1" hidden="" ht="14" outlineLevel="0" r="21033">
      <c r="A21033" s="3" t="inlineStr">
        <is>
          <t>20980</t>
        </is>
      </c>
      <c r="B21033" s="4" t="s">
        <f>=HYPERLINK("http://anyluxury.ru/shop/otdykh/sportivnye-tovary/nabor-konteynerov-prostak-expansion-pak-temnosiniy-1137940/" , "11379.40 Набор контейнеров ProStak Expansion Pak, темно-синий")</f>
      </c>
      <c r="C21033" s="4" t="n">
        <v>890.00</v>
      </c>
      <c r="D21033" s="4"/>
    </row>
    <row collapsed="" customFormat="false" customHeight="1" hidden="" ht="14" outlineLevel="0" r="21034">
      <c r="A21034" s="3" t="inlineStr">
        <is>
          <t>20981</t>
        </is>
      </c>
      <c r="B21034" s="4" t="s">
        <f>=HYPERLINK("http://anyluxury.ru/shop/otdykh/sportivnye-tovary/nabor-konteynerov-prostak-expansion-pak-seriy-grafit-1137910/" , "11379.10 Набор контейнеров ProStak Expansion Pak, серый графит")</f>
      </c>
      <c r="C21034" s="4" t="n">
        <v>890.00</v>
      </c>
      <c r="D21034" s="4"/>
    </row>
    <row collapsed="" customFormat="false" customHeight="1" hidden="" ht="14" outlineLevel="0" r="21035">
      <c r="A21035" s="3" t="inlineStr">
        <is>
          <t>20982</t>
        </is>
      </c>
      <c r="B21035" s="4" t="s">
        <f>=HYPERLINK("http://anyluxury.ru/shop/otdykh/sportivnye-tovary/nabor-konteynerov-prostak-expansion-pak-rozoviy-malinoviy-1137950/" , "11379.50 Набор контейнеров ProStak Expansion Pak, розовый (малиновый)")</f>
      </c>
      <c r="C21035" s="4" t="n">
        <v>890.00</v>
      </c>
      <c r="D21035" s="4"/>
    </row>
    <row collapsed="" customFormat="false" customHeight="1" hidden="" ht="14" outlineLevel="0" r="21036">
      <c r="A21036" s="3" t="inlineStr">
        <is>
          <t>20983</t>
        </is>
      </c>
      <c r="B21036" s="4" t="s">
        <f>=HYPERLINK("http://anyluxury.ru/shop/otdykh/sportivnye-tovary/nabor-konteynerov-prostak-expansion-pak-fioletoviy-slivoviy-1137977/" , "11379.77 Набор контейнеров ProStak Expansion Pak, фиолетовый (сливовый)")</f>
      </c>
      <c r="C21036" s="4" t="n">
        <v>890.00</v>
      </c>
      <c r="D21036" s="4"/>
    </row>
    <row collapsed="" customFormat="false" customHeight="1" hidden="" ht="14" outlineLevel="0" r="21037">
      <c r="A21037" s="3" t="inlineStr">
        <is>
          <t>20984</t>
        </is>
      </c>
      <c r="B21037" s="4" t="s">
        <f>=HYPERLINK("http://anyluxury.ru/shop/otdykh/sportivnye-tovary/nabor-konteynerov-prostak-expansion-pak-morskoy-goluboy-1137944/" , "11379.44 Набор контейнеров ProStak Expansion Pak, морской голубой")</f>
      </c>
      <c r="C21037" s="4" t="n">
        <v>890.00</v>
      </c>
      <c r="D21037" s="4"/>
    </row>
    <row collapsed="" customFormat="false" customHeight="1" hidden="" ht="14" outlineLevel="0" r="21038">
      <c r="A21038" s="3" t="inlineStr">
        <is>
          <t>20985</t>
        </is>
      </c>
      <c r="B21038" s="4" t="s">
        <f>=HYPERLINK("http://anyluxury.ru/shop/otdykh/sportivnye-tovary/sportivniy-sheyker-pro24-full-color-izumrudniy-zeleniy-1154190/" , "11541.90 Спортивный шейкер Pro24 Full Color, изумрудный зеленый")</f>
      </c>
      <c r="C21038" s="4" t="n">
        <v>1490.00</v>
      </c>
      <c r="D21038" s="4"/>
    </row>
    <row collapsed="" customFormat="false" customHeight="1" hidden="" ht="14" outlineLevel="0" r="21039">
      <c r="A21039" s="3" t="inlineStr">
        <is>
          <t>20986</t>
        </is>
      </c>
      <c r="B21039" s="4" t="s">
        <f>=HYPERLINK("http://anyluxury.ru/shop/otdykh/sportivnye-tovary/sportivniy-sheyker-pro24-full-color-seriy-grafit-1154110/" , "11541.10 Спортивный шейкер Pro24 Full Color, серый графит")</f>
      </c>
      <c r="C21039" s="4" t="n">
        <v>1490.00</v>
      </c>
      <c r="D21039" s="4"/>
    </row>
    <row collapsed="" customFormat="false" customHeight="1" hidden="" ht="14" outlineLevel="0" r="21040">
      <c r="A21040" s="3" t="inlineStr">
        <is>
          <t>20987</t>
        </is>
      </c>
      <c r="B21040" s="4" t="s">
        <f>=HYPERLINK("http://anyluxury.ru/shop/otdykh/sportivnye-tovary/sportivniy-sheyker-pro24-full-color-fioletoviy-slivoviy-1154177/" , "11541.77 Спортивный шейкер Pro24 Full Color, фиолетовый (сливовый)")</f>
      </c>
      <c r="C21040" s="4" t="n">
        <v>1490.00</v>
      </c>
      <c r="D21040" s="4"/>
    </row>
    <row collapsed="" customFormat="false" customHeight="1" hidden="" ht="14" outlineLevel="0" r="21041">
      <c r="A21041" s="3" t="inlineStr">
        <is>
          <t>20988</t>
        </is>
      </c>
      <c r="B21041" s="4" t="s">
        <f>=HYPERLINK("http://anyluxury.ru/shop/otdykh/sportivnye-tovary/sportivniy-sheyker-pro28-full-color-cherniy-1154230/" , "11542.30 Спортивный шейкер Pro28 Full Color, черный")</f>
      </c>
      <c r="C21041" s="4" t="n">
        <v>1490.00</v>
      </c>
      <c r="D21041" s="4"/>
    </row>
    <row collapsed="" customFormat="false" customHeight="1" hidden="" ht="14" outlineLevel="0" r="21042">
      <c r="A21042" s="3" t="inlineStr">
        <is>
          <t>20989</t>
        </is>
      </c>
      <c r="B21042" s="4" t="s">
        <f>=HYPERLINK("http://anyluxury.ru/shop/otdykh/sportivnye-tovary/sportivniy-sheyker-pro28-full-color-izumrudniy-zeleniy-1154290/" , "11542.90 Спортивный шейкер Pro28 Full Color, изумрудный зеленый")</f>
      </c>
      <c r="C21042" s="4" t="n">
        <v>1490.00</v>
      </c>
      <c r="D21042" s="4"/>
    </row>
    <row collapsed="" customFormat="false" customHeight="1" hidden="" ht="14" outlineLevel="0" r="21043">
      <c r="A21043" s="3" t="inlineStr">
        <is>
          <t>20990</t>
        </is>
      </c>
      <c r="B21043" s="4" t="s">
        <f>=HYPERLINK("http://anyluxury.ru/shop/otdykh/sportivnye-tovary/sportivniy-sheyker-pro28-full-color-seriy-grafit-1154210/" , "11542.10 Спортивный шейкер Pro28 Full Color, серый графит")</f>
      </c>
      <c r="C21043" s="4" t="n">
        <v>1490.00</v>
      </c>
      <c r="D21043" s="4"/>
    </row>
    <row collapsed="" customFormat="false" customHeight="1" hidden="" ht="14" outlineLevel="0" r="21044">
      <c r="A21044" s="3" t="inlineStr">
        <is>
          <t>20991</t>
        </is>
      </c>
      <c r="B21044" s="4" t="s">
        <f>=HYPERLINK("http://anyluxury.ru/shop/otdykh/sportivnye-tovary/sportivniy-sheyker-pro28-full-color-siniy-ultramarin-1154240/" , "11542.40 Спортивный шейкер Pro28 Full Color, синий (ультрамарин)")</f>
      </c>
      <c r="C21044" s="4" t="n">
        <v>1490.00</v>
      </c>
      <c r="D21044" s="4"/>
    </row>
    <row collapsed="" customFormat="false" customHeight="1" hidden="" ht="14" outlineLevel="0" r="21045">
      <c r="A21045" s="3" t="inlineStr">
        <is>
          <t>20992</t>
        </is>
      </c>
      <c r="B21045" s="4" t="s">
        <f>=HYPERLINK("http://anyluxury.ru/shop/otdykh/sportivnye-tovary/sportivniy-sheyker-sportmixer-twist-cap-cherniy-1154330/" , "11543.30 Спортивный шейкер SportMixer Twist Cap, черный")</f>
      </c>
      <c r="C21045" s="4" t="n">
        <v>1650.00</v>
      </c>
      <c r="D21045" s="4"/>
    </row>
    <row collapsed="" customFormat="false" customHeight="1" hidden="" ht="14" outlineLevel="0" r="21046">
      <c r="A21046" s="3" t="inlineStr">
        <is>
          <t>20993</t>
        </is>
      </c>
      <c r="B21046" s="4" t="s">
        <f>=HYPERLINK("http://anyluxury.ru/shop/otdykh/sportivnye-tovary/sportivniy-sheyker-sportmixer-twist-cap-beliy-1154360/" , "11543.60 Спортивный шейкер SportMixer Twist Cap, белый")</f>
      </c>
      <c r="C21046" s="4" t="n">
        <v>1650.00</v>
      </c>
      <c r="D21046" s="4"/>
    </row>
    <row collapsed="" customFormat="false" customHeight="1" hidden="" ht="14" outlineLevel="0" r="21047">
      <c r="A21047" s="3" t="inlineStr">
        <is>
          <t>20994</t>
        </is>
      </c>
      <c r="B21047" s="4" t="s">
        <f>=HYPERLINK("http://anyluxury.ru/shop/otdykh/sportivnye-tovary/elektrosamokat-mi-electric-scooter-pro-cherniy-1183730/" , "11837.30 Электросамокат Mi Electric Scooter Pro, черный")</f>
      </c>
      <c r="C21047" s="4" t="n">
        <v>55990.00</v>
      </c>
      <c r="D21047" s="4"/>
    </row>
    <row collapsed="" customFormat="false" customHeight="1" hidden="" ht="14" outlineLevel="0" r="21048">
      <c r="A21048" s="3" t="inlineStr">
        <is>
          <t>20995</t>
        </is>
      </c>
      <c r="B21048" s="4" t="s">
        <f>=HYPERLINK("http://anyluxury.ru/shop/otdykh/sportivnye-tovary/fonarikmayachok-bezopasnosti-na-obuv-forrest-run-beliy-1188560/" , "11885.60 Фонарик-маячок безопасности на обувь Forrest Run, белый")</f>
      </c>
      <c r="C21048" s="4" t="n">
        <v>394.00</v>
      </c>
      <c r="D21048" s="4"/>
    </row>
    <row collapsed="" customFormat="false" customHeight="1" hidden="" ht="14" outlineLevel="0" r="21049">
      <c r="A21049" s="3" t="inlineStr">
        <is>
          <t>20996</t>
        </is>
      </c>
      <c r="B21049" s="4" t="s">
        <f>=HYPERLINK("http://anyluxury.ru/shop/otdykh/sportivnye-tovary/sportivniy-sheyker-classic-v2-prozrachniy-s-chernoy-krishkoy-1336400/" , "13364.00 Спортивный шейкер Classic V2, прозрачный с черной крышкой")</f>
      </c>
      <c r="C21049" s="4" t="n">
        <v>1090.00</v>
      </c>
      <c r="D21049" s="4"/>
    </row>
    <row collapsed="" customFormat="false" customHeight="1" hidden="" ht="14" outlineLevel="0" r="21050">
      <c r="A21050" s="3" t="inlineStr">
        <is>
          <t>20997</t>
        </is>
      </c>
      <c r="B21050" s="4" t="s">
        <f>=HYPERLINK("http://anyluxury.ru/shop/otdykh/sportivnye-tovary/sportivniy-sheyker-classic-v2-full-color-cherniy-1336430/" , "13364.30 Спортивный шейкер Classic V2 Full Color, черный")</f>
      </c>
      <c r="C21050" s="4" t="n">
        <v>1090.00</v>
      </c>
      <c r="D21050" s="4"/>
    </row>
    <row collapsed="" customFormat="false" customHeight="1" hidden="" ht="14" outlineLevel="0" r="21051">
      <c r="A21051" s="3" t="inlineStr">
        <is>
          <t>20998</t>
        </is>
      </c>
      <c r="B21051" s="4" t="s">
        <f>=HYPERLINK("http://anyluxury.ru/shop/otdykh/sportivnye-tovary/sportivniy-sheyker-classic-v2-full-color-izumrudniy-zeleniy-1336490/" , "13364.90 Спортивный шейкер Classic V2 Full Color, изумрудный зеленый")</f>
      </c>
      <c r="C21051" s="4" t="n">
        <v>1090.00</v>
      </c>
      <c r="D21051" s="4"/>
    </row>
    <row collapsed="" customFormat="false" customHeight="1" hidden="" ht="14" outlineLevel="0" r="21052">
      <c r="A21052" s="3" t="inlineStr">
        <is>
          <t>20999</t>
        </is>
      </c>
      <c r="B21052" s="4" t="s">
        <f>=HYPERLINK("http://anyluxury.ru/shop/otdykh/sportivnye-tovary/sportivniy-sheyker-classic-v2-full-color-siniy-1336440/" , "13364.40 Спортивный шейкер Classic V2 Full Color, синий")</f>
      </c>
      <c r="C21052" s="4" t="n">
        <v>1090.00</v>
      </c>
      <c r="D21052" s="4"/>
    </row>
    <row collapsed="" customFormat="false" customHeight="1" hidden="" ht="14" outlineLevel="0" r="21053">
      <c r="A21053" s="3" t="inlineStr">
        <is>
          <t>21000</t>
        </is>
      </c>
      <c r="B21053" s="4" t="s">
        <f>=HYPERLINK("http://anyluxury.ru/shop/otdykh/sportivnye-tovary/sportivniy-sheyker-classic-v2-full-color-seriy-grafit-1336410/" , "13364.10 Спортивный шейкер Classic V2 Full Color, серый графит")</f>
      </c>
      <c r="C21053" s="4" t="n">
        <v>1090.00</v>
      </c>
      <c r="D21053" s="4"/>
    </row>
    <row collapsed="" customFormat="false" customHeight="1" hidden="" ht="14" outlineLevel="0" r="21054">
      <c r="A21054" s="3" t="inlineStr">
        <is>
          <t>21001</t>
        </is>
      </c>
      <c r="B21054" s="4" t="s">
        <f>=HYPERLINK("http://anyluxury.ru/shop/otdykh/sportivnye-tovary/sportivniy-sheyker-classic-v2-full-color-fioletoviy-slivoviy-1336477/" , "13364.77 Спортивный шейкер Classic V2 Full Color, фиолетовый (сливовый)")</f>
      </c>
      <c r="C21054" s="4" t="n">
        <v>1090.00</v>
      </c>
      <c r="D21054" s="4"/>
    </row>
    <row collapsed="" customFormat="false" customHeight="1" hidden="" ht="14" outlineLevel="0" r="21055">
      <c r="A21055" s="3" t="inlineStr">
        <is>
          <t>21002</t>
        </is>
      </c>
      <c r="B21055" s="4" t="s">
        <f>=HYPERLINK("http://anyluxury.ru/shop/otdykh/sportivnye-tovary/sportivniy-sheyker-classic-v2-full-color-krasniy-1336450/" , "13364.50 Спортивный шейкер Classic V2 Full Color, красный")</f>
      </c>
      <c r="C21055" s="4" t="n">
        <v>1090.00</v>
      </c>
      <c r="D21055" s="4"/>
    </row>
    <row collapsed="" customFormat="false" customHeight="1" hidden="" ht="14" outlineLevel="0" r="21056">
      <c r="A21056" s="3" t="inlineStr">
        <is>
          <t>21003</t>
        </is>
      </c>
      <c r="B21056" s="4" t="s">
        <f>=HYPERLINK("http://anyluxury.ru/shop/otdykh/sportivnye-tovary/sportivniy-sheyker-classic-v2-full-color-beliy-1336460/" , "13364.60 Спортивный шейкер Classic V2 Full Color, белый")</f>
      </c>
      <c r="C21056" s="4" t="n">
        <v>1090.00</v>
      </c>
      <c r="D21056" s="4"/>
    </row>
    <row collapsed="" customFormat="false" customHeight="1" hidden="" ht="14" outlineLevel="0" r="21057">
      <c r="A21057" s="3" t="inlineStr">
        <is>
          <t>21004</t>
        </is>
      </c>
      <c r="B21057" s="4" t="s">
        <f>=HYPERLINK("http://anyluxury.ru/shop/otdykh/sportivnye-tovary/sportivniy-sheyker-classic-v2-bolshoy-prozrachniy-s-chernoy-krishkoy-1336500/" , "13365.00 Спортивный шейкер Classic V2, большой, прозрачный с черной крышкой")</f>
      </c>
      <c r="C21057" s="4" t="n">
        <v>1090.00</v>
      </c>
      <c r="D21057" s="4"/>
    </row>
    <row collapsed="" customFormat="false" customHeight="1" hidden="" ht="14" outlineLevel="0" r="21058">
      <c r="A21058" s="3" t="inlineStr">
        <is>
          <t>21005</t>
        </is>
      </c>
      <c r="B21058" s="4" t="s">
        <f>=HYPERLINK("http://anyluxury.ru/shop/otdykh/sportivnye-tovary/sportivniy-sheyker-classic-v2-full-color-bolshoy-cherniy-1336530/" , "13365.30 Спортивный шейкер Classic V2 Full Color, большой, черный")</f>
      </c>
      <c r="C21058" s="4" t="n">
        <v>1090.00</v>
      </c>
      <c r="D21058" s="4"/>
    </row>
    <row collapsed="" customFormat="false" customHeight="1" hidden="" ht="14" outlineLevel="0" r="21059">
      <c r="A21059" s="3" t="inlineStr">
        <is>
          <t>21006</t>
        </is>
      </c>
      <c r="B21059" s="4" t="s">
        <f>=HYPERLINK("http://anyluxury.ru/shop/otdykh/sportivnye-tovary/sportivniy-sheyker-classic-v2-full-color-bolshoy-izumrudniy-zeleniy-1336590/" , "13365.90 Спортивный шейкер Classic V2 Full Color, большой, изумрудный зеленый")</f>
      </c>
      <c r="C21059" s="4" t="n">
        <v>1090.00</v>
      </c>
      <c r="D21059" s="4"/>
    </row>
    <row collapsed="" customFormat="false" customHeight="1" hidden="" ht="14" outlineLevel="0" r="21060">
      <c r="A21060" s="3" t="inlineStr">
        <is>
          <t>21007</t>
        </is>
      </c>
      <c r="B21060" s="4" t="s">
        <f>=HYPERLINK("http://anyluxury.ru/shop/otdykh/sportivnye-tovary/sportivniy-sheyker-classic-v2-full-color-bolshoy-siniy-1336540/" , "13365.40 Спортивный шейкер Classic V2 Full Color, большой, синий")</f>
      </c>
      <c r="C21060" s="4" t="n">
        <v>1090.00</v>
      </c>
      <c r="D21060" s="4"/>
    </row>
    <row collapsed="" customFormat="false" customHeight="1" hidden="" ht="14" outlineLevel="0" r="21061">
      <c r="A21061" s="3" t="inlineStr">
        <is>
          <t>21008</t>
        </is>
      </c>
      <c r="B21061" s="4" t="s">
        <f>=HYPERLINK("http://anyluxury.ru/shop/otdykh/sportivnye-tovary/sportivniy-sheyker-classic-v2-full-color-bolshoy-seriy-grafit-1336510/" , "13365.10 Спортивный шейкер Classic V2 Full Color, большой, серый графит")</f>
      </c>
      <c r="C21061" s="4" t="n">
        <v>1090.00</v>
      </c>
      <c r="D21061" s="4"/>
    </row>
    <row collapsed="" customFormat="false" customHeight="1" hidden="" ht="14" outlineLevel="0" r="21062">
      <c r="A21062" s="3" t="inlineStr">
        <is>
          <t>21009</t>
        </is>
      </c>
      <c r="B21062" s="4" t="s">
        <f>=HYPERLINK("http://anyluxury.ru/shop/otdykh/sportivnye-tovary/sportivniy-sheyker-classic-v2-full-color-bolshoy-fioletoviy-slivoviy-1336577/" , "13365.77 Спортивный шейкер Classic V2 Full Color, большой, фиолетовый (сливовый)")</f>
      </c>
      <c r="C21062" s="4" t="n">
        <v>1090.00</v>
      </c>
      <c r="D21062" s="4"/>
    </row>
    <row collapsed="" customFormat="false" customHeight="1" hidden="" ht="14" outlineLevel="0" r="21063">
      <c r="A21063" s="3" t="inlineStr">
        <is>
          <t>21010</t>
        </is>
      </c>
      <c r="B21063" s="4" t="s">
        <f>=HYPERLINK("http://anyluxury.ru/shop/otdykh/sportivnye-tovary/sportivniy-sheyker-classic-v2-full-color-bolshoy-krasniy-1336550/" , "13365.50 Спортивный шейкер Classic V2 Full Color, большой, красный")</f>
      </c>
      <c r="C21063" s="4" t="n">
        <v>1090.00</v>
      </c>
      <c r="D21063" s="4"/>
    </row>
    <row collapsed="" customFormat="false" customHeight="1" hidden="" ht="14" outlineLevel="0" r="21064">
      <c r="A21064" s="3" t="inlineStr">
        <is>
          <t>21011</t>
        </is>
      </c>
      <c r="B21064" s="4" t="s">
        <f>=HYPERLINK("http://anyluxury.ru/shop/otdykh/sportivnye-tovary/sportivniy-sheyker-classic-v2-full-color-bolshoy-beliy-1336560/" , "13365.60 Спортивный шейкер Classic V2 Full Color, большой, белый")</f>
      </c>
      <c r="C21064" s="4" t="n">
        <v>1090.00</v>
      </c>
      <c r="D21064" s="4"/>
    </row>
    <row collapsed="" customFormat="false" customHeight="1" hidden="" ht="14" outlineLevel="0" r="21065">
      <c r="A21065" s="3" t="inlineStr">
        <is>
          <t>21012</t>
        </is>
      </c>
      <c r="B21065" s="4" t="s">
        <f>=HYPERLINK("http://anyluxury.ru/shop/otdykh/sportivnye-tovary/blok-dlya-yogi-cork-block-20360/" , "20360 Блок для йоги Cork Block")</f>
      </c>
      <c r="C21065" s="4" t="n">
        <v>1123.00</v>
      </c>
      <c r="D21065" s="4"/>
    </row>
    <row collapsed="" customFormat="false" customHeight="1" hidden="" ht="14" outlineLevel="0" r="21066">
      <c r="A21066" s="3" t="inlineStr">
        <is>
          <t>21013</t>
        </is>
      </c>
      <c r="B21066" s="4" t="s">
        <f>=HYPERLINK("http://anyluxury.ru/shop/otdykh/sportivnye-tovary/disk-zdorovya-healthy-fit-20361/" , "20361 Диск здоровья Healthy Fit")</f>
      </c>
      <c r="C21066" s="4" t="n">
        <v>550.00</v>
      </c>
      <c r="D21066" s="4"/>
    </row>
    <row collapsed="" customFormat="false" customHeight="1" hidden="" ht="14" outlineLevel="0" r="21067">
      <c r="A21067" s="3" t="inlineStr">
        <is>
          <t>21014</t>
        </is>
      </c>
      <c r="B21067" s="4" t="s">
        <f>=HYPERLINK("http://anyluxury.ru/shop/otdykh/sportivnye-tovary/kolco-dlya-pilatesa-start-up-sinee-2036240/" , "20362.40 Кольцо для пилатеса Start Up, синее")</f>
      </c>
      <c r="C21067" s="4" t="n">
        <v>819.00</v>
      </c>
      <c r="D21067" s="4"/>
    </row>
    <row collapsed="" customFormat="false" customHeight="1" hidden="" ht="14" outlineLevel="0" r="21068">
      <c r="A21068" s="3" t="inlineStr">
        <is>
          <t>21015</t>
        </is>
      </c>
      <c r="B21068" s="4" t="s">
        <f>=HYPERLINK("http://anyluxury.ru/shop/otdykh/sportivnye-tovary/polusfera-bosu-s-espanderami-zelenaya-2036390/" , "20363.90 Полусфера Bosu с эспандерами, зеленая")</f>
      </c>
      <c r="C21068" s="4" t="n">
        <v>8357.00</v>
      </c>
      <c r="D21068" s="4"/>
    </row>
    <row collapsed="" customFormat="false" customHeight="1" hidden="" ht="14" outlineLevel="0" r="21069">
      <c r="A21069" s="3" t="inlineStr">
        <is>
          <t>21016</t>
        </is>
      </c>
      <c r="B21069" s="4" t="s">
        <f>=HYPERLINK("http://anyluxury.ru/shop/otdykh/sportivnye-tovary/rolik-dlya-pressa-super-press-zeleniy-2036490/" , "20364.90 Ролик для пресса Super Press, зеленый")</f>
      </c>
      <c r="C21069" s="4" t="n">
        <v>790.00</v>
      </c>
      <c r="D21069" s="4"/>
    </row>
    <row collapsed="" customFormat="false" customHeight="1" hidden="" ht="14" outlineLevel="0" r="21070">
      <c r="A21070" s="3" t="inlineStr">
        <is>
          <t>21017</t>
        </is>
      </c>
      <c r="B21070" s="4" t="s">
        <f>=HYPERLINK("http://anyluxury.ru/shop/otdykh/sportivnye-tovary/rolik-massazhniy-roller-coaster-seriy-2036510/" , "20365.10 Ролик массажный Roller Coaster, серый")</f>
      </c>
      <c r="C21070" s="4" t="n">
        <v>1490.00</v>
      </c>
      <c r="D21070" s="4"/>
    </row>
    <row collapsed="" customFormat="false" customHeight="1" hidden="" ht="14" outlineLevel="0" r="21071">
      <c r="A21071" s="3" t="inlineStr">
        <is>
          <t>21018</t>
        </is>
      </c>
      <c r="B21071" s="4" t="s">
        <f>=HYPERLINK("http://anyluxury.ru/shop/otdykh/sportivnye-tovary/komplekt-miniespanderov-true-bands-20366/" , "20366 Комплект мини-эспандеров True Bands")</f>
      </c>
      <c r="C21071" s="4" t="n">
        <v>790.00</v>
      </c>
      <c r="D21071" s="4"/>
    </row>
    <row collapsed="" customFormat="false" customHeight="1" hidden="" ht="14" outlineLevel="0" r="21072">
      <c r="A21072" s="3" t="inlineStr">
        <is>
          <t>21019</t>
        </is>
      </c>
      <c r="B21072" s="4" t="s">
        <f>=HYPERLINK("http://anyluxury.ru/shop/otdykh/sportivnye-tovary/trenazherespander-butterfly-siniy-2036740/" , "20367.40 Тренажер-эспандер Butterfly, синий")</f>
      </c>
      <c r="C21072" s="4" t="n">
        <v>522.00</v>
      </c>
      <c r="D21072" s="4"/>
    </row>
    <row collapsed="" customFormat="false" customHeight="1" hidden="" ht="14" outlineLevel="0" r="21073">
      <c r="A21073" s="3" t="inlineStr">
        <is>
          <t>21020</t>
        </is>
      </c>
      <c r="B21073" s="4" t="s">
        <f>=HYPERLINK("http://anyluxury.ru/shop/otdykh/sportivnye-tovary/espander-power-twister-40-kg-2036801/" , "20368.01 Эспандер Power Twister, 40 кг")</f>
      </c>
      <c r="C21073" s="4" t="n">
        <v>705.00</v>
      </c>
      <c r="D21073" s="4"/>
    </row>
    <row collapsed="" customFormat="false" customHeight="1" hidden="" ht="14" outlineLevel="0" r="21074">
      <c r="A21074" s="3" t="inlineStr">
        <is>
          <t>21021</t>
        </is>
      </c>
      <c r="B21074" s="4" t="s">
        <f>=HYPERLINK("http://anyluxury.ru/shop/otdykh/sportivnye-tovary/espander-kistevoy-power-wrist-siniy-2036940/" , "20369.40 Эспандер кистевой Power Wrist, синий")</f>
      </c>
      <c r="C21074" s="4" t="n">
        <v>622.00</v>
      </c>
      <c r="D21074" s="4"/>
    </row>
    <row collapsed="" customFormat="false" customHeight="1" hidden="" ht="14" outlineLevel="0" r="21075">
      <c r="A21075" s="3" t="inlineStr">
        <is>
          <t>21022</t>
        </is>
      </c>
      <c r="B21075" s="4" t="s">
        <f>=HYPERLINK("http://anyluxury.ru/shop/otdykh/sportivnye-tovary/espander-kistevoy-ring-siniy-2037101/" , "20371.01 Эспандер кистевой Ring, синий")</f>
      </c>
      <c r="C21075" s="4" t="n">
        <v>269.00</v>
      </c>
      <c r="D21075" s="4"/>
    </row>
    <row collapsed="" customFormat="false" customHeight="1" hidden="" ht="14" outlineLevel="0" r="21076">
      <c r="A21076" s="3" t="inlineStr">
        <is>
          <t>21023</t>
        </is>
      </c>
      <c r="B21076" s="4" t="s">
        <f>=HYPERLINK("http://anyluxury.ru/shop/otdykh/sportivnye-tovary/espander-kistevoy-ring-zheltiy-2037103/" , "20371.03 Эспандер кистевой Ring, желтый")</f>
      </c>
      <c r="C21076" s="4" t="n">
        <v>309.00</v>
      </c>
      <c r="D21076" s="4"/>
    </row>
    <row collapsed="" customFormat="false" customHeight="1" hidden="" ht="14" outlineLevel="0" r="21077">
      <c r="A21077" s="3" t="inlineStr">
        <is>
          <t>21024</t>
        </is>
      </c>
      <c r="B21077" s="4" t="s">
        <f>=HYPERLINK("http://anyluxury.ru/shop/otdykh/sportivnye-tovary/espander-kistevoy-ring-oranzheviy-2037104/" , "20371.04 Эспандер кистевой Ring, оранжевый")</f>
      </c>
      <c r="C21077" s="4" t="n">
        <v>309.00</v>
      </c>
      <c r="D21077" s="4"/>
    </row>
    <row collapsed="" customFormat="false" customHeight="1" hidden="" ht="14" outlineLevel="0" r="21078">
      <c r="A21078" s="3" t="inlineStr">
        <is>
          <t>21025</t>
        </is>
      </c>
      <c r="B21078" s="4" t="s">
        <f>=HYPERLINK("http://anyluxury.ru/shop/otdykh/sportivnye-tovary/espander-lentochniy-c-zhestkimi-ruchkami-straight-zeleniy-2037290/" , "20372.90 Эспандер ленточный c жесткими ручками Straight, зеленый")</f>
      </c>
      <c r="C21078" s="4" t="n">
        <v>384.00</v>
      </c>
      <c r="D21078" s="4"/>
    </row>
    <row collapsed="" customFormat="false" customHeight="1" hidden="" ht="14" outlineLevel="0" r="21079">
      <c r="A21079" s="3" t="inlineStr">
        <is>
          <t>21026</t>
        </is>
      </c>
      <c r="B21079" s="4" t="s">
        <f>=HYPERLINK("http://anyluxury.ru/shop/otdykh/sportivnye-tovary/espander-lentochniy-c-zhestkimi-ruchkami-straight-fioletoviy-2037277/" , "20372.77 Эспандер ленточный c жесткими ручками Straight, фиолетовый")</f>
      </c>
      <c r="C21079" s="4" t="n">
        <v>384.00</v>
      </c>
      <c r="D21079" s="4"/>
    </row>
    <row collapsed="" customFormat="false" customHeight="1" hidden="" ht="14" outlineLevel="0" r="21080">
      <c r="A21080" s="3" t="inlineStr">
        <is>
          <t>21027</t>
        </is>
      </c>
      <c r="B21080" s="4" t="s">
        <f>=HYPERLINK("http://anyluxury.ru/shop/otdykh/sportivnye-tovary/espander-mnogofunkcionalniy-optimal-20373/" , "20373 Эспандер многофункциональный Optimal")</f>
      </c>
      <c r="C21080" s="4" t="n">
        <v>532.00</v>
      </c>
      <c r="D21080" s="4"/>
    </row>
    <row collapsed="" customFormat="false" customHeight="1" hidden="" ht="14" outlineLevel="0" r="21081">
      <c r="A21081" s="3" t="inlineStr">
        <is>
          <t>21028</t>
        </is>
      </c>
      <c r="B21081" s="4" t="s">
        <f>=HYPERLINK("http://anyluxury.ru/shop/otdykh/sportivnye-tovary/gantel-atlas-1-kg-zelenaya-salatovaya-1227190/" , "12271.90 Гантель Atlas 1 кг, зеленая (салатовая)")</f>
      </c>
      <c r="C21081" s="4" t="n">
        <v>431.00</v>
      </c>
      <c r="D21081" s="4"/>
    </row>
    <row collapsed="" customFormat="false" customHeight="1" hidden="" ht="14" outlineLevel="0" r="21082">
      <c r="A21082" s="3" t="inlineStr">
        <is>
          <t>21029</t>
        </is>
      </c>
      <c r="B21082" s="4" t="s">
        <f>=HYPERLINK("http://anyluxury.ru/shop/otdykh/sportivnye-tovary/gantel-heracles-15-kg-oranzhevaya-5120/" , "51.20 Гантель Heracles 1,5 кг, оранжевая")</f>
      </c>
      <c r="C21082" s="4" t="n">
        <v>575.00</v>
      </c>
      <c r="D21082" s="4"/>
    </row>
    <row collapsed="" customFormat="false" customHeight="1" hidden="" ht="14" outlineLevel="0" r="21083">
      <c r="A21083" s="3" t="inlineStr">
        <is>
          <t>21030</t>
        </is>
      </c>
      <c r="B21083" s="4" t="s">
        <f>=HYPERLINK("http://anyluxury.ru/shop/otdykh/sportivnye-tovary/gantel-heracles-2-kg-zelenaya-5190/" , "51.90 Гантель Heracles 2 кг, зеленая")</f>
      </c>
      <c r="C21083" s="4" t="n">
        <v>739.00</v>
      </c>
      <c r="D21083" s="4"/>
    </row>
    <row collapsed="" customFormat="false" customHeight="1" hidden="" ht="14" outlineLevel="0" r="21084">
      <c r="A21084" s="3" t="inlineStr">
        <is>
          <t>21031</t>
        </is>
      </c>
      <c r="B21084" s="4" t="s">
        <f>=HYPERLINK("http://anyluxury.ru/shop/otdykh/sportivnye-tovary/gantel-atlas-05-kg-zheltaya-pesochnaya-1227180/" , "12271.80 Гантель Atlas 0,5 кг, желтая (песочная)")</f>
      </c>
      <c r="C21084" s="4" t="n">
        <v>255.00</v>
      </c>
      <c r="D21084" s="4"/>
    </row>
    <row collapsed="" customFormat="false" customHeight="1" hidden="" ht="14" outlineLevel="0" r="21085">
      <c r="A21085" s="3" t="inlineStr">
        <is>
          <t>21032</t>
        </is>
      </c>
      <c r="B21085" s="4" t="s">
        <f>=HYPERLINK("http://anyluxury.ru/shop/otdykh/sportivnye-tovary/gantel-atlas-15-kg-krasnaya-1227150/" , "12271.50 Гантель Atlas 1,5 кг, красная")</f>
      </c>
      <c r="C21085" s="4" t="n">
        <v>632.00</v>
      </c>
      <c r="D21085" s="4"/>
    </row>
    <row collapsed="" customFormat="false" customHeight="1" hidden="" ht="14" outlineLevel="0" r="21086">
      <c r="A21086" s="3" t="inlineStr">
        <is>
          <t>21033</t>
        </is>
      </c>
      <c r="B21086" s="4" t="s">
        <f>=HYPERLINK("http://anyluxury.ru/shop/otdykh/sportivnye-tovary/gantel-atlas-2-kg-oranzhevaya-1227120/" , "12271.20 Гантель Atlas 2 кг, оранжевая")</f>
      </c>
      <c r="C21086" s="4" t="n">
        <v>808.00</v>
      </c>
      <c r="D21086" s="4"/>
    </row>
    <row collapsed="" customFormat="false" customHeight="1" hidden="" ht="14" outlineLevel="0" r="21087">
      <c r="A21087" s="3" t="inlineStr">
        <is>
          <t>21034</t>
        </is>
      </c>
      <c r="B21087" s="4" t="s">
        <f>=HYPERLINK("http://anyluxury.ru/shop/otdykh/sportivnye-tovary/gantel-atlas-25-kg-fioletovaya-1227170/" , "12271.70 Гантель Atlas 2,5 кг, фиолетовая")</f>
      </c>
      <c r="C21087" s="4" t="n">
        <v>974.00</v>
      </c>
      <c r="D21087" s="4"/>
    </row>
    <row collapsed="" customFormat="false" customHeight="1" hidden="" ht="14" outlineLevel="0" r="21088">
      <c r="A21088" s="3" t="inlineStr">
        <is>
          <t>21035</t>
        </is>
      </c>
      <c r="B21088" s="4" t="s">
        <f>=HYPERLINK("http://anyluxury.ru/shop/otdykh/sportivnye-tovary/kovrik-dlya-yogi-ananda-siniy-1223740/" , "12237.40 Коврик для йоги Ananda, синий")</f>
      </c>
      <c r="C21088" s="4" t="n">
        <v>2003.00</v>
      </c>
      <c r="D21088" s="4"/>
    </row>
    <row collapsed="" customFormat="false" customHeight="1" hidden="" ht="14" outlineLevel="0" r="21089">
      <c r="A21089" s="3" t="inlineStr">
        <is>
          <t>21036</t>
        </is>
      </c>
      <c r="B21089" s="4" t="s">
        <f>=HYPERLINK("http://anyluxury.ru/shop/otdykh/sportivnye-tovary/kovrik-dlya-yogi-paranamu-cherniy-1223830/" , "12238.30 Коврик для йоги Paranamu, черный")</f>
      </c>
      <c r="C21089" s="4" t="n">
        <v>2449.00</v>
      </c>
      <c r="D21089" s="4"/>
    </row>
    <row collapsed="" customFormat="false" customHeight="1" hidden="" ht="14" outlineLevel="0" r="21090">
      <c r="A21090" s="3" t="inlineStr">
        <is>
          <t>21037</t>
        </is>
      </c>
      <c r="B21090" s="4" t="s">
        <f>=HYPERLINK("http://anyluxury.ru/shop/otdykh/sportivnye-tovary/kovrik-dlya-yogi-umari-seriy-1223910/" , "12239.10 Коврик для йоги Umari, серый")</f>
      </c>
      <c r="C21090" s="4" t="n">
        <v>2101.00</v>
      </c>
      <c r="D21090" s="4"/>
    </row>
    <row collapsed="" customFormat="false" customHeight="1" hidden="" ht="14" outlineLevel="0" r="21091">
      <c r="A21091" s="3" t="inlineStr">
        <is>
          <t>21038</t>
        </is>
      </c>
      <c r="B21091" s="4" t="s">
        <f>=HYPERLINK("http://anyluxury.ru/shop/otdykh/sportivnye-tovary/sportivnoe-polotence-iz-rpet-s-chehlom-dlya-hraneniya-p453785/" , "P453.785 Спортивное полотенце из RPET с чехлом для хранения")</f>
      </c>
      <c r="C21091" s="4" t="n">
        <v>362.00</v>
      </c>
      <c r="D21091" s="4"/>
    </row>
    <row collapsed="" customFormat="false" customHeight="1" hidden="" ht="14" outlineLevel="0" r="21092">
      <c r="A21092" s="3" t="inlineStr">
        <is>
          <t>21039</t>
        </is>
      </c>
      <c r="B21092" s="4" t="s">
        <f>=HYPERLINK("http://anyluxury.ru/shop/otdykh/sportivnye-tovary/sportivnoe-polotence-iz-rpet-s-chehlom-dlya-hraneniya-p453783/" , "P453.783 Спортивное полотенце из RPET с чехлом для хранения")</f>
      </c>
      <c r="C21092" s="4" t="n">
        <v>362.00</v>
      </c>
      <c r="D21092" s="4"/>
    </row>
    <row collapsed="" customFormat="false" customHeight="1" hidden="" ht="14" outlineLevel="0" r="21093">
      <c r="A21093" s="3" t="inlineStr">
        <is>
          <t>21040</t>
        </is>
      </c>
      <c r="B21093" s="4" t="s">
        <f>=HYPERLINK("http://anyluxury.ru/shop/otdykh/sportivnye-tovary/sportivnoe-polotence-iz-rpet-s-chehlom-dlya-hraneniya-p453781/" , "P453.781 Спортивное полотенце из RPET с чехлом для хранения")</f>
      </c>
      <c r="C21093" s="4" t="n">
        <v>362.00</v>
      </c>
      <c r="D21093" s="4"/>
    </row>
    <row collapsed="" customFormat="false" customHeight="1" hidden="" ht="14" outlineLevel="0" r="21094">
      <c r="A21094" s="3" t="inlineStr">
        <is>
          <t>21041</t>
        </is>
      </c>
      <c r="B21094" s="4" t="s">
        <f>=HYPERLINK("http://anyluxury.ru/shop/otdykh/sportivnye-tovary/samokat-force-siniy-1302440/" , "13024.40 Самокат Force, синий")</f>
      </c>
      <c r="C21094" s="4" t="n">
        <v>4289.00</v>
      </c>
      <c r="D21094" s="4"/>
    </row>
    <row collapsed="" customFormat="false" customHeight="1" hidden="" ht="14" outlineLevel="0" r="21095">
      <c r="A21095" s="3" t="inlineStr">
        <is>
          <t>21042</t>
        </is>
      </c>
      <c r="B21095" s="4" t="s">
        <f>=HYPERLINK("http://anyluxury.ru/shop/otdykh/sportivnye-tovary/samokat-trigger-cherniy-s-golubim-1302534/" , "13025.34 Самокат Trigger, черный с голубым")</f>
      </c>
      <c r="C21095" s="4" t="n">
        <v>9179.00</v>
      </c>
      <c r="D21095" s="4"/>
    </row>
    <row collapsed="" customFormat="false" customHeight="1" hidden="" ht="14" outlineLevel="0" r="21096">
      <c r="A21096" s="3" t="inlineStr">
        <is>
          <t>21043</t>
        </is>
      </c>
      <c r="B21096" s="4" t="s">
        <f>=HYPERLINK("http://anyluxury.ru/shop/otdykh/sportivnye-tovary/samokat-phenom-seriy-1302610/" , "13026.10 Самокат Phenom, серый")</f>
      </c>
      <c r="C21096" s="4" t="n">
        <v>6845.00</v>
      </c>
      <c r="D21096" s="4"/>
    </row>
    <row collapsed="" customFormat="false" customHeight="1" hidden="" ht="14" outlineLevel="0" r="21097">
      <c r="A21097" s="3" t="inlineStr">
        <is>
          <t>21044</t>
        </is>
      </c>
      <c r="B21097" s="4" t="s">
        <f>=HYPERLINK("http://anyluxury.ru/shop/otdykh/sportivnye-tovary/skladnaya-begovaya-dorozhka-walkingpad-chernaya-1605330/" , "16053.30 Складная беговая дорожка WalkingPad, черная")</f>
      </c>
      <c r="C21097" s="4" t="n">
        <v>59940.00</v>
      </c>
      <c r="D21097" s="4"/>
    </row>
    <row collapsed="" customFormat="false" customHeight="1" hidden="" ht="14" outlineLevel="0" r="21098">
      <c r="A21098" s="3" t="inlineStr">
        <is>
          <t>21045</t>
        </is>
      </c>
      <c r="B21098" s="4" t="s">
        <f>=HYPERLINK("http://anyluxury.ru/shop/otdykh/sportivnye-tovary/fitnesrezinka-pastel-nizkaya-nagruzka-fioletovaya-1299101/" , "12991.01 Фитнес-резинка Pastel, низкая нагрузка, фиолетовая")</f>
      </c>
      <c r="C21098" s="4" t="n">
        <v>694.00</v>
      </c>
      <c r="D21098" s="4"/>
    </row>
    <row collapsed="" customFormat="false" customHeight="1" hidden="" ht="14" outlineLevel="0" r="21099">
      <c r="A21099" s="3" t="inlineStr">
        <is>
          <t>21046</t>
        </is>
      </c>
      <c r="B21099" s="4" t="s">
        <f>=HYPERLINK("http://anyluxury.ru/shop/otdykh/sportivnye-tovary/fitnesrezinka-pastel-visokaya-nagruzka-myatnaya-1299102/" , "12991.02 Фитнес-резинка Pastel, высокая нагрузка, мятная")</f>
      </c>
      <c r="C21099" s="4" t="n">
        <v>754.00</v>
      </c>
      <c r="D21099" s="4"/>
    </row>
    <row collapsed="" customFormat="false" customHeight="1" hidden="" ht="14" outlineLevel="0" r="21100">
      <c r="A21100" s="3" t="inlineStr">
        <is>
          <t>21047</t>
        </is>
      </c>
      <c r="B21100" s="4" t="s">
        <f>=HYPERLINK("http://anyluxury.ru/shop/otdykh/sportivnye-tovary/stol-dlya-nastolnogo-tennisa-olympic-s-setkoy-16051/" , "16051 Стол для настольного тенниса Olympic, с сеткой")</f>
      </c>
      <c r="C21100" s="4" t="n">
        <v>21393.00</v>
      </c>
      <c r="D21100" s="4"/>
    </row>
    <row collapsed="" customFormat="false" customHeight="1" hidden="" ht="14" outlineLevel="0" r="21101">
      <c r="A21101" s="3" t="inlineStr">
        <is>
          <t>21048</t>
        </is>
      </c>
      <c r="B21101" s="4" t="s">
        <f>=HYPERLINK("http://anyluxury.ru/shop/otdykh/sportivnye-tovary/espandervosmerka-v-chehle-p320082/" , "P320.082 Эспандер-восьмерка в чехле")</f>
      </c>
      <c r="C21101" s="4" t="n">
        <v>429.00</v>
      </c>
      <c r="D21101" s="4"/>
    </row>
    <row collapsed="" customFormat="false" customHeight="1" hidden="" ht="14" outlineLevel="0" r="21102">
      <c r="A21102" s="3" t="inlineStr">
        <is>
          <t>21049</t>
        </is>
      </c>
      <c r="B21102" s="4" t="s">
        <f>=HYPERLINK("http://anyluxury.ru/shop/otdykh/sportivnye-tovary/bokserskaya-grusha-effort-5kg-chernaya-1705701/" , "17057.01 Боксерская груша Effort, 5кг, черная")</f>
      </c>
      <c r="C21102" s="4" t="n">
        <v>2202.00</v>
      </c>
      <c r="D21102" s="4"/>
    </row>
    <row collapsed="" customFormat="false" customHeight="1" hidden="" ht="14" outlineLevel="0" r="21103">
      <c r="A21103" s="3" t="inlineStr">
        <is>
          <t>21050</t>
        </is>
      </c>
      <c r="B21103" s="4" t="s">
        <f>=HYPERLINK("http://anyluxury.ru/shop/otdykh/sportivnye-tovary/silikonoviy-braslet-valley-seriy-1374510/" , "13745.10 Силиконовый браслет Valley, серый")</f>
      </c>
      <c r="C21103" s="4" t="n">
        <v>22.20</v>
      </c>
      <c r="D21103" s="4"/>
    </row>
    <row collapsed="" customFormat="false" customHeight="1" hidden="" ht="14" outlineLevel="0" r="21104">
      <c r="A21104" s="3" t="inlineStr">
        <is>
          <t>21051</t>
        </is>
      </c>
      <c r="B21104" s="4" t="s">
        <f>=HYPERLINK("http://anyluxury.ru/shop/otdykh/sportivnye-tovary/silikonoviy-braslet-valley-cherniy-1374530/" , "13745.30 Силиконовый браслет Valley, черный")</f>
      </c>
      <c r="C21104" s="4" t="n">
        <v>22.20</v>
      </c>
      <c r="D21104" s="4"/>
    </row>
    <row collapsed="" customFormat="false" customHeight="1" hidden="" ht="14" outlineLevel="0" r="21105">
      <c r="A21105" s="3" t="inlineStr">
        <is>
          <t>21052</t>
        </is>
      </c>
      <c r="B21105" s="4" t="s">
        <f>=HYPERLINK("http://anyluxury.ru/shop/otdykh/sportivnye-tovary/silikonoviy-braslet-valley-zeleniy-1374590/" , "13745.90 Силиконовый браслет Valley, зеленый")</f>
      </c>
      <c r="C21105" s="4" t="n">
        <v>22.20</v>
      </c>
      <c r="D21105" s="4"/>
    </row>
    <row collapsed="" customFormat="false" customHeight="1" hidden="" ht="14" outlineLevel="0" r="21106">
      <c r="A21106" s="3" t="inlineStr">
        <is>
          <t>21053</t>
        </is>
      </c>
      <c r="B21106" s="4" t="s">
        <f>=HYPERLINK("http://anyluxury.ru/shop/otdykh/sportivnye-tovary/nabor-myachey-dlya-golfa-callaway-supersoft-2007660/" , "20076.60 Набор мячей для гольфа Callaway Supersoft")</f>
      </c>
      <c r="C21106" s="4" t="n">
        <v>1199.00</v>
      </c>
      <c r="D21106" s="4"/>
    </row>
    <row collapsed="" customFormat="false" customHeight="1" hidden="" ht="14" outlineLevel="0" r="21107">
      <c r="A21107" s="3" t="inlineStr">
        <is>
          <t>21054</t>
        </is>
      </c>
      <c r="B21107" s="4" t="s">
        <f>=HYPERLINK("http://anyluxury.ru/shop/otdykh/sportivnye-tovary/nabor-myachey-dlya-golfa-callaway-chrome-soft-triple-track-2007860/" , "20078.60 Набор мячей для гольфа Callaway Chrome Soft Triple Track")</f>
      </c>
      <c r="C21107" s="4" t="n">
        <v>2264.00</v>
      </c>
      <c r="D21107" s="4"/>
    </row>
    <row collapsed="" customFormat="false" customHeight="1" hidden="" ht="14" outlineLevel="0" r="21108">
      <c r="A21108" s="3" t="inlineStr">
        <is>
          <t>21055</t>
        </is>
      </c>
      <c r="B21108" s="4" t="s">
        <f>=HYPERLINK("http://anyluxury.ru/shop/otdykh/sportivnye-tovary/nabor-myachey-dlya-golfa-srixon-ultisoft-2007960/" , "20079.60 Набор мячей для гольфа Srixon Ultisoft")</f>
      </c>
      <c r="C21108" s="4" t="n">
        <v>999.00</v>
      </c>
      <c r="D21108" s="4"/>
    </row>
    <row collapsed="" customFormat="false" customHeight="1" hidden="" ht="14" outlineLevel="0" r="21109">
      <c r="A21109" s="3" t="inlineStr">
        <is>
          <t>21056</t>
        </is>
      </c>
      <c r="B21109" s="4" t="s">
        <f>=HYPERLINK("http://anyluxury.ru/shop/otdykh/sportivnye-tovary/nabor-myachey-dlya-golfa-srixon-ad333-pure-white-2008060/" , "20080.60 Набор мячей для гольфа Srixon AD333 Pure White")</f>
      </c>
      <c r="C21109" s="4" t="n">
        <v>1066.00</v>
      </c>
      <c r="D21109" s="4"/>
    </row>
    <row collapsed="" customFormat="false" customHeight="1" hidden="" ht="14" outlineLevel="0" r="21110">
      <c r="A21110" s="3" t="inlineStr">
        <is>
          <t>21057</t>
        </is>
      </c>
      <c r="B21110" s="4" t="s">
        <f>=HYPERLINK("http://anyluxury.ru/shop/otdykh/sportivnye-tovary/nabor-myachey-dlya-golfa-srixon-zstar-xv-2008160/" , "20081.60 Набор мячей для гольфа Srixon Z-Star XV")</f>
      </c>
      <c r="C21110" s="4" t="n">
        <v>1865.00</v>
      </c>
      <c r="D21110" s="4"/>
    </row>
    <row collapsed="" customFormat="false" customHeight="1" hidden="" ht="14" outlineLevel="0" r="21111">
      <c r="A21111" s="3" t="inlineStr">
        <is>
          <t>21058</t>
        </is>
      </c>
      <c r="B21111" s="4" t="s">
        <f>=HYPERLINK("http://anyluxury.ru/shop/otdykh/sportivnye-tovary/skladnoy-kovrik-dlya-zanyatiy-sportom-flatters-siniy-1704140/" , "17041.40 Складной коврик для занятий спортом Flatters, синий")</f>
      </c>
      <c r="C21111" s="4" t="n">
        <v>1607.00</v>
      </c>
      <c r="D21111" s="4"/>
    </row>
    <row collapsed="" customFormat="false" customHeight="1" hidden="" ht="14" outlineLevel="0" r="21112">
      <c r="A21112" s="3" t="inlineStr">
        <is>
          <t>21059</t>
        </is>
      </c>
      <c r="B21112" s="4" t="s">
        <f>=HYPERLINK("http://anyluxury.ru/shop/otdykh/sportivnye-tovary/balansirovochnaya-platforma-s-nasosom-core-18820/" , "18820 Балансировочная платформа с насосом Core")</f>
      </c>
      <c r="C21112" s="4" t="n">
        <v>1273.00</v>
      </c>
      <c r="D21112" s="4"/>
    </row>
    <row collapsed="" customFormat="false" customHeight="1" hidden="" ht="14" outlineLevel="0" r="21113">
      <c r="A21113" s="3" t="inlineStr">
        <is>
          <t>21060</t>
        </is>
      </c>
      <c r="B21113" s="4" t="s">
        <f>=HYPERLINK("http://anyluxury.ru/shop/otdykh/sportivnye-tovary/kovrik-dlya-yogi-umari-seriy-1223910/" , "12239.10 Коврик для йоги Umari, серый")</f>
      </c>
      <c r="C21113" s="4" t="n">
        <v>1756.00</v>
      </c>
      <c r="D21113" s="4"/>
    </row>
    <row collapsed="" customFormat="false" customHeight="1" hidden="" ht="14" outlineLevel="0" r="21114">
      <c r="A21114" s="3" t="inlineStr">
        <is>
          <t>21061</t>
        </is>
      </c>
      <c r="B21114" s="4" t="s">
        <f>=HYPERLINK("http://anyluxury.ru/shop/otdykh/sportivnye-tovary/sumka-dlya-kovrikov-starfit-chernaya-4330130/" , "43301.30 Сумка для ковриков Starfit, черная")</f>
      </c>
      <c r="C21114" s="4" t="n">
        <v>315.00</v>
      </c>
      <c r="D21114" s="4"/>
    </row>
    <row collapsed="" customFormat="false" customHeight="1" hidden="" ht="14" outlineLevel="0" r="21115">
      <c r="A21115" s="3" t="inlineStr">
        <is>
          <t>21062</t>
        </is>
      </c>
      <c r="B21115" s="4" t="s">
        <f>=HYPERLINK("http://anyluxury.ru/shop/otdykh/sportivnye-tovary/kovrik-dlya-yogi-umari-siniy-1223940/" , "12239.40 Коврик для йоги Umari, синий")</f>
      </c>
      <c r="C21115" s="4" t="n">
        <v>1756.00</v>
      </c>
      <c r="D21115" s="4"/>
    </row>
    <row collapsed="" customFormat="false" customHeight="1" hidden="" ht="14" outlineLevel="0" r="21116">
      <c r="A21116" s="3" t="inlineStr">
        <is>
          <t>21063</t>
        </is>
      </c>
      <c r="B21116" s="4" t="s">
        <f>=HYPERLINK("http://anyluxury.ru/shop/otdykh/sportivnye-tovary/kovrik-dlya-yogi-calma-zeleniy-1418590/" , "14185.90 Коврик для йоги Calma, зеленый")</f>
      </c>
      <c r="C21116" s="4" t="n">
        <v>960.00</v>
      </c>
      <c r="D21116" s="4"/>
    </row>
    <row collapsed="" customFormat="false" customHeight="1" hidden="" ht="14" outlineLevel="0" r="21117">
      <c r="A21117" s="3" t="inlineStr">
        <is>
          <t>21064</t>
        </is>
      </c>
      <c r="B21117" s="4" t="s">
        <f>=HYPERLINK("http://anyluxury.ru/shop/otdykh/sportivnye-tovary/kovrik-dlya-yogi-calma-oranzheviy-1418520/" , "14185.20 Коврик для йоги Calma, оранжевый")</f>
      </c>
      <c r="C21117" s="4" t="n">
        <v>960.00</v>
      </c>
      <c r="D21117" s="4"/>
    </row>
    <row collapsed="" customFormat="false" customHeight="1" hidden="" ht="14" outlineLevel="0" r="21118">
      <c r="A21118" s="3" t="inlineStr">
        <is>
          <t>21065</t>
        </is>
      </c>
      <c r="B21118" s="4" t="s">
        <f>=HYPERLINK("http://anyluxury.ru/shop/otdykh/sportivnye-tovary/kovrik-dlya-yogi-i-fitnesa-core-zheltiy-pastel-1418680/" , "14186.80 Коврик для йоги и фитнеса Core, желтый пастель")</f>
      </c>
      <c r="C21118" s="4" t="n">
        <v>1265.00</v>
      </c>
      <c r="D21118" s="4"/>
    </row>
    <row collapsed="" customFormat="false" customHeight="1" hidden="" ht="14" outlineLevel="0" r="21119">
      <c r="A21119" s="3" t="inlineStr">
        <is>
          <t>21066</t>
        </is>
      </c>
      <c r="B21119" s="4" t="s">
        <f>=HYPERLINK("http://anyluxury.ru/shop/otdykh/sportivnye-tovary/kovrik-dlya-yogi-i-fitnesa-core-rozoviy-1418652/" , "14186.52 Коврик для йоги и фитнеса Core, розовый")</f>
      </c>
      <c r="C21119" s="4" t="n">
        <v>1265.00</v>
      </c>
      <c r="D21119" s="4"/>
    </row>
    <row collapsed="" customFormat="false" customHeight="1" hidden="" ht="14" outlineLevel="0" r="21120">
      <c r="A21120" s="3" t="inlineStr">
        <is>
          <t>21067</t>
        </is>
      </c>
      <c r="B21120" s="4" t="s">
        <f>=HYPERLINK("http://anyluxury.ru/shop/otdykh/sportivnye-tovary/sportivnie-besprovodnie-naushniki-urban-vitamin-pacifica-s-zashhitoy-ipx5-iz-pererabotannogo-plastika-r-p329772/" , "P329.772 Спортивные наушники Urban Vitamin Pacifica с защитой IPX5 из переработанного пластика RCS")</f>
      </c>
      <c r="C21120" s="4" t="n">
        <v>7650.00</v>
      </c>
      <c r="D21120" s="4"/>
    </row>
    <row collapsed="" customFormat="false" customHeight="" hidden="" ht="12.1" outlineLevel="0" r="21121">
      <c r="A21121" s="5" t="inlineStr">
        <is>
          <t> -  - Товары для пикника и барбекю</t>
        </is>
      </c>
      <c r="B21121" s="6"/>
      <c r="C21121" s="6"/>
      <c r="D21121" s="6"/>
    </row>
    <row collapsed="" customFormat="false" customHeight="1" hidden="" ht="14" outlineLevel="0" r="21122">
      <c r="A21122" s="3" t="inlineStr">
        <is>
          <t>21068</t>
        </is>
      </c>
      <c r="B21122" s="4" t="s">
        <f>=HYPERLINK("http://anyluxury.ru/shop/otdykh/tovary-dlya-piknika-i-barbekyu/pled-vinga-bilton-130h170-sm-194621/" , "194621 Плед VINGA Bilton, 130х170 см")</f>
      </c>
      <c r="C21122" s="4" t="n">
        <v>2219.00</v>
      </c>
      <c r="D21122" s="4"/>
    </row>
    <row collapsed="" customFormat="false" customHeight="1" hidden="" ht="14" outlineLevel="0" r="21123">
      <c r="A21123" s="3" t="inlineStr">
        <is>
          <t>21069</t>
        </is>
      </c>
      <c r="B21123" s="4" t="s">
        <f>=HYPERLINK("http://anyluxury.ru/shop/otdykh/tovary-dlya-piknika-i-barbekyu/vakuumniy-termos-swiss-peak-s-dvumya-kruzhkami-p433330/" , "P433.330 Вакуумный термос Swiss Peak с двумя кружками")</f>
      </c>
      <c r="C21123" s="4" t="n">
        <v>4084.00</v>
      </c>
      <c r="D21123" s="4"/>
    </row>
    <row collapsed="" customFormat="false" customHeight="1" hidden="" ht="14" outlineLevel="0" r="21124">
      <c r="A21124" s="3" t="inlineStr">
        <is>
          <t>21070</t>
        </is>
      </c>
      <c r="B21124" s="4" t="s">
        <f>=HYPERLINK("http://anyluxury.ru/shop/otdykh/tovary-dlya-piknika-i-barbekyu/vakuumniy-konteyner-dlya-edi-elite-s-vnutrennim-mednim-pokritiem-cherniy-p432981/" , "P432.981 Вакуумный контейнер для еды Elite с внутренним медным покрытием")</f>
      </c>
      <c r="C21124" s="4" t="n">
        <v>3590.00</v>
      </c>
      <c r="D21124" s="4"/>
    </row>
    <row collapsed="" customFormat="false" customHeight="1" hidden="" ht="14" outlineLevel="0" r="21125">
      <c r="A21125" s="3" t="inlineStr">
        <is>
          <t>21071</t>
        </is>
      </c>
      <c r="B21125" s="4" t="s">
        <f>=HYPERLINK("http://anyluxury.ru/shop/otdykh/tovary-dlya-piknika-i-barbekyu/germetichniy-vakuumniy-termos-dlya-puteshestviy-bamboo-450-ml-p433329/" , "P433.329 Герметичный вакуумный термос для путешествий Bamboo, 450 мл")</f>
      </c>
      <c r="C21125" s="4" t="n">
        <v>2666.00</v>
      </c>
      <c r="D21125" s="4"/>
    </row>
    <row collapsed="" customFormat="false" customHeight="1" hidden="" ht="14" outlineLevel="0" r="21126">
      <c r="A21126" s="3" t="inlineStr">
        <is>
          <t>21072</t>
        </is>
      </c>
      <c r="B21126" s="4" t="s">
        <f>=HYPERLINK("http://anyluxury.ru/shop/otdykh/tovary-dlya-piknika-i-barbekyu/fartuk-deluxe-p262925/" , "P262.925 Фартук Deluxe")</f>
      </c>
      <c r="C21126" s="4" t="n">
        <v>1359.00</v>
      </c>
      <c r="D21126" s="4"/>
    </row>
    <row collapsed="" customFormat="false" customHeight="1" hidden="" ht="14" outlineLevel="0" r="21127">
      <c r="A21127" s="3" t="inlineStr">
        <is>
          <t>21073</t>
        </is>
      </c>
      <c r="B21127" s="4" t="s">
        <f>=HYPERLINK("http://anyluxury.ru/shop/otdykh/tovary-dlya-piknika-i-barbekyu/nabor-bbq-dlya-barbekyu-s-pressom-dlya-gamburgerov-i-kistochkoy-p422401/" , "P422.401 Набор BBQ для барбекю с прессом для гамбургеров и кисточкой")</f>
      </c>
      <c r="C21127" s="4" t="n">
        <v>3197.00</v>
      </c>
      <c r="D21127" s="4"/>
    </row>
    <row collapsed="" customFormat="false" customHeight="1" hidden="" ht="14" outlineLevel="0" r="21128">
      <c r="A21128" s="3" t="inlineStr">
        <is>
          <t>21074</t>
        </is>
      </c>
      <c r="B21128" s="4" t="s">
        <f>=HYPERLINK("http://anyluxury.ru/shop/otdykh/tovary-dlya-piknika-i-barbekyu/nabor-dlya-barbekyu-v-alyuminievom-keyse-3-predmeta-p422172/" , "P422.172 Набор для барбекю в алюминиевом кейсе 3 предмета")</f>
      </c>
      <c r="C21128" s="4" t="n">
        <v>3890.00</v>
      </c>
      <c r="D21128" s="4"/>
    </row>
    <row collapsed="" customFormat="false" customHeight="1" hidden="" ht="14" outlineLevel="0" r="21129">
      <c r="A21129" s="3" t="inlineStr">
        <is>
          <t>21075</t>
        </is>
      </c>
      <c r="B21129" s="4" t="s">
        <f>=HYPERLINK("http://anyluxury.ru/shop/otdykh/tovary-dlya-piknika-i-barbekyu/pled-dlya-piknika-cherniy-p459091/" , "P459.091 Плед для пикника")</f>
      </c>
      <c r="C21129" s="4" t="n">
        <v>2481.00</v>
      </c>
      <c r="D21129" s="4"/>
    </row>
    <row collapsed="" customFormat="false" customHeight="1" hidden="" ht="14" outlineLevel="0" r="21130">
      <c r="A21130" s="3" t="inlineStr">
        <is>
          <t>21076</t>
        </is>
      </c>
      <c r="B21130" s="4" t="s">
        <f>=HYPERLINK("http://anyluxury.ru/shop/otdykh/tovary-dlya-piknika-i-barbekyu/pled-dlya-piknika-temnosiniy-p459095/" , "P459.095 Плед для пикника")</f>
      </c>
      <c r="C21130" s="4" t="n">
        <v>2481.00</v>
      </c>
      <c r="D21130" s="4"/>
    </row>
    <row collapsed="" customFormat="false" customHeight="1" hidden="" ht="14" outlineLevel="0" r="21131">
      <c r="A21131" s="3" t="inlineStr">
        <is>
          <t>21077</t>
        </is>
      </c>
      <c r="B21131" s="4" t="s">
        <f>=HYPERLINK("http://anyluxury.ru/shop/otdykh/tovary-dlya-piknika-i-barbekyu/pled-dlya-piknika-siniy-p459099/" , "P459.099 Плед для пикника")</f>
      </c>
      <c r="C21131" s="4" t="n">
        <v>2481.00</v>
      </c>
      <c r="D21131" s="4"/>
    </row>
    <row collapsed="" customFormat="false" customHeight="1" hidden="" ht="14" outlineLevel="0" r="21132">
      <c r="A21132" s="3" t="inlineStr">
        <is>
          <t>21078</t>
        </is>
      </c>
      <c r="B21132" s="4" t="s">
        <f>=HYPERLINK("http://anyluxury.ru/shop/otdykh/tovary-dlya-piknika-i-barbekyu/pled-dlya-piknika-tartan-cherniy-p459610/" , "P459.610 Плед для пикника Tartan")</f>
      </c>
      <c r="C21132" s="4" t="n">
        <v>3559.00</v>
      </c>
      <c r="D21132" s="4"/>
    </row>
    <row collapsed="" customFormat="false" customHeight="1" hidden="" ht="14" outlineLevel="0" r="21133">
      <c r="A21133" s="3" t="inlineStr">
        <is>
          <t>21079</t>
        </is>
      </c>
      <c r="B21133" s="4" t="s">
        <f>=HYPERLINK("http://anyluxury.ru/shop/otdykh/tovary-dlya-piknika-i-barbekyu/shtopor-eon-p911801/" , "P911.801 Штопор Eon")</f>
      </c>
      <c r="C21133" s="4" t="n">
        <v>1416.00</v>
      </c>
      <c r="D21133" s="4"/>
    </row>
    <row collapsed="" customFormat="false" customHeight="1" hidden="" ht="14" outlineLevel="0" r="21134">
      <c r="A21134" s="3" t="inlineStr">
        <is>
          <t>21080</t>
        </is>
      </c>
      <c r="B21134" s="4" t="s">
        <f>=HYPERLINK("http://anyluxury.ru/shop/otdykh/tovary-dlya-piknika-i-barbekyu/nabor-lanchboksov-v-termosumke-takk-mamma-biryuzoviy-450042/" , "4500.42 Набор ланчбоксов в термосумке Takk Mamma, бирюзовый")</f>
      </c>
      <c r="C21134" s="4" t="n">
        <v>3350.00</v>
      </c>
      <c r="D21134" s="4"/>
    </row>
    <row collapsed="" customFormat="false" customHeight="1" hidden="" ht="14" outlineLevel="0" r="21135">
      <c r="A21135" s="3" t="inlineStr">
        <is>
          <t>21081</t>
        </is>
      </c>
      <c r="B21135" s="4" t="s">
        <f>=HYPERLINK("http://anyluxury.ru/shop/otdykh/tovary-dlya-piknika-i-barbekyu/nabor-lanchboksov-v-termosumke-takk-mamma-zeleniy-450094/" , "4500.94 Набор ланчбоксов в термосумке Takk Mamma, зеленый")</f>
      </c>
      <c r="C21135" s="4" t="n">
        <v>2990.00</v>
      </c>
      <c r="D21135" s="4"/>
    </row>
    <row collapsed="" customFormat="false" customHeight="1" hidden="" ht="14" outlineLevel="0" r="21136">
      <c r="A21136" s="3" t="inlineStr">
        <is>
          <t>21082</t>
        </is>
      </c>
      <c r="B21136" s="4" t="s">
        <f>=HYPERLINK("http://anyluxury.ru/shop/otdykh/tovary-dlya-piknika-i-barbekyu/nabor-dlya-barbekyu-wave-ver1-1012301/" , "10123.01 Набор для барбекю Wave, ver.1")</f>
      </c>
      <c r="C21136" s="4" t="n">
        <v>6839.00</v>
      </c>
      <c r="D21136" s="4"/>
    </row>
    <row collapsed="" customFormat="false" customHeight="1" hidden="" ht="14" outlineLevel="0" r="21137">
      <c r="A21137" s="3" t="inlineStr">
        <is>
          <t>21083</t>
        </is>
      </c>
      <c r="B21137" s="4" t="s">
        <f>=HYPERLINK("http://anyluxury.ru/shop/otdykh/tovary-dlya-piknika-i-barbekyu/nabor-handy-termosumka-i-konteyner-bolshoy-goluboy-1029844/" , "10298.44 Набор Handy: термосумка и контейнер, большой, голубой")</f>
      </c>
      <c r="C21137" s="4" t="n">
        <v>4550.00</v>
      </c>
      <c r="D21137" s="4"/>
    </row>
    <row collapsed="" customFormat="false" customHeight="1" hidden="" ht="14" outlineLevel="0" r="21138">
      <c r="A21138" s="3" t="inlineStr">
        <is>
          <t>21084</t>
        </is>
      </c>
      <c r="B21138" s="4" t="s">
        <f>=HYPERLINK("http://anyluxury.ru/shop/otdykh/tovary-dlya-piknika-i-barbekyu/nabor-handy-termosumka-i-konteyner-bolshoy-zheltiy-1029880/" , "10298.80 Набор Handy: термосумка и контейнер, большой, желтый")</f>
      </c>
      <c r="C21138" s="4" t="n">
        <v>4550.00</v>
      </c>
      <c r="D21138" s="4"/>
    </row>
    <row collapsed="" customFormat="false" customHeight="1" hidden="" ht="14" outlineLevel="0" r="21139">
      <c r="A21139" s="3" t="inlineStr">
        <is>
          <t>21085</t>
        </is>
      </c>
      <c r="B21139" s="4" t="s">
        <f>=HYPERLINK("http://anyluxury.ru/shop/otdykh/tovary-dlya-piknika-i-barbekyu/nabor-handy-termosumka-i-konteyner-krugliy-bezheviy-1030111/" , "10301.11 Набор Handy: термосумка и контейнер, круглый, бежевый")</f>
      </c>
      <c r="C21139" s="4" t="n">
        <v>1890.00</v>
      </c>
      <c r="D21139" s="4"/>
    </row>
    <row collapsed="" customFormat="false" customHeight="1" hidden="" ht="14" outlineLevel="0" r="21140">
      <c r="A21140" s="3" t="inlineStr">
        <is>
          <t>21086</t>
        </is>
      </c>
      <c r="B21140" s="4" t="s">
        <f>=HYPERLINK("http://anyluxury.ru/shop/otdykh/tovary-dlya-piknika-i-barbekyu/nabor-handy-termosumka-i-konteyner-krugliy-goluboy-1030144/" , "10301.44 Набор Handy: термосумка и контейнер, круглый, голубой")</f>
      </c>
      <c r="C21140" s="4" t="n">
        <v>1890.00</v>
      </c>
      <c r="D21140" s="4"/>
    </row>
    <row collapsed="" customFormat="false" customHeight="1" hidden="" ht="14" outlineLevel="0" r="21141">
      <c r="A21141" s="3" t="inlineStr">
        <is>
          <t>21087</t>
        </is>
      </c>
      <c r="B21141" s="4" t="s">
        <f>=HYPERLINK("http://anyluxury.ru/shop/otdykh/tovary-dlya-piknika-i-barbekyu/nabor-handy-termosumka-i-konteyner-krugliy-zeleniy-1030190/" , "10301.90 Набор Handy: термосумка и контейнер, круглый, зеленый")</f>
      </c>
      <c r="C21141" s="4" t="n">
        <v>1890.00</v>
      </c>
      <c r="D21141" s="4"/>
    </row>
    <row collapsed="" customFormat="false" customHeight="1" hidden="" ht="14" outlineLevel="0" r="21142">
      <c r="A21142" s="3" t="inlineStr">
        <is>
          <t>21088</t>
        </is>
      </c>
      <c r="B21142" s="4" t="s">
        <f>=HYPERLINK("http://anyluxury.ru/shop/otdykh/tovary-dlya-piknika-i-barbekyu/nabor-handy-termosumka-i-konteyner-krugliy-zheltiy-1030180/" , "10301.80 Набор Handy: термосумка и контейнер, круглый, желтый")</f>
      </c>
      <c r="C21142" s="4" t="n">
        <v>1890.00</v>
      </c>
      <c r="D21142" s="4"/>
    </row>
    <row collapsed="" customFormat="false" customHeight="1" hidden="" ht="14" outlineLevel="0" r="21143">
      <c r="A21143" s="3" t="inlineStr">
        <is>
          <t>21089</t>
        </is>
      </c>
      <c r="B21143" s="4" t="s">
        <f>=HYPERLINK("http://anyluxury.ru/shop/otdykh/tovary-dlya-piknika-i-barbekyu/nabor-stopok-stanley-adventure-zeleniy-1079490/" , "10794.90 Набор стопок Stanley Adventure, зеленый")</f>
      </c>
      <c r="C21143" s="4" t="n">
        <v>2200.00</v>
      </c>
      <c r="D21143" s="4"/>
    </row>
    <row collapsed="" customFormat="false" customHeight="1" hidden="" ht="14" outlineLevel="0" r="21144">
      <c r="A21144" s="3" t="inlineStr">
        <is>
          <t>21090</t>
        </is>
      </c>
      <c r="B21144" s="4" t="s">
        <f>=HYPERLINK("http://anyluxury.ru/shop/otdykh/tovary-dlya-piknika-i-barbekyu/teleskopicheskaya-vilka-dlya-grilya-hayfork-1238630/" , "12386.30 Телескопическая вилка для гриля Hayfork")</f>
      </c>
      <c r="C21144" s="4" t="n">
        <v>300.00</v>
      </c>
      <c r="D21144" s="4"/>
    </row>
    <row collapsed="" customFormat="false" customHeight="1" hidden="" ht="14" outlineLevel="0" r="21145">
      <c r="A21145" s="3" t="inlineStr">
        <is>
          <t>21091</t>
        </is>
      </c>
      <c r="B21145" s="4" t="s">
        <f>=HYPERLINK("http://anyluxury.ru/shop/otdykh/tovary-dlya-piknika-i-barbekyu/shtopor-somele-vino-p911051/" , "P911.051 Штопор сомелье Vino")</f>
      </c>
      <c r="C21145" s="4" t="n">
        <v>300.00</v>
      </c>
      <c r="D21145" s="4"/>
    </row>
    <row collapsed="" customFormat="false" customHeight="1" hidden="" ht="14" outlineLevel="0" r="21146">
      <c r="A21146" s="3" t="inlineStr">
        <is>
          <t>21092</t>
        </is>
      </c>
      <c r="B21146" s="4" t="s">
        <f>=HYPERLINK("http://anyluxury.ru/shop/otdykh/tovary-dlya-piknika-i-barbekyu/fartuk-canvas-p262825/" , "P262.825 Фартук Canvas")</f>
      </c>
      <c r="C21146" s="4" t="n">
        <v>4447.00</v>
      </c>
      <c r="D21146" s="4"/>
    </row>
    <row collapsed="" customFormat="false" customHeight="1" hidden="" ht="14" outlineLevel="0" r="21147">
      <c r="A21147" s="3" t="inlineStr">
        <is>
          <t>21093</t>
        </is>
      </c>
      <c r="B21147" s="4" t="s">
        <f>=HYPERLINK("http://anyluxury.ru/shop/otdykh/tovary-dlya-piknika-i-barbekyu/prihvatka-canvas-p262835/" , "P262.835 Прихватка Canvas")</f>
      </c>
      <c r="C21147" s="4" t="n">
        <v>1772.00</v>
      </c>
      <c r="D21147" s="4"/>
    </row>
    <row collapsed="" customFormat="false" customHeight="1" hidden="" ht="14" outlineLevel="0" r="21148">
      <c r="A21148" s="3" t="inlineStr">
        <is>
          <t>21094</t>
        </is>
      </c>
      <c r="B21148" s="4" t="s">
        <f>=HYPERLINK("http://anyluxury.ru/shop/otdykh/tovary-dlya-piknika-i-barbekyu/prihvatka-canvas-p262832/" , "P262.832 Прихватка Canvas")</f>
      </c>
      <c r="C21148" s="4" t="n">
        <v>1772.00</v>
      </c>
      <c r="D21148" s="4"/>
    </row>
    <row collapsed="" customFormat="false" customHeight="1" hidden="" ht="14" outlineLevel="0" r="21149">
      <c r="A21149" s="3" t="inlineStr">
        <is>
          <t>21095</t>
        </is>
      </c>
      <c r="B21149" s="4" t="s">
        <f>=HYPERLINK("http://anyluxury.ru/shop/otdykh/tovary-dlya-piknika-i-barbekyu/bolshaya-vakuumnaya-butilka-iz-nerzhaveyushhey-stali-15-l-p436991/" , "P436.991 Большая вакуумная бутылка из нержавеющей стали, 1,5 л")</f>
      </c>
      <c r="C21149" s="4" t="n">
        <v>3553.00</v>
      </c>
      <c r="D21149" s="4"/>
    </row>
    <row collapsed="" customFormat="false" customHeight="1" hidden="" ht="14" outlineLevel="0" r="21150">
      <c r="A21150" s="3" t="inlineStr">
        <is>
          <t>21096</t>
        </is>
      </c>
      <c r="B21150" s="4" t="s">
        <f>=HYPERLINK("http://anyluxury.ru/shop/otdykh/tovary-dlya-piknika-i-barbekyu/solncezashhitnie-ochki-wheat-straw-s-bambukovimi-duzhkami-p453921/" , "P453.921 Солнцезащитные очки Wheat straw с бамбуковыми дужками")</f>
      </c>
      <c r="C21150" s="4" t="n">
        <v>800.00</v>
      </c>
      <c r="D21150" s="4"/>
    </row>
    <row collapsed="" customFormat="false" customHeight="1" hidden="" ht="14" outlineLevel="0" r="21151">
      <c r="A21151" s="3" t="inlineStr">
        <is>
          <t>21097</t>
        </is>
      </c>
      <c r="B21151" s="4" t="s">
        <f>=HYPERLINK("http://anyluxury.ru/shop/otdykh/tovary-dlya-piknika-i-barbekyu/solncezashhitnie-ochki-wheat-straw-s-bambukovimi-duzhkami-p453925/" , "P453.925 Солнцезащитные очки Wheat straw с бамбуковыми дужками")</f>
      </c>
      <c r="C21151" s="4" t="n">
        <v>699.00</v>
      </c>
      <c r="D21151" s="4"/>
    </row>
    <row collapsed="" customFormat="false" customHeight="1" hidden="" ht="14" outlineLevel="0" r="21152">
      <c r="A21152" s="3" t="inlineStr">
        <is>
          <t>21098</t>
        </is>
      </c>
      <c r="B21152" s="4" t="s">
        <f>=HYPERLINK("http://anyluxury.ru/shop/otdykh/tovary-dlya-piknika-i-barbekyu/solncezashhitnie-ochki-wheat-straw-s-bambukovimi-duzhkami-p453927/" , "P453.927 Солнцезащитные очки Wheat straw с бамбуковыми дужками")</f>
      </c>
      <c r="C21152" s="4" t="n">
        <v>699.00</v>
      </c>
      <c r="D21152" s="4"/>
    </row>
    <row collapsed="" customFormat="false" customHeight="1" hidden="" ht="14" outlineLevel="0" r="21153">
      <c r="A21153" s="3" t="inlineStr">
        <is>
          <t>21099</t>
        </is>
      </c>
      <c r="B21153" s="4" t="s">
        <f>=HYPERLINK("http://anyluxury.ru/shop/otdykh/tovary-dlya-piknika-i-barbekyu/nabor-junket-siniy-1306640/" , "13066.40 Набор Junket, синий")</f>
      </c>
      <c r="C21153" s="4" t="n">
        <v>3841.00</v>
      </c>
      <c r="D21153" s="4"/>
    </row>
    <row collapsed="" customFormat="false" customHeight="1" hidden="" ht="14" outlineLevel="0" r="21154">
      <c r="A21154" s="3" t="inlineStr">
        <is>
          <t>21100</t>
        </is>
      </c>
      <c r="B21154" s="4" t="s">
        <f>=HYPERLINK("http://anyluxury.ru/shop/otdykh/tovary-dlya-piknika-i-barbekyu/nabor-junket-beliy-1306660/" , "13066.60 Набор Junket, белый")</f>
      </c>
      <c r="C21154" s="4" t="n">
        <v>3841.00</v>
      </c>
      <c r="D21154" s="4"/>
    </row>
    <row collapsed="" customFormat="false" customHeight="1" hidden="" ht="14" outlineLevel="0" r="21155">
      <c r="A21155" s="3" t="inlineStr">
        <is>
          <t>21101</t>
        </is>
      </c>
      <c r="B21155" s="4" t="s">
        <f>=HYPERLINK("http://anyluxury.ru/shop/otdykh/tovary-dlya-piknika-i-barbekyu/nabor-nest-rest-cherniy-1306730/" , "13067.30 Набор Nest Rest, черный")</f>
      </c>
      <c r="C21155" s="4" t="n">
        <v>3214.00</v>
      </c>
      <c r="D21155" s="4"/>
    </row>
    <row collapsed="" customFormat="false" customHeight="1" hidden="" ht="14" outlineLevel="0" r="21156">
      <c r="A21156" s="3" t="inlineStr">
        <is>
          <t>21102</t>
        </is>
      </c>
      <c r="B21156" s="4" t="s">
        <f>=HYPERLINK("http://anyluxury.ru/shop/otdykh/tovary-dlya-piknika-i-barbekyu/nabor-nest-rest-siniy-1306740/" , "13067.40 Набор Nest Rest, синий")</f>
      </c>
      <c r="C21156" s="4" t="n">
        <v>3214.00</v>
      </c>
      <c r="D21156" s="4"/>
    </row>
    <row collapsed="" customFormat="false" customHeight="1" hidden="" ht="14" outlineLevel="0" r="21157">
      <c r="A21157" s="3" t="inlineStr">
        <is>
          <t>21103</t>
        </is>
      </c>
      <c r="B21157" s="4" t="s">
        <f>=HYPERLINK("http://anyluxury.ru/shop/otdykh/tovary-dlya-piknika-i-barbekyu/nabor-nest-rest-krasniy-1306750/" , "13067.50 Набор Nest Rest, красный")</f>
      </c>
      <c r="C21157" s="4" t="n">
        <v>3214.00</v>
      </c>
      <c r="D21157" s="4"/>
    </row>
    <row collapsed="" customFormat="false" customHeight="1" hidden="" ht="14" outlineLevel="0" r="21158">
      <c r="A21158" s="3" t="inlineStr">
        <is>
          <t>21104</t>
        </is>
      </c>
      <c r="B21158" s="4" t="s">
        <f>=HYPERLINK("http://anyluxury.ru/shop/otdykh/tovary-dlya-piknika-i-barbekyu/nabor-lanchboksov-v-termosumke-thermos-djf4003-temnosiniy-13261/" , "13261 Набор ланчбоксов в термосумке Thermos DJF4003, темно-синий")</f>
      </c>
      <c r="C21158" s="4" t="n">
        <v>6499.00</v>
      </c>
      <c r="D21158" s="4"/>
    </row>
    <row collapsed="" customFormat="false" customHeight="1" hidden="" ht="14" outlineLevel="0" r="21159">
      <c r="A21159" s="3" t="inlineStr">
        <is>
          <t>21105</t>
        </is>
      </c>
      <c r="B21159" s="4" t="s">
        <f>=HYPERLINK("http://anyluxury.ru/shop/otdykh/tovary-dlya-piknika-i-barbekyu/solncezashhitnie-ochki-uv-400-p453935/" , "P453.935 Солнцезащитные очки UV 400")</f>
      </c>
      <c r="C21159" s="4" t="n">
        <v>119.00</v>
      </c>
      <c r="D21159" s="4"/>
    </row>
    <row collapsed="" customFormat="false" customHeight="1" hidden="" ht="14" outlineLevel="0" r="21160">
      <c r="A21160" s="3" t="inlineStr">
        <is>
          <t>21106</t>
        </is>
      </c>
      <c r="B21160" s="4" t="s">
        <f>=HYPERLINK("http://anyluxury.ru/shop/otdykh/tovary-dlya-piknika-i-barbekyu/solncezashhitnie-ochki-uv-400-p453931/" , "P453.931 Солнцезащитные очки UV 400")</f>
      </c>
      <c r="C21160" s="4" t="n">
        <v>119.00</v>
      </c>
      <c r="D21160" s="4"/>
    </row>
    <row collapsed="" customFormat="false" customHeight="1" hidden="" ht="14" outlineLevel="0" r="21161">
      <c r="A21161" s="3" t="inlineStr">
        <is>
          <t>21107</t>
        </is>
      </c>
      <c r="B21161" s="4" t="s">
        <f>=HYPERLINK("http://anyluxury.ru/shop/otdykh/tovary-dlya-piknika-i-barbekyu/pled-iz-dvoynogo-flisa-v-kletku-p459053/" , "P459.053 Плед из двойного флиса в клетку")</f>
      </c>
      <c r="C21161" s="4" t="n">
        <v>1999.00</v>
      </c>
      <c r="D21161" s="4"/>
    </row>
    <row collapsed="" customFormat="false" customHeight="1" hidden="" ht="14" outlineLevel="0" r="21162">
      <c r="A21162" s="3" t="inlineStr">
        <is>
          <t>21108</t>
        </is>
      </c>
      <c r="B21162" s="4" t="s">
        <f>=HYPERLINK("http://anyluxury.ru/shop/otdykh/tovary-dlya-piknika-i-barbekyu/otel-dlya-nasekomih-p416819/" , "P416.819 Отель для насекомых")</f>
      </c>
      <c r="C21162" s="4" t="n">
        <v>1416.00</v>
      </c>
      <c r="D21162" s="4"/>
    </row>
    <row collapsed="" customFormat="false" customHeight="1" hidden="" ht="14" outlineLevel="0" r="21163">
      <c r="A21163" s="3" t="inlineStr">
        <is>
          <t>21109</t>
        </is>
      </c>
      <c r="B21163" s="4" t="s">
        <f>=HYPERLINK("http://anyluxury.ru/shop/otdykh/tovary-dlya-piknika-i-barbekyu/vakuumnaya-butilka-iz-nerzhaveyushhey-stali-260-ml-p436961/" , "P436.961 Вакуумная бутылка из нержавеющей стали, 260 мл")</f>
      </c>
      <c r="C21163" s="4" t="n">
        <v>1238.00</v>
      </c>
      <c r="D21163" s="4"/>
    </row>
    <row collapsed="" customFormat="false" customHeight="1" hidden="" ht="14" outlineLevel="0" r="21164">
      <c r="A21164" s="3" t="inlineStr">
        <is>
          <t>21110</t>
        </is>
      </c>
      <c r="B21164" s="4" t="s">
        <f>=HYPERLINK("http://anyluxury.ru/shop/otdykh/tovary-dlya-piknika-i-barbekyu/vakuumnaya-butilka-iz-nerzhaveyushhey-stali-260-ml-p436967/" , "P436.967 Вакуумная бутылка из нержавеющей стали, 260 мл")</f>
      </c>
      <c r="C21164" s="4" t="n">
        <v>1238.00</v>
      </c>
      <c r="D21164" s="4"/>
    </row>
    <row collapsed="" customFormat="false" customHeight="1" hidden="" ht="14" outlineLevel="0" r="21165">
      <c r="A21165" s="3" t="inlineStr">
        <is>
          <t>21111</t>
        </is>
      </c>
      <c r="B21165" s="4" t="s">
        <f>=HYPERLINK("http://anyluxury.ru/shop/otdykh/tovary-dlya-piknika-i-barbekyu/vakuumnaya-butilka-iz-nerzhaveyushhey-stali-260-ml-p436965/" , "P436.965 Вакуумная бутылка из нержавеющей стали, 260 мл")</f>
      </c>
      <c r="C21165" s="4" t="n">
        <v>1238.00</v>
      </c>
      <c r="D21165" s="4"/>
    </row>
    <row collapsed="" customFormat="false" customHeight="1" hidden="" ht="14" outlineLevel="0" r="21166">
      <c r="A21166" s="3" t="inlineStr">
        <is>
          <t>21112</t>
        </is>
      </c>
      <c r="B21166" s="4" t="s">
        <f>=HYPERLINK("http://anyluxury.ru/shop/otdykh/tovary-dlya-piknika-i-barbekyu/vakuumnaya-butilka-iz-nerzhaveyushhey-stali-260-ml-p436962/" , "P436.962 Вакуумная бутылка из нержавеющей стали, 260 мл")</f>
      </c>
      <c r="C21166" s="4" t="n">
        <v>1238.00</v>
      </c>
      <c r="D21166" s="4"/>
    </row>
    <row collapsed="" customFormat="false" customHeight="1" hidden="" ht="14" outlineLevel="0" r="21167">
      <c r="A21167" s="3" t="inlineStr">
        <is>
          <t>21113</t>
        </is>
      </c>
      <c r="B21167" s="4" t="s">
        <f>=HYPERLINK("http://anyluxury.ru/shop/otdykh/tovary-dlya-piknika-i-barbekyu/vakuumnaya-butilka-iz-nerzhaveyushhey-stali-260-ml-p436963/" , "P436.963 Вакуумная бутылка из нержавеющей стали, 260 мл")</f>
      </c>
      <c r="C21167" s="4" t="n">
        <v>1238.00</v>
      </c>
      <c r="D21167" s="4"/>
    </row>
    <row collapsed="" customFormat="false" customHeight="1" hidden="" ht="14" outlineLevel="0" r="21168">
      <c r="A21168" s="3" t="inlineStr">
        <is>
          <t>21114</t>
        </is>
      </c>
      <c r="B21168" s="4" t="s">
        <f>=HYPERLINK("http://anyluxury.ru/shop/otdykh/tovary-dlya-piknika-i-barbekyu/vakuumnaya-butilka-iz-nerzhaveyushhey-stali-750-ml-p436935/" , "P436.935 Вакуумная бутылка из нержавеющей стали, 750 мл")</f>
      </c>
      <c r="C21168" s="4" t="n">
        <v>2491.00</v>
      </c>
      <c r="D21168" s="4"/>
    </row>
    <row collapsed="" customFormat="false" customHeight="1" hidden="" ht="14" outlineLevel="0" r="21169">
      <c r="A21169" s="3" t="inlineStr">
        <is>
          <t>21115</t>
        </is>
      </c>
      <c r="B21169" s="4" t="s">
        <f>=HYPERLINK("http://anyluxury.ru/shop/otdykh/tovary-dlya-piknika-i-barbekyu/germetichnaya-vakuumnaya-butilka-trend-350-ml-p436681/" , "P436.681 Герметичная вакуумная бутылка Trend, 350 мл")</f>
      </c>
      <c r="C21169" s="4" t="n">
        <v>1594.00</v>
      </c>
      <c r="D21169" s="4"/>
    </row>
    <row collapsed="" customFormat="false" customHeight="1" hidden="" ht="14" outlineLevel="0" r="21170">
      <c r="A21170" s="3" t="inlineStr">
        <is>
          <t>21116</t>
        </is>
      </c>
      <c r="B21170" s="4" t="s">
        <f>=HYPERLINK("http://anyluxury.ru/shop/otdykh/tovary-dlya-piknika-i-barbekyu/germetichnaya-vakuumnaya-butilka-trend-350-ml-p436687/" , "P436.687 Герметичная вакуумная бутылка Trend, 350 мл")</f>
      </c>
      <c r="C21170" s="4" t="n">
        <v>1594.00</v>
      </c>
      <c r="D21170" s="4"/>
    </row>
    <row collapsed="" customFormat="false" customHeight="1" hidden="" ht="14" outlineLevel="0" r="21171">
      <c r="A21171" s="3" t="inlineStr">
        <is>
          <t>21117</t>
        </is>
      </c>
      <c r="B21171" s="4" t="s">
        <f>=HYPERLINK("http://anyluxury.ru/shop/otdykh/tovary-dlya-piknika-i-barbekyu/germetichnaya-vakuumnaya-butilka-trend-350-ml-p436685/" , "P436.685 Герметичная вакуумная бутылка Trend, 350 мл")</f>
      </c>
      <c r="C21171" s="4" t="n">
        <v>1594.00</v>
      </c>
      <c r="D21171" s="4"/>
    </row>
    <row collapsed="" customFormat="false" customHeight="1" hidden="" ht="14" outlineLevel="0" r="21172">
      <c r="A21172" s="3" t="inlineStr">
        <is>
          <t>21118</t>
        </is>
      </c>
      <c r="B21172" s="4" t="s">
        <f>=HYPERLINK("http://anyluxury.ru/shop/otdykh/tovary-dlya-piknika-i-barbekyu/germetichnaya-vakuumnaya-butilka-trend-350-ml-p436683/" , "P436.683 Герметичная вакуумная бутылка Trend, 350 мл")</f>
      </c>
      <c r="C21172" s="4" t="n">
        <v>1594.00</v>
      </c>
      <c r="D21172" s="4"/>
    </row>
    <row collapsed="" customFormat="false" customHeight="1" hidden="" ht="14" outlineLevel="0" r="21173">
      <c r="A21173" s="3" t="inlineStr">
        <is>
          <t>21119</t>
        </is>
      </c>
      <c r="B21173" s="4" t="s">
        <f>=HYPERLINK("http://anyluxury.ru/shop/otdykh/tovary-dlya-piknika-i-barbekyu/germetichnaya-vakuumnaya-butilka-trend-350-ml-p436682/" , "P436.682 Герметичная вакуумная бутылка Trend, 350 мл")</f>
      </c>
      <c r="C21173" s="4" t="n">
        <v>1594.00</v>
      </c>
      <c r="D21173" s="4"/>
    </row>
    <row collapsed="" customFormat="false" customHeight="1" hidden="" ht="14" outlineLevel="0" r="21174">
      <c r="A21174" s="3" t="inlineStr">
        <is>
          <t>21120</t>
        </is>
      </c>
      <c r="B21174" s="4" t="s">
        <f>=HYPERLINK("http://anyluxury.ru/shop/otdykh/tovary-dlya-piknika-i-barbekyu/germetichnaya-butilka-iz-tritana-impact-600-ml-p433185/" , "P433.185 Герметичная бутылка из тритана Impact, 600 мл")</f>
      </c>
      <c r="C21174" s="4" t="n">
        <v>1238.00</v>
      </c>
      <c r="D21174" s="4"/>
    </row>
    <row collapsed="" customFormat="false" customHeight="1" hidden="" ht="14" outlineLevel="0" r="21175">
      <c r="A21175" s="3" t="inlineStr">
        <is>
          <t>21121</t>
        </is>
      </c>
      <c r="B21175" s="4" t="s">
        <f>=HYPERLINK("http://anyluxury.ru/shop/otdykh/tovary-dlya-piknika-i-barbekyu/nabor-lunch-cube-krasniy-1323950/" , "13239.50 Набор Lunch Cube, красный")</f>
      </c>
      <c r="C21175" s="4" t="n">
        <v>1252.00</v>
      </c>
      <c r="D21175" s="4"/>
    </row>
    <row collapsed="" customFormat="false" customHeight="1" hidden="" ht="14" outlineLevel="0" r="21176">
      <c r="A21176" s="3" t="inlineStr">
        <is>
          <t>21122</t>
        </is>
      </c>
      <c r="B21176" s="4" t="s">
        <f>=HYPERLINK("http://anyluxury.ru/shop/otdykh/tovary-dlya-piknika-i-barbekyu/nabor-friends-fest-krasniy-1325750/" , "13257.50 Набор Friends Fest, красный")</f>
      </c>
      <c r="C21176" s="4" t="n">
        <v>2346.00</v>
      </c>
      <c r="D21176" s="4"/>
    </row>
    <row collapsed="" customFormat="false" customHeight="1" hidden="" ht="14" outlineLevel="0" r="21177">
      <c r="A21177" s="3" t="inlineStr">
        <is>
          <t>21123</t>
        </is>
      </c>
      <c r="B21177" s="4" t="s">
        <f>=HYPERLINK("http://anyluxury.ru/shop/otdykh/tovary-dlya-piknika-i-barbekyu/nabor-dlya-piknika-face-the-nature-siniy-1325840/" , "13258.40 Набор для пикника Face the Nature, синий")</f>
      </c>
      <c r="C21177" s="4" t="n">
        <v>2637.00</v>
      </c>
      <c r="D21177" s="4"/>
    </row>
    <row collapsed="" customFormat="false" customHeight="1" hidden="" ht="14" outlineLevel="0" r="21178">
      <c r="A21178" s="3" t="inlineStr">
        <is>
          <t>21124</t>
        </is>
      </c>
      <c r="B21178" s="4" t="s">
        <f>=HYPERLINK("http://anyluxury.ru/shop/otdykh/tovary-dlya-piknika-i-barbekyu/nabor-dlya-piknika-face-the-nature-krasniy-1325850/" , "13258.50 Набор для пикника Face the Nature, красный")</f>
      </c>
      <c r="C21178" s="4" t="n">
        <v>2637.00</v>
      </c>
      <c r="D21178" s="4"/>
    </row>
    <row collapsed="" customFormat="false" customHeight="1" hidden="" ht="14" outlineLevel="0" r="21179">
      <c r="A21179" s="3" t="inlineStr">
        <is>
          <t>21125</t>
        </is>
      </c>
      <c r="B21179" s="4" t="s">
        <f>=HYPERLINK("http://anyluxury.ru/shop/otdykh/tovary-dlya-piknika-i-barbekyu/skladnoe-plyazhnoe-kreslo-s-chehlom-p453035/" , "P453.035 Складное пляжное кресло с чехлом")</f>
      </c>
      <c r="C21179" s="4" t="n">
        <v>3750.00</v>
      </c>
      <c r="D21179" s="4"/>
    </row>
    <row collapsed="" customFormat="false" customHeight="1" hidden="" ht="14" outlineLevel="0" r="21180">
      <c r="A21180" s="3" t="inlineStr">
        <is>
          <t>21126</t>
        </is>
      </c>
      <c r="B21180" s="4" t="s">
        <f>=HYPERLINK("http://anyluxury.ru/shop/otdykh/tovary-dlya-piknika-i-barbekyu/fartuk-impact-iz-pererabotannogo-hlopka-aware-180-gm2-p262843/" , "P262.843 Фартук Impact из переработанного хлопка AWARE™, 180 г/м2")</f>
      </c>
      <c r="C21180" s="4" t="n">
        <v>1238.00</v>
      </c>
      <c r="D21180" s="4"/>
    </row>
    <row collapsed="" customFormat="false" customHeight="1" hidden="" ht="14" outlineLevel="0" r="21181">
      <c r="A21181" s="3" t="inlineStr">
        <is>
          <t>21127</t>
        </is>
      </c>
      <c r="B21181" s="4" t="s">
        <f>=HYPERLINK("http://anyluxury.ru/shop/otdykh/tovary-dlya-piknika-i-barbekyu/fartuk-impact-iz-pererabotannogo-hlopka-aware-180-gm2-p262847/" , "P262.847 Фартук Impact из переработанного хлопка AWARE™, 180 г/м2")</f>
      </c>
      <c r="C21181" s="4" t="n">
        <v>1238.00</v>
      </c>
      <c r="D21181" s="4"/>
    </row>
    <row collapsed="" customFormat="false" customHeight="1" hidden="" ht="14" outlineLevel="0" r="21182">
      <c r="A21182" s="3" t="inlineStr">
        <is>
          <t>21128</t>
        </is>
      </c>
      <c r="B21182" s="4" t="s">
        <f>=HYPERLINK("http://anyluxury.ru/shop/otdykh/tovary-dlya-piknika-i-barbekyu/fartuk-impact-iz-pererabotannogo-hlopka-aware-180-gm2-p262849/" , "P262.849 Фартук Impact из переработанного хлопка AWARE™, 180 г/м2")</f>
      </c>
      <c r="C21182" s="4" t="n">
        <v>1238.00</v>
      </c>
      <c r="D21182" s="4"/>
    </row>
    <row collapsed="" customFormat="false" customHeight="1" hidden="" ht="14" outlineLevel="0" r="21183">
      <c r="A21183" s="3" t="inlineStr">
        <is>
          <t>21129</t>
        </is>
      </c>
      <c r="B21183" s="4" t="s">
        <f>=HYPERLINK("http://anyluxury.ru/shop/otdykh/tovary-dlya-piknika-i-barbekyu/fartuk-impact-iz-pererabotannogo-hlopka-aware-180-gm2-p262845/" , "P262.845 Фартук Impact из переработанного хлопка AWARE™, 180 г/м2")</f>
      </c>
      <c r="C21183" s="4" t="n">
        <v>1238.00</v>
      </c>
      <c r="D21183" s="4"/>
    </row>
    <row collapsed="" customFormat="false" customHeight="1" hidden="" ht="14" outlineLevel="0" r="21184">
      <c r="A21184" s="3" t="inlineStr">
        <is>
          <t>21130</t>
        </is>
      </c>
      <c r="B21184" s="4" t="s">
        <f>=HYPERLINK("http://anyluxury.ru/shop/otdykh/tovary-dlya-piknika-i-barbekyu/fartuk-impact-iz-pererabotannogo-hlopka-aware-180-gm2-p262844/" , "P262.844 Фартук Impact из переработанного хлопка AWARE™, 180 г/м2")</f>
      </c>
      <c r="C21184" s="4" t="n">
        <v>1238.00</v>
      </c>
      <c r="D21184" s="4"/>
    </row>
    <row collapsed="" customFormat="false" customHeight="1" hidden="" ht="14" outlineLevel="0" r="21185">
      <c r="A21185" s="3" t="inlineStr">
        <is>
          <t>21131</t>
        </is>
      </c>
      <c r="B21185" s="4" t="s">
        <f>=HYPERLINK("http://anyluxury.ru/shop/otdykh/tovary-dlya-piknika-i-barbekyu/fartuk-impact-iz-pererabotannogo-hlopka-aware-180-gm2-p262841/" , "P262.841 Фартук Impact из переработанного хлопка AWARE™, 180 г/м2")</f>
      </c>
      <c r="C21185" s="4" t="n">
        <v>1238.00</v>
      </c>
      <c r="D21185" s="4"/>
    </row>
    <row collapsed="" customFormat="false" customHeight="1" hidden="" ht="14" outlineLevel="0" r="21186">
      <c r="A21186" s="3" t="inlineStr">
        <is>
          <t>21132</t>
        </is>
      </c>
      <c r="B21186" s="4" t="s">
        <f>=HYPERLINK("http://anyluxury.ru/shop/otdykh/tovary-dlya-piknika-i-barbekyu/fartuk-impact-iz-pererabotannogo-hlopka-aware-180-gm2-p262840/" , "P262.840 Фартук Impact из переработанного хлопка AWARE™, 180 г/м2")</f>
      </c>
      <c r="C21186" s="4" t="n">
        <v>1238.00</v>
      </c>
      <c r="D21186" s="4"/>
    </row>
    <row collapsed="" customFormat="false" customHeight="1" hidden="" ht="14" outlineLevel="0" r="21187">
      <c r="A21187" s="3" t="inlineStr">
        <is>
          <t>21133</t>
        </is>
      </c>
      <c r="B21187" s="4" t="s">
        <f>=HYPERLINK("http://anyluxury.ru/shop/otdykh/tovary-dlya-piknika-i-barbekyu/shhipci-dlya-barbekyu-bbq-light-13729/" , "13729 Щипцы для барбекю BBQ Light")</f>
      </c>
      <c r="C21187" s="4" t="n">
        <v>5150.00</v>
      </c>
      <c r="D21187" s="4"/>
    </row>
    <row collapsed="" customFormat="false" customHeight="1" hidden="" ht="14" outlineLevel="0" r="21188">
      <c r="A21188" s="3" t="inlineStr">
        <is>
          <t>21134</t>
        </is>
      </c>
      <c r="B21188" s="4" t="s">
        <f>=HYPERLINK("http://anyluxury.ru/shop/otdykh/tovary-dlya-piknika-i-barbekyu/nabor-instrumentov-dlya-barbekyu-troika-bbq-13730/" , "13730 Набор для барбекю Troika BBQ")</f>
      </c>
      <c r="C21188" s="4" t="n">
        <v>5480.00</v>
      </c>
      <c r="D21188" s="4"/>
    </row>
    <row collapsed="" customFormat="false" customHeight="1" hidden="" ht="14" outlineLevel="0" r="21189">
      <c r="A21189" s="3" t="inlineStr">
        <is>
          <t>21135</t>
        </is>
      </c>
      <c r="B21189" s="4" t="s">
        <f>=HYPERLINK("http://anyluxury.ru/shop/otdykh/tovary-dlya-piknika-i-barbekyu/nabor-dlya-barbekyu-soares-13760/" , "13760 Набор для барбекю Soares")</f>
      </c>
      <c r="C21189" s="4" t="n">
        <v>1870.00</v>
      </c>
      <c r="D21189" s="4"/>
    </row>
    <row collapsed="" customFormat="false" customHeight="1" hidden="" ht="14" outlineLevel="0" r="21190">
      <c r="A21190" s="3" t="inlineStr">
        <is>
          <t>21136</t>
        </is>
      </c>
      <c r="B21190" s="4" t="s">
        <f>=HYPERLINK("http://anyluxury.ru/shop/otdykh/tovary-dlya-piknika-i-barbekyu/vilka-dlya-barbekyu-ribeye-1529400/" , "15294.00 Вилка для барбекю Ribeye")</f>
      </c>
      <c r="C21190" s="4" t="n">
        <v>645.00</v>
      </c>
      <c r="D21190" s="4"/>
    </row>
    <row collapsed="" customFormat="false" customHeight="1" hidden="" ht="14" outlineLevel="0" r="21191">
      <c r="A21191" s="3" t="inlineStr">
        <is>
          <t>21137</t>
        </is>
      </c>
      <c r="B21191" s="4" t="s">
        <f>=HYPERLINK("http://anyluxury.ru/shop/otdykh/tovary-dlya-piknika-i-barbekyu/kistochka-dlya-barbekyu-ribeye-1529500/" , "15295.00 Кисточка для барбекю Ribeye")</f>
      </c>
      <c r="C21191" s="4" t="n">
        <v>645.00</v>
      </c>
      <c r="D21191" s="4"/>
    </row>
    <row collapsed="" customFormat="false" customHeight="1" hidden="" ht="14" outlineLevel="0" r="21192">
      <c r="A21192" s="3" t="inlineStr">
        <is>
          <t>21138</t>
        </is>
      </c>
      <c r="B21192" s="4" t="s">
        <f>=HYPERLINK("http://anyluxury.ru/shop/otdykh/tovary-dlya-piknika-i-barbekyu/lopatka-dlya-barbekyu-ribeye-1529600/" , "15296.00 Лопатка для барбекю Ribeye")</f>
      </c>
      <c r="C21192" s="4" t="n">
        <v>990.00</v>
      </c>
      <c r="D21192" s="4"/>
    </row>
    <row collapsed="" customFormat="false" customHeight="1" hidden="" ht="14" outlineLevel="0" r="21193">
      <c r="A21193" s="3" t="inlineStr">
        <is>
          <t>21139</t>
        </is>
      </c>
      <c r="B21193" s="4" t="s">
        <f>=HYPERLINK("http://anyluxury.ru/shop/otdykh/tovary-dlya-piknika-i-barbekyu/shhetka-dlya-barbekyu-ribeye-1529800/" , "15298.00 Щетка для очистки гриля Ribeye")</f>
      </c>
      <c r="C21193" s="4" t="n">
        <v>840.00</v>
      </c>
      <c r="D21193" s="4"/>
    </row>
    <row collapsed="" customFormat="false" customHeight="1" hidden="" ht="14" outlineLevel="0" r="21194">
      <c r="A21194" s="3" t="inlineStr">
        <is>
          <t>21140</t>
        </is>
      </c>
      <c r="B21194" s="4" t="s">
        <f>=HYPERLINK("http://anyluxury.ru/shop/otdykh/tovary-dlya-piknika-i-barbekyu/shhipci-dlya-barbekyu-ribeye-1529900/" , "15299.00 Щипцы для барбекю Ribeye")</f>
      </c>
      <c r="C21194" s="4" t="n">
        <v>1150.00</v>
      </c>
      <c r="D21194" s="4"/>
    </row>
    <row collapsed="" customFormat="false" customHeight="1" hidden="" ht="14" outlineLevel="0" r="21195">
      <c r="A21195" s="3" t="inlineStr">
        <is>
          <t>21141</t>
        </is>
      </c>
      <c r="B21195" s="4" t="s">
        <f>=HYPERLINK("http://anyluxury.ru/shop/otdykh/tovary-dlya-piknika-i-barbekyu/multiinstrument-dlya-barbekyu-roxon-s601-1428210/" , "14282.10 Мультиинструмент для барбекю Roxon S601")</f>
      </c>
      <c r="C21195" s="4" t="n">
        <v>5250.00</v>
      </c>
      <c r="D21195" s="4"/>
    </row>
    <row collapsed="" customFormat="false" customHeight="1" hidden="" ht="14" outlineLevel="0" r="21196">
      <c r="A21196" s="3" t="inlineStr">
        <is>
          <t>21142</t>
        </is>
      </c>
      <c r="B21196" s="4" t="s">
        <f>=HYPERLINK("http://anyluxury.ru/shop/otdykh/tovary-dlya-piknika-i-barbekyu/fartuk-ukiyo-iz-pererabotannogo-hlopka-aware-280-g-p262110/" , "P262.110 Фартук Ukiyo из переработанного хлопка Aware™, 280 г")</f>
      </c>
      <c r="C21196" s="4" t="n">
        <v>2313.00</v>
      </c>
      <c r="D21196" s="4"/>
    </row>
    <row collapsed="" customFormat="false" customHeight="1" hidden="" ht="14" outlineLevel="0" r="21197">
      <c r="A21197" s="3" t="inlineStr">
        <is>
          <t>21143</t>
        </is>
      </c>
      <c r="B21197" s="4" t="s">
        <f>=HYPERLINK("http://anyluxury.ru/shop/otdykh/tovary-dlya-piknika-i-barbekyu/fartuk-ukiyo-iz-pererabotannogo-hlopka-aware-280-g-p262111/" , "P262.111 Фартук Ukiyo из переработанного хлопка Aware™, 280 г")</f>
      </c>
      <c r="C21197" s="4" t="n">
        <v>2313.00</v>
      </c>
      <c r="D21197" s="4"/>
    </row>
    <row collapsed="" customFormat="false" customHeight="1" hidden="" ht="14" outlineLevel="0" r="21198">
      <c r="A21198" s="3" t="inlineStr">
        <is>
          <t>21144</t>
        </is>
      </c>
      <c r="B21198" s="4" t="s">
        <f>=HYPERLINK("http://anyluxury.ru/shop/otdykh/tovary-dlya-piknika-i-barbekyu/fartuk-ukiyo-iz-pererabotannogo-hlopka-aware-280-g-p262115/" , "P262.115 Фартук Ukiyo из переработанного хлопка Aware™, 280 г")</f>
      </c>
      <c r="C21198" s="4" t="n">
        <v>2313.00</v>
      </c>
      <c r="D21198" s="4"/>
    </row>
    <row collapsed="" customFormat="false" customHeight="1" hidden="" ht="14" outlineLevel="0" r="21199">
      <c r="A21199" s="3" t="inlineStr">
        <is>
          <t>21145</t>
        </is>
      </c>
      <c r="B21199" s="4" t="s">
        <f>=HYPERLINK("http://anyluxury.ru/shop/otdykh/tovary-dlya-piknika-i-barbekyu/fartuk-ukiyo-iz-pererabotannogo-hlopka-aware-280-g-p262117/" , "P262.117 Фартук Ukiyo из переработанного хлопка Aware™, 280 г")</f>
      </c>
      <c r="C21199" s="4" t="n">
        <v>2313.00</v>
      </c>
      <c r="D21199" s="4"/>
    </row>
    <row collapsed="" customFormat="false" customHeight="1" hidden="" ht="14" outlineLevel="0" r="21200">
      <c r="A21200" s="3" t="inlineStr">
        <is>
          <t>21146</t>
        </is>
      </c>
      <c r="B21200" s="4" t="s">
        <f>=HYPERLINK("http://anyluxury.ru/shop/otdykh/tovary-dlya-piknika-i-barbekyu/nabor-meeting-point-siniy-1390940/" , "13909.40 Набор Meeting Point, синий")</f>
      </c>
      <c r="C21200" s="4" t="n">
        <v>2019.00</v>
      </c>
      <c r="D21200" s="4"/>
    </row>
    <row collapsed="" customFormat="false" customHeight="1" hidden="" ht="14" outlineLevel="0" r="21201">
      <c r="A21201" s="3" t="inlineStr">
        <is>
          <t>21147</t>
        </is>
      </c>
      <c r="B21201" s="4" t="s">
        <f>=HYPERLINK("http://anyluxury.ru/shop/otdykh/tovary-dlya-piknika-i-barbekyu/nabor-meeting-point-cherniy-1390930/" , "13909.30 Набор Meeting Point, черный")</f>
      </c>
      <c r="C21201" s="4" t="n">
        <v>2019.00</v>
      </c>
      <c r="D21201" s="4"/>
    </row>
    <row collapsed="" customFormat="false" customHeight="1" hidden="" ht="14" outlineLevel="0" r="21202">
      <c r="A21202" s="3" t="inlineStr">
        <is>
          <t>21148</t>
        </is>
      </c>
      <c r="B21202" s="4" t="s">
        <f>=HYPERLINK("http://anyluxury.ru/shop/otdykh/tovary-dlya-piknika-i-barbekyu/nabor-meeting-point-krasniy-1390950/" , "13909.50 Набор Meeting Point, красный")</f>
      </c>
      <c r="C21202" s="4" t="n">
        <v>2019.00</v>
      </c>
      <c r="D21202" s="4"/>
    </row>
    <row collapsed="" customFormat="false" customHeight="1" hidden="" ht="14" outlineLevel="0" r="21203">
      <c r="A21203" s="3" t="inlineStr">
        <is>
          <t>21149</t>
        </is>
      </c>
      <c r="B21203" s="4" t="s">
        <f>=HYPERLINK("http://anyluxury.ru/shop/otdykh/tovary-dlya-piknika-i-barbekyu/nabor-meeting-point-zeleniy-1390990/" , "13909.90 Набор Meeting Point, зеленый")</f>
      </c>
      <c r="C21203" s="4" t="n">
        <v>2019.00</v>
      </c>
      <c r="D21203" s="4"/>
    </row>
    <row collapsed="" customFormat="false" customHeight="1" hidden="" ht="14" outlineLevel="0" r="21204">
      <c r="A21204" s="3" t="inlineStr">
        <is>
          <t>21150</t>
        </is>
      </c>
      <c r="B21204" s="4" t="s">
        <f>=HYPERLINK("http://anyluxury.ru/shop/otdykh/tovary-dlya-piknika-i-barbekyu/vakuumnaya-butilka-iz-pererabotannoy-nerzhaveyushhey-stali-standart-rcs-500-ml-p433047/" , "P433.047 Вакуумная бутылка из переработанной нержавеющей стали (стандарт RCS), 500 мл")</f>
      </c>
      <c r="C21204" s="4" t="n">
        <v>2313.00</v>
      </c>
      <c r="D21204" s="4"/>
    </row>
    <row collapsed="" customFormat="false" customHeight="1" hidden="" ht="14" outlineLevel="0" r="21205">
      <c r="A21205" s="3" t="inlineStr">
        <is>
          <t>21151</t>
        </is>
      </c>
      <c r="B21205" s="4" t="s">
        <f>=HYPERLINK("http://anyluxury.ru/shop/otdykh/tovary-dlya-piknika-i-barbekyu/vakuumnaya-butilka-iz-pererabotannoy-nerzhaveyushhey-stali-standart-rcs-500-ml-p433045/" , "P433.045 Вакуумная бутылка из переработанной нержавеющей стали (стандарт RCS), 500 мл")</f>
      </c>
      <c r="C21205" s="4" t="n">
        <v>2313.00</v>
      </c>
      <c r="D21205" s="4"/>
    </row>
    <row collapsed="" customFormat="false" customHeight="1" hidden="" ht="14" outlineLevel="0" r="21206">
      <c r="A21206" s="3" t="inlineStr">
        <is>
          <t>21152</t>
        </is>
      </c>
      <c r="B21206" s="4" t="s">
        <f>=HYPERLINK("http://anyluxury.ru/shop/otdykh/tovary-dlya-piknika-i-barbekyu/vakuumnaya-butilka-iz-pererabotannoy-nerzhaveyushhey-stali-standart-rcs-500-ml-p433043/" , "P433.043 Вакуумная бутылка из переработанной нержавеющей стали (стандарт RCS), 500 мл")</f>
      </c>
      <c r="C21206" s="4" t="n">
        <v>2313.00</v>
      </c>
      <c r="D21206" s="4"/>
    </row>
    <row collapsed="" customFormat="false" customHeight="1" hidden="" ht="14" outlineLevel="0" r="21207">
      <c r="A21207" s="3" t="inlineStr">
        <is>
          <t>21153</t>
        </is>
      </c>
      <c r="B21207" s="4" t="s">
        <f>=HYPERLINK("http://anyluxury.ru/shop/otdykh/tovary-dlya-piknika-i-barbekyu/vakuumnaya-butilka-iz-pererabotannoy-nerzhaveyushhey-stali-standart-rcs-500-ml-p433042/" , "P433.042 Вакуумная бутылка из переработанной нержавеющей стали (стандарт RCS), 500 мл")</f>
      </c>
      <c r="C21207" s="4" t="n">
        <v>2313.00</v>
      </c>
      <c r="D21207" s="4"/>
    </row>
    <row collapsed="" customFormat="false" customHeight="1" hidden="" ht="14" outlineLevel="0" r="21208">
      <c r="A21208" s="3" t="inlineStr">
        <is>
          <t>21154</t>
        </is>
      </c>
      <c r="B21208" s="4" t="s">
        <f>=HYPERLINK("http://anyluxury.ru/shop/otdykh/tovary-dlya-piknika-i-barbekyu/vakuumnaya-butilka-iz-pererabotannoy-nerzhaveyushhey-stali-standart-rcs-300-ml-p433197/" , "P433.197 Вакуумная бутылка из переработанной нержавеющей стали (стандарт RCS), 300 мл")</f>
      </c>
      <c r="C21208" s="4" t="n">
        <v>2125.00</v>
      </c>
      <c r="D21208" s="4"/>
    </row>
    <row collapsed="" customFormat="false" customHeight="1" hidden="" ht="14" outlineLevel="0" r="21209">
      <c r="A21209" s="3" t="inlineStr">
        <is>
          <t>21155</t>
        </is>
      </c>
      <c r="B21209" s="4" t="s">
        <f>=HYPERLINK("http://anyluxury.ru/shop/otdykh/tovary-dlya-piknika-i-barbekyu/vakuumnaya-butilka-iz-pererabotannoy-nerzhaveyushhey-stali-standart-rcs-300-ml-p433195/" , "P433.195 Вакуумная бутылка из переработанной нержавеющей стали (стандарт RCS), 300 мл")</f>
      </c>
      <c r="C21209" s="4" t="n">
        <v>2125.00</v>
      </c>
      <c r="D21209" s="4"/>
    </row>
    <row collapsed="" customFormat="false" customHeight="1" hidden="" ht="14" outlineLevel="0" r="21210">
      <c r="A21210" s="3" t="inlineStr">
        <is>
          <t>21156</t>
        </is>
      </c>
      <c r="B21210" s="4" t="s">
        <f>=HYPERLINK("http://anyluxury.ru/shop/otdykh/tovary-dlya-piknika-i-barbekyu/vakuumnaya-butilka-iz-pererabotannoy-nerzhaveyushhey-stali-standart-rcs-300-ml-p433191/" , "P433.191 Вакуумная бутылка из переработанной нержавеющей стали (стандарт RCS), 300 мл")</f>
      </c>
      <c r="C21210" s="4" t="n">
        <v>2125.00</v>
      </c>
      <c r="D21210" s="4"/>
    </row>
    <row collapsed="" customFormat="false" customHeight="1" hidden="" ht="14" outlineLevel="0" r="21211">
      <c r="A21211" s="3" t="inlineStr">
        <is>
          <t>21157</t>
        </is>
      </c>
      <c r="B21211" s="4" t="s">
        <f>=HYPERLINK("http://anyluxury.ru/shop/otdykh/tovary-dlya-piknika-i-barbekyu/pohodniy-stoloviy-pribor-full-spoon-cherniy-1383130/" , "13831.30 Походный столовый прибор Full Spoon, черный")</f>
      </c>
      <c r="C21211" s="4" t="n">
        <v>390.00</v>
      </c>
      <c r="D21211" s="4"/>
    </row>
    <row collapsed="" customFormat="false" customHeight="1" hidden="" ht="14" outlineLevel="0" r="21212">
      <c r="A21212" s="3" t="inlineStr">
        <is>
          <t>21158</t>
        </is>
      </c>
      <c r="B21212" s="4" t="s">
        <f>=HYPERLINK("http://anyluxury.ru/shop/otdykh/tovary-dlya-piknika-i-barbekyu/mangal-hot-spot-stalnoy-1437910/" , "14379.10 Мангал Hot Spot, стальной")</f>
      </c>
      <c r="C21212" s="4" t="n">
        <v>3200.00</v>
      </c>
      <c r="D21212" s="4"/>
    </row>
    <row collapsed="" customFormat="false" customHeight="1" hidden="" ht="14" outlineLevel="0" r="21213">
      <c r="A21213" s="3" t="inlineStr">
        <is>
          <t>21159</t>
        </is>
      </c>
      <c r="B21213" s="4" t="s">
        <f>=HYPERLINK("http://anyluxury.ru/shop/otdykh/tovary-dlya-piknika-i-barbekyu/vakuumnaya-butilka-iz-nerzhaveyushhey-stali-i-bambuka-520-ml-p436791/" , "P436.791 Вакуумная бутылка из нержавеющей стали и бамбука, 520 мл")</f>
      </c>
      <c r="C21213" s="4" t="n">
        <v>2050.00</v>
      </c>
      <c r="D21213" s="4"/>
    </row>
    <row collapsed="" customFormat="false" customHeight="1" hidden="" ht="14" outlineLevel="0" r="21214">
      <c r="A21214" s="3" t="inlineStr">
        <is>
          <t>21160</t>
        </is>
      </c>
      <c r="B21214" s="4" t="s">
        <f>=HYPERLINK("http://anyluxury.ru/shop/otdykh/tovary-dlya-piknika-i-barbekyu/vakuumnaya-butilka-iz-nerzhaveyushhey-stali-i-bambuka-520-ml-p436795/" , "P436.795 Вакуумная бутылка из нержавеющей стали и бамбука, 520 мл")</f>
      </c>
      <c r="C21214" s="4" t="n">
        <v>2050.00</v>
      </c>
      <c r="D21214" s="4"/>
    </row>
    <row collapsed="" customFormat="false" customHeight="1" hidden="" ht="14" outlineLevel="0" r="21215">
      <c r="A21215" s="3" t="inlineStr">
        <is>
          <t>21161</t>
        </is>
      </c>
      <c r="B21215" s="4" t="s">
        <f>=HYPERLINK("http://anyluxury.ru/shop/otdykh/tovary-dlya-piknika-i-barbekyu/vakuumnaya-butilka-iz-nerzhaveyushhey-stali-i-bambuka-520-ml-p436797/" , "P436.797 Вакуумная бутылка из нержавеющей стали и бамбука, 520 мл")</f>
      </c>
      <c r="C21215" s="4" t="n">
        <v>2050.00</v>
      </c>
      <c r="D21215" s="4"/>
    </row>
    <row collapsed="" customFormat="false" customHeight="1" hidden="" ht="14" outlineLevel="0" r="21216">
      <c r="A21216" s="3" t="inlineStr">
        <is>
          <t>21162</t>
        </is>
      </c>
      <c r="B21216" s="4" t="s">
        <f>=HYPERLINK("http://anyluxury.ru/shop/otdykh/tovary-dlya-piknika-i-barbekyu/shhipci-dlya-barbekyu-catchy-stalnie-1778110/" , "17781.10 Щипцы для барбекю Catchy, стальные")</f>
      </c>
      <c r="C21216" s="4" t="n">
        <v>790.00</v>
      </c>
      <c r="D21216" s="4"/>
    </row>
    <row collapsed="" customFormat="false" customHeight="1" hidden="" ht="14" outlineLevel="0" r="21217">
      <c r="A21217" s="3" t="inlineStr">
        <is>
          <t>21163</t>
        </is>
      </c>
      <c r="B21217" s="4" t="s">
        <f>=HYPERLINK("http://anyluxury.ru/shop/otdykh/tovary-dlya-piknika-i-barbekyu/nabor-dlya-barbekyu-no-misteak-1778200/" , "17782.00 Набор для барбекю No Misteak")</f>
      </c>
      <c r="C21217" s="4" t="n">
        <v>1490.00</v>
      </c>
      <c r="D21217" s="4"/>
    </row>
    <row collapsed="" customFormat="false" customHeight="1" hidden="" ht="14" outlineLevel="0" r="21218">
      <c r="A21218" s="3" t="inlineStr">
        <is>
          <t>21164</t>
        </is>
      </c>
      <c r="B21218" s="4" t="s">
        <f>=HYPERLINK("http://anyluxury.ru/shop/otdykh/tovary-dlya-piknika-i-barbekyu/nabor-dlya-piknika-na-6-person-picnic-na-zakaz-1900001/" , "19000.01 Набор посуды для пикника на 6 персон Picnic на заказ")</f>
      </c>
      <c r="C21218" s="4" t="n">
        <v>1280.80</v>
      </c>
      <c r="D21218" s="4"/>
    </row>
    <row collapsed="" customFormat="false" customHeight="1" hidden="" ht="14" outlineLevel="0" r="21219">
      <c r="A21219" s="3" t="inlineStr">
        <is>
          <t>21165</t>
        </is>
      </c>
      <c r="B21219" s="4" t="s">
        <f>=HYPERLINK("http://anyluxury.ru/shop/otdykh/tovary-dlya-piknika-i-barbekyu/prihvatka-vinga-asado-4721/" , "4721 Прихватка VINGA Asado")</f>
      </c>
      <c r="C21219" s="4" t="n">
        <v>1594.00</v>
      </c>
      <c r="D21219" s="4"/>
    </row>
    <row collapsed="" customFormat="false" customHeight="1" hidden="" ht="14" outlineLevel="0" r="21220">
      <c r="A21220" s="3" t="inlineStr">
        <is>
          <t>21166</t>
        </is>
      </c>
      <c r="B21220" s="4" t="s">
        <f>=HYPERLINK("http://anyluxury.ru/shop/otdykh/tovary-dlya-piknika-i-barbekyu/prihvatka-vinga-asado-4723/" , "4723 Куртка мужская North, красная, размер L")</f>
      </c>
      <c r="C21220" s="4" t="n">
        <v>2813.00</v>
      </c>
      <c r="D21220" s="4"/>
    </row>
    <row collapsed="" customFormat="false" customHeight="1" hidden="" ht="14" outlineLevel="0" r="21221">
      <c r="A21221" s="3" t="inlineStr">
        <is>
          <t>21167</t>
        </is>
      </c>
      <c r="B21221" s="4" t="s">
        <f>=HYPERLINK("http://anyluxury.ru/shop/otdykh/tovary-dlya-piknika-i-barbekyu/prihvatka-vinga-asado-4772/" , "4772 Прихватка VINGA Asado")</f>
      </c>
      <c r="C21221" s="4" t="n">
        <v>1594.00</v>
      </c>
      <c r="D21221" s="4"/>
    </row>
    <row collapsed="" customFormat="false" customHeight="1" hidden="" ht="14" outlineLevel="0" r="21222">
      <c r="A21222" s="3" t="inlineStr">
        <is>
          <t>21168</t>
        </is>
      </c>
      <c r="B21222" s="4" t="s">
        <f>=HYPERLINK("http://anyluxury.ru/shop/otdykh/tovary-dlya-piknika-i-barbekyu/pled-vinga-verso-130h170-sm-102016/" , "102016 Плед VINGA Verso, 130х170 см")</f>
      </c>
      <c r="C21222" s="4" t="n">
        <v>5331.00</v>
      </c>
      <c r="D21222" s="4"/>
    </row>
    <row collapsed="" customFormat="false" customHeight="1" hidden="" ht="14" outlineLevel="0" r="21223">
      <c r="A21223" s="3" t="inlineStr">
        <is>
          <t>21169</t>
        </is>
      </c>
      <c r="B21223" s="4" t="s">
        <f>=HYPERLINK("http://anyluxury.ru/shop/otdykh/tovary-dlya-piknika-i-barbekyu/pled-vinga-lenox-130h170-sm-194546/" , "194546 Плед VINGA Lenox, 130х170 см")</f>
      </c>
      <c r="C21223" s="4" t="n">
        <v>4978.00</v>
      </c>
      <c r="D21223" s="4"/>
    </row>
    <row collapsed="" customFormat="false" customHeight="1" hidden="" ht="14" outlineLevel="0" r="21224">
      <c r="A21224" s="3" t="inlineStr">
        <is>
          <t>21170</t>
        </is>
      </c>
      <c r="B21224" s="4" t="s">
        <f>=HYPERLINK("http://anyluxury.ru/shop/otdykh/tovary-dlya-piknika-i-barbekyu/pled-vinga-lenox-130h170-sm-194548/" , "194548 Плед VINGA Lenox, 130х170 см")</f>
      </c>
      <c r="C21224" s="4" t="n">
        <v>4978.00</v>
      </c>
      <c r="D21224" s="4"/>
    </row>
    <row collapsed="" customFormat="false" customHeight="1" hidden="" ht="14" outlineLevel="0" r="21225">
      <c r="A21225" s="3" t="inlineStr">
        <is>
          <t>21171</t>
        </is>
      </c>
      <c r="B21225" s="4" t="s">
        <f>=HYPERLINK("http://anyluxury.ru/shop/otdykh/tovary-dlya-piknika-i-barbekyu/pled-vinga-lenox-130h170-sm-194549/" , "194549 Плед VINGA Lenox, 130х170 см")</f>
      </c>
      <c r="C21225" s="4" t="n">
        <v>4978.00</v>
      </c>
      <c r="D21225" s="4"/>
    </row>
    <row collapsed="" customFormat="false" customHeight="1" hidden="" ht="14" outlineLevel="0" r="21226">
      <c r="A21226" s="3" t="inlineStr">
        <is>
          <t>21172</t>
        </is>
      </c>
      <c r="B21226" s="4" t="s">
        <f>=HYPERLINK("http://anyluxury.ru/shop/otdykh/tovary-dlya-piknika-i-barbekyu/pled-vinga-bilton-130h170-sm-194620/" , "194620 Плед VINGA Bilton, 130х170 см")</f>
      </c>
      <c r="C21226" s="4" t="n">
        <v>2844.00</v>
      </c>
      <c r="D21226" s="4"/>
    </row>
    <row collapsed="" customFormat="false" customHeight="1" hidden="" ht="14" outlineLevel="0" r="21227">
      <c r="A21227" s="3" t="inlineStr">
        <is>
          <t>21173</t>
        </is>
      </c>
      <c r="B21227" s="4" t="s">
        <f>=HYPERLINK("http://anyluxury.ru/shop/otdykh/tovary-dlya-piknika-i-barbekyu/pled-vinga-bilton-130h170-sm-194622/" , "194622 Плед VINGA Bilton, 130х170 см")</f>
      </c>
      <c r="C21227" s="4" t="n">
        <v>2844.00</v>
      </c>
      <c r="D21227" s="4"/>
    </row>
    <row collapsed="" customFormat="false" customHeight="1" hidden="" ht="14" outlineLevel="0" r="21228">
      <c r="A21228" s="3" t="inlineStr">
        <is>
          <t>21174</t>
        </is>
      </c>
      <c r="B21228" s="4" t="s">
        <f>=HYPERLINK("http://anyluxury.ru/shop/otdykh/tovary-dlya-piknika-i-barbekyu/pled-dlya-piknika-vinga-alba-iz-rpet-grs-150h200-sm-v4590001/" , "V4590001 Плед для пикника VINGA Alba из rPET GRS, 150х200 см")</f>
      </c>
      <c r="C21228" s="4" t="n">
        <v>7350.00</v>
      </c>
      <c r="D21228" s="4"/>
    </row>
    <row collapsed="" customFormat="false" customHeight="1" hidden="" ht="14" outlineLevel="0" r="21229">
      <c r="A21229" s="3" t="inlineStr">
        <is>
          <t>21175</t>
        </is>
      </c>
      <c r="B21229" s="4" t="s">
        <f>=HYPERLINK("http://anyluxury.ru/shop/otdykh/tovary-dlya-piknika-i-barbekyu/pled-dlya-piknika-vinga-alba-iz-rpet-grs-150h200-sm-v4590003/" , "V4590003 Плед для пикника VINGA Alba из rPET GRS, 150х200 см")</f>
      </c>
      <c r="C21229" s="4" t="n">
        <v>7350.00</v>
      </c>
      <c r="D21229" s="4"/>
    </row>
    <row collapsed="" customFormat="false" customHeight="1" hidden="" ht="14" outlineLevel="0" r="21230">
      <c r="A21230" s="3" t="inlineStr">
        <is>
          <t>21176</t>
        </is>
      </c>
      <c r="B21230" s="4" t="s">
        <f>=HYPERLINK("http://anyluxury.ru/shop/otdykh/tovary-dlya-piknika-i-barbekyu/pled-dlya-piknika-vinga-alba-iz-rpet-grs-130h170-sm-v4590013/" , "V4590013 Плед для пикника VINGA Alba из rPET GRS, 130х170 см")</f>
      </c>
      <c r="C21230" s="4" t="n">
        <v>5300.00</v>
      </c>
      <c r="D21230" s="4"/>
    </row>
    <row collapsed="" customFormat="false" customHeight="1" hidden="" ht="14" outlineLevel="0" r="21231">
      <c r="A21231" s="3" t="inlineStr">
        <is>
          <t>21177</t>
        </is>
      </c>
      <c r="B21231" s="4" t="s">
        <f>=HYPERLINK("http://anyluxury.ru/shop/otdykh/tovary-dlya-piknika-i-barbekyu/pled-dlya-piknika-vinga-daya-iz-rpet-grs-130h170-sm-v4590027/" , "V4590027 Плед для пикника VINGA Daya из rPET GRS, 130х170 см")</f>
      </c>
      <c r="C21231" s="4" t="n">
        <v>5300.00</v>
      </c>
      <c r="D21231" s="4"/>
    </row>
    <row collapsed="" customFormat="false" customHeight="1" hidden="" ht="14" outlineLevel="0" r="21232">
      <c r="A21232" s="3" t="inlineStr">
        <is>
          <t>21178</t>
        </is>
      </c>
      <c r="B21232" s="4" t="s">
        <f>=HYPERLINK("http://anyluxury.ru/shop/otdykh/tovary-dlya-piknika-i-barbekyu/pled-dlya-piknika-vinga-daya-iz-rpet-grs-130h170-sm-v4590028/" , "V4590028 Плед для пикника VINGA Daya из rPET GRS, 130х170 см")</f>
      </c>
      <c r="C21232" s="4" t="n">
        <v>5300.00</v>
      </c>
      <c r="D21232" s="4"/>
    </row>
    <row collapsed="" customFormat="false" customHeight="1" hidden="" ht="14" outlineLevel="0" r="21233">
      <c r="A21233" s="3" t="inlineStr">
        <is>
          <t>21179</t>
        </is>
      </c>
      <c r="B21233" s="4" t="s">
        <f>=HYPERLINK("http://anyluxury.ru/shop/otdykh/tovary-dlya-piknika-i-barbekyu/nabor-dlya-piknika-priyut-ohotnika-15478/" , "15478 Набор для пикника «Приют охотника»")</f>
      </c>
      <c r="C21233" s="4" t="n">
        <v>35000.00</v>
      </c>
      <c r="D21233" s="4"/>
    </row>
    <row collapsed="" customFormat="false" customHeight="1" hidden="" ht="14" outlineLevel="0" r="21234">
      <c r="A21234" s="3" t="inlineStr">
        <is>
          <t>21180</t>
        </is>
      </c>
      <c r="B21234" s="4" t="s">
        <f>=HYPERLINK("http://anyluxury.ru/shop/otdykh/tovary-dlya-piknika-i-barbekyu/nabor-dlya-piknika-trapeza-na-ohote-15479/" , "15479 Набор для пикника «Трапеза на охоте»")</f>
      </c>
      <c r="C21234" s="4" t="n">
        <v>35000.00</v>
      </c>
      <c r="D21234" s="4"/>
    </row>
    <row collapsed="" customFormat="false" customHeight="1" hidden="" ht="14" outlineLevel="0" r="21235">
      <c r="A21235" s="3" t="inlineStr">
        <is>
          <t>21181</t>
        </is>
      </c>
      <c r="B21235" s="4" t="s">
        <f>=HYPERLINK("http://anyluxury.ru/shop/otdykh/tovary-dlya-piknika-i-barbekyu/nabor-dlya-piknika-avtomobilniy-3-15480/" , "15480 Набор для пикника «Автомобильный #3»")</f>
      </c>
      <c r="C21235" s="4" t="n">
        <v>15900.00</v>
      </c>
      <c r="D21235" s="4"/>
    </row>
    <row collapsed="" customFormat="false" customHeight="1" hidden="" ht="14" outlineLevel="0" r="21236">
      <c r="A21236" s="3" t="inlineStr">
        <is>
          <t>21182</t>
        </is>
      </c>
      <c r="B21236" s="4" t="s">
        <f>=HYPERLINK("http://anyluxury.ru/shop/otdykh/tovary-dlya-piknika-i-barbekyu/nabor-dlya-piknika-avtomobilniy-4-15481/" , "15481 Набор для пикника «Автомобильный #4»")</f>
      </c>
      <c r="C21236" s="4" t="n">
        <v>15900.00</v>
      </c>
      <c r="D21236" s="4"/>
    </row>
    <row collapsed="" customFormat="false" customHeight="1" hidden="" ht="14" outlineLevel="0" r="21237">
      <c r="A21237" s="3" t="inlineStr">
        <is>
          <t>21183</t>
        </is>
      </c>
      <c r="B21237" s="4" t="s">
        <f>=HYPERLINK("http://anyluxury.ru/shop/otdykh/tovary-dlya-piknika-i-barbekyu/nabor-dlya-piknika-avtomobilniy-5-15482/" , "15482 Набор для пикника «Автомобильный #5»")</f>
      </c>
      <c r="C21237" s="4" t="n">
        <v>16000.00</v>
      </c>
      <c r="D21237" s="4"/>
    </row>
    <row collapsed="" customFormat="false" customHeight="1" hidden="" ht="14" outlineLevel="0" r="21238">
      <c r="A21238" s="3" t="inlineStr">
        <is>
          <t>21184</t>
        </is>
      </c>
      <c r="B21238" s="4" t="s">
        <f>=HYPERLINK("http://anyluxury.ru/shop/otdykh/tovary-dlya-piknika-i-barbekyu/nabor-dlya-piknika-podarochniy-avtomobilniy-15484/" , "15484 Набор для пикника «Подарочный автомобильный»")</f>
      </c>
      <c r="C21238" s="4" t="n">
        <v>26100.00</v>
      </c>
      <c r="D21238" s="4"/>
    </row>
    <row collapsed="" customFormat="false" customHeight="1" hidden="" ht="14" outlineLevel="0" r="21239">
      <c r="A21239" s="3" t="inlineStr">
        <is>
          <t>21185</t>
        </is>
      </c>
      <c r="B21239" s="4" t="s">
        <f>=HYPERLINK("http://anyluxury.ru/shop/otdykh/tovary-dlya-piknika-i-barbekyu/nabor-dlya-piknika-lesnaya-skazka-15485/" , "15485 Набор для пикника «Лесная сказка»")</f>
      </c>
      <c r="C21239" s="4" t="n">
        <v>58000.00</v>
      </c>
      <c r="D21239" s="4"/>
    </row>
    <row collapsed="" customFormat="false" customHeight="1" hidden="" ht="14" outlineLevel="0" r="21240">
      <c r="A21240" s="3" t="inlineStr">
        <is>
          <t>21186</t>
        </is>
      </c>
      <c r="B21240" s="4" t="s">
        <f>=HYPERLINK("http://anyluxury.ru/shop/otdykh/tovary-dlya-piknika-i-barbekyu/skvorechnik-iz-sosni-fscr-p416749/" , "P416.749 Скворечник из сосны FSC®")</f>
      </c>
      <c r="C21240" s="4" t="n">
        <v>2249.00</v>
      </c>
      <c r="D21240" s="4"/>
    </row>
    <row collapsed="" customFormat="false" customHeight="1" hidden="" ht="14" outlineLevel="0" r="21241">
      <c r="A21241" s="3" t="inlineStr">
        <is>
          <t>21187</t>
        </is>
      </c>
      <c r="B21241" s="4" t="s">
        <f>=HYPERLINK("http://anyluxury.ru/shop/otdykh/tovary-dlya-piknika-i-barbekyu/nabor-posudi-dlya-piknika-na-6-person-picnic-bezheviy-1900010/" , "19000.10 Набор посуды для пикника на 6 персон Picnic, бежевый")</f>
      </c>
      <c r="C21241" s="4" t="n">
        <v>1350.00</v>
      </c>
      <c r="D21241" s="4"/>
    </row>
    <row collapsed="" customFormat="false" customHeight="1" hidden="" ht="14" outlineLevel="0" r="21242">
      <c r="A21242" s="3" t="inlineStr">
        <is>
          <t>21188</t>
        </is>
      </c>
      <c r="B21242" s="4" t="s">
        <f>=HYPERLINK("http://anyluxury.ru/shop/otdykh/tovary-dlya-piknika-i-barbekyu/nabor-termostate-seriy-1675710/" , "16757.10 Набор Termostate, серый")</f>
      </c>
      <c r="C21242" s="4" t="n">
        <v>4729.00</v>
      </c>
      <c r="D21242" s="4"/>
    </row>
    <row collapsed="" customFormat="false" customHeight="1" hidden="" ht="14" outlineLevel="0" r="21243">
      <c r="A21243" s="3" t="inlineStr">
        <is>
          <t>21189</t>
        </is>
      </c>
      <c r="B21243" s="4" t="s">
        <f>=HYPERLINK("http://anyluxury.ru/shop/otdykh/tovary-dlya-piknika-i-barbekyu/nabor-multiversity-cherniy-1675930/" , "16759.30 Набор Multiversity, черный")</f>
      </c>
      <c r="C21243" s="4" t="n">
        <v>4867.00</v>
      </c>
      <c r="D21243" s="4"/>
    </row>
    <row collapsed="" customFormat="false" customHeight="1" hidden="" ht="14" outlineLevel="0" r="21244">
      <c r="A21244" s="3" t="inlineStr">
        <is>
          <t>21190</t>
        </is>
      </c>
      <c r="B21244" s="4" t="s">
        <f>=HYPERLINK("http://anyluxury.ru/shop/otdykh/tovary-dlya-piknika-i-barbekyu/nabor-multiversity-beliy-s-chernim-1675963/" , "16759.63 Набор Multiversity, белый с черным")</f>
      </c>
      <c r="C21244" s="4" t="n">
        <v>4867.00</v>
      </c>
      <c r="D21244" s="4"/>
    </row>
    <row collapsed="" customFormat="false" customHeight="1" hidden="" ht="14" outlineLevel="0" r="21245">
      <c r="A21245" s="3" t="inlineStr">
        <is>
          <t>21191</t>
        </is>
      </c>
      <c r="B21245" s="4" t="s">
        <f>=HYPERLINK("http://anyluxury.ru/shop/otdykh/tovary-dlya-piknika-i-barbekyu/sistema-prigotovleniya-pishhi-ad10-1780230/" , "17802.30 Система приготовления пищи AD-10")</f>
      </c>
      <c r="C21245" s="4" t="n">
        <v>8500.00</v>
      </c>
      <c r="D21245" s="4"/>
    </row>
    <row collapsed="" customFormat="false" customHeight="1" hidden="" ht="14" outlineLevel="0" r="21246">
      <c r="A21246" s="3" t="inlineStr">
        <is>
          <t>21192</t>
        </is>
      </c>
      <c r="B21246" s="4" t="s">
        <f>=HYPERLINK("http://anyluxury.ru/shop/otdykh/tovary-dlya-piknika-i-barbekyu/turisticheskaya-gazovaya-lampa-brs55-1780510/" , "17805.10 Туристическая газовая лампа BRS-55")</f>
      </c>
      <c r="C21246" s="4" t="n">
        <v>3000.00</v>
      </c>
      <c r="D21246" s="4"/>
    </row>
    <row collapsed="" customFormat="false" customHeight="1" hidden="" ht="14" outlineLevel="0" r="21247">
      <c r="A21247" s="3" t="inlineStr">
        <is>
          <t>21193</t>
        </is>
      </c>
      <c r="B21247" s="4" t="s">
        <f>=HYPERLINK("http://anyluxury.ru/shop/otdykh/tovary-dlya-piknika-i-barbekyu/teleskopicheskaya-vilka-dlya-barbekyu-vinga-vici-3397/" , "3397 Толстовка New Supreme 280, серый меланж, размер S")</f>
      </c>
      <c r="C21247" s="4" t="n">
        <v>2292.00</v>
      </c>
      <c r="D21247" s="4"/>
    </row>
    <row collapsed="" customFormat="false" customHeight="1" hidden="" ht="14" outlineLevel="0" r="21248">
      <c r="A21248" s="3" t="inlineStr">
        <is>
          <t>21194</t>
        </is>
      </c>
      <c r="B21248" s="4" t="s">
        <f>=HYPERLINK("http://anyluxury.ru/shop/otdykh/tovary-dlya-piknika-i-barbekyu/pled-vinga-verso-130h170-sm-102015/" , "102015 Плед VINGA Verso, 130х170 см")</f>
      </c>
      <c r="C21248" s="4" t="n">
        <v>5331.00</v>
      </c>
      <c r="D21248" s="4"/>
    </row>
    <row collapsed="" customFormat="false" customHeight="1" hidden="" ht="14" outlineLevel="0" r="21249">
      <c r="A21249" s="3" t="inlineStr">
        <is>
          <t>21195</t>
        </is>
      </c>
      <c r="B21249" s="4" t="s">
        <f>=HYPERLINK("http://anyluxury.ru/shop/otdykh/tovary-dlya-piknika-i-barbekyu/pled-vinga-verso-130h170-sm-102018/" , "102018 Плед VINGA Verso, 130х170 см")</f>
      </c>
      <c r="C21249" s="4" t="n">
        <v>5331.00</v>
      </c>
      <c r="D21249" s="4"/>
    </row>
    <row collapsed="" customFormat="false" customHeight="1" hidden="" ht="14" outlineLevel="0" r="21250">
      <c r="A21250" s="3" t="inlineStr">
        <is>
          <t>21196</t>
        </is>
      </c>
      <c r="B21250" s="4" t="s">
        <f>=HYPERLINK("http://anyluxury.ru/shop/otdykh/tovary-dlya-piknika-i-barbekyu/pled-vinga-verso-130h170-sm-102019/" , "102019 Плед VINGA Verso, 130х170 см")</f>
      </c>
      <c r="C21250" s="4" t="n">
        <v>5331.00</v>
      </c>
      <c r="D21250" s="4"/>
    </row>
    <row collapsed="" customFormat="false" customHeight="1" hidden="" ht="14" outlineLevel="0" r="21251">
      <c r="A21251" s="3" t="inlineStr">
        <is>
          <t>21197</t>
        </is>
      </c>
      <c r="B21251" s="4" t="s">
        <f>=HYPERLINK("http://anyluxury.ru/shop/otdykh/tovary-dlya-piknika-i-barbekyu/nabor-lanchboksov-v-termosumke-takk-mamma-seriy-450010/" , "4500.10 Набор ланчбоксов в термосумке Takk Mamma, серый")</f>
      </c>
      <c r="C21251" s="4" t="n">
        <v>3350.00</v>
      </c>
      <c r="D21251" s="4"/>
    </row>
    <row collapsed="" customFormat="false" customHeight="1" hidden="" ht="14" outlineLevel="0" r="21252">
      <c r="A21252" s="3" t="inlineStr">
        <is>
          <t>21198</t>
        </is>
      </c>
      <c r="B21252" s="4" t="s">
        <f>=HYPERLINK("http://anyluxury.ru/shop/otdykh/tovary-dlya-piknika-i-barbekyu/nabor-dlya-steyka-vinga-gigaro-iz-vilki-i-nozha-30714/" , "30714 Набор для стейка VINGA Gigaro из вилки и ножа")</f>
      </c>
      <c r="C21252" s="4" t="n">
        <v>5341.00</v>
      </c>
      <c r="D21252" s="4"/>
    </row>
    <row collapsed="" customFormat="false" customHeight="1" hidden="" ht="14" outlineLevel="0" r="21253">
      <c r="A21253" s="3" t="inlineStr">
        <is>
          <t>21199</t>
        </is>
      </c>
      <c r="B21253" s="4" t="s">
        <f>=HYPERLINK("http://anyluxury.ru/shop/otdykh/tovary-dlya-piknika-i-barbekyu/lopatka-dlya-barbekyu-vinga-paso-35301/" , "35301 Лопатка для барбекю VINGA Paso")</f>
      </c>
      <c r="C21253" s="4" t="n">
        <v>1238.00</v>
      </c>
      <c r="D21253" s="4"/>
    </row>
    <row collapsed="" customFormat="false" customHeight="1" hidden="" ht="14" outlineLevel="0" r="21254">
      <c r="A21254" s="3" t="inlineStr">
        <is>
          <t>21200</t>
        </is>
      </c>
      <c r="B21254" s="4" t="s">
        <f>=HYPERLINK("http://anyluxury.ru/shop/otdykh/tovary-dlya-piknika-i-barbekyu/shhipci-dlya-barbekyu-vinga-paso-35302/" , "35302 Щипцы для барбекю VINGA Paso")</f>
      </c>
      <c r="C21254" s="4" t="n">
        <v>1338.00</v>
      </c>
      <c r="D21254" s="4"/>
    </row>
    <row collapsed="" customFormat="false" customHeight="1" hidden="" ht="14" outlineLevel="0" r="21255">
      <c r="A21255" s="3" t="inlineStr">
        <is>
          <t>21201</t>
        </is>
      </c>
      <c r="B21255" s="4" t="s">
        <f>=HYPERLINK("http://anyluxury.ru/shop/otdykh/tovary-dlya-piknika-i-barbekyu/vilka-dlya-barbekyu-grillo-1645500/" , "16455.00 Вилка для барбекю Grillo")</f>
      </c>
      <c r="C21255" s="4" t="n">
        <v>645.00</v>
      </c>
      <c r="D21255" s="4"/>
    </row>
    <row collapsed="" customFormat="false" customHeight="1" hidden="" ht="14" outlineLevel="0" r="21256">
      <c r="A21256" s="3" t="inlineStr">
        <is>
          <t>21202</t>
        </is>
      </c>
      <c r="B21256" s="4" t="s">
        <f>=HYPERLINK("http://anyluxury.ru/shop/otdykh/tovary-dlya-piknika-i-barbekyu/lopatka-dlya-barbekyu-grillo-1645600/" , "16456.00 Лопатка для барбекю Grillo")</f>
      </c>
      <c r="C21256" s="4" t="n">
        <v>715.00</v>
      </c>
      <c r="D21256" s="4"/>
    </row>
    <row collapsed="" customFormat="false" customHeight="1" hidden="" ht="14" outlineLevel="0" r="21257">
      <c r="A21257" s="3" t="inlineStr">
        <is>
          <t>21203</t>
        </is>
      </c>
      <c r="B21257" s="4" t="s">
        <f>=HYPERLINK("http://anyluxury.ru/shop/otdykh/tovary-dlya-piknika-i-barbekyu/shhipci-dlya-barbekyu-grillo-1645700/" , "16457.00 Щипцы для барбекю Grillo")</f>
      </c>
      <c r="C21257" s="4" t="n">
        <v>1200.00</v>
      </c>
      <c r="D21257" s="4"/>
    </row>
    <row collapsed="" customFormat="false" customHeight="1" hidden="" ht="14" outlineLevel="0" r="21258">
      <c r="A21258" s="3" t="inlineStr">
        <is>
          <t>21204</t>
        </is>
      </c>
      <c r="B21258" s="4" t="s">
        <f>=HYPERLINK("http://anyluxury.ru/shop/otdykh/tovary-dlya-piknika-i-barbekyu/pled-dlya-piknika-vinga-volonne-iz-pererabotannogo-kanvasa-i-rpet-aware-70h180-sm-v459103/" , "V459103 Плед для пикника VINGA Volonne из переработанного канваса и rPET AWARE™, 70х180 см")</f>
      </c>
      <c r="C21258" s="4" t="n">
        <v>4438.00</v>
      </c>
      <c r="D21258" s="4"/>
    </row>
    <row collapsed="" customFormat="false" customHeight="1" hidden="" ht="14" outlineLevel="0" r="21259">
      <c r="A21259" s="3" t="inlineStr">
        <is>
          <t>21205</t>
        </is>
      </c>
      <c r="B21259" s="4" t="s">
        <f>=HYPERLINK("http://anyluxury.ru/shop/otdykh/tovary-dlya-piknika-i-barbekyu/pled-dlya-piknika-vinga-volonne-iz-pererabotannogo-kanvasa-i-rpet-aware-130h170-sm-v459113/" , "V459113 Плед для пикника VINGA Volonne из переработанного канваса и rPET AWARE™, 130х170 см")</f>
      </c>
      <c r="C21259" s="4" t="n">
        <v>4263.00</v>
      </c>
      <c r="D21259" s="4"/>
    </row>
    <row collapsed="" customFormat="false" customHeight="1" hidden="" ht="14" outlineLevel="0" r="21260">
      <c r="A21260" s="3" t="inlineStr">
        <is>
          <t>21206</t>
        </is>
      </c>
      <c r="B21260" s="4" t="s">
        <f>=HYPERLINK("http://anyluxury.ru/shop/otdykh/tovary-dlya-piknika-i-barbekyu/plyazhnaya-sumka-vinga-volonne-iz-pererabotannogo-kanvasa-i-rpet-aware-v762033/" , "V762033 Пляжная сумка VINGA Volonne из переработанного канваса и rPET AWARE™")</f>
      </c>
      <c r="C21260" s="4" t="n">
        <v>2834.00</v>
      </c>
      <c r="D21260" s="4"/>
    </row>
    <row collapsed="" customFormat="false" customHeight="1" hidden="" ht="14" outlineLevel="0" r="21261">
      <c r="A21261" s="3" t="inlineStr">
        <is>
          <t>21207</t>
        </is>
      </c>
      <c r="B21261" s="4" t="s">
        <f>=HYPERLINK("http://anyluxury.ru/shop/otdykh/tovary-dlya-piknika-i-barbekyu/plyazhnaya-sumka-vinga-volonne-iz-pererabotannogo-kanvasa-i-rpet-aware-v762035/" , "V762035 Пляжная сумка VINGA Volonne из переработанного канваса и rPET AWARE™")</f>
      </c>
      <c r="C21261" s="4" t="n">
        <v>2834.00</v>
      </c>
      <c r="D21261" s="4"/>
    </row>
    <row collapsed="" customFormat="false" customHeight="1" hidden="" ht="14" outlineLevel="0" r="21262">
      <c r="A21262" s="3" t="inlineStr">
        <is>
          <t>21208</t>
        </is>
      </c>
      <c r="B21262" s="4" t="s">
        <f>=HYPERLINK("http://anyluxury.ru/shop/otdykh/tovary-dlya-piknika-i-barbekyu/nabor-dlya-barbekyu-grillo-1646100/" , "16461.00 Набор для барбекю Grillo")</f>
      </c>
      <c r="C21262" s="4" t="n">
        <v>3120.00</v>
      </c>
      <c r="D21262" s="4"/>
    </row>
    <row collapsed="" customFormat="false" customHeight="" hidden="" ht="12.1" outlineLevel="0" r="21263">
      <c r="A21263" s="5" t="inlineStr">
        <is>
          <t> -  - Товары для путешествий</t>
        </is>
      </c>
      <c r="B21263" s="6"/>
      <c r="C21263" s="6"/>
      <c r="D21263" s="6"/>
    </row>
    <row collapsed="" customFormat="false" customHeight="1" hidden="" ht="14" outlineLevel="0" r="21264">
      <c r="A21264" s="3" t="inlineStr">
        <is>
          <t>21209</t>
        </is>
      </c>
      <c r="B21264" s="4" t="s">
        <f>=HYPERLINK("http://anyluxury.ru/shop/otdykh/tovary-dlya-puteshestviy/naduvnaya-podushka-global-ta-seraya/" , "CO1-38015 Надувная подушка Global TA, серая")</f>
      </c>
      <c r="C21264" s="4" t="n">
        <v>850.00</v>
      </c>
      <c r="D21264" s="4"/>
    </row>
    <row collapsed="" customFormat="false" customHeight="1" hidden="" ht="14" outlineLevel="0" r="21265">
      <c r="A21265" s="3" t="inlineStr">
        <is>
          <t>21210</t>
        </is>
      </c>
      <c r="B21265" s="4" t="s">
        <f>=HYPERLINK("http://anyluxury.ru/shop/otdykh/tovary-dlya-puteshestviy/naduvnaya-podushka-global-ta-s-podgolovnikom-seraya/" , "CO1-38016 Надувная подушка Global TA с подголовником, серая")</f>
      </c>
      <c r="C21265" s="4" t="n">
        <v>990.00</v>
      </c>
      <c r="D21265" s="4"/>
    </row>
    <row collapsed="" customFormat="false" customHeight="1" hidden="" ht="14" outlineLevel="0" r="21266">
      <c r="A21266" s="3" t="inlineStr">
        <is>
          <t>21211</t>
        </is>
      </c>
      <c r="B21266" s="4" t="s">
        <f>=HYPERLINK("http://anyluxury.ru/shop/otdykh/tovary-dlya-puteshestviy/podushka-dorozhnaya-global-ta-s-zastezhkoy-knopkoy-sinyaya/" , "CO1-11021 Подушка дорожная Global TA с застежкой-кнопкой, синяя")</f>
      </c>
      <c r="C21266" s="4" t="n">
        <v>1850.00</v>
      </c>
      <c r="D21266" s="4"/>
    </row>
    <row collapsed="" customFormat="false" customHeight="1" hidden="" ht="14" outlineLevel="0" r="21267">
      <c r="A21267" s="3" t="inlineStr">
        <is>
          <t>21212</t>
        </is>
      </c>
      <c r="B21267" s="4" t="s">
        <f>=HYPERLINK("http://anyluxury.ru/shop/otdykh/tovary-dlya-puteshestviy/podushka-dorozhnaya-global-ta-sinyaya/" , "CO1-11022 Подушка дорожная Global TA, синяя")</f>
      </c>
      <c r="C21267" s="4" t="n">
        <v>2350.00</v>
      </c>
      <c r="D21267" s="4"/>
    </row>
    <row collapsed="" customFormat="false" customHeight="1" hidden="" ht="14" outlineLevel="0" r="21268">
      <c r="A21268" s="3" t="inlineStr">
        <is>
          <t>21213</t>
        </is>
      </c>
      <c r="B21268" s="4" t="s">
        <f>=HYPERLINK("http://anyluxury.ru/shop/otdykh/tovary-dlya-puteshestviy/ochki-solnechnye-admiralskie-stekla-s-peremennoy-plotnostyu-zashchity-v-kozhanom-futlyare/" , "D873 Очки солнечные 'Адмиральские', стекла с переменной плотностью защиты, в  кожаном футляре")</f>
      </c>
      <c r="C21268" s="4" t="n">
        <v>8750.00</v>
      </c>
      <c r="D21268" s="4"/>
    </row>
    <row collapsed="" customFormat="false" customHeight="1" hidden="" ht="14" outlineLevel="0" r="21269">
      <c r="A21269" s="3" t="inlineStr">
        <is>
          <t>21214</t>
        </is>
      </c>
      <c r="B21269" s="4" t="s">
        <f>=HYPERLINK("http://anyluxury.ru/shop/otdykh/tovary-dlya-puteshestviy/kosmetichka-canvas-siniy-p703045/" , "P703.045 Косметичка Canvas")</f>
      </c>
      <c r="C21269" s="4" t="n">
        <v>2659.00</v>
      </c>
      <c r="D21269" s="4"/>
    </row>
    <row collapsed="" customFormat="false" customHeight="1" hidden="" ht="14" outlineLevel="0" r="21270">
      <c r="A21270" s="3" t="inlineStr">
        <is>
          <t>21215</t>
        </is>
      </c>
      <c r="B21270" s="4" t="s">
        <f>=HYPERLINK("http://anyluxury.ru/shop/otdykh/tovary-dlya-puteshestviy/trevozhnaya-knopka-2-v-1-p330711/" , "P330.711 Тревожная кнопка, 2 в 1")</f>
      </c>
      <c r="C21270" s="4" t="n">
        <v>699.00</v>
      </c>
      <c r="D21270" s="4"/>
    </row>
    <row collapsed="" customFormat="false" customHeight="1" hidden="" ht="14" outlineLevel="0" r="21271">
      <c r="A21271" s="3" t="inlineStr">
        <is>
          <t>21216</t>
        </is>
      </c>
      <c r="B21271" s="4" t="s">
        <f>=HYPERLINK("http://anyluxury.ru/shop/otdykh/tovary-dlya-puteshestviy/panoramnaya-ekshnkamera-360-4k-p330501/" , "P330.501 Панорамная экшн-камера 360° 4K")</f>
      </c>
      <c r="C21271" s="4" t="n">
        <v>17942.00</v>
      </c>
      <c r="D21271" s="4"/>
    </row>
    <row collapsed="" customFormat="false" customHeight="1" hidden="" ht="14" outlineLevel="0" r="21272">
      <c r="A21272" s="3" t="inlineStr">
        <is>
          <t>21217</t>
        </is>
      </c>
      <c r="B21272" s="4" t="s">
        <f>=HYPERLINK("http://anyluxury.ru/shop/otdykh/tovary-dlya-puteshestviy/kosmetichka-basic-p703021/" , "P703.021 Косметичка Basic")</f>
      </c>
      <c r="C21272" s="4" t="n">
        <v>639.00</v>
      </c>
      <c r="D21272" s="4"/>
    </row>
    <row collapsed="" customFormat="false" customHeight="1" hidden="" ht="14" outlineLevel="0" r="21273">
      <c r="A21273" s="3" t="inlineStr">
        <is>
          <t>21218</t>
        </is>
      </c>
      <c r="B21273" s="4" t="s">
        <f>=HYPERLINK("http://anyluxury.ru/shop/otdykh/tovary-dlya-puteshestviy/kosmetichka-florida-ne-soderzhit-pvc-p703751/" , "P703.751 Косметичка Florida, не содержит PVC")</f>
      </c>
      <c r="C21273" s="4" t="n">
        <v>1349.00</v>
      </c>
      <c r="D21273" s="4"/>
    </row>
    <row collapsed="" customFormat="false" customHeight="1" hidden="" ht="14" outlineLevel="0" r="21274">
      <c r="A21274" s="3" t="inlineStr">
        <is>
          <t>21219</t>
        </is>
      </c>
      <c r="B21274" s="4" t="s">
        <f>=HYPERLINK("http://anyluxury.ru/shop/otdykh/tovary-dlya-puteshestviy/kosmetichka-office-p780031/" , "P780.031 Косметичка Office")</f>
      </c>
      <c r="C21274" s="4" t="n">
        <v>2666.00</v>
      </c>
      <c r="D21274" s="4"/>
    </row>
    <row collapsed="" customFormat="false" customHeight="1" hidden="" ht="14" outlineLevel="0" r="21275">
      <c r="A21275" s="3" t="inlineStr">
        <is>
          <t>21220</t>
        </is>
      </c>
      <c r="B21275" s="4" t="s">
        <f>=HYPERLINK("http://anyluxury.ru/shop/otdykh/tovary-dlya-puteshestviy/naduvnaya-podushka-pod-sheyu-v-chehle-sleep-seraya-512510/" , "5125.10 Надувная подушка под шею в чехле Sleep, серая")</f>
      </c>
      <c r="C21275" s="4" t="n">
        <v>169.00</v>
      </c>
      <c r="D21275" s="4"/>
    </row>
    <row collapsed="" customFormat="false" customHeight="1" hidden="" ht="14" outlineLevel="0" r="21276">
      <c r="A21276" s="3" t="inlineStr">
        <is>
          <t>21221</t>
        </is>
      </c>
      <c r="B21276" s="4" t="s">
        <f>=HYPERLINK("http://anyluxury.ru/shop/otdykh/tovary-dlya-puteshestviy/dozhdevik-v-kruglom-futlyare-nimbus-krasniy-535450/" , "5354.50 Дождевик в круглом футляре Nimbus, красный")</f>
      </c>
      <c r="C21276" s="4" t="n">
        <v>163.00</v>
      </c>
      <c r="D21276" s="4"/>
    </row>
    <row collapsed="" customFormat="false" customHeight="1" hidden="" ht="14" outlineLevel="0" r="21277">
      <c r="A21277" s="3" t="inlineStr">
        <is>
          <t>21222</t>
        </is>
      </c>
      <c r="B21277" s="4" t="s">
        <f>=HYPERLINK("http://anyluxury.ru/shop/otdykh/tovary-dlya-puteshestviy/dozhdevik-v-kruglom-futlyare-nimbus-beliy-535460/" , "5354.60 Дождевик в круглом футляре Nimbus, белый")</f>
      </c>
      <c r="C21277" s="4" t="n">
        <v>163.00</v>
      </c>
      <c r="D21277" s="4"/>
    </row>
    <row collapsed="" customFormat="false" customHeight="1" hidden="" ht="14" outlineLevel="0" r="21278">
      <c r="A21278" s="3" t="inlineStr">
        <is>
          <t>21223</t>
        </is>
      </c>
      <c r="B21278" s="4" t="s">
        <f>=HYPERLINK("http://anyluxury.ru/shop/otdykh/tovary-dlya-puteshestviy/naduvnaya-podushka-pod-sheyu-v-chehle-sleep-krasnaya-512550/" , "5125.50 Надувная подушка под шею в чехле Sleep, красная")</f>
      </c>
      <c r="C21278" s="4" t="n">
        <v>169.00</v>
      </c>
      <c r="D21278" s="4"/>
    </row>
    <row collapsed="" customFormat="false" customHeight="1" hidden="" ht="14" outlineLevel="0" r="21279">
      <c r="A21279" s="3" t="inlineStr">
        <is>
          <t>21224</t>
        </is>
      </c>
      <c r="B21279" s="4" t="s">
        <f>=HYPERLINK("http://anyluxury.ru/shop/otdykh/tovary-dlya-puteshestviy/naduvnaya-podushka-pod-sheyu-v-chehle-sleep-oranzhevaya-512520/" , "5125.20 Надувная подушка под шею в чехле Sleep, оранжевая")</f>
      </c>
      <c r="C21279" s="4" t="n">
        <v>169.00</v>
      </c>
      <c r="D21279" s="4"/>
    </row>
    <row collapsed="" customFormat="false" customHeight="1" hidden="" ht="14" outlineLevel="0" r="21280">
      <c r="A21280" s="3" t="inlineStr">
        <is>
          <t>21225</t>
        </is>
      </c>
      <c r="B21280" s="4" t="s">
        <f>=HYPERLINK("http://anyluxury.ru/shop/otdykh/tovary-dlya-puteshestviy/naduvnaya-podushka-pod-sheyu-v-chehle-sleep-chernaya-512530/" , "5125.30 Надувная подушка под шею в чехле Sleep, черная")</f>
      </c>
      <c r="C21280" s="4" t="n">
        <v>169.00</v>
      </c>
      <c r="D21280" s="4"/>
    </row>
    <row collapsed="" customFormat="false" customHeight="1" hidden="" ht="14" outlineLevel="0" r="21281">
      <c r="A21281" s="3" t="inlineStr">
        <is>
          <t>21226</t>
        </is>
      </c>
      <c r="B21281" s="4" t="s">
        <f>=HYPERLINK("http://anyluxury.ru/shop/otdykh/tovary-dlya-puteshestviy/birka-dlya-bagazha-trolley-oranzhevaya-560320/" , "5603.20 Бирка для багажа Trolley, оранжевая")</f>
      </c>
      <c r="C21281" s="4" t="n">
        <v>64.00</v>
      </c>
      <c r="D21281" s="4"/>
    </row>
    <row collapsed="" customFormat="false" customHeight="1" hidden="" ht="14" outlineLevel="0" r="21282">
      <c r="A21282" s="3" t="inlineStr">
        <is>
          <t>21227</t>
        </is>
      </c>
      <c r="B21282" s="4" t="s">
        <f>=HYPERLINK("http://anyluxury.ru/shop/otdykh/tovary-dlya-puteshestviy/dorozhniy-nabor-onboard-cherniy-260930/" , "2609.30 Дорожный набор onBoard, черный")</f>
      </c>
      <c r="C21282" s="4" t="n">
        <v>942.00</v>
      </c>
      <c r="D21282" s="4"/>
    </row>
    <row collapsed="" customFormat="false" customHeight="1" hidden="" ht="14" outlineLevel="0" r="21283">
      <c r="A21283" s="3" t="inlineStr">
        <is>
          <t>21228</t>
        </is>
      </c>
      <c r="B21283" s="4" t="s">
        <f>=HYPERLINK("http://anyluxury.ru/shop/otdykh/tovary-dlya-puteshestviy/dozhdevik-v-kruglom-futlyare-nimbus-goluboy-535444/" , "5354.44 Дождевик в круглом футляре Nimbus, голубой")</f>
      </c>
      <c r="C21283" s="4" t="n">
        <v>163.00</v>
      </c>
      <c r="D21283" s="4"/>
    </row>
    <row collapsed="" customFormat="false" customHeight="1" hidden="" ht="14" outlineLevel="0" r="21284">
      <c r="A21284" s="3" t="inlineStr">
        <is>
          <t>21229</t>
        </is>
      </c>
      <c r="B21284" s="4" t="s">
        <f>=HYPERLINK("http://anyluxury.ru/shop/otdykh/tovary-dlya-puteshestviy/dozhdevik-v-kruglom-futlyare-nimbus-zelenoe-yabloko-535494/" , "5354.94 Дождевик в круглом футляре Nimbus, зеленое яблоко")</f>
      </c>
      <c r="C21284" s="4" t="n">
        <v>163.00</v>
      </c>
      <c r="D21284" s="4"/>
    </row>
    <row collapsed="" customFormat="false" customHeight="1" hidden="" ht="14" outlineLevel="0" r="21285">
      <c r="A21285" s="3" t="inlineStr">
        <is>
          <t>21230</t>
        </is>
      </c>
      <c r="B21285" s="4" t="s">
        <f>=HYPERLINK("http://anyluxury.ru/shop/otdykh/tovary-dlya-puteshestviy/nozh-skladnoy-s-fonarikom-i-ognivom-ster-seriy-280310/" , "2803.10 Нож складной с фонариком и огнивом Ster, серый")</f>
      </c>
      <c r="C21285" s="4" t="n">
        <v>1500.00</v>
      </c>
      <c r="D21285" s="4"/>
    </row>
    <row collapsed="" customFormat="false" customHeight="1" hidden="" ht="14" outlineLevel="0" r="21286">
      <c r="A21286" s="3" t="inlineStr">
        <is>
          <t>21231</t>
        </is>
      </c>
      <c r="B21286" s="4" t="s">
        <f>=HYPERLINK("http://anyluxury.ru/shop/otdykh/tovary-dlya-puteshestviy/manikyurniy-nabor-sharm-3499/" , "3499 Маникюрный набор «Шарм»")</f>
      </c>
      <c r="C21286" s="4" t="n">
        <v>1132.00</v>
      </c>
      <c r="D21286" s="4"/>
    </row>
    <row collapsed="" customFormat="false" customHeight="1" hidden="" ht="14" outlineLevel="0" r="21287">
      <c r="A21287" s="3" t="inlineStr">
        <is>
          <t>21232</t>
        </is>
      </c>
      <c r="B21287" s="4" t="s">
        <f>=HYPERLINK("http://anyluxury.ru/shop/otdykh/tovary-dlya-puteshestviy/brelokmultitul-dextro-serebristiy-699910/" , "6999.10 Мультитул Dextro, серебристый")</f>
      </c>
      <c r="C21287" s="4" t="n">
        <v>195.00</v>
      </c>
      <c r="D21287" s="4"/>
    </row>
    <row collapsed="" customFormat="false" customHeight="1" hidden="" ht="14" outlineLevel="0" r="21288">
      <c r="A21288" s="3" t="inlineStr">
        <is>
          <t>21233</t>
        </is>
      </c>
      <c r="B21288" s="4" t="s">
        <f>=HYPERLINK("http://anyluxury.ru/shop/otdykh/tovary-dlya-puteshestviy/butilka-dlya-sporta-resource-chernaya-750430/" , "7504.30 Бутылка для спорта Re-Source, черная")</f>
      </c>
      <c r="C21288" s="4" t="n">
        <v>679.00</v>
      </c>
      <c r="D21288" s="4"/>
    </row>
    <row collapsed="" customFormat="false" customHeight="1" hidden="" ht="14" outlineLevel="0" r="21289">
      <c r="A21289" s="3" t="inlineStr">
        <is>
          <t>21234</t>
        </is>
      </c>
      <c r="B21289" s="4" t="s">
        <f>=HYPERLINK("http://anyluxury.ru/shop/otdykh/tovary-dlya-puteshestviy/butilka-dlya-sporta-resource-krasnaya-750450/" , "7504.50 Бутылка для спорта Re-Source, красная")</f>
      </c>
      <c r="C21289" s="4" t="n">
        <v>679.00</v>
      </c>
      <c r="D21289" s="4"/>
    </row>
    <row collapsed="" customFormat="false" customHeight="1" hidden="" ht="14" outlineLevel="0" r="21290">
      <c r="A21290" s="3" t="inlineStr">
        <is>
          <t>21235</t>
        </is>
      </c>
      <c r="B21290" s="4" t="s">
        <f>=HYPERLINK("http://anyluxury.ru/shop/otdykh/tovary-dlya-puteshestviy/butilka-dlya-sporta-resource-serebristaya-750410/" , "7504.10 Бутылка для спорта Re-Source, серебристая")</f>
      </c>
      <c r="C21290" s="4" t="n">
        <v>679.00</v>
      </c>
      <c r="D21290" s="4"/>
    </row>
    <row collapsed="" customFormat="false" customHeight="1" hidden="" ht="14" outlineLevel="0" r="21291">
      <c r="A21291" s="3" t="inlineStr">
        <is>
          <t>21236</t>
        </is>
      </c>
      <c r="B21291" s="4" t="s">
        <f>=HYPERLINK("http://anyluxury.ru/shop/otdykh/tovary-dlya-puteshestviy/butilka-dlya-sporta-resource-zelenaya-750490/" , "7504.90 Бутылка для спорта Re-Source, зеленая")</f>
      </c>
      <c r="C21291" s="4" t="n">
        <v>679.00</v>
      </c>
      <c r="D21291" s="4"/>
    </row>
    <row collapsed="" customFormat="false" customHeight="1" hidden="" ht="14" outlineLevel="0" r="21292">
      <c r="A21292" s="3" t="inlineStr">
        <is>
          <t>21237</t>
        </is>
      </c>
      <c r="B21292" s="4" t="s">
        <f>=HYPERLINK("http://anyluxury.ru/shop/otdykh/tovary-dlya-puteshestviy/dorozhnie-vesi-ponder-chernie-54530/" , "545.30 Дорожные весы Ponder, черные")</f>
      </c>
      <c r="C21292" s="4" t="n">
        <v>729.00</v>
      </c>
      <c r="D21292" s="4"/>
    </row>
    <row collapsed="" customFormat="false" customHeight="1" hidden="" ht="14" outlineLevel="0" r="21293">
      <c r="A21293" s="3" t="inlineStr">
        <is>
          <t>21238</t>
        </is>
      </c>
      <c r="B21293" s="4" t="s">
        <f>=HYPERLINK("http://anyluxury.ru/shop/otdykh/tovary-dlya-puteshestviy/dorozhnie-vesi-ponder-sinie-54540/" , "545.40 Дорожные весы Ponder, синие")</f>
      </c>
      <c r="C21293" s="4" t="n">
        <v>729.00</v>
      </c>
      <c r="D21293" s="4"/>
    </row>
    <row collapsed="" customFormat="false" customHeight="1" hidden="" ht="14" outlineLevel="0" r="21294">
      <c r="A21294" s="3" t="inlineStr">
        <is>
          <t>21239</t>
        </is>
      </c>
      <c r="B21294" s="4" t="s">
        <f>=HYPERLINK("http://anyluxury.ru/shop/otdykh/tovary-dlya-puteshestviy/kreplenie-dlya-bagazha-clamp-beloe-mkt4280wht/" , "MKT4280wht Крепление для багажа Clamp, белое")</f>
      </c>
      <c r="C21294" s="4" t="n">
        <v>79.00</v>
      </c>
      <c r="D21294" s="4"/>
    </row>
    <row collapsed="" customFormat="false" customHeight="1" hidden="" ht="14" outlineLevel="0" r="21295">
      <c r="A21295" s="3" t="inlineStr">
        <is>
          <t>21240</t>
        </is>
      </c>
      <c r="B21295" s="4" t="s">
        <f>=HYPERLINK("http://anyluxury.ru/shop/otdykh/tovary-dlya-puteshestviy/kreplenie-dlya-bagazha-clamp-sinee-mkt4280blue/" , "MKT4280blue Крепление для багажа Clamp, синее")</f>
      </c>
      <c r="C21295" s="4" t="n">
        <v>79.00</v>
      </c>
      <c r="D21295" s="4"/>
    </row>
    <row collapsed="" customFormat="false" customHeight="1" hidden="" ht="14" outlineLevel="0" r="21296">
      <c r="A21296" s="3" t="inlineStr">
        <is>
          <t>21241</t>
        </is>
      </c>
      <c r="B21296" s="4" t="s">
        <f>=HYPERLINK("http://anyluxury.ru/shop/otdykh/tovary-dlya-puteshestviy/kreplenie-dlya-bagazha-clamp-chernoe-mkt4280blck/" , "MKT4280blck Крепление для багажа Clamp, черное")</f>
      </c>
      <c r="C21296" s="4" t="n">
        <v>79.00</v>
      </c>
      <c r="D21296" s="4"/>
    </row>
    <row collapsed="" customFormat="false" customHeight="1" hidden="" ht="14" outlineLevel="0" r="21297">
      <c r="A21297" s="3" t="inlineStr">
        <is>
          <t>21242</t>
        </is>
      </c>
      <c r="B21297" s="4" t="s">
        <f>=HYPERLINK("http://anyluxury.ru/shop/otdykh/tovary-dlya-puteshestviy/lopata-skladnaya-plow-flow-1031930/" , "10319.30 Лопата складная Plow Flow")</f>
      </c>
      <c r="C21297" s="4" t="n">
        <v>4990.00</v>
      </c>
      <c r="D21297" s="4"/>
    </row>
    <row collapsed="" customFormat="false" customHeight="1" hidden="" ht="14" outlineLevel="0" r="21298">
      <c r="A21298" s="3" t="inlineStr">
        <is>
          <t>21243</t>
        </is>
      </c>
      <c r="B21298" s="4" t="s">
        <f>=HYPERLINK("http://anyluxury.ru/shop/otdykh/tovary-dlya-puteshestviy/naduvnaya-podushka-global-ta-seraya-co138015/" , "CO1-38015 Надувная подушка Global TA, серая")</f>
      </c>
      <c r="C21298" s="4" t="n">
        <v>1100.00</v>
      </c>
      <c r="D21298" s="4"/>
    </row>
    <row collapsed="" customFormat="false" customHeight="1" hidden="" ht="14" outlineLevel="0" r="21299">
      <c r="A21299" s="3" t="inlineStr">
        <is>
          <t>21244</t>
        </is>
      </c>
      <c r="B21299" s="4" t="s">
        <f>=HYPERLINK("http://anyluxury.ru/shop/otdykh/tovary-dlya-puteshestviy/dorozhniy-nabor-emkostey-dlya-kosmetiki-road-lord-7415200/" , "74152.00 Дорожный набор емкостей для косметики Road Lord")</f>
      </c>
      <c r="C21299" s="4" t="n">
        <v>682.00</v>
      </c>
      <c r="D21299" s="4"/>
    </row>
    <row collapsed="" customFormat="false" customHeight="1" hidden="" ht="14" outlineLevel="0" r="21300">
      <c r="A21300" s="3" t="inlineStr">
        <is>
          <t>21245</t>
        </is>
      </c>
      <c r="B21300" s="4" t="s">
        <f>=HYPERLINK("http://anyluxury.ru/shop/otdykh/tovary-dlya-puteshestviy/turisticheskiy-nabor-so-skovorodoy-stanley-adventure-1079713/" , "10797.13 Туристический набор со сковородой Stanley Adventure")</f>
      </c>
      <c r="C21300" s="4" t="n">
        <v>3720.00</v>
      </c>
      <c r="D21300" s="4"/>
    </row>
    <row collapsed="" customFormat="false" customHeight="1" hidden="" ht="14" outlineLevel="0" r="21301">
      <c r="A21301" s="3" t="inlineStr">
        <is>
          <t>21246</t>
        </is>
      </c>
      <c r="B21301" s="4" t="s">
        <f>=HYPERLINK("http://anyluxury.ru/shop/otdykh/tovary-dlya-puteshestviy/turisticheskiy-nabor-s-kastryuley-stanley-adventure-1500-stalnoy-1080513/" , "10805.13 Туристический набор с кастрюлей Stanley Adventure 1500, стальной")</f>
      </c>
      <c r="C21301" s="4" t="n">
        <v>4880.00</v>
      </c>
      <c r="D21301" s="4"/>
    </row>
    <row collapsed="" customFormat="false" customHeight="1" hidden="" ht="14" outlineLevel="0" r="21302">
      <c r="A21302" s="3" t="inlineStr">
        <is>
          <t>21247</t>
        </is>
      </c>
      <c r="B21302" s="4" t="s">
        <f>=HYPERLINK("http://anyluxury.ru/shop/otdykh/tovary-dlya-puteshestviy/nalobniy-fonar-h72-1202830/" , "12028.30 Налобный фонарь H7.2")</f>
      </c>
      <c r="C21302" s="4" t="n">
        <v>4850.00</v>
      </c>
      <c r="D21302" s="4"/>
    </row>
    <row collapsed="" customFormat="false" customHeight="1" hidden="" ht="14" outlineLevel="0" r="21303">
      <c r="A21303" s="3" t="inlineStr">
        <is>
          <t>21248</t>
        </is>
      </c>
      <c r="B21303" s="4" t="s">
        <f>=HYPERLINK("http://anyluxury.ru/shop/otdykh/tovary-dlya-puteshestviy/dorozhnie-vesi-granska-krasnie-1086350/" , "10863.50 Дорожные весы Granska, красные")</f>
      </c>
      <c r="C21303" s="4" t="n">
        <v>999.00</v>
      </c>
      <c r="D21303" s="4"/>
    </row>
    <row collapsed="" customFormat="false" customHeight="1" hidden="" ht="14" outlineLevel="0" r="21304">
      <c r="A21304" s="3" t="inlineStr">
        <is>
          <t>21249</t>
        </is>
      </c>
      <c r="B21304" s="4" t="s">
        <f>=HYPERLINK("http://anyluxury.ru/shop/otdykh/tovary-dlya-puteshestviy/sumka-dlya-dokumentov-burst-reliable-seraya-1159510/" , "11595.10 Сумка для документов Reliable, серая")</f>
      </c>
      <c r="C21304" s="4" t="n">
        <v>759.00</v>
      </c>
      <c r="D21304" s="4"/>
    </row>
    <row collapsed="" customFormat="false" customHeight="1" hidden="" ht="14" outlineLevel="0" r="21305">
      <c r="A21305" s="3" t="inlineStr">
        <is>
          <t>21250</t>
        </is>
      </c>
      <c r="B21305" s="4" t="s">
        <f>=HYPERLINK("http://anyluxury.ru/shop/otdykh/tovary-dlya-puteshestviy/podushka-pod-sheyu-dlya-puteshestviy-cabeau-evolution-cool-fioletovaya-577454/" , "5774.54 Подушка под шею для путешествий Evolution Cool, фиолетовая")</f>
      </c>
      <c r="C21305" s="4" t="n">
        <v>2587.00</v>
      </c>
      <c r="D21305" s="4"/>
    </row>
    <row collapsed="" customFormat="false" customHeight="1" hidden="" ht="14" outlineLevel="0" r="21306">
      <c r="A21306" s="3" t="inlineStr">
        <is>
          <t>21251</t>
        </is>
      </c>
      <c r="B21306" s="4" t="s">
        <f>=HYPERLINK("http://anyluxury.ru/shop/otdykh/tovary-dlya-puteshestviy/naduvnoy-kovrik-static-v-double-siniy-1230144/" , "12301.44 Надувной коврик Static V Double, синий")</f>
      </c>
      <c r="C21306" s="4" t="n">
        <v>12919.00</v>
      </c>
      <c r="D21306" s="4"/>
    </row>
    <row collapsed="" customFormat="false" customHeight="1" hidden="" ht="14" outlineLevel="0" r="21307">
      <c r="A21307" s="3" t="inlineStr">
        <is>
          <t>21252</t>
        </is>
      </c>
      <c r="B21307" s="4" t="s">
        <f>=HYPERLINK("http://anyluxury.ru/shop/otdykh/tovary-dlya-puteshestviy/naduvnoy-kovrik-static-v-zeleniy-1230290/" , "12302.90 Надувной коврик Static V, зеленый")</f>
      </c>
      <c r="C21307" s="4" t="n">
        <v>6629.00</v>
      </c>
      <c r="D21307" s="4"/>
    </row>
    <row collapsed="" customFormat="false" customHeight="1" hidden="" ht="14" outlineLevel="0" r="21308">
      <c r="A21308" s="3" t="inlineStr">
        <is>
          <t>21253</t>
        </is>
      </c>
      <c r="B21308" s="4" t="s">
        <f>=HYPERLINK("http://anyluxury.ru/shop/otdykh/tovary-dlya-puteshestviy/naduvnoy-kovrik-static-v-junior-zeleniy-1230390/" , "12303.90 Надувной коврик Static V Junior, зеленый")</f>
      </c>
      <c r="C21308" s="4" t="n">
        <v>5320.00</v>
      </c>
      <c r="D21308" s="4"/>
    </row>
    <row collapsed="" customFormat="false" customHeight="1" hidden="" ht="14" outlineLevel="0" r="21309">
      <c r="A21309" s="3" t="inlineStr">
        <is>
          <t>21254</t>
        </is>
      </c>
      <c r="B21309" s="4" t="s">
        <f>=HYPERLINK("http://anyluxury.ru/shop/otdykh/tovary-dlya-puteshestviy/naduvnoy-kovrik-static-v-long-zeleniy-1230490/" , "12304.90 Надувной коврик Static V Long, зеленый")</f>
      </c>
      <c r="C21309" s="4" t="n">
        <v>6959.00</v>
      </c>
      <c r="D21309" s="4"/>
    </row>
    <row collapsed="" customFormat="false" customHeight="1" hidden="" ht="14" outlineLevel="0" r="21310">
      <c r="A21310" s="3" t="inlineStr">
        <is>
          <t>21255</t>
        </is>
      </c>
      <c r="B21310" s="4" t="s">
        <f>=HYPERLINK("http://anyluxury.ru/shop/otdykh/tovary-dlya-puteshestviy/naduvnoy-kovrik-static-v-luxe-seriy-1230511/" , "12305.11 Надувной коврик Static V Luxe, серый")</f>
      </c>
      <c r="C21310" s="4" t="n">
        <v>11820.00</v>
      </c>
      <c r="D21310" s="4"/>
    </row>
    <row collapsed="" customFormat="false" customHeight="1" hidden="" ht="14" outlineLevel="0" r="21311">
      <c r="A21311" s="3" t="inlineStr">
        <is>
          <t>21256</t>
        </is>
      </c>
      <c r="B21311" s="4" t="s">
        <f>=HYPERLINK("http://anyluxury.ru/shop/otdykh/tovary-dlya-puteshestviy/naduvnoy-kovrik-static-v-luxe-sl-siniy-1230640/" , "12306.40 Надувной коврик Static V Luxe SL, синий")</f>
      </c>
      <c r="C21311" s="4" t="n">
        <v>13170.00</v>
      </c>
      <c r="D21311" s="4"/>
    </row>
    <row collapsed="" customFormat="false" customHeight="1" hidden="" ht="14" outlineLevel="0" r="21312">
      <c r="A21312" s="3" t="inlineStr">
        <is>
          <t>21257</t>
        </is>
      </c>
      <c r="B21312" s="4" t="s">
        <f>=HYPERLINK("http://anyluxury.ru/shop/otdykh/tovary-dlya-puteshestviy/naduvnoy-kovrik-static-v-realtree-camo-kamuflyazh-1230717/" , "12307.17 Надувной коврик Static V Realtree Camo, камуфляж")</f>
      </c>
      <c r="C21312" s="4" t="n">
        <v>8460.00</v>
      </c>
      <c r="D21312" s="4"/>
    </row>
    <row collapsed="" customFormat="false" customHeight="1" hidden="" ht="14" outlineLevel="0" r="21313">
      <c r="A21313" s="3" t="inlineStr">
        <is>
          <t>21258</t>
        </is>
      </c>
      <c r="B21313" s="4" t="s">
        <f>=HYPERLINK("http://anyluxury.ru/shop/otdykh/tovary-dlya-puteshestviy/naduvnoy-kovrik-static-v-realtree-edge-kamuflyazh-1230817/" , "12308.17 Надувной коврик Static V Realtree Edge, камуфляж")</f>
      </c>
      <c r="C21313" s="4" t="n">
        <v>6810.00</v>
      </c>
      <c r="D21313" s="4"/>
    </row>
    <row collapsed="" customFormat="false" customHeight="1" hidden="" ht="14" outlineLevel="0" r="21314">
      <c r="A21314" s="3" t="inlineStr">
        <is>
          <t>21259</t>
        </is>
      </c>
      <c r="B21314" s="4" t="s">
        <f>=HYPERLINK("http://anyluxury.ru/shop/otdykh/tovary-dlya-puteshestviy/naduvnoy-kovrik-static-v-recon-pesochniy-1230910/" , "12309.10 Надувной коврик Static V Recon, песочный")</f>
      </c>
      <c r="C21314" s="4" t="n">
        <v>12550.00</v>
      </c>
      <c r="D21314" s="4"/>
    </row>
    <row collapsed="" customFormat="false" customHeight="1" hidden="" ht="14" outlineLevel="0" r="21315">
      <c r="A21315" s="3" t="inlineStr">
        <is>
          <t>21260</t>
        </is>
      </c>
      <c r="B21315" s="4" t="s">
        <f>=HYPERLINK("http://anyluxury.ru/shop/otdykh/tovary-dlya-puteshestviy/naduvnoy-kovrik-static-v-camo-kamuflyazh-1231017/" , "12310.17 Надувной коврик Static V Camo, камуфляж")</f>
      </c>
      <c r="C21315" s="4" t="n">
        <v>8640.00</v>
      </c>
      <c r="D21315" s="4"/>
    </row>
    <row collapsed="" customFormat="false" customHeight="1" hidden="" ht="14" outlineLevel="0" r="21316">
      <c r="A21316" s="3" t="inlineStr">
        <is>
          <t>21261</t>
        </is>
      </c>
      <c r="B21316" s="4" t="s">
        <f>=HYPERLINK("http://anyluxury.ru/shop/otdykh/tovary-dlya-puteshestviy/naduvnoy-kovrik-static-v2-zeleniy-1231190/" , "12311.90 Надувной коврик Static V2, зеленый")</f>
      </c>
      <c r="C21316" s="4" t="n">
        <v>7119.00</v>
      </c>
      <c r="D21316" s="4"/>
    </row>
    <row collapsed="" customFormat="false" customHeight="1" hidden="" ht="14" outlineLevel="0" r="21317">
      <c r="A21317" s="3" t="inlineStr">
        <is>
          <t>21262</t>
        </is>
      </c>
      <c r="B21317" s="4" t="s">
        <f>=HYPERLINK("http://anyluxury.ru/shop/otdykh/tovary-dlya-puteshestviy/palatka-trekingovaya-maxfield-2-seraya-s-oranzhevim-1231211/" , "12312.11 Палатка трекинговая Maxfield 2, серая с оранжевым")</f>
      </c>
      <c r="C21317" s="4" t="n">
        <v>44080.00</v>
      </c>
      <c r="D21317" s="4"/>
    </row>
    <row collapsed="" customFormat="false" customHeight="1" hidden="" ht="14" outlineLevel="0" r="21318">
      <c r="A21318" s="3" t="inlineStr">
        <is>
          <t>21263</t>
        </is>
      </c>
      <c r="B21318" s="4" t="s">
        <f>=HYPERLINK("http://anyluxury.ru/shop/otdykh/tovary-dlya-puteshestviy/palatka-trekingovaya-maxfield-4-seraya-s-oranzhevim-1231311/" , "12313.11 Палатка трекинговая Maxfield 4, серая с оранжевым")</f>
      </c>
      <c r="C21318" s="4" t="n">
        <v>56120.00</v>
      </c>
      <c r="D21318" s="4"/>
    </row>
    <row collapsed="" customFormat="false" customHeight="1" hidden="" ht="14" outlineLevel="0" r="21319">
      <c r="A21319" s="3" t="inlineStr">
        <is>
          <t>21264</t>
        </is>
      </c>
      <c r="B21319" s="4" t="s">
        <f>=HYPERLINK("http://anyluxury.ru/shop/otdykh/tovary-dlya-puteshestviy/spalniy-meshok-klymit-ksb-35-serogoluboy-1231414/" , "12314.14 Спальный мешок Klymit KSB 35, серо-голубой")</f>
      </c>
      <c r="C21319" s="4" t="n">
        <v>22040.00</v>
      </c>
      <c r="D21319" s="4"/>
    </row>
    <row collapsed="" customFormat="false" customHeight="1" hidden="" ht="14" outlineLevel="0" r="21320">
      <c r="A21320" s="3" t="inlineStr">
        <is>
          <t>21265</t>
        </is>
      </c>
      <c r="B21320" s="4" t="s">
        <f>=HYPERLINK("http://anyluxury.ru/shop/otdykh/tovary-dlya-puteshestviy/naduvnoy-kovrik-v-ultralite-sl-goluboy-1231544/" , "12315.44 Надувной коврик V Ultralite SL, голубой")</f>
      </c>
      <c r="C21320" s="4" t="n">
        <v>8349.00</v>
      </c>
      <c r="D21320" s="4"/>
    </row>
    <row collapsed="" customFormat="false" customHeight="1" hidden="" ht="14" outlineLevel="0" r="21321">
      <c r="A21321" s="3" t="inlineStr">
        <is>
          <t>21266</t>
        </is>
      </c>
      <c r="B21321" s="4" t="s">
        <f>=HYPERLINK("http://anyluxury.ru/shop/otdykh/tovary-dlya-puteshestviy/naduvnoy-kovrik-armored-v-serogoluboy-1231614/" , "12316.14 Надувной коврик Armored V, серо-голубой")</f>
      </c>
      <c r="C21321" s="4" t="n">
        <v>14589.00</v>
      </c>
      <c r="D21321" s="4"/>
    </row>
    <row collapsed="" customFormat="false" customHeight="1" hidden="" ht="14" outlineLevel="0" r="21322">
      <c r="A21322" s="3" t="inlineStr">
        <is>
          <t>21267</t>
        </is>
      </c>
      <c r="B21322" s="4" t="s">
        <f>=HYPERLINK("http://anyluxury.ru/shop/otdykh/tovary-dlya-puteshestviy/naduvnoy-kovrik-insulated-static-v-lite-oranzheviy-1231720/" , "12317.20 Надувной коврик Insulated Static V Lite, оранжевый")</f>
      </c>
      <c r="C21322" s="4" t="n">
        <v>9759.00</v>
      </c>
      <c r="D21322" s="4"/>
    </row>
    <row collapsed="" customFormat="false" customHeight="1" hidden="" ht="14" outlineLevel="0" r="21323">
      <c r="A21323" s="3" t="inlineStr">
        <is>
          <t>21268</t>
        </is>
      </c>
      <c r="B21323" s="4" t="s">
        <f>=HYPERLINK("http://anyluxury.ru/shop/otdykh/tovary-dlya-puteshestviy/naduvnoy-kovrik-insulated-v-ultralite-sl-oranzheviy-1231820/" , "12318.20 Надувной коврик Insulated V Ultralite SL, оранжевый")</f>
      </c>
      <c r="C21323" s="4" t="n">
        <v>10569.00</v>
      </c>
      <c r="D21323" s="4"/>
    </row>
    <row collapsed="" customFormat="false" customHeight="1" hidden="" ht="14" outlineLevel="0" r="21324">
      <c r="A21324" s="3" t="inlineStr">
        <is>
          <t>21269</t>
        </is>
      </c>
      <c r="B21324" s="4" t="s">
        <f>=HYPERLINK("http://anyluxury.ru/shop/otdykh/tovary-dlya-puteshestviy/naduvnoy-kovrik-v-ultralite-sl-zion-1231959/" , "12319.59 Надувной коврик V Ultralite SL Zion")</f>
      </c>
      <c r="C21324" s="4" t="n">
        <v>13189.00</v>
      </c>
      <c r="D21324" s="4"/>
    </row>
    <row collapsed="" customFormat="false" customHeight="1" hidden="" ht="14" outlineLevel="0" r="21325">
      <c r="A21325" s="3" t="inlineStr">
        <is>
          <t>21270</t>
        </is>
      </c>
      <c r="B21325" s="4" t="s">
        <f>=HYPERLINK("http://anyluxury.ru/shop/otdykh/tovary-dlya-puteshestviy/naduvnoy-kovrik-insulated-double-v-oranzheviy-1232020/" , "12320.20 Надувной коврик Insulated Double V, оранжевый")</f>
      </c>
      <c r="C21325" s="4" t="n">
        <v>15369.00</v>
      </c>
      <c r="D21325" s="4"/>
    </row>
    <row collapsed="" customFormat="false" customHeight="1" hidden="" ht="14" outlineLevel="0" r="21326">
      <c r="A21326" s="3" t="inlineStr">
        <is>
          <t>21271</t>
        </is>
      </c>
      <c r="B21326" s="4" t="s">
        <f>=HYPERLINK("http://anyluxury.ru/shop/otdykh/tovary-dlya-puteshestviy/naduvnoy-kovrik-insulated-static-v-camo-kamuflyazh-1232117/" , "12321.17 Надувной коврик Insulated Static V Camo, камуфляж")</f>
      </c>
      <c r="C21326" s="4" t="n">
        <v>11220.00</v>
      </c>
      <c r="D21326" s="4"/>
    </row>
    <row collapsed="" customFormat="false" customHeight="1" hidden="" ht="14" outlineLevel="0" r="21327">
      <c r="A21327" s="3" t="inlineStr">
        <is>
          <t>21272</t>
        </is>
      </c>
      <c r="B21327" s="4" t="s">
        <f>=HYPERLINK("http://anyluxury.ru/shop/otdykh/tovary-dlya-puteshestviy/naduvnoy-kovrik-insulated-static-v-luxe-krasniy-1232250/" , "12322.50 Надувной коврик Insulated Static V Luxe, красный")</f>
      </c>
      <c r="C21327" s="4" t="n">
        <v>15060.00</v>
      </c>
      <c r="D21327" s="4"/>
    </row>
    <row collapsed="" customFormat="false" customHeight="1" hidden="" ht="14" outlineLevel="0" r="21328">
      <c r="A21328" s="3" t="inlineStr">
        <is>
          <t>21273</t>
        </is>
      </c>
      <c r="B21328" s="4" t="s">
        <f>=HYPERLINK("http://anyluxury.ru/shop/otdykh/tovary-dlya-puteshestviy/naduvnoy-kovrik-insulated-static-v-luxe-sl-pesochniy-1232310/" , "12323.10 Надувной коврик Insulated Static V Luxe SL, песочный")</f>
      </c>
      <c r="C21328" s="4" t="n">
        <v>15370.00</v>
      </c>
      <c r="D21328" s="4"/>
    </row>
    <row collapsed="" customFormat="false" customHeight="1" hidden="" ht="14" outlineLevel="0" r="21329">
      <c r="A21329" s="3" t="inlineStr">
        <is>
          <t>21274</t>
        </is>
      </c>
      <c r="B21329" s="4" t="s">
        <f>=HYPERLINK("http://anyluxury.ru/shop/otdykh/tovary-dlya-puteshestviy/naduvnoy-kovrik-insulated-static-v-realtree-camo-kamuflyazh-1232417/" , "12324.17 Надувной коврик Insulated Static V Realtree Camo, камуфляж")</f>
      </c>
      <c r="C21329" s="4" t="n">
        <v>10099.00</v>
      </c>
      <c r="D21329" s="4"/>
    </row>
    <row collapsed="" customFormat="false" customHeight="1" hidden="" ht="14" outlineLevel="0" r="21330">
      <c r="A21330" s="3" t="inlineStr">
        <is>
          <t>21275</t>
        </is>
      </c>
      <c r="B21330" s="4" t="s">
        <f>=HYPERLINK("http://anyluxury.ru/shop/otdykh/tovary-dlya-puteshestviy/naduvnoy-kovrik-insulated-static-v-recon-pesochniy-1232510/" , "12325.10 Надувной коврик Insulated Static V Recon, песочный")</f>
      </c>
      <c r="C21330" s="4" t="n">
        <v>8799.00</v>
      </c>
      <c r="D21330" s="4"/>
    </row>
    <row collapsed="" customFormat="false" customHeight="1" hidden="" ht="14" outlineLevel="0" r="21331">
      <c r="A21331" s="3" t="inlineStr">
        <is>
          <t>21276</t>
        </is>
      </c>
      <c r="B21331" s="4" t="s">
        <f>=HYPERLINK("http://anyluxury.ru/shop/otdykh/tovary-dlya-puteshestviy/naduvnoy-kovrik-insulated-static-v-oranzheviy-1232620/" , "12326.20 Надувной коврик Insulated Static V, оранжевый")</f>
      </c>
      <c r="C21331" s="4" t="n">
        <v>8899.00</v>
      </c>
      <c r="D21331" s="4"/>
    </row>
    <row collapsed="" customFormat="false" customHeight="1" hidden="" ht="14" outlineLevel="0" r="21332">
      <c r="A21332" s="3" t="inlineStr">
        <is>
          <t>21277</t>
        </is>
      </c>
      <c r="B21332" s="4" t="s">
        <f>=HYPERLINK("http://anyluxury.ru/shop/otdykh/tovary-dlya-puteshestviy/naduvnoy-kovrik-inertia-ozone-siniy-1232744/" , "12327.44 Надувной коврик Inertia Ozone, синий")</f>
      </c>
      <c r="C21332" s="4" t="n">
        <v>8669.00</v>
      </c>
      <c r="D21332" s="4"/>
    </row>
    <row collapsed="" customFormat="false" customHeight="1" hidden="" ht="14" outlineLevel="0" r="21333">
      <c r="A21333" s="3" t="inlineStr">
        <is>
          <t>21278</t>
        </is>
      </c>
      <c r="B21333" s="4" t="s">
        <f>=HYPERLINK("http://anyluxury.ru/shop/otdykh/tovary-dlya-puteshestviy/naduvnoy-kovrik-inertia-x-frame-zheltiy-1232880/" , "12328.80 Надувной коврик Inertia X Frame, желтый")</f>
      </c>
      <c r="C21333" s="4" t="n">
        <v>7670.00</v>
      </c>
      <c r="D21333" s="4"/>
    </row>
    <row collapsed="" customFormat="false" customHeight="1" hidden="" ht="14" outlineLevel="0" r="21334">
      <c r="A21334" s="3" t="inlineStr">
        <is>
          <t>21279</t>
        </is>
      </c>
      <c r="B21334" s="4" t="s">
        <f>=HYPERLINK("http://anyluxury.ru/shop/otdykh/tovary-dlya-puteshestviy/naduvnoy-kovrik-inertia-xlite-oranzheviy-1232920/" , "12329.20 Надувной коврик Inertia X-Lite, оранжевый")</f>
      </c>
      <c r="C21334" s="4" t="n">
        <v>6180.00</v>
      </c>
      <c r="D21334" s="4"/>
    </row>
    <row collapsed="" customFormat="false" customHeight="1" hidden="" ht="14" outlineLevel="0" r="21335">
      <c r="A21335" s="3" t="inlineStr">
        <is>
          <t>21280</t>
        </is>
      </c>
      <c r="B21335" s="4" t="s">
        <f>=HYPERLINK("http://anyluxury.ru/shop/otdykh/tovary-dlya-puteshestviy/naduvnoy-kovrik-inertia-xl-cherniy-1233030/" , "12330.30 Надувной коврик Inertia XL, черный")</f>
      </c>
      <c r="C21335" s="4" t="n">
        <v>7820.00</v>
      </c>
      <c r="D21335" s="4"/>
    </row>
    <row collapsed="" customFormat="false" customHeight="1" hidden="" ht="14" outlineLevel="0" r="21336">
      <c r="A21336" s="3" t="inlineStr">
        <is>
          <t>21281</t>
        </is>
      </c>
      <c r="B21336" s="4" t="s">
        <f>=HYPERLINK("http://anyluxury.ru/shop/otdykh/tovary-dlya-puteshestviy/naduvnoy-kovrik-inertia-xl-recon-pesochniy-1233110/" , "12331.10 Надувной коврик Inertia XL Recon, песочный")</f>
      </c>
      <c r="C21336" s="4" t="n">
        <v>7199.00</v>
      </c>
      <c r="D21336" s="4"/>
    </row>
    <row collapsed="" customFormat="false" customHeight="1" hidden="" ht="14" outlineLevel="0" r="21337">
      <c r="A21337" s="3" t="inlineStr">
        <is>
          <t>21282</t>
        </is>
      </c>
      <c r="B21337" s="4" t="s">
        <f>=HYPERLINK("http://anyluxury.ru/shop/otdykh/tovary-dlya-puteshestviy/naduvnaya-podushka-pillow-luxe-seraya-1233211/" , "12332.11 Надувная подушка Pillow Luxe, серая")</f>
      </c>
      <c r="C21337" s="4" t="n">
        <v>4550.00</v>
      </c>
      <c r="D21337" s="4"/>
    </row>
    <row collapsed="" customFormat="false" customHeight="1" hidden="" ht="14" outlineLevel="0" r="21338">
      <c r="A21338" s="3" t="inlineStr">
        <is>
          <t>21283</t>
        </is>
      </c>
      <c r="B21338" s="4" t="s">
        <f>=HYPERLINK("http://anyluxury.ru/shop/otdykh/tovary-dlya-puteshestviy/naduvnaya-podushka-pillow-x-large-biryuzovaya-1233349/" , "12333.49 Надувная подушка Pillow X Large, бирюзовая")</f>
      </c>
      <c r="C21338" s="4" t="n">
        <v>3070.00</v>
      </c>
      <c r="D21338" s="4"/>
    </row>
    <row collapsed="" customFormat="false" customHeight="1" hidden="" ht="14" outlineLevel="0" r="21339">
      <c r="A21339" s="3" t="inlineStr">
        <is>
          <t>21284</t>
        </is>
      </c>
      <c r="B21339" s="4" t="s">
        <f>=HYPERLINK("http://anyluxury.ru/shop/otdykh/tovary-dlya-puteshestviy/naduvnaya-podushka-pillow-x-recon-pesochnaya-1233410/" , "12334.10 Надувная подушка Pillow X Recon, песочная")</f>
      </c>
      <c r="C21339" s="4" t="n">
        <v>1849.00</v>
      </c>
      <c r="D21339" s="4"/>
    </row>
    <row collapsed="" customFormat="false" customHeight="1" hidden="" ht="14" outlineLevel="0" r="21340">
      <c r="A21340" s="3" t="inlineStr">
        <is>
          <t>21285</t>
        </is>
      </c>
      <c r="B21340" s="4" t="s">
        <f>=HYPERLINK("http://anyluxury.ru/shop/otdykh/tovary-dlya-puteshestviy/naduvnaya-podushka-pillow-x-krasnaya-1233550/" , "12335.50 Надувная подушка Pillow X, красная")</f>
      </c>
      <c r="C21340" s="4" t="n">
        <v>1860.00</v>
      </c>
      <c r="D21340" s="4"/>
    </row>
    <row collapsed="" customFormat="false" customHeight="1" hidden="" ht="14" outlineLevel="0" r="21341">
      <c r="A21341" s="3" t="inlineStr">
        <is>
          <t>21286</t>
        </is>
      </c>
      <c r="B21341" s="4" t="s">
        <f>=HYPERLINK("http://anyluxury.ru/shop/otdykh/tovary-dlya-puteshestviy/naduvnaya-podushkasidene-v-seat-seraya-1233611/" , "12336.11 Надувная подушка-сиденье V Seat, серая")</f>
      </c>
      <c r="C21341" s="4" t="n">
        <v>2550.00</v>
      </c>
      <c r="D21341" s="4"/>
    </row>
    <row collapsed="" customFormat="false" customHeight="1" hidden="" ht="14" outlineLevel="0" r="21342">
      <c r="A21342" s="3" t="inlineStr">
        <is>
          <t>21287</t>
        </is>
      </c>
      <c r="B21342" s="4" t="s">
        <f>=HYPERLINK("http://anyluxury.ru/shop/otdykh/tovary-dlya-puteshestviy/naduvnaya-podushkasidene-v-seat-zelenaya-1233692/" , "12336.92 Надувная подушка-сиденье V Seat, зеленая")</f>
      </c>
      <c r="C21342" s="4" t="n">
        <v>1410.00</v>
      </c>
      <c r="D21342" s="4"/>
    </row>
    <row collapsed="" customFormat="false" customHeight="1" hidden="" ht="14" outlineLevel="0" r="21343">
      <c r="A21343" s="3" t="inlineStr">
        <is>
          <t>21288</t>
        </is>
      </c>
      <c r="B21343" s="4" t="s">
        <f>=HYPERLINK("http://anyluxury.ru/shop/otdykh/tovary-dlya-puteshestviy/naduvnaya-podushkasidene-cush-seat-sinyaya-1233744/" , "12337.44 Надувная подушка-сиденье Cush Seat, синяя")</f>
      </c>
      <c r="C21343" s="4" t="n">
        <v>1319.00</v>
      </c>
      <c r="D21343" s="4"/>
    </row>
    <row collapsed="" customFormat="false" customHeight="1" hidden="" ht="14" outlineLevel="0" r="21344">
      <c r="A21344" s="3" t="inlineStr">
        <is>
          <t>21289</t>
        </is>
      </c>
      <c r="B21344" s="4" t="s">
        <f>=HYPERLINK("http://anyluxury.ru/shop/otdykh/tovary-dlya-puteshestviy/chehol-dlya-turisticheskogo-kovrika-quilted-v-sheet-serooranzheviy-1233821/" , "12338.21 Чехол для туристического коврика Quilted V Sheet, серо-оранжевый")</f>
      </c>
      <c r="C21344" s="4" t="n">
        <v>4550.00</v>
      </c>
      <c r="D21344" s="4"/>
    </row>
    <row collapsed="" customFormat="false" customHeight="1" hidden="" ht="14" outlineLevel="0" r="21345">
      <c r="A21345" s="3" t="inlineStr">
        <is>
          <t>21290</t>
        </is>
      </c>
      <c r="B21345" s="4" t="s">
        <f>=HYPERLINK("http://anyluxury.ru/shop/otdykh/tovary-dlya-puteshestviy/dorozhnie-vesi-libra-belie-1098060/" , "10980.60 Дорожные весы Libra, белые")</f>
      </c>
      <c r="C21345" s="4" t="n">
        <v>950.00</v>
      </c>
      <c r="D21345" s="4"/>
    </row>
    <row collapsed="" customFormat="false" customHeight="1" hidden="" ht="14" outlineLevel="0" r="21346">
      <c r="A21346" s="3" t="inlineStr">
        <is>
          <t>21291</t>
        </is>
      </c>
      <c r="B21346" s="4" t="s">
        <f>=HYPERLINK("http://anyluxury.ru/shop/otdykh/tovary-dlya-puteshestviy/dorozhnaya-podushka-comfomorf-seraya-1040210/" , "10402.10 Дорожная подушка comfoMorf, серая")</f>
      </c>
      <c r="C21346" s="4" t="n">
        <v>2999.00</v>
      </c>
      <c r="D21346" s="4"/>
    </row>
    <row collapsed="" customFormat="false" customHeight="1" hidden="" ht="14" outlineLevel="0" r="21347">
      <c r="A21347" s="3" t="inlineStr">
        <is>
          <t>21292</t>
        </is>
      </c>
      <c r="B21347" s="4" t="s">
        <f>=HYPERLINK("http://anyluxury.ru/shop/otdykh/tovary-dlya-puteshestviy/vodonepronicaemiy-meshok-ikke-vann-seriy-1164610/" , "11646.10 Водонепроницаемый мешок Ikke Vann, серый")</f>
      </c>
      <c r="C21347" s="4" t="n">
        <v>583.00</v>
      </c>
      <c r="D21347" s="4"/>
    </row>
    <row collapsed="" customFormat="false" customHeight="1" hidden="" ht="14" outlineLevel="0" r="21348">
      <c r="A21348" s="3" t="inlineStr">
        <is>
          <t>21293</t>
        </is>
      </c>
      <c r="B21348" s="4" t="s">
        <f>=HYPERLINK("http://anyluxury.ru/shop/otdykh/tovary-dlya-puteshestviy/bagazhnaya-birka-dorset-krasnaya-1264650/" , "12646.50 Багажная бирка Dorset, красная")</f>
      </c>
      <c r="C21348" s="4" t="n">
        <v>249.00</v>
      </c>
      <c r="D21348" s="4"/>
    </row>
    <row collapsed="" customFormat="false" customHeight="1" hidden="" ht="14" outlineLevel="0" r="21349">
      <c r="A21349" s="3" t="inlineStr">
        <is>
          <t>21294</t>
        </is>
      </c>
      <c r="B21349" s="4" t="s">
        <f>=HYPERLINK("http://anyluxury.ru/shop/otdykh/tovary-dlya-puteshestviy/manikyurniy-nabor-swiss-peak-3-sht-p820081/" , "P820.081 Маникюрный набор Swiss Peak, 3 шт")</f>
      </c>
      <c r="C21349" s="4" t="n">
        <v>1069.00</v>
      </c>
      <c r="D21349" s="4"/>
    </row>
    <row collapsed="" customFormat="false" customHeight="1" hidden="" ht="14" outlineLevel="0" r="21350">
      <c r="A21350" s="3" t="inlineStr">
        <is>
          <t>21295</t>
        </is>
      </c>
      <c r="B21350" s="4" t="s">
        <f>=HYPERLINK("http://anyluxury.ru/shop/otdykh/tovary-dlya-puteshestviy/kosmetichka-impact-iz-rpet-aware-p820205/" , "P820.205 Косметичка Impact из RPET AWARE™")</f>
      </c>
      <c r="C21350" s="4" t="n">
        <v>1929.00</v>
      </c>
      <c r="D21350" s="4"/>
    </row>
    <row collapsed="" customFormat="false" customHeight="1" hidden="" ht="14" outlineLevel="0" r="21351">
      <c r="A21351" s="3" t="inlineStr">
        <is>
          <t>21296</t>
        </is>
      </c>
      <c r="B21351" s="4" t="s">
        <f>=HYPERLINK("http://anyluxury.ru/shop/otdykh/tovary-dlya-puteshestviy/kosmetichka-impact-iz-rpet-aware-p820202/" , "P820.202 Косметичка Impact из RPET AWARE™")</f>
      </c>
      <c r="C21351" s="4" t="n">
        <v>1929.00</v>
      </c>
      <c r="D21351" s="4"/>
    </row>
    <row collapsed="" customFormat="false" customHeight="1" hidden="" ht="14" outlineLevel="0" r="21352">
      <c r="A21352" s="3" t="inlineStr">
        <is>
          <t>21297</t>
        </is>
      </c>
      <c r="B21352" s="4" t="s">
        <f>=HYPERLINK("http://anyluxury.ru/shop/otdykh/tovary-dlya-puteshestviy/kosmetichka-impact-iz-rpet-aware-p820201/" , "P820.201 Косметичка Impact из RPET AWARE™")</f>
      </c>
      <c r="C21352" s="4" t="n">
        <v>1929.00</v>
      </c>
      <c r="D21352" s="4"/>
    </row>
    <row collapsed="" customFormat="false" customHeight="1" hidden="" ht="14" outlineLevel="0" r="21353">
      <c r="A21353" s="3" t="inlineStr">
        <is>
          <t>21298</t>
        </is>
      </c>
      <c r="B21353" s="4" t="s">
        <f>=HYPERLINK("http://anyluxury.ru/shop/otdykh/tovary-dlya-puteshestviy/kataliticheskaya-grelka-dlya-ruk-zippo-mini-serebristaya-1298511/" , "12985.11 Каталитическая грелка для рук Zippo Mini, серебристая")</f>
      </c>
      <c r="C21353" s="4" t="n">
        <v>2880.00</v>
      </c>
      <c r="D21353" s="4"/>
    </row>
    <row collapsed="" customFormat="false" customHeight="1" hidden="" ht="14" outlineLevel="0" r="21354">
      <c r="A21354" s="3" t="inlineStr">
        <is>
          <t>21299</t>
        </is>
      </c>
      <c r="B21354" s="4" t="s">
        <f>=HYPERLINK("http://anyluxury.ru/shop/otdykh/tovary-dlya-puteshestviy/organayzer-cork-deluxe-s-ruchkoy-a4-p774131/" , "P774.131 Органайзер Cork Deluxe с ручкой, А4")</f>
      </c>
      <c r="C21354" s="4" t="n">
        <v>3050.00</v>
      </c>
      <c r="D21354" s="4"/>
    </row>
    <row collapsed="" customFormat="false" customHeight="1" hidden="" ht="14" outlineLevel="0" r="21355">
      <c r="A21355" s="3" t="inlineStr">
        <is>
          <t>21300</t>
        </is>
      </c>
      <c r="B21355" s="4" t="s">
        <f>=HYPERLINK("http://anyluxury.ru/shop/otdykh/tovary-dlya-puteshestviy/bagazhnaya-birka-devon-sinyaya-1320140/" , "13201.40 Багажная бирка Devon, синяя")</f>
      </c>
      <c r="C21355" s="4" t="n">
        <v>199.00</v>
      </c>
      <c r="D21355" s="4"/>
    </row>
    <row collapsed="" customFormat="false" customHeight="1" hidden="" ht="14" outlineLevel="0" r="21356">
      <c r="A21356" s="3" t="inlineStr">
        <is>
          <t>21301</t>
        </is>
      </c>
      <c r="B21356" s="4" t="s">
        <f>=HYPERLINK("http://anyluxury.ru/shop/otdykh/tovary-dlya-puteshestviy/bagazhnaya-birka-devon-zelenaya-1320190/" , "13201.90 Багажная бирка Devon, зеленая")</f>
      </c>
      <c r="C21356" s="4" t="n">
        <v>199.00</v>
      </c>
      <c r="D21356" s="4"/>
    </row>
    <row collapsed="" customFormat="false" customHeight="1" hidden="" ht="14" outlineLevel="0" r="21357">
      <c r="A21357" s="3" t="inlineStr">
        <is>
          <t>21302</t>
        </is>
      </c>
      <c r="B21357" s="4" t="s">
        <f>=HYPERLINK("http://anyluxury.ru/shop/otdykh/tovary-dlya-puteshestviy/bagazhniy-remen-s-vesami-bagremmen-cherniy-1272230/" , "12722.30 Багажный ремень с весами Bagremmen, черный")</f>
      </c>
      <c r="C21357" s="4" t="n">
        <v>1940.00</v>
      </c>
      <c r="D21357" s="4"/>
    </row>
    <row collapsed="" customFormat="false" customHeight="1" hidden="" ht="14" outlineLevel="0" r="21358">
      <c r="A21358" s="3" t="inlineStr">
        <is>
          <t>21303</t>
        </is>
      </c>
      <c r="B21358" s="4" t="s">
        <f>=HYPERLINK("http://anyluxury.ru/shop/otdykh/tovary-dlya-puteshestviy/mnogofunkcionalniy-svetodiodniy-fonar-klar-seriy-1272360/" , "12723.60 Многофункциональный светодиодный фонарь Klar, серый")</f>
      </c>
      <c r="C21358" s="4" t="n">
        <v>990.00</v>
      </c>
      <c r="D21358" s="4"/>
    </row>
    <row collapsed="" customFormat="false" customHeight="1" hidden="" ht="14" outlineLevel="0" r="21359">
      <c r="A21359" s="3" t="inlineStr">
        <is>
          <t>21304</t>
        </is>
      </c>
      <c r="B21359" s="4" t="s">
        <f>=HYPERLINK("http://anyluxury.ru/shop/otdykh/tovary-dlya-puteshestviy/zubnaya-shhetka-s-pastoy-push-and-brush-chernaya-1414130/" , "14141.30 Зубная щетка с пастой Push &amp; Brush, черная")</f>
      </c>
      <c r="C21359" s="4" t="n">
        <v>699.00</v>
      </c>
      <c r="D21359" s="4"/>
    </row>
    <row collapsed="" customFormat="false" customHeight="1" hidden="" ht="14" outlineLevel="0" r="21360">
      <c r="A21360" s="3" t="inlineStr">
        <is>
          <t>21305</t>
        </is>
      </c>
      <c r="B21360" s="4" t="s">
        <f>=HYPERLINK("http://anyluxury.ru/shop/otdykh/tovary-dlya-puteshestviy/bloknot-dlya-zapisey-deluxe-formata-a5-i-ruchkastilus-p773314/" , "P773.314 Блокнот для записей Deluxe формата A5 и ручка-стилус")</f>
      </c>
      <c r="C21360" s="4" t="n">
        <v>989.00</v>
      </c>
      <c r="D21360" s="4"/>
    </row>
    <row collapsed="" customFormat="false" customHeight="1" hidden="" ht="14" outlineLevel="0" r="21361">
      <c r="A21361" s="3" t="inlineStr">
        <is>
          <t>21306</t>
        </is>
      </c>
      <c r="B21361" s="4" t="s">
        <f>=HYPERLINK("http://anyluxury.ru/shop/otdykh/tovary-dlya-puteshestviy/bloknot-v-tverdoy-oblozhke-formata-a5-beliy-p773533/" , "P773.533 Блокнот в твердой обложке формата A5")</f>
      </c>
      <c r="C21361" s="4" t="n">
        <v>779.00</v>
      </c>
      <c r="D21361" s="4"/>
    </row>
    <row collapsed="" customFormat="false" customHeight="1" hidden="" ht="14" outlineLevel="0" r="21362">
      <c r="A21362" s="3" t="inlineStr">
        <is>
          <t>21307</t>
        </is>
      </c>
      <c r="B21362" s="4" t="s">
        <f>=HYPERLINK("http://anyluxury.ru/shop/otdykh/tovary-dlya-puteshestviy/bloknot-dlya-zapisey-basic-v-tverdoy-oblozhke-a5-p773211/" , "P773.211 Блокнот для записей Basic в твердой обложке, А5")</f>
      </c>
      <c r="C21362" s="4" t="n">
        <v>449.00</v>
      </c>
      <c r="D21362" s="4"/>
    </row>
    <row collapsed="" customFormat="false" customHeight="1" hidden="" ht="14" outlineLevel="0" r="21363">
      <c r="A21363" s="3" t="inlineStr">
        <is>
          <t>21308</t>
        </is>
      </c>
      <c r="B21363" s="4" t="s">
        <f>=HYPERLINK("http://anyluxury.ru/shop/otdykh/tovary-dlya-puteshestviy/bloknot-dlya-zapisey-basic-v-tverdoy-oblozhke-a5-p773213/" , "P773.213 Блокнот для записей Basic в твердой обложке, А5")</f>
      </c>
      <c r="C21363" s="4" t="n">
        <v>449.00</v>
      </c>
      <c r="D21363" s="4"/>
    </row>
    <row collapsed="" customFormat="false" customHeight="1" hidden="" ht="14" outlineLevel="0" r="21364">
      <c r="A21364" s="3" t="inlineStr">
        <is>
          <t>21309</t>
        </is>
      </c>
      <c r="B21364" s="4" t="s">
        <f>=HYPERLINK("http://anyluxury.ru/shop/otdykh/tovary-dlya-puteshestviy/bloknot-basic-v-tverdoy-oblozhke-a5-p773233/" , "P773.233 Блокнот Basic в твердой обложке, А5")</f>
      </c>
      <c r="C21364" s="4" t="n">
        <v>449.00</v>
      </c>
      <c r="D21364" s="4"/>
    </row>
    <row collapsed="" customFormat="false" customHeight="1" hidden="" ht="14" outlineLevel="0" r="21365">
      <c r="A21365" s="3" t="inlineStr">
        <is>
          <t>21310</t>
        </is>
      </c>
      <c r="B21365" s="4" t="s">
        <f>=HYPERLINK("http://anyluxury.ru/shop/otdykh/tovary-dlya-puteshestviy/bloknot-dlya-zapisey-basic-v-tverdoy-oblozhke-pu-a5-p773241/" , "P773.241 Блокнот для записей Basic в твердой обложке PU, А5")</f>
      </c>
      <c r="C21365" s="4" t="n">
        <v>489.00</v>
      </c>
      <c r="D21365" s="4"/>
    </row>
    <row collapsed="" customFormat="false" customHeight="1" hidden="" ht="14" outlineLevel="0" r="21366">
      <c r="A21366" s="3" t="inlineStr">
        <is>
          <t>21311</t>
        </is>
      </c>
      <c r="B21366" s="4" t="s">
        <f>=HYPERLINK("http://anyluxury.ru/shop/otdykh/tovary-dlya-puteshestviy/bloknot-na-rezinke-s-cvetnim-srezom-a5-p773307/" , "P773.307 Блокнот на резинке с цветным срезом, А5")</f>
      </c>
      <c r="C21366" s="4" t="n">
        <v>669.00</v>
      </c>
      <c r="D21366" s="4"/>
    </row>
    <row collapsed="" customFormat="false" customHeight="1" hidden="" ht="14" outlineLevel="0" r="21367">
      <c r="A21367" s="3" t="inlineStr">
        <is>
          <t>21312</t>
        </is>
      </c>
      <c r="B21367" s="4" t="s">
        <f>=HYPERLINK("http://anyluxury.ru/shop/otdykh/tovary-dlya-puteshestviy/bloknot-formata-a5-siniy-p773025/" , "P773.025 Блокнот формата A5")</f>
      </c>
      <c r="C21367" s="4" t="n">
        <v>729.00</v>
      </c>
      <c r="D21367" s="4"/>
    </row>
    <row collapsed="" customFormat="false" customHeight="1" hidden="" ht="14" outlineLevel="0" r="21368">
      <c r="A21368" s="3" t="inlineStr">
        <is>
          <t>21313</t>
        </is>
      </c>
      <c r="B21368" s="4" t="s">
        <f>=HYPERLINK("http://anyluxury.ru/shop/otdykh/tovary-dlya-puteshestviy/bloknot-formata-a5-oranzheviy-p773028/" , "P773.028 Блокнот формата A5")</f>
      </c>
      <c r="C21368" s="4" t="n">
        <v>729.00</v>
      </c>
      <c r="D21368" s="4"/>
    </row>
    <row collapsed="" customFormat="false" customHeight="1" hidden="" ht="14" outlineLevel="0" r="21369">
      <c r="A21369" s="3" t="inlineStr">
        <is>
          <t>21314</t>
        </is>
      </c>
      <c r="B21369" s="4" t="s">
        <f>=HYPERLINK("http://anyluxury.ru/shop/otdykh/tovary-dlya-puteshestviy/nabor-dlya-zametok-kraft-s-ruchkoy-a6-p774289/" , "P774.289 Набор для заметок Kraft с ручкой, А6")</f>
      </c>
      <c r="C21369" s="4" t="n">
        <v>329.00</v>
      </c>
      <c r="D21369" s="4"/>
    </row>
    <row collapsed="" customFormat="false" customHeight="1" hidden="" ht="14" outlineLevel="0" r="21370">
      <c r="A21370" s="3" t="inlineStr">
        <is>
          <t>21315</t>
        </is>
      </c>
      <c r="B21370" s="4" t="s">
        <f>=HYPERLINK("http://anyluxury.ru/shop/otdykh/tovary-dlya-puteshestviy/nabor-dlya-zametok-kraft-p774259/" , "P774.259 Набор для заметок Kraft")</f>
      </c>
      <c r="C21370" s="4" t="n">
        <v>229.00</v>
      </c>
      <c r="D21370" s="4"/>
    </row>
    <row collapsed="" customFormat="false" customHeight="1" hidden="" ht="14" outlineLevel="0" r="21371">
      <c r="A21371" s="3" t="inlineStr">
        <is>
          <t>21316</t>
        </is>
      </c>
      <c r="B21371" s="4" t="s">
        <f>=HYPERLINK("http://anyluxury.ru/shop/otdykh/tovary-dlya-puteshestviy/bloknot-na-spirali-kraft-s-ruchkoy-p774263/" , "P774.263 Блокнот на спирали Kraft с ручкой")</f>
      </c>
      <c r="C21371" s="4" t="n">
        <v>339.00</v>
      </c>
      <c r="D21371" s="4"/>
    </row>
    <row collapsed="" customFormat="false" customHeight="1" hidden="" ht="14" outlineLevel="0" r="21372">
      <c r="A21372" s="3" t="inlineStr">
        <is>
          <t>21317</t>
        </is>
      </c>
      <c r="B21372" s="4" t="s">
        <f>=HYPERLINK("http://anyluxury.ru/shop/otdykh/tovary-dlya-puteshestviy/kosmetichka-impact-basic-iz-rpet-aware-p820761/" , "P820.761 Косметичка Impact Basic из RPET AWARE™")</f>
      </c>
      <c r="C21372" s="4" t="n">
        <v>881.00</v>
      </c>
      <c r="D21372" s="4"/>
    </row>
    <row collapsed="" customFormat="false" customHeight="1" hidden="" ht="14" outlineLevel="0" r="21373">
      <c r="A21373" s="3" t="inlineStr">
        <is>
          <t>21318</t>
        </is>
      </c>
      <c r="B21373" s="4" t="s">
        <f>=HYPERLINK("http://anyluxury.ru/shop/otdykh/tovary-dlya-puteshestviy/nabor-iz-bloknota-v-myagkoy-oblozhke-a5-i-ruchki-x3-s-zashhitoy-ot-mikrobov-p774153/" , "P774.153 Набор из блокнота в мягкой обложке А5 и ручки X3 с защитой от микробов")</f>
      </c>
      <c r="C21373" s="4" t="n">
        <v>939.00</v>
      </c>
      <c r="D21373" s="4"/>
    </row>
    <row collapsed="" customFormat="false" customHeight="1" hidden="" ht="14" outlineLevel="0" r="21374">
      <c r="A21374" s="3" t="inlineStr">
        <is>
          <t>21319</t>
        </is>
      </c>
      <c r="B21374" s="4" t="s">
        <f>=HYPERLINK("http://anyluxury.ru/shop/otdykh/tovary-dlya-puteshestviy/chehol-na-chemodan-kansi-na-zakaz-bifleks-1890201/" , "18902.01 Чехол на чемодан Kansi на заказ, бифлекс")</f>
      </c>
      <c r="C21374" s="4" t="n">
        <v>2071.00</v>
      </c>
      <c r="D21374" s="4"/>
    </row>
    <row collapsed="" customFormat="false" customHeight="1" hidden="" ht="14" outlineLevel="0" r="21375">
      <c r="A21375" s="3" t="inlineStr">
        <is>
          <t>21320</t>
        </is>
      </c>
      <c r="B21375" s="4" t="s">
        <f>=HYPERLINK("http://anyluxury.ru/shop/otdykh/tovary-dlya-puteshestviy/chehol-na-chemodan-kansi-na-zakaz-stretch-1890202/" , "18902.02 Чехол на чемодан Kansi на заказ, стретч")</f>
      </c>
      <c r="C21375" s="4" t="n">
        <v>1189.00</v>
      </c>
      <c r="D21375" s="4"/>
    </row>
    <row collapsed="" customFormat="false" customHeight="1" hidden="" ht="14" outlineLevel="0" r="21376">
      <c r="A21376" s="3" t="inlineStr">
        <is>
          <t>21321</t>
        </is>
      </c>
      <c r="B21376" s="4" t="s">
        <f>=HYPERLINK("http://anyluxury.ru/shop/otdykh/tovary-dlya-puteshestviy/nabor-dlya-chistki-obuvi-cobb-13718/" , "13718 Набор для чистки обуви Cobb")</f>
      </c>
      <c r="C21376" s="4" t="n">
        <v>806.00</v>
      </c>
      <c r="D21376" s="4"/>
    </row>
    <row collapsed="" customFormat="false" customHeight="1" hidden="" ht="14" outlineLevel="0" r="21377">
      <c r="A21377" s="3" t="inlineStr">
        <is>
          <t>21322</t>
        </is>
      </c>
      <c r="B21377" s="4" t="s">
        <f>=HYPERLINK("http://anyluxury.ru/shop/otdykh/tovary-dlya-puteshestviy/bagazhnaya-birka-saff-plus-na-zakaz-1892801/" , "18928.01 Багажная бирка Devon Print на заказ")</f>
      </c>
      <c r="C21377" s="4" t="n">
        <v>273.00</v>
      </c>
      <c r="D21377" s="4"/>
    </row>
    <row collapsed="" customFormat="false" customHeight="1" hidden="" ht="14" outlineLevel="0" r="21378">
      <c r="A21378" s="3" t="inlineStr">
        <is>
          <t>21323</t>
        </is>
      </c>
      <c r="B21378" s="4" t="s">
        <f>=HYPERLINK("http://anyluxury.ru/shop/otdykh/tovary-dlya-puteshestviy/maska-dlya-sna-relax-na-zakaz-1894101/" , "18941.01 Маска для сна Relax на заказ")</f>
      </c>
      <c r="C21378" s="4" t="n">
        <v>439.00</v>
      </c>
      <c r="D21378" s="4"/>
    </row>
    <row collapsed="" customFormat="false" customHeight="1" hidden="" ht="14" outlineLevel="0" r="21379">
      <c r="A21379" s="3" t="inlineStr">
        <is>
          <t>21324</t>
        </is>
      </c>
      <c r="B21379" s="4" t="s">
        <f>=HYPERLINK("http://anyluxury.ru/shop/otdykh/tovary-dlya-puteshestviy/fonarik-na-klipse-elite-cherniy-1427730/" , "14277.30 Фонарик на клипсе E-Lite, черный")</f>
      </c>
      <c r="C21379" s="4" t="n">
        <v>2900.00</v>
      </c>
      <c r="D21379" s="4"/>
    </row>
    <row collapsed="" customFormat="false" customHeight="1" hidden="" ht="14" outlineLevel="0" r="21380">
      <c r="A21380" s="3" t="inlineStr">
        <is>
          <t>21325</t>
        </is>
      </c>
      <c r="B21380" s="4" t="s">
        <f>=HYPERLINK("http://anyluxury.ru/shop/otdykh/tovary-dlya-puteshestviy/bloknot-fscr-v-tverdom-pereplete-s-derzhatelem-dlya-ruchki-a5-p774341/" , "P774.341 Блокнот FSC® в твердом переплете с держателем для ручки, A5")</f>
      </c>
      <c r="C21380" s="4" t="n">
        <v>719.00</v>
      </c>
      <c r="D21380" s="4"/>
    </row>
    <row collapsed="" customFormat="false" customHeight="1" hidden="" ht="14" outlineLevel="0" r="21381">
      <c r="A21381" s="3" t="inlineStr">
        <is>
          <t>21326</t>
        </is>
      </c>
      <c r="B21381" s="4" t="s">
        <f>=HYPERLINK("http://anyluxury.ru/shop/otdykh/tovary-dlya-puteshestviy/bloknot-fscr-v-tverdom-pereplete-s-derzhatelem-dlya-ruchki-a5-p774349/" , "P774.349 Блокнот FSC® в твердом переплете с держателем для ручки, A5")</f>
      </c>
      <c r="C21381" s="4" t="n">
        <v>719.00</v>
      </c>
      <c r="D21381" s="4"/>
    </row>
    <row collapsed="" customFormat="false" customHeight="1" hidden="" ht="14" outlineLevel="0" r="21382">
      <c r="A21382" s="3" t="inlineStr">
        <is>
          <t>21327</t>
        </is>
      </c>
      <c r="B21382" s="4" t="s">
        <f>=HYPERLINK("http://anyluxury.ru/shop/otdykh/tovary-dlya-puteshestviy/bloknot-fscr-v-myagkom-pereplete-a5-p774441/" , "P774.441 Блокнот FSC® в мягком переплете, A5")</f>
      </c>
      <c r="C21382" s="4" t="n">
        <v>309.00</v>
      </c>
      <c r="D21382" s="4"/>
    </row>
    <row collapsed="" customFormat="false" customHeight="1" hidden="" ht="14" outlineLevel="0" r="21383">
      <c r="A21383" s="3" t="inlineStr">
        <is>
          <t>21328</t>
        </is>
      </c>
      <c r="B21383" s="4" t="s">
        <f>=HYPERLINK("http://anyluxury.ru/shop/otdykh/tovary-dlya-puteshestviy/bloknot-fscr-v-myagkom-pereplete-a5-p774449/" , "P774.449 Блокнот FSC® в мягком переплете, A5")</f>
      </c>
      <c r="C21383" s="4" t="n">
        <v>309.00</v>
      </c>
      <c r="D21383" s="4"/>
    </row>
    <row collapsed="" customFormat="false" customHeight="1" hidden="" ht="14" outlineLevel="0" r="21384">
      <c r="A21384" s="3" t="inlineStr">
        <is>
          <t>21329</t>
        </is>
      </c>
      <c r="B21384" s="4" t="s">
        <f>=HYPERLINK("http://anyluxury.ru/shop/otdykh/tovary-dlya-puteshestviy/naduvnoy-kovrik-static-v-recon-zeleniy-1230990/" , "12309.90 Надувной коврик Static V Recon, зеленый")</f>
      </c>
      <c r="C21384" s="4" t="n">
        <v>13100.00</v>
      </c>
      <c r="D21384" s="4"/>
    </row>
    <row collapsed="" customFormat="false" customHeight="1" hidden="" ht="14" outlineLevel="0" r="21385">
      <c r="A21385" s="3" t="inlineStr">
        <is>
          <t>21330</t>
        </is>
      </c>
      <c r="B21385" s="4" t="s">
        <f>=HYPERLINK("http://anyluxury.ru/shop/otdykh/tovary-dlya-puteshestviy/nabor-posudi-dlya-kempinga-kampi-1472710/" , "14727.10 Набор посуды для кемпинга Kampi")</f>
      </c>
      <c r="C21385" s="4" t="n">
        <v>5500.00</v>
      </c>
      <c r="D21385" s="4"/>
    </row>
    <row collapsed="" customFormat="false" customHeight="1" hidden="" ht="14" outlineLevel="0" r="21386">
      <c r="A21386" s="3" t="inlineStr">
        <is>
          <t>21331</t>
        </is>
      </c>
      <c r="B21386" s="4" t="s">
        <f>=HYPERLINK("http://anyluxury.ru/shop/otdykh/tovary-dlya-puteshestviy/nabor-posudi-dlya-kempinga-camping-vibe-1472810/" , "14728.10 Набор посуды для кемпинга Camping Vibe")</f>
      </c>
      <c r="C21386" s="4" t="n">
        <v>3500.00</v>
      </c>
      <c r="D21386" s="4"/>
    </row>
    <row collapsed="" customFormat="false" customHeight="1" hidden="" ht="14" outlineLevel="0" r="21387">
      <c r="A21387" s="3" t="inlineStr">
        <is>
          <t>21332</t>
        </is>
      </c>
      <c r="B21387" s="4" t="s">
        <f>=HYPERLINK("http://anyluxury.ru/shop/otdykh/tovary-dlya-puteshestviy/stol-tourist-twist-skladnoy-temnoseriy-1472911/" , "14729.11 Стол Tourist Twist складной, темно-серый")</f>
      </c>
      <c r="C21387" s="4" t="n">
        <v>5600.00</v>
      </c>
      <c r="D21387" s="4"/>
    </row>
    <row collapsed="" customFormat="false" customHeight="1" hidden="" ht="14" outlineLevel="0" r="21388">
      <c r="A21388" s="3" t="inlineStr">
        <is>
          <t>21333</t>
        </is>
      </c>
      <c r="B21388" s="4" t="s">
        <f>=HYPERLINK("http://anyluxury.ru/shop/otdykh/tovary-dlya-puteshestviy/kreslo-skladnoe-armrest-bezhevoe-1473000/" , "14730.00 Кресло складное Armrest, бежевое")</f>
      </c>
      <c r="C21388" s="4" t="n">
        <v>15000.00</v>
      </c>
      <c r="D21388" s="4"/>
    </row>
    <row collapsed="" customFormat="false" customHeight="1" hidden="" ht="14" outlineLevel="0" r="21389">
      <c r="A21389" s="3" t="inlineStr">
        <is>
          <t>21334</t>
        </is>
      </c>
      <c r="B21389" s="4" t="s">
        <f>=HYPERLINK("http://anyluxury.ru/shop/otdykh/tovary-dlya-puteshestviy/kreslo-skladnoe-armrest-chernoe-1473030/" , "14730.30 Кресло складное Armrest, черное")</f>
      </c>
      <c r="C21389" s="4" t="n">
        <v>15000.00</v>
      </c>
      <c r="D21389" s="4"/>
    </row>
    <row collapsed="" customFormat="false" customHeight="1" hidden="" ht="14" outlineLevel="0" r="21390">
      <c r="A21390" s="3" t="inlineStr">
        <is>
          <t>21335</t>
        </is>
      </c>
      <c r="B21390" s="4" t="s">
        <f>=HYPERLINK("http://anyluxury.ru/shop/otdykh/tovary-dlya-puteshestviy/naduvnoy-kovrik-insulated-static-v-luxe-krasniy-1466850/" , "14668.50 Надувной коврик Insulated Static V Luxe, красный")</f>
      </c>
      <c r="C21390" s="4" t="n">
        <v>18140.00</v>
      </c>
      <c r="D21390" s="4"/>
    </row>
    <row collapsed="" customFormat="false" customHeight="1" hidden="" ht="14" outlineLevel="0" r="21391">
      <c r="A21391" s="3" t="inlineStr">
        <is>
          <t>21336</t>
        </is>
      </c>
      <c r="B21391" s="4" t="s">
        <f>=HYPERLINK("http://anyluxury.ru/shop/otdykh/tovary-dlya-puteshestviy/naduvnoy-kovrik-static-v-double-siniy-1466944/" , "14669.44 Надувной коврик Static V Double, синий")</f>
      </c>
      <c r="C21391" s="4" t="n">
        <v>24100.00</v>
      </c>
      <c r="D21391" s="4"/>
    </row>
    <row collapsed="" customFormat="false" customHeight="1" hidden="" ht="14" outlineLevel="0" r="21392">
      <c r="A21392" s="3" t="inlineStr">
        <is>
          <t>21337</t>
        </is>
      </c>
      <c r="B21392" s="4" t="s">
        <f>=HYPERLINK("http://anyluxury.ru/shop/otdykh/tovary-dlya-puteshestviy/naduvnoy-kovrik-static-v-luxe-seriy-1467011/" , "14670.11 Надувной коврик Static V Luxe, серый")</f>
      </c>
      <c r="C21392" s="4" t="n">
        <v>21250.00</v>
      </c>
      <c r="D21392" s="4"/>
    </row>
    <row collapsed="" customFormat="false" customHeight="1" hidden="" ht="14" outlineLevel="0" r="21393">
      <c r="A21393" s="3" t="inlineStr">
        <is>
          <t>21338</t>
        </is>
      </c>
      <c r="B21393" s="4" t="s">
        <f>=HYPERLINK("http://anyluxury.ru/shop/otdykh/tovary-dlya-puteshestviy/naduvnoy-kovrik-insulated-static-v-lite-oranzheviy-1467120/" , "14671.20 Надувной коврик Insulated Static V Lite, оранжевый")</f>
      </c>
      <c r="C21393" s="4" t="n">
        <v>12190.00</v>
      </c>
      <c r="D21393" s="4"/>
    </row>
    <row collapsed="" customFormat="false" customHeight="1" hidden="" ht="14" outlineLevel="0" r="21394">
      <c r="A21394" s="3" t="inlineStr">
        <is>
          <t>21339</t>
        </is>
      </c>
      <c r="B21394" s="4" t="s">
        <f>=HYPERLINK("http://anyluxury.ru/shop/otdykh/tovary-dlya-puteshestviy/naduvnoy-kovrik-inertia-ozone-siniy-1467244/" , "14672.44 Надувной коврик Inertia Ozone, синий")</f>
      </c>
      <c r="C21394" s="4" t="n">
        <v>17900.00</v>
      </c>
      <c r="D21394" s="4"/>
    </row>
    <row collapsed="" customFormat="false" customHeight="1" hidden="" ht="14" outlineLevel="0" r="21395">
      <c r="A21395" s="3" t="inlineStr">
        <is>
          <t>21340</t>
        </is>
      </c>
      <c r="B21395" s="4" t="s">
        <f>=HYPERLINK("http://anyluxury.ru/shop/otdykh/tovary-dlya-puteshestviy/chehol-na-chemodan-kansi-na-zakaz-neopren-1890203/" , "18902.03 Чехол на чемодан Kansi на заказ, неопрен")</f>
      </c>
      <c r="C21395" s="4" t="n">
        <v>2261.00</v>
      </c>
      <c r="D21395" s="4"/>
    </row>
    <row collapsed="" customFormat="false" customHeight="1" hidden="" ht="14" outlineLevel="0" r="21396">
      <c r="A21396" s="3" t="inlineStr">
        <is>
          <t>21341</t>
        </is>
      </c>
      <c r="B21396" s="4" t="s">
        <f>=HYPERLINK("http://anyluxury.ru/shop/otdykh/tovary-dlya-puteshestviy/usbzazhigalka-p513631/" , "P513.631 USB-зажигалка")</f>
      </c>
      <c r="C21396" s="4" t="n">
        <v>1779.00</v>
      </c>
      <c r="D21396" s="4"/>
    </row>
    <row collapsed="" customFormat="false" customHeight="1" hidden="" ht="14" outlineLevel="0" r="21397">
      <c r="A21397" s="3" t="inlineStr">
        <is>
          <t>21342</t>
        </is>
      </c>
      <c r="B21397" s="4" t="s">
        <f>=HYPERLINK("http://anyluxury.ru/shop/otdykh/tovary-dlya-puteshestviy/organayzer-impact-iz-rpet-aware-s-magnitnoy-zastezhkoy-a4-p774371/" , "P774.371 Органайзер Impact из rPET Aware™ с магнитной застежкой, А4")</f>
      </c>
      <c r="C21397" s="4" t="n">
        <v>4150.00</v>
      </c>
      <c r="D21397" s="4"/>
    </row>
    <row collapsed="" customFormat="false" customHeight="1" hidden="" ht="14" outlineLevel="0" r="21398">
      <c r="A21398" s="3" t="inlineStr">
        <is>
          <t>21343</t>
        </is>
      </c>
      <c r="B21398" s="4" t="s">
        <f>=HYPERLINK("http://anyluxury.ru/shop/otdykh/tovary-dlya-puteshestviy/organayzer-impact-iz-rpet-aware-s-magnitnoy-zastezhkoy-a4-p774375/" , "P774.375 Органайзер Impact из rPET Aware™ с магнитной застежкой, А4")</f>
      </c>
      <c r="C21398" s="4" t="n">
        <v>4150.00</v>
      </c>
      <c r="D21398" s="4"/>
    </row>
    <row collapsed="" customFormat="false" customHeight="1" hidden="" ht="14" outlineLevel="0" r="21399">
      <c r="A21399" s="3" t="inlineStr">
        <is>
          <t>21344</t>
        </is>
      </c>
      <c r="B21399" s="4" t="s">
        <f>=HYPERLINK("http://anyluxury.ru/shop/otdykh/tovary-dlya-puteshestviy/organayzer-impact-iz-rpet-aware-s-magnitnoy-zastezhkoy-a4-p774377/" , "P774.377 Органайзер Impact из rPET Aware™ с магнитной застежкой, А4")</f>
      </c>
      <c r="C21399" s="4" t="n">
        <v>4150.00</v>
      </c>
      <c r="D21399" s="4"/>
    </row>
    <row collapsed="" customFormat="false" customHeight="1" hidden="" ht="14" outlineLevel="0" r="21400">
      <c r="A21400" s="3" t="inlineStr">
        <is>
          <t>21345</t>
        </is>
      </c>
      <c r="B21400" s="4" t="s">
        <f>=HYPERLINK("http://anyluxury.ru/shop/otdykh/tovary-dlya-puteshestviy/organayzer-impact-iz-rpet-aware-s-magnitnoy-zastezhkoy-a5-p774381/" , "P774.381 Органайзер Impact из rPET Aware™ с магнитной застежкой, А5")</f>
      </c>
      <c r="C21400" s="4" t="n">
        <v>3150.00</v>
      </c>
      <c r="D21400" s="4"/>
    </row>
    <row collapsed="" customFormat="false" customHeight="1" hidden="" ht="14" outlineLevel="0" r="21401">
      <c r="A21401" s="3" t="inlineStr">
        <is>
          <t>21346</t>
        </is>
      </c>
      <c r="B21401" s="4" t="s">
        <f>=HYPERLINK("http://anyluxury.ru/shop/otdykh/tovary-dlya-puteshestviy/organayzer-impact-iz-rpet-aware-s-magnitnoy-zastezhkoy-a5-p774385/" , "P774.385 Органайзер Impact из rPET Aware™ с магнитной застежкой, А5")</f>
      </c>
      <c r="C21401" s="4" t="n">
        <v>3150.00</v>
      </c>
      <c r="D21401" s="4"/>
    </row>
    <row collapsed="" customFormat="false" customHeight="1" hidden="" ht="14" outlineLevel="0" r="21402">
      <c r="A21402" s="3" t="inlineStr">
        <is>
          <t>21347</t>
        </is>
      </c>
      <c r="B21402" s="4" t="s">
        <f>=HYPERLINK("http://anyluxury.ru/shop/otdykh/tovary-dlya-puteshestviy/organayzer-impact-iz-rpet-aware-s-magnitnoy-zastezhkoy-a5-p774387/" , "P774.387 Органайзер Impact из rPET Aware™ с магнитной застежкой, А5")</f>
      </c>
      <c r="C21402" s="4" t="n">
        <v>3150.00</v>
      </c>
      <c r="D21402" s="4"/>
    </row>
    <row collapsed="" customFormat="false" customHeight="1" hidden="" ht="14" outlineLevel="0" r="21403">
      <c r="A21403" s="3" t="inlineStr">
        <is>
          <t>21348</t>
        </is>
      </c>
      <c r="B21403" s="4" t="s">
        <f>=HYPERLINK("http://anyluxury.ru/shop/otdykh/tovary-dlya-puteshestviy/organayzer-impact-iz-rpet-aware-na-molnii-a4-p774395/" , "P774.395 Органайзер Impact из rPET Aware™ на молнии, А4")</f>
      </c>
      <c r="C21403" s="4" t="n">
        <v>3750.00</v>
      </c>
      <c r="D21403" s="4"/>
    </row>
    <row collapsed="" customFormat="false" customHeight="1" hidden="" ht="14" outlineLevel="0" r="21404">
      <c r="A21404" s="3" t="inlineStr">
        <is>
          <t>21349</t>
        </is>
      </c>
      <c r="B21404" s="4" t="s">
        <f>=HYPERLINK("http://anyluxury.ru/shop/otdykh/tovary-dlya-puteshestviy/organayzer-impact-iz-rpet-aware-na-molnii-a4-p774397/" , "P774.397 Органайзер Impact из rPET Aware™ на молнии, А4")</f>
      </c>
      <c r="C21404" s="4" t="n">
        <v>3750.00</v>
      </c>
      <c r="D21404" s="4"/>
    </row>
    <row collapsed="" customFormat="false" customHeight="1" hidden="" ht="14" outlineLevel="0" r="21405">
      <c r="A21405" s="3" t="inlineStr">
        <is>
          <t>21350</t>
        </is>
      </c>
      <c r="B21405" s="4" t="s">
        <f>=HYPERLINK("http://anyluxury.ru/shop/otdykh/tovary-dlya-puteshestviy/chehol-dlya-noutbuka-minimalist-impact-iz-rpet-aware-156-p788101/" , "P788.101 Чехол для ноутбука Minimalist Impact из rPET Aware™, 15,6'")</f>
      </c>
      <c r="C21405" s="4" t="n">
        <v>2339.00</v>
      </c>
      <c r="D21405" s="4"/>
    </row>
    <row collapsed="" customFormat="false" customHeight="1" hidden="" ht="14" outlineLevel="0" r="21406">
      <c r="A21406" s="3" t="inlineStr">
        <is>
          <t>21351</t>
        </is>
      </c>
      <c r="B21406" s="4" t="s">
        <f>=HYPERLINK("http://anyluxury.ru/shop/otdykh/tovary-dlya-puteshestviy/chehol-dlya-noutbuka-minimalist-impact-iz-rpet-aware-156-p788105/" , "P788.105 Чехол для ноутбука Minimalist Impact из rPET Aware™, 15,6'")</f>
      </c>
      <c r="C21406" s="4" t="n">
        <v>2339.00</v>
      </c>
      <c r="D21406" s="4"/>
    </row>
    <row collapsed="" customFormat="false" customHeight="1" hidden="" ht="14" outlineLevel="0" r="21407">
      <c r="A21407" s="3" t="inlineStr">
        <is>
          <t>21352</t>
        </is>
      </c>
      <c r="B21407" s="4" t="s">
        <f>=HYPERLINK("http://anyluxury.ru/shop/otdykh/tovary-dlya-puteshestviy/chehol-dlya-noutbuka-minimalist-impact-iz-rpet-aware-156-p788107/" , "P788.107 Чехол для ноутбука Minimalist Impact из rPET Aware™, 15,6'")</f>
      </c>
      <c r="C21407" s="4" t="n">
        <v>2339.00</v>
      </c>
      <c r="D21407" s="4"/>
    </row>
    <row collapsed="" customFormat="false" customHeight="1" hidden="" ht="14" outlineLevel="0" r="21408">
      <c r="A21408" s="3" t="inlineStr">
        <is>
          <t>21353</t>
        </is>
      </c>
      <c r="B21408" s="4" t="s">
        <f>=HYPERLINK("http://anyluxury.ru/shop/otdykh/tovary-dlya-puteshestviy/organayzer-swiss-peak-heritage-iz-rpu-rcs-na-molnii-a4-p774411/" , "P774.411 Органайзер Swiss Peak Heritage из rPU RCS на молнии, А4")</f>
      </c>
      <c r="C21408" s="4" t="n">
        <v>4790.00</v>
      </c>
      <c r="D21408" s="4"/>
    </row>
    <row collapsed="" customFormat="false" customHeight="1" hidden="" ht="14" outlineLevel="0" r="21409">
      <c r="A21409" s="3" t="inlineStr">
        <is>
          <t>21354</t>
        </is>
      </c>
      <c r="B21409" s="4" t="s">
        <f>=HYPERLINK("http://anyluxury.ru/shop/otdykh/tovary-dlya-puteshestviy/organayzer-swiss-peak-heritage-iz-rpu-rcs-s-bloknotom-iz-kamennoy-bumagi-a5-p774421/" , "P774.421 Органайзер Swiss Peak Heritage из rPU RCS с блокнотом из каменной бумаги, А5")</f>
      </c>
      <c r="C21409" s="4" t="n">
        <v>4350.00</v>
      </c>
      <c r="D21409" s="4"/>
    </row>
    <row collapsed="" customFormat="false" customHeight="1" hidden="" ht="14" outlineLevel="0" r="21410">
      <c r="A21410" s="3" t="inlineStr">
        <is>
          <t>21355</t>
        </is>
      </c>
      <c r="B21410" s="4" t="s">
        <f>=HYPERLINK("http://anyluxury.ru/shop/otdykh/tovary-dlya-puteshestviy/podushka-dorozhnaya-kopf-s-pechatyu-na-zakaz-1898701/" , "18987.01 Подушка дорожная Kopf с печатью на заказ")</f>
      </c>
      <c r="C21410" s="4" t="n">
        <v>800.00</v>
      </c>
      <c r="D21410" s="4"/>
    </row>
    <row collapsed="" customFormat="false" customHeight="1" hidden="" ht="14" outlineLevel="0" r="21411">
      <c r="A21411" s="3" t="inlineStr">
        <is>
          <t>21356</t>
        </is>
      </c>
      <c r="B21411" s="4" t="s">
        <f>=HYPERLINK("http://anyluxury.ru/shop/otdykh/tovary-dlya-puteshestviy/trenoga-dlya-kostra-set-fire-chernaya-1778430/" , "17784.30 Тренога для костра Set Fire, черная")</f>
      </c>
      <c r="C21411" s="4" t="n">
        <v>1500.00</v>
      </c>
      <c r="D21411" s="4"/>
    </row>
    <row collapsed="" customFormat="false" customHeight="1" hidden="" ht="14" outlineLevel="0" r="21412">
      <c r="A21412" s="3" t="inlineStr">
        <is>
          <t>21357</t>
        </is>
      </c>
      <c r="B21412" s="4" t="s">
        <f>=HYPERLINK("http://anyluxury.ru/shop/otdykh/tovary-dlya-puteshestviy/bloknot-fscr-v-tverdom-pereplete-s-derzhatelem-dlya-ruchki-a5-p774345/" , "P774.345 Блокнот FSC® в твердом переплете с держателем для ручки, A5")</f>
      </c>
      <c r="C21412" s="4" t="n">
        <v>719.00</v>
      </c>
      <c r="D21412" s="4"/>
    </row>
    <row collapsed="" customFormat="false" customHeight="1" hidden="" ht="14" outlineLevel="0" r="21413">
      <c r="A21413" s="3" t="inlineStr">
        <is>
          <t>21358</t>
        </is>
      </c>
      <c r="B21413" s="4" t="s">
        <f>=HYPERLINK("http://anyluxury.ru/shop/otdykh/tovary-dlya-puteshestviy/bloknot-fscr-v-myagkom-pereplete-a5-p774445/" , "P774.445 Блокнот FSC® в мягком переплете, A5")</f>
      </c>
      <c r="C21413" s="4" t="n">
        <v>309.00</v>
      </c>
      <c r="D21413" s="4"/>
    </row>
    <row collapsed="" customFormat="false" customHeight="1" hidden="" ht="14" outlineLevel="0" r="21414">
      <c r="A21414" s="3" t="inlineStr">
        <is>
          <t>21359</t>
        </is>
      </c>
      <c r="B21414" s="4" t="s">
        <f>=HYPERLINK("http://anyluxury.ru/shop/otdykh/tovary-dlya-puteshestviy/bloknot-s-oblozhkoy-iz-rpet-standart-grs-a5-p774451/" , "P774.451 Блокнот с обложкой из rPET (стандарт GRS), А5")</f>
      </c>
      <c r="C21414" s="4" t="n">
        <v>789.00</v>
      </c>
      <c r="D21414" s="4"/>
    </row>
    <row collapsed="" customFormat="false" customHeight="1" hidden="" ht="14" outlineLevel="0" r="21415">
      <c r="A21415" s="3" t="inlineStr">
        <is>
          <t>21360</t>
        </is>
      </c>
      <c r="B21415" s="4" t="s">
        <f>=HYPERLINK("http://anyluxury.ru/shop/otdykh/tovary-dlya-puteshestviy/bloknot-s-oblozhkoy-iz-rpet-standart-grs-a5-p774452/" , "P774.452 Блокнот с обложкой из rPET (стандарт GRS), А5")</f>
      </c>
      <c r="C21415" s="4" t="n">
        <v>789.00</v>
      </c>
      <c r="D21415" s="4"/>
    </row>
    <row collapsed="" customFormat="false" customHeight="1" hidden="" ht="14" outlineLevel="0" r="21416">
      <c r="A21416" s="3" t="inlineStr">
        <is>
          <t>21361</t>
        </is>
      </c>
      <c r="B21416" s="4" t="s">
        <f>=HYPERLINK("http://anyluxury.ru/shop/otdykh/tovary-dlya-puteshestviy/bloknot-s-oblozhkoy-iz-rpet-standart-grs-a5-p774455/" , "P774.455 Блокнот с обложкой из rPET (стандарт GRS), А5")</f>
      </c>
      <c r="C21416" s="4" t="n">
        <v>789.00</v>
      </c>
      <c r="D21416" s="4"/>
    </row>
    <row collapsed="" customFormat="false" customHeight="1" hidden="" ht="14" outlineLevel="0" r="21417">
      <c r="A21417" s="3" t="inlineStr">
        <is>
          <t>21362</t>
        </is>
      </c>
      <c r="B21417" s="4" t="s">
        <f>=HYPERLINK("http://anyluxury.ru/shop/otdykh/tovary-dlya-puteshestviy/bloknot-s-oblozhkoy-iz-rpet-standart-grs-a5-p774457/" , "P774.457 Блокнот с обложкой из rPET (стандарт GRS), А5")</f>
      </c>
      <c r="C21417" s="4" t="n">
        <v>789.00</v>
      </c>
      <c r="D21417" s="4"/>
    </row>
    <row collapsed="" customFormat="false" customHeight="1" hidden="" ht="14" outlineLevel="0" r="21418">
      <c r="A21418" s="3" t="inlineStr">
        <is>
          <t>21363</t>
        </is>
      </c>
      <c r="B21418" s="4" t="s">
        <f>=HYPERLINK("http://anyluxury.ru/shop/otdykh/tovary-dlya-puteshestviy/bloknot-s-vechnim-karandashom-bamboo-fscr-p774469/" , "P774.469 Блокнот с вечным карандашом Bamboo FSC®")</f>
      </c>
      <c r="C21418" s="4" t="n">
        <v>1529.00</v>
      </c>
      <c r="D21418" s="4"/>
    </row>
    <row collapsed="" customFormat="false" customHeight="1" hidden="" ht="14" outlineLevel="0" r="21419">
      <c r="A21419" s="3" t="inlineStr">
        <is>
          <t>21364</t>
        </is>
      </c>
      <c r="B21419" s="4" t="s">
        <f>=HYPERLINK("http://anyluxury.ru/shop/otdykh/tovary-dlya-puteshestviy/bloknot-v-myagkoy-oblozhke-iz-pererabotannogo-fetra-standart-grs-a5-p774472/" , "P774.472 Блокнот в мягкой обложке из переработанного фетра (стандарт GRS), А5")</f>
      </c>
      <c r="C21419" s="4" t="n">
        <v>699.00</v>
      </c>
      <c r="D21419" s="4"/>
    </row>
    <row collapsed="" customFormat="false" customHeight="1" hidden="" ht="14" outlineLevel="0" r="21420">
      <c r="A21420" s="3" t="inlineStr">
        <is>
          <t>21365</t>
        </is>
      </c>
      <c r="B21420" s="4" t="s">
        <f>=HYPERLINK("http://anyluxury.ru/shop/otdykh/tovary-dlya-puteshestviy/kosmetichka-impact-iz-pererabotannogo-neokrashennogo-kanvasa-aware-285-gm-p820785/" , "P820.785 Косметичка Impact из переработанного неокрашенного канваса AWARE™, 285 г/м²")</f>
      </c>
      <c r="C21420" s="4" t="n">
        <v>1059.00</v>
      </c>
      <c r="D21420" s="4"/>
    </row>
    <row collapsed="" customFormat="false" customHeight="1" hidden="" ht="14" outlineLevel="0" r="21421">
      <c r="A21421" s="3" t="inlineStr">
        <is>
          <t>21366</t>
        </is>
      </c>
      <c r="B21421" s="4" t="s">
        <f>=HYPERLINK("http://anyluxury.ru/shop/otdykh/tovary-dlya-puteshestviy/kosmetichka-impact-iz-pererabotannogo-neokrashennogo-kanvasa-aware-285-gm-p820782/" , "P820.782 Косметичка Impact из переработанного неокрашенного канваса AWARE™, 285 г/м²")</f>
      </c>
      <c r="C21421" s="4" t="n">
        <v>1059.00</v>
      </c>
      <c r="D21421" s="4"/>
    </row>
    <row collapsed="" customFormat="false" customHeight="1" hidden="" ht="14" outlineLevel="0" r="21422">
      <c r="A21422" s="3" t="inlineStr">
        <is>
          <t>21367</t>
        </is>
      </c>
      <c r="B21422" s="4" t="s">
        <f>=HYPERLINK("http://anyluxury.ru/shop/otdykh/tovary-dlya-puteshestviy/kosmetichka-impact-iz-pererabotannogo-neokrashennogo-kanvasa-aware-285-gm-p820781/" , "P820.781 Косметичка Impact из переработанного неокрашенного канваса AWARE™, 285 г/м²")</f>
      </c>
      <c r="C21422" s="4" t="n">
        <v>1059.00</v>
      </c>
      <c r="D21422" s="4"/>
    </row>
    <row collapsed="" customFormat="false" customHeight="1" hidden="" ht="14" outlineLevel="0" r="21423">
      <c r="A21423" s="3" t="inlineStr">
        <is>
          <t>21368</t>
        </is>
      </c>
      <c r="B21423" s="4" t="s">
        <f>=HYPERLINK("http://anyluxury.ru/shop/otdykh/tovary-dlya-puteshestviy/kosmetichka-impact-iz-pererabotannogo-neokrashennogo-kanvasa-aware-285-gm-p820780/" , "P820.780 Косметичка Impact из переработанного неокрашенного канваса AWARE™, 285 г/м²")</f>
      </c>
      <c r="C21423" s="4" t="n">
        <v>1059.00</v>
      </c>
      <c r="D21423" s="4"/>
    </row>
    <row collapsed="" customFormat="false" customHeight="1" hidden="" ht="14" outlineLevel="0" r="21424">
      <c r="A21424" s="3" t="inlineStr">
        <is>
          <t>21369</t>
        </is>
      </c>
      <c r="B21424" s="4" t="s">
        <f>=HYPERLINK("http://anyluxury.ru/shop/otdykh/tovary-dlya-puteshestviy/kosmetichka-impact-iz-pererabotannogo-neokrashennogo-kanvasa-aware-285-gm-p820779/" , "P820.779 Косметичка Impact из переработанного неокрашенного канваса AWARE™, 285 г/м²")</f>
      </c>
      <c r="C21424" s="4" t="n">
        <v>444.00</v>
      </c>
      <c r="D21424" s="4"/>
    </row>
    <row collapsed="" customFormat="false" customHeight="1" hidden="" ht="14" outlineLevel="0" r="21425">
      <c r="A21425" s="3" t="inlineStr">
        <is>
          <t>21370</t>
        </is>
      </c>
      <c r="B21425" s="4" t="s">
        <f>=HYPERLINK("http://anyluxury.ru/shop/otdykh/tovary-dlya-puteshestviy/kosmetichka-impact-iz-pererabotannogo-neokrashennogo-kanvasa-aware-285-gm-p820775/" , "P820.775 Косметичка Impact из переработанного неокрашенного канваса AWARE™, 285 г/м²")</f>
      </c>
      <c r="C21425" s="4" t="n">
        <v>444.00</v>
      </c>
      <c r="D21425" s="4"/>
    </row>
    <row collapsed="" customFormat="false" customHeight="1" hidden="" ht="14" outlineLevel="0" r="21426">
      <c r="A21426" s="3" t="inlineStr">
        <is>
          <t>21371</t>
        </is>
      </c>
      <c r="B21426" s="4" t="s">
        <f>=HYPERLINK("http://anyluxury.ru/shop/otdykh/tovary-dlya-puteshestviy/kosmetichka-impact-iz-pererabotannogo-neokrashennogo-kanvasa-aware-285-gm-p820771/" , "P820.771 Косметичка Impact из переработанного неокрашенного канваса AWARE™, 285 г/м²")</f>
      </c>
      <c r="C21426" s="4" t="n">
        <v>444.00</v>
      </c>
      <c r="D21426" s="4"/>
    </row>
    <row collapsed="" customFormat="false" customHeight="1" hidden="" ht="14" outlineLevel="0" r="21427">
      <c r="A21427" s="3" t="inlineStr">
        <is>
          <t>21372</t>
        </is>
      </c>
      <c r="B21427" s="4" t="s">
        <f>=HYPERLINK("http://anyluxury.ru/shop/otdykh/tovary-dlya-puteshestviy/kosmetichka-impact-iz-pererabotannogo-neokrashennogo-kanvasa-aware-285-gm-p820770/" , "P820.770 Косметичка Impact из переработанного неокрашенного канваса AWARE™, 285 г/м²")</f>
      </c>
      <c r="C21427" s="4" t="n">
        <v>444.00</v>
      </c>
      <c r="D21427" s="4"/>
    </row>
    <row collapsed="" customFormat="false" customHeight="1" hidden="" ht="14" outlineLevel="0" r="21428">
      <c r="A21428" s="3" t="inlineStr">
        <is>
          <t>21373</t>
        </is>
      </c>
      <c r="B21428" s="4" t="s">
        <f>=HYPERLINK("http://anyluxury.ru/shop/otdykh/tovary-dlya-puteshestviy/kosmetichka-vinga-bosler-522419/" , "522419 Косметичка VINGA Bosler")</f>
      </c>
      <c r="C21428" s="4" t="n">
        <v>3013.00</v>
      </c>
      <c r="D21428" s="4"/>
    </row>
    <row collapsed="" customFormat="false" customHeight="1" hidden="" ht="14" outlineLevel="0" r="21429">
      <c r="A21429" s="3" t="inlineStr">
        <is>
          <t>21374</t>
        </is>
      </c>
      <c r="B21429" s="4" t="s">
        <f>=HYPERLINK("http://anyluxury.ru/shop/otdykh/tovary-dlya-puteshestviy/kosmetichka-vinga-bosler-522420/" , "522420 Косметичка VINGA Bosler")</f>
      </c>
      <c r="C21429" s="4" t="n">
        <v>3013.00</v>
      </c>
      <c r="D21429" s="4"/>
    </row>
    <row collapsed="" customFormat="false" customHeight="1" hidden="" ht="14" outlineLevel="0" r="21430">
      <c r="A21430" s="3" t="inlineStr">
        <is>
          <t>21375</t>
        </is>
      </c>
      <c r="B21430" s="4" t="s">
        <f>=HYPERLINK("http://anyluxury.ru/shop/otdykh/tovary-dlya-puteshestviy/kosmetichka-vinga-bosler-522421/" , "522421 Косметичка VINGA Bosler")</f>
      </c>
      <c r="C21430" s="4" t="n">
        <v>3013.00</v>
      </c>
      <c r="D21430" s="4"/>
    </row>
    <row collapsed="" customFormat="false" customHeight="1" hidden="" ht="14" outlineLevel="0" r="21431">
      <c r="A21431" s="3" t="inlineStr">
        <is>
          <t>21376</t>
        </is>
      </c>
      <c r="B21431" s="4" t="s">
        <f>=HYPERLINK("http://anyluxury.ru/shop/otdykh/tovary-dlya-puteshestviy/kosmetichka-vinga-sloane-iz-rpet-560141/" , "560141 Косметичка VINGA Sloane из rPET")</f>
      </c>
      <c r="C21431" s="4" t="n">
        <v>3559.00</v>
      </c>
      <c r="D21431" s="4"/>
    </row>
    <row collapsed="" customFormat="false" customHeight="1" hidden="" ht="14" outlineLevel="0" r="21432">
      <c r="A21432" s="3" t="inlineStr">
        <is>
          <t>21377</t>
        </is>
      </c>
      <c r="B21432" s="4" t="s">
        <f>=HYPERLINK("http://anyluxury.ru/shop/otdykh/tovary-dlya-puteshestviy/kosmetichka-vinga-hunton-526019/" , "526019 Косметичка VINGA Hunton")</f>
      </c>
      <c r="C21432" s="4" t="n">
        <v>3197.00</v>
      </c>
      <c r="D21432" s="4"/>
    </row>
    <row collapsed="" customFormat="false" customHeight="1" hidden="" ht="14" outlineLevel="0" r="21433">
      <c r="A21433" s="3" t="inlineStr">
        <is>
          <t>21378</t>
        </is>
      </c>
      <c r="B21433" s="4" t="s">
        <f>=HYPERLINK("http://anyluxury.ru/shop/otdykh/tovary-dlya-puteshestviy/kosmetichka-vinga-hunton-527019/" , "527019 Косметичка VINGA Hunton")</f>
      </c>
      <c r="C21433" s="4" t="n">
        <v>3197.00</v>
      </c>
      <c r="D21433" s="4"/>
    </row>
    <row collapsed="" customFormat="false" customHeight="1" hidden="" ht="14" outlineLevel="0" r="21434">
      <c r="A21434" s="3" t="inlineStr">
        <is>
          <t>21379</t>
        </is>
      </c>
      <c r="B21434" s="4" t="s">
        <f>=HYPERLINK("http://anyluxury.ru/shop/otdykh/tovary-dlya-puteshestviy/nabor-pohodnih-stolovih-priborov-nextool-serebristiy-1523801/" , "15238.01 Набор походных столовых приборов NexTool, серебристый")</f>
      </c>
      <c r="C21434" s="4" t="n">
        <v>1400.00</v>
      </c>
      <c r="D21434" s="4"/>
    </row>
    <row collapsed="" customFormat="false" customHeight="1" hidden="" ht="14" outlineLevel="0" r="21435">
      <c r="A21435" s="3" t="inlineStr">
        <is>
          <t>21380</t>
        </is>
      </c>
      <c r="B21435" s="4" t="s">
        <f>=HYPERLINK("http://anyluxury.ru/shop/otdykh/tovary-dlya-puteshestviy/skladnaya-lopata-nextool-chernaya-1524230/" , "15242.30 Складная лопата Nextool, черная")</f>
      </c>
      <c r="C21435" s="4" t="n">
        <v>3550.00</v>
      </c>
      <c r="D21435" s="4"/>
    </row>
    <row collapsed="" customFormat="false" customHeight="1" hidden="" ht="14" outlineLevel="0" r="21436">
      <c r="A21436" s="3" t="inlineStr">
        <is>
          <t>21381</t>
        </is>
      </c>
      <c r="B21436" s="4" t="s">
        <f>=HYPERLINK("http://anyluxury.ru/shop/otdykh/tovary-dlya-puteshestviy/kosmetichka-vinga-baltimore-500421/" , "500421 Косметичка VINGA Baltimore")</f>
      </c>
      <c r="C21436" s="4" t="n">
        <v>2659.00</v>
      </c>
      <c r="D21436" s="4"/>
    </row>
    <row collapsed="" customFormat="false" customHeight="1" hidden="" ht="14" outlineLevel="0" r="21437">
      <c r="A21437" s="3" t="inlineStr">
        <is>
          <t>21382</t>
        </is>
      </c>
      <c r="B21437" s="4" t="s">
        <f>=HYPERLINK("http://anyluxury.ru/shop/otdykh/tovary-dlya-puteshestviy/kraftoviy-ekobloknot-a5-p773954/" , "P773.954 Крафтовый экоблокнот, А5")</f>
      </c>
      <c r="C21437" s="4" t="n">
        <v>449.00</v>
      </c>
      <c r="D21437" s="4"/>
    </row>
    <row collapsed="" customFormat="false" customHeight="1" hidden="" ht="14" outlineLevel="0" r="21438">
      <c r="A21438" s="3" t="inlineStr">
        <is>
          <t>21383</t>
        </is>
      </c>
      <c r="B21438" s="4" t="s">
        <f>=HYPERLINK("http://anyluxury.ru/shop/otdykh/tovary-dlya-puteshestviy/kraftoviy-ekobloknot-a5-p773955/" , "P773.955 Крафтовый экоблокнот, А5")</f>
      </c>
      <c r="C21438" s="4" t="n">
        <v>449.00</v>
      </c>
      <c r="D21438" s="4"/>
    </row>
    <row collapsed="" customFormat="false" customHeight="1" hidden="" ht="14" outlineLevel="0" r="21439">
      <c r="A21439" s="3" t="inlineStr">
        <is>
          <t>21384</t>
        </is>
      </c>
      <c r="B21439" s="4" t="s">
        <f>=HYPERLINK("http://anyluxury.ru/shop/otdykh/tovary-dlya-puteshestviy/bloknot-impact-v-myagkoy-oblozhke-s-kamennoy-bumagoy-a5-p774210/" , "P774.210 Блокнот Impact в мягкой обложке с каменной бумагой, А5")</f>
      </c>
      <c r="C21439" s="4" t="n">
        <v>899.00</v>
      </c>
      <c r="D21439" s="4"/>
    </row>
    <row collapsed="" customFormat="false" customHeight="1" hidden="" ht="14" outlineLevel="0" r="21440">
      <c r="A21440" s="3" t="inlineStr">
        <is>
          <t>21385</t>
        </is>
      </c>
      <c r="B21440" s="4" t="s">
        <f>=HYPERLINK("http://anyluxury.ru/shop/otdykh/tovary-dlya-puteshestviy/bloknot-impact-v-myagkoy-oblozhke-s-kamennoy-bumagoy-a5-p774214/" , "P774.214 Блокнот Impact в мягкой обложке с каменной бумагой, А5")</f>
      </c>
      <c r="C21440" s="4" t="n">
        <v>899.00</v>
      </c>
      <c r="D21440" s="4"/>
    </row>
    <row collapsed="" customFormat="false" customHeight="1" hidden="" ht="14" outlineLevel="0" r="21441">
      <c r="A21441" s="3" t="inlineStr">
        <is>
          <t>21386</t>
        </is>
      </c>
      <c r="B21441" s="4" t="s">
        <f>=HYPERLINK("http://anyluxury.ru/shop/otdykh/tovary-dlya-puteshestviy/bloknot-impact-v-myagkoy-oblozhke-s-kamennoy-bumagoy-a5-p774217/" , "P774.217 Блокнот Impact в мягкой обложке с каменной бумагой, А5")</f>
      </c>
      <c r="C21441" s="4" t="n">
        <v>899.00</v>
      </c>
      <c r="D21441" s="4"/>
    </row>
    <row collapsed="" customFormat="false" customHeight="1" hidden="" ht="14" outlineLevel="0" r="21442">
      <c r="A21442" s="3" t="inlineStr">
        <is>
          <t>21387</t>
        </is>
      </c>
      <c r="B21442" s="4" t="s">
        <f>=HYPERLINK("http://anyluxury.ru/shop/otdykh/tovary-dlya-puteshestviy/bloknot-impact-v-myagkoy-oblozhke-s-kamennoy-bumagoy-a5-p774219/" , "P774.219 Блокнот Impact в мягкой обложке с каменной бумагой, А5")</f>
      </c>
      <c r="C21442" s="4" t="n">
        <v>899.00</v>
      </c>
      <c r="D21442" s="4"/>
    </row>
    <row collapsed="" customFormat="false" customHeight="1" hidden="" ht="14" outlineLevel="0" r="21443">
      <c r="A21443" s="3" t="inlineStr">
        <is>
          <t>21388</t>
        </is>
      </c>
      <c r="B21443" s="4" t="s">
        <f>=HYPERLINK("http://anyluxury.ru/shop/otdykh/tovary-dlya-puteshestviy/bloknot-impact-iz-kamennoy-bumagi-v-tverdom-pereplete-a5-p774352/" , "P774.352 Блокнот Impact из каменной бумаги в твердом переплете, А5")</f>
      </c>
      <c r="C21443" s="4" t="n">
        <v>989.00</v>
      </c>
      <c r="D21443" s="4"/>
    </row>
    <row collapsed="" customFormat="false" customHeight="1" hidden="" ht="14" outlineLevel="0" r="21444">
      <c r="A21444" s="3" t="inlineStr">
        <is>
          <t>21389</t>
        </is>
      </c>
      <c r="B21444" s="4" t="s">
        <f>=HYPERLINK("http://anyluxury.ru/shop/otdykh/tovary-dlya-puteshestviy/bloknot-impact-iz-kamennoy-bumagi-v-tverdom-pereplete-a5-p774354/" , "P774.354 Блокнот Impact из каменной бумаги в твердом переплете, А5")</f>
      </c>
      <c r="C21444" s="4" t="n">
        <v>989.00</v>
      </c>
      <c r="D21444" s="4"/>
    </row>
    <row collapsed="" customFormat="false" customHeight="1" hidden="" ht="14" outlineLevel="0" r="21445">
      <c r="A21445" s="3" t="inlineStr">
        <is>
          <t>21390</t>
        </is>
      </c>
      <c r="B21445" s="4" t="s">
        <f>=HYPERLINK("http://anyluxury.ru/shop/otdykh/tovary-dlya-puteshestviy/bloknot-impact-iz-kamennoy-bumagi-v-tverdom-pereplete-a5-p774355/" , "P774.355 Блокнот Impact из каменной бумаги в твердом переплете, А5")</f>
      </c>
      <c r="C21445" s="4" t="n">
        <v>989.00</v>
      </c>
      <c r="D21445" s="4"/>
    </row>
    <row collapsed="" customFormat="false" customHeight="1" hidden="" ht="14" outlineLevel="0" r="21446">
      <c r="A21446" s="3" t="inlineStr">
        <is>
          <t>21391</t>
        </is>
      </c>
      <c r="B21446" s="4" t="s">
        <f>=HYPERLINK("http://anyluxury.ru/shop/otdykh/tovary-dlya-puteshestviy/bloknot-impact-iz-kamennoy-bumagi-v-tverdom-pereplete-a5-p774357/" , "P774.357 Блокнот Impact из каменной бумаги в твердом переплете, А5")</f>
      </c>
      <c r="C21446" s="4" t="n">
        <v>989.00</v>
      </c>
      <c r="D21446" s="4"/>
    </row>
    <row collapsed="" customFormat="false" customHeight="1" hidden="" ht="14" outlineLevel="0" r="21447">
      <c r="A21447" s="3" t="inlineStr">
        <is>
          <t>21392</t>
        </is>
      </c>
      <c r="B21447" s="4" t="s">
        <f>=HYPERLINK("http://anyluxury.ru/shop/otdykh/tovary-dlya-puteshestviy/myagkaya-igrushka-korv-16792/" , "16792 Мягкая игрушка Korv")</f>
      </c>
      <c r="C21447" s="4" t="n">
        <v>1050.00</v>
      </c>
      <c r="D21447" s="4"/>
    </row>
    <row collapsed="" customFormat="false" customHeight="1" hidden="" ht="14" outlineLevel="0" r="21448">
      <c r="A21448" s="3" t="inlineStr">
        <is>
          <t>21393</t>
        </is>
      </c>
      <c r="B21448" s="4" t="s">
        <f>=HYPERLINK("http://anyluxury.ru/shop/otdykh/tovary-dlya-puteshestviy/podushka-pod-sheyu-snorrik-right-1679701/" , "16797.01 Подушка под шею Snorrik Right")</f>
      </c>
      <c r="C21448" s="4" t="n">
        <v>1064.00</v>
      </c>
      <c r="D21448" s="4"/>
    </row>
    <row collapsed="" customFormat="false" customHeight="1" hidden="" ht="14" outlineLevel="0" r="21449">
      <c r="A21449" s="3" t="inlineStr">
        <is>
          <t>21394</t>
        </is>
      </c>
      <c r="B21449" s="4" t="s">
        <f>=HYPERLINK("http://anyluxury.ru/shop/otdykh/tovary-dlya-puteshestviy/nabor-pohodnih-stolovih-priborov-c1-1780010/" , "17800.10 Набор походных столовых приборов C1")</f>
      </c>
      <c r="C21449" s="4" t="n">
        <v>2000.00</v>
      </c>
      <c r="D21449" s="4"/>
    </row>
    <row collapsed="" customFormat="false" customHeight="1" hidden="" ht="14" outlineLevel="0" r="21450">
      <c r="A21450" s="3" t="inlineStr">
        <is>
          <t>21395</t>
        </is>
      </c>
      <c r="B21450" s="4" t="s">
        <f>=HYPERLINK("http://anyluxury.ru/shop/otdykh/tovary-dlya-puteshestviy/turisticheskaya-pohodnaya-kofevarka-brstc05-1780110/" , "17801.10 Туристическая походная кофеварка BRS-TC05")</f>
      </c>
      <c r="C21450" s="4" t="n">
        <v>4950.00</v>
      </c>
      <c r="D21450" s="4"/>
    </row>
    <row collapsed="" customFormat="false" customHeight="1" hidden="" ht="14" outlineLevel="0" r="21451">
      <c r="A21451" s="3" t="inlineStr">
        <is>
          <t>21396</t>
        </is>
      </c>
      <c r="B21451" s="4" t="s">
        <f>=HYPERLINK("http://anyluxury.ru/shop/otdykh/tovary-dlya-puteshestviy/portativniy-gazoviy-obogrevatel-brsh22-1780410/" , "17804.10 Портативный газовый обогреватель BRS-H22")</f>
      </c>
      <c r="C21451" s="4" t="n">
        <v>5500.00</v>
      </c>
      <c r="D21451" s="4"/>
    </row>
    <row collapsed="" customFormat="false" customHeight="1" hidden="" ht="14" outlineLevel="0" r="21452">
      <c r="A21452" s="3" t="inlineStr">
        <is>
          <t>21397</t>
        </is>
      </c>
      <c r="B21452" s="4" t="s">
        <f>=HYPERLINK("http://anyluxury.ru/shop/otdykh/tovary-dlya-puteshestviy/turisticheskaya-gazovaya-gorelka-brs3000t-1780610/" , "17806.10 Туристическая газовая горелка BRS-3000T")</f>
      </c>
      <c r="C21452" s="4" t="n">
        <v>2600.00</v>
      </c>
      <c r="D21452" s="4"/>
    </row>
    <row collapsed="" customFormat="false" customHeight="1" hidden="" ht="14" outlineLevel="0" r="21453">
      <c r="A21453" s="3" t="inlineStr">
        <is>
          <t>21398</t>
        </is>
      </c>
      <c r="B21453" s="4" t="s">
        <f>=HYPERLINK("http://anyluxury.ru/shop/otdykh/tovary-dlya-puteshestviy/turisticheskaya-gazovaya-gorelka-brs11-1780710/" , "17807.10 Туристическая газовая горелка BRS-11")</f>
      </c>
      <c r="C21453" s="4" t="n">
        <v>3000.00</v>
      </c>
      <c r="D21453" s="4"/>
    </row>
    <row collapsed="" customFormat="false" customHeight="1" hidden="" ht="14" outlineLevel="0" r="21454">
      <c r="A21454" s="3" t="inlineStr">
        <is>
          <t>21399</t>
        </is>
      </c>
      <c r="B21454" s="4" t="s">
        <f>=HYPERLINK("http://anyluxury.ru/shop/otdykh/tovary-dlya-puteshestviy/turisticheskaya-gazovaya-gorelka-brs03-1780810/" , "17808.10 Туристическая газовая горелка BRS-03")</f>
      </c>
      <c r="C21454" s="4" t="n">
        <v>3000.00</v>
      </c>
      <c r="D21454" s="4"/>
    </row>
    <row collapsed="" customFormat="false" customHeight="1" hidden="" ht="14" outlineLevel="0" r="21455">
      <c r="A21455" s="3" t="inlineStr">
        <is>
          <t>21400</t>
        </is>
      </c>
      <c r="B21455" s="4" t="s">
        <f>=HYPERLINK("http://anyluxury.ru/shop/otdykh/tovary-dlya-puteshestviy/turisticheskaya-gazovaya-gorelka-brs1-1780910/" , "17809.10 Туристическая газовая горелка BRS-1")</f>
      </c>
      <c r="C21455" s="4" t="n">
        <v>1600.00</v>
      </c>
      <c r="D21455" s="4"/>
    </row>
    <row collapsed="" customFormat="false" customHeight="1" hidden="" ht="14" outlineLevel="0" r="21456">
      <c r="A21456" s="3" t="inlineStr">
        <is>
          <t>21401</t>
        </is>
      </c>
      <c r="B21456" s="4" t="s">
        <f>=HYPERLINK("http://anyluxury.ru/shop/otdykh/tovary-dlya-puteshestviy/dorozhnaya-podushkamassazher-inrelax-sinyaya-1566140/" , "15661.40 Дорожная подушка-массажер inRelax, синяя")</f>
      </c>
      <c r="C21456" s="4" t="n">
        <v>3484.00</v>
      </c>
      <c r="D21456" s="4"/>
    </row>
    <row collapsed="" customFormat="false" customHeight="1" hidden="" ht="14" outlineLevel="0" r="21457">
      <c r="A21457" s="3" t="inlineStr">
        <is>
          <t>21402</t>
        </is>
      </c>
      <c r="B21457" s="4" t="s">
        <f>=HYPERLINK("http://anyluxury.ru/shop/otdykh/tovary-dlya-puteshestviy/dorozhnie-organayzeri-swiss-peak-ridge-iz-rpet-aware-2-sht-p763051/" , "P763.051 Дорожные органайзеры Swiss Peak Ridge из rPET AWARE™, 2 шт.")</f>
      </c>
      <c r="C21457" s="4" t="n">
        <v>2481.00</v>
      </c>
      <c r="D21457" s="4"/>
    </row>
    <row collapsed="" customFormat="false" customHeight="1" hidden="" ht="14" outlineLevel="0" r="21458">
      <c r="A21458" s="3" t="inlineStr">
        <is>
          <t>21403</t>
        </is>
      </c>
      <c r="B21458" s="4" t="s">
        <f>=HYPERLINK("http://anyluxury.ru/shop/otdykh/tovary-dlya-puteshestviy/nabor-dlya-puteshestviy-swiss-peak-iz-pererabotannogo-poliuretana-grs-p820731/" , "P820.731 Обложка на паспорт с багажной биркой Swiss Peak из переработанного полиуретана GRS")</f>
      </c>
      <c r="C21458" s="4" t="n">
        <v>2659.00</v>
      </c>
      <c r="D21458" s="4"/>
    </row>
    <row collapsed="" customFormat="false" customHeight="" hidden="" ht="12.1" outlineLevel="0" r="21459">
      <c r="A21459" s="5" t="inlineStr">
        <is>
          <t>Офисные сувениры</t>
        </is>
      </c>
      <c r="B21459" s="6"/>
      <c r="C21459" s="6"/>
      <c r="D21459" s="6"/>
    </row>
    <row collapsed="" customFormat="false" customHeight="" hidden="" ht="12.1" outlineLevel="0" r="21460">
      <c r="A21460" s="5" t="inlineStr">
        <is>
          <t> -  - Кубки и медали</t>
        </is>
      </c>
      <c r="B21460" s="6"/>
      <c r="C21460" s="6"/>
      <c r="D21460" s="6"/>
    </row>
    <row collapsed="" customFormat="false" customHeight="" hidden="" ht="12.1" outlineLevel="0" r="21461">
      <c r="A21461" s="5" t="inlineStr">
        <is>
          <t> -  - Наградная продукция</t>
        </is>
      </c>
      <c r="B21461" s="6"/>
      <c r="C21461" s="6"/>
      <c r="D21461" s="6"/>
    </row>
    <row collapsed="" customFormat="false" customHeight="1" hidden="" ht="14" outlineLevel="0" r="21462">
      <c r="A21462" s="3" t="inlineStr">
        <is>
          <t>21404</t>
        </is>
      </c>
      <c r="B21462" s="4" t="s">
        <f>=HYPERLINK("http://anyluxury.ru/shop/ofisnye-suveniry/nagradnaya-produktsiya/nagrada-zolotoe-zveno-ucenka-168202/" , "1682.02 Награда «Золотое звено», уценка")</f>
      </c>
      <c r="C21462" s="4" t="n">
        <v>3894.00</v>
      </c>
      <c r="D21462" s="4"/>
    </row>
    <row collapsed="" customFormat="false" customHeight="1" hidden="" ht="14" outlineLevel="0" r="21463">
      <c r="A21463" s="3" t="inlineStr">
        <is>
          <t>21405</t>
        </is>
      </c>
      <c r="B21463" s="4" t="s">
        <f>=HYPERLINK("http://anyluxury.ru/shop/ofisnye-suveniry/nagradnaya-produktsiya/stela-suprematik-ucenka-785102/" , "7851.02 Стела Suprematik, уценка")</f>
      </c>
      <c r="C21463" s="4" t="n">
        <v>2725.00</v>
      </c>
      <c r="D21463" s="4"/>
    </row>
    <row collapsed="" customFormat="false" customHeight="1" hidden="" ht="14" outlineLevel="0" r="21464">
      <c r="A21464" s="3" t="inlineStr">
        <is>
          <t>21406</t>
        </is>
      </c>
      <c r="B21464" s="4" t="s">
        <f>=HYPERLINK("http://anyluxury.ru/shop/ofisnye-suveniry/nagradnaya-produktsiya/stela-new-tribute-na-zakaz-1666004/" , "16660.04 Стела New Tribute на заказ")</f>
      </c>
      <c r="C21464" s="4" t="n">
        <v>1566.00</v>
      </c>
      <c r="D21464" s="4"/>
    </row>
    <row collapsed="" customFormat="false" customHeight="" hidden="" ht="12.1" outlineLevel="0" r="21465">
      <c r="A21465" s="5" t="inlineStr">
        <is>
          <t> -  - Настольные аксессуары</t>
        </is>
      </c>
      <c r="B21465" s="6"/>
      <c r="C21465" s="6"/>
      <c r="D21465" s="6"/>
    </row>
    <row collapsed="" customFormat="false" customHeight="1" hidden="" ht="14" outlineLevel="0" r="21466">
      <c r="A21466" s="3" t="inlineStr">
        <is>
          <t>21407</t>
        </is>
      </c>
      <c r="B21466" s="4" t="s">
        <f>=HYPERLINK("http://anyluxury.ru/shop/ofisnye-suveniry/nastolnye-aksessuary/korobka-dlya-dokumentom-v-vide-knigi-krasnaya/" , "3PA-814 Коробка для документом в виде книги, красная")</f>
      </c>
      <c r="C21466" s="4" t="n">
        <v>7700.00</v>
      </c>
      <c r="D21466" s="4"/>
    </row>
    <row collapsed="" customFormat="false" customHeight="1" hidden="" ht="14" outlineLevel="0" r="21467">
      <c r="A21467" s="3" t="inlineStr">
        <is>
          <t>21408</t>
        </is>
      </c>
      <c r="B21467" s="4" t="s">
        <f>=HYPERLINK("http://anyluxury.ru/shop/ofisnye-suveniry/nastolnye-aksessuary/nabor-dlya-prezentaciy-flat-p314342/" , "P314.342 Набор для презентаций Flat")</f>
      </c>
      <c r="C21467" s="4" t="n">
        <v>3816.00</v>
      </c>
      <c r="D21467" s="4"/>
    </row>
    <row collapsed="" customFormat="false" customHeight="1" hidden="" ht="14" outlineLevel="0" r="21468">
      <c r="A21468" s="3" t="inlineStr">
        <is>
          <t>21409</t>
        </is>
      </c>
      <c r="B21468" s="4" t="s">
        <f>=HYPERLINK("http://anyluxury.ru/shop/ofisnye-suveniry/nastolnye-aksessuary/zaryadnoe-ustroystvo-ginkgo-s-solnechnimi-panelyami-4000-mah-p323113/" , "P323.113 Зарядное устройство Ginkgo с солнечными панелями, 4000 mAh")</f>
      </c>
      <c r="C21468" s="4" t="n">
        <v>8290.00</v>
      </c>
      <c r="D21468" s="4"/>
    </row>
    <row collapsed="" customFormat="false" customHeight="1" hidden="" ht="14" outlineLevel="0" r="21469">
      <c r="A21469" s="3" t="inlineStr">
        <is>
          <t>21410</t>
        </is>
      </c>
      <c r="B21469" s="4" t="s">
        <f>=HYPERLINK("http://anyluxury.ru/shop/ofisnye-suveniry/nastolnye-aksessuary/presspape-sundial-latun-z11010/" , "Z11010 Пресс-папье Sundial, латунь")</f>
      </c>
      <c r="C21469" s="4" t="n">
        <v>1490.00</v>
      </c>
      <c r="D21469" s="4"/>
    </row>
    <row collapsed="" customFormat="false" customHeight="1" hidden="" ht="14" outlineLevel="0" r="21470">
      <c r="A21470" s="3" t="inlineStr">
        <is>
          <t>21411</t>
        </is>
      </c>
      <c r="B21470" s="4" t="s">
        <f>=HYPERLINK("http://anyluxury.ru/shop/ofisnye-suveniry/nastolnye-aksessuary/magnitniy-antistress-philippi-z54041/" , "Z54041 Магнитный антистресс Philippi")</f>
      </c>
      <c r="C21470" s="4" t="n">
        <v>1596.00</v>
      </c>
      <c r="D21470" s="4"/>
    </row>
    <row collapsed="" customFormat="false" customHeight="1" hidden="" ht="14" outlineLevel="0" r="21471">
      <c r="A21471" s="3" t="inlineStr">
        <is>
          <t>21412</t>
        </is>
      </c>
      <c r="B21471" s="4" t="s">
        <f>=HYPERLINK("http://anyluxury.ru/shop/ofisnye-suveniry/nastolnye-aksessuary/nastolniy-zvonok-bell-z54042/" , "Z54042 Настольный звонок Bell")</f>
      </c>
      <c r="C21471" s="4" t="n">
        <v>2259.00</v>
      </c>
      <c r="D21471" s="4"/>
    </row>
    <row collapsed="" customFormat="false" customHeight="1" hidden="" ht="14" outlineLevel="0" r="21472">
      <c r="A21472" s="3" t="inlineStr">
        <is>
          <t>21413</t>
        </is>
      </c>
      <c r="B21472" s="4" t="s">
        <f>=HYPERLINK("http://anyluxury.ru/shop/ofisnye-suveniry/nastolnye-aksessuary/tochilka-s-lastikom-mein-baum-11484/" , "11484 Точилка с ластиком Mein Baum")</f>
      </c>
      <c r="C21472" s="4" t="n">
        <v>1903.00</v>
      </c>
      <c r="D21472" s="4"/>
    </row>
    <row collapsed="" customFormat="false" customHeight="1" hidden="" ht="14" outlineLevel="0" r="21473">
      <c r="A21473" s="3" t="inlineStr">
        <is>
          <t>21414</t>
        </is>
      </c>
      <c r="B21473" s="4" t="s">
        <f>=HYPERLINK("http://anyluxury.ru/shop/ofisnye-suveniry/nastolnye-aksessuary/nastolniy-flagshtok-banner-up-s-kruglim-osnovaniem-2041801/" , "20418.01 Настольный флагшток Banner Up, с круглым основанием")</f>
      </c>
      <c r="C21473" s="4" t="n">
        <v>1500.00</v>
      </c>
      <c r="D21473" s="4"/>
    </row>
    <row collapsed="" customFormat="false" customHeight="1" hidden="" ht="14" outlineLevel="0" r="21474">
      <c r="A21474" s="3" t="inlineStr">
        <is>
          <t>21415</t>
        </is>
      </c>
      <c r="B21474" s="4" t="s">
        <f>=HYPERLINK("http://anyluxury.ru/shop/ofisnye-suveniry/nastolnye-aksessuary/nastolniy-flagshtok-banner-up-s-nizkim-kvadratnim-osnovaniem-2041802/" , "20418.02 Настольный флагшток Banner Up, с низким квадратным основанием")</f>
      </c>
      <c r="C21474" s="4" t="n">
        <v>1500.00</v>
      </c>
      <c r="D21474" s="4"/>
    </row>
    <row collapsed="" customFormat="false" customHeight="1" hidden="" ht="14" outlineLevel="0" r="21475">
      <c r="A21475" s="3" t="inlineStr">
        <is>
          <t>21416</t>
        </is>
      </c>
      <c r="B21475" s="4" t="s">
        <f>=HYPERLINK("http://anyluxury.ru/shop/ofisnye-suveniry/nastolnye-aksessuary/nastolniy-flagshtok-banner-up-s-visokim-kvadratnim-osnovaniem-2041803/" , "20418.03 Настольный флагшток Banner Up, с высоким квадратным основанием")</f>
      </c>
      <c r="C21475" s="4" t="n">
        <v>1500.00</v>
      </c>
      <c r="D21475" s="4"/>
    </row>
    <row collapsed="" customFormat="false" customHeight="1" hidden="" ht="14" outlineLevel="0" r="21476">
      <c r="A21476" s="3" t="inlineStr">
        <is>
          <t>21417</t>
        </is>
      </c>
      <c r="B21476" s="4" t="s">
        <f>=HYPERLINK("http://anyluxury.ru/shop/ofisnye-suveniry/nastolnye-aksessuary/organayzer-greenoffice-maliy-krasniy-1061650/" , "10616.50 Органайзер GreenOffice, малый, красный")</f>
      </c>
      <c r="C21476" s="4" t="n">
        <v>799.00</v>
      </c>
      <c r="D21476" s="4"/>
    </row>
    <row collapsed="" customFormat="false" customHeight="1" hidden="" ht="14" outlineLevel="0" r="21477">
      <c r="A21477" s="3" t="inlineStr">
        <is>
          <t>21418</t>
        </is>
      </c>
      <c r="B21477" s="4" t="s">
        <f>=HYPERLINK("http://anyluxury.ru/shop/ofisnye-suveniry/nastolnye-aksessuary/organayzer-greenoffice-bolshoy-zeleniy-1061790/" , "10617.90 Органайзер GreenOffice, большой, зеленый")</f>
      </c>
      <c r="C21477" s="4" t="n">
        <v>999.00</v>
      </c>
      <c r="D21477" s="4"/>
    </row>
    <row collapsed="" customFormat="false" customHeight="1" hidden="" ht="14" outlineLevel="0" r="21478">
      <c r="A21478" s="3" t="inlineStr">
        <is>
          <t>21419</t>
        </is>
      </c>
      <c r="B21478" s="4" t="s">
        <f>=HYPERLINK("http://anyluxury.ru/shop/ofisnye-suveniry/nastolnye-aksessuary/vechniy-kalendar-365-11567/" , "11567 Вечный календарь «365»")</f>
      </c>
      <c r="C21478" s="4" t="n">
        <v>5428.00</v>
      </c>
      <c r="D21478" s="4"/>
    </row>
    <row collapsed="" customFormat="false" customHeight="1" hidden="" ht="14" outlineLevel="0" r="21479">
      <c r="A21479" s="3" t="inlineStr">
        <is>
          <t>21420</t>
        </is>
      </c>
      <c r="B21479" s="4" t="s">
        <f>=HYPERLINK("http://anyluxury.ru/shop/ofisnye-suveniry/nastolnye-aksessuary/zerkalo-s-podstavkoy-dlya-telefona-self-sinee-s-belim-1163340/" , "11633.40 Зеркало с подставкой для телефона Self, синее с белым")</f>
      </c>
      <c r="C21479" s="4" t="n">
        <v>98.20</v>
      </c>
      <c r="D21479" s="4"/>
    </row>
    <row collapsed="" customFormat="false" customHeight="1" hidden="" ht="14" outlineLevel="0" r="21480">
      <c r="A21480" s="3" t="inlineStr">
        <is>
          <t>21421</t>
        </is>
      </c>
      <c r="B21480" s="4" t="s">
        <f>=HYPERLINK("http://anyluxury.ru/shop/ofisnye-suveniry/nastolnye-aksessuary/nastolniy-nabor-so-stikerami-mnemonic-beliy-1163660/" , "11636.60 Настольный набор со стикерами Mnemonic, белый")</f>
      </c>
      <c r="C21480" s="4" t="n">
        <v>549.00</v>
      </c>
      <c r="D21480" s="4"/>
    </row>
    <row collapsed="" customFormat="false" customHeight="1" hidden="" ht="14" outlineLevel="0" r="21481">
      <c r="A21481" s="3" t="inlineStr">
        <is>
          <t>21422</t>
        </is>
      </c>
      <c r="B21481" s="4" t="s">
        <f>=HYPERLINK("http://anyluxury.ru/shop/ofisnye-suveniry/nastolnye-aksessuary/ustroystvo-gromkoy-svyazi-p329381/" , "P329.381 Устройство громкой связи")</f>
      </c>
      <c r="C21481" s="4" t="n">
        <v>6490.00</v>
      </c>
      <c r="D21481" s="4"/>
    </row>
    <row collapsed="" customFormat="false" customHeight="1" hidden="" ht="14" outlineLevel="0" r="21482">
      <c r="A21482" s="3" t="inlineStr">
        <is>
          <t>21423</t>
        </is>
      </c>
      <c r="B21482" s="4" t="s">
        <f>=HYPERLINK("http://anyluxury.ru/shop/ofisnye-suveniry/nastolnye-aksessuary/kalendar-nastolniy-na-zakaz-sticky-s-blokom-50-listov-1890601/" , "18906.01 Календарь настольный на заказ Sticky, с блоком 50 листов")</f>
      </c>
      <c r="C21482" s="4" t="n">
        <v>678.00</v>
      </c>
      <c r="D21482" s="4"/>
    </row>
    <row collapsed="" customFormat="false" customHeight="1" hidden="" ht="14" outlineLevel="0" r="21483">
      <c r="A21483" s="3" t="inlineStr">
        <is>
          <t>21424</t>
        </is>
      </c>
      <c r="B21483" s="4" t="s">
        <f>=HYPERLINK("http://anyluxury.ru/shop/ofisnye-suveniry/nastolnye-aksessuary/kalendar-nastolniy-na-zakaz-sticky-s-blokom-100-listov-1890602/" , "18906.02 Календарь настольный на заказ Sticky, с блоком 100 листов")</f>
      </c>
      <c r="C21483" s="4" t="n">
        <v>745.00</v>
      </c>
      <c r="D21483" s="4"/>
    </row>
    <row collapsed="" customFormat="false" customHeight="1" hidden="" ht="14" outlineLevel="0" r="21484">
      <c r="A21484" s="3" t="inlineStr">
        <is>
          <t>21425</t>
        </is>
      </c>
      <c r="B21484" s="4" t="s">
        <f>=HYPERLINK("http://anyluxury.ru/shop/ofisnye-suveniry/nastolnye-aksessuary/umnaya-teplica-growup-belaya-1551960/" , "15519.60 Умная теплица growUp, белая")</f>
      </c>
      <c r="C21484" s="4" t="n">
        <v>3690.00</v>
      </c>
      <c r="D21484" s="4"/>
    </row>
    <row collapsed="" customFormat="false" customHeight="" hidden="" ht="12.1" outlineLevel="0" r="21485">
      <c r="A21485" s="5" t="inlineStr">
        <is>
          <t> -  - Плакетки и панно</t>
        </is>
      </c>
      <c r="B21485" s="6"/>
      <c r="C21485" s="6"/>
      <c r="D21485" s="6"/>
    </row>
    <row collapsed="" customFormat="false" customHeight="1" hidden="" ht="14" outlineLevel="0" r="21486">
      <c r="A21486" s="3" t="inlineStr">
        <is>
          <t>21426</t>
        </is>
      </c>
      <c r="B21486" s="4" t="s">
        <f>=HYPERLINK("http://anyluxury.ru/shop/ofisnye-suveniry/plaketki-i-panno/plaketka-quot-quot-zvezda-quot-s-globusom-quot-a01gbr/" , "A01GBR Плакетка &amp;quot;&amp;quot;Звезда&amp;quot; с глобусом&amp;quot; A01GBR")</f>
      </c>
      <c r="C21486" s="4" t="n">
        <v>6200.00</v>
      </c>
      <c r="D21486" s="4"/>
    </row>
    <row collapsed="" customFormat="false" customHeight="1" hidden="" ht="14" outlineLevel="0" r="21487">
      <c r="A21487" s="3" t="inlineStr">
        <is>
          <t>21427</t>
        </is>
      </c>
      <c r="B21487" s="4" t="s">
        <f>=HYPERLINK("http://anyluxury.ru/shop/ofisnye-suveniry/plaketki-i-panno/plaketka-quot-quot-zvezda-quot-s-globusom-quot-a01sbr/" , "A01SBR Плакетка &amp;quot;&amp;quot;Звезда&amp;quot; с глобусом&amp;quot; A01SBR")</f>
      </c>
      <c r="C21487" s="4" t="n">
        <v>6200.00</v>
      </c>
      <c r="D21487" s="4"/>
    </row>
    <row collapsed="" customFormat="false" customHeight="1" hidden="" ht="14" outlineLevel="0" r="21488">
      <c r="A21488" s="3" t="inlineStr">
        <is>
          <t>21428</t>
        </is>
      </c>
      <c r="B21488" s="4" t="s">
        <f>=HYPERLINK("http://anyluxury.ru/shop/ofisnye-suveniry/plaketki-i-panno/plaketka-quot-quot-simvol-gaza-quot-na-derevyannoy-rame-quot-g02gbr/" , "G02GBR Плакетка &amp;quot;&amp;quot;Символ газа&amp;quot; на деревянной раме&amp;quot; G02GBR")</f>
      </c>
      <c r="C21488" s="4" t="n">
        <v>9800.00</v>
      </c>
      <c r="D21488" s="4"/>
    </row>
    <row collapsed="" customFormat="false" customHeight="1" hidden="" ht="14" outlineLevel="0" r="21489">
      <c r="A21489" s="3" t="inlineStr">
        <is>
          <t>21429</t>
        </is>
      </c>
      <c r="B21489" s="4" t="s">
        <f>=HYPERLINK("http://anyluxury.ru/shop/ofisnye-suveniry/plaketki-i-panno/plaketka-quot-quot-simvol-gaza-quot-s-globusom-quot-g01gbr/" , "G01GBR Плакетка &amp;quot;&amp;quot;Символ газа&amp;quot; с глобусом&amp;quot; G01GBR")</f>
      </c>
      <c r="C21489" s="4" t="n">
        <v>12800.00</v>
      </c>
      <c r="D21489" s="4"/>
    </row>
    <row collapsed="" customFormat="false" customHeight="1" hidden="" ht="14" outlineLevel="0" r="21490">
      <c r="A21490" s="3" t="inlineStr">
        <is>
          <t>21430</t>
        </is>
      </c>
      <c r="B21490" s="4" t="s">
        <f>=HYPERLINK("http://anyluxury.ru/shop/ofisnye-suveniry/plaketki-i-panno/plaketka-quot-quot-pero-quot-s-globusom-quot-p01sbl/" , "P01SBL Плакетка &amp;quot;&amp;quot;Перо&amp;quot; с глобусом&amp;quot; P01SBL")</f>
      </c>
      <c r="C21490" s="4" t="n">
        <v>6200.00</v>
      </c>
      <c r="D21490" s="4"/>
    </row>
    <row collapsed="" customFormat="false" customHeight="1" hidden="" ht="14" outlineLevel="0" r="21491">
      <c r="A21491" s="3" t="inlineStr">
        <is>
          <t>21431</t>
        </is>
      </c>
      <c r="B21491" s="4" t="s">
        <f>=HYPERLINK("http://anyluxury.ru/shop/ofisnye-suveniry/plaketki-i-panno/plaketka-quot-quot-simvol-gaza-quot-na-derevyannoy-rame-quot-g02sbl/" , "G02SBL Плакетка &amp;quot;&amp;quot;Символ газа&amp;quot; на деревянной раме&amp;quot; G02SBL")</f>
      </c>
      <c r="C21491" s="4" t="n">
        <v>9800.00</v>
      </c>
      <c r="D21491" s="4"/>
    </row>
    <row collapsed="" customFormat="false" customHeight="1" hidden="" ht="14" outlineLevel="0" r="21492">
      <c r="A21492" s="3" t="inlineStr">
        <is>
          <t>21432</t>
        </is>
      </c>
      <c r="B21492" s="4" t="s">
        <f>=HYPERLINK("http://anyluxury.ru/shop/ofisnye-suveniry/plaketki-i-panno/plaketka-quot-quot-simvol-gaza-quot-chasy-termometr-gigrometr-quot-g03sbl/" , "G03SBL Плакетка &amp;quot;&amp;quot;Символ газа&amp;quot; часы, термометр. гигрометр&amp;quot; G03SBL")</f>
      </c>
      <c r="C21492" s="4" t="n">
        <v>15200.00</v>
      </c>
      <c r="D21492" s="4"/>
    </row>
    <row collapsed="" customFormat="false" customHeight="1" hidden="" ht="14" outlineLevel="0" r="21493">
      <c r="A21493" s="3" t="inlineStr">
        <is>
          <t>21433</t>
        </is>
      </c>
      <c r="B21493" s="4" t="s">
        <f>=HYPERLINK("http://anyluxury.ru/shop/ofisnye-suveniry/plaketki-i-panno/plaketka-quot-quot-simvol-gaza-quot-s-globusom-quot-g01sbl/" , "G01SBL Плакетка &amp;quot;&amp;quot;Символ газа&amp;quot; с глобусом&amp;quot; G01SBL")</f>
      </c>
      <c r="C21493" s="4" t="n">
        <v>12800.00</v>
      </c>
      <c r="D21493" s="4"/>
    </row>
    <row collapsed="" customFormat="false" customHeight="1" hidden="" ht="14" outlineLevel="0" r="21494">
      <c r="A21494" s="3" t="inlineStr">
        <is>
          <t>21434</t>
        </is>
      </c>
      <c r="B21494" s="4" t="s">
        <f>=HYPERLINK("http://anyluxury.ru/shop/ofisnye-suveniry/plaketki-i-panno/plaketka-quot-quot-skripichnyy-klyuch-quot-chasy-termometr-gigrometr-quot-s03gbr/" , "S03GBR Плакетка &amp;quot;&amp;quot;Скрипичный ключ&amp;quot; часы, термометр, гигрометр&amp;quot; S03GBR")</f>
      </c>
      <c r="C21494" s="4" t="n">
        <v>7800.00</v>
      </c>
      <c r="D21494" s="4"/>
    </row>
    <row collapsed="" customFormat="false" customHeight="1" hidden="" ht="14" outlineLevel="0" r="21495">
      <c r="A21495" s="3" t="inlineStr">
        <is>
          <t>21435</t>
        </is>
      </c>
      <c r="B21495" s="4" t="s">
        <f>=HYPERLINK("http://anyluxury.ru/shop/ofisnye-suveniry/plaketki-i-panno/plaketka-quot-quot-skripichnyy-klyuch-quot-chasy-termometr-gigrometr-quot-s03sbl/" , "S03SBL Плакетка &amp;quot;&amp;quot;Скрипичный ключ&amp;quot; часы, термометр, гигрометр&amp;quot; S03SBL")</f>
      </c>
      <c r="C21495" s="4" t="n">
        <v>7800.00</v>
      </c>
      <c r="D21495" s="4"/>
    </row>
    <row collapsed="" customFormat="false" customHeight="1" hidden="" ht="14" outlineLevel="0" r="21496">
      <c r="A21496" s="3" t="inlineStr">
        <is>
          <t>21436</t>
        </is>
      </c>
      <c r="B21496" s="4" t="s">
        <f>=HYPERLINK("http://anyluxury.ru/shop/ofisnye-suveniry/plaketki-i-panno/plaketka-quot-quot-skripichnyy-klyuch-quot-s-globusom-quot-s01gbr/" , "S01GBR Плакетка &amp;quot;&amp;quot;Скрипичный ключ&amp;quot; с глобусом&amp;quot; S01GBR")</f>
      </c>
      <c r="C21496" s="4" t="n">
        <v>6200.00</v>
      </c>
      <c r="D21496" s="4"/>
    </row>
    <row collapsed="" customFormat="false" customHeight="1" hidden="" ht="14" outlineLevel="0" r="21497">
      <c r="A21497" s="3" t="inlineStr">
        <is>
          <t>21437</t>
        </is>
      </c>
      <c r="B21497" s="4" t="s">
        <f>=HYPERLINK("http://anyluxury.ru/shop/ofisnye-suveniry/plaketki-i-panno/plaketka-quot-quot-zvezda-quot-s-globusom-quot-a01sbl/" , "A01SBL Плакетка &amp;quot;&amp;quot;Звезда&amp;quot; с глобусом&amp;quot; A01SBL")</f>
      </c>
      <c r="C21497" s="4" t="n">
        <v>6200.00</v>
      </c>
      <c r="D21497" s="4"/>
    </row>
    <row collapsed="" customFormat="false" customHeight="1" hidden="" ht="14" outlineLevel="0" r="21498">
      <c r="A21498" s="3" t="inlineStr">
        <is>
          <t>21438</t>
        </is>
      </c>
      <c r="B21498" s="4" t="s">
        <f>=HYPERLINK("http://anyluxury.ru/shop/ofisnye-suveniry/plaketki-i-panno/plaketka-quot-quot-skripichnyy-klyuch-quot-s-globusom-quot-s01sbl/" , "S01SBL Плакетка &amp;quot;&amp;quot;Скрипичный ключ&amp;quot; с глобусом&amp;quot; S01SBL")</f>
      </c>
      <c r="C21498" s="4" t="n">
        <v>6200.00</v>
      </c>
      <c r="D21498" s="4"/>
    </row>
    <row collapsed="" customFormat="false" customHeight="1" hidden="" ht="14" outlineLevel="0" r="21499">
      <c r="A21499" s="3" t="inlineStr">
        <is>
          <t>21439</t>
        </is>
      </c>
      <c r="B21499" s="4" t="s">
        <f>=HYPERLINK("http://anyluxury.ru/shop/ofisnye-suveniry/plaketki-i-panno/plaketka-quot-quot-zvezda-quot-chasy-termometr-gigrometr-quot-a03sbl/" , "A03SBL Плакетка &amp;quot;&amp;quot;Звезда&amp;quot; часы, термометр, гигрометр&amp;quot; A03SBL")</f>
      </c>
      <c r="C21499" s="4" t="n">
        <v>7800.00</v>
      </c>
      <c r="D21499" s="4"/>
    </row>
    <row collapsed="" customFormat="false" customHeight="1" hidden="" ht="14" outlineLevel="0" r="21500">
      <c r="A21500" s="3" t="inlineStr">
        <is>
          <t>21440</t>
        </is>
      </c>
      <c r="B21500" s="4" t="s">
        <f>=HYPERLINK("http://anyluxury.ru/shop/ofisnye-suveniry/plaketki-i-panno/plaketka-quot-quot-pero-quot-s-globusom-quot-p01gbr/" , "P01GBR Плакетка &amp;quot;&amp;quot;Перо&amp;quot; с глобусом&amp;quot; P01GBR")</f>
      </c>
      <c r="C21500" s="4" t="n">
        <v>6200.00</v>
      </c>
      <c r="D21500" s="4"/>
    </row>
    <row collapsed="" customFormat="false" customHeight="" hidden="" ht="12.1" outlineLevel="0" r="21501">
      <c r="A21501" s="5" t="inlineStr">
        <is>
          <t> -  - Часы</t>
        </is>
      </c>
      <c r="B21501" s="6"/>
      <c r="C21501" s="6"/>
      <c r="D21501" s="6"/>
    </row>
    <row collapsed="" customFormat="false" customHeight="1" hidden="" ht="14" outlineLevel="0" r="21502">
      <c r="A21502" s="3" t="inlineStr">
        <is>
          <t>21441</t>
        </is>
      </c>
      <c r="B21502" s="4" t="s">
        <f>=HYPERLINK("http://anyluxury.ru/shop/ofisnye-suveniry/chasy/chasy-nastolnye-quot-illyuminator-quot-ck092f/" , "CK092F Часы настольные &amp;quot;Иллюминатор&amp;quot; CK092F")</f>
      </c>
      <c r="C21502" s="4" t="n">
        <v>9800.00</v>
      </c>
      <c r="D21502" s="4"/>
    </row>
    <row collapsed="" customFormat="false" customHeight="1" hidden="" ht="14" outlineLevel="0" r="21503">
      <c r="A21503" s="3" t="inlineStr">
        <is>
          <t>21442</t>
        </is>
      </c>
      <c r="B21503" s="4" t="s">
        <f>=HYPERLINK("http://anyluxury.ru/shop/ofisnye-suveniry/chasy/chasy-nastolnye-s-verevkoy-ck118/" , "CK118 Часы настольные с веревкой CK118")</f>
      </c>
      <c r="C21503" s="4" t="n">
        <v>10400.00</v>
      </c>
      <c r="D21503" s="4"/>
    </row>
    <row collapsed="" customFormat="false" customHeight="1" hidden="" ht="14" outlineLevel="0" r="21504">
      <c r="A21504" s="3" t="inlineStr">
        <is>
          <t>21443</t>
        </is>
      </c>
      <c r="B21504" s="4" t="s">
        <f>=HYPERLINK("http://anyluxury.ru/shop/ofisnye-suveniry/chasy/chasy-nastolnye-s-termometrom-i-gigrometrom-a9256r/" , "A9256R Часы настольные с термометром и гигрометром A9256R")</f>
      </c>
      <c r="C21504" s="4" t="n">
        <v>7800.00</v>
      </c>
      <c r="D21504" s="4"/>
    </row>
    <row collapsed="" customFormat="false" customHeight="1" hidden="" ht="14" outlineLevel="0" r="21505">
      <c r="A21505" s="3" t="inlineStr">
        <is>
          <t>21444</t>
        </is>
      </c>
      <c r="B21505" s="4" t="s">
        <f>=HYPERLINK("http://anyluxury.ru/shop/ofisnye-suveniry/chasy/chasy-pesochnye-a9281b/" , "A9281B Часы песочные A9281B")</f>
      </c>
      <c r="C21505" s="4" t="n">
        <v>6800.00</v>
      </c>
      <c r="D21505" s="4"/>
    </row>
    <row collapsed="" customFormat="false" customHeight="1" hidden="" ht="14" outlineLevel="0" r="21506">
      <c r="A21506" s="3" t="inlineStr">
        <is>
          <t>21445</t>
        </is>
      </c>
      <c r="B21506" s="4" t="s">
        <f>=HYPERLINK("http://anyluxury.ru/shop/ofisnye-suveniry/chasy/chasy-nastolnye-s-termometrom-i-gigrometrom-a9121r/" , "A9121R Часы настольные с термометром и гигрометром A9121R")</f>
      </c>
      <c r="C21506" s="4" t="n">
        <v>7800.00</v>
      </c>
      <c r="D21506" s="4"/>
    </row>
    <row collapsed="" customFormat="false" customHeight="1" hidden="" ht="14" outlineLevel="0" r="21507">
      <c r="A21507" s="3" t="inlineStr">
        <is>
          <t>21446</t>
        </is>
      </c>
      <c r="B21507" s="4" t="s">
        <f>=HYPERLINK("http://anyluxury.ru/shop/ofisnye-suveniry/chasy/chasy-nastennye-tomas-stern-34/" , "4013B Часы настенные Tomas Stern")</f>
      </c>
      <c r="C21507" s="4" t="n">
        <v>3412.00</v>
      </c>
      <c r="D21507" s="4"/>
    </row>
    <row collapsed="" customFormat="false" customHeight="1" hidden="" ht="14" outlineLevel="0" r="21508">
      <c r="A21508" s="3" t="inlineStr">
        <is>
          <t>21447</t>
        </is>
      </c>
      <c r="B21508" s="4" t="s">
        <f>=HYPERLINK("http://anyluxury.ru/shop/ofisnye-suveniry/chasy/chasy-nastennye-tomas-stern-54/" , "7032 Часы настенные Tomas Stern")</f>
      </c>
      <c r="C21508" s="4" t="n">
        <v>3720.00</v>
      </c>
      <c r="D21508" s="4"/>
    </row>
    <row collapsed="" customFormat="false" customHeight="1" hidden="" ht="14" outlineLevel="0" r="21509">
      <c r="A21509" s="3" t="inlineStr">
        <is>
          <t>21448</t>
        </is>
      </c>
      <c r="B21509" s="4" t="s">
        <f>=HYPERLINK("http://anyluxury.ru/shop/ofisnye-suveniry/chasy/chasy-nastennye-aviere-7/" , "25501 Часы настенные Aviere")</f>
      </c>
      <c r="C21509" s="4" t="n">
        <v>7661.00</v>
      </c>
      <c r="D21509" s="4"/>
    </row>
    <row collapsed="" customFormat="false" customHeight="1" hidden="" ht="14" outlineLevel="0" r="21510">
      <c r="A21510" s="3" t="inlineStr">
        <is>
          <t>21449</t>
        </is>
      </c>
      <c r="B21510" s="4" t="s">
        <f>=HYPERLINK("http://anyluxury.ru/shop/ofisnye-suveniry/chasy/chasy-nastennye-aviere-20/" , "25620 Часы настенные Aviere")</f>
      </c>
      <c r="C21510" s="4" t="n">
        <v>6268.00</v>
      </c>
      <c r="D21510" s="4"/>
    </row>
    <row collapsed="" customFormat="false" customHeight="1" hidden="" ht="14" outlineLevel="0" r="21511">
      <c r="A21511" s="3" t="inlineStr">
        <is>
          <t>21450</t>
        </is>
      </c>
      <c r="B21511" s="4" t="s">
        <f>=HYPERLINK("http://anyluxury.ru/shop/ofisnye-suveniry/chasy/chasy-nastennye-aviere-27/" , "25669 Часы настенные Aviere")</f>
      </c>
      <c r="C21511" s="4" t="n">
        <v>4976.00</v>
      </c>
      <c r="D21511" s="4"/>
    </row>
    <row collapsed="" customFormat="false" customHeight="1" hidden="" ht="14" outlineLevel="0" r="21512">
      <c r="A21512" s="3" t="inlineStr">
        <is>
          <t>21451</t>
        </is>
      </c>
      <c r="B21512" s="4" t="s">
        <f>=HYPERLINK("http://anyluxury.ru/shop/ofisnye-suveniry/chasy/chasy-nastennye-aviere-44/" , "25518 Часы настенные Aviere")</f>
      </c>
      <c r="C21512" s="4" t="n">
        <v>3395.00</v>
      </c>
      <c r="D21512" s="4"/>
    </row>
    <row collapsed="" customFormat="false" customHeight="1" hidden="" ht="14" outlineLevel="0" r="21513">
      <c r="A21513" s="3" t="inlineStr">
        <is>
          <t>21452</t>
        </is>
      </c>
      <c r="B21513" s="4" t="s">
        <f>=HYPERLINK("http://anyluxury.ru/shop/ofisnye-suveniry/chasy/chasy-nastennye-aviere-61/" , "25605 Часы настенные Aviere")</f>
      </c>
      <c r="C21513" s="4" t="n">
        <v>5001.00</v>
      </c>
      <c r="D21513" s="4"/>
    </row>
    <row collapsed="" customFormat="false" customHeight="1" hidden="" ht="14" outlineLevel="0" r="21514">
      <c r="A21514" s="3" t="inlineStr">
        <is>
          <t>21453</t>
        </is>
      </c>
      <c r="B21514" s="4" t="s">
        <f>=HYPERLINK("http://anyluxury.ru/shop/ofisnye-suveniry/chasy/chasi-nastennie-rule-s-termometrom-i-gigrometrom-5028/" , "5028 Часы настенные Rule с термометром и гигрометром")</f>
      </c>
      <c r="C21514" s="4" t="n">
        <v>2790.00</v>
      </c>
      <c r="D21514" s="4"/>
    </row>
    <row collapsed="" customFormat="false" customHeight="1" hidden="" ht="14" outlineLevel="0" r="21515">
      <c r="A21515" s="3" t="inlineStr">
        <is>
          <t>21454</t>
        </is>
      </c>
      <c r="B21515" s="4" t="s">
        <f>=HYPERLINK("http://anyluxury.ru/shop/ofisnye-suveniry/chasy/chasi-nastennie-insert2-belie-508260/" , "5082.60 Часы настенные Insert2, белые")</f>
      </c>
      <c r="C21515" s="4" t="n">
        <v>3790.00</v>
      </c>
      <c r="D21515" s="4"/>
    </row>
    <row collapsed="" customFormat="false" customHeight="1" hidden="" ht="14" outlineLevel="0" r="21516">
      <c r="A21516" s="3" t="inlineStr">
        <is>
          <t>21455</t>
        </is>
      </c>
      <c r="B21516" s="4" t="s">
        <f>=HYPERLINK("http://anyluxury.ru/shop/ofisnye-suveniry/chasy/chasi-nastennie-insert3-s-termometrom-i-gigrometrom-belie-618660/" , "6186.60 Часы настенные INSERT3 с термометром и гигрометром, белые")</f>
      </c>
      <c r="C21516" s="4" t="n">
        <v>2790.00</v>
      </c>
      <c r="D21516" s="4"/>
    </row>
    <row collapsed="" customFormat="false" customHeight="1" hidden="" ht="14" outlineLevel="0" r="21517">
      <c r="A21517" s="3" t="inlineStr">
        <is>
          <t>21456</t>
        </is>
      </c>
      <c r="B21517" s="4" t="s">
        <f>=HYPERLINK("http://anyluxury.ru/shop/ofisnye-suveniry/chasy/chasi-nastennie-vivid-large-sinie-559040/" , "5590.40 Часы настенные Vivid Large, синие")</f>
      </c>
      <c r="C21517" s="4" t="n">
        <v>689.00</v>
      </c>
      <c r="D21517" s="4"/>
    </row>
    <row collapsed="" customFormat="false" customHeight="1" hidden="" ht="14" outlineLevel="0" r="21518">
      <c r="A21518" s="3" t="inlineStr">
        <is>
          <t>21457</t>
        </is>
      </c>
      <c r="B21518" s="4" t="s">
        <f>=HYPERLINK("http://anyluxury.ru/shop/ofisnye-suveniry/chasy/chasi-nastennie-vivid-large-zheltie-559080/" , "5590.80 Часы настенные Vivid Large, желтые")</f>
      </c>
      <c r="C21518" s="4" t="n">
        <v>689.00</v>
      </c>
      <c r="D21518" s="4"/>
    </row>
    <row collapsed="" customFormat="false" customHeight="1" hidden="" ht="14" outlineLevel="0" r="21519">
      <c r="A21519" s="3" t="inlineStr">
        <is>
          <t>21458</t>
        </is>
      </c>
      <c r="B21519" s="4" t="s">
        <f>=HYPERLINK("http://anyluxury.ru/shop/ofisnye-suveniry/chasy/chasi-vivid-small-belie-643560/" , "6435.60 Часы Vivid Small, белые")</f>
      </c>
      <c r="C21519" s="4" t="n">
        <v>629.00</v>
      </c>
      <c r="D21519" s="4"/>
    </row>
    <row collapsed="" customFormat="false" customHeight="1" hidden="" ht="14" outlineLevel="0" r="21520">
      <c r="A21520" s="3" t="inlineStr">
        <is>
          <t>21459</t>
        </is>
      </c>
      <c r="B21520" s="4" t="s">
        <f>=HYPERLINK("http://anyluxury.ru/shop/ofisnye-suveniry/chasy/chasi-vivid-small-sinie-643540/" , "6435.40 Часы Vivid Small, синие")</f>
      </c>
      <c r="C21520" s="4" t="n">
        <v>629.00</v>
      </c>
      <c r="D21520" s="4"/>
    </row>
    <row collapsed="" customFormat="false" customHeight="1" hidden="" ht="14" outlineLevel="0" r="21521">
      <c r="A21521" s="3" t="inlineStr">
        <is>
          <t>21460</t>
        </is>
      </c>
      <c r="B21521" s="4" t="s">
        <f>=HYPERLINK("http://anyluxury.ru/shop/ofisnye-suveniry/chasy/nastennie-chasi-blink-chernie-700430/" , "7004.30 Настенные часы Blink, черные")</f>
      </c>
      <c r="C21521" s="4" t="n">
        <v>3350.00</v>
      </c>
      <c r="D21521" s="4"/>
    </row>
    <row collapsed="" customFormat="false" customHeight="1" hidden="" ht="14" outlineLevel="0" r="21522">
      <c r="A21522" s="3" t="inlineStr">
        <is>
          <t>21461</t>
        </is>
      </c>
      <c r="B21522" s="4" t="s">
        <f>=HYPERLINK("http://anyluxury.ru/shop/ofisnye-suveniry/chasy/chasi-nastolnie-wood-job-792600/" , "7926.00 Часы настольные Wood Job")</f>
      </c>
      <c r="C21522" s="4" t="n">
        <v>1590.00</v>
      </c>
      <c r="D21522" s="4"/>
    </row>
    <row collapsed="" customFormat="false" customHeight="1" hidden="" ht="14" outlineLevel="0" r="21523">
      <c r="A21523" s="3" t="inlineStr">
        <is>
          <t>21462</t>
        </is>
      </c>
      <c r="B21523" s="4" t="s">
        <f>=HYPERLINK("http://anyluxury.ru/shop/ofisnye-suveniry/chasy/chasi-nastennie-ribbonwood-1023600/" , "10236.00 Часы настенные Ribbonwood")</f>
      </c>
      <c r="C21523" s="4" t="n">
        <v>6700.00</v>
      </c>
      <c r="D21523" s="4"/>
    </row>
    <row collapsed="" customFormat="false" customHeight="1" hidden="" ht="14" outlineLevel="0" r="21524">
      <c r="A21524" s="3" t="inlineStr">
        <is>
          <t>21463</t>
        </is>
      </c>
      <c r="B21524" s="4" t="s">
        <f>=HYPERLINK("http://anyluxury.ru/shop/ofisnye-suveniry/chasy/chasi-nastennie-numbra-1024130/" , "10241.30 Часы настенные Numbra")</f>
      </c>
      <c r="C21524" s="4" t="n">
        <v>4900.00</v>
      </c>
      <c r="D21524" s="4"/>
    </row>
    <row collapsed="" customFormat="false" customHeight="1" hidden="" ht="14" outlineLevel="0" r="21525">
      <c r="A21525" s="3" t="inlineStr">
        <is>
          <t>21464</t>
        </is>
      </c>
      <c r="B21525" s="4" t="s">
        <f>=HYPERLINK("http://anyluxury.ru/shop/ofisnye-suveniry/chasy/chasi-nastennie-shadow-1028000/" , "10280.00 Часы настенные Shadow")</f>
      </c>
      <c r="C21525" s="4" t="n">
        <v>7900.00</v>
      </c>
      <c r="D21525" s="4"/>
    </row>
    <row collapsed="" customFormat="false" customHeight="1" hidden="" ht="14" outlineLevel="0" r="21526">
      <c r="A21526" s="3" t="inlineStr">
        <is>
          <t>21465</t>
        </is>
      </c>
      <c r="B21526" s="4" t="s">
        <f>=HYPERLINK("http://anyluxury.ru/shop/ofisnye-suveniry/chasy/chasi-nastennie-rimwood-1028200/" , "10282.00 Часы настенные Rimwood")</f>
      </c>
      <c r="C21526" s="4" t="n">
        <v>4590.00</v>
      </c>
      <c r="D21526" s="4"/>
    </row>
    <row collapsed="" customFormat="false" customHeight="1" hidden="" ht="14" outlineLevel="0" r="21527">
      <c r="A21527" s="3" t="inlineStr">
        <is>
          <t>21466</t>
        </is>
      </c>
      <c r="B21527" s="4" t="s">
        <f>=HYPERLINK("http://anyluxury.ru/shop/ofisnye-suveniry/chasy/chasi-nastennie-ribbon-med-700985/" , "7009.85 Часы настенные Ribbon, медь")</f>
      </c>
      <c r="C21527" s="4" t="n">
        <v>4900.00</v>
      </c>
      <c r="D21527" s="4"/>
    </row>
    <row collapsed="" customFormat="false" customHeight="1" hidden="" ht="14" outlineLevel="0" r="21528">
      <c r="A21528" s="3" t="inlineStr">
        <is>
          <t>21467</t>
        </is>
      </c>
      <c r="B21528" s="4" t="s">
        <f>=HYPERLINK("http://anyluxury.ru/shop/ofisnye-suveniry/chasy/chasi-nastennie-meta-med-1028685/" , "10286.85 Часы настенные Meta, медь")</f>
      </c>
      <c r="C21528" s="4" t="n">
        <v>5200.00</v>
      </c>
      <c r="D21528" s="4"/>
    </row>
    <row collapsed="" customFormat="false" customHeight="1" hidden="" ht="14" outlineLevel="0" r="21529">
      <c r="A21529" s="3" t="inlineStr">
        <is>
          <t>21468</t>
        </is>
      </c>
      <c r="B21529" s="4" t="s">
        <f>=HYPERLINK("http://anyluxury.ru/shop/ofisnye-suveniry/chasy/meteostanciya-komnatnaya-hama-th50-chernaya-1911430/" , "19114.30 Метеостанция комнатная Hama TH50, черная")</f>
      </c>
      <c r="C21529" s="4" t="n">
        <v>679.00</v>
      </c>
      <c r="D21529" s="4"/>
    </row>
    <row collapsed="" customFormat="false" customHeight="1" hidden="" ht="14" outlineLevel="0" r="21530">
      <c r="A21530" s="3" t="inlineStr">
        <is>
          <t>21469</t>
        </is>
      </c>
      <c r="B21530" s="4" t="s">
        <f>=HYPERLINK("http://anyluxury.ru/shop/ofisnye-suveniry/chasy/termometr-galileo-v-derevyannom-korpuse-1041880/" , "10418.80 Термометр «Галилео» в деревянном корпусе, неокрашенный")</f>
      </c>
      <c r="C21530" s="4" t="n">
        <v>4990.00</v>
      </c>
      <c r="D21530" s="4"/>
    </row>
    <row collapsed="" customFormat="false" customHeight="1" hidden="" ht="14" outlineLevel="0" r="21531">
      <c r="A21531" s="3" t="inlineStr">
        <is>
          <t>21470</t>
        </is>
      </c>
      <c r="B21531" s="4" t="s">
        <f>=HYPERLINK("http://anyluxury.ru/shop/ofisnye-suveniry/chasy/meteostanciya-uniscend-foreteller-s-vneshnim-datchikom-1210430/" , "12104.30 Метеостанция Uniscend Foreteller с внешним датчиком")</f>
      </c>
      <c r="C21531" s="4" t="n">
        <v>2290.00</v>
      </c>
      <c r="D21531" s="4"/>
    </row>
    <row collapsed="" customFormat="false" customHeight="1" hidden="" ht="14" outlineLevel="0" r="21532">
      <c r="A21532" s="3" t="inlineStr">
        <is>
          <t>21471</t>
        </is>
      </c>
      <c r="B21532" s="4" t="s">
        <f>=HYPERLINK("http://anyluxury.ru/shop/ofisnye-suveniry/chasy/chasi-nastennie-chronotop-s-krasnoy-sekundnoy-strelkoy-1073215/" , "10732.15 Часы настенные ChronoTop, серебристые")</f>
      </c>
      <c r="C21532" s="4" t="n">
        <v>1090.00</v>
      </c>
      <c r="D21532" s="4"/>
    </row>
    <row collapsed="" customFormat="false" customHeight="1" hidden="" ht="14" outlineLevel="0" r="21533">
      <c r="A21533" s="3" t="inlineStr">
        <is>
          <t>21472</t>
        </is>
      </c>
      <c r="B21533" s="4" t="s">
        <f>=HYPERLINK("http://anyluxury.ru/shop/ofisnye-suveniry/chasy/elektronniy-barometr-eva-solo-weather-12391/" , "12391 Электронный барометр Eva Solo Weather")</f>
      </c>
      <c r="C21533" s="4" t="n">
        <v>6690.00</v>
      </c>
      <c r="D21533" s="4"/>
    </row>
    <row collapsed="" customFormat="false" customHeight="1" hidden="" ht="14" outlineLevel="0" r="21534">
      <c r="A21534" s="3" t="inlineStr">
        <is>
          <t>21473</t>
        </is>
      </c>
      <c r="B21534" s="4" t="s">
        <f>=HYPERLINK("http://anyluxury.ru/shop/ofisnye-suveniry/chasy/elektronniy-termometr-eva-solo-weather-12392/" , "12392 Электронный термометр Eva Solo Weather")</f>
      </c>
      <c r="C21534" s="4" t="n">
        <v>5690.00</v>
      </c>
      <c r="D21534" s="4"/>
    </row>
    <row collapsed="" customFormat="false" customHeight="1" hidden="" ht="14" outlineLevel="0" r="21535">
      <c r="A21535" s="3" t="inlineStr">
        <is>
          <t>21474</t>
        </is>
      </c>
      <c r="B21535" s="4" t="s">
        <f>=HYPERLINK("http://anyluxury.ru/shop/ofisnye-suveniry/chasy/chasi-nastennie-lacky-belie-s-chernim-1711463/" , "17114.63 Часы настенные Lacky, белые с черным")</f>
      </c>
      <c r="C21535" s="4" t="n">
        <v>4650.00</v>
      </c>
      <c r="D21535" s="4"/>
    </row>
    <row collapsed="" customFormat="false" customHeight="1" hidden="" ht="14" outlineLevel="0" r="21536">
      <c r="A21536" s="3" t="inlineStr">
        <is>
          <t>21475</t>
        </is>
      </c>
      <c r="B21536" s="4" t="s">
        <f>=HYPERLINK("http://anyluxury.ru/shop/ofisnye-suveniry/chasy/chasi-nastennie-berne-chernie-1711530/" , "17115.30 Часы настенные Berne, черные")</f>
      </c>
      <c r="C21536" s="4" t="n">
        <v>4650.00</v>
      </c>
      <c r="D21536" s="4"/>
    </row>
    <row collapsed="" customFormat="false" customHeight="1" hidden="" ht="14" outlineLevel="0" r="21537">
      <c r="A21537" s="3" t="inlineStr">
        <is>
          <t>21476</t>
        </is>
      </c>
      <c r="B21537" s="4" t="s">
        <f>=HYPERLINK("http://anyluxury.ru/shop/ofisnye-suveniry/chasy/chasi-nastennie-neo-chernie-s-belim-1711636/" , "17116.36 Часы настенные Neo, черные с белым")</f>
      </c>
      <c r="C21537" s="4" t="n">
        <v>4650.00</v>
      </c>
      <c r="D21537" s="4"/>
    </row>
    <row collapsed="" customFormat="false" customHeight="1" hidden="" ht="14" outlineLevel="0" r="21538">
      <c r="A21538" s="3" t="inlineStr">
        <is>
          <t>21477</t>
        </is>
      </c>
      <c r="B21538" s="4" t="s">
        <f>=HYPERLINK("http://anyluxury.ru/shop/ofisnye-suveniry/chasy/termometr-galileo-v-derevyannom-korpuse-siniy-1041840/" , "10418.40 Термометр «Галилео» в деревянном корпусе, синий")</f>
      </c>
      <c r="C21538" s="4" t="n">
        <v>4990.00</v>
      </c>
      <c r="D21538" s="4"/>
    </row>
    <row collapsed="" customFormat="false" customHeight="1" hidden="" ht="14" outlineLevel="0" r="21539">
      <c r="A21539" s="3" t="inlineStr">
        <is>
          <t>21478</t>
        </is>
      </c>
      <c r="B21539" s="4" t="s">
        <f>=HYPERLINK("http://anyluxury.ru/shop/ofisnye-suveniry/chasy/chasi-nastennie-lander-belie-s-chernim-1712163/" , "17121.63 Часы настенные Lander, белые с черным")</f>
      </c>
      <c r="C21539" s="4" t="n">
        <v>4650.00</v>
      </c>
      <c r="D21539" s="4"/>
    </row>
    <row collapsed="" customFormat="false" customHeight="1" hidden="" ht="14" outlineLevel="0" r="21540">
      <c r="A21540" s="3" t="inlineStr">
        <is>
          <t>21479</t>
        </is>
      </c>
      <c r="B21540" s="4" t="s">
        <f>=HYPERLINK("http://anyluxury.ru/shop/ofisnye-suveniry/chasy/chasi-nastennie-oddi-belie-1712360/" , "17123.60 Часы настенные Oddi, белые")</f>
      </c>
      <c r="C21540" s="4" t="n">
        <v>3487.00</v>
      </c>
      <c r="D21540" s="4"/>
    </row>
    <row collapsed="" customFormat="false" customHeight="1" hidden="" ht="14" outlineLevel="0" r="21541">
      <c r="A21541" s="3" t="inlineStr">
        <is>
          <t>21480</t>
        </is>
      </c>
      <c r="B21541" s="4" t="s">
        <f>=HYPERLINK("http://anyluxury.ru/shop/ofisnye-suveniry/chasy/chasi-nastennie-lite-belie-1712460/" , "17124.60 Часы настенные Lite, белые")</f>
      </c>
      <c r="C21541" s="4" t="n">
        <v>3487.00</v>
      </c>
      <c r="D21541" s="4"/>
    </row>
    <row collapsed="" customFormat="false" customHeight="1" hidden="" ht="14" outlineLevel="0" r="21542">
      <c r="A21542" s="3" t="inlineStr">
        <is>
          <t>21481</t>
        </is>
      </c>
      <c r="B21542" s="4" t="s">
        <f>=HYPERLINK("http://anyluxury.ru/shop/ofisnye-suveniry/chasy/chasi-nastennie-white-belie-1712560/" , "17125.60 Часы настенные White, белые")</f>
      </c>
      <c r="C21542" s="4" t="n">
        <v>4650.00</v>
      </c>
      <c r="D21542" s="4"/>
    </row>
    <row collapsed="" customFormat="false" customHeight="1" hidden="" ht="14" outlineLevel="0" r="21543">
      <c r="A21543" s="3" t="inlineStr">
        <is>
          <t>21482</t>
        </is>
      </c>
      <c r="B21543" s="4" t="s">
        <f>=HYPERLINK("http://anyluxury.ru/shop/ofisnye-suveniry/chasy/chasi-nastennie-loki-belie-1712760/" , "17127.60 Часы настенные Loki, белые")</f>
      </c>
      <c r="C21543" s="4" t="n">
        <v>3487.00</v>
      </c>
      <c r="D21543" s="4"/>
    </row>
    <row collapsed="" customFormat="false" customHeight="1" hidden="" ht="14" outlineLevel="0" r="21544">
      <c r="A21544" s="3" t="inlineStr">
        <is>
          <t>21483</t>
        </is>
      </c>
      <c r="B21544" s="4" t="s">
        <f>=HYPERLINK("http://anyluxury.ru/shop/ofisnye-suveniry/chasy/chasi-nastennie-weis-belie-s-chernim-1712863/" , "17128.63 Часы настенные Weis, белые с черным")</f>
      </c>
      <c r="C21544" s="4" t="n">
        <v>4176.00</v>
      </c>
      <c r="D21544" s="4"/>
    </row>
    <row collapsed="" customFormat="false" customHeight="1" hidden="" ht="14" outlineLevel="0" r="21545">
      <c r="A21545" s="3" t="inlineStr">
        <is>
          <t>21484</t>
        </is>
      </c>
      <c r="B21545" s="4" t="s">
        <f>=HYPERLINK("http://anyluxury.ru/shop/ofisnye-suveniry/chasy/chasi-nastennie-onika-belie-s-chernim-1712963/" , "17129.63 Часы настенные Onika, белые с черным")</f>
      </c>
      <c r="C21545" s="4" t="n">
        <v>3487.00</v>
      </c>
      <c r="D21545" s="4"/>
    </row>
    <row collapsed="" customFormat="false" customHeight="1" hidden="" ht="14" outlineLevel="0" r="21546">
      <c r="A21546" s="3" t="inlineStr">
        <is>
          <t>21485</t>
        </is>
      </c>
      <c r="B21546" s="4" t="s">
        <f>=HYPERLINK("http://anyluxury.ru/shop/ofisnye-suveniry/chasy/chasi-nastennie-helsey-belie-s-chernim-1713063/" , "17130.63 Часы настенные Helsey, белые с черным")</f>
      </c>
      <c r="C21546" s="4" t="n">
        <v>3487.00</v>
      </c>
      <c r="D21546" s="4"/>
    </row>
    <row collapsed="" customFormat="false" customHeight="1" hidden="" ht="14" outlineLevel="0" r="21547">
      <c r="A21547" s="3" t="inlineStr">
        <is>
          <t>21486</t>
        </is>
      </c>
      <c r="B21547" s="4" t="s">
        <f>=HYPERLINK("http://anyluxury.ru/shop/ofisnye-suveniry/chasy/chasi-nastennie-lyce-belie-s-chernim-1713163/" , "17131.63 Часы настенные Lyce, белые с черным")</f>
      </c>
      <c r="C21547" s="4" t="n">
        <v>3487.00</v>
      </c>
      <c r="D21547" s="4"/>
    </row>
    <row collapsed="" customFormat="false" customHeight="1" hidden="" ht="14" outlineLevel="0" r="21548">
      <c r="A21548" s="3" t="inlineStr">
        <is>
          <t>21487</t>
        </is>
      </c>
      <c r="B21548" s="4" t="s">
        <f>=HYPERLINK("http://anyluxury.ru/shop/ofisnye-suveniry/chasy/chasi-nastennie-spice-zheltie-1715480/" , "17154.80 Часы настенные Spice, желтые")</f>
      </c>
      <c r="C21548" s="4" t="n">
        <v>3487.00</v>
      </c>
      <c r="D21548" s="4"/>
    </row>
    <row collapsed="" customFormat="false" customHeight="1" hidden="" ht="14" outlineLevel="0" r="21549">
      <c r="A21549" s="3" t="inlineStr">
        <is>
          <t>21488</t>
        </is>
      </c>
      <c r="B21549" s="4" t="s">
        <f>=HYPERLINK("http://anyluxury.ru/shop/ofisnye-suveniry/chasy/chasi-nastennie-cleo-zheltie-1715580/" , "17155.80 Часы настенные Cleo, желтые")</f>
      </c>
      <c r="C21549" s="4" t="n">
        <v>3487.00</v>
      </c>
      <c r="D21549" s="4"/>
    </row>
    <row collapsed="" customFormat="false" customHeight="1" hidden="" ht="14" outlineLevel="0" r="21550">
      <c r="A21550" s="3" t="inlineStr">
        <is>
          <t>21489</t>
        </is>
      </c>
      <c r="B21550" s="4" t="s">
        <f>=HYPERLINK("http://anyluxury.ru/shop/ofisnye-suveniry/chasy/chasi-nastennie-goody-serogolubie-1715614/" , "17156.14 Часы настенные Goody, серо-голубые")</f>
      </c>
      <c r="C21550" s="4" t="n">
        <v>3487.00</v>
      </c>
      <c r="D21550" s="4"/>
    </row>
    <row collapsed="" customFormat="false" customHeight="1" hidden="" ht="14" outlineLevel="0" r="21551">
      <c r="A21551" s="3" t="inlineStr">
        <is>
          <t>21490</t>
        </is>
      </c>
      <c r="B21551" s="4" t="s">
        <f>=HYPERLINK("http://anyluxury.ru/shop/ofisnye-suveniry/chasy/chasi-nastennie-spark-temnosinie-1715744/" , "17157.44 Часы настенные Spark, темно-синие")</f>
      </c>
      <c r="C21551" s="4" t="n">
        <v>4650.00</v>
      </c>
      <c r="D21551" s="4"/>
    </row>
    <row collapsed="" customFormat="false" customHeight="1" hidden="" ht="14" outlineLevel="0" r="21552">
      <c r="A21552" s="3" t="inlineStr">
        <is>
          <t>21491</t>
        </is>
      </c>
      <c r="B21552" s="4" t="s">
        <f>=HYPERLINK("http://anyluxury.ru/shop/ofisnye-suveniry/chasy/chasi-nastennie-waldo-temnosinie-1715844/" , "17158.44 Часы настенные Waldo, темно-синие")</f>
      </c>
      <c r="C21552" s="4" t="n">
        <v>3487.00</v>
      </c>
      <c r="D21552" s="4"/>
    </row>
    <row collapsed="" customFormat="false" customHeight="1" hidden="" ht="14" outlineLevel="0" r="21553">
      <c r="A21553" s="3" t="inlineStr">
        <is>
          <t>21492</t>
        </is>
      </c>
      <c r="B21553" s="4" t="s">
        <f>=HYPERLINK("http://anyluxury.ru/shop/ofisnye-suveniry/chasy/chasi-nastennie-tweet-sinie-1715940/" , "17159.40 Часы настенные Tweet, синие")</f>
      </c>
      <c r="C21553" s="4" t="n">
        <v>3487.00</v>
      </c>
      <c r="D21553" s="4"/>
    </row>
    <row collapsed="" customFormat="false" customHeight="1" hidden="" ht="14" outlineLevel="0" r="21554">
      <c r="A21554" s="3" t="inlineStr">
        <is>
          <t>21493</t>
        </is>
      </c>
      <c r="B21554" s="4" t="s">
        <f>=HYPERLINK("http://anyluxury.ru/shop/ofisnye-suveniry/chasy/chasi-nastennie-kipper-sinie-1716040/" , "17160.40 Часы настенные Kipper, синие")</f>
      </c>
      <c r="C21554" s="4" t="n">
        <v>3487.00</v>
      </c>
      <c r="D21554" s="4"/>
    </row>
    <row collapsed="" customFormat="false" customHeight="1" hidden="" ht="14" outlineLevel="0" r="21555">
      <c r="A21555" s="3" t="inlineStr">
        <is>
          <t>21494</t>
        </is>
      </c>
      <c r="B21555" s="4" t="s">
        <f>=HYPERLINK("http://anyluxury.ru/shop/ofisnye-suveniry/chasy/chasi-nastennie-slik-temnosinie-1716144/" , "17161.44 Часы настенные Slik, темно-синие")</f>
      </c>
      <c r="C21555" s="4" t="n">
        <v>3487.00</v>
      </c>
      <c r="D21555" s="4"/>
    </row>
    <row collapsed="" customFormat="false" customHeight="1" hidden="" ht="14" outlineLevel="0" r="21556">
      <c r="A21556" s="3" t="inlineStr">
        <is>
          <t>21495</t>
        </is>
      </c>
      <c r="B21556" s="4" t="s">
        <f>=HYPERLINK("http://anyluxury.ru/shop/ofisnye-suveniry/chasy/chasi-nastennie-milton-kofeynokorichnevie-1716256/" , "17162.56 Часы настенные Milton, кофейно-коричневые")</f>
      </c>
      <c r="C21556" s="4" t="n">
        <v>4176.00</v>
      </c>
      <c r="D21556" s="4"/>
    </row>
    <row collapsed="" customFormat="false" customHeight="1" hidden="" ht="14" outlineLevel="0" r="21557">
      <c r="A21557" s="3" t="inlineStr">
        <is>
          <t>21496</t>
        </is>
      </c>
      <c r="B21557" s="4" t="s">
        <f>=HYPERLINK("http://anyluxury.ru/shop/ofisnye-suveniry/chasy/chasi-nastennie-bijou-serobezhevie-1716316/" , "17163.16 Часы настенные Bijou, серо-бежевые")</f>
      </c>
      <c r="C21557" s="4" t="n">
        <v>3487.00</v>
      </c>
      <c r="D21557" s="4"/>
    </row>
    <row collapsed="" customFormat="false" customHeight="1" hidden="" ht="14" outlineLevel="0" r="21558">
      <c r="A21558" s="3" t="inlineStr">
        <is>
          <t>21497</t>
        </is>
      </c>
      <c r="B21558" s="4" t="s">
        <f>=HYPERLINK("http://anyluxury.ru/shop/ofisnye-suveniry/chasy/chasi-nastennie-chronotop-chernie-1073230/" , "10732.30 Часы настенные ChronoTop, черные")</f>
      </c>
      <c r="C21558" s="4" t="n">
        <v>1090.00</v>
      </c>
      <c r="D21558" s="4"/>
    </row>
    <row collapsed="" customFormat="false" customHeight="1" hidden="" ht="14" outlineLevel="0" r="21559">
      <c r="A21559" s="3" t="inlineStr">
        <is>
          <t>21498</t>
        </is>
      </c>
      <c r="B21559" s="4" t="s">
        <f>=HYPERLINK("http://anyluxury.ru/shop/ofisnye-suveniry/chasy/chasi-nastennie-chronotop-belie-1073260/" , "10732.60 Часы настенные ChronoTop, белые")</f>
      </c>
      <c r="C21559" s="4" t="n">
        <v>1090.00</v>
      </c>
      <c r="D21559" s="4"/>
    </row>
    <row collapsed="" customFormat="false" customHeight="1" hidden="" ht="14" outlineLevel="0" r="21560">
      <c r="A21560" s="3" t="inlineStr">
        <is>
          <t>21499</t>
        </is>
      </c>
      <c r="B21560" s="4" t="s">
        <f>=HYPERLINK("http://anyluxury.ru/shop/ofisnye-suveniry/chasy/chasi-nastennie-willow-serobezhevie-1711516/" , "17115.16 Часы настенные Willow, серо-бежевые")</f>
      </c>
      <c r="C21560" s="4" t="n">
        <v>4176.00</v>
      </c>
      <c r="D21560" s="4"/>
    </row>
    <row collapsed="" customFormat="false" customHeight="1" hidden="" ht="14" outlineLevel="0" r="21561">
      <c r="A21561" s="3" t="inlineStr">
        <is>
          <t>21500</t>
        </is>
      </c>
      <c r="B21561" s="4" t="s">
        <f>=HYPERLINK("http://anyluxury.ru/shop/ofisnye-suveniry/chasy/chasi-nastennie-baumstein-1880600/" , "18806.00 Часы настенные Baumstein")</f>
      </c>
      <c r="C21561" s="4" t="n">
        <v>2990.00</v>
      </c>
      <c r="D21561" s="4"/>
    </row>
    <row collapsed="" customFormat="false" customHeight="1" hidden="" ht="14" outlineLevel="0" r="21562">
      <c r="A21562" s="3" t="inlineStr">
        <is>
          <t>21501</t>
        </is>
      </c>
      <c r="B21562" s="4" t="s">
        <f>=HYPERLINK("http://anyluxury.ru/shop/ofisnye-suveniry/chasy/chasi-nastennie-steklyannie-hard-work-black-7129630/" , "71296.30 Часы Hard Work Black")</f>
      </c>
      <c r="C21562" s="4" t="n">
        <v>1874.00</v>
      </c>
      <c r="D21562" s="4"/>
    </row>
    <row collapsed="" customFormat="false" customHeight="1" hidden="" ht="14" outlineLevel="0" r="21563">
      <c r="A21563" s="3" t="inlineStr">
        <is>
          <t>21502</t>
        </is>
      </c>
      <c r="B21563" s="4" t="s">
        <f>=HYPERLINK("http://anyluxury.ru/shop/ofisnye-suveniry/chasy/nastennie-chasi-tempus-radar-13413/" , "13413 Настенные часы Tempus Radar")</f>
      </c>
      <c r="C21563" s="4" t="n">
        <v>8161.00</v>
      </c>
      <c r="D21563" s="4"/>
    </row>
    <row collapsed="" customFormat="false" customHeight="1" hidden="" ht="14" outlineLevel="0" r="21564">
      <c r="A21564" s="3" t="inlineStr">
        <is>
          <t>21503</t>
        </is>
      </c>
      <c r="B21564" s="4" t="s">
        <f>=HYPERLINK("http://anyluxury.ru/shop/ofisnye-suveniry/chasy/multimediynaya-stanciya-glowvox-belaya-1316860/" , "13168.60 Мультимедийная станция glowVox, белая")</f>
      </c>
      <c r="C21564" s="4" t="n">
        <v>4890.00</v>
      </c>
      <c r="D21564" s="4"/>
    </row>
    <row collapsed="" customFormat="false" customHeight="1" hidden="" ht="14" outlineLevel="0" r="21565">
      <c r="A21565" s="3" t="inlineStr">
        <is>
          <t>21504</t>
        </is>
      </c>
      <c r="B21565" s="4" t="s">
        <f>=HYPERLINK("http://anyluxury.ru/shop/ofisnye-suveniry/chasy/chasi-s-mayatnikom-mods-1777800/" , "17778.00 Часы с маятником Mods")</f>
      </c>
      <c r="C21565" s="4" t="n">
        <v>5990.00</v>
      </c>
      <c r="D21565" s="4"/>
    </row>
    <row collapsed="" customFormat="false" customHeight="1" hidden="" ht="14" outlineLevel="0" r="21566">
      <c r="A21566" s="3" t="inlineStr">
        <is>
          <t>21505</t>
        </is>
      </c>
      <c r="B21566" s="4" t="s">
        <f>=HYPERLINK("http://anyluxury.ru/shop/ofisnye-suveniry/chasy/chasi-nastennie-mods-1777900/" , "17779.00 Часы настенные Mods")</f>
      </c>
      <c r="C21566" s="4" t="n">
        <v>4990.00</v>
      </c>
      <c r="D21566" s="4"/>
    </row>
    <row collapsed="" customFormat="false" customHeight="1" hidden="" ht="14" outlineLevel="0" r="21567">
      <c r="A21567" s="3" t="inlineStr">
        <is>
          <t>21506</t>
        </is>
      </c>
      <c r="B21567" s="4" t="s">
        <f>=HYPERLINK("http://anyluxury.ru/shop/ofisnye-suveniry/chasy/chasi-nastolnie-mods-1778000/" , "17780.00 Часы настольные Mods")</f>
      </c>
      <c r="C21567" s="4" t="n">
        <v>2490.00</v>
      </c>
      <c r="D21567" s="4"/>
    </row>
    <row collapsed="" customFormat="false" customHeight="1" hidden="" ht="14" outlineLevel="0" r="21568">
      <c r="A21568" s="3" t="inlineStr">
        <is>
          <t>21507</t>
        </is>
      </c>
      <c r="B21568" s="4" t="s">
        <f>=HYPERLINK("http://anyluxury.ru/shop/ofisnye-suveniry/chasy/chasi-steklyannie-na-zakaz-time-wheel-1886501/" , "18865.01 Часы стеклянные на заказ Time Wheel")</f>
      </c>
      <c r="C21568" s="4" t="n">
        <v>1620.00</v>
      </c>
      <c r="D21568" s="4"/>
    </row>
    <row collapsed="" customFormat="false" customHeight="1" hidden="" ht="14" outlineLevel="0" r="21569">
      <c r="A21569" s="3" t="inlineStr">
        <is>
          <t>21508</t>
        </is>
      </c>
      <c r="B21569" s="4" t="s">
        <f>=HYPERLINK("http://anyluxury.ru/shop/ofisnye-suveniry/chasy/chasi-naruchnie-na-zakaz-zeit-start-1890501/" , "18905.01 Часы наручные на заказ Zeit Start")</f>
      </c>
      <c r="C21569" s="4" t="n">
        <v>4358.00</v>
      </c>
      <c r="D21569" s="4"/>
    </row>
    <row collapsed="" customFormat="false" customHeight="1" hidden="" ht="14" outlineLevel="0" r="21570">
      <c r="A21570" s="3" t="inlineStr">
        <is>
          <t>21509</t>
        </is>
      </c>
      <c r="B21570" s="4" t="s">
        <f>=HYPERLINK("http://anyluxury.ru/shop/ofisnye-suveniry/chasy/chasi-naruchnie-na-zakaz-zeit-bch-1890801/" , "18908.01 Часы наручные на заказ Zeit B-CH")</f>
      </c>
      <c r="C21570" s="4" t="n">
        <v>9408.00</v>
      </c>
      <c r="D21570" s="4"/>
    </row>
    <row collapsed="" customFormat="false" customHeight="1" hidden="" ht="14" outlineLevel="0" r="21571">
      <c r="A21571" s="3" t="inlineStr">
        <is>
          <t>21510</t>
        </is>
      </c>
      <c r="B21571" s="4" t="s">
        <f>=HYPERLINK("http://anyluxury.ru/shop/ofisnye-suveniry/chasy/chasi-naruchnie-na-zakaz-zeit-bef-1890901/" , "18909.01 Часы наручные на заказ Zeit B-EF")</f>
      </c>
      <c r="C21571" s="4" t="n">
        <v>7476.00</v>
      </c>
      <c r="D21571" s="4"/>
    </row>
    <row collapsed="" customFormat="false" customHeight="1" hidden="" ht="14" outlineLevel="0" r="21572">
      <c r="A21572" s="3" t="inlineStr">
        <is>
          <t>21511</t>
        </is>
      </c>
      <c r="B21572" s="4" t="s">
        <f>=HYPERLINK("http://anyluxury.ru/shop/ofisnye-suveniry/chasy/chasi-naruchnie-na-zakaz-zeit-sport-1891001/" , "18910.01 Часы наручные на заказ Zeit Sport")</f>
      </c>
      <c r="C21572" s="4" t="n">
        <v>3906.00</v>
      </c>
      <c r="D21572" s="4"/>
    </row>
    <row collapsed="" customFormat="false" customHeight="1" hidden="" ht="14" outlineLevel="0" r="21573">
      <c r="A21573" s="3" t="inlineStr">
        <is>
          <t>21512</t>
        </is>
      </c>
      <c r="B21573" s="4" t="s">
        <f>=HYPERLINK("http://anyluxury.ru/shop/ofisnye-suveniry/chasy/chasi-naruchnie-na-zakaz-zeit-bcf-1891401/" , "18914.01 Часы наручные на заказ Zeit B-CF")</f>
      </c>
      <c r="C21573" s="4" t="n">
        <v>5733.00</v>
      </c>
      <c r="D21573" s="4"/>
    </row>
    <row collapsed="" customFormat="false" customHeight="1" hidden="" ht="14" outlineLevel="0" r="21574">
      <c r="A21574" s="3" t="inlineStr">
        <is>
          <t>21513</t>
        </is>
      </c>
      <c r="B21574" s="4" t="s">
        <f>=HYPERLINK("http://anyluxury.ru/shop/ofisnye-suveniry/chasy/chasi-nastennie-veldi-xl-na-zakaz-1895601/" , "18956.01 Часы настенные Veldi XL на заказ")</f>
      </c>
      <c r="C21574" s="4" t="n">
        <v>2520.00</v>
      </c>
      <c r="D21574" s="4"/>
    </row>
    <row collapsed="" customFormat="false" customHeight="1" hidden="" ht="14" outlineLevel="0" r="21575">
      <c r="A21575" s="3" t="inlineStr">
        <is>
          <t>21514</t>
        </is>
      </c>
      <c r="B21575" s="4" t="s">
        <f>=HYPERLINK("http://anyluxury.ru/shop/ofisnye-suveniry/chasy/chasi-nastennie-veldi-square-na-zakaz-1895701/" , "18957.01 Часы настенные Veldi Square на заказ")</f>
      </c>
      <c r="C21575" s="4" t="n">
        <v>1992.00</v>
      </c>
      <c r="D21575" s="4"/>
    </row>
    <row collapsed="" customFormat="false" customHeight="1" hidden="" ht="14" outlineLevel="0" r="21576">
      <c r="A21576" s="3" t="inlineStr">
        <is>
          <t>21515</t>
        </is>
      </c>
      <c r="B21576" s="4" t="s">
        <f>=HYPERLINK("http://anyluxury.ru/shop/ofisnye-suveniry/chasy/chasi-hard-work-ver-2-7700212/" , "77002.12 Часы Hard Work, ver.2")</f>
      </c>
      <c r="C21576" s="4" t="n">
        <v>1792.00</v>
      </c>
      <c r="D21576" s="4"/>
    </row>
    <row collapsed="" customFormat="false" customHeight="1" hidden="" ht="14" outlineLevel="0" r="21577">
      <c r="A21577" s="3" t="inlineStr">
        <is>
          <t>21516</t>
        </is>
      </c>
      <c r="B21577" s="4" t="s">
        <f>=HYPERLINK("http://anyluxury.ru/shop/ofisnye-suveniry/chasy/chasi-naruchnie-zeit-premium-na-zakaz-1890701/" , "18907.01 Часы наручные Zeit Premium на заказ")</f>
      </c>
      <c r="C21577" s="4" t="n">
        <v>12663.00</v>
      </c>
      <c r="D21577" s="4"/>
    </row>
    <row collapsed="" customFormat="false" customHeight="1" hidden="" ht="14" outlineLevel="0" r="21578">
      <c r="A21578" s="3" t="inlineStr">
        <is>
          <t>21517</t>
        </is>
      </c>
      <c r="B21578" s="4" t="s">
        <f>=HYPERLINK("http://anyluxury.ru/shop/ofisnye-suveniry/chasy/chasi-naruchnie-zeit-luxe-na-zakaz-1898001/" , "18980.01 Часы наручные Zeit Luxe на заказ")</f>
      </c>
      <c r="C21578" s="4" t="n">
        <v>15183.00</v>
      </c>
      <c r="D21578" s="4"/>
    </row>
    <row collapsed="" customFormat="false" customHeight="1" hidden="" ht="14" outlineLevel="0" r="21579">
      <c r="A21579" s="3" t="inlineStr">
        <is>
          <t>21518</t>
        </is>
      </c>
      <c r="B21579" s="4" t="s">
        <f>=HYPERLINK("http://anyluxury.ru/shop/ofisnye-suveniry/chasy/chasi-nastennie-ronda-na-zakaz-1822401/" , "18224.01 Часы настенные Ronda на заказ")</f>
      </c>
      <c r="C21579" s="4" t="n">
        <v>998.00</v>
      </c>
      <c r="D21579" s="4"/>
    </row>
    <row collapsed="" customFormat="false" customHeight="1" hidden="" ht="14" outlineLevel="0" r="21580">
      <c r="A21580" s="3" t="inlineStr">
        <is>
          <t>21519</t>
        </is>
      </c>
      <c r="B21580" s="4" t="s">
        <f>=HYPERLINK("http://anyluxury.ru/shop/ofisnye-suveniry/chasy/zaryadnaya-stanciya-s-chasami-i-podsvetkoy-multienergy-chernaya-1519130/" , "15191.30 Зарядная станция с часами и подсветкой multiEnergy, черная")</f>
      </c>
      <c r="C21580" s="4" t="n">
        <v>3990.00</v>
      </c>
      <c r="D21580" s="4"/>
    </row>
    <row collapsed="" customFormat="false" customHeight="1" hidden="" ht="14" outlineLevel="0" r="21581">
      <c r="A21581" s="3" t="inlineStr">
        <is>
          <t>21520</t>
        </is>
      </c>
      <c r="B21581" s="4" t="s">
        <f>=HYPERLINK("http://anyluxury.ru/shop/ofisnye-suveniry/chasy/chasi-nastennie-concept-na-zakaz-1822601/" , "18226.01 Часы настенные Concept на заказ")</f>
      </c>
      <c r="C21581" s="4" t="n">
        <v>1073.00</v>
      </c>
      <c r="D21581" s="4"/>
    </row>
    <row collapsed="" customFormat="false" customHeight="1" hidden="" ht="14" outlineLevel="0" r="21582">
      <c r="A21582" s="3" t="inlineStr">
        <is>
          <t>21521</t>
        </is>
      </c>
      <c r="B21582" s="4" t="s">
        <f>=HYPERLINK("http://anyluxury.ru/shop/ofisnye-suveniry/chasy/chasi-nastennie-alivio-na-zakaz-1822501/" , "18225.01 Часы настенные Alivio на заказ")</f>
      </c>
      <c r="C21582" s="4" t="n">
        <v>1247.00</v>
      </c>
      <c r="D21582" s="4"/>
    </row>
    <row collapsed="" customFormat="false" customHeight="1" hidden="" ht="14" outlineLevel="0" r="21583">
      <c r="A21583" s="3" t="inlineStr">
        <is>
          <t>21522</t>
        </is>
      </c>
      <c r="B21583" s="4" t="s">
        <f>=HYPERLINK("http://anyluxury.ru/shop/ofisnye-suveniry/chasy/chasi-nastennie-gler-na-zakaz-1823601/" , "18236.01 Часы настенные Gler на заказ")</f>
      </c>
      <c r="C21583" s="4" t="n">
        <v>2505.00</v>
      </c>
      <c r="D21583" s="4"/>
    </row>
    <row collapsed="" customFormat="false" customHeight="1" hidden="" ht="14" outlineLevel="0" r="21584">
      <c r="A21584" s="3" t="inlineStr">
        <is>
          <t>21523</t>
        </is>
      </c>
      <c r="B21584" s="4" t="s">
        <f>=HYPERLINK("http://anyluxury.ru/shop/ofisnye-suveniry/chasy/chasi-nastennie-bronco-jessie-svetlobezhevie-1579600/" , "15796.00 Часы настенные Bronco Jessie, светло-бежевые")</f>
      </c>
      <c r="C21584" s="4" t="n">
        <v>5490.00</v>
      </c>
      <c r="D21584" s="4"/>
    </row>
    <row collapsed="" customFormat="false" customHeight="1" hidden="" ht="14" outlineLevel="0" r="21585">
      <c r="A21585" s="3" t="inlineStr">
        <is>
          <t>21524</t>
        </is>
      </c>
      <c r="B21585" s="4" t="s">
        <f>=HYPERLINK("http://anyluxury.ru/shop/ofisnye-suveniry/chasy/chasi-nastennie-bronco-sophie-serobezhevie-1579610/" , "15796.10 Часы настенные Bronco Sophie, серо-бежевые")</f>
      </c>
      <c r="C21585" s="4" t="n">
        <v>5490.00</v>
      </c>
      <c r="D21585" s="4"/>
    </row>
    <row collapsed="" customFormat="false" customHeight="1" hidden="" ht="14" outlineLevel="0" r="21586">
      <c r="A21586" s="3" t="inlineStr">
        <is>
          <t>21525</t>
        </is>
      </c>
      <c r="B21586" s="4" t="s">
        <f>=HYPERLINK("http://anyluxury.ru/shop/ofisnye-suveniry/chasy/chasi-nastolnie-bronco-xxs-sarah-zolotistie-1579800/" , "15798.00 Часы настольные Bronco XXS Sarah, золотистые")</f>
      </c>
      <c r="C21586" s="4" t="n">
        <v>2990.00</v>
      </c>
      <c r="D21586" s="4"/>
    </row>
    <row collapsed="" customFormat="false" customHeight="1" hidden="" ht="14" outlineLevel="0" r="21587">
      <c r="A21587" s="3" t="inlineStr">
        <is>
          <t>21526</t>
        </is>
      </c>
      <c r="B21587" s="4" t="s">
        <f>=HYPERLINK("http://anyluxury.ru/shop/ofisnye-suveniry/chasy/chasi-nastolnie-bronco-xxs-sparky-serebristie-1579810/" , "15798.10 Часы настольные Bronco XXS Sparky, серебристые")</f>
      </c>
      <c r="C21587" s="4" t="n">
        <v>2990.00</v>
      </c>
      <c r="D21587" s="4"/>
    </row>
    <row collapsed="" customFormat="false" customHeight="1" hidden="" ht="14" outlineLevel="0" r="21588">
      <c r="A21588" s="3" t="inlineStr">
        <is>
          <t>21527</t>
        </is>
      </c>
      <c r="B21588" s="4" t="s">
        <f>=HYPERLINK("http://anyluxury.ru/shop/ofisnye-suveniry/chasy/chasi-universalnie-bronco-xs-gracie-1579726/" , "15797.26 Часы универсальные Bronco XS Gracie")</f>
      </c>
      <c r="C21588" s="4" t="n">
        <v>3850.00</v>
      </c>
      <c r="D21588" s="4"/>
    </row>
    <row collapsed="" customFormat="false" customHeight="1" hidden="" ht="14" outlineLevel="0" r="21589">
      <c r="A21589" s="3" t="inlineStr">
        <is>
          <t>21528</t>
        </is>
      </c>
      <c r="B21589" s="4" t="s">
        <f>=HYPERLINK("http://anyluxury.ru/shop/ofisnye-suveniry/chasy/chasi-nastolnie-na-zakaz-uptime-1854601/" , "18546.01 Часы настольные на заказ Uptime")</f>
      </c>
      <c r="C21589" s="4" t="n">
        <v>1584.00</v>
      </c>
      <c r="D21589" s="4"/>
    </row>
    <row collapsed="" customFormat="false" customHeight="" hidden="" ht="12.1" outlineLevel="0" r="21590">
      <c r="A21590" s="5" t="inlineStr">
        <is>
          <t>Письменные принадлежности</t>
        </is>
      </c>
      <c r="B21590" s="6"/>
      <c r="C21590" s="6"/>
      <c r="D21590" s="6"/>
    </row>
    <row collapsed="" customFormat="false" customHeight="" hidden="" ht="12.1" outlineLevel="0" r="21591">
      <c r="A21591" s="5" t="inlineStr">
        <is>
          <t> -  - Карандаши</t>
        </is>
      </c>
      <c r="B21591" s="6"/>
      <c r="C21591" s="6"/>
      <c r="D21591" s="6"/>
    </row>
    <row collapsed="" customFormat="false" customHeight="1" hidden="" ht="14" outlineLevel="0" r="21592">
      <c r="A21592" s="3" t="inlineStr">
        <is>
          <t>21529</t>
        </is>
      </c>
      <c r="B21592" s="4" t="s">
        <f>=HYPERLINK("http://anyluxury.ru/shop/pismennye-prinadlezhnosti/karandashi/karandash-prostoy-hand-friend-s-lastikom-neokrashenniy-500200/" , "5002.00 Карандаш простой Hand Friend с ластиком, неокрашенный")</f>
      </c>
      <c r="C21592" s="4" t="n">
        <v>12.80</v>
      </c>
      <c r="D21592" s="4"/>
    </row>
    <row collapsed="" customFormat="false" customHeight="1" hidden="" ht="14" outlineLevel="0" r="21593">
      <c r="A21593" s="3" t="inlineStr">
        <is>
          <t>21530</t>
        </is>
      </c>
      <c r="B21593" s="4" t="s">
        <f>=HYPERLINK("http://anyluxury.ru/shop/pismennye-prinadlezhnosti/karandashi/karandash-prostoy-hand-friend-s-lastikom-cherniy-500233/" , "5002.33 Карандаш простой Hand Friend с ластиком, черный")</f>
      </c>
      <c r="C21593" s="4" t="n">
        <v>19.00</v>
      </c>
      <c r="D21593" s="4"/>
    </row>
    <row collapsed="" customFormat="false" customHeight="1" hidden="" ht="14" outlineLevel="0" r="21594">
      <c r="A21594" s="3" t="inlineStr">
        <is>
          <t>21531</t>
        </is>
      </c>
      <c r="B21594" s="4" t="s">
        <f>=HYPERLINK("http://anyluxury.ru/shop/pismennye-prinadlezhnosti/karandashi/karandash-prostoy-mini-beliy-188260/" , "1882.60 Карандаш простой Mini, белый")</f>
      </c>
      <c r="C21594" s="4" t="n">
        <v>6.90</v>
      </c>
      <c r="D21594" s="4"/>
    </row>
    <row collapsed="" customFormat="false" customHeight="1" hidden="" ht="14" outlineLevel="0" r="21595">
      <c r="A21595" s="3" t="inlineStr">
        <is>
          <t>21532</t>
        </is>
      </c>
      <c r="B21595" s="4" t="s">
        <f>=HYPERLINK("http://anyluxury.ru/shop/pismennye-prinadlezhnosti/karandashi/karandash-prostoy-mini-neokrashenniy-188200/" , "1882.00 Карандаш простой Mini, неокрашенный")</f>
      </c>
      <c r="C21595" s="4" t="n">
        <v>6.80</v>
      </c>
      <c r="D21595" s="4"/>
    </row>
    <row collapsed="" customFormat="false" customHeight="1" hidden="" ht="14" outlineLevel="0" r="21596">
      <c r="A21596" s="3" t="inlineStr">
        <is>
          <t>21533</t>
        </is>
      </c>
      <c r="B21596" s="4" t="s">
        <f>=HYPERLINK("http://anyluxury.ru/shop/pismennye-prinadlezhnosti/karandashi/karandash-prostoy-mini-cherniy-188233/" , "1882.33 Карандаш простой Mini, черный")</f>
      </c>
      <c r="C21596" s="4" t="n">
        <v>10.50</v>
      </c>
      <c r="D21596" s="4"/>
    </row>
    <row collapsed="" customFormat="false" customHeight="1" hidden="" ht="14" outlineLevel="0" r="21597">
      <c r="A21597" s="3" t="inlineStr">
        <is>
          <t>21534</t>
        </is>
      </c>
      <c r="B21597" s="4" t="s">
        <f>=HYPERLINK("http://anyluxury.ru/shop/pismennye-prinadlezhnosti/karandashi/karandash-prostoy-carpenter-beliy-188360/" , "1883.60 Карандаш простой Carpenter, белый")</f>
      </c>
      <c r="C21597" s="4" t="n">
        <v>22.80</v>
      </c>
      <c r="D21597" s="4"/>
    </row>
    <row collapsed="" customFormat="false" customHeight="1" hidden="" ht="14" outlineLevel="0" r="21598">
      <c r="A21598" s="3" t="inlineStr">
        <is>
          <t>21535</t>
        </is>
      </c>
      <c r="B21598" s="4" t="s">
        <f>=HYPERLINK("http://anyluxury.ru/shop/pismennye-prinadlezhnosti/karandashi/karandash-prostoy-triangle-s-lastikom-beliy-188460/" , "1884.60 Карандаш простой Triangle с ластиком, белый")</f>
      </c>
      <c r="C21598" s="4" t="n">
        <v>16.80</v>
      </c>
      <c r="D21598" s="4"/>
    </row>
    <row collapsed="" customFormat="false" customHeight="1" hidden="" ht="14" outlineLevel="0" r="21599">
      <c r="A21599" s="3" t="inlineStr">
        <is>
          <t>21536</t>
        </is>
      </c>
      <c r="B21599" s="4" t="s">
        <f>=HYPERLINK("http://anyluxury.ru/shop/pismennye-prinadlezhnosti/karandashi/karandash-prostoy-triangle-s-lastikom-siniy-188440/" , "1884.40 Карандаш простой Triangle с ластиком, синий")</f>
      </c>
      <c r="C21599" s="4" t="n">
        <v>16.80</v>
      </c>
      <c r="D21599" s="4"/>
    </row>
    <row collapsed="" customFormat="false" customHeight="1" hidden="" ht="14" outlineLevel="0" r="21600">
      <c r="A21600" s="3" t="inlineStr">
        <is>
          <t>21537</t>
        </is>
      </c>
      <c r="B21600" s="4" t="s">
        <f>=HYPERLINK("http://anyluxury.ru/shop/pismennye-prinadlezhnosti/karandashi/karandash-prostoy-triangle-s-lastikom-zheltiy-188480/" , "1884.80 Карандаш простой Triangle с ластиком, желтый")</f>
      </c>
      <c r="C21600" s="4" t="n">
        <v>16.80</v>
      </c>
      <c r="D21600" s="4"/>
    </row>
    <row collapsed="" customFormat="false" customHeight="1" hidden="" ht="14" outlineLevel="0" r="21601">
      <c r="A21601" s="3" t="inlineStr">
        <is>
          <t>21538</t>
        </is>
      </c>
      <c r="B21601" s="4" t="s">
        <f>=HYPERLINK("http://anyluxury.ru/shop/pismennye-prinadlezhnosti/karandashi/nabor-karandashey-office-s-tochilkoy-3354/" , "3354 Набор карандашей Pencilvania Office с точилкой, прозрачный")</f>
      </c>
      <c r="C21601" s="4" t="n">
        <v>70.00</v>
      </c>
      <c r="D21601" s="4"/>
    </row>
    <row collapsed="" customFormat="false" customHeight="1" hidden="" ht="14" outlineLevel="0" r="21602">
      <c r="A21602" s="3" t="inlineStr">
        <is>
          <t>21539</t>
        </is>
      </c>
      <c r="B21602" s="4" t="s">
        <f>=HYPERLINK("http://anyluxury.ru/shop/pismennye-prinadlezhnosti/karandashi/karandash-mehanicheskiy-prodir-ds8-mrrc-soft-touch-krasniy-338850/" , "3388.50 Карандаш механический Prodir DS8 MRR-C Soft Touch, красный")</f>
      </c>
      <c r="C21602" s="4" t="n">
        <v>342.00</v>
      </c>
      <c r="D21602" s="4"/>
    </row>
    <row collapsed="" customFormat="false" customHeight="1" hidden="" ht="14" outlineLevel="0" r="21603">
      <c r="A21603" s="3" t="inlineStr">
        <is>
          <t>21540</t>
        </is>
      </c>
      <c r="B21603" s="4" t="s">
        <f>=HYPERLINK("http://anyluxury.ru/shop/pismennye-prinadlezhnosti/karandashi/nabor-karandashey-pencilvania-maxi-690000/" , "6900.00 Набор цветных карандашей Pencilvania Maxi")</f>
      </c>
      <c r="C21603" s="4" t="n">
        <v>190.00</v>
      </c>
      <c r="D21603" s="4"/>
    </row>
    <row collapsed="" customFormat="false" customHeight="1" hidden="" ht="14" outlineLevel="0" r="21604">
      <c r="A21604" s="3" t="inlineStr">
        <is>
          <t>21541</t>
        </is>
      </c>
      <c r="B21604" s="4" t="s">
        <f>=HYPERLINK("http://anyluxury.ru/shop/pismennye-prinadlezhnosti/karandashi/nabor-karandashey-pencilvania-mini-690200/" , "6902.00 Набор цветных карандашей Pencilvania Mini, крафт")</f>
      </c>
      <c r="C21604" s="4" t="n">
        <v>46.00</v>
      </c>
      <c r="D21604" s="4"/>
    </row>
    <row collapsed="" customFormat="false" customHeight="1" hidden="" ht="14" outlineLevel="0" r="21605">
      <c r="A21605" s="3" t="inlineStr">
        <is>
          <t>21542</t>
        </is>
      </c>
      <c r="B21605" s="4" t="s">
        <f>=HYPERLINK("http://anyluxury.ru/shop/pismennye-prinadlezhnosti/karandashi/nabor-voskovih-melkov-pencilvania-wax-690400/" , "6904.00 Набор восковых мелков Pencilvania Wax")</f>
      </c>
      <c r="C21605" s="4" t="n">
        <v>69.00</v>
      </c>
      <c r="D21605" s="4"/>
    </row>
    <row collapsed="" customFormat="false" customHeight="1" hidden="" ht="14" outlineLevel="0" r="21606">
      <c r="A21606" s="3" t="inlineStr">
        <is>
          <t>21543</t>
        </is>
      </c>
      <c r="B21606" s="4" t="s">
        <f>=HYPERLINK("http://anyluxury.ru/shop/pismennye-prinadlezhnosti/karandashi/karandash-mehanicheskiy-parker-jotter-ss-core-b61-7659/" , "7659 Карандаш механический Parker Jotter Stainless Steel Core B61")</f>
      </c>
      <c r="C21606" s="4" t="n">
        <v>2634.00</v>
      </c>
      <c r="D21606" s="4"/>
    </row>
    <row collapsed="" customFormat="false" customHeight="1" hidden="" ht="14" outlineLevel="0" r="21607">
      <c r="A21607" s="3" t="inlineStr">
        <is>
          <t>21544</t>
        </is>
      </c>
      <c r="B21607" s="4" t="s">
        <f>=HYPERLINK("http://anyluxury.ru/shop/pismennye-prinadlezhnosti/karandashi/karandash-mehanicheskiy-clamp-beliy-s-zelenim-764469/" , "7644.69 Карандаш механический Clamp, белый с зеленым")</f>
      </c>
      <c r="C21607" s="4" t="n">
        <v>88.00</v>
      </c>
      <c r="D21607" s="4"/>
    </row>
    <row collapsed="" customFormat="false" customHeight="1" hidden="" ht="14" outlineLevel="0" r="21608">
      <c r="A21608" s="3" t="inlineStr">
        <is>
          <t>21545</t>
        </is>
      </c>
      <c r="B21608" s="4" t="s">
        <f>=HYPERLINK("http://anyluxury.ru/shop/pismennye-prinadlezhnosti/karandashi/karandash-mehanicheskiy-phase-mp-krasniy-1570250/" , "15702.50 Карандаш механический Phase MP, красный")</f>
      </c>
      <c r="C21608" s="4" t="n">
        <v>475.00</v>
      </c>
      <c r="D21608" s="4"/>
    </row>
    <row collapsed="" customFormat="false" customHeight="1" hidden="" ht="14" outlineLevel="0" r="21609">
      <c r="A21609" s="3" t="inlineStr">
        <is>
          <t>21546</t>
        </is>
      </c>
      <c r="B21609" s="4" t="s">
        <f>=HYPERLINK("http://anyluxury.ru/shop/pismennye-prinadlezhnosti/karandashi/karandash-prostoy-hand-friend-s-lastikom-zheltiy-500280/" , "5002.80 Карандаш простой Hand Friend с ластиком, желтый")</f>
      </c>
      <c r="C21609" s="4" t="n">
        <v>13.20</v>
      </c>
      <c r="D21609" s="4"/>
    </row>
    <row collapsed="" customFormat="false" customHeight="1" hidden="" ht="14" outlineLevel="0" r="21610">
      <c r="A21610" s="3" t="inlineStr">
        <is>
          <t>21547</t>
        </is>
      </c>
      <c r="B21610" s="4" t="s">
        <f>=HYPERLINK("http://anyluxury.ru/shop/pismennye-prinadlezhnosti/karandashi/karandash-prostoy-hand-friend-s-lastikom-goluboy-500244/" , "5002.44 Карандаш простой Hand Friend с ластиком, голубой")</f>
      </c>
      <c r="C21610" s="4" t="n">
        <v>13.20</v>
      </c>
      <c r="D21610" s="4"/>
    </row>
    <row collapsed="" customFormat="false" customHeight="1" hidden="" ht="14" outlineLevel="0" r="21611">
      <c r="A21611" s="3" t="inlineStr">
        <is>
          <t>21548</t>
        </is>
      </c>
      <c r="B21611" s="4" t="s">
        <f>=HYPERLINK("http://anyluxury.ru/shop/pismennye-prinadlezhnosti/karandashi/karandash-prostoy-hand-friend-s-lastikom-krasniy-500250/" , "5002.50 Карандаш простой Hand Friend с ластиком, красный")</f>
      </c>
      <c r="C21611" s="4" t="n">
        <v>13.20</v>
      </c>
      <c r="D21611" s="4"/>
    </row>
    <row collapsed="" customFormat="false" customHeight="1" hidden="" ht="14" outlineLevel="0" r="21612">
      <c r="A21612" s="3" t="inlineStr">
        <is>
          <t>21549</t>
        </is>
      </c>
      <c r="B21612" s="4" t="s">
        <f>=HYPERLINK("http://anyluxury.ru/shop/pismennye-prinadlezhnosti/karandashi/karandash-prostoy-hand-friend-s-lastikom-oranzheviy-500220/" , "5002.20 Карандаш простой Hand Friend с ластиком, оранжевый")</f>
      </c>
      <c r="C21612" s="4" t="n">
        <v>13.00</v>
      </c>
      <c r="D21612" s="4"/>
    </row>
    <row collapsed="" customFormat="false" customHeight="1" hidden="" ht="14" outlineLevel="0" r="21613">
      <c r="A21613" s="3" t="inlineStr">
        <is>
          <t>21550</t>
        </is>
      </c>
      <c r="B21613" s="4" t="s">
        <f>=HYPERLINK("http://anyluxury.ru/shop/pismennye-prinadlezhnosti/karandashi/karandash-prostoy-hand-friend-s-lastikom-zeleniy-500290/" , "5002.90 Карандаш простой Hand Friend с ластиком, зеленый")</f>
      </c>
      <c r="C21613" s="4" t="n">
        <v>13.20</v>
      </c>
      <c r="D21613" s="4"/>
    </row>
    <row collapsed="" customFormat="false" customHeight="1" hidden="" ht="14" outlineLevel="0" r="21614">
      <c r="A21614" s="3" t="inlineStr">
        <is>
          <t>21551</t>
        </is>
      </c>
      <c r="B21614" s="4" t="s">
        <f>=HYPERLINK("http://anyluxury.ru/shop/pismennye-prinadlezhnosti/karandashi/karandash-mehanicheskiy-phrase-mp-krasniy-1570450/" , "15704.50 Карандаш механический Phrase MP, красный")</f>
      </c>
      <c r="C21614" s="4" t="n">
        <v>494.00</v>
      </c>
      <c r="D21614" s="4"/>
    </row>
    <row collapsed="" customFormat="false" customHeight="1" hidden="" ht="14" outlineLevel="0" r="21615">
      <c r="A21615" s="3" t="inlineStr">
        <is>
          <t>21552</t>
        </is>
      </c>
      <c r="B21615" s="4" t="s">
        <f>=HYPERLINK("http://anyluxury.ru/shop/pismennye-prinadlezhnosti/karandashi/karandash-mehanicheskiy-phrase-mp-fioletoviy-1570470/" , "15704.70 Карандаш механический Phrase MP, фиолетовый")</f>
      </c>
      <c r="C21615" s="4" t="n">
        <v>499.00</v>
      </c>
      <c r="D21615" s="4"/>
    </row>
    <row collapsed="" customFormat="false" customHeight="1" hidden="" ht="14" outlineLevel="0" r="21616">
      <c r="A21616" s="3" t="inlineStr">
        <is>
          <t>21553</t>
        </is>
      </c>
      <c r="B21616" s="4" t="s">
        <f>=HYPERLINK("http://anyluxury.ru/shop/pismennye-prinadlezhnosti/karandashi/karandash-mehanicheskiy-phrase-mp-zeleniy-1570490/" , "15704.90 Карандаш механический Phrase MP, зеленый")</f>
      </c>
      <c r="C21616" s="4" t="n">
        <v>494.00</v>
      </c>
      <c r="D21616" s="4"/>
    </row>
    <row collapsed="" customFormat="false" customHeight="1" hidden="" ht="14" outlineLevel="0" r="21617">
      <c r="A21617" s="3" t="inlineStr">
        <is>
          <t>21554</t>
        </is>
      </c>
      <c r="B21617" s="4" t="s">
        <f>=HYPERLINK("http://anyluxury.ru/shop/pismennye-prinadlezhnosti/karandashi/nabor-dlya-raskrashivaniya-paint-your-world-11382/" , "11382 Набор для раскрашивания Paint Your World")</f>
      </c>
      <c r="C21617" s="4" t="n">
        <v>249.00</v>
      </c>
      <c r="D21617" s="4"/>
    </row>
    <row collapsed="" customFormat="false" customHeight="1" hidden="" ht="14" outlineLevel="0" r="21618">
      <c r="A21618" s="3" t="inlineStr">
        <is>
          <t>21555</t>
        </is>
      </c>
      <c r="B21618" s="4" t="s">
        <f>=HYPERLINK("http://anyluxury.ru/shop/pismennye-prinadlezhnosti/karandashi/karandash-prostoy-hand-friend-s-lastikom-siniy-500241/" , "5002.41 Карандаш простой Hand Friend с ластиком, синий")</f>
      </c>
      <c r="C21618" s="4" t="n">
        <v>13.20</v>
      </c>
      <c r="D21618" s="4"/>
    </row>
    <row collapsed="" customFormat="false" customHeight="1" hidden="" ht="14" outlineLevel="0" r="21619">
      <c r="A21619" s="3" t="inlineStr">
        <is>
          <t>21556</t>
        </is>
      </c>
      <c r="B21619" s="4" t="s">
        <f>=HYPERLINK("http://anyluxury.ru/shop/pismennye-prinadlezhnosti/karandashi/karandash-grafeex-v-chehle-cherniy-s-fioletovim-1553570/" , "15535.70 Карандаш GrafeeX в чехле, черный с фиолетовым")</f>
      </c>
      <c r="C21619" s="4" t="n">
        <v>1860.00</v>
      </c>
      <c r="D21619" s="4"/>
    </row>
    <row collapsed="" customFormat="false" customHeight="1" hidden="" ht="14" outlineLevel="0" r="21620">
      <c r="A21620" s="3" t="inlineStr">
        <is>
          <t>21557</t>
        </is>
      </c>
      <c r="B21620" s="4" t="s">
        <f>=HYPERLINK("http://anyluxury.ru/shop/pismennye-prinadlezhnosti/karandashi/karandash-grafeex-v-chehle-cherniy-s-oranzhevim-1553520/" , "15535.20 Карандаш GrafeeX в чехле, черный с оранжевым")</f>
      </c>
      <c r="C21620" s="4" t="n">
        <v>1860.00</v>
      </c>
      <c r="D21620" s="4"/>
    </row>
    <row collapsed="" customFormat="false" customHeight="1" hidden="" ht="14" outlineLevel="0" r="21621">
      <c r="A21621" s="3" t="inlineStr">
        <is>
          <t>21558</t>
        </is>
      </c>
      <c r="B21621" s="4" t="s">
        <f>=HYPERLINK("http://anyluxury.ru/shop/pismennye-prinadlezhnosti/karandashi/karandash-grafeex-v-chehle-cherniy-s-zelenim-1553590/" , "15535.90 Карандаш GrafeeX в чехле, черный с зеленым")</f>
      </c>
      <c r="C21621" s="4" t="n">
        <v>1860.00</v>
      </c>
      <c r="D21621" s="4"/>
    </row>
    <row collapsed="" customFormat="false" customHeight="1" hidden="" ht="14" outlineLevel="0" r="21622">
      <c r="A21622" s="3" t="inlineStr">
        <is>
          <t>21559</t>
        </is>
      </c>
      <c r="B21622" s="4" t="s">
        <f>=HYPERLINK("http://anyluxury.ru/shop/pismennye-prinadlezhnosti/karandashi/karandash-grafeex-v-chehle-cherniy-s-zheltim-1553580/" , "15535.80 Карандаш GrafeeX в чехле, черный с желтым")</f>
      </c>
      <c r="C21622" s="4" t="n">
        <v>1860.00</v>
      </c>
      <c r="D21622" s="4"/>
    </row>
    <row collapsed="" customFormat="false" customHeight="1" hidden="" ht="14" outlineLevel="0" r="21623">
      <c r="A21623" s="3" t="inlineStr">
        <is>
          <t>21560</t>
        </is>
      </c>
      <c r="B21623" s="4" t="s">
        <f>=HYPERLINK("http://anyluxury.ru/shop/pismennye-prinadlezhnosti/karandashi/karandash-grafeex-v-chehle-cherniy-s-krasnim-1553550/" , "15535.50 Карандаш GrafeeX в чехле, черный с красным")</f>
      </c>
      <c r="C21623" s="4" t="n">
        <v>1860.00</v>
      </c>
      <c r="D21623" s="4"/>
    </row>
    <row collapsed="" customFormat="false" customHeight="1" hidden="" ht="14" outlineLevel="0" r="21624">
      <c r="A21624" s="3" t="inlineStr">
        <is>
          <t>21561</t>
        </is>
      </c>
      <c r="B21624" s="4" t="s">
        <f>=HYPERLINK("http://anyluxury.ru/shop/pismennye-prinadlezhnosti/karandashi/karandash-grafeex-v-chehle-cherniy-s-sinim-1553540/" , "15535.40 Карандаш GrafeeX в чехле, черный с синим")</f>
      </c>
      <c r="C21624" s="4" t="n">
        <v>1860.00</v>
      </c>
      <c r="D21624" s="4"/>
    </row>
    <row collapsed="" customFormat="false" customHeight="1" hidden="" ht="14" outlineLevel="0" r="21625">
      <c r="A21625" s="3" t="inlineStr">
        <is>
          <t>21562</t>
        </is>
      </c>
      <c r="B21625" s="4" t="s">
        <f>=HYPERLINK("http://anyluxury.ru/shop/pismennye-prinadlezhnosti/karandashi/karandash-sostanza-vishnevoe-derevo-1553700/" , "15537.00 Карандаш Sostanza, вишневое дерево")</f>
      </c>
      <c r="C21625" s="4" t="n">
        <v>4100.00</v>
      </c>
      <c r="D21625" s="4"/>
    </row>
    <row collapsed="" customFormat="false" customHeight="1" hidden="" ht="14" outlineLevel="0" r="21626">
      <c r="A21626" s="3" t="inlineStr">
        <is>
          <t>21563</t>
        </is>
      </c>
      <c r="B21626" s="4" t="s">
        <f>=HYPERLINK("http://anyluxury.ru/shop/pismennye-prinadlezhnosti/karandashi/karandash-nezatochenniy-draft-craft-naturalniy-1516900/" , "15169.00 Карандаш незаточенный Draft Craft, натуральный")</f>
      </c>
      <c r="C21626" s="4" t="n">
        <v>7.00</v>
      </c>
      <c r="D21626" s="4"/>
    </row>
    <row collapsed="" customFormat="false" customHeight="1" hidden="" ht="14" outlineLevel="0" r="21627">
      <c r="A21627" s="3" t="inlineStr">
        <is>
          <t>21564</t>
        </is>
      </c>
      <c r="B21627" s="4" t="s">
        <f>=HYPERLINK("http://anyluxury.ru/shop/pismennye-prinadlezhnosti/karandashi/karandash-nezatochenniy-draft-craft-beliy-1516960/" , "15169.60 Карандаш незаточенный Draft Craft, белый")</f>
      </c>
      <c r="C21627" s="4" t="n">
        <v>7.00</v>
      </c>
      <c r="D21627" s="4"/>
    </row>
    <row collapsed="" customFormat="false" customHeight="1" hidden="" ht="14" outlineLevel="0" r="21628">
      <c r="A21628" s="3" t="inlineStr">
        <is>
          <t>21565</t>
        </is>
      </c>
      <c r="B21628" s="4" t="s">
        <f>=HYPERLINK("http://anyluxury.ru/shop/pismennye-prinadlezhnosti/karandashi/karandash-nezatochenniy-draft-craft-cherniy-1516930/" , "15169.30 Карандаш незаточенный Draft Craft, черный")</f>
      </c>
      <c r="C21628" s="4" t="n">
        <v>7.00</v>
      </c>
      <c r="D21628" s="4"/>
    </row>
    <row collapsed="" customFormat="false" customHeight="1" hidden="" ht="14" outlineLevel="0" r="21629">
      <c r="A21629" s="3" t="inlineStr">
        <is>
          <t>21566</t>
        </is>
      </c>
      <c r="B21629" s="4" t="s">
        <f>=HYPERLINK("http://anyluxury.ru/shop/pismennye-prinadlezhnosti/karandashi/vechniy-karandash-carton-inkless-neokrashenniy-1516100/" , "15161.00 Вечный карандаш Carton Inkless, неокрашенный")</f>
      </c>
      <c r="C21629" s="4" t="n">
        <v>61.00</v>
      </c>
      <c r="D21629" s="4"/>
    </row>
    <row collapsed="" customFormat="false" customHeight="1" hidden="" ht="14" outlineLevel="0" r="21630">
      <c r="A21630" s="3" t="inlineStr">
        <is>
          <t>21567</t>
        </is>
      </c>
      <c r="B21630" s="4" t="s">
        <f>=HYPERLINK("http://anyluxury.ru/shop/pismennye-prinadlezhnosti/karandashi/vechniy-karandash-carton-inkless-beliy-1516160/" , "15161.60 Вечный карандаш Carton Inkless, белый")</f>
      </c>
      <c r="C21630" s="4" t="n">
        <v>61.00</v>
      </c>
      <c r="D21630" s="4"/>
    </row>
    <row collapsed="" customFormat="false" customHeight="1" hidden="" ht="14" outlineLevel="0" r="21631">
      <c r="A21631" s="3" t="inlineStr">
        <is>
          <t>21568</t>
        </is>
      </c>
      <c r="B21631" s="4" t="s">
        <f>=HYPERLINK("http://anyluxury.ru/shop/pismennye-prinadlezhnosti/karandashi/nabor-karandashey-pencilvania-office-s-tochilkoy-krasniy-335450/" , "3354.50 Набор карандашей Pencilvania Office с точилкой, красный")</f>
      </c>
      <c r="C21631" s="4" t="n">
        <v>70.00</v>
      </c>
      <c r="D21631" s="4"/>
    </row>
    <row collapsed="" customFormat="false" customHeight="1" hidden="" ht="14" outlineLevel="0" r="21632">
      <c r="A21632" s="3" t="inlineStr">
        <is>
          <t>21569</t>
        </is>
      </c>
      <c r="B21632" s="4" t="s">
        <f>=HYPERLINK("http://anyluxury.ru/shop/pismennye-prinadlezhnosti/karandashi/nabor-pencilvania-window-beliy-1520000/" , "15200.00 Набор Pencilvania Window, белый")</f>
      </c>
      <c r="C21632" s="4" t="n">
        <v>164.00</v>
      </c>
      <c r="D21632" s="4"/>
    </row>
    <row collapsed="" customFormat="false" customHeight="1" hidden="" ht="14" outlineLevel="0" r="21633">
      <c r="A21633" s="3" t="inlineStr">
        <is>
          <t>21570</t>
        </is>
      </c>
      <c r="B21633" s="4" t="s">
        <f>=HYPERLINK("http://anyluxury.ru/shop/pismennye-prinadlezhnosti/karandashi/karandash-prostoy-triangle-s-lastikom-cherniy-188430/" , "1884.30 Карандаш простой Triangle с ластиком, черный")</f>
      </c>
      <c r="C21633" s="4" t="n">
        <v>16.80</v>
      </c>
      <c r="D21633" s="4"/>
    </row>
    <row collapsed="" customFormat="false" customHeight="1" hidden="" ht="14" outlineLevel="0" r="21634">
      <c r="A21634" s="3" t="inlineStr">
        <is>
          <t>21571</t>
        </is>
      </c>
      <c r="B21634" s="4" t="s">
        <f>=HYPERLINK("http://anyluxury.ru/shop/pismennye-prinadlezhnosti/karandashi/karandash-prostoy-triangle-s-lastikom-neokrashenniy-188400/" , "1884.00 Карандаш простой Triangle с ластиком, неокрашенный")</f>
      </c>
      <c r="C21634" s="4" t="n">
        <v>16.80</v>
      </c>
      <c r="D21634" s="4"/>
    </row>
    <row collapsed="" customFormat="false" customHeight="1" hidden="" ht="14" outlineLevel="0" r="21635">
      <c r="A21635" s="3" t="inlineStr">
        <is>
          <t>21572</t>
        </is>
      </c>
      <c r="B21635" s="4" t="s">
        <f>=HYPERLINK("http://anyluxury.ru/shop/pismennye-prinadlezhnosti/karandashi/nabor-cvetnih-karandashey-s-bloknotom-pencilvania-traveler-1563500/" , "15635.00 Набор цветных карандашей с блокнотом Pencilvania Traveler")</f>
      </c>
      <c r="C21635" s="4" t="n">
        <v>205.00</v>
      </c>
      <c r="D21635" s="4"/>
    </row>
    <row collapsed="" customFormat="false" customHeight="" hidden="" ht="12.1" outlineLevel="0" r="21636">
      <c r="A21636" s="5" t="inlineStr">
        <is>
          <t> -  - Ручки</t>
        </is>
      </c>
      <c r="B21636" s="6"/>
      <c r="C21636" s="6"/>
      <c r="D21636" s="6"/>
    </row>
    <row collapsed="" customFormat="false" customHeight="" hidden="" ht="12.1" outlineLevel="0" r="21637">
      <c r="A21637" s="5" t="inlineStr">
        <is>
          <t> -  -  - Перьевые</t>
        </is>
      </c>
      <c r="B21637" s="6"/>
      <c r="C21637" s="6"/>
      <c r="D21637" s="6"/>
    </row>
    <row collapsed="" customFormat="false" customHeight="1" hidden="" ht="14" outlineLevel="0" r="21638">
      <c r="A21638" s="3" t="inlineStr">
        <is>
          <t>21573</t>
        </is>
      </c>
      <c r="B21638" s="4" t="s">
        <f>=HYPERLINK("http://anyluxury.ru/shop/pismennye-prinadlezhnosti/ruchki/perevye/perevaya-ruchka-meisterst-ck-le-petit-prince-legrand/" , "119660 Перьевая ручка Meisterstück Le Petit Prince LeGrand")</f>
      </c>
      <c r="C21638" s="4" t="n">
        <v>53000.00</v>
      </c>
      <c r="D21638" s="4"/>
    </row>
    <row collapsed="" customFormat="false" customHeight="1" hidden="" ht="14" outlineLevel="0" r="21639">
      <c r="A21639" s="3" t="inlineStr">
        <is>
          <t>21574</t>
        </is>
      </c>
      <c r="B21639" s="4" t="s">
        <f>=HYPERLINK("http://anyluxury.ru/shop/pismennye-prinadlezhnosti/ruchki/perevye/perevaya-ruchka-meisterst-ck-le-petit-prince-classique/" , "119665 Перьевая ручка Meisterstück Le Petit Prince Classique")</f>
      </c>
      <c r="C21639" s="4" t="n">
        <v>45400.00</v>
      </c>
      <c r="D21639" s="4"/>
    </row>
    <row collapsed="" customFormat="false" customHeight="" hidden="" ht="12.1" outlineLevel="0" r="21640">
      <c r="A21640" s="5" t="inlineStr">
        <is>
          <t> -  -  - Роллер</t>
        </is>
      </c>
      <c r="B21640" s="6"/>
      <c r="C21640" s="6"/>
      <c r="D21640" s="6"/>
    </row>
    <row collapsed="" customFormat="false" customHeight="1" hidden="" ht="14" outlineLevel="0" r="21641">
      <c r="A21641" s="3" t="inlineStr">
        <is>
          <t>21575</t>
        </is>
      </c>
      <c r="B21641" s="4" t="s">
        <f>=HYPERLINK("http://anyluxury.ru/shop/pismennye-prinadlezhnosti/ruchki/roller/ruchka-roller-waterman-charleston-black-ct-fblk/" , "S0701050 Ручка-роллер Waterman Charleston Black CT Fblk")</f>
      </c>
      <c r="C21641" s="4" t="n">
        <v>15025.00</v>
      </c>
      <c r="D21641" s="4"/>
    </row>
    <row collapsed="" customFormat="false" customHeight="1" hidden="" ht="14" outlineLevel="0" r="21642">
      <c r="A21642" s="3" t="inlineStr">
        <is>
          <t>21576</t>
        </is>
      </c>
      <c r="B21642" s="4" t="s">
        <f>=HYPERLINK("http://anyluxury.ru/shop/pismennye-prinadlezhnosti/ruchki/roller/roller-heritage-rouge-et-noir-tropic-brown-special-edition/" , "116552 Роллер Heritage Rouge et Noir Tropic Brown Special Edition")</f>
      </c>
      <c r="C21642" s="4" t="n">
        <v>43100.00</v>
      </c>
      <c r="D21642" s="4"/>
    </row>
    <row collapsed="" customFormat="false" customHeight="1" hidden="" ht="14" outlineLevel="0" r="21643">
      <c r="A21643" s="3" t="inlineStr">
        <is>
          <t>21577</t>
        </is>
      </c>
      <c r="B21643" s="4" t="s">
        <f>=HYPERLINK("http://anyluxury.ru/shop/pismennye-prinadlezhnosti/ruchki/roller/ruchka-roller-parker-im-premium-se-t325-midnight-astral-f-chernye-chernila-podar-kor/" , "2074161 Ручка роллер Parker IM Premium SE T325 Midnight astral F черные чернила подар.кор.")</f>
      </c>
      <c r="C21643" s="4" t="n">
        <v>6105.00</v>
      </c>
      <c r="D21643" s="4"/>
    </row>
    <row collapsed="" customFormat="false" customHeight="1" hidden="" ht="14" outlineLevel="0" r="21644">
      <c r="A21644" s="3" t="inlineStr">
        <is>
          <t>21578</t>
        </is>
      </c>
      <c r="B21644" s="4" t="s">
        <f>=HYPERLINK("http://anyluxury.ru/shop/pismennye-prinadlezhnosti/ruchki/roller/ruchka-roller-waterman-hemisphere-steel-ct-fblack/" , "S0920450 Ручка роллер Waterman Hemisphere Steel CT Fblack")</f>
      </c>
      <c r="C21644" s="4" t="n">
        <v>5890.00</v>
      </c>
      <c r="D21644" s="4"/>
    </row>
    <row collapsed="" customFormat="false" customHeight="1" hidden="" ht="14" outlineLevel="0" r="21645">
      <c r="A21645" s="3" t="inlineStr">
        <is>
          <t>21579</t>
        </is>
      </c>
      <c r="B21645" s="4" t="s">
        <f>=HYPERLINK("http://anyluxury.ru/shop/pismennye-prinadlezhnosti/ruchki/roller/ruchka-roller-waterman-hemisphere-deluxe-privee-cuivre-ct-f-chernila-chernyy/" , "1971675 Ручка роллер Waterman Hemisphere Deluxe Privee Cuivre CT (F) чернила: черный")</f>
      </c>
      <c r="C21645" s="4" t="n">
        <v>9865.00</v>
      </c>
      <c r="D21645" s="4"/>
    </row>
    <row collapsed="" customFormat="false" customHeight="1" hidden="" ht="14" outlineLevel="0" r="21646">
      <c r="A21646" s="3" t="inlineStr">
        <is>
          <t>21580</t>
        </is>
      </c>
      <c r="B21646" s="4" t="s">
        <f>=HYPERLINK("http://anyluxury.ru/shop/pismennye-prinadlezhnosti/ruchki/roller/ruchkaroller-sonata-belaya-19bp8615100/" , "19BP8615-100 Ручка-роллер Sonata белая")</f>
      </c>
      <c r="C21646" s="4" t="n">
        <v>395.00</v>
      </c>
      <c r="D21646" s="4"/>
    </row>
    <row collapsed="" customFormat="false" customHeight="1" hidden="" ht="14" outlineLevel="0" r="21647">
      <c r="A21647" s="3" t="inlineStr">
        <is>
          <t>21581</t>
        </is>
      </c>
      <c r="B21647" s="4" t="s">
        <f>=HYPERLINK("http://anyluxury.ru/shop/pismennye-prinadlezhnosti/ruchki/roller/ruchkaroller-sonata-belaya-198615100/" , "198615.100 Ручка-роллер Sonata белая")</f>
      </c>
      <c r="C21647" s="4" t="n">
        <v>660.00</v>
      </c>
      <c r="D21647" s="4"/>
    </row>
    <row collapsed="" customFormat="false" customHeight="1" hidden="" ht="14" outlineLevel="0" r="21648">
      <c r="A21648" s="3" t="inlineStr">
        <is>
          <t>21582</t>
        </is>
      </c>
      <c r="B21648" s="4" t="s">
        <f>=HYPERLINK("http://anyluxury.ru/shop/pismennye-prinadlezhnosti/ruchki/roller/ruchkaroller-sonata-chernaya-198615010/" , "198615.010 Ручка-роллер Sonata черная")</f>
      </c>
      <c r="C21648" s="4" t="n">
        <v>660.00</v>
      </c>
      <c r="D21648" s="4"/>
    </row>
    <row collapsed="" customFormat="false" customHeight="1" hidden="" ht="14" outlineLevel="0" r="21649">
      <c r="A21649" s="3" t="inlineStr">
        <is>
          <t>21583</t>
        </is>
      </c>
      <c r="B21649" s="4" t="s">
        <f>=HYPERLINK("http://anyluxury.ru/shop/pismennye-prinadlezhnosti/ruchki/roller/ruchkaroller-sonata-sinyaya-198615030/" , "198615.030 Ручка-роллер Sonata синяя")</f>
      </c>
      <c r="C21649" s="4" t="n">
        <v>660.00</v>
      </c>
      <c r="D21649" s="4"/>
    </row>
    <row collapsed="" customFormat="false" customHeight="1" hidden="" ht="14" outlineLevel="0" r="21650">
      <c r="A21650" s="3" t="inlineStr">
        <is>
          <t>21584</t>
        </is>
      </c>
      <c r="B21650" s="4" t="s">
        <f>=HYPERLINK("http://anyluxury.ru/shop/pismennye-prinadlezhnosti/ruchki/roller/ruchkaroller-sonata-serebro-198615110/" , "198615.110 Ручка-роллер Sonata серебро")</f>
      </c>
      <c r="C21650" s="4" t="n">
        <v>660.00</v>
      </c>
      <c r="D21650" s="4"/>
    </row>
    <row collapsed="" customFormat="false" customHeight="1" hidden="" ht="14" outlineLevel="0" r="21651">
      <c r="A21651" s="3" t="inlineStr">
        <is>
          <t>21585</t>
        </is>
      </c>
      <c r="B21651" s="4" t="s">
        <f>=HYPERLINK("http://anyluxury.ru/shop/pismennye-prinadlezhnosti/ruchki/roller/ruchkaroller-sonata-chernayapozolota-198615112/" , "198615.112 Ручка-роллер Sonata черная/позолота")</f>
      </c>
      <c r="C21651" s="4" t="n">
        <v>660.00</v>
      </c>
      <c r="D21651" s="4"/>
    </row>
    <row collapsed="" customFormat="false" customHeight="" hidden="" ht="12.1" outlineLevel="0" r="21652">
      <c r="A21652" s="5" t="inlineStr">
        <is>
          <t> -  -  - Стилус</t>
        </is>
      </c>
      <c r="B21652" s="6"/>
      <c r="C21652" s="6"/>
      <c r="D21652" s="6"/>
    </row>
    <row collapsed="" customFormat="false" customHeight="1" hidden="" ht="14" outlineLevel="0" r="21653">
      <c r="A21653" s="3" t="inlineStr">
        <is>
          <t>21586</t>
        </is>
      </c>
      <c r="B21653" s="4" t="s">
        <f>=HYPERLINK("http://anyluxury.ru/shop/pismennye-prinadlezhnosti/ruchki/stilus/splitter-dlya-naushnikov-so-stilusom-p301775/" , "P301.775 Сплиттер для наушников со стилусом")</f>
      </c>
      <c r="C21653" s="4" t="n">
        <v>189.00</v>
      </c>
      <c r="D21653" s="4"/>
    </row>
    <row collapsed="" customFormat="false" customHeight="1" hidden="" ht="14" outlineLevel="0" r="21654">
      <c r="A21654" s="3" t="inlineStr">
        <is>
          <t>21587</t>
        </is>
      </c>
      <c r="B21654" s="4" t="s">
        <f>=HYPERLINK("http://anyluxury.ru/shop/pismennye-prinadlezhnosti/ruchki/stilus/splitter-dlya-naushnikov-so-stilusom-p301777/" , "P301.777 Сплиттер для наушников со стилусом")</f>
      </c>
      <c r="C21654" s="4" t="n">
        <v>195.00</v>
      </c>
      <c r="D21654" s="4"/>
    </row>
    <row collapsed="" customFormat="false" customHeight="1" hidden="" ht="14" outlineLevel="0" r="21655">
      <c r="A21655" s="3" t="inlineStr">
        <is>
          <t>21588</t>
        </is>
      </c>
      <c r="B21655" s="4" t="s">
        <f>=HYPERLINK("http://anyluxury.ru/shop/pismennye-prinadlezhnosti/ruchki/stilus/bloknot-dlya-zapisey-deluxe-s-ruchkoystilus-i-fleshkoy-na-8-gb-a5-p773334/" , "P773.334 Блокнот для записей Deluxe с ручкой-стилус и флешкой на 8 ГБ, А5")</f>
      </c>
      <c r="C21655" s="4" t="n">
        <v>2290.00</v>
      </c>
      <c r="D21655" s="4"/>
    </row>
    <row collapsed="" customFormat="false" customHeight="1" hidden="" ht="14" outlineLevel="0" r="21656">
      <c r="A21656" s="3" t="inlineStr">
        <is>
          <t>21589</t>
        </is>
      </c>
      <c r="B21656" s="4" t="s">
        <f>=HYPERLINK("http://anyluxury.ru/shop/pismennye-prinadlezhnosti/ruchki/stilus/tonkaya-metallicheskaya-ruchkastilus-p610622/" , "P610.622 Тонкая металлическая ручка-стилус")</f>
      </c>
      <c r="C21656" s="4" t="n">
        <v>81.00</v>
      </c>
      <c r="D21656" s="4"/>
    </row>
    <row collapsed="" customFormat="false" customHeight="1" hidden="" ht="14" outlineLevel="0" r="21657">
      <c r="A21657" s="3" t="inlineStr">
        <is>
          <t>21590</t>
        </is>
      </c>
      <c r="B21657" s="4" t="s">
        <f>=HYPERLINK("http://anyluxury.ru/shop/pismennye-prinadlezhnosti/ruchki/stilus/brelok-dlya-klyuchey-s-ruchkoystilusom-rozoviy-p327050/" , "P327.050 Брелок для ключей с ручкой-стилусом, розовый")</f>
      </c>
      <c r="C21657" s="4" t="n">
        <v>35.00</v>
      </c>
      <c r="D21657" s="4"/>
    </row>
    <row collapsed="" customFormat="false" customHeight="1" hidden="" ht="14" outlineLevel="0" r="21658">
      <c r="A21658" s="3" t="inlineStr">
        <is>
          <t>21591</t>
        </is>
      </c>
      <c r="B21658" s="4" t="s">
        <f>=HYPERLINK("http://anyluxury.ru/shop/pismennye-prinadlezhnosti/ruchki/stilus/nabor-ruchek-swiss-peak-deluxe-v-chehle-p611011/" , "P611.011 Набор ручек Swiss Peak Deluxe в чехле")</f>
      </c>
      <c r="C21658" s="4" t="n">
        <v>1589.00</v>
      </c>
      <c r="D21658" s="4"/>
    </row>
    <row collapsed="" customFormat="false" customHeight="" hidden="" ht="12.1" outlineLevel="0" r="21659">
      <c r="A21659" s="5" t="inlineStr">
        <is>
          <t> -  -  - Шариковые</t>
        </is>
      </c>
      <c r="B21659" s="6"/>
      <c r="C21659" s="6"/>
      <c r="D21659" s="6"/>
    </row>
    <row collapsed="" customFormat="false" customHeight="1" hidden="" ht="14" outlineLevel="0" r="21660">
      <c r="A21660" s="3" t="inlineStr">
        <is>
          <t>21592</t>
        </is>
      </c>
      <c r="B21660" s="4" t="s">
        <f>=HYPERLINK("http://anyluxury.ru/shop/pismennye-prinadlezhnosti/ruchki/sharikovye/ruchka-sharikovaya-parker-sonnet-premium-k540-pearl-pgt-m-chernye-chernila-podar-kor/" , "1931555 Ручка шариковая Parker Sonnet Premium K540 Pearl PGT M черные чернила подар.кор.")</f>
      </c>
      <c r="C21660" s="4" t="n">
        <v>14995.00</v>
      </c>
      <c r="D21660" s="4"/>
    </row>
    <row collapsed="" customFormat="false" customHeight="1" hidden="" ht="14" outlineLevel="0" r="21661">
      <c r="A21661" s="3" t="inlineStr">
        <is>
          <t>21593</t>
        </is>
      </c>
      <c r="B21661" s="4" t="s">
        <f>=HYPERLINK("http://anyluxury.ru/shop/pismennye-prinadlezhnosti/ruchki/sharikovye/ruchka-sharikovaya-parker-sonnet-premium-k540-metal-pearl-pgt-ct-m-chernye-chernila-podar-kor/" , "1931550 Ручка шариковая Parker Sonnet Premium K540 Metal&amp;Pearl PGT CT M черные чернила подар.кор.")</f>
      </c>
      <c r="C21661" s="4" t="n">
        <v>14995.00</v>
      </c>
      <c r="D21661" s="4"/>
    </row>
    <row collapsed="" customFormat="false" customHeight="1" hidden="" ht="14" outlineLevel="0" r="21662">
      <c r="A21662" s="3" t="inlineStr">
        <is>
          <t>21594</t>
        </is>
      </c>
      <c r="B21662" s="4" t="s">
        <f>=HYPERLINK("http://anyluxury.ru/shop/pismennye-prinadlezhnosti/ruchki/sharikovye/ruchka-sharikovaya-parker-sonnet-premium-k531-masculine-brown-pgt-m-chernye-chernila-podar-kor/" , "1931483 Ручка шариковая Parker Sonnet Premium K531 Masculine Brown PGT M черные чернила подар.кор.")</f>
      </c>
      <c r="C21662" s="4" t="n">
        <v>14995.00</v>
      </c>
      <c r="D21662" s="4"/>
    </row>
    <row collapsed="" customFormat="false" customHeight="1" hidden="" ht="14" outlineLevel="0" r="21663">
      <c r="A21663" s="3" t="inlineStr">
        <is>
          <t>21595</t>
        </is>
      </c>
      <c r="B21663" s="4" t="s">
        <f>=HYPERLINK("http://anyluxury.ru/shop/pismennye-prinadlezhnosti/ruchki/sharikovye/ruchka-sharikovaya-parker-sonnet-se18-k541-matte-black-gt-m-chernye-chernila-podar-kor/" , "2054837 Ручка шариковая Parker Sonnet SE18 K541 Matte Black GT M черные чернила подар.кор.")</f>
      </c>
      <c r="C21663" s="4" t="n">
        <v>15845.00</v>
      </c>
      <c r="D21663" s="4"/>
    </row>
    <row collapsed="" customFormat="false" customHeight="1" hidden="" ht="14" outlineLevel="0" r="21664">
      <c r="A21664" s="3" t="inlineStr">
        <is>
          <t>21596</t>
        </is>
      </c>
      <c r="B21664" s="4" t="s">
        <f>=HYPERLINK("http://anyluxury.ru/shop/pismennye-prinadlezhnosti/ruchki/sharikovye/ruchka-sharikovaya-parker-sonnet-se18-k541-grey-pgt-m-chernye-chernila-podar-kor/" , "2054829 Ручка шариковая Parker Sonnet SE18 K541 Grey PGT M черные чернила подар.кор.")</f>
      </c>
      <c r="C21664" s="4" t="n">
        <v>15845.00</v>
      </c>
      <c r="D21664" s="4"/>
    </row>
    <row collapsed="" customFormat="false" customHeight="1" hidden="" ht="14" outlineLevel="0" r="21665">
      <c r="A21665" s="3" t="inlineStr">
        <is>
          <t>21597</t>
        </is>
      </c>
      <c r="B21665" s="4" t="s">
        <f>=HYPERLINK("http://anyluxury.ru/shop/pismennye-prinadlezhnosti/ruchki/sharikovye/ruchka-sharikovaya-parker-sonnet-se18-k541-black-ct-m-chernye-chernila-podar-kor/" , "2054825 Ручка шариковая Parker Sonnet SE18 K541 Black CT M черные чернила подар.кор.")</f>
      </c>
      <c r="C21665" s="4" t="n">
        <v>15845.00</v>
      </c>
      <c r="D21665" s="4"/>
    </row>
    <row collapsed="" customFormat="false" customHeight="1" hidden="" ht="14" outlineLevel="0" r="21666">
      <c r="A21666" s="3" t="inlineStr">
        <is>
          <t>21598</t>
        </is>
      </c>
      <c r="B21666" s="4" t="s">
        <f>=HYPERLINK("http://anyluxury.ru/shop/pismennye-prinadlezhnosti/ruchki/sharikovye/ruchka-sharikovaya-waterman-perspective-white-ct-m-chernila-siniy-podarochnaya-korobka-palla/" , "S0944600 Ручка шариковая Waterman Perspective White CT (M) чернила: синий подарочная коробка палла")</f>
      </c>
      <c r="C21666" s="4" t="n">
        <v>11495.00</v>
      </c>
      <c r="D21666" s="4"/>
    </row>
    <row collapsed="" customFormat="false" customHeight="1" hidden="" ht="14" outlineLevel="0" r="21667">
      <c r="A21667" s="3" t="inlineStr">
        <is>
          <t>21599</t>
        </is>
      </c>
      <c r="B21667" s="4" t="s">
        <f>=HYPERLINK("http://anyluxury.ru/shop/pismennye-prinadlezhnosti/ruchki/sharikovye/sharikovaya-ruchka-art-belaya-19bp6632100/" , "19BP6632-100 Шариковая ручка ART, белая")</f>
      </c>
      <c r="C21667" s="4" t="n">
        <v>290.00</v>
      </c>
      <c r="D21667" s="4"/>
    </row>
    <row collapsed="" customFormat="false" customHeight="1" hidden="" ht="14" outlineLevel="0" r="21668">
      <c r="A21668" s="3" t="inlineStr">
        <is>
          <t>21600</t>
        </is>
      </c>
      <c r="B21668" s="4" t="s">
        <f>=HYPERLINK("http://anyluxury.ru/shop/pismennye-prinadlezhnosti/ruchki/sharikovye/sharikovaya-ruchka-art-serayaperlamutr-19bp6632080/" , "19BP6632-080 Шариковая ручка ART, серая/перламутр")</f>
      </c>
      <c r="C21668" s="4" t="n">
        <v>290.00</v>
      </c>
      <c r="D21668" s="4"/>
    </row>
    <row collapsed="" customFormat="false" customHeight="1" hidden="" ht="14" outlineLevel="0" r="21669">
      <c r="A21669" s="3" t="inlineStr">
        <is>
          <t>21601</t>
        </is>
      </c>
      <c r="B21669" s="4" t="s">
        <f>=HYPERLINK("http://anyluxury.ru/shop/pismennye-prinadlezhnosti/ruchki/sharikovye/sharikovaya-ruchka-consul-serebro1-17bp10060801/" , "17BP1006-080/1 Шариковая ручка Consul, серебро/1")</f>
      </c>
      <c r="C21669" s="4" t="n">
        <v>229.00</v>
      </c>
      <c r="D21669" s="4"/>
    </row>
    <row collapsed="" customFormat="false" customHeight="1" hidden="" ht="14" outlineLevel="0" r="21670">
      <c r="A21670" s="3" t="inlineStr">
        <is>
          <t>21602</t>
        </is>
      </c>
      <c r="B21670" s="4" t="s">
        <f>=HYPERLINK("http://anyluxury.ru/shop/pismennye-prinadlezhnosti/ruchki/sharikovye/sharikovaya-ruchka-consul-chernaya1-17bp10060101/" , "17BP1006-010/1 Шариковая ручка Consul, черная/1")</f>
      </c>
      <c r="C21670" s="4" t="n">
        <v>229.00</v>
      </c>
      <c r="D21670" s="4"/>
    </row>
    <row collapsed="" customFormat="false" customHeight="1" hidden="" ht="14" outlineLevel="0" r="21671">
      <c r="A21671" s="3" t="inlineStr">
        <is>
          <t>21603</t>
        </is>
      </c>
      <c r="B21671" s="4" t="s">
        <f>=HYPERLINK("http://anyluxury.ru/shop/pismennye-prinadlezhnosti/ruchki/sharikovye/ruchka-x1-p610812/" , "P610.812 Ручка X1")</f>
      </c>
      <c r="C21671" s="4" t="n">
        <v>59.00</v>
      </c>
      <c r="D21671" s="4"/>
    </row>
    <row collapsed="" customFormat="false" customHeight="1" hidden="" ht="14" outlineLevel="0" r="21672">
      <c r="A21672" s="3" t="inlineStr">
        <is>
          <t>21604</t>
        </is>
      </c>
      <c r="B21672" s="4" t="s">
        <f>=HYPERLINK("http://anyluxury.ru/shop/pismennye-prinadlezhnosti/ruchki/sharikovye/ruchka-x1-p610819/" , "P610.819 Ручка X1")</f>
      </c>
      <c r="C21672" s="4" t="n">
        <v>47.00</v>
      </c>
      <c r="D21672" s="4"/>
    </row>
    <row collapsed="" customFormat="false" customHeight="1" hidden="" ht="14" outlineLevel="0" r="21673">
      <c r="A21673" s="3" t="inlineStr">
        <is>
          <t>21605</t>
        </is>
      </c>
      <c r="B21673" s="4" t="s">
        <f>=HYPERLINK("http://anyluxury.ru/shop/pismennye-prinadlezhnosti/ruchki/sharikovye/ruchka-x2-fioletoviy-p610902/" , "P610.902 Ручка X2, фиолетовый")</f>
      </c>
      <c r="C21673" s="4" t="n">
        <v>51.00</v>
      </c>
      <c r="D21673" s="4"/>
    </row>
    <row collapsed="" customFormat="false" customHeight="1" hidden="" ht="14" outlineLevel="0" r="21674">
      <c r="A21674" s="3" t="inlineStr">
        <is>
          <t>21606</t>
        </is>
      </c>
      <c r="B21674" s="4" t="s">
        <f>=HYPERLINK("http://anyluxury.ru/shop/pismennye-prinadlezhnosti/ruchki/sharikovye/ruchka-x2-beliy-p610903/" , "P610.903 Ручка X2, белый")</f>
      </c>
      <c r="C21674" s="4" t="n">
        <v>66.00</v>
      </c>
      <c r="D21674" s="4"/>
    </row>
    <row collapsed="" customFormat="false" customHeight="1" hidden="" ht="14" outlineLevel="0" r="21675">
      <c r="A21675" s="3" t="inlineStr">
        <is>
          <t>21607</t>
        </is>
      </c>
      <c r="B21675" s="4" t="s">
        <f>=HYPERLINK("http://anyluxury.ru/shop/pismennye-prinadlezhnosti/ruchki/sharikovye/ruchkastilus-spin-cherniy-p610082/" , "P610.082 Ручка-стилус Spin, черный")</f>
      </c>
      <c r="C21675" s="4" t="n">
        <v>270.00</v>
      </c>
      <c r="D21675" s="4"/>
    </row>
    <row collapsed="" customFormat="false" customHeight="1" hidden="" ht="14" outlineLevel="0" r="21676">
      <c r="A21676" s="3" t="inlineStr">
        <is>
          <t>21608</t>
        </is>
      </c>
      <c r="B21676" s="4" t="s">
        <f>=HYPERLINK("http://anyluxury.ru/shop/pismennye-prinadlezhnosti/ruchki/sharikovye/ruchkastilus-spin-beliy-p610083/" , "P610.083 Ручка-стилус Spin, белый")</f>
      </c>
      <c r="C21676" s="4" t="n">
        <v>270.00</v>
      </c>
      <c r="D21676" s="4"/>
    </row>
    <row collapsed="" customFormat="false" customHeight="1" hidden="" ht="14" outlineLevel="0" r="21677">
      <c r="A21677" s="3" t="inlineStr">
        <is>
          <t>21609</t>
        </is>
      </c>
      <c r="B21677" s="4" t="s">
        <f>=HYPERLINK("http://anyluxury.ru/shop/pismennye-prinadlezhnosti/ruchki/sharikovye/ruchkastilus-spin-siniy-p610085/" , "P610.085 Ручка-стилус Spin, синий")</f>
      </c>
      <c r="C21677" s="4" t="n">
        <v>288.00</v>
      </c>
      <c r="D21677" s="4"/>
    </row>
    <row collapsed="" customFormat="false" customHeight="1" hidden="" ht="14" outlineLevel="0" r="21678">
      <c r="A21678" s="3" t="inlineStr">
        <is>
          <t>21610</t>
        </is>
      </c>
      <c r="B21678" s="4" t="s">
        <f>=HYPERLINK("http://anyluxury.ru/shop/pismennye-prinadlezhnosti/ruchki/sharikovye/nabor-ruchek-konekt-siniy-p613015/" , "P613.015 Набор ручек Konekt , синий")</f>
      </c>
      <c r="C21678" s="4" t="n">
        <v>445.00</v>
      </c>
      <c r="D21678" s="4"/>
    </row>
    <row collapsed="" customFormat="false" customHeight="1" hidden="" ht="14" outlineLevel="0" r="21679">
      <c r="A21679" s="3" t="inlineStr">
        <is>
          <t>21611</t>
        </is>
      </c>
      <c r="B21679" s="4" t="s">
        <f>=HYPERLINK("http://anyluxury.ru/shop/pismennye-prinadlezhnosti/ruchki/sharikovye/nabor-ruchek-swiss-peak-executive-p610431/" , "P610.431 Набор ручек Swiss Peak Executive")</f>
      </c>
      <c r="C21679" s="4" t="n">
        <v>1382.00</v>
      </c>
      <c r="D21679" s="4"/>
    </row>
    <row collapsed="" customFormat="false" customHeight="1" hidden="" ht="14" outlineLevel="0" r="21680">
      <c r="A21680" s="3" t="inlineStr">
        <is>
          <t>21612</t>
        </is>
      </c>
      <c r="B21680" s="4" t="s">
        <f>=HYPERLINK("http://anyluxury.ru/shop/pismennye-prinadlezhnosti/ruchki/sharikovye/ruchka-x4-beliy-p610843/" , "P610.843 Ручка X4, белый")</f>
      </c>
      <c r="C21680" s="4" t="n">
        <v>111.00</v>
      </c>
      <c r="D21680" s="4"/>
    </row>
    <row collapsed="" customFormat="false" customHeight="1" hidden="" ht="14" outlineLevel="0" r="21681">
      <c r="A21681" s="3" t="inlineStr">
        <is>
          <t>21613</t>
        </is>
      </c>
      <c r="B21681" s="4" t="s">
        <f>=HYPERLINK("http://anyluxury.ru/shop/pismennye-prinadlezhnosti/ruchki/sharikovye/ruchka-x7-p610890/" , "P610.890 Ручка X7")</f>
      </c>
      <c r="C21681" s="4" t="n">
        <v>50.00</v>
      </c>
      <c r="D21681" s="4"/>
    </row>
    <row collapsed="" customFormat="false" customHeight="1" hidden="" ht="14" outlineLevel="0" r="21682">
      <c r="A21682" s="3" t="inlineStr">
        <is>
          <t>21614</t>
        </is>
      </c>
      <c r="B21682" s="4" t="s">
        <f>=HYPERLINK("http://anyluxury.ru/shop/pismennye-prinadlezhnosti/ruchki/sharikovye/ruchka-x7-p610891/" , "P610.891 Ручка X7")</f>
      </c>
      <c r="C21682" s="4" t="n">
        <v>48.00</v>
      </c>
      <c r="D21682" s="4"/>
    </row>
    <row collapsed="" customFormat="false" customHeight="1" hidden="" ht="14" outlineLevel="0" r="21683">
      <c r="A21683" s="3" t="inlineStr">
        <is>
          <t>21615</t>
        </is>
      </c>
      <c r="B21683" s="4" t="s">
        <f>=HYPERLINK("http://anyluxury.ru/shop/pismennye-prinadlezhnosti/ruchki/sharikovye/ruchka-x7-p610892/" , "P610.892 Ручка X7")</f>
      </c>
      <c r="C21683" s="4" t="n">
        <v>45.00</v>
      </c>
      <c r="D21683" s="4"/>
    </row>
    <row collapsed="" customFormat="false" customHeight="1" hidden="" ht="14" outlineLevel="0" r="21684">
      <c r="A21684" s="3" t="inlineStr">
        <is>
          <t>21616</t>
        </is>
      </c>
      <c r="B21684" s="4" t="s">
        <f>=HYPERLINK("http://anyluxury.ru/shop/pismennye-prinadlezhnosti/ruchki/sharikovye/ruchka-x7-p610893/" , "P610.893 Ручка X7")</f>
      </c>
      <c r="C21684" s="4" t="n">
        <v>50.00</v>
      </c>
      <c r="D21684" s="4"/>
    </row>
    <row collapsed="" customFormat="false" customHeight="1" hidden="" ht="14" outlineLevel="0" r="21685">
      <c r="A21685" s="3" t="inlineStr">
        <is>
          <t>21617</t>
        </is>
      </c>
      <c r="B21685" s="4" t="s">
        <f>=HYPERLINK("http://anyluxury.ru/shop/pismennye-prinadlezhnosti/ruchki/sharikovye/ruchka-x7-p610894/" , "P610.894 Ручка X7")</f>
      </c>
      <c r="C21685" s="4" t="n">
        <v>50.00</v>
      </c>
      <c r="D21685" s="4"/>
    </row>
    <row collapsed="" customFormat="false" customHeight="1" hidden="" ht="14" outlineLevel="0" r="21686">
      <c r="A21686" s="3" t="inlineStr">
        <is>
          <t>21618</t>
        </is>
      </c>
      <c r="B21686" s="4" t="s">
        <f>=HYPERLINK("http://anyluxury.ru/shop/pismennye-prinadlezhnosti/ruchki/sharikovye/ruchka-x7-p610896/" , "P610.896 Ручка X7")</f>
      </c>
      <c r="C21686" s="4" t="n">
        <v>50.00</v>
      </c>
      <c r="D21686" s="4"/>
    </row>
    <row collapsed="" customFormat="false" customHeight="1" hidden="" ht="14" outlineLevel="0" r="21687">
      <c r="A21687" s="3" t="inlineStr">
        <is>
          <t>21619</t>
        </is>
      </c>
      <c r="B21687" s="4" t="s">
        <f>=HYPERLINK("http://anyluxury.ru/shop/pismennye-prinadlezhnosti/ruchki/sharikovye/ruchka-x7-p610897/" , "P610.897 Ручка X7")</f>
      </c>
      <c r="C21687" s="4" t="n">
        <v>55.00</v>
      </c>
      <c r="D21687" s="4"/>
    </row>
    <row collapsed="" customFormat="false" customHeight="1" hidden="" ht="14" outlineLevel="0" r="21688">
      <c r="A21688" s="3" t="inlineStr">
        <is>
          <t>21620</t>
        </is>
      </c>
      <c r="B21688" s="4" t="s">
        <f>=HYPERLINK("http://anyluxury.ru/shop/pismennye-prinadlezhnosti/ruchki/sharikovye/ruchka-x7-p610898/" , "P610.898 Ручка X7")</f>
      </c>
      <c r="C21688" s="4" t="n">
        <v>45.00</v>
      </c>
      <c r="D21688" s="4"/>
    </row>
    <row collapsed="" customFormat="false" customHeight="1" hidden="" ht="14" outlineLevel="0" r="21689">
      <c r="A21689" s="3" t="inlineStr">
        <is>
          <t>21621</t>
        </is>
      </c>
      <c r="B21689" s="4" t="s">
        <f>=HYPERLINK("http://anyluxury.ru/shop/pismennye-prinadlezhnosti/ruchki/sharikovye/ruchka-x7-p610899/" , "P610.899 Ручка X7")</f>
      </c>
      <c r="C21689" s="4" t="n">
        <v>50.00</v>
      </c>
      <c r="D21689" s="4"/>
    </row>
    <row collapsed="" customFormat="false" customHeight="1" hidden="" ht="14" outlineLevel="0" r="21690">
      <c r="A21690" s="3" t="inlineStr">
        <is>
          <t>21622</t>
        </is>
      </c>
      <c r="B21690" s="4" t="s">
        <f>=HYPERLINK("http://anyluxury.ru/shop/pismennye-prinadlezhnosti/ruchki/sharikovye/ruchka-sharikovaya-senator-point-metal-krasnaya-121150/" , "1211.50 Ручка шариковая Senator Point Metal, красная")</f>
      </c>
      <c r="C21690" s="4" t="n">
        <v>240.00</v>
      </c>
      <c r="D21690" s="4"/>
    </row>
    <row collapsed="" customFormat="false" customHeight="1" hidden="" ht="14" outlineLevel="0" r="21691">
      <c r="A21691" s="3" t="inlineStr">
        <is>
          <t>21623</t>
        </is>
      </c>
      <c r="B21691" s="4" t="s">
        <f>=HYPERLINK("http://anyluxury.ru/shop/pismennye-prinadlezhnosti/ruchki/sharikovye/ruchka-sharikovaya-senator-point-metal-belaya-121160/" , "1211.60 Ручка шариковая Senator Point Metal, белая")</f>
      </c>
      <c r="C21691" s="4" t="n">
        <v>240.00</v>
      </c>
      <c r="D21691" s="4"/>
    </row>
    <row collapsed="" customFormat="false" customHeight="1" hidden="" ht="14" outlineLevel="0" r="21692">
      <c r="A21692" s="3" t="inlineStr">
        <is>
          <t>21624</t>
        </is>
      </c>
      <c r="B21692" s="4" t="s">
        <f>=HYPERLINK("http://anyluxury.ru/shop/pismennye-prinadlezhnosti/ruchki/sharikovye/ruchka-sharikovaya-senator-point-metal-zelenaya-121190/" , "1211.90 Ручка шариковая Senator Point Metal, зеленая")</f>
      </c>
      <c r="C21692" s="4" t="n">
        <v>240.00</v>
      </c>
      <c r="D21692" s="4"/>
    </row>
    <row collapsed="" customFormat="false" customHeight="1" hidden="" ht="14" outlineLevel="0" r="21693">
      <c r="A21693" s="3" t="inlineStr">
        <is>
          <t>21625</t>
        </is>
      </c>
      <c r="B21693" s="4" t="s">
        <f>=HYPERLINK("http://anyluxury.ru/shop/pismennye-prinadlezhnosti/ruchki/sharikovye/ruchka-sharikovaya-raja-shade-sinyaya-37840/" , "378.40 Ручка шариковая Raja Shade, синяя")</f>
      </c>
      <c r="C21693" s="4" t="n">
        <v>219.00</v>
      </c>
      <c r="D21693" s="4"/>
    </row>
    <row collapsed="" customFormat="false" customHeight="1" hidden="" ht="14" outlineLevel="0" r="21694">
      <c r="A21694" s="3" t="inlineStr">
        <is>
          <t>21626</t>
        </is>
      </c>
      <c r="B21694" s="4" t="s">
        <f>=HYPERLINK("http://anyluxury.ru/shop/pismennye-prinadlezhnosti/ruchki/sharikovye/ruchka-sharikovaya-raja-shade-krasnaya-37850/" , "378.50 Ручка шариковая Raja Shade, красная")</f>
      </c>
      <c r="C21694" s="4" t="n">
        <v>219.00</v>
      </c>
      <c r="D21694" s="4"/>
    </row>
    <row collapsed="" customFormat="false" customHeight="1" hidden="" ht="14" outlineLevel="0" r="21695">
      <c r="A21695" s="3" t="inlineStr">
        <is>
          <t>21627</t>
        </is>
      </c>
      <c r="B21695" s="4" t="s">
        <f>=HYPERLINK("http://anyluxury.ru/shop/pismennye-prinadlezhnosti/ruchki/sharikovye/ruchka-sharikovaya-raja-shade-bordo-37855/" , "378.55 Ручка шариковая Raja Shade, бордовая")</f>
      </c>
      <c r="C21695" s="4" t="n">
        <v>219.00</v>
      </c>
      <c r="D21695" s="4"/>
    </row>
    <row collapsed="" customFormat="false" customHeight="1" hidden="" ht="14" outlineLevel="0" r="21696">
      <c r="A21696" s="3" t="inlineStr">
        <is>
          <t>21628</t>
        </is>
      </c>
      <c r="B21696" s="4" t="s">
        <f>=HYPERLINK("http://anyluxury.ru/shop/pismennye-prinadlezhnosti/ruchki/sharikovye/ruchka-sharikovaya-raja-shade-zheltaya-37880/" , "378.80 Ручка шариковая Raja Shade, желтая")</f>
      </c>
      <c r="C21696" s="4" t="n">
        <v>219.00</v>
      </c>
      <c r="D21696" s="4"/>
    </row>
    <row collapsed="" customFormat="false" customHeight="1" hidden="" ht="14" outlineLevel="0" r="21697">
      <c r="A21697" s="3" t="inlineStr">
        <is>
          <t>21629</t>
        </is>
      </c>
      <c r="B21697" s="4" t="s">
        <f>=HYPERLINK("http://anyluxury.ru/shop/pismennye-prinadlezhnosti/ruchki/sharikovye/ruchka-sharikovaya-boomer-s-krasnimi-elementami-52315/" , "523.15 Ручка шариковая Boomer, с красными элементами")</f>
      </c>
      <c r="C21697" s="4" t="n">
        <v>77.00</v>
      </c>
      <c r="D21697" s="4"/>
    </row>
    <row collapsed="" customFormat="false" customHeight="1" hidden="" ht="14" outlineLevel="0" r="21698">
      <c r="A21698" s="3" t="inlineStr">
        <is>
          <t>21630</t>
        </is>
      </c>
      <c r="B21698" s="4" t="s">
        <f>=HYPERLINK("http://anyluxury.ru/shop/pismennye-prinadlezhnosti/ruchki/sharikovye/ruchka-sharikovaya-boomer-s-zelenimi-elementami-52319/" , "523.19 Ручка шариковая Boomer, с зелеными элементами")</f>
      </c>
      <c r="C21698" s="4" t="n">
        <v>77.00</v>
      </c>
      <c r="D21698" s="4"/>
    </row>
    <row collapsed="" customFormat="false" customHeight="1" hidden="" ht="14" outlineLevel="0" r="21699">
      <c r="A21699" s="3" t="inlineStr">
        <is>
          <t>21631</t>
        </is>
      </c>
      <c r="B21699" s="4" t="s">
        <f>=HYPERLINK("http://anyluxury.ru/shop/pismennye-prinadlezhnosti/ruchki/sharikovye/ruchka-sharikovaya-raja-gold-chernaya-283030/" , "2830.30 Ручка шариковая Raja Gold, черная")</f>
      </c>
      <c r="C21699" s="4" t="n">
        <v>256.00</v>
      </c>
      <c r="D21699" s="4"/>
    </row>
    <row collapsed="" customFormat="false" customHeight="1" hidden="" ht="14" outlineLevel="0" r="21700">
      <c r="A21700" s="3" t="inlineStr">
        <is>
          <t>21632</t>
        </is>
      </c>
      <c r="B21700" s="4" t="s">
        <f>=HYPERLINK("http://anyluxury.ru/shop/pismennye-prinadlezhnosti/ruchki/sharikovye/ruchka-sharikovaya-raja-gold-sinyaya-283040/" , "2830.40 Ручка шариковая Raja Gold, синяя")</f>
      </c>
      <c r="C21700" s="4" t="n">
        <v>267.00</v>
      </c>
      <c r="D21700" s="4"/>
    </row>
    <row collapsed="" customFormat="false" customHeight="1" hidden="" ht="14" outlineLevel="0" r="21701">
      <c r="A21701" s="3" t="inlineStr">
        <is>
          <t>21633</t>
        </is>
      </c>
      <c r="B21701" s="4" t="s">
        <f>=HYPERLINK("http://anyluxury.ru/shop/pismennye-prinadlezhnosti/ruchki/sharikovye/ruchka-sharikovaya-raja-gold-krasnaya-283050/" , "2830.50 Ручка шариковая Raja Gold, красная")</f>
      </c>
      <c r="C21701" s="4" t="n">
        <v>267.00</v>
      </c>
      <c r="D21701" s="4"/>
    </row>
    <row collapsed="" customFormat="false" customHeight="1" hidden="" ht="14" outlineLevel="0" r="21702">
      <c r="A21702" s="3" t="inlineStr">
        <is>
          <t>21634</t>
        </is>
      </c>
      <c r="B21702" s="4" t="s">
        <f>=HYPERLINK("http://anyluxury.ru/shop/pismennye-prinadlezhnosti/ruchki/sharikovye/ruchka-sharikovaya-raja-chrome-chernaya-283130/" , "2831.30 Ручка шариковая Raja Chrome, черная")</f>
      </c>
      <c r="C21702" s="4" t="n">
        <v>243.00</v>
      </c>
      <c r="D21702" s="4"/>
    </row>
    <row collapsed="" customFormat="false" customHeight="1" hidden="" ht="14" outlineLevel="0" r="21703">
      <c r="A21703" s="3" t="inlineStr">
        <is>
          <t>21635</t>
        </is>
      </c>
      <c r="B21703" s="4" t="s">
        <f>=HYPERLINK("http://anyluxury.ru/shop/pismennye-prinadlezhnosti/ruchki/sharikovye/ruchka-sharikovaya-raja-chrome-sinyaya-283140/" , "2831.40 Ручка шариковая Raja Chrome, синяя")</f>
      </c>
      <c r="C21703" s="4" t="n">
        <v>243.00</v>
      </c>
      <c r="D21703" s="4"/>
    </row>
    <row collapsed="" customFormat="false" customHeight="1" hidden="" ht="14" outlineLevel="0" r="21704">
      <c r="A21704" s="3" t="inlineStr">
        <is>
          <t>21636</t>
        </is>
      </c>
      <c r="B21704" s="4" t="s">
        <f>=HYPERLINK("http://anyluxury.ru/shop/pismennye-prinadlezhnosti/ruchki/sharikovye/ruchka-sharikovaya-raja-chrome-krasnaya-283150/" , "2831.50 Ручка шариковая Raja Chrome, красная")</f>
      </c>
      <c r="C21704" s="4" t="n">
        <v>243.00</v>
      </c>
      <c r="D21704" s="4"/>
    </row>
    <row collapsed="" customFormat="false" customHeight="1" hidden="" ht="14" outlineLevel="0" r="21705">
      <c r="A21705" s="3" t="inlineStr">
        <is>
          <t>21637</t>
        </is>
      </c>
      <c r="B21705" s="4" t="s">
        <f>=HYPERLINK("http://anyluxury.ru/shop/pismennye-prinadlezhnosti/ruchki/sharikovye/ruchka-sharikovaya-raja-sinyaya-283264/" , "2832.64 Ручка шариковая Raja, синяя")</f>
      </c>
      <c r="C21705" s="4" t="n">
        <v>186.00</v>
      </c>
      <c r="D21705" s="4"/>
    </row>
    <row collapsed="" customFormat="false" customHeight="1" hidden="" ht="14" outlineLevel="0" r="21706">
      <c r="A21706" s="3" t="inlineStr">
        <is>
          <t>21638</t>
        </is>
      </c>
      <c r="B21706" s="4" t="s">
        <f>=HYPERLINK("http://anyluxury.ru/shop/pismennye-prinadlezhnosti/ruchki/sharikovye/ruchka-sharikovaya-raja-krasnaya-283265/" , "2832.65 Ручка шариковая Raja, красная")</f>
      </c>
      <c r="C21706" s="4" t="n">
        <v>186.00</v>
      </c>
      <c r="D21706" s="4"/>
    </row>
    <row collapsed="" customFormat="false" customHeight="1" hidden="" ht="14" outlineLevel="0" r="21707">
      <c r="A21707" s="3" t="inlineStr">
        <is>
          <t>21639</t>
        </is>
      </c>
      <c r="B21707" s="4" t="s">
        <f>=HYPERLINK("http://anyluxury.ru/shop/pismennye-prinadlezhnosti/ruchki/sharikovye/ruchka-sharikovaya-raja-zelenaya-283269/" , "2832.69 Ручка шариковая Raja, зеленая")</f>
      </c>
      <c r="C21707" s="4" t="n">
        <v>186.00</v>
      </c>
      <c r="D21707" s="4"/>
    </row>
    <row collapsed="" customFormat="false" customHeight="1" hidden="" ht="14" outlineLevel="0" r="21708">
      <c r="A21708" s="3" t="inlineStr">
        <is>
          <t>21640</t>
        </is>
      </c>
      <c r="B21708" s="4" t="s">
        <f>=HYPERLINK("http://anyluxury.ru/shop/pismennye-prinadlezhnosti/ruchki/sharikovye/ruchka-sharikovaya-raja-gold-belaya-283060/" , "2830.60 Ручка шариковая Raja Gold, белая")</f>
      </c>
      <c r="C21708" s="4" t="n">
        <v>267.00</v>
      </c>
      <c r="D21708" s="4"/>
    </row>
    <row collapsed="" customFormat="false" customHeight="1" hidden="" ht="14" outlineLevel="0" r="21709">
      <c r="A21709" s="3" t="inlineStr">
        <is>
          <t>21641</t>
        </is>
      </c>
      <c r="B21709" s="4" t="s">
        <f>=HYPERLINK("http://anyluxury.ru/shop/pismennye-prinadlezhnosti/ruchki/sharikovye/ruchka-sharikovaya-raja-chrome-belaya-283160/" , "2831.60 Ручка шариковая Raja Chrome, белая")</f>
      </c>
      <c r="C21709" s="4" t="n">
        <v>243.00</v>
      </c>
      <c r="D21709" s="4"/>
    </row>
    <row collapsed="" customFormat="false" customHeight="1" hidden="" ht="14" outlineLevel="0" r="21710">
      <c r="A21710" s="3" t="inlineStr">
        <is>
          <t>21642</t>
        </is>
      </c>
      <c r="B21710" s="4" t="s">
        <f>=HYPERLINK("http://anyluxury.ru/shop/pismennye-prinadlezhnosti/ruchki/sharikovye/ruchka-sharikovaya-raja-belaya-283260/" , "2832.60 Ручка шариковая Raja, белая")</f>
      </c>
      <c r="C21710" s="4" t="n">
        <v>186.00</v>
      </c>
      <c r="D21710" s="4"/>
    </row>
    <row collapsed="" customFormat="false" customHeight="1" hidden="" ht="14" outlineLevel="0" r="21711">
      <c r="A21711" s="3" t="inlineStr">
        <is>
          <t>21643</t>
        </is>
      </c>
      <c r="B21711" s="4" t="s">
        <f>=HYPERLINK("http://anyluxury.ru/shop/pismennye-prinadlezhnosti/ruchki/sharikovye/ruchka-sharikovaya-classic-chernaya-420130/" , "4201.30 Ручка шариковая Classic, черная")</f>
      </c>
      <c r="C21711" s="4" t="n">
        <v>90.60</v>
      </c>
      <c r="D21711" s="4"/>
    </row>
    <row collapsed="" customFormat="false" customHeight="1" hidden="" ht="14" outlineLevel="0" r="21712">
      <c r="A21712" s="3" t="inlineStr">
        <is>
          <t>21644</t>
        </is>
      </c>
      <c r="B21712" s="4" t="s">
        <f>=HYPERLINK("http://anyluxury.ru/shop/pismennye-prinadlezhnosti/ruchki/sharikovye/ruchka-sharikovaya-classic-yarkosinyaya-420144/" , "4201.44 Ручка шариковая Classic, ярко-синяя")</f>
      </c>
      <c r="C21712" s="4" t="n">
        <v>90.60</v>
      </c>
      <c r="D21712" s="4"/>
    </row>
    <row collapsed="" customFormat="false" customHeight="1" hidden="" ht="14" outlineLevel="0" r="21713">
      <c r="A21713" s="3" t="inlineStr">
        <is>
          <t>21645</t>
        </is>
      </c>
      <c r="B21713" s="4" t="s">
        <f>=HYPERLINK("http://anyluxury.ru/shop/pismennye-prinadlezhnosti/ruchki/sharikovye/ruchka-sharikovaya-classic-belaya-420160/" , "4201.60 Ручка шариковая Classic, белая")</f>
      </c>
      <c r="C21713" s="4" t="n">
        <v>90.60</v>
      </c>
      <c r="D21713" s="4"/>
    </row>
    <row collapsed="" customFormat="false" customHeight="1" hidden="" ht="14" outlineLevel="0" r="21714">
      <c r="A21714" s="3" t="inlineStr">
        <is>
          <t>21646</t>
        </is>
      </c>
      <c r="B21714" s="4" t="s">
        <f>=HYPERLINK("http://anyluxury.ru/shop/pismennye-prinadlezhnosti/ruchki/sharikovye/ruchka-sharikovaya-euro-gold-chernaya-447530/" , "4475.30 Ручка шариковая Euro Gold, черная")</f>
      </c>
      <c r="C21714" s="4" t="n">
        <v>19.80</v>
      </c>
      <c r="D21714" s="4"/>
    </row>
    <row collapsed="" customFormat="false" customHeight="1" hidden="" ht="14" outlineLevel="0" r="21715">
      <c r="A21715" s="3" t="inlineStr">
        <is>
          <t>21647</t>
        </is>
      </c>
      <c r="B21715" s="4" t="s">
        <f>=HYPERLINK("http://anyluxury.ru/shop/pismennye-prinadlezhnosti/ruchki/sharikovye/ruchka-sharikovaya-euro-gold-sinyaya-447540/" , "4475.40 Ручка шариковая Euro Gold, синяя")</f>
      </c>
      <c r="C21715" s="4" t="n">
        <v>19.80</v>
      </c>
      <c r="D21715" s="4"/>
    </row>
    <row collapsed="" customFormat="false" customHeight="1" hidden="" ht="14" outlineLevel="0" r="21716">
      <c r="A21716" s="3" t="inlineStr">
        <is>
          <t>21648</t>
        </is>
      </c>
      <c r="B21716" s="4" t="s">
        <f>=HYPERLINK("http://anyluxury.ru/shop/pismennye-prinadlezhnosti/ruchki/sharikovye/ruchka-sharikovaya-euro-gold-belaya-447560/" , "4475.60 Ручка шариковая Euro Gold, белая")</f>
      </c>
      <c r="C21716" s="4" t="n">
        <v>19.80</v>
      </c>
      <c r="D21716" s="4"/>
    </row>
    <row collapsed="" customFormat="false" customHeight="1" hidden="" ht="14" outlineLevel="0" r="21717">
      <c r="A21717" s="3" t="inlineStr">
        <is>
          <t>21649</t>
        </is>
      </c>
      <c r="B21717" s="4" t="s">
        <f>=HYPERLINK("http://anyluxury.ru/shop/pismennye-prinadlezhnosti/ruchki/sharikovye/ruchka-sharikovaya-clear-solid-chernaya-448230/" , "4482.30 Ручка шариковая Clear Solid, черная")</f>
      </c>
      <c r="C21717" s="4" t="n">
        <v>82.00</v>
      </c>
      <c r="D21717" s="4"/>
    </row>
    <row collapsed="" customFormat="false" customHeight="1" hidden="" ht="14" outlineLevel="0" r="21718">
      <c r="A21718" s="3" t="inlineStr">
        <is>
          <t>21650</t>
        </is>
      </c>
      <c r="B21718" s="4" t="s">
        <f>=HYPERLINK("http://anyluxury.ru/shop/pismennye-prinadlezhnosti/ruchki/sharikovye/ruchka-sharikovaya-clear-solid-sinyaya-448240/" , "4482.40 Ручка шариковая Clear Solid, синяя")</f>
      </c>
      <c r="C21718" s="4" t="n">
        <v>82.00</v>
      </c>
      <c r="D21718" s="4"/>
    </row>
    <row collapsed="" customFormat="false" customHeight="1" hidden="" ht="14" outlineLevel="0" r="21719">
      <c r="A21719" s="3" t="inlineStr">
        <is>
          <t>21651</t>
        </is>
      </c>
      <c r="B21719" s="4" t="s">
        <f>=HYPERLINK("http://anyluxury.ru/shop/pismennye-prinadlezhnosti/ruchki/sharikovye/ruchka-sharikovaya-clear-solid-belaya-448260/" , "4482.60 Ручка шариковая Clear Solid, белая")</f>
      </c>
      <c r="C21719" s="4" t="n">
        <v>82.00</v>
      </c>
      <c r="D21719" s="4"/>
    </row>
    <row collapsed="" customFormat="false" customHeight="1" hidden="" ht="14" outlineLevel="0" r="21720">
      <c r="A21720" s="3" t="inlineStr">
        <is>
          <t>21652</t>
        </is>
      </c>
      <c r="B21720" s="4" t="s">
        <f>=HYPERLINK("http://anyluxury.ru/shop/pismennye-prinadlezhnosti/ruchki/sharikovye/ruchka-sharikovaya-bento-belaya-s-krasnim-470865/" , "4708.65 Ручка шариковая Bento, белая с красным")</f>
      </c>
      <c r="C21720" s="4" t="n">
        <v>23.10</v>
      </c>
      <c r="D21720" s="4"/>
    </row>
    <row collapsed="" customFormat="false" customHeight="1" hidden="" ht="14" outlineLevel="0" r="21721">
      <c r="A21721" s="3" t="inlineStr">
        <is>
          <t>21653</t>
        </is>
      </c>
      <c r="B21721" s="4" t="s">
        <f>=HYPERLINK("http://anyluxury.ru/shop/pismennye-prinadlezhnosti/ruchki/sharikovye/ruchka-sharikovaya-bento-belaya-s-sinim-470864/" , "4708.64 Ручка шариковая Bento, белая с синим")</f>
      </c>
      <c r="C21721" s="4" t="n">
        <v>23.10</v>
      </c>
      <c r="D21721" s="4"/>
    </row>
    <row collapsed="" customFormat="false" customHeight="1" hidden="" ht="14" outlineLevel="0" r="21722">
      <c r="A21722" s="3" t="inlineStr">
        <is>
          <t>21654</t>
        </is>
      </c>
      <c r="B21722" s="4" t="s">
        <f>=HYPERLINK("http://anyluxury.ru/shop/pismennye-prinadlezhnosti/ruchki/sharikovye/ruchka-sharikovaya-bento-belaya-s-zelenim-470869/" , "4708.69 Ручка шариковая Bento, белая с зеленым")</f>
      </c>
      <c r="C21722" s="4" t="n">
        <v>23.10</v>
      </c>
      <c r="D21722" s="4"/>
    </row>
    <row collapsed="" customFormat="false" customHeight="1" hidden="" ht="14" outlineLevel="0" r="21723">
      <c r="A21723" s="3" t="inlineStr">
        <is>
          <t>21655</t>
        </is>
      </c>
      <c r="B21723" s="4" t="s">
        <f>=HYPERLINK("http://anyluxury.ru/shop/pismennye-prinadlezhnosti/ruchki/sharikovye/ruchka-sharikovaya-bento-belaya-s-oranzhevim-470862/" , "4708.62 Ручка шариковая Bento, белая с оранжевым")</f>
      </c>
      <c r="C21723" s="4" t="n">
        <v>23.10</v>
      </c>
      <c r="D21723" s="4"/>
    </row>
    <row collapsed="" customFormat="false" customHeight="1" hidden="" ht="14" outlineLevel="0" r="21724">
      <c r="A21724" s="3" t="inlineStr">
        <is>
          <t>21656</t>
        </is>
      </c>
      <c r="B21724" s="4" t="s">
        <f>=HYPERLINK("http://anyluxury.ru/shop/pismennye-prinadlezhnosti/ruchki/sharikovye/ruchka-sharikovaya-s-si-yarkosinyaya-469943/" , "4699.43 Ручка шариковая S! (Си), ярко-синяя")</f>
      </c>
      <c r="C21724" s="4" t="n">
        <v>72.70</v>
      </c>
      <c r="D21724" s="4"/>
    </row>
    <row collapsed="" customFormat="false" customHeight="1" hidden="" ht="14" outlineLevel="0" r="21725">
      <c r="A21725" s="3" t="inlineStr">
        <is>
          <t>21657</t>
        </is>
      </c>
      <c r="B21725" s="4" t="s">
        <f>=HYPERLINK("http://anyluxury.ru/shop/pismennye-prinadlezhnosti/ruchki/sharikovye/ruchka-sharikovaya-s-si-chernaya-469933/" , "4699.33 Ручка шариковая S! (Си), черная")</f>
      </c>
      <c r="C21725" s="4" t="n">
        <v>72.70</v>
      </c>
      <c r="D21725" s="4"/>
    </row>
    <row collapsed="" customFormat="false" customHeight="1" hidden="" ht="14" outlineLevel="0" r="21726">
      <c r="A21726" s="3" t="inlineStr">
        <is>
          <t>21658</t>
        </is>
      </c>
      <c r="B21726" s="4" t="s">
        <f>=HYPERLINK("http://anyluxury.ru/shop/pismennye-prinadlezhnosti/ruchki/sharikovye/ruchka-sharikovaya-s-si-zelenaya-469993/" , "4699.93 Ручка шариковая S! (Си), зеленая")</f>
      </c>
      <c r="C21726" s="4" t="n">
        <v>72.70</v>
      </c>
      <c r="D21726" s="4"/>
    </row>
    <row collapsed="" customFormat="false" customHeight="1" hidden="" ht="14" outlineLevel="0" r="21727">
      <c r="A21727" s="3" t="inlineStr">
        <is>
          <t>21659</t>
        </is>
      </c>
      <c r="B21727" s="4" t="s">
        <f>=HYPERLINK("http://anyluxury.ru/shop/pismennye-prinadlezhnosti/ruchki/sharikovye/ruchka-sharikovaya-s-si-krasnaya-469953/" , "4699.53 Ручка шариковая S! (Си), красная")</f>
      </c>
      <c r="C21727" s="4" t="n">
        <v>72.70</v>
      </c>
      <c r="D21727" s="4"/>
    </row>
    <row collapsed="" customFormat="false" customHeight="1" hidden="" ht="14" outlineLevel="0" r="21728">
      <c r="A21728" s="3" t="inlineStr">
        <is>
          <t>21660</t>
        </is>
      </c>
      <c r="B21728" s="4" t="s">
        <f>=HYPERLINK("http://anyluxury.ru/shop/pismennye-prinadlezhnosti/ruchki/sharikovye/ruchka-sharikovaya-s-si-zheltaya-469983/" , "4699.83 Ручка шариковая S! (Си), желтая")</f>
      </c>
      <c r="C21728" s="4" t="n">
        <v>72.70</v>
      </c>
      <c r="D21728" s="4"/>
    </row>
    <row collapsed="" customFormat="false" customHeight="1" hidden="" ht="14" outlineLevel="0" r="21729">
      <c r="A21729" s="3" t="inlineStr">
        <is>
          <t>21661</t>
        </is>
      </c>
      <c r="B21729" s="4" t="s">
        <f>=HYPERLINK("http://anyluxury.ru/shop/pismennye-prinadlezhnosti/ruchki/sharikovye/ruchka-sharikovaya-s-si-oranzhevaya-469923/" , "4699.23 Ручка шариковая S! (Си), оранжевая")</f>
      </c>
      <c r="C21729" s="4" t="n">
        <v>72.70</v>
      </c>
      <c r="D21729" s="4"/>
    </row>
    <row collapsed="" customFormat="false" customHeight="1" hidden="" ht="14" outlineLevel="0" r="21730">
      <c r="A21730" s="3" t="inlineStr">
        <is>
          <t>21662</t>
        </is>
      </c>
      <c r="B21730" s="4" t="s">
        <f>=HYPERLINK("http://anyluxury.ru/shop/pismennye-prinadlezhnosti/ruchki/sharikovye/ruchka-sharikovaya-s-si-belaya-469960/" , "4699.60 Ручка шариковая S! (Си), белая")</f>
      </c>
      <c r="C21730" s="4" t="n">
        <v>72.70</v>
      </c>
      <c r="D21730" s="4"/>
    </row>
    <row collapsed="" customFormat="false" customHeight="1" hidden="" ht="14" outlineLevel="0" r="21731">
      <c r="A21731" s="3" t="inlineStr">
        <is>
          <t>21663</t>
        </is>
      </c>
      <c r="B21731" s="4" t="s">
        <f>=HYPERLINK("http://anyluxury.ru/shop/pismennye-prinadlezhnosti/ruchki/sharikovye/ruchka-sharikovaya-s-si-belaya-s-temnosinim-469964/" , "4699.64 Ручка шариковая S! (Си), белая с темно-синим")</f>
      </c>
      <c r="C21731" s="4" t="n">
        <v>72.70</v>
      </c>
      <c r="D21731" s="4"/>
    </row>
    <row collapsed="" customFormat="false" customHeight="1" hidden="" ht="14" outlineLevel="0" r="21732">
      <c r="A21732" s="3" t="inlineStr">
        <is>
          <t>21664</t>
        </is>
      </c>
      <c r="B21732" s="4" t="s">
        <f>=HYPERLINK("http://anyluxury.ru/shop/pismennye-prinadlezhnosti/ruchki/sharikovye/ruchka-sharikovaya-prodir-ds3-tff-golubaya-476844/" , "4768.44 Ручка шариковая Prodir DS3 TFF, голубая")</f>
      </c>
      <c r="C21732" s="4" t="n">
        <v>111.00</v>
      </c>
      <c r="D21732" s="4"/>
    </row>
    <row collapsed="" customFormat="false" customHeight="1" hidden="" ht="14" outlineLevel="0" r="21733">
      <c r="A21733" s="3" t="inlineStr">
        <is>
          <t>21665</t>
        </is>
      </c>
      <c r="B21733" s="4" t="s">
        <f>=HYPERLINK("http://anyluxury.ru/shop/pismennye-prinadlezhnosti/ruchki/sharikovye/ruchka-sharikovaya-prodir-ds3-tff-chernaya-476830/" , "4768.30 Ручка шариковая Prodir DS3 TFF, черная")</f>
      </c>
      <c r="C21733" s="4" t="n">
        <v>111.00</v>
      </c>
      <c r="D21733" s="4"/>
    </row>
    <row collapsed="" customFormat="false" customHeight="1" hidden="" ht="14" outlineLevel="0" r="21734">
      <c r="A21734" s="3" t="inlineStr">
        <is>
          <t>21666</t>
        </is>
      </c>
      <c r="B21734" s="4" t="s">
        <f>=HYPERLINK("http://anyluxury.ru/shop/pismennye-prinadlezhnosti/ruchki/sharikovye/ruchka-sharikovaya-prodir-ds5-tpp-krasnaya-477550/" , "4775.50 Ручка шариковая Prodir DS5 TPP, красная")</f>
      </c>
      <c r="C21734" s="4" t="n">
        <v>139.00</v>
      </c>
      <c r="D21734" s="4"/>
    </row>
    <row collapsed="" customFormat="false" customHeight="1" hidden="" ht="14" outlineLevel="0" r="21735">
      <c r="A21735" s="3" t="inlineStr">
        <is>
          <t>21667</t>
        </is>
      </c>
      <c r="B21735" s="4" t="s">
        <f>=HYPERLINK("http://anyluxury.ru/shop/pismennye-prinadlezhnosti/ruchki/sharikovye/ruchka-sharikovaya-prodir-ds5-tpp-sinyaya-477540/" , "4775.40 Ручка шариковая Prodir DS5 TPP, синяя")</f>
      </c>
      <c r="C21735" s="4" t="n">
        <v>163.00</v>
      </c>
      <c r="D21735" s="4"/>
    </row>
    <row collapsed="" customFormat="false" customHeight="1" hidden="" ht="14" outlineLevel="0" r="21736">
      <c r="A21736" s="3" t="inlineStr">
        <is>
          <t>21668</t>
        </is>
      </c>
      <c r="B21736" s="4" t="s">
        <f>=HYPERLINK("http://anyluxury.ru/shop/pismennye-prinadlezhnosti/ruchki/sharikovye/ruchka-sharikovaya-prodir-ds3-tpp-sinyaya-477040/" , "4770.40 Ручка шариковая Prodir DS3 TPP, синяя")</f>
      </c>
      <c r="C21736" s="4" t="n">
        <v>111.00</v>
      </c>
      <c r="D21736" s="4"/>
    </row>
    <row collapsed="" customFormat="false" customHeight="1" hidden="" ht="14" outlineLevel="0" r="21737">
      <c r="A21737" s="3" t="inlineStr">
        <is>
          <t>21669</t>
        </is>
      </c>
      <c r="B21737" s="4" t="s">
        <f>=HYPERLINK("http://anyluxury.ru/shop/pismennye-prinadlezhnosti/ruchki/sharikovye/ruchka-sharikovaya-prodir-ds3-tpp-chernaya-477030/" , "4770.30 Ручка шариковая Prodir DS3 TPP, черная")</f>
      </c>
      <c r="C21737" s="4" t="n">
        <v>111.00</v>
      </c>
      <c r="D21737" s="4"/>
    </row>
    <row collapsed="" customFormat="false" customHeight="1" hidden="" ht="14" outlineLevel="0" r="21738">
      <c r="A21738" s="3" t="inlineStr">
        <is>
          <t>21670</t>
        </is>
      </c>
      <c r="B21738" s="4" t="s">
        <f>=HYPERLINK("http://anyluxury.ru/shop/pismennye-prinadlezhnosti/ruchki/sharikovye/ruchka-sharikovaya-prodir-ds2-ptc-zelenaya-476590/" , "4765.90 Ручка шариковая Prodir DS2 PTC, зеленая")</f>
      </c>
      <c r="C21738" s="4" t="n">
        <v>195.00</v>
      </c>
      <c r="D21738" s="4"/>
    </row>
    <row collapsed="" customFormat="false" customHeight="1" hidden="" ht="14" outlineLevel="0" r="21739">
      <c r="A21739" s="3" t="inlineStr">
        <is>
          <t>21671</t>
        </is>
      </c>
      <c r="B21739" s="4" t="s">
        <f>=HYPERLINK("http://anyluxury.ru/shop/pismennye-prinadlezhnosti/ruchki/sharikovye/ruchka-sharikovaya-prodir-ds2-ppp-belaya-476660/" , "4766.60 Ручка шариковая Prodir DS2 PPP, белая")</f>
      </c>
      <c r="C21739" s="4" t="n">
        <v>183.00</v>
      </c>
      <c r="D21739" s="4"/>
    </row>
    <row collapsed="" customFormat="false" customHeight="1" hidden="" ht="14" outlineLevel="0" r="21740">
      <c r="A21740" s="3" t="inlineStr">
        <is>
          <t>21672</t>
        </is>
      </c>
      <c r="B21740" s="4" t="s">
        <f>=HYPERLINK("http://anyluxury.ru/shop/pismennye-prinadlezhnosti/ruchki/sharikovye/ruchka-sharikovaya-prodir-ds5-tpp-belaya-477560/" , "4775.60 Ручка шариковая Prodir DS5 TPP, белая")</f>
      </c>
      <c r="C21740" s="4" t="n">
        <v>163.00</v>
      </c>
      <c r="D21740" s="4"/>
    </row>
    <row collapsed="" customFormat="false" customHeight="1" hidden="" ht="14" outlineLevel="0" r="21741">
      <c r="A21741" s="3" t="inlineStr">
        <is>
          <t>21673</t>
        </is>
      </c>
      <c r="B21741" s="4" t="s">
        <f>=HYPERLINK("http://anyluxury.ru/shop/pismennye-prinadlezhnosti/ruchki/sharikovye/ruchka-sharikovaya-prodir-ds2-ppc-belaya-476760/" , "4767.60 Ручка шариковая Prodir DS2 PPC, белая")</f>
      </c>
      <c r="C21741" s="4" t="n">
        <v>274.00</v>
      </c>
      <c r="D21741" s="4"/>
    </row>
    <row collapsed="" customFormat="false" customHeight="1" hidden="" ht="14" outlineLevel="0" r="21742">
      <c r="A21742" s="3" t="inlineStr">
        <is>
          <t>21674</t>
        </is>
      </c>
      <c r="B21742" s="4" t="s">
        <f>=HYPERLINK("http://anyluxury.ru/shop/pismennye-prinadlezhnosti/ruchki/sharikovye/ruchka-sharikovaya-prodir-ds2-ppc-sinyaya-476740/" , "4767.40 Ручка шариковая Prodir DS2 PPC, синяя")</f>
      </c>
      <c r="C21742" s="4" t="n">
        <v>274.00</v>
      </c>
      <c r="D21742" s="4"/>
    </row>
    <row collapsed="" customFormat="false" customHeight="1" hidden="" ht="14" outlineLevel="0" r="21743">
      <c r="A21743" s="3" t="inlineStr">
        <is>
          <t>21675</t>
        </is>
      </c>
      <c r="B21743" s="4" t="s">
        <f>=HYPERLINK("http://anyluxury.ru/shop/pismennye-prinadlezhnosti/ruchki/sharikovye/ruchka-sharikovaya-prodir-ds3-tpp-belaya-477060/" , "4770.60 Ручка шариковая Prodir DS3 TPP, белая")</f>
      </c>
      <c r="C21743" s="4" t="n">
        <v>111.00</v>
      </c>
      <c r="D21743" s="4"/>
    </row>
    <row collapsed="" customFormat="false" customHeight="1" hidden="" ht="14" outlineLevel="0" r="21744">
      <c r="A21744" s="3" t="inlineStr">
        <is>
          <t>21676</t>
        </is>
      </c>
      <c r="B21744" s="4" t="s">
        <f>=HYPERLINK("http://anyluxury.ru/shop/pismennye-prinadlezhnosti/ruchki/sharikovye/ruchka-sharikovaya-prodir-ds3-tpp-oranzhevaya-477020/" , "4770.20 Ручка шариковая Prodir DS3 TPP, оранжевая")</f>
      </c>
      <c r="C21744" s="4" t="n">
        <v>111.00</v>
      </c>
      <c r="D21744" s="4"/>
    </row>
    <row collapsed="" customFormat="false" customHeight="1" hidden="" ht="14" outlineLevel="0" r="21745">
      <c r="A21745" s="3" t="inlineStr">
        <is>
          <t>21677</t>
        </is>
      </c>
      <c r="B21745" s="4" t="s">
        <f>=HYPERLINK("http://anyluxury.ru/shop/pismennye-prinadlezhnosti/ruchki/sharikovye/ruchka-sharikovaya-prodir-ds3-tff-belaya-476860/" , "4768.60 Ручка шариковая Prodir DS3 TFF, белая")</f>
      </c>
      <c r="C21745" s="4" t="n">
        <v>111.00</v>
      </c>
      <c r="D21745" s="4"/>
    </row>
    <row collapsed="" customFormat="false" customHeight="1" hidden="" ht="14" outlineLevel="0" r="21746">
      <c r="A21746" s="3" t="inlineStr">
        <is>
          <t>21678</t>
        </is>
      </c>
      <c r="B21746" s="4" t="s">
        <f>=HYPERLINK("http://anyluxury.ru/shop/pismennye-prinadlezhnosti/ruchki/sharikovye/ruchka-sharikovaya-prodir-ds3-tff-oranzhevaya-476820/" , "4768.20 Ручка шариковая Prodir DS3 TFF, оранжевая")</f>
      </c>
      <c r="C21746" s="4" t="n">
        <v>111.00</v>
      </c>
      <c r="D21746" s="4"/>
    </row>
    <row collapsed="" customFormat="false" customHeight="1" hidden="" ht="14" outlineLevel="0" r="21747">
      <c r="A21747" s="3" t="inlineStr">
        <is>
          <t>21679</t>
        </is>
      </c>
      <c r="B21747" s="4" t="s">
        <f>=HYPERLINK("http://anyluxury.ru/shop/pismennye-prinadlezhnosti/ruchki/sharikovye/ruchka-sharikovaya-prodir-ds3-tff-krasnaya-476850/" , "4768.50 Ручка шариковая Prodir DS3 TFF, красная")</f>
      </c>
      <c r="C21747" s="4" t="n">
        <v>111.00</v>
      </c>
      <c r="D21747" s="4"/>
    </row>
    <row collapsed="" customFormat="false" customHeight="1" hidden="" ht="14" outlineLevel="0" r="21748">
      <c r="A21748" s="3" t="inlineStr">
        <is>
          <t>21680</t>
        </is>
      </c>
      <c r="B21748" s="4" t="s">
        <f>=HYPERLINK("http://anyluxury.ru/shop/pismennye-prinadlezhnosti/ruchki/sharikovye/ruchka-sharikovaya-prodir-ds3-tff-fioletovaya-476877/" , "4768.77 Ручка шариковая Prodir DS3 TFF, фиолетовая")</f>
      </c>
      <c r="C21748" s="4" t="n">
        <v>111.00</v>
      </c>
      <c r="D21748" s="4"/>
    </row>
    <row collapsed="" customFormat="false" customHeight="1" hidden="" ht="14" outlineLevel="0" r="21749">
      <c r="A21749" s="3" t="inlineStr">
        <is>
          <t>21681</t>
        </is>
      </c>
      <c r="B21749" s="4" t="s">
        <f>=HYPERLINK("http://anyluxury.ru/shop/pismennye-prinadlezhnosti/ruchki/sharikovye/ruchka-sharikovaya-prodir-ds3-tff-biryuzovaya-476896/" , "4768.96 Ручка шариковая Prodir DS3 TFF, бирюзовая")</f>
      </c>
      <c r="C21749" s="4" t="n">
        <v>111.00</v>
      </c>
      <c r="D21749" s="4"/>
    </row>
    <row collapsed="" customFormat="false" customHeight="1" hidden="" ht="14" outlineLevel="0" r="21750">
      <c r="A21750" s="3" t="inlineStr">
        <is>
          <t>21682</t>
        </is>
      </c>
      <c r="B21750" s="4" t="s">
        <f>=HYPERLINK("http://anyluxury.ru/shop/pismennye-prinadlezhnosti/ruchki/sharikovye/ruchka-sharikovaya-prodir-ds3-tff-zelenaya-476890/" , "4768.90 Ручка шариковая Prodir DS3 TFF, зеленая")</f>
      </c>
      <c r="C21750" s="4" t="n">
        <v>111.00</v>
      </c>
      <c r="D21750" s="4"/>
    </row>
    <row collapsed="" customFormat="false" customHeight="1" hidden="" ht="14" outlineLevel="0" r="21751">
      <c r="A21751" s="3" t="inlineStr">
        <is>
          <t>21683</t>
        </is>
      </c>
      <c r="B21751" s="4" t="s">
        <f>=HYPERLINK("http://anyluxury.ru/shop/pismennye-prinadlezhnosti/ruchki/sharikovye/ruchka-sharikovaya-prodir-ds3-tff-sinyaya-476840/" , "4768.40 Ручка шариковая Prodir DS3 TFF, синяя")</f>
      </c>
      <c r="C21751" s="4" t="n">
        <v>111.00</v>
      </c>
      <c r="D21751" s="4"/>
    </row>
    <row collapsed="" customFormat="false" customHeight="1" hidden="" ht="14" outlineLevel="0" r="21752">
      <c r="A21752" s="3" t="inlineStr">
        <is>
          <t>21684</t>
        </is>
      </c>
      <c r="B21752" s="4" t="s">
        <f>=HYPERLINK("http://anyluxury.ru/shop/pismennye-prinadlezhnosti/ruchki/sharikovye/ruchka-sharikovaya-prodir-ds3-eco-6126/" , "6126 Ручка шариковая Prodir DS3 ECO")</f>
      </c>
      <c r="C21752" s="4" t="n">
        <v>147.00</v>
      </c>
      <c r="D21752" s="4"/>
    </row>
    <row collapsed="" customFormat="false" customHeight="1" hidden="" ht="14" outlineLevel="0" r="21753">
      <c r="A21753" s="3" t="inlineStr">
        <is>
          <t>21685</t>
        </is>
      </c>
      <c r="B21753" s="4" t="s">
        <f>=HYPERLINK("http://anyluxury.ru/shop/pismennye-prinadlezhnosti/ruchki/sharikovye/ruchka-sharikovaya-senator-dart-polished-belaya-630860/" , "6308.60 Ручка шариковая Senator Dart Polished, белая")</f>
      </c>
      <c r="C21753" s="4" t="n">
        <v>55.00</v>
      </c>
      <c r="D21753" s="4"/>
    </row>
    <row collapsed="" customFormat="false" customHeight="1" hidden="" ht="14" outlineLevel="0" r="21754">
      <c r="A21754" s="3" t="inlineStr">
        <is>
          <t>21686</t>
        </is>
      </c>
      <c r="B21754" s="4" t="s">
        <f>=HYPERLINK("http://anyluxury.ru/shop/pismennye-prinadlezhnosti/ruchki/sharikovye/ruchka-sharikovaya-senator-dart-polished-sinyaya-630840/" , "6308.40 Ручка шариковая Senator Dart Polished, синяя")</f>
      </c>
      <c r="C21754" s="4" t="n">
        <v>55.00</v>
      </c>
      <c r="D21754" s="4"/>
    </row>
    <row collapsed="" customFormat="false" customHeight="1" hidden="" ht="14" outlineLevel="0" r="21755">
      <c r="A21755" s="3" t="inlineStr">
        <is>
          <t>21687</t>
        </is>
      </c>
      <c r="B21755" s="4" t="s">
        <f>=HYPERLINK("http://anyluxury.ru/shop/pismennye-prinadlezhnosti/ruchki/sharikovye/ruchka-sharikovaya-senator-dart-polished-belosinyaya-630864/" , "6308.64 Ручка шариковая Senator Dart Polished, бело-синяя")</f>
      </c>
      <c r="C21755" s="4" t="n">
        <v>55.00</v>
      </c>
      <c r="D21755" s="4"/>
    </row>
    <row collapsed="" customFormat="false" customHeight="1" hidden="" ht="14" outlineLevel="0" r="21756">
      <c r="A21756" s="3" t="inlineStr">
        <is>
          <t>21688</t>
        </is>
      </c>
      <c r="B21756" s="4" t="s">
        <f>=HYPERLINK("http://anyluxury.ru/shop/pismennye-prinadlezhnosti/ruchki/sharikovye/ruchka-sharikovaya-senator-dart-polished-belokrasnaya-630865/" , "6308.65 Ручка шариковая Senator Dart Polished, бело-красная")</f>
      </c>
      <c r="C21756" s="4" t="n">
        <v>55.00</v>
      </c>
      <c r="D21756" s="4"/>
    </row>
    <row collapsed="" customFormat="false" customHeight="1" hidden="" ht="14" outlineLevel="0" r="21757">
      <c r="A21757" s="3" t="inlineStr">
        <is>
          <t>21689</t>
        </is>
      </c>
      <c r="B21757" s="4" t="s">
        <f>=HYPERLINK("http://anyluxury.ru/shop/pismennye-prinadlezhnosti/ruchki/sharikovye/ruchka-sharikovaya-senator-dart-polished-belozelenaya-630869/" , "6308.69 Ручка шариковая Senator Dart Polished, бело-зеленая")</f>
      </c>
      <c r="C21757" s="4" t="n">
        <v>55.00</v>
      </c>
      <c r="D21757" s="4"/>
    </row>
    <row collapsed="" customFormat="false" customHeight="1" hidden="" ht="14" outlineLevel="0" r="21758">
      <c r="A21758" s="3" t="inlineStr">
        <is>
          <t>21690</t>
        </is>
      </c>
      <c r="B21758" s="4" t="s">
        <f>=HYPERLINK("http://anyluxury.ru/shop/pismennye-prinadlezhnosti/ruchki/sharikovye/ruchka-sharikovaya-senator-dart-polished-zheltaya-630880/" , "6308.80 Ручка шариковая Senator Dart Polished, желтая")</f>
      </c>
      <c r="C21758" s="4" t="n">
        <v>55.00</v>
      </c>
      <c r="D21758" s="4"/>
    </row>
    <row collapsed="" customFormat="false" customHeight="1" hidden="" ht="14" outlineLevel="0" r="21759">
      <c r="A21759" s="3" t="inlineStr">
        <is>
          <t>21691</t>
        </is>
      </c>
      <c r="B21759" s="4" t="s">
        <f>=HYPERLINK("http://anyluxury.ru/shop/pismennye-prinadlezhnosti/ruchki/sharikovye/ruchka-sharikovaya-senator-dart-polished-oranzhevaya-630820/" , "6308.20 Ручка шариковая Senator Dart Polished, оранжевая")</f>
      </c>
      <c r="C21759" s="4" t="n">
        <v>55.00</v>
      </c>
      <c r="D21759" s="4"/>
    </row>
    <row collapsed="" customFormat="false" customHeight="1" hidden="" ht="14" outlineLevel="0" r="21760">
      <c r="A21760" s="3" t="inlineStr">
        <is>
          <t>21692</t>
        </is>
      </c>
      <c r="B21760" s="4" t="s">
        <f>=HYPERLINK("http://anyluxury.ru/shop/pismennye-prinadlezhnosti/ruchki/sharikovye/ruchka-sharikovaya-senator-dart-polished-krasnaya-630850/" , "6308.50 Ручка шариковая Senator Dart Polished, красная")</f>
      </c>
      <c r="C21760" s="4" t="n">
        <v>55.00</v>
      </c>
      <c r="D21760" s="4"/>
    </row>
    <row collapsed="" customFormat="false" customHeight="1" hidden="" ht="14" outlineLevel="0" r="21761">
      <c r="A21761" s="3" t="inlineStr">
        <is>
          <t>21693</t>
        </is>
      </c>
      <c r="B21761" s="4" t="s">
        <f>=HYPERLINK("http://anyluxury.ru/shop/pismennye-prinadlezhnosti/ruchki/sharikovye/nabor-upright-ruchka-sharikovaya-i-roller-5157/" , "5157 Набор Upright: ручка шариковая и роллер")</f>
      </c>
      <c r="C21761" s="4" t="n">
        <v>1372.00</v>
      </c>
      <c r="D21761" s="4"/>
    </row>
    <row collapsed="" customFormat="false" customHeight="1" hidden="" ht="14" outlineLevel="0" r="21762">
      <c r="A21762" s="3" t="inlineStr">
        <is>
          <t>21694</t>
        </is>
      </c>
      <c r="B21762" s="4" t="s">
        <f>=HYPERLINK("http://anyluxury.ru/shop/pismennye-prinadlezhnosti/ruchki/sharikovye/ruchka-sharikovaya-prodir-ds31-tpc-chernaya-526430/" , "5264.30 Ручка шариковая Prodir DS3.1 TPC, черная")</f>
      </c>
      <c r="C21762" s="4" t="n">
        <v>246.00</v>
      </c>
      <c r="D21762" s="4"/>
    </row>
    <row collapsed="" customFormat="false" customHeight="1" hidden="" ht="14" outlineLevel="0" r="21763">
      <c r="A21763" s="3" t="inlineStr">
        <is>
          <t>21695</t>
        </is>
      </c>
      <c r="B21763" s="4" t="s">
        <f>=HYPERLINK("http://anyluxury.ru/shop/pismennye-prinadlezhnosti/ruchki/sharikovye/ruchka-sharikovaya-prodir-ds31-tpc-belaya-526460/" , "5264.60 Ручка шариковая Prodir DS3.1 TPC, белая")</f>
      </c>
      <c r="C21763" s="4" t="n">
        <v>246.00</v>
      </c>
      <c r="D21763" s="4"/>
    </row>
    <row collapsed="" customFormat="false" customHeight="1" hidden="" ht="14" outlineLevel="0" r="21764">
      <c r="A21764" s="3" t="inlineStr">
        <is>
          <t>21696</t>
        </is>
      </c>
      <c r="B21764" s="4" t="s">
        <f>=HYPERLINK("http://anyluxury.ru/shop/pismennye-prinadlezhnosti/ruchki/sharikovye/ruchka-sharikovaya-euro-chrome-chernaya-447830/" , "4478.30 Ручка шариковая Euro Chrome, черная")</f>
      </c>
      <c r="C21764" s="4" t="n">
        <v>19.80</v>
      </c>
      <c r="D21764" s="4"/>
    </row>
    <row collapsed="" customFormat="false" customHeight="1" hidden="" ht="14" outlineLevel="0" r="21765">
      <c r="A21765" s="3" t="inlineStr">
        <is>
          <t>21697</t>
        </is>
      </c>
      <c r="B21765" s="4" t="s">
        <f>=HYPERLINK("http://anyluxury.ru/shop/pismennye-prinadlezhnosti/ruchki/sharikovye/ruchka-sharikovaya-euro-chrome-sinyaya-447840/" , "4478.40 Ручка шариковая Euro Chrome, синяя")</f>
      </c>
      <c r="C21765" s="4" t="n">
        <v>19.80</v>
      </c>
      <c r="D21765" s="4"/>
    </row>
    <row collapsed="" customFormat="false" customHeight="1" hidden="" ht="14" outlineLevel="0" r="21766">
      <c r="A21766" s="3" t="inlineStr">
        <is>
          <t>21698</t>
        </is>
      </c>
      <c r="B21766" s="4" t="s">
        <f>=HYPERLINK("http://anyluxury.ru/shop/pismennye-prinadlezhnosti/ruchki/sharikovye/ruchka-sharikovaya-euro-chrome-belaya-447860/" , "4478.60 Ручка шариковая Euro Chrome, белая")</f>
      </c>
      <c r="C21766" s="4" t="n">
        <v>19.80</v>
      </c>
      <c r="D21766" s="4"/>
    </row>
    <row collapsed="" customFormat="false" customHeight="1" hidden="" ht="14" outlineLevel="0" r="21767">
      <c r="A21767" s="3" t="inlineStr">
        <is>
          <t>21699</t>
        </is>
      </c>
      <c r="B21767" s="4" t="s">
        <f>=HYPERLINK("http://anyluxury.ru/shop/pismennye-prinadlezhnosti/ruchki/sharikovye/ruchka-sharikovaya-flip-belaya-565660/" , "5656.60 Ручка шариковая Flip, белая")</f>
      </c>
      <c r="C21767" s="4" t="n">
        <v>48.00</v>
      </c>
      <c r="D21767" s="4"/>
    </row>
    <row collapsed="" customFormat="false" customHeight="1" hidden="" ht="14" outlineLevel="0" r="21768">
      <c r="A21768" s="3" t="inlineStr">
        <is>
          <t>21700</t>
        </is>
      </c>
      <c r="B21768" s="4" t="s">
        <f>=HYPERLINK("http://anyluxury.ru/shop/pismennye-prinadlezhnosti/ruchki/sharikovye/ruchka-sharikovaya-flip-krasnaya-565650/" , "5656.50 Ручка шариковая Flip, красная")</f>
      </c>
      <c r="C21768" s="4" t="n">
        <v>48.00</v>
      </c>
      <c r="D21768" s="4"/>
    </row>
    <row collapsed="" customFormat="false" customHeight="1" hidden="" ht="14" outlineLevel="0" r="21769">
      <c r="A21769" s="3" t="inlineStr">
        <is>
          <t>21701</t>
        </is>
      </c>
      <c r="B21769" s="4" t="s">
        <f>=HYPERLINK("http://anyluxury.ru/shop/pismennye-prinadlezhnosti/ruchki/sharikovye/ruchka-sharikovaya-flip-temnosinyaya-565640/" , "5656.40 Ручка шариковая Flip, темно-синяя")</f>
      </c>
      <c r="C21769" s="4" t="n">
        <v>48.00</v>
      </c>
      <c r="D21769" s="4"/>
    </row>
    <row collapsed="" customFormat="false" customHeight="1" hidden="" ht="14" outlineLevel="0" r="21770">
      <c r="A21770" s="3" t="inlineStr">
        <is>
          <t>21702</t>
        </is>
      </c>
      <c r="B21770" s="4" t="s">
        <f>=HYPERLINK("http://anyluxury.ru/shop/pismennye-prinadlezhnosti/ruchki/sharikovye/ruchka-sharikovaya-flip-chernaya-565630/" , "5656.30 Ручка шариковая Flip, черная")</f>
      </c>
      <c r="C21770" s="4" t="n">
        <v>48.00</v>
      </c>
      <c r="D21770" s="4"/>
    </row>
    <row collapsed="" customFormat="false" customHeight="1" hidden="" ht="14" outlineLevel="0" r="21771">
      <c r="A21771" s="3" t="inlineStr">
        <is>
          <t>21703</t>
        </is>
      </c>
      <c r="B21771" s="4" t="s">
        <f>=HYPERLINK("http://anyluxury.ru/shop/pismennye-prinadlezhnosti/ruchki/sharikovye/ruchka-sharikovaya-promise-sinyaya-571240/" , "5712.40 Ручка шариковая Promise, синяя")</f>
      </c>
      <c r="C21771" s="4" t="n">
        <v>636.00</v>
      </c>
      <c r="D21771" s="4"/>
    </row>
    <row collapsed="" customFormat="false" customHeight="1" hidden="" ht="14" outlineLevel="0" r="21772">
      <c r="A21772" s="3" t="inlineStr">
        <is>
          <t>21704</t>
        </is>
      </c>
      <c r="B21772" s="4" t="s">
        <f>=HYPERLINK("http://anyluxury.ru/shop/pismennye-prinadlezhnosti/ruchki/sharikovye/ruchka-sharikovaya-desire-rozovaya-571115/" , "5711.15 Ручка шариковая Desire, розовая")</f>
      </c>
      <c r="C21772" s="4" t="n">
        <v>299.00</v>
      </c>
      <c r="D21772" s="4"/>
    </row>
    <row collapsed="" customFormat="false" customHeight="1" hidden="" ht="14" outlineLevel="0" r="21773">
      <c r="A21773" s="3" t="inlineStr">
        <is>
          <t>21705</t>
        </is>
      </c>
      <c r="B21773" s="4" t="s">
        <f>=HYPERLINK("http://anyluxury.ru/shop/pismennye-prinadlezhnosti/ruchki/sharikovye/ruchka-sharikovaya-desire-golubaya-571144/" , "5711.44 Ручка шариковая Desire, голубая")</f>
      </c>
      <c r="C21773" s="4" t="n">
        <v>299.00</v>
      </c>
      <c r="D21773" s="4"/>
    </row>
    <row collapsed="" customFormat="false" customHeight="1" hidden="" ht="14" outlineLevel="0" r="21774">
      <c r="A21774" s="3" t="inlineStr">
        <is>
          <t>21706</t>
        </is>
      </c>
      <c r="B21774" s="4" t="s">
        <f>=HYPERLINK("http://anyluxury.ru/shop/pismennye-prinadlezhnosti/ruchki/sharikovye/ruchka-sharikovaya-popular-chernaya-589530/" , "5895.30 Ручка шариковая Popular, черная")</f>
      </c>
      <c r="C21774" s="4" t="n">
        <v>118.00</v>
      </c>
      <c r="D21774" s="4"/>
    </row>
    <row collapsed="" customFormat="false" customHeight="1" hidden="" ht="14" outlineLevel="0" r="21775">
      <c r="A21775" s="3" t="inlineStr">
        <is>
          <t>21707</t>
        </is>
      </c>
      <c r="B21775" s="4" t="s">
        <f>=HYPERLINK("http://anyluxury.ru/shop/pismennye-prinadlezhnosti/ruchki/sharikovye/ruchka-sharikovaya-popular-zelenaya-589590/" , "5895.90 Ручка шариковая Popular, зеленая")</f>
      </c>
      <c r="C21775" s="4" t="n">
        <v>118.00</v>
      </c>
      <c r="D21775" s="4"/>
    </row>
    <row collapsed="" customFormat="false" customHeight="1" hidden="" ht="14" outlineLevel="0" r="21776">
      <c r="A21776" s="3" t="inlineStr">
        <is>
          <t>21708</t>
        </is>
      </c>
      <c r="B21776" s="4" t="s">
        <f>=HYPERLINK("http://anyluxury.ru/shop/pismennye-prinadlezhnosti/ruchki/sharikovye/ruchka-sharikovaya-popular-belaya-589560/" , "5895.60 Ручка шариковая Popular, белая")</f>
      </c>
      <c r="C21776" s="4" t="n">
        <v>118.00</v>
      </c>
      <c r="D21776" s="4"/>
    </row>
    <row collapsed="" customFormat="false" customHeight="1" hidden="" ht="14" outlineLevel="0" r="21777">
      <c r="A21777" s="3" t="inlineStr">
        <is>
          <t>21709</t>
        </is>
      </c>
      <c r="B21777" s="4" t="s">
        <f>=HYPERLINK("http://anyluxury.ru/shop/pismennye-prinadlezhnosti/ruchki/sharikovye/ruchka-sharikovaya-popular-bordo-589555/" , "5895.55 Ручка шариковая Popular, бордовая")</f>
      </c>
      <c r="C21777" s="4" t="n">
        <v>118.00</v>
      </c>
      <c r="D21777" s="4"/>
    </row>
    <row collapsed="" customFormat="false" customHeight="1" hidden="" ht="14" outlineLevel="0" r="21778">
      <c r="A21778" s="3" t="inlineStr">
        <is>
          <t>21710</t>
        </is>
      </c>
      <c r="B21778" s="4" t="s">
        <f>=HYPERLINK("http://anyluxury.ru/shop/pismennye-prinadlezhnosti/ruchki/sharikovye/ruchka-sharikovaya-pin-belaya-s-oranzhevim-552262/" , "5522.62 Ручка шариковая Pin, белая с оранжевым")</f>
      </c>
      <c r="C21778" s="4" t="n">
        <v>29.20</v>
      </c>
      <c r="D21778" s="4"/>
    </row>
    <row collapsed="" customFormat="false" customHeight="1" hidden="" ht="14" outlineLevel="0" r="21779">
      <c r="A21779" s="3" t="inlineStr">
        <is>
          <t>21711</t>
        </is>
      </c>
      <c r="B21779" s="4" t="s">
        <f>=HYPERLINK("http://anyluxury.ru/shop/pismennye-prinadlezhnosti/ruchki/sharikovye/ruchka-sharikovaya-pin-belaya-s-chernim-552263/" , "5522.63 Ручка шариковая Pin, белая с черным")</f>
      </c>
      <c r="C21779" s="4" t="n">
        <v>29.20</v>
      </c>
      <c r="D21779" s="4"/>
    </row>
    <row collapsed="" customFormat="false" customHeight="1" hidden="" ht="14" outlineLevel="0" r="21780">
      <c r="A21780" s="3" t="inlineStr">
        <is>
          <t>21712</t>
        </is>
      </c>
      <c r="B21780" s="4" t="s">
        <f>=HYPERLINK("http://anyluxury.ru/shop/pismennye-prinadlezhnosti/ruchki/sharikovye/ruchka-sharikovaya-pin-belaya-s-sinim-552264/" , "5522.64 Ручка шариковая Pin, белая с синим")</f>
      </c>
      <c r="C21780" s="4" t="n">
        <v>29.20</v>
      </c>
      <c r="D21780" s="4"/>
    </row>
    <row collapsed="" customFormat="false" customHeight="1" hidden="" ht="14" outlineLevel="0" r="21781">
      <c r="A21781" s="3" t="inlineStr">
        <is>
          <t>21713</t>
        </is>
      </c>
      <c r="B21781" s="4" t="s">
        <f>=HYPERLINK("http://anyluxury.ru/shop/pismennye-prinadlezhnosti/ruchki/sharikovye/ruchka-sharikovaya-pin-belaya-s-krasnim-552265/" , "5522.65 Ручка шариковая Pin, белая с красным")</f>
      </c>
      <c r="C21781" s="4" t="n">
        <v>29.20</v>
      </c>
      <c r="D21781" s="4"/>
    </row>
    <row collapsed="" customFormat="false" customHeight="1" hidden="" ht="14" outlineLevel="0" r="21782">
      <c r="A21782" s="3" t="inlineStr">
        <is>
          <t>21714</t>
        </is>
      </c>
      <c r="B21782" s="4" t="s">
        <f>=HYPERLINK("http://anyluxury.ru/shop/pismennye-prinadlezhnosti/ruchki/sharikovye/ruchka-sharikovaya-pin-belaya-s-fioletovim-552267/" , "5522.67 Ручка шариковая Pin, белая с фиолетовым")</f>
      </c>
      <c r="C21782" s="4" t="n">
        <v>29.20</v>
      </c>
      <c r="D21782" s="4"/>
    </row>
    <row collapsed="" customFormat="false" customHeight="1" hidden="" ht="14" outlineLevel="0" r="21783">
      <c r="A21783" s="3" t="inlineStr">
        <is>
          <t>21715</t>
        </is>
      </c>
      <c r="B21783" s="4" t="s">
        <f>=HYPERLINK("http://anyluxury.ru/shop/pismennye-prinadlezhnosti/ruchki/sharikovye/ruchka-sharikovaya-pin-belaya-s-zheltim-552268/" , "5522.68 Ручка шариковая Pin, белая с желтым")</f>
      </c>
      <c r="C21783" s="4" t="n">
        <v>29.20</v>
      </c>
      <c r="D21783" s="4"/>
    </row>
    <row collapsed="" customFormat="false" customHeight="1" hidden="" ht="14" outlineLevel="0" r="21784">
      <c r="A21784" s="3" t="inlineStr">
        <is>
          <t>21716</t>
        </is>
      </c>
      <c r="B21784" s="4" t="s">
        <f>=HYPERLINK("http://anyluxury.ru/shop/pismennye-prinadlezhnosti/ruchki/sharikovye/ruchka-sharikovaya-pin-belaya-s-zelenim-552269/" , "5522.69 Ручка шариковая Pin, белая с зеленым")</f>
      </c>
      <c r="C21784" s="4" t="n">
        <v>29.20</v>
      </c>
      <c r="D21784" s="4"/>
    </row>
    <row collapsed="" customFormat="false" customHeight="1" hidden="" ht="14" outlineLevel="0" r="21785">
      <c r="A21785" s="3" t="inlineStr">
        <is>
          <t>21717</t>
        </is>
      </c>
      <c r="B21785" s="4" t="s">
        <f>=HYPERLINK("http://anyluxury.ru/shop/pismennye-prinadlezhnosti/ruchki/sharikovye/ruchka-sharikovaya-pin-silver-cherniy-metallik-552130/" , "5521.30 Ручка шариковая Pin Silver, черный металлик")</f>
      </c>
      <c r="C21785" s="4" t="n">
        <v>33.30</v>
      </c>
      <c r="D21785" s="4"/>
    </row>
    <row collapsed="" customFormat="false" customHeight="1" hidden="" ht="14" outlineLevel="0" r="21786">
      <c r="A21786" s="3" t="inlineStr">
        <is>
          <t>21718</t>
        </is>
      </c>
      <c r="B21786" s="4" t="s">
        <f>=HYPERLINK("http://anyluxury.ru/shop/pismennye-prinadlezhnosti/ruchki/sharikovye/ruchka-sharikovaya-pin-silver-siniy-metallik-552140/" , "5521.40 Ручка шариковая Pin Silver, синий металлик")</f>
      </c>
      <c r="C21786" s="4" t="n">
        <v>33.30</v>
      </c>
      <c r="D21786" s="4"/>
    </row>
    <row collapsed="" customFormat="false" customHeight="1" hidden="" ht="14" outlineLevel="0" r="21787">
      <c r="A21787" s="3" t="inlineStr">
        <is>
          <t>21719</t>
        </is>
      </c>
      <c r="B21787" s="4" t="s">
        <f>=HYPERLINK("http://anyluxury.ru/shop/pismennye-prinadlezhnosti/ruchki/sharikovye/ruchka-sharikovaya-pin-silver-krasniy-metallik-552150/" , "5521.50 Ручка шариковая Pin Silver, красный металлик")</f>
      </c>
      <c r="C21787" s="4" t="n">
        <v>33.30</v>
      </c>
      <c r="D21787" s="4"/>
    </row>
    <row collapsed="" customFormat="false" customHeight="1" hidden="" ht="14" outlineLevel="0" r="21788">
      <c r="A21788" s="3" t="inlineStr">
        <is>
          <t>21720</t>
        </is>
      </c>
      <c r="B21788" s="4" t="s">
        <f>=HYPERLINK("http://anyluxury.ru/shop/pismennye-prinadlezhnosti/ruchki/sharikovye/ruchka-sharikovaya-pin-silver-fioletoviy-metallik-552170/" , "5521.70 Ручка шариковая Pin Silver, фиолетовый металлик")</f>
      </c>
      <c r="C21788" s="4" t="n">
        <v>33.30</v>
      </c>
      <c r="D21788" s="4"/>
    </row>
    <row collapsed="" customFormat="false" customHeight="1" hidden="" ht="14" outlineLevel="0" r="21789">
      <c r="A21789" s="3" t="inlineStr">
        <is>
          <t>21721</t>
        </is>
      </c>
      <c r="B21789" s="4" t="s">
        <f>=HYPERLINK("http://anyluxury.ru/shop/pismennye-prinadlezhnosti/ruchki/sharikovye/ruchka-sharikovaya-pin-silver-zeleniy-metallik-552190/" , "5521.90 Ручка шариковая Pin Silver, зеленый металлик")</f>
      </c>
      <c r="C21789" s="4" t="n">
        <v>33.30</v>
      </c>
      <c r="D21789" s="4"/>
    </row>
    <row collapsed="" customFormat="false" customHeight="1" hidden="" ht="14" outlineLevel="0" r="21790">
      <c r="A21790" s="3" t="inlineStr">
        <is>
          <t>21722</t>
        </is>
      </c>
      <c r="B21790" s="4" t="s">
        <f>=HYPERLINK("http://anyluxury.ru/shop/pismennye-prinadlezhnosti/ruchki/sharikovye/ruchka-sharikovaya-prodir-ds8-prrt-soft-touch-oranzhevaya-607520/" , "6075.20 Ручка шариковая Prodir DS8 PRR-Т Soft Touch, оранжевая")</f>
      </c>
      <c r="C21790" s="4" t="n">
        <v>312.00</v>
      </c>
      <c r="D21790" s="4"/>
    </row>
    <row collapsed="" customFormat="false" customHeight="1" hidden="" ht="14" outlineLevel="0" r="21791">
      <c r="A21791" s="3" t="inlineStr">
        <is>
          <t>21723</t>
        </is>
      </c>
      <c r="B21791" s="4" t="s">
        <f>=HYPERLINK("http://anyluxury.ru/shop/pismennye-prinadlezhnosti/ruchki/sharikovye/ruchka-sharikovaya-prodir-ds8-prrt-soft-touch-chernaya-607530/" , "6075.30 Ручка шариковая Prodir DS8 PRR-Т Soft Touch, черная")</f>
      </c>
      <c r="C21791" s="4" t="n">
        <v>312.00</v>
      </c>
      <c r="D21791" s="4"/>
    </row>
    <row collapsed="" customFormat="false" customHeight="1" hidden="" ht="14" outlineLevel="0" r="21792">
      <c r="A21792" s="3" t="inlineStr">
        <is>
          <t>21724</t>
        </is>
      </c>
      <c r="B21792" s="4" t="s">
        <f>=HYPERLINK("http://anyluxury.ru/shop/pismennye-prinadlezhnosti/ruchki/sharikovye/ruchka-sharikovaya-prodir-ds8-prrt-soft-touch-sinyaya-607540/" , "6075.40 Ручка шариковая Prodir DS8 PRR-Т Soft Touch, синяя")</f>
      </c>
      <c r="C21792" s="4" t="n">
        <v>322.00</v>
      </c>
      <c r="D21792" s="4"/>
    </row>
    <row collapsed="" customFormat="false" customHeight="1" hidden="" ht="14" outlineLevel="0" r="21793">
      <c r="A21793" s="3" t="inlineStr">
        <is>
          <t>21725</t>
        </is>
      </c>
      <c r="B21793" s="4" t="s">
        <f>=HYPERLINK("http://anyluxury.ru/shop/pismennye-prinadlezhnosti/ruchki/sharikovye/ruchka-sharikovaya-prodir-ds8-prrt-soft-touch-krasnaya-607550/" , "6075.50 Ручка шариковая Prodir DS8 PRR-Т Soft Touch, красная")</f>
      </c>
      <c r="C21793" s="4" t="n">
        <v>312.00</v>
      </c>
      <c r="D21793" s="4"/>
    </row>
    <row collapsed="" customFormat="false" customHeight="1" hidden="" ht="14" outlineLevel="0" r="21794">
      <c r="A21794" s="3" t="inlineStr">
        <is>
          <t>21726</t>
        </is>
      </c>
      <c r="B21794" s="4" t="s">
        <f>=HYPERLINK("http://anyluxury.ru/shop/pismennye-prinadlezhnosti/ruchki/sharikovye/ruchka-sharikovaya-euro-gold-krasnaya-447550/" , "4475.50 Ручка шариковая Euro Gold, красная")</f>
      </c>
      <c r="C21794" s="4" t="n">
        <v>19.80</v>
      </c>
      <c r="D21794" s="4"/>
    </row>
    <row collapsed="" customFormat="false" customHeight="1" hidden="" ht="14" outlineLevel="0" r="21795">
      <c r="A21795" s="3" t="inlineStr">
        <is>
          <t>21727</t>
        </is>
      </c>
      <c r="B21795" s="4" t="s">
        <f>=HYPERLINK("http://anyluxury.ru/shop/pismennye-prinadlezhnosti/ruchki/sharikovye/ruchka-sharikovaya-euro-gold-zelenaya-447590/" , "4475.90 Ручка шариковая Euro Gold, зеленая")</f>
      </c>
      <c r="C21795" s="4" t="n">
        <v>19.80</v>
      </c>
      <c r="D21795" s="4"/>
    </row>
    <row collapsed="" customFormat="false" customHeight="1" hidden="" ht="14" outlineLevel="0" r="21796">
      <c r="A21796" s="3" t="inlineStr">
        <is>
          <t>21728</t>
        </is>
      </c>
      <c r="B21796" s="4" t="s">
        <f>=HYPERLINK("http://anyluxury.ru/shop/pismennye-prinadlezhnosti/ruchki/sharikovye/ruchka-sharikovaya-euro-chrome-krasnaya-447850/" , "4478.50 Ручка шариковая Euro Chrome, красная")</f>
      </c>
      <c r="C21796" s="4" t="n">
        <v>19.80</v>
      </c>
      <c r="D21796" s="4"/>
    </row>
    <row collapsed="" customFormat="false" customHeight="1" hidden="" ht="14" outlineLevel="0" r="21797">
      <c r="A21797" s="3" t="inlineStr">
        <is>
          <t>21729</t>
        </is>
      </c>
      <c r="B21797" s="4" t="s">
        <f>=HYPERLINK("http://anyluxury.ru/shop/pismennye-prinadlezhnosti/ruchki/sharikovye/ruchka-sharikovaya-euro-chrome-zelenaya-447890/" , "4478.90 Ручка шариковая Euro Chrome, зеленая")</f>
      </c>
      <c r="C21797" s="4" t="n">
        <v>19.80</v>
      </c>
      <c r="D21797" s="4"/>
    </row>
    <row collapsed="" customFormat="false" customHeight="1" hidden="" ht="14" outlineLevel="0" r="21798">
      <c r="A21798" s="3" t="inlineStr">
        <is>
          <t>21730</t>
        </is>
      </c>
      <c r="B21798" s="4" t="s">
        <f>=HYPERLINK("http://anyluxury.ru/shop/pismennye-prinadlezhnosti/ruchki/sharikovye/ruchka-sharikovaya-prodir-qs20-pmpp-belaya-190260/" , "1902.60 Ручка шариковая Prodir QS20 PMP-P, белая")</f>
      </c>
      <c r="C21798" s="4" t="n">
        <v>329.00</v>
      </c>
      <c r="D21798" s="4"/>
    </row>
    <row collapsed="" customFormat="false" customHeight="1" hidden="" ht="14" outlineLevel="0" r="21799">
      <c r="A21799" s="3" t="inlineStr">
        <is>
          <t>21731</t>
        </is>
      </c>
      <c r="B21799" s="4" t="s">
        <f>=HYPERLINK("http://anyluxury.ru/shop/pismennye-prinadlezhnosti/ruchki/sharikovye/ruchka-sharikovaya-prodir-qs03-prp-tyre-soft-touch-chernaya-3232/" , "3232 Ручка шариковая Prodir QS03 PRP Tyre Soft Touch, черная")</f>
      </c>
      <c r="C21799" s="4" t="n">
        <v>359.00</v>
      </c>
      <c r="D21799" s="4"/>
    </row>
    <row collapsed="" customFormat="false" customHeight="1" hidden="" ht="14" outlineLevel="0" r="21800">
      <c r="A21800" s="3" t="inlineStr">
        <is>
          <t>21732</t>
        </is>
      </c>
      <c r="B21800" s="4" t="s">
        <f>=HYPERLINK("http://anyluxury.ru/shop/pismennye-prinadlezhnosti/ruchki/sharikovye/ruchka-sharikovaya-prodir-ds3-tpp-special-belaya-s-zheltim-191268/" , "1912.68 Ручка шариковая Prodir DS3 TPP Special, белая с желтым")</f>
      </c>
      <c r="C21800" s="4" t="n">
        <v>84.90</v>
      </c>
      <c r="D21800" s="4"/>
    </row>
    <row collapsed="" customFormat="false" customHeight="1" hidden="" ht="14" outlineLevel="0" r="21801">
      <c r="A21801" s="3" t="inlineStr">
        <is>
          <t>21733</t>
        </is>
      </c>
      <c r="B21801" s="4" t="s">
        <f>=HYPERLINK("http://anyluxury.ru/shop/pismennye-prinadlezhnosti/ruchki/sharikovye/ruchka-sharikovaya-prodir-ds8-prrt-soft-touch-seraya-607510/" , "6075.10 Ручка шариковая Prodir DS8 PRR-T Soft Touch, серая")</f>
      </c>
      <c r="C21801" s="4" t="n">
        <v>312.00</v>
      </c>
      <c r="D21801" s="4"/>
    </row>
    <row collapsed="" customFormat="false" customHeight="1" hidden="" ht="14" outlineLevel="0" r="21802">
      <c r="A21802" s="3" t="inlineStr">
        <is>
          <t>21734</t>
        </is>
      </c>
      <c r="B21802" s="4" t="s">
        <f>=HYPERLINK("http://anyluxury.ru/shop/pismennye-prinadlezhnosti/ruchki/sharikovye/ruchka-sharikovaya-prodir-ds8-prrt-soft-touch-golubaya-607544/" , "6075.44 Ручка шариковая Prodir DS8 PRR-T Soft Touch, голубая")</f>
      </c>
      <c r="C21802" s="4" t="n">
        <v>312.00</v>
      </c>
      <c r="D21802" s="4"/>
    </row>
    <row collapsed="" customFormat="false" customHeight="1" hidden="" ht="14" outlineLevel="0" r="21803">
      <c r="A21803" s="3" t="inlineStr">
        <is>
          <t>21735</t>
        </is>
      </c>
      <c r="B21803" s="4" t="s">
        <f>=HYPERLINK("http://anyluxury.ru/shop/pismennye-prinadlezhnosti/ruchki/sharikovye/ruchka-sharikovaya-prodir-ds8-prrt-soft-touch-zelenaya-607590/" , "6075.90 Ручка шариковая Prodir DS8 PRR-T Soft Touch, зеленая")</f>
      </c>
      <c r="C21803" s="4" t="n">
        <v>312.00</v>
      </c>
      <c r="D21803" s="4"/>
    </row>
    <row collapsed="" customFormat="false" customHeight="1" hidden="" ht="14" outlineLevel="0" r="21804">
      <c r="A21804" s="3" t="inlineStr">
        <is>
          <t>21736</t>
        </is>
      </c>
      <c r="B21804" s="4" t="s">
        <f>=HYPERLINK("http://anyluxury.ru/shop/pismennye-prinadlezhnosti/ruchki/sharikovye/ruchka-sharikovaya-prodir-ds31-tpc-krasnaya-526450/" , "5264.50 Ручка шариковая Prodir DS3.1 TPC, красная")</f>
      </c>
      <c r="C21804" s="4" t="n">
        <v>212.00</v>
      </c>
      <c r="D21804" s="4"/>
    </row>
    <row collapsed="" customFormat="false" customHeight="1" hidden="" ht="14" outlineLevel="0" r="21805">
      <c r="A21805" s="3" t="inlineStr">
        <is>
          <t>21737</t>
        </is>
      </c>
      <c r="B21805" s="4" t="s">
        <f>=HYPERLINK("http://anyluxury.ru/shop/pismennye-prinadlezhnosti/ruchki/sharikovye/ruchka-sharikovaya-prodir-ds5-tpp-chernaya-477530/" , "4775.30 Ручка шариковая Prodir DS5 TPP, черная")</f>
      </c>
      <c r="C21805" s="4" t="n">
        <v>163.00</v>
      </c>
      <c r="D21805" s="4"/>
    </row>
    <row collapsed="" customFormat="false" customHeight="1" hidden="" ht="14" outlineLevel="0" r="21806">
      <c r="A21806" s="3" t="inlineStr">
        <is>
          <t>21738</t>
        </is>
      </c>
      <c r="B21806" s="4" t="s">
        <f>=HYPERLINK("http://anyluxury.ru/shop/pismennye-prinadlezhnosti/ruchki/sharikovye/ruchka-sharikovaya-pin-silver-goluboy-metallik-552144/" , "5521.44 Ручка шариковая Pin Silver, голубой металлик")</f>
      </c>
      <c r="C21806" s="4" t="n">
        <v>33.30</v>
      </c>
      <c r="D21806" s="4"/>
    </row>
    <row collapsed="" customFormat="false" customHeight="1" hidden="" ht="14" outlineLevel="0" r="21807">
      <c r="A21807" s="3" t="inlineStr">
        <is>
          <t>21739</t>
        </is>
      </c>
      <c r="B21807" s="4" t="s">
        <f>=HYPERLINK("http://anyluxury.ru/shop/pismennye-prinadlezhnosti/ruchki/sharikovye/ruchka-sharikovaya-pin-soft-touch-oranzhevaya-332220/" , "3322.20 Ручка шариковая Pin Soft Touch, оранжевая")</f>
      </c>
      <c r="C21807" s="4" t="n">
        <v>33.50</v>
      </c>
      <c r="D21807" s="4"/>
    </row>
    <row collapsed="" customFormat="false" customHeight="1" hidden="" ht="14" outlineLevel="0" r="21808">
      <c r="A21808" s="3" t="inlineStr">
        <is>
          <t>21740</t>
        </is>
      </c>
      <c r="B21808" s="4" t="s">
        <f>=HYPERLINK("http://anyluxury.ru/shop/pismennye-prinadlezhnosti/ruchki/sharikovye/ruchka-sharikovaya-pin-soft-touch-chernaya-332230/" , "3322.30 Ручка шариковая Pin Soft Touch, черная")</f>
      </c>
      <c r="C21808" s="4" t="n">
        <v>33.50</v>
      </c>
      <c r="D21808" s="4"/>
    </row>
    <row collapsed="" customFormat="false" customHeight="1" hidden="" ht="14" outlineLevel="0" r="21809">
      <c r="A21809" s="3" t="inlineStr">
        <is>
          <t>21741</t>
        </is>
      </c>
      <c r="B21809" s="4" t="s">
        <f>=HYPERLINK("http://anyluxury.ru/shop/pismennye-prinadlezhnosti/ruchki/sharikovye/ruchka-sharikovaya-pin-soft-touch-sinyaya-332240/" , "3322.40 Ручка шариковая Pin Soft Touch, синяя")</f>
      </c>
      <c r="C21809" s="4" t="n">
        <v>33.50</v>
      </c>
      <c r="D21809" s="4"/>
    </row>
    <row collapsed="" customFormat="false" customHeight="1" hidden="" ht="14" outlineLevel="0" r="21810">
      <c r="A21810" s="3" t="inlineStr">
        <is>
          <t>21742</t>
        </is>
      </c>
      <c r="B21810" s="4" t="s">
        <f>=HYPERLINK("http://anyluxury.ru/shop/pismennye-prinadlezhnosti/ruchki/sharikovye/ruchka-sharikovaya-pin-soft-touch-krasnaya-332250/" , "3322.50 Ручка шариковая Pin Soft Touch, красная")</f>
      </c>
      <c r="C21810" s="4" t="n">
        <v>33.50</v>
      </c>
      <c r="D21810" s="4"/>
    </row>
    <row collapsed="" customFormat="false" customHeight="1" hidden="" ht="14" outlineLevel="0" r="21811">
      <c r="A21811" s="3" t="inlineStr">
        <is>
          <t>21743</t>
        </is>
      </c>
      <c r="B21811" s="4" t="s">
        <f>=HYPERLINK("http://anyluxury.ru/shop/pismennye-prinadlezhnosti/ruchki/sharikovye/ruchka-sharikovaya-pin-soft-touch-fioletovaya-332270/" , "3322.70 Ручка шариковая Pin Soft Touch, фиолетовая")</f>
      </c>
      <c r="C21811" s="4" t="n">
        <v>33.50</v>
      </c>
      <c r="D21811" s="4"/>
    </row>
    <row collapsed="" customFormat="false" customHeight="1" hidden="" ht="14" outlineLevel="0" r="21812">
      <c r="A21812" s="3" t="inlineStr">
        <is>
          <t>21744</t>
        </is>
      </c>
      <c r="B21812" s="4" t="s">
        <f>=HYPERLINK("http://anyluxury.ru/shop/pismennye-prinadlezhnosti/ruchki/sharikovye/ruchka-sharikovaya-pin-soft-touch-zheltaya-332280/" , "3322.80 Ручка шариковая Pin Soft Touch, желтая")</f>
      </c>
      <c r="C21812" s="4" t="n">
        <v>33.50</v>
      </c>
      <c r="D21812" s="4"/>
    </row>
    <row collapsed="" customFormat="false" customHeight="1" hidden="" ht="14" outlineLevel="0" r="21813">
      <c r="A21813" s="3" t="inlineStr">
        <is>
          <t>21745</t>
        </is>
      </c>
      <c r="B21813" s="4" t="s">
        <f>=HYPERLINK("http://anyluxury.ru/shop/pismennye-prinadlezhnosti/ruchki/sharikovye/ruchka-sharikovaya-pin-soft-touch-zelenaya-332290/" , "3322.90 Ручка шариковая Pin Soft Touch, зеленая")</f>
      </c>
      <c r="C21813" s="4" t="n">
        <v>33.50</v>
      </c>
      <c r="D21813" s="4"/>
    </row>
    <row collapsed="" customFormat="false" customHeight="1" hidden="" ht="14" outlineLevel="0" r="21814">
      <c r="A21814" s="3" t="inlineStr">
        <is>
          <t>21746</t>
        </is>
      </c>
      <c r="B21814" s="4" t="s">
        <f>=HYPERLINK("http://anyluxury.ru/shop/pismennye-prinadlezhnosti/ruchki/sharikovye/ruchka-sharikovaya-bento-belaya-s-golubim-470844/" , "4708.44 Ручка шариковая Bento, белая с голубым")</f>
      </c>
      <c r="C21814" s="4" t="n">
        <v>23.10</v>
      </c>
      <c r="D21814" s="4"/>
    </row>
    <row collapsed="" customFormat="false" customHeight="1" hidden="" ht="14" outlineLevel="0" r="21815">
      <c r="A21815" s="3" t="inlineStr">
        <is>
          <t>21747</t>
        </is>
      </c>
      <c r="B21815" s="4" t="s">
        <f>=HYPERLINK("http://anyluxury.ru/shop/pismennye-prinadlezhnosti/ruchki/sharikovye/ruchka-sharikovaya-bento-belaya-s-fioletovim-470867/" , "4708.67 Ручка шариковая Bento, белая с фиолетовым")</f>
      </c>
      <c r="C21815" s="4" t="n">
        <v>23.10</v>
      </c>
      <c r="D21815" s="4"/>
    </row>
    <row collapsed="" customFormat="false" customHeight="1" hidden="" ht="14" outlineLevel="0" r="21816">
      <c r="A21816" s="3" t="inlineStr">
        <is>
          <t>21748</t>
        </is>
      </c>
      <c r="B21816" s="4" t="s">
        <f>=HYPERLINK("http://anyluxury.ru/shop/pismennye-prinadlezhnosti/ruchki/sharikovye/ruchka-sharikovaya-grip-belaya-s-oranzhevim-332162/" , "3321.62 Ручка шариковая Grip, белая с оранжевым")</f>
      </c>
      <c r="C21816" s="4" t="n">
        <v>29.70</v>
      </c>
      <c r="D21816" s="4"/>
    </row>
    <row collapsed="" customFormat="false" customHeight="1" hidden="" ht="14" outlineLevel="0" r="21817">
      <c r="A21817" s="3" t="inlineStr">
        <is>
          <t>21749</t>
        </is>
      </c>
      <c r="B21817" s="4" t="s">
        <f>=HYPERLINK("http://anyluxury.ru/shop/pismennye-prinadlezhnosti/ruchki/sharikovye/ruchka-sharikovaya-grip-belaya-s-sinim-332164/" , "3321.64 Ручка шариковая Grip, белая (молочная) с синим")</f>
      </c>
      <c r="C21817" s="4" t="n">
        <v>29.70</v>
      </c>
      <c r="D21817" s="4"/>
    </row>
    <row collapsed="" customFormat="false" customHeight="1" hidden="" ht="14" outlineLevel="0" r="21818">
      <c r="A21818" s="3" t="inlineStr">
        <is>
          <t>21750</t>
        </is>
      </c>
      <c r="B21818" s="4" t="s">
        <f>=HYPERLINK("http://anyluxury.ru/shop/pismennye-prinadlezhnosti/ruchki/sharikovye/ruchka-sharikovaya-grip-belaya-s-krasnim-332165/" , "3321.65 Ручка шариковая Grip, белая с красным")</f>
      </c>
      <c r="C21818" s="4" t="n">
        <v>29.70</v>
      </c>
      <c r="D21818" s="4"/>
    </row>
    <row collapsed="" customFormat="false" customHeight="1" hidden="" ht="14" outlineLevel="0" r="21819">
      <c r="A21819" s="3" t="inlineStr">
        <is>
          <t>21751</t>
        </is>
      </c>
      <c r="B21819" s="4" t="s">
        <f>=HYPERLINK("http://anyluxury.ru/shop/pismennye-prinadlezhnosti/ruchki/sharikovye/ruchka-sharikovaya-grip-belaya-s-fioletovim-332167/" , "3321.67 Ручка шариковая Grip, белая с фиолетовым")</f>
      </c>
      <c r="C21819" s="4" t="n">
        <v>29.70</v>
      </c>
      <c r="D21819" s="4"/>
    </row>
    <row collapsed="" customFormat="false" customHeight="1" hidden="" ht="14" outlineLevel="0" r="21820">
      <c r="A21820" s="3" t="inlineStr">
        <is>
          <t>21752</t>
        </is>
      </c>
      <c r="B21820" s="4" t="s">
        <f>=HYPERLINK("http://anyluxury.ru/shop/pismennye-prinadlezhnosti/ruchki/sharikovye/ruchka-sharikovaya-grip-belaya-s-zelenim-332169/" , "3321.69 Ручка шариковая Grip, белая с зеленым")</f>
      </c>
      <c r="C21820" s="4" t="n">
        <v>29.70</v>
      </c>
      <c r="D21820" s="4"/>
    </row>
    <row collapsed="" customFormat="false" customHeight="1" hidden="" ht="14" outlineLevel="0" r="21821">
      <c r="A21821" s="3" t="inlineStr">
        <is>
          <t>21753</t>
        </is>
      </c>
      <c r="B21821" s="4" t="s">
        <f>=HYPERLINK("http://anyluxury.ru/shop/pismennye-prinadlezhnosti/ruchki/sharikovye/ruchka-sharikovaya-barracuda-serebristaya-332010/" , "3320.10 Ручка шариковая Barracuda, серебристая")</f>
      </c>
      <c r="C21821" s="4" t="n">
        <v>66.30</v>
      </c>
      <c r="D21821" s="4"/>
    </row>
    <row collapsed="" customFormat="false" customHeight="1" hidden="" ht="14" outlineLevel="0" r="21822">
      <c r="A21822" s="3" t="inlineStr">
        <is>
          <t>21754</t>
        </is>
      </c>
      <c r="B21822" s="4" t="s">
        <f>=HYPERLINK("http://anyluxury.ru/shop/pismennye-prinadlezhnosti/ruchki/sharikovye/ruchka-sharikovaya-hint-oranzhevaya-331920/" , "3319.20 Ручка шариковая Hint, оранжевая")</f>
      </c>
      <c r="C21822" s="4" t="n">
        <v>22.50</v>
      </c>
      <c r="D21822" s="4"/>
    </row>
    <row collapsed="" customFormat="false" customHeight="1" hidden="" ht="14" outlineLevel="0" r="21823">
      <c r="A21823" s="3" t="inlineStr">
        <is>
          <t>21755</t>
        </is>
      </c>
      <c r="B21823" s="4" t="s">
        <f>=HYPERLINK("http://anyluxury.ru/shop/pismennye-prinadlezhnosti/ruchki/sharikovye/ruchka-sharikovaya-hint-chernaya-331930/" , "3319.30 Ручка шариковая Hint, черная")</f>
      </c>
      <c r="C21823" s="4" t="n">
        <v>22.50</v>
      </c>
      <c r="D21823" s="4"/>
    </row>
    <row collapsed="" customFormat="false" customHeight="1" hidden="" ht="14" outlineLevel="0" r="21824">
      <c r="A21824" s="3" t="inlineStr">
        <is>
          <t>21756</t>
        </is>
      </c>
      <c r="B21824" s="4" t="s">
        <f>=HYPERLINK("http://anyluxury.ru/shop/pismennye-prinadlezhnosti/ruchki/sharikovye/ruchka-sharikovaya-hint-sinyaya-331940/" , "3319.40 Ручка шариковая Hint, синяя")</f>
      </c>
      <c r="C21824" s="4" t="n">
        <v>22.50</v>
      </c>
      <c r="D21824" s="4"/>
    </row>
    <row collapsed="" customFormat="false" customHeight="1" hidden="" ht="14" outlineLevel="0" r="21825">
      <c r="A21825" s="3" t="inlineStr">
        <is>
          <t>21757</t>
        </is>
      </c>
      <c r="B21825" s="4" t="s">
        <f>=HYPERLINK("http://anyluxury.ru/shop/pismennye-prinadlezhnosti/ruchki/sharikovye/ruchka-sharikovaya-hint-golubaya-331944/" , "3319.44 Ручка шариковая Hint, голубая")</f>
      </c>
      <c r="C21825" s="4" t="n">
        <v>22.50</v>
      </c>
      <c r="D21825" s="4"/>
    </row>
    <row collapsed="" customFormat="false" customHeight="1" hidden="" ht="14" outlineLevel="0" r="21826">
      <c r="A21826" s="3" t="inlineStr">
        <is>
          <t>21758</t>
        </is>
      </c>
      <c r="B21826" s="4" t="s">
        <f>=HYPERLINK("http://anyluxury.ru/shop/pismennye-prinadlezhnosti/ruchki/sharikovye/ruchka-sharikovaya-hint-krasnaya-331950/" , "3319.50 Ручка шариковая Hint, красная")</f>
      </c>
      <c r="C21826" s="4" t="n">
        <v>22.50</v>
      </c>
      <c r="D21826" s="4"/>
    </row>
    <row collapsed="" customFormat="false" customHeight="1" hidden="" ht="14" outlineLevel="0" r="21827">
      <c r="A21827" s="3" t="inlineStr">
        <is>
          <t>21759</t>
        </is>
      </c>
      <c r="B21827" s="4" t="s">
        <f>=HYPERLINK("http://anyluxury.ru/shop/pismennye-prinadlezhnosti/ruchki/sharikovye/ruchka-sharikovaya-hint-zheltaya-331980/" , "3319.80 Ручка шариковая Hint, желтая")</f>
      </c>
      <c r="C21827" s="4" t="n">
        <v>22.50</v>
      </c>
      <c r="D21827" s="4"/>
    </row>
    <row collapsed="" customFormat="false" customHeight="1" hidden="" ht="14" outlineLevel="0" r="21828">
      <c r="A21828" s="3" t="inlineStr">
        <is>
          <t>21760</t>
        </is>
      </c>
      <c r="B21828" s="4" t="s">
        <f>=HYPERLINK("http://anyluxury.ru/shop/pismennye-prinadlezhnosti/ruchki/sharikovye/ruchka-sharikovaya-hint-zelenaya-331990/" , "3319.90 Ручка шариковая Hint, зеленая")</f>
      </c>
      <c r="C21828" s="4" t="n">
        <v>22.50</v>
      </c>
      <c r="D21828" s="4"/>
    </row>
    <row collapsed="" customFormat="false" customHeight="1" hidden="" ht="14" outlineLevel="0" r="21829">
      <c r="A21829" s="3" t="inlineStr">
        <is>
          <t>21761</t>
        </is>
      </c>
      <c r="B21829" s="4" t="s">
        <f>=HYPERLINK("http://anyluxury.ru/shop/pismennye-prinadlezhnosti/ruchki/sharikovye/ruchka-sharikovaya-hint-special-belaya-s-oranzhevim-331862/" , "3318.62 Ручка шариковая Hint Special, белая с оранжевым")</f>
      </c>
      <c r="C21829" s="4" t="n">
        <v>22.00</v>
      </c>
      <c r="D21829" s="4"/>
    </row>
    <row collapsed="" customFormat="false" customHeight="1" hidden="" ht="14" outlineLevel="0" r="21830">
      <c r="A21830" s="3" t="inlineStr">
        <is>
          <t>21762</t>
        </is>
      </c>
      <c r="B21830" s="4" t="s">
        <f>=HYPERLINK("http://anyluxury.ru/shop/pismennye-prinadlezhnosti/ruchki/sharikovye/ruchka-sharikovaya-hint-special-belaya-s-chernim-331863/" , "3318.63 Ручка шариковая Hint Special, белая с черным")</f>
      </c>
      <c r="C21830" s="4" t="n">
        <v>22.00</v>
      </c>
      <c r="D21830" s="4"/>
    </row>
    <row collapsed="" customFormat="false" customHeight="1" hidden="" ht="14" outlineLevel="0" r="21831">
      <c r="A21831" s="3" t="inlineStr">
        <is>
          <t>21763</t>
        </is>
      </c>
      <c r="B21831" s="4" t="s">
        <f>=HYPERLINK("http://anyluxury.ru/shop/pismennye-prinadlezhnosti/ruchki/sharikovye/ruchka-sharikovaya-hint-special-belaya-s-sinim-331864/" , "3318.64 Ручка шариковая Hint Special, белая с синим")</f>
      </c>
      <c r="C21831" s="4" t="n">
        <v>22.00</v>
      </c>
      <c r="D21831" s="4"/>
    </row>
    <row collapsed="" customFormat="false" customHeight="1" hidden="" ht="14" outlineLevel="0" r="21832">
      <c r="A21832" s="3" t="inlineStr">
        <is>
          <t>21764</t>
        </is>
      </c>
      <c r="B21832" s="4" t="s">
        <f>=HYPERLINK("http://anyluxury.ru/shop/pismennye-prinadlezhnosti/ruchki/sharikovye/ruchka-sharikovaya-hint-special-belaya-s-golubim-331844/" , "3318.44 Ручка шариковая Hint Special, белая с голубым")</f>
      </c>
      <c r="C21832" s="4" t="n">
        <v>22.00</v>
      </c>
      <c r="D21832" s="4"/>
    </row>
    <row collapsed="" customFormat="false" customHeight="1" hidden="" ht="14" outlineLevel="0" r="21833">
      <c r="A21833" s="3" t="inlineStr">
        <is>
          <t>21765</t>
        </is>
      </c>
      <c r="B21833" s="4" t="s">
        <f>=HYPERLINK("http://anyluxury.ru/shop/pismennye-prinadlezhnosti/ruchki/sharikovye/ruchka-sharikovaya-hint-special-belaya-s-krasnim-331865/" , "3318.65 Ручка шариковая Hint Special, белая с красным")</f>
      </c>
      <c r="C21833" s="4" t="n">
        <v>22.00</v>
      </c>
      <c r="D21833" s="4"/>
    </row>
    <row collapsed="" customFormat="false" customHeight="1" hidden="" ht="14" outlineLevel="0" r="21834">
      <c r="A21834" s="3" t="inlineStr">
        <is>
          <t>21766</t>
        </is>
      </c>
      <c r="B21834" s="4" t="s">
        <f>=HYPERLINK("http://anyluxury.ru/shop/pismennye-prinadlezhnosti/ruchki/sharikovye/ruchka-sharikovaya-hint-special-belaya-s-zheltim-331868/" , "3318.68 Ручка шариковая Hint Special, белая с желтым")</f>
      </c>
      <c r="C21834" s="4" t="n">
        <v>22.00</v>
      </c>
      <c r="D21834" s="4"/>
    </row>
    <row collapsed="" customFormat="false" customHeight="1" hidden="" ht="14" outlineLevel="0" r="21835">
      <c r="A21835" s="3" t="inlineStr">
        <is>
          <t>21767</t>
        </is>
      </c>
      <c r="B21835" s="4" t="s">
        <f>=HYPERLINK("http://anyluxury.ru/shop/pismennye-prinadlezhnosti/ruchki/sharikovye/ruchka-sharikovaya-bolt-soft-touch-oranzhevaya-314020/" , "3140.20 Ручка шариковая Bolt Soft Touch, оранжевая")</f>
      </c>
      <c r="C21835" s="4" t="n">
        <v>333.00</v>
      </c>
      <c r="D21835" s="4"/>
    </row>
    <row collapsed="" customFormat="false" customHeight="1" hidden="" ht="14" outlineLevel="0" r="21836">
      <c r="A21836" s="3" t="inlineStr">
        <is>
          <t>21768</t>
        </is>
      </c>
      <c r="B21836" s="4" t="s">
        <f>=HYPERLINK("http://anyluxury.ru/shop/pismennye-prinadlezhnosti/ruchki/sharikovye/ruchka-sharikovaya-bolt-soft-touch-chernaya-314030/" , "3140.30 Ручка шариковая Bolt Soft Touch, черная")</f>
      </c>
      <c r="C21836" s="4" t="n">
        <v>333.00</v>
      </c>
      <c r="D21836" s="4"/>
    </row>
    <row collapsed="" customFormat="false" customHeight="1" hidden="" ht="14" outlineLevel="0" r="21837">
      <c r="A21837" s="3" t="inlineStr">
        <is>
          <t>21769</t>
        </is>
      </c>
      <c r="B21837" s="4" t="s">
        <f>=HYPERLINK("http://anyluxury.ru/shop/pismennye-prinadlezhnosti/ruchki/sharikovye/ruchka-sharikovaya-bolt-soft-touch-sinyaya-314040/" , "3140.40 Ручка шариковая Bolt Soft Touch, синяя")</f>
      </c>
      <c r="C21837" s="4" t="n">
        <v>333.00</v>
      </c>
      <c r="D21837" s="4"/>
    </row>
    <row collapsed="" customFormat="false" customHeight="1" hidden="" ht="14" outlineLevel="0" r="21838">
      <c r="A21838" s="3" t="inlineStr">
        <is>
          <t>21770</t>
        </is>
      </c>
      <c r="B21838" s="4" t="s">
        <f>=HYPERLINK("http://anyluxury.ru/shop/pismennye-prinadlezhnosti/ruchki/sharikovye/ruchka-sharikovaya-bolt-soft-touch-belaya-314060/" , "3140.60 Ручка шариковая Bolt Soft Touch, белая")</f>
      </c>
      <c r="C21838" s="4" t="n">
        <v>333.00</v>
      </c>
      <c r="D21838" s="4"/>
    </row>
    <row collapsed="" customFormat="false" customHeight="1" hidden="" ht="14" outlineLevel="0" r="21839">
      <c r="A21839" s="3" t="inlineStr">
        <is>
          <t>21771</t>
        </is>
      </c>
      <c r="B21839" s="4" t="s">
        <f>=HYPERLINK("http://anyluxury.ru/shop/pismennye-prinadlezhnosti/ruchki/sharikovye/ruchka-sharikovaya-bolt-soft-touch-fioletovaya-314070/" , "3140.70 Ручка шариковая Bolt Soft Touch, фиолетовая")</f>
      </c>
      <c r="C21839" s="4" t="n">
        <v>333.00</v>
      </c>
      <c r="D21839" s="4"/>
    </row>
    <row collapsed="" customFormat="false" customHeight="1" hidden="" ht="14" outlineLevel="0" r="21840">
      <c r="A21840" s="3" t="inlineStr">
        <is>
          <t>21772</t>
        </is>
      </c>
      <c r="B21840" s="4" t="s">
        <f>=HYPERLINK("http://anyluxury.ru/shop/pismennye-prinadlezhnosti/ruchki/sharikovye/ruchka-sharikovaya-bolt-soft-touch-zelenaya-314090/" , "3140.90 Ручка шариковая Bolt Soft Touch, зеленая")</f>
      </c>
      <c r="C21840" s="4" t="n">
        <v>333.00</v>
      </c>
      <c r="D21840" s="4"/>
    </row>
    <row collapsed="" customFormat="false" customHeight="1" hidden="" ht="14" outlineLevel="0" r="21841">
      <c r="A21841" s="3" t="inlineStr">
        <is>
          <t>21773</t>
        </is>
      </c>
      <c r="B21841" s="4" t="s">
        <f>=HYPERLINK("http://anyluxury.ru/shop/pismennye-prinadlezhnosti/ruchki/sharikovye/ruchka-sharikovaya-dagger-soft-touch-oranzhevaya-333120/" , "3331.20 Ручка шариковая Dagger Soft Touch, оранжевая")</f>
      </c>
      <c r="C21841" s="4" t="n">
        <v>234.00</v>
      </c>
      <c r="D21841" s="4"/>
    </row>
    <row collapsed="" customFormat="false" customHeight="1" hidden="" ht="14" outlineLevel="0" r="21842">
      <c r="A21842" s="3" t="inlineStr">
        <is>
          <t>21774</t>
        </is>
      </c>
      <c r="B21842" s="4" t="s">
        <f>=HYPERLINK("http://anyluxury.ru/shop/pismennye-prinadlezhnosti/ruchki/sharikovye/ruchka-sharikovaya-dagger-soft-touch-chernaya-333130/" , "3331.30 Ручка шариковая Dagger Soft Touch, черная")</f>
      </c>
      <c r="C21842" s="4" t="n">
        <v>234.00</v>
      </c>
      <c r="D21842" s="4"/>
    </row>
    <row collapsed="" customFormat="false" customHeight="1" hidden="" ht="14" outlineLevel="0" r="21843">
      <c r="A21843" s="3" t="inlineStr">
        <is>
          <t>21775</t>
        </is>
      </c>
      <c r="B21843" s="4" t="s">
        <f>=HYPERLINK("http://anyluxury.ru/shop/pismennye-prinadlezhnosti/ruchki/sharikovye/ruchka-sharikovaya-dagger-soft-touch-sinyaya-333140/" , "3331.40 Ручка шариковая Dagger Soft Touch, синяя")</f>
      </c>
      <c r="C21843" s="4" t="n">
        <v>234.00</v>
      </c>
      <c r="D21843" s="4"/>
    </row>
    <row collapsed="" customFormat="false" customHeight="1" hidden="" ht="14" outlineLevel="0" r="21844">
      <c r="A21844" s="3" t="inlineStr">
        <is>
          <t>21776</t>
        </is>
      </c>
      <c r="B21844" s="4" t="s">
        <f>=HYPERLINK("http://anyluxury.ru/shop/pismennye-prinadlezhnosti/ruchki/sharikovye/ruchka-sharikovaya-dagger-soft-touch-krasnaya-333150/" , "3331.50 Ручка шариковая Dagger Soft Touch, красная")</f>
      </c>
      <c r="C21844" s="4" t="n">
        <v>234.00</v>
      </c>
      <c r="D21844" s="4"/>
    </row>
    <row collapsed="" customFormat="false" customHeight="1" hidden="" ht="14" outlineLevel="0" r="21845">
      <c r="A21845" s="3" t="inlineStr">
        <is>
          <t>21777</t>
        </is>
      </c>
      <c r="B21845" s="4" t="s">
        <f>=HYPERLINK("http://anyluxury.ru/shop/pismennye-prinadlezhnosti/ruchki/sharikovye/ruchka-sharikovaya-dagger-soft-touch-belaya-333160/" , "3331.60 Ручка шариковая Dagger Soft Touch, белая")</f>
      </c>
      <c r="C21845" s="4" t="n">
        <v>234.00</v>
      </c>
      <c r="D21845" s="4"/>
    </row>
    <row collapsed="" customFormat="false" customHeight="1" hidden="" ht="14" outlineLevel="0" r="21846">
      <c r="A21846" s="3" t="inlineStr">
        <is>
          <t>21778</t>
        </is>
      </c>
      <c r="B21846" s="4" t="s">
        <f>=HYPERLINK("http://anyluxury.ru/shop/pismennye-prinadlezhnosti/ruchki/sharikovye/ruchka-sharikovaya-dagger-soft-touch-zelenaya-333190/" , "3331.90 Ручка шариковая Dagger Soft Touch, зеленая")</f>
      </c>
      <c r="C21846" s="4" t="n">
        <v>234.00</v>
      </c>
      <c r="D21846" s="4"/>
    </row>
    <row collapsed="" customFormat="false" customHeight="1" hidden="" ht="14" outlineLevel="0" r="21847">
      <c r="A21847" s="3" t="inlineStr">
        <is>
          <t>21779</t>
        </is>
      </c>
      <c r="B21847" s="4" t="s">
        <f>=HYPERLINK("http://anyluxury.ru/shop/pismennye-prinadlezhnosti/ruchki/sharikovye/ruchka-sharikovaya-arc-soft-touch-chernaya-333230/" , "3332.30 Ручка шариковая Arc Soft Touch, черная")</f>
      </c>
      <c r="C21847" s="4" t="n">
        <v>359.00</v>
      </c>
      <c r="D21847" s="4"/>
    </row>
    <row collapsed="" customFormat="false" customHeight="1" hidden="" ht="14" outlineLevel="0" r="21848">
      <c r="A21848" s="3" t="inlineStr">
        <is>
          <t>21780</t>
        </is>
      </c>
      <c r="B21848" s="4" t="s">
        <f>=HYPERLINK("http://anyluxury.ru/shop/pismennye-prinadlezhnosti/ruchki/sharikovye/ruchka-sharikovaya-arc-soft-touch-belaya-333260/" , "3332.60 Ручка шариковая Arc Soft Touch, белая")</f>
      </c>
      <c r="C21848" s="4" t="n">
        <v>359.00</v>
      </c>
      <c r="D21848" s="4"/>
    </row>
    <row collapsed="" customFormat="false" customHeight="1" hidden="" ht="14" outlineLevel="0" r="21849">
      <c r="A21849" s="3" t="inlineStr">
        <is>
          <t>21781</t>
        </is>
      </c>
      <c r="B21849" s="4" t="s">
        <f>=HYPERLINK("http://anyluxury.ru/shop/pismennye-prinadlezhnosti/ruchki/sharikovye/ruchka-sharikovaya-arc-soft-touch-zelenaya-333290/" , "3332.90 Ручка шариковая Arc Soft Touch, зеленая")</f>
      </c>
      <c r="C21849" s="4" t="n">
        <v>359.00</v>
      </c>
      <c r="D21849" s="4"/>
    </row>
    <row collapsed="" customFormat="false" customHeight="1" hidden="" ht="14" outlineLevel="0" r="21850">
      <c r="A21850" s="3" t="inlineStr">
        <is>
          <t>21782</t>
        </is>
      </c>
      <c r="B21850" s="4" t="s">
        <f>=HYPERLINK("http://anyluxury.ru/shop/pismennye-prinadlezhnosti/ruchki/sharikovye/ruchka-sharikovaya-razzo-gold-chernaya-572730/" , "5727.30 Ручка шариковая Razzo Gold, черная")</f>
      </c>
      <c r="C21850" s="4" t="n">
        <v>470.00</v>
      </c>
      <c r="D21850" s="4"/>
    </row>
    <row collapsed="" customFormat="false" customHeight="1" hidden="" ht="14" outlineLevel="0" r="21851">
      <c r="A21851" s="3" t="inlineStr">
        <is>
          <t>21783</t>
        </is>
      </c>
      <c r="B21851" s="4" t="s">
        <f>=HYPERLINK("http://anyluxury.ru/shop/pismennye-prinadlezhnosti/ruchki/sharikovye/ruchka-sharikovaya-razzo-chrome-chernaya-572830/" , "5728.30 Ручка шариковая Razzo Chrome, черная")</f>
      </c>
      <c r="C21851" s="4" t="n">
        <v>470.00</v>
      </c>
      <c r="D21851" s="4"/>
    </row>
    <row collapsed="" customFormat="false" customHeight="1" hidden="" ht="14" outlineLevel="0" r="21852">
      <c r="A21852" s="3" t="inlineStr">
        <is>
          <t>21784</t>
        </is>
      </c>
      <c r="B21852" s="4" t="s">
        <f>=HYPERLINK("http://anyluxury.ru/shop/pismennye-prinadlezhnosti/ruchki/sharikovye/ruchka-sharikovaya-razzo-chrome-sinyaya-572840/" , "5728.40 Ручка шариковая Razzo Chrome, синяя")</f>
      </c>
      <c r="C21852" s="4" t="n">
        <v>470.00</v>
      </c>
      <c r="D21852" s="4"/>
    </row>
    <row collapsed="" customFormat="false" customHeight="1" hidden="" ht="14" outlineLevel="0" r="21853">
      <c r="A21853" s="3" t="inlineStr">
        <is>
          <t>21785</t>
        </is>
      </c>
      <c r="B21853" s="4" t="s">
        <f>=HYPERLINK("http://anyluxury.ru/shop/pismennye-prinadlezhnosti/ruchki/sharikovye/ruchka-sharikovaya-razzo-chrome-krasnaya-572850/" , "5728.50 Ручка шариковая Razzo Chrome, красная")</f>
      </c>
      <c r="C21853" s="4" t="n">
        <v>470.00</v>
      </c>
      <c r="D21853" s="4"/>
    </row>
    <row collapsed="" customFormat="false" customHeight="1" hidden="" ht="14" outlineLevel="0" r="21854">
      <c r="A21854" s="3" t="inlineStr">
        <is>
          <t>21786</t>
        </is>
      </c>
      <c r="B21854" s="4" t="s">
        <f>=HYPERLINK("http://anyluxury.ru/shop/pismennye-prinadlezhnosti/ruchki/sharikovye/ruchka-sharikovaya-razzo-chrome-belaya-572860/" , "5728.60 Ручка шариковая Razzo Chrome, белая")</f>
      </c>
      <c r="C21854" s="4" t="n">
        <v>470.00</v>
      </c>
      <c r="D21854" s="4"/>
    </row>
    <row collapsed="" customFormat="false" customHeight="1" hidden="" ht="14" outlineLevel="0" r="21855">
      <c r="A21855" s="3" t="inlineStr">
        <is>
          <t>21787</t>
        </is>
      </c>
      <c r="B21855" s="4" t="s">
        <f>=HYPERLINK("http://anyluxury.ru/shop/pismennye-prinadlezhnosti/ruchki/sharikovye/ruchka-sharikovaya-prodir-ds1-tmm-dot-chernaya-s-sinim-342534/" , "3425.34 Ручка шариковая Prodir DS1 TMM Dot, черная с синим")</f>
      </c>
      <c r="C21855" s="4" t="n">
        <v>169.00</v>
      </c>
      <c r="D21855" s="4"/>
    </row>
    <row collapsed="" customFormat="false" customHeight="1" hidden="" ht="14" outlineLevel="0" r="21856">
      <c r="A21856" s="3" t="inlineStr">
        <is>
          <t>21788</t>
        </is>
      </c>
      <c r="B21856" s="4" t="s">
        <f>=HYPERLINK("http://anyluxury.ru/shop/pismennye-prinadlezhnosti/ruchki/sharikovye/ruchka-sharikovaya-prodir-ds1-tmm-dot-chernaya-s-krasnim-342535/" , "3425.35 Ручка шариковая Prodir DS1 TMM Dot, черная с красным")</f>
      </c>
      <c r="C21856" s="4" t="n">
        <v>169.00</v>
      </c>
      <c r="D21856" s="4"/>
    </row>
    <row collapsed="" customFormat="false" customHeight="1" hidden="" ht="14" outlineLevel="0" r="21857">
      <c r="A21857" s="3" t="inlineStr">
        <is>
          <t>21789</t>
        </is>
      </c>
      <c r="B21857" s="4" t="s">
        <f>=HYPERLINK("http://anyluxury.ru/shop/pismennye-prinadlezhnosti/ruchki/sharikovye/ruchka-sharikovaya-prodir-ds1-tmm-dot-chernaya-s-zheltim-342538/" , "3425.38 Ручка шариковая Prodir DS1 TMM Dot, черная с желтым")</f>
      </c>
      <c r="C21857" s="4" t="n">
        <v>169.00</v>
      </c>
      <c r="D21857" s="4"/>
    </row>
    <row collapsed="" customFormat="false" customHeight="1" hidden="" ht="14" outlineLevel="0" r="21858">
      <c r="A21858" s="3" t="inlineStr">
        <is>
          <t>21790</t>
        </is>
      </c>
      <c r="B21858" s="4" t="s">
        <f>=HYPERLINK("http://anyluxury.ru/shop/pismennye-prinadlezhnosti/ruchki/sharikovye/ruchka-sharikovaya-prodir-ds1-tmm-dot-chernaya-s-oranzhevim-342532/" , "3425.32 Ручка шариковая Prodir DS1 TMM Dot, черная с оранжевым")</f>
      </c>
      <c r="C21858" s="4" t="n">
        <v>169.00</v>
      </c>
      <c r="D21858" s="4"/>
    </row>
    <row collapsed="" customFormat="false" customHeight="1" hidden="" ht="14" outlineLevel="0" r="21859">
      <c r="A21859" s="3" t="inlineStr">
        <is>
          <t>21791</t>
        </is>
      </c>
      <c r="B21859" s="4" t="s">
        <f>=HYPERLINK("http://anyluxury.ru/shop/pismennye-prinadlezhnosti/ruchki/sharikovye/ruchka-sharikovaya-prodir-ds1-tmm-dot-chernaya-s-zelenim-342539/" , "3425.39 Ручка шариковая Prodir DS1 TMM Dot, черная с зеленым")</f>
      </c>
      <c r="C21859" s="4" t="n">
        <v>169.00</v>
      </c>
      <c r="D21859" s="4"/>
    </row>
    <row collapsed="" customFormat="false" customHeight="1" hidden="" ht="14" outlineLevel="0" r="21860">
      <c r="A21860" s="3" t="inlineStr">
        <is>
          <t>21792</t>
        </is>
      </c>
      <c r="B21860" s="4" t="s">
        <f>=HYPERLINK("http://anyluxury.ru/shop/pismennye-prinadlezhnosti/ruchki/sharikovye/ruchka-sharikovaya-prodir-ds3-tff-ring-zheltaya-s-serim-342681/" , "3426.81 Ручка шариковая Prodir DS3 TFF Ring, желтая с серым")</f>
      </c>
      <c r="C21860" s="4" t="n">
        <v>69.00</v>
      </c>
      <c r="D21860" s="4"/>
    </row>
    <row collapsed="" customFormat="false" customHeight="1" hidden="" ht="14" outlineLevel="0" r="21861">
      <c r="A21861" s="3" t="inlineStr">
        <is>
          <t>21793</t>
        </is>
      </c>
      <c r="B21861" s="4" t="s">
        <f>=HYPERLINK("http://anyluxury.ru/shop/pismennye-prinadlezhnosti/ruchki/sharikovye/ruchka-sharikovaya-prodir-qs20-pmtt-zelenaya-190390/" , "1903.90 Ручка шариковая Prodir QS20 PMT-T, зеленая")</f>
      </c>
      <c r="C21861" s="4" t="n">
        <v>280.00</v>
      </c>
      <c r="D21861" s="4"/>
    </row>
    <row collapsed="" customFormat="false" customHeight="1" hidden="" ht="14" outlineLevel="0" r="21862">
      <c r="A21862" s="3" t="inlineStr">
        <is>
          <t>21794</t>
        </is>
      </c>
      <c r="B21862" s="4" t="s">
        <f>=HYPERLINK("http://anyluxury.ru/shop/pismennye-prinadlezhnosti/ruchki/sharikovye/ruchka-sharikovaya-prodir-qs20-pmtt-sinyaya-190340/" , "1903.40 Ручка шариковая Prodir QS20 PMT-T, синяя")</f>
      </c>
      <c r="C21862" s="4" t="n">
        <v>329.00</v>
      </c>
      <c r="D21862" s="4"/>
    </row>
    <row collapsed="" customFormat="false" customHeight="1" hidden="" ht="14" outlineLevel="0" r="21863">
      <c r="A21863" s="3" t="inlineStr">
        <is>
          <t>21795</t>
        </is>
      </c>
      <c r="B21863" s="4" t="s">
        <f>=HYPERLINK("http://anyluxury.ru/shop/pismennye-prinadlezhnosti/ruchki/sharikovye/ruchka-sharikovaya-prodir-qs20-pmpp-chernaya-190230/" , "1902.30 Ручка шариковая Prodir QS20 PMP-P, черная")</f>
      </c>
      <c r="C21863" s="4" t="n">
        <v>329.00</v>
      </c>
      <c r="D21863" s="4"/>
    </row>
    <row collapsed="" customFormat="false" customHeight="1" hidden="" ht="14" outlineLevel="0" r="21864">
      <c r="A21864" s="3" t="inlineStr">
        <is>
          <t>21796</t>
        </is>
      </c>
      <c r="B21864" s="4" t="s">
        <f>=HYPERLINK("http://anyluxury.ru/shop/pismennye-prinadlezhnosti/ruchki/sharikovye/ruchka-sharikovaya-prodir-ds5-trrp-soft-touch-chernaya-s-belim-338936/" , "3389.36 Ручка шариковая Prodir DS5 TRR-P Soft Touch, черная с белым")</f>
      </c>
      <c r="C21864" s="4" t="n">
        <v>305.00</v>
      </c>
      <c r="D21864" s="4"/>
    </row>
    <row collapsed="" customFormat="false" customHeight="1" hidden="" ht="14" outlineLevel="0" r="21865">
      <c r="A21865" s="3" t="inlineStr">
        <is>
          <t>21797</t>
        </is>
      </c>
      <c r="B21865" s="4" t="s">
        <f>=HYPERLINK("http://anyluxury.ru/shop/pismennye-prinadlezhnosti/ruchki/sharikovye/ruchka-sharikovaya-prodir-ds5-trrp-soft-touch-chernaya-s-sinim-338934/" , "3389.34 Ручка шариковая Prodir DS5 TRR-P Soft Touch, черная с синим")</f>
      </c>
      <c r="C21865" s="4" t="n">
        <v>305.00</v>
      </c>
      <c r="D21865" s="4"/>
    </row>
    <row collapsed="" customFormat="false" customHeight="1" hidden="" ht="14" outlineLevel="0" r="21866">
      <c r="A21866" s="3" t="inlineStr">
        <is>
          <t>21798</t>
        </is>
      </c>
      <c r="B21866" s="4" t="s">
        <f>=HYPERLINK("http://anyluxury.ru/shop/pismennye-prinadlezhnosti/ruchki/sharikovye/ruchka-sharikovaya-prodir-ds5-trrp-soft-touch-chernaya-s-krasnim-338935/" , "3389.35 Ручка шариковая Prodir DS5 TRR-P Soft Touch, черная с красным")</f>
      </c>
      <c r="C21866" s="4" t="n">
        <v>305.00</v>
      </c>
      <c r="D21866" s="4"/>
    </row>
    <row collapsed="" customFormat="false" customHeight="1" hidden="" ht="14" outlineLevel="0" r="21867">
      <c r="A21867" s="3" t="inlineStr">
        <is>
          <t>21799</t>
        </is>
      </c>
      <c r="B21867" s="4" t="s">
        <f>=HYPERLINK("http://anyluxury.ru/shop/pismennye-prinadlezhnosti/ruchki/sharikovye/ruchka-sharikovaya-prodir-ds5-trrp-soft-touch-chernaya-338930/" , "3389.30 Ручка шариковая Prodir DS5 TRR-P Soft Touch, черная")</f>
      </c>
      <c r="C21867" s="4" t="n">
        <v>305.00</v>
      </c>
      <c r="D21867" s="4"/>
    </row>
    <row collapsed="" customFormat="false" customHeight="1" hidden="" ht="14" outlineLevel="0" r="21868">
      <c r="A21868" s="3" t="inlineStr">
        <is>
          <t>21800</t>
        </is>
      </c>
      <c r="B21868" s="4" t="s">
        <f>=HYPERLINK("http://anyluxury.ru/shop/pismennye-prinadlezhnosti/ruchki/sharikovye/ruchka-sharikovaya-glide-krasnaya-688650/" , "6886.50 Ручка шариковая Glide, красная")</f>
      </c>
      <c r="C21868" s="4" t="n">
        <v>216.00</v>
      </c>
      <c r="D21868" s="4"/>
    </row>
    <row collapsed="" customFormat="false" customHeight="1" hidden="" ht="14" outlineLevel="0" r="21869">
      <c r="A21869" s="3" t="inlineStr">
        <is>
          <t>21801</t>
        </is>
      </c>
      <c r="B21869" s="4" t="s">
        <f>=HYPERLINK("http://anyluxury.ru/shop/pismennye-prinadlezhnosti/ruchki/sharikovye/ruchka-sharikovaya-glide-chernaya-688630/" , "6886.30 Ручка шариковая Glide, черная")</f>
      </c>
      <c r="C21869" s="4" t="n">
        <v>216.00</v>
      </c>
      <c r="D21869" s="4"/>
    </row>
    <row collapsed="" customFormat="false" customHeight="1" hidden="" ht="14" outlineLevel="0" r="21870">
      <c r="A21870" s="3" t="inlineStr">
        <is>
          <t>21802</t>
        </is>
      </c>
      <c r="B21870" s="4" t="s">
        <f>=HYPERLINK("http://anyluxury.ru/shop/pismennye-prinadlezhnosti/ruchki/sharikovye/ruchka-sharikovaya-glide-sinyaya-688640/" , "6886.40 Ручка шариковая Glide, синяя")</f>
      </c>
      <c r="C21870" s="4" t="n">
        <v>216.00</v>
      </c>
      <c r="D21870" s="4"/>
    </row>
    <row collapsed="" customFormat="false" customHeight="1" hidden="" ht="14" outlineLevel="0" r="21871">
      <c r="A21871" s="3" t="inlineStr">
        <is>
          <t>21803</t>
        </is>
      </c>
      <c r="B21871" s="4" t="s">
        <f>=HYPERLINK("http://anyluxury.ru/shop/pismennye-prinadlezhnosti/ruchki/sharikovye/ruchka-sharikovaya-glide-zelenaya-688690/" , "6886.90 Ручка шариковая Glide, зеленая")</f>
      </c>
      <c r="C21871" s="4" t="n">
        <v>216.00</v>
      </c>
      <c r="D21871" s="4"/>
    </row>
    <row collapsed="" customFormat="false" customHeight="1" hidden="" ht="14" outlineLevel="0" r="21872">
      <c r="A21872" s="3" t="inlineStr">
        <is>
          <t>21804</t>
        </is>
      </c>
      <c r="B21872" s="4" t="s">
        <f>=HYPERLINK("http://anyluxury.ru/shop/pismennye-prinadlezhnosti/ruchki/sharikovye/ruchka-sharikovaya-glide-seraya-688610/" , "6886.10 Ручка шариковая Glide, серая")</f>
      </c>
      <c r="C21872" s="4" t="n">
        <v>216.00</v>
      </c>
      <c r="D21872" s="4"/>
    </row>
    <row collapsed="" customFormat="false" customHeight="1" hidden="" ht="14" outlineLevel="0" r="21873">
      <c r="A21873" s="3" t="inlineStr">
        <is>
          <t>21805</t>
        </is>
      </c>
      <c r="B21873" s="4" t="s">
        <f>=HYPERLINK("http://anyluxury.ru/shop/pismennye-prinadlezhnosti/ruchki/sharikovye/ruchka-sharikovaya-senator-point-ver2-belaya-718860/" , "7188.60 Ручка шариковая Senator Point, ver.2, белая")</f>
      </c>
      <c r="C21873" s="4" t="n">
        <v>73.00</v>
      </c>
      <c r="D21873" s="4"/>
    </row>
    <row collapsed="" customFormat="false" customHeight="1" hidden="" ht="14" outlineLevel="0" r="21874">
      <c r="A21874" s="3" t="inlineStr">
        <is>
          <t>21806</t>
        </is>
      </c>
      <c r="B21874" s="4" t="s">
        <f>=HYPERLINK("http://anyluxury.ru/shop/pismennye-prinadlezhnosti/ruchki/sharikovye/ruchka-sharikovaya-senator-point-ver2-zheltaya-718880/" , "7188.80 Ручка шариковая Senator Point, ver.2, желтая")</f>
      </c>
      <c r="C21874" s="4" t="n">
        <v>73.00</v>
      </c>
      <c r="D21874" s="4"/>
    </row>
    <row collapsed="" customFormat="false" customHeight="1" hidden="" ht="14" outlineLevel="0" r="21875">
      <c r="A21875" s="3" t="inlineStr">
        <is>
          <t>21807</t>
        </is>
      </c>
      <c r="B21875" s="4" t="s">
        <f>=HYPERLINK("http://anyluxury.ru/shop/pismennye-prinadlezhnosti/ruchki/sharikovye/ruchka-sharikovaya-senator-point-ver2-zelenaya-718890/" , "7188.90 Ручка шариковая Senator Point, ver.2, зеленая")</f>
      </c>
      <c r="C21875" s="4" t="n">
        <v>73.00</v>
      </c>
      <c r="D21875" s="4"/>
    </row>
    <row collapsed="" customFormat="false" customHeight="1" hidden="" ht="14" outlineLevel="0" r="21876">
      <c r="A21876" s="3" t="inlineStr">
        <is>
          <t>21808</t>
        </is>
      </c>
      <c r="B21876" s="4" t="s">
        <f>=HYPERLINK("http://anyluxury.ru/shop/pismennye-prinadlezhnosti/ruchki/sharikovye/ruchka-sharikovaya-senator-point-ver2-krasnaya-718850/" , "7188.50 Ручка шариковая Senator Point, ver.2, красная")</f>
      </c>
      <c r="C21876" s="4" t="n">
        <v>73.00</v>
      </c>
      <c r="D21876" s="4"/>
    </row>
    <row collapsed="" customFormat="false" customHeight="1" hidden="" ht="14" outlineLevel="0" r="21877">
      <c r="A21877" s="3" t="inlineStr">
        <is>
          <t>21809</t>
        </is>
      </c>
      <c r="B21877" s="4" t="s">
        <f>=HYPERLINK("http://anyluxury.ru/shop/pismennye-prinadlezhnosti/ruchki/sharikovye/ruchka-sharikovaya-senator-point-ver2-bordovaya-718855/" , "7188.55 Ручка шариковая Senator Point, ver.2, бордовая")</f>
      </c>
      <c r="C21877" s="4" t="n">
        <v>73.00</v>
      </c>
      <c r="D21877" s="4"/>
    </row>
    <row collapsed="" customFormat="false" customHeight="1" hidden="" ht="14" outlineLevel="0" r="21878">
      <c r="A21878" s="3" t="inlineStr">
        <is>
          <t>21810</t>
        </is>
      </c>
      <c r="B21878" s="4" t="s">
        <f>=HYPERLINK("http://anyluxury.ru/shop/pismennye-prinadlezhnosti/ruchki/sharikovye/ruchka-sharikovaya-senator-point-ver2-sinyaya-718844/" , "7188.44 Ручка шариковая Senator Point, ver.2, синяя")</f>
      </c>
      <c r="C21878" s="4" t="n">
        <v>73.00</v>
      </c>
      <c r="D21878" s="4"/>
    </row>
    <row collapsed="" customFormat="false" customHeight="1" hidden="" ht="14" outlineLevel="0" r="21879">
      <c r="A21879" s="3" t="inlineStr">
        <is>
          <t>21811</t>
        </is>
      </c>
      <c r="B21879" s="4" t="s">
        <f>=HYPERLINK("http://anyluxury.ru/shop/pismennye-prinadlezhnosti/ruchki/sharikovye/ruchka-sharikovaya-senator-point-ver2-temnosinyaya-718840/" , "7188.40 Ручка шариковая Senator Point, ver.2, темно-синяя")</f>
      </c>
      <c r="C21879" s="4" t="n">
        <v>73.00</v>
      </c>
      <c r="D21879" s="4"/>
    </row>
    <row collapsed="" customFormat="false" customHeight="1" hidden="" ht="14" outlineLevel="0" r="21880">
      <c r="A21880" s="3" t="inlineStr">
        <is>
          <t>21812</t>
        </is>
      </c>
      <c r="B21880" s="4" t="s">
        <f>=HYPERLINK("http://anyluxury.ru/shop/pismennye-prinadlezhnosti/ruchki/sharikovye/ruchka-sharikovaya-senator-point-ver2-chernaya-718830/" , "7188.30 Ручка шариковая Senator Point, ver.2, черная")</f>
      </c>
      <c r="C21880" s="4" t="n">
        <v>73.00</v>
      </c>
      <c r="D21880" s="4"/>
    </row>
    <row collapsed="" customFormat="false" customHeight="1" hidden="" ht="14" outlineLevel="0" r="21881">
      <c r="A21881" s="3" t="inlineStr">
        <is>
          <t>21813</t>
        </is>
      </c>
      <c r="B21881" s="4" t="s">
        <f>=HYPERLINK("http://anyluxury.ru/shop/pismennye-prinadlezhnosti/ruchki/sharikovye/ruchka-sharikovaya-senator-point-ver2-oranzhevaya-718820/" , "7188.20 Ручка шариковая Senator Point, ver.2, оранжевая")</f>
      </c>
      <c r="C21881" s="4" t="n">
        <v>73.00</v>
      </c>
      <c r="D21881" s="4"/>
    </row>
    <row collapsed="" customFormat="false" customHeight="1" hidden="" ht="14" outlineLevel="0" r="21882">
      <c r="A21882" s="3" t="inlineStr">
        <is>
          <t>21814</t>
        </is>
      </c>
      <c r="B21882" s="4" t="s">
        <f>=HYPERLINK("http://anyluxury.ru/shop/pismennye-prinadlezhnosti/ruchki/sharikovye/ruchka-sharikovaya-construction-multiinstrument-sinyaya-646240/" , "6462.40 Ручка шариковая Construction, мультиинструмент, синяя")</f>
      </c>
      <c r="C21882" s="4" t="n">
        <v>2750.00</v>
      </c>
      <c r="D21882" s="4"/>
    </row>
    <row collapsed="" customFormat="false" customHeight="1" hidden="" ht="14" outlineLevel="0" r="21883">
      <c r="A21883" s="3" t="inlineStr">
        <is>
          <t>21815</t>
        </is>
      </c>
      <c r="B21883" s="4" t="s">
        <f>=HYPERLINK("http://anyluxury.ru/shop/pismennye-prinadlezhnosti/ruchki/sharikovye/ruchka-sharikovaya-barracuda-sinyaya-332040/" , "3320.40 Ручка шариковая Barracuda, синяя")</f>
      </c>
      <c r="C21883" s="4" t="n">
        <v>66.30</v>
      </c>
      <c r="D21883" s="4"/>
    </row>
    <row collapsed="" customFormat="false" customHeight="1" hidden="" ht="14" outlineLevel="0" r="21884">
      <c r="A21884" s="3" t="inlineStr">
        <is>
          <t>21816</t>
        </is>
      </c>
      <c r="B21884" s="4" t="s">
        <f>=HYPERLINK("http://anyluxury.ru/shop/pismennye-prinadlezhnosti/ruchki/sharikovye/ruchka-sharikovaya-barracuda-krasnaya-332050/" , "3320.50 Ручка шариковая Barracuda, красная")</f>
      </c>
      <c r="C21884" s="4" t="n">
        <v>66.30</v>
      </c>
      <c r="D21884" s="4"/>
    </row>
    <row collapsed="" customFormat="false" customHeight="1" hidden="" ht="14" outlineLevel="0" r="21885">
      <c r="A21885" s="3" t="inlineStr">
        <is>
          <t>21817</t>
        </is>
      </c>
      <c r="B21885" s="4" t="s">
        <f>=HYPERLINK("http://anyluxury.ru/shop/pismennye-prinadlezhnosti/ruchki/sharikovye/ruchka-sharikovaya-hotel-chrome-ver2-matovaya-golubaya-707844/" , "7078.44 Ручка шариковая Hotel Chrome, ver.2, матовая голубая")</f>
      </c>
      <c r="C21885" s="4" t="n">
        <v>55.80</v>
      </c>
      <c r="D21885" s="4"/>
    </row>
    <row collapsed="" customFormat="false" customHeight="1" hidden="" ht="14" outlineLevel="0" r="21886">
      <c r="A21886" s="3" t="inlineStr">
        <is>
          <t>21818</t>
        </is>
      </c>
      <c r="B21886" s="4" t="s">
        <f>=HYPERLINK("http://anyluxury.ru/shop/pismennye-prinadlezhnosti/ruchki/sharikovye/ruchka-sharikovaya-hotel-chrome-ver2-matovaya-zelenaya-707890/" , "7078.90 Ручка шариковая Hotel Chrome, ver.2, матовая зеленая")</f>
      </c>
      <c r="C21886" s="4" t="n">
        <v>55.80</v>
      </c>
      <c r="D21886" s="4"/>
    </row>
    <row collapsed="" customFormat="false" customHeight="1" hidden="" ht="14" outlineLevel="0" r="21887">
      <c r="A21887" s="3" t="inlineStr">
        <is>
          <t>21819</t>
        </is>
      </c>
      <c r="B21887" s="4" t="s">
        <f>=HYPERLINK("http://anyluxury.ru/shop/pismennye-prinadlezhnosti/ruchki/sharikovye/ruchka-sharikovaya-hotel-chrome-ver2-matovaya-fioletovaya-707870/" , "7078.70 Ручка шариковая Hotel Chrome, ver.2, матовая фиолетовая")</f>
      </c>
      <c r="C21887" s="4" t="n">
        <v>55.80</v>
      </c>
      <c r="D21887" s="4"/>
    </row>
    <row collapsed="" customFormat="false" customHeight="1" hidden="" ht="14" outlineLevel="0" r="21888">
      <c r="A21888" s="3" t="inlineStr">
        <is>
          <t>21820</t>
        </is>
      </c>
      <c r="B21888" s="4" t="s">
        <f>=HYPERLINK("http://anyluxury.ru/shop/pismennye-prinadlezhnosti/ruchki/sharikovye/ruchka-sharikovaya-hotel-chrome-ver2-matovaya-krasnaya-707850/" , "7078.50 Ручка шариковая Hotel Chrome, ver.2, матовая красная")</f>
      </c>
      <c r="C21888" s="4" t="n">
        <v>55.80</v>
      </c>
      <c r="D21888" s="4"/>
    </row>
    <row collapsed="" customFormat="false" customHeight="1" hidden="" ht="14" outlineLevel="0" r="21889">
      <c r="A21889" s="3" t="inlineStr">
        <is>
          <t>21821</t>
        </is>
      </c>
      <c r="B21889" s="4" t="s">
        <f>=HYPERLINK("http://anyluxury.ru/shop/pismennye-prinadlezhnosti/ruchki/sharikovye/ruchka-sharikovaya-hotel-gold-ver2-matovaya-oranzhevaya-707920/" , "7079.20 Ручка шариковая Hotel Gold, ver.2, матовая оранжевая")</f>
      </c>
      <c r="C21889" s="4" t="n">
        <v>73.50</v>
      </c>
      <c r="D21889" s="4"/>
    </row>
    <row collapsed="" customFormat="false" customHeight="1" hidden="" ht="14" outlineLevel="0" r="21890">
      <c r="A21890" s="3" t="inlineStr">
        <is>
          <t>21822</t>
        </is>
      </c>
      <c r="B21890" s="4" t="s">
        <f>=HYPERLINK("http://anyluxury.ru/shop/pismennye-prinadlezhnosti/ruchki/sharikovye/ruchka-sharikovaya-hotel-gold-ver2-matovaya-zelenaya-707990/" , "7079.90 Ручка шариковая Hotel Gold, ver.2, матовая зеленая")</f>
      </c>
      <c r="C21890" s="4" t="n">
        <v>73.50</v>
      </c>
      <c r="D21890" s="4"/>
    </row>
    <row collapsed="" customFormat="false" customHeight="1" hidden="" ht="14" outlineLevel="0" r="21891">
      <c r="A21891" s="3" t="inlineStr">
        <is>
          <t>21823</t>
        </is>
      </c>
      <c r="B21891" s="4" t="s">
        <f>=HYPERLINK("http://anyluxury.ru/shop/pismennye-prinadlezhnosti/ruchki/sharikovye/ruchka-sharikovaya-hotel-gold-ver2-matovaya-rozovaya-707915/" , "7079.15 Ручка шариковая Hotel Gold, ver.2, матовая розовая")</f>
      </c>
      <c r="C21891" s="4" t="n">
        <v>73.50</v>
      </c>
      <c r="D21891" s="4"/>
    </row>
    <row collapsed="" customFormat="false" customHeight="1" hidden="" ht="14" outlineLevel="0" r="21892">
      <c r="A21892" s="3" t="inlineStr">
        <is>
          <t>21824</t>
        </is>
      </c>
      <c r="B21892" s="4" t="s">
        <f>=HYPERLINK("http://anyluxury.ru/shop/pismennye-prinadlezhnosti/ruchki/sharikovye/ruchka-sharikovaya-hotel-gold-ver2-matovaya-krasnaya-707950/" , "7079.50 Ручка шариковая Hotel Gold, ver.2, матовая красная")</f>
      </c>
      <c r="C21892" s="4" t="n">
        <v>73.50</v>
      </c>
      <c r="D21892" s="4"/>
    </row>
    <row collapsed="" customFormat="false" customHeight="1" hidden="" ht="14" outlineLevel="0" r="21893">
      <c r="A21893" s="3" t="inlineStr">
        <is>
          <t>21825</t>
        </is>
      </c>
      <c r="B21893" s="4" t="s">
        <f>=HYPERLINK("http://anyluxury.ru/shop/pismennye-prinadlezhnosti/ruchki/sharikovye/ruchka-sharikovaya-hotel-chrome-ver2-glyancevaya-belaya-707860/" , "7078.60 Ручка шариковая Hotel Chrome, ver.2, глянцевая белая")</f>
      </c>
      <c r="C21893" s="4" t="n">
        <v>55.80</v>
      </c>
      <c r="D21893" s="4"/>
    </row>
    <row collapsed="" customFormat="false" customHeight="1" hidden="" ht="14" outlineLevel="0" r="21894">
      <c r="A21894" s="3" t="inlineStr">
        <is>
          <t>21826</t>
        </is>
      </c>
      <c r="B21894" s="4" t="s">
        <f>=HYPERLINK("http://anyluxury.ru/shop/pismennye-prinadlezhnosti/ruchki/sharikovye/ruchka-sharikovaya-hotel-chrome-ver2-matovaya-sinyaya-707840/" , "7078.40 Ручка шариковая Hotel Chrome, ver.2, матовая синяя")</f>
      </c>
      <c r="C21894" s="4" t="n">
        <v>55.80</v>
      </c>
      <c r="D21894" s="4"/>
    </row>
    <row collapsed="" customFormat="false" customHeight="1" hidden="" ht="14" outlineLevel="0" r="21895">
      <c r="A21895" s="3" t="inlineStr">
        <is>
          <t>21827</t>
        </is>
      </c>
      <c r="B21895" s="4" t="s">
        <f>=HYPERLINK("http://anyluxury.ru/shop/pismennye-prinadlezhnosti/ruchki/sharikovye/ruchka-sharikovaya-hotel-chrome-ver2-serebristaya-707810/" , "7078.10 Ручка шариковая Hotel Chrome, ver.2, серебристая")</f>
      </c>
      <c r="C21895" s="4" t="n">
        <v>55.80</v>
      </c>
      <c r="D21895" s="4"/>
    </row>
    <row collapsed="" customFormat="false" customHeight="1" hidden="" ht="14" outlineLevel="0" r="21896">
      <c r="A21896" s="3" t="inlineStr">
        <is>
          <t>21828</t>
        </is>
      </c>
      <c r="B21896" s="4" t="s">
        <f>=HYPERLINK("http://anyluxury.ru/shop/pismennye-prinadlezhnosti/ruchki/sharikovye/ruchka-sharikovaya-hotel-gold-ver2-glyancevaya-belaya-707960/" , "7079.60 Ручка шариковая Hotel Gold, ver.2, глянцевая белая")</f>
      </c>
      <c r="C21896" s="4" t="n">
        <v>73.50</v>
      </c>
      <c r="D21896" s="4"/>
    </row>
    <row collapsed="" customFormat="false" customHeight="1" hidden="" ht="14" outlineLevel="0" r="21897">
      <c r="A21897" s="3" t="inlineStr">
        <is>
          <t>21829</t>
        </is>
      </c>
      <c r="B21897" s="4" t="s">
        <f>=HYPERLINK("http://anyluxury.ru/shop/pismennye-prinadlezhnosti/ruchki/sharikovye/ruchka-sharikovaya-hotel-gold-ver2-matovaya-sinyaya-707940/" , "7079.40 Ручка шариковая Hotel Gold, ver.2, матовая синяя")</f>
      </c>
      <c r="C21897" s="4" t="n">
        <v>73.50</v>
      </c>
      <c r="D21897" s="4"/>
    </row>
    <row collapsed="" customFormat="false" customHeight="1" hidden="" ht="14" outlineLevel="0" r="21898">
      <c r="A21898" s="3" t="inlineStr">
        <is>
          <t>21830</t>
        </is>
      </c>
      <c r="B21898" s="4" t="s">
        <f>=HYPERLINK("http://anyluxury.ru/shop/pismennye-prinadlezhnosti/ruchki/sharikovye/ruchka-sharikovaya-hotel-gold-ver2-matovaya-bordovaya-707955/" , "7079.55 Ручка шариковая Hotel Gold, ver.2, матовая бордовая")</f>
      </c>
      <c r="C21898" s="4" t="n">
        <v>73.50</v>
      </c>
      <c r="D21898" s="4"/>
    </row>
    <row collapsed="" customFormat="false" customHeight="1" hidden="" ht="14" outlineLevel="0" r="21899">
      <c r="A21899" s="3" t="inlineStr">
        <is>
          <t>21831</t>
        </is>
      </c>
      <c r="B21899" s="4" t="s">
        <f>=HYPERLINK("http://anyluxury.ru/shop/pismennye-prinadlezhnosti/ruchki/sharikovye/ruchka-sharikovaya-hotel-gold-ver2-matovaya-chernaya-707930/" , "7079.30 Ручка шариковая Hotel Gold, ver.2, матовая черная")</f>
      </c>
      <c r="C21899" s="4" t="n">
        <v>73.50</v>
      </c>
      <c r="D21899" s="4"/>
    </row>
    <row collapsed="" customFormat="false" customHeight="1" hidden="" ht="14" outlineLevel="0" r="21900">
      <c r="A21900" s="3" t="inlineStr">
        <is>
          <t>21832</t>
        </is>
      </c>
      <c r="B21900" s="4" t="s">
        <f>=HYPERLINK("http://anyluxury.ru/shop/pismennye-prinadlezhnosti/ruchki/sharikovye/ruchka-sharikovaya-slider-chernaya-s-belim-752263/" , "7522.63 Ручка шариковая Swiper, черная с белым")</f>
      </c>
      <c r="C21900" s="4" t="n">
        <v>28.20</v>
      </c>
      <c r="D21900" s="4"/>
    </row>
    <row collapsed="" customFormat="false" customHeight="1" hidden="" ht="14" outlineLevel="0" r="21901">
      <c r="A21901" s="3" t="inlineStr">
        <is>
          <t>21833</t>
        </is>
      </c>
      <c r="B21901" s="4" t="s">
        <f>=HYPERLINK("http://anyluxury.ru/shop/pismennye-prinadlezhnosti/ruchki/sharikovye/ruchka-sharikovaya-slider-sinyaya-s-belim-752264/" , "7522.64 Ручка шариковая Swiper, синяя с белым")</f>
      </c>
      <c r="C21901" s="4" t="n">
        <v>28.20</v>
      </c>
      <c r="D21901" s="4"/>
    </row>
    <row collapsed="" customFormat="false" customHeight="1" hidden="" ht="14" outlineLevel="0" r="21902">
      <c r="A21902" s="3" t="inlineStr">
        <is>
          <t>21834</t>
        </is>
      </c>
      <c r="B21902" s="4" t="s">
        <f>=HYPERLINK("http://anyluxury.ru/shop/pismennye-prinadlezhnosti/ruchki/sharikovye/ruchka-sharikovaya-slider-golubaya-s-belim-752244/" , "7522.44 Ручка шариковая Swiper, голубая с белым")</f>
      </c>
      <c r="C21902" s="4" t="n">
        <v>28.20</v>
      </c>
      <c r="D21902" s="4"/>
    </row>
    <row collapsed="" customFormat="false" customHeight="1" hidden="" ht="14" outlineLevel="0" r="21903">
      <c r="A21903" s="3" t="inlineStr">
        <is>
          <t>21835</t>
        </is>
      </c>
      <c r="B21903" s="4" t="s">
        <f>=HYPERLINK("http://anyluxury.ru/shop/pismennye-prinadlezhnosti/ruchki/sharikovye/ruchka-sharikovaya-slider-krasnaya-s-belim-752265/" , "7522.65 Ручка шариковая Swiper, красная с белым")</f>
      </c>
      <c r="C21903" s="4" t="n">
        <v>28.20</v>
      </c>
      <c r="D21903" s="4"/>
    </row>
    <row collapsed="" customFormat="false" customHeight="1" hidden="" ht="14" outlineLevel="0" r="21904">
      <c r="A21904" s="3" t="inlineStr">
        <is>
          <t>21836</t>
        </is>
      </c>
      <c r="B21904" s="4" t="s">
        <f>=HYPERLINK("http://anyluxury.ru/shop/pismennye-prinadlezhnosti/ruchki/sharikovye/ruchka-sharikovaya-slider-belaya-752260/" , "7522.60 Ручка шариковая Swiper, белая")</f>
      </c>
      <c r="C21904" s="4" t="n">
        <v>28.20</v>
      </c>
      <c r="D21904" s="4"/>
    </row>
    <row collapsed="" customFormat="false" customHeight="1" hidden="" ht="14" outlineLevel="0" r="21905">
      <c r="A21905" s="3" t="inlineStr">
        <is>
          <t>21837</t>
        </is>
      </c>
      <c r="B21905" s="4" t="s">
        <f>=HYPERLINK("http://anyluxury.ru/shop/pismennye-prinadlezhnosti/ruchki/sharikovye/ruchka-sharikovaya-slider-zelenaya-s-belim-752269/" , "7522.69 Ручка шариковая Swiper, зеленая с белым")</f>
      </c>
      <c r="C21905" s="4" t="n">
        <v>28.20</v>
      </c>
      <c r="D21905" s="4"/>
    </row>
    <row collapsed="" customFormat="false" customHeight="1" hidden="" ht="14" outlineLevel="0" r="21906">
      <c r="A21906" s="3" t="inlineStr">
        <is>
          <t>21838</t>
        </is>
      </c>
      <c r="B21906" s="4" t="s">
        <f>=HYPERLINK("http://anyluxury.ru/shop/pismennye-prinadlezhnosti/ruchki/sharikovye/ruchka-sharikovaya-slider-oranzhevaya-s-belim-752262/" , "7522.62 Ручка шариковая Swiper, оранжевая с белым")</f>
      </c>
      <c r="C21906" s="4" t="n">
        <v>28.20</v>
      </c>
      <c r="D21906" s="4"/>
    </row>
    <row collapsed="" customFormat="false" customHeight="1" hidden="" ht="14" outlineLevel="0" r="21907">
      <c r="A21907" s="3" t="inlineStr">
        <is>
          <t>21839</t>
        </is>
      </c>
      <c r="B21907" s="4" t="s">
        <f>=HYPERLINK("http://anyluxury.ru/shop/pismennye-prinadlezhnosti/ruchki/sharikovye/ruchka-sharikovaya-prodir-qs01-prpp-soft-touch-chernaya-709030/" , "7090.30 Ручка шариковая Prodir QS01 PRP-P Soft Touch, черная")</f>
      </c>
      <c r="C21907" s="4" t="n">
        <v>359.00</v>
      </c>
      <c r="D21907" s="4"/>
    </row>
    <row collapsed="" customFormat="false" customHeight="1" hidden="" ht="14" outlineLevel="0" r="21908">
      <c r="A21908" s="3" t="inlineStr">
        <is>
          <t>21840</t>
        </is>
      </c>
      <c r="B21908" s="4" t="s">
        <f>=HYPERLINK("http://anyluxury.ru/shop/pismennye-prinadlezhnosti/ruchki/sharikovye/ruchka-sharikovaya-prodir-ds3-tpc-belaya-709360/" , "7093.60 Ручка шариковая Prodir DS3 TPC, белая")</f>
      </c>
      <c r="C21908" s="4" t="n">
        <v>185.00</v>
      </c>
      <c r="D21908" s="4"/>
    </row>
    <row collapsed="" customFormat="false" customHeight="1" hidden="" ht="14" outlineLevel="0" r="21909">
      <c r="A21909" s="3" t="inlineStr">
        <is>
          <t>21841</t>
        </is>
      </c>
      <c r="B21909" s="4" t="s">
        <f>=HYPERLINK("http://anyluxury.ru/shop/pismennye-prinadlezhnosti/ruchki/sharikovye/ruchka-sharikovaya-prodir-ds3-tpc-krasnaya-709350/" , "7093.50 Ручка шариковая Prodir DS3 TPC, красная")</f>
      </c>
      <c r="C21909" s="4" t="n">
        <v>157.00</v>
      </c>
      <c r="D21909" s="4"/>
    </row>
    <row collapsed="" customFormat="false" customHeight="1" hidden="" ht="14" outlineLevel="0" r="21910">
      <c r="A21910" s="3" t="inlineStr">
        <is>
          <t>21842</t>
        </is>
      </c>
      <c r="B21910" s="4" t="s">
        <f>=HYPERLINK("http://anyluxury.ru/shop/pismennye-prinadlezhnosti/ruchki/sharikovye/ruchka-sharikovaya-prodir-ds3-tpc-sinyaya-709340/" , "7093.40 Ручка шариковая Prodir DS3 TPC, синяя")</f>
      </c>
      <c r="C21910" s="4" t="n">
        <v>185.00</v>
      </c>
      <c r="D21910" s="4"/>
    </row>
    <row collapsed="" customFormat="false" customHeight="1" hidden="" ht="14" outlineLevel="0" r="21911">
      <c r="A21911" s="3" t="inlineStr">
        <is>
          <t>21843</t>
        </is>
      </c>
      <c r="B21911" s="4" t="s">
        <f>=HYPERLINK("http://anyluxury.ru/shop/pismennye-prinadlezhnosti/ruchki/sharikovye/ruchka-sharikovaya-hint-special-belaya-331860/" , "3318.60 Ручка шариковая Hint Special, белая")</f>
      </c>
      <c r="C21911" s="4" t="n">
        <v>22.00</v>
      </c>
      <c r="D21911" s="4"/>
    </row>
    <row collapsed="" customFormat="false" customHeight="1" hidden="" ht="14" outlineLevel="0" r="21912">
      <c r="A21912" s="3" t="inlineStr">
        <is>
          <t>21844</t>
        </is>
      </c>
      <c r="B21912" s="4" t="s">
        <f>=HYPERLINK("http://anyluxury.ru/shop/pismennye-prinadlezhnosti/ruchki/sharikovye/ruchka-sharikovaya-pin-belaya-552260/" , "5522.60 Ручка шариковая Pin, белая")</f>
      </c>
      <c r="C21912" s="4" t="n">
        <v>29.20</v>
      </c>
      <c r="D21912" s="4"/>
    </row>
    <row collapsed="" customFormat="false" customHeight="1" hidden="" ht="14" outlineLevel="0" r="21913">
      <c r="A21913" s="3" t="inlineStr">
        <is>
          <t>21845</t>
        </is>
      </c>
      <c r="B21913" s="4" t="s">
        <f>=HYPERLINK("http://anyluxury.ru/shop/pismennye-prinadlezhnosti/ruchki/sharikovye/ruchka-sharikovaya-slider-soft-touch-golubaya-s-belim-696944/" , "6969.44 Ручка шариковая Swiper Soft Touch, голубая с белым")</f>
      </c>
      <c r="C21913" s="4" t="n">
        <v>32.60</v>
      </c>
      <c r="D21913" s="4"/>
    </row>
    <row collapsed="" customFormat="false" customHeight="1" hidden="" ht="14" outlineLevel="0" r="21914">
      <c r="A21914" s="3" t="inlineStr">
        <is>
          <t>21846</t>
        </is>
      </c>
      <c r="B21914" s="4" t="s">
        <f>=HYPERLINK("http://anyluxury.ru/shop/pismennye-prinadlezhnosti/ruchki/sharikovye/ruchka-sharikovaya-slider-soft-touch-oranzhevaya-s-belim-696962/" , "6969.62 Ручка шариковая Swiper Soft Touch, неоново-оранжевая с белым")</f>
      </c>
      <c r="C21914" s="4" t="n">
        <v>32.60</v>
      </c>
      <c r="D21914" s="4"/>
    </row>
    <row collapsed="" customFormat="false" customHeight="1" hidden="" ht="14" outlineLevel="0" r="21915">
      <c r="A21915" s="3" t="inlineStr">
        <is>
          <t>21847</t>
        </is>
      </c>
      <c r="B21915" s="4" t="s">
        <f>=HYPERLINK("http://anyluxury.ru/shop/pismennye-prinadlezhnosti/ruchki/sharikovye/ruchka-sharikovaya-slider-soft-touch-chernaya-s-belim-696963/" , "6969.63 Ручка шариковая Swiper Soft Touch, черная с белым")</f>
      </c>
      <c r="C21915" s="4" t="n">
        <v>32.60</v>
      </c>
      <c r="D21915" s="4"/>
    </row>
    <row collapsed="" customFormat="false" customHeight="1" hidden="" ht="14" outlineLevel="0" r="21916">
      <c r="A21916" s="3" t="inlineStr">
        <is>
          <t>21848</t>
        </is>
      </c>
      <c r="B21916" s="4" t="s">
        <f>=HYPERLINK("http://anyluxury.ru/shop/pismennye-prinadlezhnosti/ruchki/sharikovye/ruchka-sharikovaya-slider-soft-touch-sinyaya-s-belim-696964/" , "6969.64 Ручка шариковая Swiper Soft Touch, синяя с белым")</f>
      </c>
      <c r="C21916" s="4" t="n">
        <v>32.60</v>
      </c>
      <c r="D21916" s="4"/>
    </row>
    <row collapsed="" customFormat="false" customHeight="1" hidden="" ht="14" outlineLevel="0" r="21917">
      <c r="A21917" s="3" t="inlineStr">
        <is>
          <t>21849</t>
        </is>
      </c>
      <c r="B21917" s="4" t="s">
        <f>=HYPERLINK("http://anyluxury.ru/shop/pismennye-prinadlezhnosti/ruchki/sharikovye/ruchka-sharikovaya-slider-soft-touch-krasnaya-s-belim-696965/" , "6969.65 Ручка шариковая Swiper Soft Touch, красная с белым")</f>
      </c>
      <c r="C21917" s="4" t="n">
        <v>32.60</v>
      </c>
      <c r="D21917" s="4"/>
    </row>
    <row collapsed="" customFormat="false" customHeight="1" hidden="" ht="14" outlineLevel="0" r="21918">
      <c r="A21918" s="3" t="inlineStr">
        <is>
          <t>21850</t>
        </is>
      </c>
      <c r="B21918" s="4" t="s">
        <f>=HYPERLINK("http://anyluxury.ru/shop/pismennye-prinadlezhnosti/ruchki/sharikovye/ruchka-sharikovaya-slider-soft-touch-zelenaya-s-belim-696969/" , "6969.69 Ручка шариковая Swiper Soft Touch, зеленая с белым")</f>
      </c>
      <c r="C21918" s="4" t="n">
        <v>32.60</v>
      </c>
      <c r="D21918" s="4"/>
    </row>
    <row collapsed="" customFormat="false" customHeight="1" hidden="" ht="14" outlineLevel="0" r="21919">
      <c r="A21919" s="3" t="inlineStr">
        <is>
          <t>21851</t>
        </is>
      </c>
      <c r="B21919" s="4" t="s">
        <f>=HYPERLINK("http://anyluxury.ru/shop/pismennye-prinadlezhnosti/ruchki/sharikovye/ruchka-sharikovaya-euro-gold-seraya-447511/" , "4475.11 Ручка шариковая Euro Gold, серая")</f>
      </c>
      <c r="C21919" s="4" t="n">
        <v>19.80</v>
      </c>
      <c r="D21919" s="4"/>
    </row>
    <row collapsed="" customFormat="false" customHeight="1" hidden="" ht="14" outlineLevel="0" r="21920">
      <c r="A21920" s="3" t="inlineStr">
        <is>
          <t>21852</t>
        </is>
      </c>
      <c r="B21920" s="4" t="s">
        <f>=HYPERLINK("http://anyluxury.ru/shop/pismennye-prinadlezhnosti/ruchki/sharikovye/ruchka-sharikovaya-euro-gold-rozovaya-447515/" , "4475.15 Ручка шариковая Euro Gold, розовая")</f>
      </c>
      <c r="C21920" s="4" t="n">
        <v>19.80</v>
      </c>
      <c r="D21920" s="4"/>
    </row>
    <row collapsed="" customFormat="false" customHeight="1" hidden="" ht="14" outlineLevel="0" r="21921">
      <c r="A21921" s="3" t="inlineStr">
        <is>
          <t>21853</t>
        </is>
      </c>
      <c r="B21921" s="4" t="s">
        <f>=HYPERLINK("http://anyluxury.ru/shop/pismennye-prinadlezhnosti/ruchki/sharikovye/ruchka-sharikovaya-euro-goldfioletovaya-447570/" , "4475.70 Ручка шариковая Euro Gold, фиолетовая")</f>
      </c>
      <c r="C21921" s="4" t="n">
        <v>19.80</v>
      </c>
      <c r="D21921" s="4"/>
    </row>
    <row collapsed="" customFormat="false" customHeight="1" hidden="" ht="14" outlineLevel="0" r="21922">
      <c r="A21922" s="3" t="inlineStr">
        <is>
          <t>21854</t>
        </is>
      </c>
      <c r="B21922" s="4" t="s">
        <f>=HYPERLINK("http://anyluxury.ru/shop/pismennye-prinadlezhnosti/ruchki/sharikovye/ruchka-sharikovaya-euro-gold-oranzhevaya-447520/" , "4475.20 Ручка шариковая Euro Gold, оранжевая")</f>
      </c>
      <c r="C21922" s="4" t="n">
        <v>19.80</v>
      </c>
      <c r="D21922" s="4"/>
    </row>
    <row collapsed="" customFormat="false" customHeight="1" hidden="" ht="14" outlineLevel="0" r="21923">
      <c r="A21923" s="3" t="inlineStr">
        <is>
          <t>21855</t>
        </is>
      </c>
      <c r="B21923" s="4" t="s">
        <f>=HYPERLINK("http://anyluxury.ru/shop/pismennye-prinadlezhnosti/ruchki/sharikovye/ruchka-sharikovaya-euro-gold-zheltaya-447580/" , "4475.80 Ручка шариковая Euro Gold, желтая")</f>
      </c>
      <c r="C21923" s="4" t="n">
        <v>19.80</v>
      </c>
      <c r="D21923" s="4"/>
    </row>
    <row collapsed="" customFormat="false" customHeight="1" hidden="" ht="14" outlineLevel="0" r="21924">
      <c r="A21924" s="3" t="inlineStr">
        <is>
          <t>21856</t>
        </is>
      </c>
      <c r="B21924" s="4" t="s">
        <f>=HYPERLINK("http://anyluxury.ru/shop/pismennye-prinadlezhnosti/ruchki/sharikovye/ruchka-sharikovaya-euro-chrome-golubaya-447844/" , "4478.44 Ручка шариковая Euro Chrome, голубая")</f>
      </c>
      <c r="C21924" s="4" t="n">
        <v>19.80</v>
      </c>
      <c r="D21924" s="4"/>
    </row>
    <row collapsed="" customFormat="false" customHeight="1" hidden="" ht="14" outlineLevel="0" r="21925">
      <c r="A21925" s="3" t="inlineStr">
        <is>
          <t>21857</t>
        </is>
      </c>
      <c r="B21925" s="4" t="s">
        <f>=HYPERLINK("http://anyluxury.ru/shop/pismennye-prinadlezhnosti/ruchki/sharikovye/ruchka-sharikovaya-euro-chrome-oranzhevaya-447820/" , "4478.20 Ручка шариковая Euro Chrome, оранжевая")</f>
      </c>
      <c r="C21925" s="4" t="n">
        <v>19.80</v>
      </c>
      <c r="D21925" s="4"/>
    </row>
    <row collapsed="" customFormat="false" customHeight="1" hidden="" ht="14" outlineLevel="0" r="21926">
      <c r="A21926" s="3" t="inlineStr">
        <is>
          <t>21858</t>
        </is>
      </c>
      <c r="B21926" s="4" t="s">
        <f>=HYPERLINK("http://anyluxury.ru/shop/pismennye-prinadlezhnosti/ruchki/sharikovye/ruchka-sharikovaya-euro-chrome-zheltaya-447880/" , "4478.80 Ручка шариковая Euro Chrome, желтая")</f>
      </c>
      <c r="C21926" s="4" t="n">
        <v>19.80</v>
      </c>
      <c r="D21926" s="4"/>
    </row>
    <row collapsed="" customFormat="false" customHeight="1" hidden="" ht="14" outlineLevel="0" r="21927">
      <c r="A21927" s="3" t="inlineStr">
        <is>
          <t>21859</t>
        </is>
      </c>
      <c r="B21927" s="4" t="s">
        <f>=HYPERLINK("http://anyluxury.ru/shop/pismennye-prinadlezhnosti/ruchki/sharikovye/ruchka-sharikovaya-parker-jotter-core-k63-cherniy-s-serebristim-765830/" , "7658.30 Ручка шариковая Parker Jotter Core K63, черный с серебристым")</f>
      </c>
      <c r="C21927" s="4" t="n">
        <v>3248.00</v>
      </c>
      <c r="D21927" s="4"/>
    </row>
    <row collapsed="" customFormat="false" customHeight="1" hidden="" ht="14" outlineLevel="0" r="21928">
      <c r="A21928" s="3" t="inlineStr">
        <is>
          <t>21860</t>
        </is>
      </c>
      <c r="B21928" s="4" t="s">
        <f>=HYPERLINK("http://anyluxury.ru/shop/pismennye-prinadlezhnosti/ruchki/sharikovye/ruchka-sharikovaya-phase-rozovaya-1570115/" , "15701.15 Ручка шариковая Phase, розовая")</f>
      </c>
      <c r="C21928" s="4" t="n">
        <v>474.00</v>
      </c>
      <c r="D21928" s="4"/>
    </row>
    <row collapsed="" customFormat="false" customHeight="1" hidden="" ht="14" outlineLevel="0" r="21929">
      <c r="A21929" s="3" t="inlineStr">
        <is>
          <t>21861</t>
        </is>
      </c>
      <c r="B21929" s="4" t="s">
        <f>=HYPERLINK("http://anyluxury.ru/shop/pismennye-prinadlezhnosti/ruchki/sharikovye/ruchka-sharikovaya-phase-chernaya-1570130/" , "15701.30 Ручка шариковая Phase, черная")</f>
      </c>
      <c r="C21929" s="4" t="n">
        <v>474.00</v>
      </c>
      <c r="D21929" s="4"/>
    </row>
    <row collapsed="" customFormat="false" customHeight="1" hidden="" ht="14" outlineLevel="0" r="21930">
      <c r="A21930" s="3" t="inlineStr">
        <is>
          <t>21862</t>
        </is>
      </c>
      <c r="B21930" s="4" t="s">
        <f>=HYPERLINK("http://anyluxury.ru/shop/pismennye-prinadlezhnosti/ruchki/sharikovye/ruchka-sharikovaya-phase-sinyaya-1570140/" , "15701.40 Ручка шариковая Phase, синяя")</f>
      </c>
      <c r="C21930" s="4" t="n">
        <v>474.00</v>
      </c>
      <c r="D21930" s="4"/>
    </row>
    <row collapsed="" customFormat="false" customHeight="1" hidden="" ht="14" outlineLevel="0" r="21931">
      <c r="A21931" s="3" t="inlineStr">
        <is>
          <t>21863</t>
        </is>
      </c>
      <c r="B21931" s="4" t="s">
        <f>=HYPERLINK("http://anyluxury.ru/shop/pismennye-prinadlezhnosti/ruchki/sharikovye/ruchka-sharikovaya-phase-belaya-1570160/" , "15701.60 Ручка шариковая Phase, белая")</f>
      </c>
      <c r="C21931" s="4" t="n">
        <v>474.00</v>
      </c>
      <c r="D21931" s="4"/>
    </row>
    <row collapsed="" customFormat="false" customHeight="1" hidden="" ht="14" outlineLevel="0" r="21932">
      <c r="A21932" s="3" t="inlineStr">
        <is>
          <t>21864</t>
        </is>
      </c>
      <c r="B21932" s="4" t="s">
        <f>=HYPERLINK("http://anyluxury.ru/shop/pismennye-prinadlezhnosti/ruchki/sharikovye/ruchka-sharikovaya-attribute-rozovaya-1127615/" , "11276.15 Ручка шариковая Attribute, розовая")</f>
      </c>
      <c r="C21932" s="4" t="n">
        <v>155.00</v>
      </c>
      <c r="D21932" s="4"/>
    </row>
    <row collapsed="" customFormat="false" customHeight="1" hidden="" ht="14" outlineLevel="0" r="21933">
      <c r="A21933" s="3" t="inlineStr">
        <is>
          <t>21865</t>
        </is>
      </c>
      <c r="B21933" s="4" t="s">
        <f>=HYPERLINK("http://anyluxury.ru/shop/pismennye-prinadlezhnosti/ruchki/sharikovye/ruchka-sharikovaya-attribute-sinyaya-1127640/" , "11276.40 Ручка шариковая Attribute, синяя")</f>
      </c>
      <c r="C21933" s="4" t="n">
        <v>155.00</v>
      </c>
      <c r="D21933" s="4"/>
    </row>
    <row collapsed="" customFormat="false" customHeight="1" hidden="" ht="14" outlineLevel="0" r="21934">
      <c r="A21934" s="3" t="inlineStr">
        <is>
          <t>21866</t>
        </is>
      </c>
      <c r="B21934" s="4" t="s">
        <f>=HYPERLINK("http://anyluxury.ru/shop/pismennye-prinadlezhnosti/ruchki/sharikovye/ruchka-sharikovaya-attribute-krasnaya-1127650/" , "11276.50 Ручка шариковая Attribute, красная")</f>
      </c>
      <c r="C21934" s="4" t="n">
        <v>155.00</v>
      </c>
      <c r="D21934" s="4"/>
    </row>
    <row collapsed="" customFormat="false" customHeight="1" hidden="" ht="14" outlineLevel="0" r="21935">
      <c r="A21935" s="3" t="inlineStr">
        <is>
          <t>21867</t>
        </is>
      </c>
      <c r="B21935" s="4" t="s">
        <f>=HYPERLINK("http://anyluxury.ru/shop/pismennye-prinadlezhnosti/ruchki/sharikovye/ruchka-sharikovaya-crest-fioletovaya-1133770/" , "11337.70 Ручка шариковая Crest, фиолетовая")</f>
      </c>
      <c r="C21935" s="4" t="n">
        <v>78.00</v>
      </c>
      <c r="D21935" s="4"/>
    </row>
    <row collapsed="" customFormat="false" customHeight="1" hidden="" ht="14" outlineLevel="0" r="21936">
      <c r="A21936" s="3" t="inlineStr">
        <is>
          <t>21868</t>
        </is>
      </c>
      <c r="B21936" s="4" t="s">
        <f>=HYPERLINK("http://anyluxury.ru/shop/pismennye-prinadlezhnosti/ruchki/sharikovye/ruchka-sharikovaya-crest-golubaya-1133744/" , "11337.44 Ручка шариковая Crest, голубая")</f>
      </c>
      <c r="C21936" s="4" t="n">
        <v>78.00</v>
      </c>
      <c r="D21936" s="4"/>
    </row>
    <row collapsed="" customFormat="false" customHeight="1" hidden="" ht="14" outlineLevel="0" r="21937">
      <c r="A21937" s="3" t="inlineStr">
        <is>
          <t>21869</t>
        </is>
      </c>
      <c r="B21937" s="4" t="s">
        <f>=HYPERLINK("http://anyluxury.ru/shop/pismennye-prinadlezhnosti/ruchki/sharikovye/ruchka-sharikovaya-wandy-chernaya-1118830/" , "11188.30 Ручка шариковая Wandy, черная")</f>
      </c>
      <c r="C21937" s="4" t="n">
        <v>24.00</v>
      </c>
      <c r="D21937" s="4"/>
    </row>
    <row collapsed="" customFormat="false" customHeight="1" hidden="" ht="14" outlineLevel="0" r="21938">
      <c r="A21938" s="3" t="inlineStr">
        <is>
          <t>21870</t>
        </is>
      </c>
      <c r="B21938" s="4" t="s">
        <f>=HYPERLINK("http://anyluxury.ru/shop/pismennye-prinadlezhnosti/ruchki/sharikovye/ruchka-sharikovaya-wandy-krasnaya-1118850/" , "11188.50 Ручка шариковая Wandy, красная")</f>
      </c>
      <c r="C21938" s="4" t="n">
        <v>24.00</v>
      </c>
      <c r="D21938" s="4"/>
    </row>
    <row collapsed="" customFormat="false" customHeight="1" hidden="" ht="14" outlineLevel="0" r="21939">
      <c r="A21939" s="3" t="inlineStr">
        <is>
          <t>21871</t>
        </is>
      </c>
      <c r="B21939" s="4" t="s">
        <f>=HYPERLINK("http://anyluxury.ru/shop/pismennye-prinadlezhnosti/ruchki/sharikovye/ruchka-sharikovaya-pinokio-neokrashennaya-1118900/" , "11189.00 Ручка шариковая Pinokio, неокрашенная")</f>
      </c>
      <c r="C21939" s="4" t="n">
        <v>30.00</v>
      </c>
      <c r="D21939" s="4"/>
    </row>
    <row collapsed="" customFormat="false" customHeight="1" hidden="" ht="14" outlineLevel="0" r="21940">
      <c r="A21940" s="3" t="inlineStr">
        <is>
          <t>21872</t>
        </is>
      </c>
      <c r="B21940" s="4" t="s">
        <f>=HYPERLINK("http://anyluxury.ru/shop/pismennye-prinadlezhnosti/ruchki/sharikovye/ruchka-sharikovaya-pinokio-oranzhevaya-1118920/" , "11189.20 Ручка шариковая Pinokio, оранжевая")</f>
      </c>
      <c r="C21940" s="4" t="n">
        <v>30.00</v>
      </c>
      <c r="D21940" s="4"/>
    </row>
    <row collapsed="" customFormat="false" customHeight="1" hidden="" ht="14" outlineLevel="0" r="21941">
      <c r="A21941" s="3" t="inlineStr">
        <is>
          <t>21873</t>
        </is>
      </c>
      <c r="B21941" s="4" t="s">
        <f>=HYPERLINK("http://anyluxury.ru/shop/pismennye-prinadlezhnosti/ruchki/sharikovye/ruchka-sharikovaya-pinokio-golubaya-1118944/" , "11189.44 Ручка шариковая Pinokio, голубая")</f>
      </c>
      <c r="C21941" s="4" t="n">
        <v>30.00</v>
      </c>
      <c r="D21941" s="4"/>
    </row>
    <row collapsed="" customFormat="false" customHeight="1" hidden="" ht="14" outlineLevel="0" r="21942">
      <c r="A21942" s="3" t="inlineStr">
        <is>
          <t>21874</t>
        </is>
      </c>
      <c r="B21942" s="4" t="s">
        <f>=HYPERLINK("http://anyluxury.ru/shop/pismennye-prinadlezhnosti/ruchki/sharikovye/ruchka-sharikovaya-pinokio-krasnaya-1118950/" , "11189.50 Ручка шариковая Pinokio, красная")</f>
      </c>
      <c r="C21942" s="4" t="n">
        <v>30.00</v>
      </c>
      <c r="D21942" s="4"/>
    </row>
    <row collapsed="" customFormat="false" customHeight="1" hidden="" ht="14" outlineLevel="0" r="21943">
      <c r="A21943" s="3" t="inlineStr">
        <is>
          <t>21875</t>
        </is>
      </c>
      <c r="B21943" s="4" t="s">
        <f>=HYPERLINK("http://anyluxury.ru/shop/pismennye-prinadlezhnosti/ruchki/sharikovye/ruchka-sharikovaya-pinokio-zelenaya-1118990/" , "11189.90 Ручка шариковая Pinokio, зеленая")</f>
      </c>
      <c r="C21943" s="4" t="n">
        <v>30.00</v>
      </c>
      <c r="D21943" s="4"/>
    </row>
    <row collapsed="" customFormat="false" customHeight="1" hidden="" ht="14" outlineLevel="0" r="21944">
      <c r="A21944" s="3" t="inlineStr">
        <is>
          <t>21876</t>
        </is>
      </c>
      <c r="B21944" s="4" t="s">
        <f>=HYPERLINK("http://anyluxury.ru/shop/pismennye-prinadlezhnosti/ruchki/sharikovye/ruchka-sharikovaya-phrase-krasnaya-1570350/" , "15703.50 Ручка шариковая Phrase, красная")</f>
      </c>
      <c r="C21944" s="4" t="n">
        <v>500.00</v>
      </c>
      <c r="D21944" s="4"/>
    </row>
    <row collapsed="" customFormat="false" customHeight="1" hidden="" ht="14" outlineLevel="0" r="21945">
      <c r="A21945" s="3" t="inlineStr">
        <is>
          <t>21877</t>
        </is>
      </c>
      <c r="B21945" s="4" t="s">
        <f>=HYPERLINK("http://anyluxury.ru/shop/pismennye-prinadlezhnosti/ruchki/sharikovye/ruchka-sharikovaya-liberty-polished-oranzhevaya-1291520/" , "12915.20 Ручка шариковая Liberty Polished, оранжевая")</f>
      </c>
      <c r="C21945" s="4" t="n">
        <v>90.00</v>
      </c>
      <c r="D21945" s="4"/>
    </row>
    <row collapsed="" customFormat="false" customHeight="1" hidden="" ht="14" outlineLevel="0" r="21946">
      <c r="A21946" s="3" t="inlineStr">
        <is>
          <t>21878</t>
        </is>
      </c>
      <c r="B21946" s="4" t="s">
        <f>=HYPERLINK("http://anyluxury.ru/shop/pismennye-prinadlezhnosti/ruchki/sharikovye/ruchka-sharikovaya-liberty-polished-chernaya-1291530/" , "12915.30 Ручка шариковая Liberty Polished, черная")</f>
      </c>
      <c r="C21946" s="4" t="n">
        <v>90.00</v>
      </c>
      <c r="D21946" s="4"/>
    </row>
    <row collapsed="" customFormat="false" customHeight="1" hidden="" ht="14" outlineLevel="0" r="21947">
      <c r="A21947" s="3" t="inlineStr">
        <is>
          <t>21879</t>
        </is>
      </c>
      <c r="B21947" s="4" t="s">
        <f>=HYPERLINK("http://anyluxury.ru/shop/pismennye-prinadlezhnosti/ruchki/sharikovye/ruchka-sharikovaya-liberty-polished-golubaya-1291544/" , "12915.44 Ручка шариковая Liberty Polished, голубая")</f>
      </c>
      <c r="C21947" s="4" t="n">
        <v>90.00</v>
      </c>
      <c r="D21947" s="4"/>
    </row>
    <row collapsed="" customFormat="false" customHeight="1" hidden="" ht="14" outlineLevel="0" r="21948">
      <c r="A21948" s="3" t="inlineStr">
        <is>
          <t>21880</t>
        </is>
      </c>
      <c r="B21948" s="4" t="s">
        <f>=HYPERLINK("http://anyluxury.ru/shop/pismennye-prinadlezhnosti/ruchki/sharikovye/ruchka-sharikovaya-liberty-polished-krasnaya-1291550/" , "12915.50 Ручка шариковая Liberty Polished, красная")</f>
      </c>
      <c r="C21948" s="4" t="n">
        <v>90.00</v>
      </c>
      <c r="D21948" s="4"/>
    </row>
    <row collapsed="" customFormat="false" customHeight="1" hidden="" ht="14" outlineLevel="0" r="21949">
      <c r="A21949" s="3" t="inlineStr">
        <is>
          <t>21881</t>
        </is>
      </c>
      <c r="B21949" s="4" t="s">
        <f>=HYPERLINK("http://anyluxury.ru/shop/pismennye-prinadlezhnosti/ruchki/sharikovye/ruchka-sharikovaya-liberty-polished-belaya-1291560/" , "12915.60 Ручка шариковая Liberty Polished, белая")</f>
      </c>
      <c r="C21949" s="4" t="n">
        <v>90.00</v>
      </c>
      <c r="D21949" s="4"/>
    </row>
    <row collapsed="" customFormat="false" customHeight="1" hidden="" ht="14" outlineLevel="0" r="21950">
      <c r="A21950" s="3" t="inlineStr">
        <is>
          <t>21882</t>
        </is>
      </c>
      <c r="B21950" s="4" t="s">
        <f>=HYPERLINK("http://anyluxury.ru/shop/pismennye-prinadlezhnosti/ruchki/sharikovye/ruchka-sharikovaya-liberty-polished-zelenaya-1291590/" , "12915.90 Ручка шариковая Liberty Polished, зеленая")</f>
      </c>
      <c r="C21950" s="4" t="n">
        <v>90.00</v>
      </c>
      <c r="D21950" s="4"/>
    </row>
    <row collapsed="" customFormat="false" customHeight="1" hidden="" ht="14" outlineLevel="0" r="21951">
      <c r="A21951" s="3" t="inlineStr">
        <is>
          <t>21883</t>
        </is>
      </c>
      <c r="B21951" s="4" t="s">
        <f>=HYPERLINK("http://anyluxury.ru/shop/pismennye-prinadlezhnosti/ruchki/sharikovye/ruchka-sharikovaya-nature-plus-matt-temnoseraya-1279610/" , "12796.10 Ручка шариковая Nature Plus Matt, темно-серая")</f>
      </c>
      <c r="C21951" s="4" t="n">
        <v>79.00</v>
      </c>
      <c r="D21951" s="4"/>
    </row>
    <row collapsed="" customFormat="false" customHeight="1" hidden="" ht="14" outlineLevel="0" r="21952">
      <c r="A21952" s="3" t="inlineStr">
        <is>
          <t>21884</t>
        </is>
      </c>
      <c r="B21952" s="4" t="s">
        <f>=HYPERLINK("http://anyluxury.ru/shop/pismennye-prinadlezhnosti/ruchki/sharikovye/ruchka-sharikovaya-nature-plus-matt-seraya-1279611/" , "12796.11 Ручка шариковая Nature Plus Matt, серая")</f>
      </c>
      <c r="C21952" s="4" t="n">
        <v>79.00</v>
      </c>
      <c r="D21952" s="4"/>
    </row>
    <row collapsed="" customFormat="false" customHeight="1" hidden="" ht="14" outlineLevel="0" r="21953">
      <c r="A21953" s="3" t="inlineStr">
        <is>
          <t>21885</t>
        </is>
      </c>
      <c r="B21953" s="4" t="s">
        <f>=HYPERLINK("http://anyluxury.ru/shop/pismennye-prinadlezhnosti/ruchki/sharikovye/ruchka-sharikovaya-nature-plus-matt-zelenoe-yabloko-1279694/" , "12796.94 Ручка шариковая Nature Plus Matt, зеленое яблоко")</f>
      </c>
      <c r="C21953" s="4" t="n">
        <v>178.00</v>
      </c>
      <c r="D21953" s="4"/>
    </row>
    <row collapsed="" customFormat="false" customHeight="1" hidden="" ht="14" outlineLevel="0" r="21954">
      <c r="A21954" s="3" t="inlineStr">
        <is>
          <t>21886</t>
        </is>
      </c>
      <c r="B21954" s="4" t="s">
        <f>=HYPERLINK("http://anyluxury.ru/shop/pismennye-prinadlezhnosti/ruchki/sharikovye/ruchka-sharikovaya-nature-plus-matt-oranzhevaya-1279620/" , "12796.20 Ручка шариковая Nature Plus Matt, оранжевая")</f>
      </c>
      <c r="C21954" s="4" t="n">
        <v>178.00</v>
      </c>
      <c r="D21954" s="4"/>
    </row>
    <row collapsed="" customFormat="false" customHeight="1" hidden="" ht="14" outlineLevel="0" r="21955">
      <c r="A21955" s="3" t="inlineStr">
        <is>
          <t>21887</t>
        </is>
      </c>
      <c r="B21955" s="4" t="s">
        <f>=HYPERLINK("http://anyluxury.ru/shop/pismennye-prinadlezhnosti/ruchki/sharikovye/ruchka-sharikovaya-nature-plus-matt-sinyaya-1279640/" , "12796.40 Ручка шариковая Nature Plus Matt, синяя")</f>
      </c>
      <c r="C21955" s="4" t="n">
        <v>178.00</v>
      </c>
      <c r="D21955" s="4"/>
    </row>
    <row collapsed="" customFormat="false" customHeight="1" hidden="" ht="14" outlineLevel="0" r="21956">
      <c r="A21956" s="3" t="inlineStr">
        <is>
          <t>21888</t>
        </is>
      </c>
      <c r="B21956" s="4" t="s">
        <f>=HYPERLINK("http://anyluxury.ru/shop/pismennye-prinadlezhnosti/ruchki/sharikovye/ruchka-sharikovaya-nature-plus-matt-golubaya-1279644/" , "12796.44 Ручка шариковая Nature Plus Matt, голубая")</f>
      </c>
      <c r="C21956" s="4" t="n">
        <v>178.00</v>
      </c>
      <c r="D21956" s="4"/>
    </row>
    <row collapsed="" customFormat="false" customHeight="1" hidden="" ht="14" outlineLevel="0" r="21957">
      <c r="A21957" s="3" t="inlineStr">
        <is>
          <t>21889</t>
        </is>
      </c>
      <c r="B21957" s="4" t="s">
        <f>=HYPERLINK("http://anyluxury.ru/shop/pismennye-prinadlezhnosti/ruchki/sharikovye/ruchka-sharikovaya-nature-plus-matt-krasnaya-1279650/" , "12796.50 Ручка шариковая Nature Plus Matt, красная")</f>
      </c>
      <c r="C21957" s="4" t="n">
        <v>178.00</v>
      </c>
      <c r="D21957" s="4"/>
    </row>
    <row collapsed="" customFormat="false" customHeight="1" hidden="" ht="14" outlineLevel="0" r="21958">
      <c r="A21958" s="3" t="inlineStr">
        <is>
          <t>21890</t>
        </is>
      </c>
      <c r="B21958" s="4" t="s">
        <f>=HYPERLINK("http://anyluxury.ru/shop/pismennye-prinadlezhnosti/ruchki/sharikovye/ruchka-sharikovaya-nature-plus-matt-belaya-1279660/" , "12796.60 Ручка шариковая Nature Plus Matt, белая")</f>
      </c>
      <c r="C21958" s="4" t="n">
        <v>178.00</v>
      </c>
      <c r="D21958" s="4"/>
    </row>
    <row collapsed="" customFormat="false" customHeight="1" hidden="" ht="14" outlineLevel="0" r="21959">
      <c r="A21959" s="3" t="inlineStr">
        <is>
          <t>21891</t>
        </is>
      </c>
      <c r="B21959" s="4" t="s">
        <f>=HYPERLINK("http://anyluxury.ru/shop/pismennye-prinadlezhnosti/ruchki/sharikovye/ruchka-sharikovaya-nature-plus-matt-zheltaya-1279680/" , "12796.80 Ручка шариковая Nature Plus Matt, желтая")</f>
      </c>
      <c r="C21959" s="4" t="n">
        <v>178.00</v>
      </c>
      <c r="D21959" s="4"/>
    </row>
    <row collapsed="" customFormat="false" customHeight="1" hidden="" ht="14" outlineLevel="0" r="21960">
      <c r="A21960" s="3" t="inlineStr">
        <is>
          <t>21892</t>
        </is>
      </c>
      <c r="B21960" s="4" t="s">
        <f>=HYPERLINK("http://anyluxury.ru/shop/pismennye-prinadlezhnosti/ruchki/sharikovye/ruchka-sharikovaya-nature-plus-matt-zelenaya-1279690/" , "12796.90 Ручка шариковая Nature Plus Matt, зеленая")</f>
      </c>
      <c r="C21960" s="4" t="n">
        <v>178.00</v>
      </c>
      <c r="D21960" s="4"/>
    </row>
    <row collapsed="" customFormat="false" customHeight="1" hidden="" ht="14" outlineLevel="0" r="21961">
      <c r="A21961" s="3" t="inlineStr">
        <is>
          <t>21893</t>
        </is>
      </c>
      <c r="B21961" s="4" t="s">
        <f>=HYPERLINK("http://anyluxury.ru/shop/pismennye-prinadlezhnosti/ruchki/sharikovye/ruchka-sharikovaya-prodir-ds4-pmmp-belaya-1142460/" , "11424.60 Ручка шариковая Prodir DS4 PMM-P, белая")</f>
      </c>
      <c r="C21961" s="4" t="n">
        <v>255.00</v>
      </c>
      <c r="D21961" s="4"/>
    </row>
    <row collapsed="" customFormat="false" customHeight="1" hidden="" ht="14" outlineLevel="0" r="21962">
      <c r="A21962" s="3" t="inlineStr">
        <is>
          <t>21894</t>
        </is>
      </c>
      <c r="B21962" s="4" t="s">
        <f>=HYPERLINK("http://anyluxury.ru/shop/pismennye-prinadlezhnosti/ruchki/sharikovye/ruchka-sharikovaya-prodir-ds4-pmmp-oranzhevaya-1142420/" , "11424.20 Ручка шариковая Prodir DS4 PMM-P, оранжевая")</f>
      </c>
      <c r="C21962" s="4" t="n">
        <v>255.00</v>
      </c>
      <c r="D21962" s="4"/>
    </row>
    <row collapsed="" customFormat="false" customHeight="1" hidden="" ht="14" outlineLevel="0" r="21963">
      <c r="A21963" s="3" t="inlineStr">
        <is>
          <t>21895</t>
        </is>
      </c>
      <c r="B21963" s="4" t="s">
        <f>=HYPERLINK("http://anyluxury.ru/shop/pismennye-prinadlezhnosti/ruchki/sharikovye/ruchka-sharikovaya-prodir-ds4-pmmp-chernaya-1142430/" , "11424.30 Ручка шариковая Prodir DS4 PMM-P, черная")</f>
      </c>
      <c r="C21963" s="4" t="n">
        <v>255.00</v>
      </c>
      <c r="D21963" s="4"/>
    </row>
    <row collapsed="" customFormat="false" customHeight="1" hidden="" ht="14" outlineLevel="0" r="21964">
      <c r="A21964" s="3" t="inlineStr">
        <is>
          <t>21896</t>
        </is>
      </c>
      <c r="B21964" s="4" t="s">
        <f>=HYPERLINK("http://anyluxury.ru/shop/pismennye-prinadlezhnosti/ruchki/sharikovye/ruchka-sharikovaya-prodir-ds4-pmmp-krasnaya-1142450/" , "11424.50 Ручка шариковая Prodir DS4 PMM-P, красная")</f>
      </c>
      <c r="C21964" s="4" t="n">
        <v>216.00</v>
      </c>
      <c r="D21964" s="4"/>
    </row>
    <row collapsed="" customFormat="false" customHeight="1" hidden="" ht="14" outlineLevel="0" r="21965">
      <c r="A21965" s="3" t="inlineStr">
        <is>
          <t>21897</t>
        </is>
      </c>
      <c r="B21965" s="4" t="s">
        <f>=HYPERLINK("http://anyluxury.ru/shop/pismennye-prinadlezhnosti/ruchki/sharikovye/ruchka-sharikovaya-prodir-ds4-pmmp-sinyaya-1142440/" , "11424.40 Ручка шариковая Prodir DS4 PMM-P, синяя")</f>
      </c>
      <c r="C21965" s="4" t="n">
        <v>255.00</v>
      </c>
      <c r="D21965" s="4"/>
    </row>
    <row collapsed="" customFormat="false" customHeight="1" hidden="" ht="14" outlineLevel="0" r="21966">
      <c r="A21966" s="3" t="inlineStr">
        <is>
          <t>21898</t>
        </is>
      </c>
      <c r="B21966" s="4" t="s">
        <f>=HYPERLINK("http://anyluxury.ru/shop/pismennye-prinadlezhnosti/ruchki/sharikovye/ruchka-sharikovaya-prodir-ds4-pmmp-zelenaya-myatnaya-1142495/" , "11424.95 Ручка шариковая Prodir DS4 PMM-P, зеленая (мятная)")</f>
      </c>
      <c r="C21966" s="4" t="n">
        <v>176.00</v>
      </c>
      <c r="D21966" s="4"/>
    </row>
    <row collapsed="" customFormat="false" customHeight="1" hidden="" ht="14" outlineLevel="0" r="21967">
      <c r="A21967" s="3" t="inlineStr">
        <is>
          <t>21899</t>
        </is>
      </c>
      <c r="B21967" s="4" t="s">
        <f>=HYPERLINK("http://anyluxury.ru/shop/pismennye-prinadlezhnosti/ruchki/sharikovye/ruchka-sharikovaya-prodir-ds4-pmmp-zheltaya-1142480/" , "11424.80 Ручка шариковая Prodir DS4 PMM-P, желтая")</f>
      </c>
      <c r="C21967" s="4" t="n">
        <v>176.00</v>
      </c>
      <c r="D21967" s="4"/>
    </row>
    <row collapsed="" customFormat="false" customHeight="1" hidden="" ht="14" outlineLevel="0" r="21968">
      <c r="A21968" s="3" t="inlineStr">
        <is>
          <t>21900</t>
        </is>
      </c>
      <c r="B21968" s="4" t="s">
        <f>=HYPERLINK("http://anyluxury.ru/shop/pismennye-prinadlezhnosti/ruchki/sharikovye/ruchka-sharikovaya-prodir-ds4-pmmp-temnosinyaya-1142445/" , "11424.45 Ручка шариковая Prodir DS4 PMM-P, темно-синяя")</f>
      </c>
      <c r="C21968" s="4" t="n">
        <v>255.00</v>
      </c>
      <c r="D21968" s="4"/>
    </row>
    <row collapsed="" customFormat="false" customHeight="1" hidden="" ht="14" outlineLevel="0" r="21969">
      <c r="A21969" s="3" t="inlineStr">
        <is>
          <t>21901</t>
        </is>
      </c>
      <c r="B21969" s="4" t="s">
        <f>=HYPERLINK("http://anyluxury.ru/shop/pismennye-prinadlezhnosti/ruchki/sharikovye/ruchka-sharikovaya-prodir-ds4-pmmp-seraya-1142410/" , "11424.10 Ручка шариковая Prodir DS4 PMM-P, серая")</f>
      </c>
      <c r="C21969" s="4" t="n">
        <v>255.00</v>
      </c>
      <c r="D21969" s="4"/>
    </row>
    <row collapsed="" customFormat="false" customHeight="1" hidden="" ht="14" outlineLevel="0" r="21970">
      <c r="A21970" s="3" t="inlineStr">
        <is>
          <t>21902</t>
        </is>
      </c>
      <c r="B21970" s="4" t="s">
        <f>=HYPERLINK("http://anyluxury.ru/shop/pismennye-prinadlezhnosti/ruchki/sharikovye/ruchka-sharikovaya-prodir-ds3-tjj-regenerated-chernaya-1148730/" , "11487.30 Ручка шариковая Prodir DS3 TJJ Regenerated, черная")</f>
      </c>
      <c r="C21970" s="4" t="n">
        <v>75.00</v>
      </c>
      <c r="D21970" s="4"/>
    </row>
    <row collapsed="" customFormat="false" customHeight="1" hidden="" ht="14" outlineLevel="0" r="21971">
      <c r="A21971" s="3" t="inlineStr">
        <is>
          <t>21903</t>
        </is>
      </c>
      <c r="B21971" s="4" t="s">
        <f>=HYPERLINK("http://anyluxury.ru/shop/pismennye-prinadlezhnosti/ruchki/sharikovye/ruchka-sharikovaya-prodir-ds3-tjj-regenerated-sinyaya-1148740/" , "11487.40 Ручка шариковая Prodir DS3 TJJ Regenerated, синяя")</f>
      </c>
      <c r="C21971" s="4" t="n">
        <v>75.00</v>
      </c>
      <c r="D21971" s="4"/>
    </row>
    <row collapsed="" customFormat="false" customHeight="1" hidden="" ht="14" outlineLevel="0" r="21972">
      <c r="A21972" s="3" t="inlineStr">
        <is>
          <t>21904</t>
        </is>
      </c>
      <c r="B21972" s="4" t="s">
        <f>=HYPERLINK("http://anyluxury.ru/shop/pismennye-prinadlezhnosti/ruchki/sharikovye/ruchka-sharikovaya-prodir-ds5-tjj-regenerated-chernaya-1148830/" , "11488.30 Ручка шариковая Prodir DS5 TJJ Regenerated, черная")</f>
      </c>
      <c r="C21972" s="4" t="n">
        <v>99.00</v>
      </c>
      <c r="D21972" s="4"/>
    </row>
    <row collapsed="" customFormat="false" customHeight="1" hidden="" ht="14" outlineLevel="0" r="21973">
      <c r="A21973" s="3" t="inlineStr">
        <is>
          <t>21905</t>
        </is>
      </c>
      <c r="B21973" s="4" t="s">
        <f>=HYPERLINK("http://anyluxury.ru/shop/pismennye-prinadlezhnosti/ruchki/sharikovye/ruchka-sharikovaya-prodir-ds5-tjj-regenerated-sinyaya-1148840/" , "11488.40 Ручка шариковая Prodir DS5 TJJ Regenerated, синяя")</f>
      </c>
      <c r="C21973" s="4" t="n">
        <v>99.00</v>
      </c>
      <c r="D21973" s="4"/>
    </row>
    <row collapsed="" customFormat="false" customHeight="1" hidden="" ht="14" outlineLevel="0" r="21974">
      <c r="A21974" s="3" t="inlineStr">
        <is>
          <t>21906</t>
        </is>
      </c>
      <c r="B21974" s="4" t="s">
        <f>=HYPERLINK("http://anyluxury.ru/shop/pismennye-prinadlezhnosti/ruchki/sharikovye/ruchka-sharikovaya-chromatic-chernaya-s-krasnim-1511150/" , "15111.50 Ручка шариковая Chromatic, черная с красным")</f>
      </c>
      <c r="C21974" s="4" t="n">
        <v>107.00</v>
      </c>
      <c r="D21974" s="4"/>
    </row>
    <row collapsed="" customFormat="false" customHeight="1" hidden="" ht="14" outlineLevel="0" r="21975">
      <c r="A21975" s="3" t="inlineStr">
        <is>
          <t>21907</t>
        </is>
      </c>
      <c r="B21975" s="4" t="s">
        <f>=HYPERLINK("http://anyluxury.ru/shop/pismennye-prinadlezhnosti/ruchki/sharikovye/ruchka-sharikovaya-chromatic-chernaya-s-sinim-1511140/" , "15111.40 Ручка шариковая Chromatic, черная с синим")</f>
      </c>
      <c r="C21975" s="4" t="n">
        <v>107.00</v>
      </c>
      <c r="D21975" s="4"/>
    </row>
    <row collapsed="" customFormat="false" customHeight="1" hidden="" ht="14" outlineLevel="0" r="21976">
      <c r="A21976" s="3" t="inlineStr">
        <is>
          <t>21908</t>
        </is>
      </c>
      <c r="B21976" s="4" t="s">
        <f>=HYPERLINK("http://anyluxury.ru/shop/pismennye-prinadlezhnosti/ruchki/sharikovye/ruchka-sharikovaya-chromatic-chernaya-s-golubim-1511144/" , "15111.44 Ручка шариковая Chromatic, черная с голубым")</f>
      </c>
      <c r="C21976" s="4" t="n">
        <v>107.00</v>
      </c>
      <c r="D21976" s="4"/>
    </row>
    <row collapsed="" customFormat="false" customHeight="1" hidden="" ht="14" outlineLevel="0" r="21977">
      <c r="A21977" s="3" t="inlineStr">
        <is>
          <t>21909</t>
        </is>
      </c>
      <c r="B21977" s="4" t="s">
        <f>=HYPERLINK("http://anyluxury.ru/shop/pismennye-prinadlezhnosti/ruchki/sharikovye/ruchka-sharikovaya-chromatic-chernaya-s-oranzhevim-1511120/" , "15111.20 Ручка шариковая Chromatic, черная с оранжевым")</f>
      </c>
      <c r="C21977" s="4" t="n">
        <v>107.00</v>
      </c>
      <c r="D21977" s="4"/>
    </row>
    <row collapsed="" customFormat="false" customHeight="1" hidden="" ht="14" outlineLevel="0" r="21978">
      <c r="A21978" s="3" t="inlineStr">
        <is>
          <t>21910</t>
        </is>
      </c>
      <c r="B21978" s="4" t="s">
        <f>=HYPERLINK("http://anyluxury.ru/shop/pismennye-prinadlezhnosti/ruchki/sharikovye/ruchka-sharikovaya-chromatic-chernaya-s-serebristim-1511111/" , "15111.11 Ручка шариковая Chromatic, черная с серебристым")</f>
      </c>
      <c r="C21978" s="4" t="n">
        <v>107.00</v>
      </c>
      <c r="D21978" s="4"/>
    </row>
    <row collapsed="" customFormat="false" customHeight="1" hidden="" ht="14" outlineLevel="0" r="21979">
      <c r="A21979" s="3" t="inlineStr">
        <is>
          <t>21911</t>
        </is>
      </c>
      <c r="B21979" s="4" t="s">
        <f>=HYPERLINK("http://anyluxury.ru/shop/pismennye-prinadlezhnosti/ruchki/sharikovye/ruchka-sharikovaya-chromatic-chernaya-s-zolotistim-1511100/" , "15111.00 Ручка шариковая Chromatic, черная с золотистым")</f>
      </c>
      <c r="C21979" s="4" t="n">
        <v>107.00</v>
      </c>
      <c r="D21979" s="4"/>
    </row>
    <row collapsed="" customFormat="false" customHeight="1" hidden="" ht="14" outlineLevel="0" r="21980">
      <c r="A21980" s="3" t="inlineStr">
        <is>
          <t>21912</t>
        </is>
      </c>
      <c r="B21980" s="4" t="s">
        <f>=HYPERLINK("http://anyluxury.ru/shop/pismennye-prinadlezhnosti/ruchki/sharikovye/ruchka-sharikovaya-grapho-krasnaya-1057050/" , "10570.50 Ручка шариковая Grapho, красная")</f>
      </c>
      <c r="C21980" s="4" t="n">
        <v>48.70</v>
      </c>
      <c r="D21980" s="4"/>
    </row>
    <row collapsed="" customFormat="false" customHeight="1" hidden="" ht="14" outlineLevel="0" r="21981">
      <c r="A21981" s="3" t="inlineStr">
        <is>
          <t>21913</t>
        </is>
      </c>
      <c r="B21981" s="4" t="s">
        <f>=HYPERLINK("http://anyluxury.ru/shop/pismennye-prinadlezhnosti/ruchki/sharikovye/ruchka-sharikovaya-scribo-serostalnaya-1057111/" , "10571.11 Ручка шариковая Scribo, серо-стальная")</f>
      </c>
      <c r="C21981" s="4" t="n">
        <v>179.00</v>
      </c>
      <c r="D21981" s="4"/>
    </row>
    <row collapsed="" customFormat="false" customHeight="1" hidden="" ht="14" outlineLevel="0" r="21982">
      <c r="A21982" s="3" t="inlineStr">
        <is>
          <t>21914</t>
        </is>
      </c>
      <c r="B21982" s="4" t="s">
        <f>=HYPERLINK("http://anyluxury.ru/shop/pismennye-prinadlezhnosti/ruchki/sharikovye/ruchka-sharikovaya-scribo-chernaya-1057130/" , "10571.30 Ручка шариковая Scribo, черная")</f>
      </c>
      <c r="C21982" s="4" t="n">
        <v>179.00</v>
      </c>
      <c r="D21982" s="4"/>
    </row>
    <row collapsed="" customFormat="false" customHeight="1" hidden="" ht="14" outlineLevel="0" r="21983">
      <c r="A21983" s="3" t="inlineStr">
        <is>
          <t>21915</t>
        </is>
      </c>
      <c r="B21983" s="4" t="s">
        <f>=HYPERLINK("http://anyluxury.ru/shop/pismennye-prinadlezhnosti/ruchki/sharikovye/ruchka-sharikovaya-scribo-krasnaya-1057150/" , "10571.50 Ручка шариковая Scribo, красная")</f>
      </c>
      <c r="C21983" s="4" t="n">
        <v>179.00</v>
      </c>
      <c r="D21983" s="4"/>
    </row>
    <row collapsed="" customFormat="false" customHeight="1" hidden="" ht="14" outlineLevel="0" r="21984">
      <c r="A21984" s="3" t="inlineStr">
        <is>
          <t>21916</t>
        </is>
      </c>
      <c r="B21984" s="4" t="s">
        <f>=HYPERLINK("http://anyluxury.ru/shop/pismennye-prinadlezhnosti/ruchki/sharikovye/roller-parker-im-core-t321-brushed-metal-gt-f-11928/" , "11928 Роллер Parker IM Core T321 Brushed Metal GT F")</f>
      </c>
      <c r="C21984" s="4" t="n">
        <v>8097.00</v>
      </c>
      <c r="D21984" s="4"/>
    </row>
    <row collapsed="" customFormat="false" customHeight="1" hidden="" ht="14" outlineLevel="0" r="21985">
      <c r="A21985" s="3" t="inlineStr">
        <is>
          <t>21917</t>
        </is>
      </c>
      <c r="B21985" s="4" t="s">
        <f>=HYPERLINK("http://anyluxury.ru/shop/pismennye-prinadlezhnosti/ruchki/sharikovye/roller-parker-im-core-t321-black-gt-f-11929/" , "11929 Роллер Parker IM Core T321 Black GT F")</f>
      </c>
      <c r="C21985" s="4" t="n">
        <v>8875.00</v>
      </c>
      <c r="D21985" s="4"/>
    </row>
    <row collapsed="" customFormat="false" customHeight="1" hidden="" ht="14" outlineLevel="0" r="21986">
      <c r="A21986" s="3" t="inlineStr">
        <is>
          <t>21918</t>
        </is>
      </c>
      <c r="B21986" s="4" t="s">
        <f>=HYPERLINK("http://anyluxury.ru/shop/pismennye-prinadlezhnosti/ruchki/sharikovye/ruchka-sharikovaya-pigra-p02-mat-belaya-1158160/" , "11581.60 Ручка шариковая Pigra P02 Mat, белая")</f>
      </c>
      <c r="C21986" s="4" t="n">
        <v>99.00</v>
      </c>
      <c r="D21986" s="4"/>
    </row>
    <row collapsed="" customFormat="false" customHeight="1" hidden="" ht="14" outlineLevel="0" r="21987">
      <c r="A21987" s="3" t="inlineStr">
        <is>
          <t>21919</t>
        </is>
      </c>
      <c r="B21987" s="4" t="s">
        <f>=HYPERLINK("http://anyluxury.ru/shop/pismennye-prinadlezhnosti/ruchki/sharikovye/ruchka-sharikovaya-pigra-p02-mat-temnosinyaya-s-belim-1158146/" , "11581.46 Ручка шариковая Pigra P02 Mat, темно-синяя с белым")</f>
      </c>
      <c r="C21987" s="4" t="n">
        <v>99.00</v>
      </c>
      <c r="D21987" s="4"/>
    </row>
    <row collapsed="" customFormat="false" customHeight="1" hidden="" ht="14" outlineLevel="0" r="21988">
      <c r="A21988" s="3" t="inlineStr">
        <is>
          <t>21920</t>
        </is>
      </c>
      <c r="B21988" s="4" t="s">
        <f>=HYPERLINK("http://anyluxury.ru/shop/pismennye-prinadlezhnosti/ruchki/sharikovye/ruchka-sharikovaya-pigra-p03-mat-krasnaya-s-belim-1158356/" , "11583.56 Ручка шариковая Pigra P03 Mat, красная с белым")</f>
      </c>
      <c r="C21988" s="4" t="n">
        <v>55.00</v>
      </c>
      <c r="D21988" s="4"/>
    </row>
    <row collapsed="" customFormat="false" customHeight="1" hidden="" ht="14" outlineLevel="0" r="21989">
      <c r="A21989" s="3" t="inlineStr">
        <is>
          <t>21921</t>
        </is>
      </c>
      <c r="B21989" s="4" t="s">
        <f>=HYPERLINK("http://anyluxury.ru/shop/pismennye-prinadlezhnosti/ruchki/sharikovye/ruchka-sharikovaya-pigra-p03-mat-temnosinyaya-s-belim-1158346/" , "11583.46 Ручка шариковая Pigra P03 Mat, темно-синяя с белым")</f>
      </c>
      <c r="C21989" s="4" t="n">
        <v>55.00</v>
      </c>
      <c r="D21989" s="4"/>
    </row>
    <row collapsed="" customFormat="false" customHeight="1" hidden="" ht="14" outlineLevel="0" r="21990">
      <c r="A21990" s="3" t="inlineStr">
        <is>
          <t>21922</t>
        </is>
      </c>
      <c r="B21990" s="4" t="s">
        <f>=HYPERLINK("http://anyluxury.ru/shop/pismennye-prinadlezhnosti/ruchki/sharikovye/ruchka-sharikovaya-pigra-p03-mat-chernaya-s-belim-1158336/" , "11583.36 Ручка шариковая Pigra P03 Mat, черная с белым")</f>
      </c>
      <c r="C21990" s="4" t="n">
        <v>55.00</v>
      </c>
      <c r="D21990" s="4"/>
    </row>
    <row collapsed="" customFormat="false" customHeight="1" hidden="" ht="14" outlineLevel="0" r="21991">
      <c r="A21991" s="3" t="inlineStr">
        <is>
          <t>21923</t>
        </is>
      </c>
      <c r="B21991" s="4" t="s">
        <f>=HYPERLINK("http://anyluxury.ru/shop/pismennye-prinadlezhnosti/ruchki/sharikovye/sharikovaya-ruchka-alt-belaya-201015100/" , "201015.100 Шариковая ручка Alt, белая")</f>
      </c>
      <c r="C21991" s="4" t="n">
        <v>176.00</v>
      </c>
      <c r="D21991" s="4"/>
    </row>
    <row collapsed="" customFormat="false" customHeight="1" hidden="" ht="14" outlineLevel="0" r="21992">
      <c r="A21992" s="3" t="inlineStr">
        <is>
          <t>21924</t>
        </is>
      </c>
      <c r="B21992" s="4" t="s">
        <f>=HYPERLINK("http://anyluxury.ru/shop/pismennye-prinadlezhnosti/ruchki/sharikovye/sharikovaya-ruchka-alt-zelenaya-201015040/" , "201015.040 Шариковая ручка Alt, зеленая")</f>
      </c>
      <c r="C21992" s="4" t="n">
        <v>176.00</v>
      </c>
      <c r="D21992" s="4"/>
    </row>
    <row collapsed="" customFormat="false" customHeight="1" hidden="" ht="14" outlineLevel="0" r="21993">
      <c r="A21993" s="3" t="inlineStr">
        <is>
          <t>21925</t>
        </is>
      </c>
      <c r="B21993" s="4" t="s">
        <f>=HYPERLINK("http://anyluxury.ru/shop/pismennye-prinadlezhnosti/ruchki/sharikovye/sharikovaya-ruchka-alt-krasnaya-201015060/" , "201015.060 Шариковая ручка Alt, красная")</f>
      </c>
      <c r="C21993" s="4" t="n">
        <v>176.00</v>
      </c>
      <c r="D21993" s="4"/>
    </row>
    <row collapsed="" customFormat="false" customHeight="1" hidden="" ht="14" outlineLevel="0" r="21994">
      <c r="A21994" s="3" t="inlineStr">
        <is>
          <t>21926</t>
        </is>
      </c>
      <c r="B21994" s="4" t="s">
        <f>=HYPERLINK("http://anyluxury.ru/shop/pismennye-prinadlezhnosti/ruchki/sharikovye/sharikovaya-ruchka-alt-sinyaya-201015030/" , "201015.030 Шариковая ручка Alt, синяя")</f>
      </c>
      <c r="C21994" s="4" t="n">
        <v>176.00</v>
      </c>
      <c r="D21994" s="4"/>
    </row>
    <row collapsed="" customFormat="false" customHeight="1" hidden="" ht="14" outlineLevel="0" r="21995">
      <c r="A21995" s="3" t="inlineStr">
        <is>
          <t>21927</t>
        </is>
      </c>
      <c r="B21995" s="4" t="s">
        <f>=HYPERLINK("http://anyluxury.ru/shop/pismennye-prinadlezhnosti/ruchki/sharikovye/sharikovaya-ruchka-alt-chernaya-201015010/" , "201015.010 Шариковая ручка Alt, черная")</f>
      </c>
      <c r="C21995" s="4" t="n">
        <v>176.00</v>
      </c>
      <c r="D21995" s="4"/>
    </row>
    <row collapsed="" customFormat="false" customHeight="1" hidden="" ht="14" outlineLevel="0" r="21996">
      <c r="A21996" s="3" t="inlineStr">
        <is>
          <t>21928</t>
        </is>
      </c>
      <c r="B21996" s="4" t="s">
        <f>=HYPERLINK("http://anyluxury.ru/shop/pismennye-prinadlezhnosti/ruchki/sharikovye/sharikovaya-ruchka-cordo-oranzhevaya-206011070/" , "206011.070 Шариковая ручка Cordo, оранжевая")</f>
      </c>
      <c r="C21996" s="4" t="n">
        <v>60.00</v>
      </c>
      <c r="D21996" s="4"/>
    </row>
    <row collapsed="" customFormat="false" customHeight="1" hidden="" ht="14" outlineLevel="0" r="21997">
      <c r="A21997" s="3" t="inlineStr">
        <is>
          <t>21929</t>
        </is>
      </c>
      <c r="B21997" s="4" t="s">
        <f>=HYPERLINK("http://anyluxury.ru/shop/pismennye-prinadlezhnosti/ruchki/sharikovye/sharikovaya-ruchka-levi-belaya-209012100/" , "209012.100 Шариковая ручка Levi, белая")</f>
      </c>
      <c r="C21997" s="4" t="n">
        <v>169.00</v>
      </c>
      <c r="D21997" s="4"/>
    </row>
    <row collapsed="" customFormat="false" customHeight="1" hidden="" ht="14" outlineLevel="0" r="21998">
      <c r="A21998" s="3" t="inlineStr">
        <is>
          <t>21930</t>
        </is>
      </c>
      <c r="B21998" s="4" t="s">
        <f>=HYPERLINK("http://anyluxury.ru/shop/pismennye-prinadlezhnosti/ruchki/sharikovye/sharikovaya-ruchka-levi-bordovaya-209012050/" , "209012.050 Шариковая ручка Levi, бордовая")</f>
      </c>
      <c r="C21998" s="4" t="n">
        <v>124.00</v>
      </c>
      <c r="D21998" s="4"/>
    </row>
    <row collapsed="" customFormat="false" customHeight="1" hidden="" ht="14" outlineLevel="0" r="21999">
      <c r="A21999" s="3" t="inlineStr">
        <is>
          <t>21931</t>
        </is>
      </c>
      <c r="B21999" s="4" t="s">
        <f>=HYPERLINK("http://anyluxury.ru/shop/pismennye-prinadlezhnosti/ruchki/sharikovye/sharikovaya-ruchka-levi-seraya-209012080/" , "209012.080 Шариковая ручка Levi, серая")</f>
      </c>
      <c r="C21999" s="4" t="n">
        <v>169.00</v>
      </c>
      <c r="D21999" s="4"/>
    </row>
    <row collapsed="" customFormat="false" customHeight="1" hidden="" ht="14" outlineLevel="0" r="22000">
      <c r="A22000" s="3" t="inlineStr">
        <is>
          <t>21932</t>
        </is>
      </c>
      <c r="B22000" s="4" t="s">
        <f>=HYPERLINK("http://anyluxury.ru/shop/pismennye-prinadlezhnosti/ruchki/sharikovye/sharikovaya-ruchka-levi-sinyaya-209012030/" , "209012.030 Шариковая ручка Levi, синяя")</f>
      </c>
      <c r="C22000" s="4" t="n">
        <v>169.00</v>
      </c>
      <c r="D22000" s="4"/>
    </row>
    <row collapsed="" customFormat="false" customHeight="1" hidden="" ht="14" outlineLevel="0" r="22001">
      <c r="A22001" s="3" t="inlineStr">
        <is>
          <t>21933</t>
        </is>
      </c>
      <c r="B22001" s="4" t="s">
        <f>=HYPERLINK("http://anyluxury.ru/shop/pismennye-prinadlezhnosti/ruchki/sharikovye/sharikovaya-ruchka-levi-chernaya-209012010/" , "209012.010 Шариковая ручка Levi, черная")</f>
      </c>
      <c r="C22001" s="4" t="n">
        <v>169.00</v>
      </c>
      <c r="D22001" s="4"/>
    </row>
    <row collapsed="" customFormat="false" customHeight="1" hidden="" ht="14" outlineLevel="0" r="22002">
      <c r="A22002" s="3" t="inlineStr">
        <is>
          <t>21934</t>
        </is>
      </c>
      <c r="B22002" s="4" t="s">
        <f>=HYPERLINK("http://anyluxury.ru/shop/pismennye-prinadlezhnosti/ruchki/sharikovye/sharikovaya-ruchka-sonata-bp-belaya-208607100/" , "208607.100 Шариковая ручка Sonata BP, белая")</f>
      </c>
      <c r="C22002" s="4" t="n">
        <v>625.00</v>
      </c>
      <c r="D22002" s="4"/>
    </row>
    <row collapsed="" customFormat="false" customHeight="1" hidden="" ht="14" outlineLevel="0" r="22003">
      <c r="A22003" s="3" t="inlineStr">
        <is>
          <t>21935</t>
        </is>
      </c>
      <c r="B22003" s="4" t="s">
        <f>=HYPERLINK("http://anyluxury.ru/shop/pismennye-prinadlezhnosti/ruchki/sharikovye/sharikovaya-ruchka-sonata-bp-serebro-208607110/" , "208607.110 Шариковая ручка Sonata BP, серебро")</f>
      </c>
      <c r="C22003" s="4" t="n">
        <v>625.00</v>
      </c>
      <c r="D22003" s="4"/>
    </row>
    <row collapsed="" customFormat="false" customHeight="1" hidden="" ht="14" outlineLevel="0" r="22004">
      <c r="A22004" s="3" t="inlineStr">
        <is>
          <t>21936</t>
        </is>
      </c>
      <c r="B22004" s="4" t="s">
        <f>=HYPERLINK("http://anyluxury.ru/shop/pismennye-prinadlezhnosti/ruchki/sharikovye/sharikovaya-ruchka-sonata-bp-sinyaya-208607030/" , "208607.030 Шариковая ручка Sonata BP, синяя")</f>
      </c>
      <c r="C22004" s="4" t="n">
        <v>625.00</v>
      </c>
      <c r="D22004" s="4"/>
    </row>
    <row collapsed="" customFormat="false" customHeight="1" hidden="" ht="14" outlineLevel="0" r="22005">
      <c r="A22005" s="3" t="inlineStr">
        <is>
          <t>21937</t>
        </is>
      </c>
      <c r="B22005" s="4" t="s">
        <f>=HYPERLINK("http://anyluxury.ru/shop/pismennye-prinadlezhnosti/ruchki/sharikovye/sharikovaya-ruchka-sonata-bp-chernaya-208607010/" , "208607.010 Шариковая ручка Sonata BP, черная")</f>
      </c>
      <c r="C22005" s="4" t="n">
        <v>625.00</v>
      </c>
      <c r="D22005" s="4"/>
    </row>
    <row collapsed="" customFormat="false" customHeight="1" hidden="" ht="14" outlineLevel="0" r="22006">
      <c r="A22006" s="3" t="inlineStr">
        <is>
          <t>21938</t>
        </is>
      </c>
      <c r="B22006" s="4" t="s">
        <f>=HYPERLINK("http://anyluxury.ru/shop/pismennye-prinadlezhnosti/ruchki/sharikovye/ruchka-sharikovaya-blade-soft-touch-chernaya-1314130/" , "13141.30 Ручка шариковая Blade Soft Touch, черная")</f>
      </c>
      <c r="C22006" s="4" t="n">
        <v>470.00</v>
      </c>
      <c r="D22006" s="4"/>
    </row>
    <row collapsed="" customFormat="false" customHeight="1" hidden="" ht="14" outlineLevel="0" r="22007">
      <c r="A22007" s="3" t="inlineStr">
        <is>
          <t>21939</t>
        </is>
      </c>
      <c r="B22007" s="4" t="s">
        <f>=HYPERLINK("http://anyluxury.ru/shop/pismennye-prinadlezhnosti/ruchki/sharikovye/ruchka-sharikovaya-blade-soft-touch-sinyaya-1314140/" , "13141.40 Ручка шариковая Blade Soft Touch, синяя")</f>
      </c>
      <c r="C22007" s="4" t="n">
        <v>470.00</v>
      </c>
      <c r="D22007" s="4"/>
    </row>
    <row collapsed="" customFormat="false" customHeight="1" hidden="" ht="14" outlineLevel="0" r="22008">
      <c r="A22008" s="3" t="inlineStr">
        <is>
          <t>21940</t>
        </is>
      </c>
      <c r="B22008" s="4" t="s">
        <f>=HYPERLINK("http://anyluxury.ru/shop/pismennye-prinadlezhnosti/ruchki/sharikovye/ruchka-sharikovaya-blade-soft-touch-krasnaya-1314150/" , "13141.50 Ручка шариковая Blade Soft Touch, красная")</f>
      </c>
      <c r="C22008" s="4" t="n">
        <v>470.00</v>
      </c>
      <c r="D22008" s="4"/>
    </row>
    <row collapsed="" customFormat="false" customHeight="1" hidden="" ht="14" outlineLevel="0" r="22009">
      <c r="A22009" s="3" t="inlineStr">
        <is>
          <t>21941</t>
        </is>
      </c>
      <c r="B22009" s="4" t="s">
        <f>=HYPERLINK("http://anyluxury.ru/shop/pismennye-prinadlezhnosti/ruchki/sharikovye/ruchka-sharikovaya-blade-soft-touch-oranzhevaya-1314120/" , "13141.20 Ручка шариковая Blade Soft Touch, оранжевая")</f>
      </c>
      <c r="C22009" s="4" t="n">
        <v>470.00</v>
      </c>
      <c r="D22009" s="4"/>
    </row>
    <row collapsed="" customFormat="false" customHeight="1" hidden="" ht="14" outlineLevel="0" r="22010">
      <c r="A22010" s="3" t="inlineStr">
        <is>
          <t>21942</t>
        </is>
      </c>
      <c r="B22010" s="4" t="s">
        <f>=HYPERLINK("http://anyluxury.ru/shop/pismennye-prinadlezhnosti/ruchki/sharikovye/ruchka-sharikovaya-blade-soft-touch-belaya-1314160/" , "13141.60 Ручка шариковая Blade Soft Touch, белая")</f>
      </c>
      <c r="C22010" s="4" t="n">
        <v>470.00</v>
      </c>
      <c r="D22010" s="4"/>
    </row>
    <row collapsed="" customFormat="false" customHeight="1" hidden="" ht="14" outlineLevel="0" r="22011">
      <c r="A22011" s="3" t="inlineStr">
        <is>
          <t>21943</t>
        </is>
      </c>
      <c r="B22011" s="4" t="s">
        <f>=HYPERLINK("http://anyluxury.ru/shop/pismennye-prinadlezhnosti/ruchki/sharikovye/ruchka-sharikovaya-parker-vector-steel-k03-stainless-steel-ct-m-sinie-chernila-podar-kor/" , "2025445 Ручка шариковая Parker Vector Steel K03 Stainless Steel CT M синие чернила подар.кор.")</f>
      </c>
      <c r="C22011" s="4" t="n">
        <v>1790.00</v>
      </c>
      <c r="D22011" s="4"/>
    </row>
    <row collapsed="" customFormat="false" customHeight="1" hidden="" ht="14" outlineLevel="0" r="22012">
      <c r="A22012" s="3" t="inlineStr">
        <is>
          <t>21944</t>
        </is>
      </c>
      <c r="B22012" s="4" t="s">
        <f>=HYPERLINK("http://anyluxury.ru/shop/pismennye-prinadlezhnosti/ruchki/sharikovye/ruchka-sharikovaya-parker-jotter-k60-krasnyy-m-sinie-chernila/" , "R0033330 Ручка шариковая Parker Jotter K60 красный M синие чернила")</f>
      </c>
      <c r="C22012" s="4" t="n">
        <v>790.00</v>
      </c>
      <c r="D22012" s="4"/>
    </row>
    <row collapsed="" customFormat="false" customHeight="1" hidden="" ht="14" outlineLevel="0" r="22013">
      <c r="A22013" s="3" t="inlineStr">
        <is>
          <t>21945</t>
        </is>
      </c>
      <c r="B22013" s="4" t="s">
        <f>=HYPERLINK("http://anyluxury.ru/shop/pismennye-prinadlezhnosti/ruchki/sharikovye/ruchka-sharikovaya-parker-jotter-k60-blue-m-sinie-chernila-podar-kor/" , "R0033170 Ручка шариковая Parker Jotter K60 Blue M синие чернила подар.кор.")</f>
      </c>
      <c r="C22013" s="4" t="n">
        <v>790.00</v>
      </c>
      <c r="D22013" s="4"/>
    </row>
    <row collapsed="" customFormat="false" customHeight="1" hidden="" ht="14" outlineLevel="0" r="22014">
      <c r="A22014" s="3" t="inlineStr">
        <is>
          <t>21946</t>
        </is>
      </c>
      <c r="B22014" s="4" t="s">
        <f>=HYPERLINK("http://anyluxury.ru/shop/pismennye-prinadlezhnosti/ruchki/sharikovye/ruchka-sharikovaya-parker-jotter-k60-black-m-sinie-chernila-podar-kor/" , "R0033010 Ручка шариковая Parker Jotter K60 Black M синие чернила подар.кор.")</f>
      </c>
      <c r="C22014" s="4" t="n">
        <v>790.00</v>
      </c>
      <c r="D22014" s="4"/>
    </row>
    <row collapsed="" customFormat="false" customHeight="1" hidden="" ht="14" outlineLevel="0" r="22015">
      <c r="A22015" s="3" t="inlineStr">
        <is>
          <t>21947</t>
        </is>
      </c>
      <c r="B22015" s="4" t="s">
        <f>=HYPERLINK("http://anyluxury.ru/shop/pismennye-prinadlezhnosti/ruchki/sharikovye/ruchka-sharikovaya-parker-jotter-k60-belyy-m-sinie-chernila-podar-kor/" , "R0032930 Ручка шариковая Parker Jotter K60 белый M синие чернила подар.кор.")</f>
      </c>
      <c r="C22015" s="4" t="n">
        <v>790.00</v>
      </c>
      <c r="D22015" s="4"/>
    </row>
    <row collapsed="" customFormat="false" customHeight="1" hidden="" ht="14" outlineLevel="0" r="22016">
      <c r="A22016" s="3" t="inlineStr">
        <is>
          <t>21948</t>
        </is>
      </c>
      <c r="B22016" s="4" t="s">
        <f>=HYPERLINK("http://anyluxury.ru/shop/pismennye-prinadlezhnosti/ruchki/sharikovye/ruchka-sharikovaya-chromatic-chernaya-s-zelenim-1511190/" , "15111.90 Ручка шариковая Chromatic, черная с зеленым")</f>
      </c>
      <c r="C22016" s="4" t="n">
        <v>107.00</v>
      </c>
      <c r="D22016" s="4"/>
    </row>
    <row collapsed="" customFormat="false" customHeight="1" hidden="" ht="14" outlineLevel="0" r="22017">
      <c r="A22017" s="3" t="inlineStr">
        <is>
          <t>21949</t>
        </is>
      </c>
      <c r="B22017" s="4" t="s">
        <f>=HYPERLINK("http://anyluxury.ru/shop/pismennye-prinadlezhnosti/ruchki/sharikovye/ruchka-sharikovaya-prodir-qs40-pmpp-air-belaya-1164260/" , "11642.60 Ручка шариковая Prodir QS40 PMP-P Air, белая")</f>
      </c>
      <c r="C22017" s="4" t="n">
        <v>235.00</v>
      </c>
      <c r="D22017" s="4"/>
    </row>
    <row collapsed="" customFormat="false" customHeight="1" hidden="" ht="14" outlineLevel="0" r="22018">
      <c r="A22018" s="3" t="inlineStr">
        <is>
          <t>21950</t>
        </is>
      </c>
      <c r="B22018" s="4" t="s">
        <f>=HYPERLINK("http://anyluxury.ru/shop/pismennye-prinadlezhnosti/ruchki/sharikovye/ruchka-sharikovaya-favorite-belaya-2590060/" , "25900.60 Ручка шариковая Favorite, белая")</f>
      </c>
      <c r="C22018" s="4" t="n">
        <v>14.60</v>
      </c>
      <c r="D22018" s="4"/>
    </row>
    <row collapsed="" customFormat="false" customHeight="1" hidden="" ht="14" outlineLevel="0" r="22019">
      <c r="A22019" s="3" t="inlineStr">
        <is>
          <t>21951</t>
        </is>
      </c>
      <c r="B22019" s="4" t="s">
        <f>=HYPERLINK("http://anyluxury.ru/shop/pismennye-prinadlezhnosti/ruchki/sharikovye/ruchka-sharikovaya-favorite-belaya-s-sinim-2590064/" , "25900.64 Ручка шариковая Favorite, белая с синим")</f>
      </c>
      <c r="C22019" s="4" t="n">
        <v>14.60</v>
      </c>
      <c r="D22019" s="4"/>
    </row>
    <row collapsed="" customFormat="false" customHeight="1" hidden="" ht="14" outlineLevel="0" r="22020">
      <c r="A22020" s="3" t="inlineStr">
        <is>
          <t>21952</t>
        </is>
      </c>
      <c r="B22020" s="4" t="s">
        <f>=HYPERLINK("http://anyluxury.ru/shop/pismennye-prinadlezhnosti/ruchki/sharikovye/ruchka-sharikovaya-favorite-belaya-s-krasnim-2590065/" , "25900.65 Ручка шариковая Favorite, белая с красным")</f>
      </c>
      <c r="C22020" s="4" t="n">
        <v>14.60</v>
      </c>
      <c r="D22020" s="4"/>
    </row>
    <row collapsed="" customFormat="false" customHeight="1" hidden="" ht="14" outlineLevel="0" r="22021">
      <c r="A22021" s="3" t="inlineStr">
        <is>
          <t>21953</t>
        </is>
      </c>
      <c r="B22021" s="4" t="s">
        <f>=HYPERLINK("http://anyluxury.ru/shop/pismennye-prinadlezhnosti/ruchki/sharikovye/ruchka-sharikovaya-favorite-belaya-s-zelenim-2590069/" , "25900.69 Ручка шариковая Favorite, белая с зеленым")</f>
      </c>
      <c r="C22021" s="4" t="n">
        <v>14.60</v>
      </c>
      <c r="D22021" s="4"/>
    </row>
    <row collapsed="" customFormat="false" customHeight="1" hidden="" ht="14" outlineLevel="0" r="22022">
      <c r="A22022" s="3" t="inlineStr">
        <is>
          <t>21954</t>
        </is>
      </c>
      <c r="B22022" s="4" t="s">
        <f>=HYPERLINK("http://anyluxury.ru/shop/pismennye-prinadlezhnosti/ruchki/sharikovye/ruchka-sharikovaya-favorite-belaya-s-oranzhevim-2590062/" , "25900.62 Ручка шариковая Favorite, белая с оранжевым")</f>
      </c>
      <c r="C22022" s="4" t="n">
        <v>14.60</v>
      </c>
      <c r="D22022" s="4"/>
    </row>
    <row collapsed="" customFormat="false" customHeight="1" hidden="" ht="14" outlineLevel="0" r="22023">
      <c r="A22023" s="3" t="inlineStr">
        <is>
          <t>21955</t>
        </is>
      </c>
      <c r="B22023" s="4" t="s">
        <f>=HYPERLINK("http://anyluxury.ru/shop/pismennye-prinadlezhnosti/ruchki/sharikovye/ruchka-sharikovaya-favorite-belaya-s-chernim-2590063/" , "25900.63 Ручка шариковая Favorite, белая с черным")</f>
      </c>
      <c r="C22023" s="4" t="n">
        <v>14.60</v>
      </c>
      <c r="D22023" s="4"/>
    </row>
    <row collapsed="" customFormat="false" customHeight="1" hidden="" ht="14" outlineLevel="0" r="22024">
      <c r="A22024" s="3" t="inlineStr">
        <is>
          <t>21956</t>
        </is>
      </c>
      <c r="B22024" s="4" t="s">
        <f>=HYPERLINK("http://anyluxury.ru/shop/pismennye-prinadlezhnosti/ruchki/sharikovye/ruchka-sharikovaya-favorite-belaya-s-golubim-2590044/" , "25900.44 Ручка шариковая Favorite, белая с голубым")</f>
      </c>
      <c r="C22024" s="4" t="n">
        <v>14.60</v>
      </c>
      <c r="D22024" s="4"/>
    </row>
    <row collapsed="" customFormat="false" customHeight="1" hidden="" ht="14" outlineLevel="0" r="22025">
      <c r="A22025" s="3" t="inlineStr">
        <is>
          <t>21957</t>
        </is>
      </c>
      <c r="B22025" s="4" t="s">
        <f>=HYPERLINK("http://anyluxury.ru/shop/pismennye-prinadlezhnosti/ruchki/sharikovye/sharikovaya-ruchka-levi-bordovaya-209012060/" , "209012.060 Шариковая ручка Levi, бордовая")</f>
      </c>
      <c r="C22025" s="4" t="n">
        <v>140.00</v>
      </c>
      <c r="D22025" s="4"/>
    </row>
    <row collapsed="" customFormat="false" customHeight="1" hidden="" ht="14" outlineLevel="0" r="22026">
      <c r="A22026" s="3" t="inlineStr">
        <is>
          <t>21958</t>
        </is>
      </c>
      <c r="B22026" s="4" t="s">
        <f>=HYPERLINK("http://anyluxury.ru/shop/pismennye-prinadlezhnosti/ruchki/sharikovye/ruchka-sharikovaya-favorite-eco-2590106/" , "25901.06 Ручка шариковая Favorite Eco")</f>
      </c>
      <c r="C22026" s="4" t="n">
        <v>21.00</v>
      </c>
      <c r="D22026" s="4"/>
    </row>
    <row collapsed="" customFormat="false" customHeight="1" hidden="" ht="14" outlineLevel="0" r="22027">
      <c r="A22027" s="3" t="inlineStr">
        <is>
          <t>21959</t>
        </is>
      </c>
      <c r="B22027" s="4" t="s">
        <f>=HYPERLINK("http://anyluxury.ru/shop/pismennye-prinadlezhnosti/ruchki/sharikovye/sharikovaya-ruchka-city-chernaya-16bp4209010/" , "16BP4209-010 Шариковая ручка City, черная")</f>
      </c>
      <c r="C22027" s="4" t="n">
        <v>95.00</v>
      </c>
      <c r="D22027" s="4"/>
    </row>
    <row collapsed="" customFormat="false" customHeight="1" hidden="" ht="14" outlineLevel="0" r="22028">
      <c r="A22028" s="3" t="inlineStr">
        <is>
          <t>21960</t>
        </is>
      </c>
      <c r="B22028" s="4" t="s">
        <f>=HYPERLINK("http://anyluxury.ru/shop/pismennye-prinadlezhnosti/ruchki/sharikovye/sharikovaya-ruchka-alpha-serebryanaya-173207080/" , "173207.080 Шариковая ручка Alpha, серебряная")</f>
      </c>
      <c r="C22028" s="4" t="n">
        <v>120.00</v>
      </c>
      <c r="D22028" s="4"/>
    </row>
    <row collapsed="" customFormat="false" customHeight="1" hidden="" ht="14" outlineLevel="0" r="22029">
      <c r="A22029" s="3" t="inlineStr">
        <is>
          <t>21961</t>
        </is>
      </c>
      <c r="B22029" s="4" t="s">
        <f>=HYPERLINK("http://anyluxury.ru/shop/pismennye-prinadlezhnosti/ruchki/sharikovye/sharikovaya-ruchka-alpha-sinyaya-173207030/" , "173207.030 Шариковая ручка Alpha, синяя")</f>
      </c>
      <c r="C22029" s="4" t="n">
        <v>120.00</v>
      </c>
      <c r="D22029" s="4"/>
    </row>
    <row collapsed="" customFormat="false" customHeight="1" hidden="" ht="14" outlineLevel="0" r="22030">
      <c r="A22030" s="3" t="inlineStr">
        <is>
          <t>21962</t>
        </is>
      </c>
      <c r="B22030" s="4" t="s">
        <f>=HYPERLINK("http://anyluxury.ru/shop/pismennye-prinadlezhnosti/ruchki/sharikovye/sharikovaya-ruchka-alpha-chernaya-173207010/" , "173207.010 Шариковая ручка Alpha, черная")</f>
      </c>
      <c r="C22030" s="4" t="n">
        <v>120.00</v>
      </c>
      <c r="D22030" s="4"/>
    </row>
    <row collapsed="" customFormat="false" customHeight="1" hidden="" ht="14" outlineLevel="0" r="22031">
      <c r="A22031" s="3" t="inlineStr">
        <is>
          <t>21963</t>
        </is>
      </c>
      <c r="B22031" s="4" t="s">
        <f>=HYPERLINK("http://anyluxury.ru/shop/pismennye-prinadlezhnosti/ruchki/sharikovye/sharikovaya-ruchka-city-chernaya-164209010/" , "164209.010 Шариковая ручка City, черная")</f>
      </c>
      <c r="C22031" s="4" t="n">
        <v>88.00</v>
      </c>
      <c r="D22031" s="4"/>
    </row>
    <row collapsed="" customFormat="false" customHeight="1" hidden="" ht="14" outlineLevel="0" r="22032">
      <c r="A22032" s="3" t="inlineStr">
        <is>
          <t>21964</t>
        </is>
      </c>
      <c r="B22032" s="4" t="s">
        <f>=HYPERLINK("http://anyluxury.ru/shop/pismennye-prinadlezhnosti/ruchki/sharikovye/sharikovaya-ruchka-comet-krasnaya-183011060/" , "183011.060 Шариковая ручка Comet, красная")</f>
      </c>
      <c r="C22032" s="4" t="n">
        <v>241.00</v>
      </c>
      <c r="D22032" s="4"/>
    </row>
    <row collapsed="" customFormat="false" customHeight="1" hidden="" ht="14" outlineLevel="0" r="22033">
      <c r="A22033" s="3" t="inlineStr">
        <is>
          <t>21965</t>
        </is>
      </c>
      <c r="B22033" s="4" t="s">
        <f>=HYPERLINK("http://anyluxury.ru/shop/pismennye-prinadlezhnosti/ruchki/sharikovye/sharikovaya-ruchka-comet-sinyaya-183011030/" , "183011.030 Шариковая ручка Comet, синяя")</f>
      </c>
      <c r="C22033" s="4" t="n">
        <v>241.00</v>
      </c>
      <c r="D22033" s="4"/>
    </row>
    <row collapsed="" customFormat="false" customHeight="1" hidden="" ht="14" outlineLevel="0" r="22034">
      <c r="A22034" s="3" t="inlineStr">
        <is>
          <t>21966</t>
        </is>
      </c>
      <c r="B22034" s="4" t="s">
        <f>=HYPERLINK("http://anyluxury.ru/shop/pismennye-prinadlezhnosti/ruchki/sharikovye/sharikovaya-ruchka-consul-sinyaya-171006030/" , "171006.030 Шариковая ручка Consul, синяя")</f>
      </c>
      <c r="C22034" s="4" t="n">
        <v>229.00</v>
      </c>
      <c r="D22034" s="4"/>
    </row>
    <row collapsed="" customFormat="false" customHeight="1" hidden="" ht="14" outlineLevel="0" r="22035">
      <c r="A22035" s="3" t="inlineStr">
        <is>
          <t>21967</t>
        </is>
      </c>
      <c r="B22035" s="4" t="s">
        <f>=HYPERLINK("http://anyluxury.ru/shop/pismennye-prinadlezhnosti/ruchki/sharikovye/sharikovaya-ruchka-crocus-chernaya-151015010/" , "151015.010 Шариковая ручка Crocus, черная")</f>
      </c>
      <c r="C22035" s="4" t="n">
        <v>120.00</v>
      </c>
      <c r="D22035" s="4"/>
    </row>
    <row collapsed="" customFormat="false" customHeight="1" hidden="" ht="14" outlineLevel="0" r="22036">
      <c r="A22036" s="3" t="inlineStr">
        <is>
          <t>21968</t>
        </is>
      </c>
      <c r="B22036" s="4" t="s">
        <f>=HYPERLINK("http://anyluxury.ru/shop/pismennye-prinadlezhnosti/ruchki/sharikovye/sharikovaya-ruchka-grunge-chernaya-186006010/" , "186006.010 Шариковая ручка Grunge, черная")</f>
      </c>
      <c r="C22036" s="4" t="n">
        <v>70.00</v>
      </c>
      <c r="D22036" s="4"/>
    </row>
    <row collapsed="" customFormat="false" customHeight="1" hidden="" ht="14" outlineLevel="0" r="22037">
      <c r="A22037" s="3" t="inlineStr">
        <is>
          <t>21969</t>
        </is>
      </c>
      <c r="B22037" s="4" t="s">
        <f>=HYPERLINK("http://anyluxury.ru/shop/pismennye-prinadlezhnosti/ruchki/sharikovye/sharikovaya-ruchka-ip-sinyaya-143016030/" , "143016.030 Шариковая ручка iP, синяя")</f>
      </c>
      <c r="C22037" s="4" t="n">
        <v>120.00</v>
      </c>
      <c r="D22037" s="4"/>
    </row>
    <row collapsed="" customFormat="false" customHeight="1" hidden="" ht="14" outlineLevel="0" r="22038">
      <c r="A22038" s="3" t="inlineStr">
        <is>
          <t>21970</t>
        </is>
      </c>
      <c r="B22038" s="4" t="s">
        <f>=HYPERLINK("http://anyluxury.ru/shop/pismennye-prinadlezhnosti/ruchki/sharikovye/sharikovaya-ruchka-ip-chernaya-143016010/" , "143016.010 Шариковая ручка iP, черная")</f>
      </c>
      <c r="C22038" s="4" t="n">
        <v>120.00</v>
      </c>
      <c r="D22038" s="4"/>
    </row>
    <row collapsed="" customFormat="false" customHeight="1" hidden="" ht="14" outlineLevel="0" r="22039">
      <c r="A22039" s="3" t="inlineStr">
        <is>
          <t>21971</t>
        </is>
      </c>
      <c r="B22039" s="4" t="s">
        <f>=HYPERLINK("http://anyluxury.ru/shop/pismennye-prinadlezhnosti/ruchki/sharikovye/sharikovaya-ruchka-portobello-promo-belaya-165032100/" , "165032.100 Шариковая ручка Portobello PROMO, белая")</f>
      </c>
      <c r="C22039" s="4" t="n">
        <v>120.00</v>
      </c>
      <c r="D22039" s="4"/>
    </row>
    <row collapsed="" customFormat="false" customHeight="1" hidden="" ht="14" outlineLevel="0" r="22040">
      <c r="A22040" s="3" t="inlineStr">
        <is>
          <t>21972</t>
        </is>
      </c>
      <c r="B22040" s="4" t="s">
        <f>=HYPERLINK("http://anyluxury.ru/shop/pismennye-prinadlezhnosti/ruchki/sharikovye/sharikovaya-ruchka-regatta-sinyaya-153013030/" , "153013.030 Шариковая ручка Regatta, синяя")</f>
      </c>
      <c r="C22040" s="4" t="n">
        <v>180.00</v>
      </c>
      <c r="D22040" s="4"/>
    </row>
    <row collapsed="" customFormat="false" customHeight="1" hidden="" ht="14" outlineLevel="0" r="22041">
      <c r="A22041" s="3" t="inlineStr">
        <is>
          <t>21973</t>
        </is>
      </c>
      <c r="B22041" s="4" t="s">
        <f>=HYPERLINK("http://anyluxury.ru/shop/pismennye-prinadlezhnosti/ruchki/sharikovye/ruchka-sharikovaya-prodir-ds3-tpp-antibacterial-belaya-2477060/" , "24770.60 Ручка шариковая Prodir DS3 TPP Antibacterial, белая")</f>
      </c>
      <c r="C22041" s="4" t="n">
        <v>161.00</v>
      </c>
      <c r="D22041" s="4"/>
    </row>
    <row collapsed="" customFormat="false" customHeight="1" hidden="" ht="14" outlineLevel="0" r="22042">
      <c r="A22042" s="3" t="inlineStr">
        <is>
          <t>21974</t>
        </is>
      </c>
      <c r="B22042" s="4" t="s">
        <f>=HYPERLINK("http://anyluxury.ru/shop/pismennye-prinadlezhnosti/ruchki/sharikovye/ruchka-sharikovaya-euro-chrome-seraya-447810/" , "4478.10 Ручка шариковая Euro Chrome, серая")</f>
      </c>
      <c r="C22042" s="4" t="n">
        <v>19.80</v>
      </c>
      <c r="D22042" s="4"/>
    </row>
    <row collapsed="" customFormat="false" customHeight="1" hidden="" ht="14" outlineLevel="0" r="22043">
      <c r="A22043" s="3" t="inlineStr">
        <is>
          <t>21975</t>
        </is>
      </c>
      <c r="B22043" s="4" t="s">
        <f>=HYPERLINK("http://anyluxury.ru/shop/pismennye-prinadlezhnosti/ruchki/sharikovye/ruchka-sharikovaya-moor-silver-chernaya-1590330/" , "15903.30 Ручка шариковая Moor Silver, черный металлик")</f>
      </c>
      <c r="C22043" s="4" t="n">
        <v>29.30</v>
      </c>
      <c r="D22043" s="4"/>
    </row>
    <row collapsed="" customFormat="false" customHeight="1" hidden="" ht="14" outlineLevel="0" r="22044">
      <c r="A22044" s="3" t="inlineStr">
        <is>
          <t>21976</t>
        </is>
      </c>
      <c r="B22044" s="4" t="s">
        <f>=HYPERLINK("http://anyluxury.ru/shop/pismennye-prinadlezhnosti/ruchki/sharikovye/ruchka-sharikovaya-moor-silver-zelenaya-1590390/" , "15903.90 Ручка шариковая Moor Silver, зеленый металлик")</f>
      </c>
      <c r="C22044" s="4" t="n">
        <v>29.30</v>
      </c>
      <c r="D22044" s="4"/>
    </row>
    <row collapsed="" customFormat="false" customHeight="1" hidden="" ht="14" outlineLevel="0" r="22045">
      <c r="A22045" s="3" t="inlineStr">
        <is>
          <t>21977</t>
        </is>
      </c>
      <c r="B22045" s="4" t="s">
        <f>=HYPERLINK("http://anyluxury.ru/shop/pismennye-prinadlezhnosti/ruchki/sharikovye/ruchka-sharikovaya-moor-silver-zheltaya-1590380/" , "15903.80 Ручка шариковая Moor Silver, желтый металлик")</f>
      </c>
      <c r="C22045" s="4" t="n">
        <v>29.30</v>
      </c>
      <c r="D22045" s="4"/>
    </row>
    <row collapsed="" customFormat="false" customHeight="1" hidden="" ht="14" outlineLevel="0" r="22046">
      <c r="A22046" s="3" t="inlineStr">
        <is>
          <t>21978</t>
        </is>
      </c>
      <c r="B22046" s="4" t="s">
        <f>=HYPERLINK("http://anyluxury.ru/shop/pismennye-prinadlezhnosti/ruchki/sharikovye/ruchka-sharikovaya-moor-silver-sinyaya-1590340/" , "15903.40 Ручка шариковая Moor Silver, синий металлик")</f>
      </c>
      <c r="C22046" s="4" t="n">
        <v>29.30</v>
      </c>
      <c r="D22046" s="4"/>
    </row>
    <row collapsed="" customFormat="false" customHeight="1" hidden="" ht="14" outlineLevel="0" r="22047">
      <c r="A22047" s="3" t="inlineStr">
        <is>
          <t>21979</t>
        </is>
      </c>
      <c r="B22047" s="4" t="s">
        <f>=HYPERLINK("http://anyluxury.ru/shop/pismennye-prinadlezhnosti/ruchki/sharikovye/ruchka-sharikovaya-moor-silver-serebristaya-1590310/" , "15903.10 Ручка шариковая Moor Silver, серебристый металлик")</f>
      </c>
      <c r="C22047" s="4" t="n">
        <v>29.30</v>
      </c>
      <c r="D22047" s="4"/>
    </row>
    <row collapsed="" customFormat="false" customHeight="1" hidden="" ht="14" outlineLevel="0" r="22048">
      <c r="A22048" s="3" t="inlineStr">
        <is>
          <t>21980</t>
        </is>
      </c>
      <c r="B22048" s="4" t="s">
        <f>=HYPERLINK("http://anyluxury.ru/shop/pismennye-prinadlezhnosti/ruchki/sharikovye/ruchka-sharikovaya-moor-silver-krasnaya-1590350/" , "15903.50 Ручка шариковая Moor Silver, красный металлик")</f>
      </c>
      <c r="C22048" s="4" t="n">
        <v>29.30</v>
      </c>
      <c r="D22048" s="4"/>
    </row>
    <row collapsed="" customFormat="false" customHeight="1" hidden="" ht="14" outlineLevel="0" r="22049">
      <c r="A22049" s="3" t="inlineStr">
        <is>
          <t>21981</t>
        </is>
      </c>
      <c r="B22049" s="4" t="s">
        <f>=HYPERLINK("http://anyluxury.ru/shop/pismennye-prinadlezhnosti/ruchki/sharikovye/ruchka-sharikovaya-drift-zelenaya-1590490/" , "15904.90 Ручка шариковая Drift, зеленая")</f>
      </c>
      <c r="C22049" s="4" t="n">
        <v>25.00</v>
      </c>
      <c r="D22049" s="4"/>
    </row>
    <row collapsed="" customFormat="false" customHeight="1" hidden="" ht="14" outlineLevel="0" r="22050">
      <c r="A22050" s="3" t="inlineStr">
        <is>
          <t>21982</t>
        </is>
      </c>
      <c r="B22050" s="4" t="s">
        <f>=HYPERLINK("http://anyluxury.ru/shop/pismennye-prinadlezhnosti/ruchki/sharikovye/ruchka-x8-metallic-p610750/" , "P610.750 Ручка X8 Metallic")</f>
      </c>
      <c r="C22050" s="4" t="n">
        <v>67.00</v>
      </c>
      <c r="D22050" s="4"/>
    </row>
    <row collapsed="" customFormat="false" customHeight="1" hidden="" ht="14" outlineLevel="0" r="22051">
      <c r="A22051" s="3" t="inlineStr">
        <is>
          <t>21983</t>
        </is>
      </c>
      <c r="B22051" s="4" t="s">
        <f>=HYPERLINK("http://anyluxury.ru/shop/pismennye-prinadlezhnosti/ruchki/sharikovye/ruchka-x8-metallic-p610751/" , "P610.751 Ручка X8 Metallic")</f>
      </c>
      <c r="C22051" s="4" t="n">
        <v>67.00</v>
      </c>
      <c r="D22051" s="4"/>
    </row>
    <row collapsed="" customFormat="false" customHeight="1" hidden="" ht="14" outlineLevel="0" r="22052">
      <c r="A22052" s="3" t="inlineStr">
        <is>
          <t>21984</t>
        </is>
      </c>
      <c r="B22052" s="4" t="s">
        <f>=HYPERLINK("http://anyluxury.ru/shop/pismennye-prinadlezhnosti/ruchki/sharikovye/ruchka-x8-smooth-touch-p610702/" , "P610.702 Ручка X8 Smooth Touch")</f>
      </c>
      <c r="C22052" s="4" t="n">
        <v>76.00</v>
      </c>
      <c r="D22052" s="4"/>
    </row>
    <row collapsed="" customFormat="false" customHeight="1" hidden="" ht="14" outlineLevel="0" r="22053">
      <c r="A22053" s="3" t="inlineStr">
        <is>
          <t>21985</t>
        </is>
      </c>
      <c r="B22053" s="4" t="s">
        <f>=HYPERLINK("http://anyluxury.ru/shop/pismennye-prinadlezhnosti/ruchki/sharikovye/sharikovaya-ruchka-alpha-neo-belaya-213207100/" , "213207.100 Шариковая ручка Alpha Neo, белая")</f>
      </c>
      <c r="C22053" s="4" t="n">
        <v>179.00</v>
      </c>
      <c r="D22053" s="4"/>
    </row>
    <row collapsed="" customFormat="false" customHeight="1" hidden="" ht="14" outlineLevel="0" r="22054">
      <c r="A22054" s="3" t="inlineStr">
        <is>
          <t>21986</t>
        </is>
      </c>
      <c r="B22054" s="4" t="s">
        <f>=HYPERLINK("http://anyluxury.ru/shop/pismennye-prinadlezhnosti/ruchki/sharikovye/sharikovaya-ruchka-alpha-neo-zelenaya-213207040/" , "213207.040 Шариковая ручка Alpha Neo, зеленая")</f>
      </c>
      <c r="C22054" s="4" t="n">
        <v>179.00</v>
      </c>
      <c r="D22054" s="4"/>
    </row>
    <row collapsed="" customFormat="false" customHeight="1" hidden="" ht="14" outlineLevel="0" r="22055">
      <c r="A22055" s="3" t="inlineStr">
        <is>
          <t>21987</t>
        </is>
      </c>
      <c r="B22055" s="4" t="s">
        <f>=HYPERLINK("http://anyluxury.ru/shop/pismennye-prinadlezhnosti/ruchki/sharikovye/sharikovaya-ruchka-alpha-neo-krasnaya-213207060/" , "213207.060 Шариковая ручка Alpha Neo, красная")</f>
      </c>
      <c r="C22055" s="4" t="n">
        <v>179.00</v>
      </c>
      <c r="D22055" s="4"/>
    </row>
    <row collapsed="" customFormat="false" customHeight="1" hidden="" ht="14" outlineLevel="0" r="22056">
      <c r="A22056" s="3" t="inlineStr">
        <is>
          <t>21988</t>
        </is>
      </c>
      <c r="B22056" s="4" t="s">
        <f>=HYPERLINK("http://anyluxury.ru/shop/pismennye-prinadlezhnosti/ruchki/sharikovye/sharikovaya-ruchka-alpha-neo-serebryanaya-213207080/" , "213207.080 Шариковая ручка Alpha Neo, серая")</f>
      </c>
      <c r="C22056" s="4" t="n">
        <v>179.00</v>
      </c>
      <c r="D22056" s="4"/>
    </row>
    <row collapsed="" customFormat="false" customHeight="1" hidden="" ht="14" outlineLevel="0" r="22057">
      <c r="A22057" s="3" t="inlineStr">
        <is>
          <t>21989</t>
        </is>
      </c>
      <c r="B22057" s="4" t="s">
        <f>=HYPERLINK("http://anyluxury.ru/shop/pismennye-prinadlezhnosti/ruchki/sharikovye/sharikovaya-ruchka-alpha-neo-sinyaya-213207030/" , "213207.030 Шариковая ручка Alpha Neo, синяя")</f>
      </c>
      <c r="C22057" s="4" t="n">
        <v>179.00</v>
      </c>
      <c r="D22057" s="4"/>
    </row>
    <row collapsed="" customFormat="false" customHeight="1" hidden="" ht="14" outlineLevel="0" r="22058">
      <c r="A22058" s="3" t="inlineStr">
        <is>
          <t>21990</t>
        </is>
      </c>
      <c r="B22058" s="4" t="s">
        <f>=HYPERLINK("http://anyluxury.ru/shop/pismennye-prinadlezhnosti/ruchki/sharikovye/sharikovaya-ruchka-alpha-neo-chernaya-213207010/" , "213207.010 Шариковая ручка Alpha Neo, черная")</f>
      </c>
      <c r="C22058" s="4" t="n">
        <v>179.00</v>
      </c>
      <c r="D22058" s="4"/>
    </row>
    <row collapsed="" customFormat="false" customHeight="1" hidden="" ht="14" outlineLevel="0" r="22059">
      <c r="A22059" s="3" t="inlineStr">
        <is>
          <t>21991</t>
        </is>
      </c>
      <c r="B22059" s="4" t="s">
        <f>=HYPERLINK("http://anyluxury.ru/shop/pismennye-prinadlezhnosti/ruchki/sharikovye/sharikovaya-ruchka-alpha-kakao-173207020/" , "173207.020 Шариковая ручка Alpha, какао")</f>
      </c>
      <c r="C22059" s="4" t="n">
        <v>120.00</v>
      </c>
      <c r="D22059" s="4"/>
    </row>
    <row collapsed="" customFormat="false" customHeight="1" hidden="" ht="14" outlineLevel="0" r="22060">
      <c r="A22060" s="3" t="inlineStr">
        <is>
          <t>21992</t>
        </is>
      </c>
      <c r="B22060" s="4" t="s">
        <f>=HYPERLINK("http://anyluxury.ru/shop/pismennye-prinadlezhnosti/ruchki/sharikovye/sharikovaya-ruchka-consul-chernaya-171006010/" , "171006.010 Шариковая ручка Consul, черная")</f>
      </c>
      <c r="C22060" s="4" t="n">
        <v>229.00</v>
      </c>
      <c r="D22060" s="4"/>
    </row>
    <row collapsed="" customFormat="false" customHeight="1" hidden="" ht="14" outlineLevel="0" r="22061">
      <c r="A22061" s="3" t="inlineStr">
        <is>
          <t>21993</t>
        </is>
      </c>
      <c r="B22061" s="4" t="s">
        <f>=HYPERLINK("http://anyluxury.ru/shop/pismennye-prinadlezhnosti/ruchki/sharikovye/sharikovaya-ruchka-crocus-sinyaya-151015030/" , "151015.030 Шариковая ручка Crocus, синяя")</f>
      </c>
      <c r="C22061" s="4" t="n">
        <v>120.00</v>
      </c>
      <c r="D22061" s="4"/>
    </row>
    <row collapsed="" customFormat="false" customHeight="1" hidden="" ht="14" outlineLevel="0" r="22062">
      <c r="A22062" s="3" t="inlineStr">
        <is>
          <t>21994</t>
        </is>
      </c>
      <c r="B22062" s="4" t="s">
        <f>=HYPERLINK("http://anyluxury.ru/shop/pismennye-prinadlezhnosti/ruchki/sharikovye/sharikovaya-ruchka-pyramid-neo-sinyaya-195109030/" , "195109.030 Шариковая ручка Pyramid NEO, синяя")</f>
      </c>
      <c r="C22062" s="4" t="n">
        <v>250.00</v>
      </c>
      <c r="D22062" s="4"/>
    </row>
    <row collapsed="" customFormat="false" customHeight="1" hidden="" ht="14" outlineLevel="0" r="22063">
      <c r="A22063" s="3" t="inlineStr">
        <is>
          <t>21995</t>
        </is>
      </c>
      <c r="B22063" s="4" t="s">
        <f>=HYPERLINK("http://anyluxury.ru/shop/pismennye-prinadlezhnosti/ruchki/sharikovye/sharikovaya-ruchka-tesoro-belaya-210606100/" , "210606.100 Шариковая ручка Tesoro, белая")</f>
      </c>
      <c r="C22063" s="4" t="n">
        <v>624.00</v>
      </c>
      <c r="D22063" s="4"/>
    </row>
    <row collapsed="" customFormat="false" customHeight="1" hidden="" ht="14" outlineLevel="0" r="22064">
      <c r="A22064" s="3" t="inlineStr">
        <is>
          <t>21996</t>
        </is>
      </c>
      <c r="B22064" s="4" t="s">
        <f>=HYPERLINK("http://anyluxury.ru/shop/pismennye-prinadlezhnosti/ruchki/sharikovye/sharikovaya-ruchka-tesoro-serebro-210606110/" , "210606.110 Шариковая ручка Tesoro, серебро")</f>
      </c>
      <c r="C22064" s="4" t="n">
        <v>624.00</v>
      </c>
      <c r="D22064" s="4"/>
    </row>
    <row collapsed="" customFormat="false" customHeight="1" hidden="" ht="14" outlineLevel="0" r="22065">
      <c r="A22065" s="3" t="inlineStr">
        <is>
          <t>21997</t>
        </is>
      </c>
      <c r="B22065" s="4" t="s">
        <f>=HYPERLINK("http://anyluxury.ru/shop/pismennye-prinadlezhnosti/ruchki/sharikovye/sharikovaya-ruchka-tesoro-sinyaya-210606030/" , "210606.030 Шариковая ручка Tesoro, синяя")</f>
      </c>
      <c r="C22065" s="4" t="n">
        <v>624.00</v>
      </c>
      <c r="D22065" s="4"/>
    </row>
    <row collapsed="" customFormat="false" customHeight="1" hidden="" ht="14" outlineLevel="0" r="22066">
      <c r="A22066" s="3" t="inlineStr">
        <is>
          <t>21998</t>
        </is>
      </c>
      <c r="B22066" s="4" t="s">
        <f>=HYPERLINK("http://anyluxury.ru/shop/pismennye-prinadlezhnosti/ruchki/sharikovye/sharikovaya-ruchka-tesoro-chernaya-210606010/" , "210606.010 Шариковая ручка Tesoro, черная")</f>
      </c>
      <c r="C22066" s="4" t="n">
        <v>624.00</v>
      </c>
      <c r="D22066" s="4"/>
    </row>
    <row collapsed="" customFormat="false" customHeight="1" hidden="" ht="14" outlineLevel="0" r="22067">
      <c r="A22067" s="3" t="inlineStr">
        <is>
          <t>21999</t>
        </is>
      </c>
      <c r="B22067" s="4" t="s">
        <f>=HYPERLINK("http://anyluxury.ru/shop/pismennye-prinadlezhnosti/ruchki/sharikovye/sharikovaya-ruchka-urban-belaya-210607100/" , "210607.100 Шариковая ручка Urban, белая")</f>
      </c>
      <c r="C22067" s="4" t="n">
        <v>241.00</v>
      </c>
      <c r="D22067" s="4"/>
    </row>
    <row collapsed="" customFormat="false" customHeight="1" hidden="" ht="14" outlineLevel="0" r="22068">
      <c r="A22068" s="3" t="inlineStr">
        <is>
          <t>22000</t>
        </is>
      </c>
      <c r="B22068" s="4" t="s">
        <f>=HYPERLINK("http://anyluxury.ru/shop/pismennye-prinadlezhnosti/ruchki/sharikovye/sharikovaya-ruchka-urban-krasnaya-210607060/" , "210607.060 Шариковая ручка Urban, красная")</f>
      </c>
      <c r="C22068" s="4" t="n">
        <v>241.00</v>
      </c>
      <c r="D22068" s="4"/>
    </row>
    <row collapsed="" customFormat="false" customHeight="1" hidden="" ht="14" outlineLevel="0" r="22069">
      <c r="A22069" s="3" t="inlineStr">
        <is>
          <t>22001</t>
        </is>
      </c>
      <c r="B22069" s="4" t="s">
        <f>=HYPERLINK("http://anyluxury.ru/shop/pismennye-prinadlezhnosti/ruchki/sharikovye/sharikovaya-ruchka-urban-seraya-210607080/" , "210607.080 Шариковая ручка Urban, серая")</f>
      </c>
      <c r="C22069" s="4" t="n">
        <v>241.00</v>
      </c>
      <c r="D22069" s="4"/>
    </row>
    <row collapsed="" customFormat="false" customHeight="1" hidden="" ht="14" outlineLevel="0" r="22070">
      <c r="A22070" s="3" t="inlineStr">
        <is>
          <t>22002</t>
        </is>
      </c>
      <c r="B22070" s="4" t="s">
        <f>=HYPERLINK("http://anyluxury.ru/shop/pismennye-prinadlezhnosti/ruchki/sharikovye/sharikovaya-ruchka-urban-sinyaya-210607030/" , "210607.030 Шариковая ручка Urban, синяя")</f>
      </c>
      <c r="C22070" s="4" t="n">
        <v>241.00</v>
      </c>
      <c r="D22070" s="4"/>
    </row>
    <row collapsed="" customFormat="false" customHeight="1" hidden="" ht="14" outlineLevel="0" r="22071">
      <c r="A22071" s="3" t="inlineStr">
        <is>
          <t>22003</t>
        </is>
      </c>
      <c r="B22071" s="4" t="s">
        <f>=HYPERLINK("http://anyluxury.ru/shop/pismennye-prinadlezhnosti/ruchki/sharikovye/sharikovaya-ruchka-urban-fioletovaya-210607034/" , "210607.034 Шариковая ручка Urban, фиолетовая")</f>
      </c>
      <c r="C22071" s="4" t="n">
        <v>241.00</v>
      </c>
      <c r="D22071" s="4"/>
    </row>
    <row collapsed="" customFormat="false" customHeight="1" hidden="" ht="14" outlineLevel="0" r="22072">
      <c r="A22072" s="3" t="inlineStr">
        <is>
          <t>22004</t>
        </is>
      </c>
      <c r="B22072" s="4" t="s">
        <f>=HYPERLINK("http://anyluxury.ru/shop/pismennye-prinadlezhnosti/ruchki/sharikovye/sharikovaya-ruchka-urban-chernaya-210607010/" , "210607.010 Шариковая ручка Urban, черная")</f>
      </c>
      <c r="C22072" s="4" t="n">
        <v>241.00</v>
      </c>
      <c r="D22072" s="4"/>
    </row>
    <row collapsed="" customFormat="false" customHeight="1" hidden="" ht="14" outlineLevel="0" r="22073">
      <c r="A22073" s="3" t="inlineStr">
        <is>
          <t>22005</t>
        </is>
      </c>
      <c r="B22073" s="4" t="s">
        <f>=HYPERLINK("http://anyluxury.ru/shop/pismennye-prinadlezhnosti/ruchki/sharikovye/ruchka-sharikovaya-chromatic-white-belaya-s-zelenim-2511196/" , "25111.96 Ручка шариковая Chromatic White, белая с зеленым")</f>
      </c>
      <c r="C22073" s="4" t="n">
        <v>110.00</v>
      </c>
      <c r="D22073" s="4"/>
    </row>
    <row collapsed="" customFormat="false" customHeight="1" hidden="" ht="14" outlineLevel="0" r="22074">
      <c r="A22074" s="3" t="inlineStr">
        <is>
          <t>22006</t>
        </is>
      </c>
      <c r="B22074" s="4" t="s">
        <f>=HYPERLINK("http://anyluxury.ru/shop/pismennye-prinadlezhnosti/ruchki/sharikovye/ruchka-sharikovaya-chromatic-white-belaya-s-krasnim-2511156/" , "25111.56 Ручка шариковая Chromatic White, белая с красным")</f>
      </c>
      <c r="C22074" s="4" t="n">
        <v>110.00</v>
      </c>
      <c r="D22074" s="4"/>
    </row>
    <row collapsed="" customFormat="false" customHeight="1" hidden="" ht="14" outlineLevel="0" r="22075">
      <c r="A22075" s="3" t="inlineStr">
        <is>
          <t>22007</t>
        </is>
      </c>
      <c r="B22075" s="4" t="s">
        <f>=HYPERLINK("http://anyluxury.ru/shop/pismennye-prinadlezhnosti/ruchki/sharikovye/ruchka-sharikovaya-blade-soft-touch-zelenaya-1314190/" , "13141.90 Ручка шариковая Blade Soft Touch, зеленая")</f>
      </c>
      <c r="C22075" s="4" t="n">
        <v>470.00</v>
      </c>
      <c r="D22075" s="4"/>
    </row>
    <row collapsed="" customFormat="false" customHeight="1" hidden="" ht="14" outlineLevel="0" r="22076">
      <c r="A22076" s="3" t="inlineStr">
        <is>
          <t>22008</t>
        </is>
      </c>
      <c r="B22076" s="4" t="s">
        <f>=HYPERLINK("http://anyluxury.ru/shop/pismennye-prinadlezhnosti/ruchki/sharikovye/ruchka-sharikovaya-tick-belaya-s-oranzhevim-1590662/" , "15906.62 Ручка шариковая Tick, белая с оранжевым")</f>
      </c>
      <c r="C22076" s="4" t="n">
        <v>17.60</v>
      </c>
      <c r="D22076" s="4"/>
    </row>
    <row collapsed="" customFormat="false" customHeight="1" hidden="" ht="14" outlineLevel="0" r="22077">
      <c r="A22077" s="3" t="inlineStr">
        <is>
          <t>22009</t>
        </is>
      </c>
      <c r="B22077" s="4" t="s">
        <f>=HYPERLINK("http://anyluxury.ru/shop/pismennye-prinadlezhnosti/ruchki/sharikovye/ruchka-sharikovaya-tick-belaya-s-chernim-1590663/" , "15906.63 Ручка шариковая Tick, белая с черным")</f>
      </c>
      <c r="C22077" s="4" t="n">
        <v>17.60</v>
      </c>
      <c r="D22077" s="4"/>
    </row>
    <row collapsed="" customFormat="false" customHeight="1" hidden="" ht="14" outlineLevel="0" r="22078">
      <c r="A22078" s="3" t="inlineStr">
        <is>
          <t>22010</t>
        </is>
      </c>
      <c r="B22078" s="4" t="s">
        <f>=HYPERLINK("http://anyluxury.ru/shop/pismennye-prinadlezhnosti/ruchki/sharikovye/ruchka-sharikovaya-tick-belaya-s-sinim-1590664/" , "15906.64 Ручка шариковая Tick, белая с синим")</f>
      </c>
      <c r="C22078" s="4" t="n">
        <v>17.60</v>
      </c>
      <c r="D22078" s="4"/>
    </row>
    <row collapsed="" customFormat="false" customHeight="1" hidden="" ht="14" outlineLevel="0" r="22079">
      <c r="A22079" s="3" t="inlineStr">
        <is>
          <t>22011</t>
        </is>
      </c>
      <c r="B22079" s="4" t="s">
        <f>=HYPERLINK("http://anyluxury.ru/shop/pismennye-prinadlezhnosti/ruchki/sharikovye/ruchka-sharikovaya-tick-belaya-s-krasnim-1590665/" , "15906.65 Ручка шариковая Tick, белая с красным")</f>
      </c>
      <c r="C22079" s="4" t="n">
        <v>17.60</v>
      </c>
      <c r="D22079" s="4"/>
    </row>
    <row collapsed="" customFormat="false" customHeight="1" hidden="" ht="14" outlineLevel="0" r="22080">
      <c r="A22080" s="3" t="inlineStr">
        <is>
          <t>22012</t>
        </is>
      </c>
      <c r="B22080" s="4" t="s">
        <f>=HYPERLINK("http://anyluxury.ru/shop/pismennye-prinadlezhnosti/ruchki/sharikovye/ruchka-sharikovaya-tick-belaya-1590660/" , "15906.60 Ручка шариковая Tick, белая")</f>
      </c>
      <c r="C22080" s="4" t="n">
        <v>17.60</v>
      </c>
      <c r="D22080" s="4"/>
    </row>
    <row collapsed="" customFormat="false" customHeight="1" hidden="" ht="14" outlineLevel="0" r="22081">
      <c r="A22081" s="3" t="inlineStr">
        <is>
          <t>22013</t>
        </is>
      </c>
      <c r="B22081" s="4" t="s">
        <f>=HYPERLINK("http://anyluxury.ru/shop/pismennye-prinadlezhnosti/ruchki/sharikovye/ruchka-sharikovaya-tick-belaya-s-zelenim-1590669/" , "15906.69 Ручка шариковая Tick, белая с зеленым")</f>
      </c>
      <c r="C22081" s="4" t="n">
        <v>17.60</v>
      </c>
      <c r="D22081" s="4"/>
    </row>
    <row collapsed="" customFormat="false" customHeight="1" hidden="" ht="14" outlineLevel="0" r="22082">
      <c r="A22082" s="3" t="inlineStr">
        <is>
          <t>22014</t>
        </is>
      </c>
      <c r="B22082" s="4" t="s">
        <f>=HYPERLINK("http://anyluxury.ru/shop/pismennye-prinadlezhnosti/ruchki/sharikovye/sharikovaya-ruchka-mirage-sinyaya-210015030/" , "210015.030 Шариковая ручка Mirage, синяя")</f>
      </c>
      <c r="C22082" s="4" t="n">
        <v>140.00</v>
      </c>
      <c r="D22082" s="4"/>
    </row>
    <row collapsed="" customFormat="false" customHeight="1" hidden="" ht="14" outlineLevel="0" r="22083">
      <c r="A22083" s="3" t="inlineStr">
        <is>
          <t>22015</t>
        </is>
      </c>
      <c r="B22083" s="4" t="s">
        <f>=HYPERLINK("http://anyluxury.ru/shop/pismennye-prinadlezhnosti/ruchki/sharikovye/sharikovaya-ruchka-ip-zelenaya-143016040/" , "143016.040 Шариковая ручка iP, зеленая")</f>
      </c>
      <c r="C22083" s="4" t="n">
        <v>120.00</v>
      </c>
      <c r="D22083" s="4"/>
    </row>
    <row collapsed="" customFormat="false" customHeight="1" hidden="" ht="14" outlineLevel="0" r="22084">
      <c r="A22084" s="3" t="inlineStr">
        <is>
          <t>22016</t>
        </is>
      </c>
      <c r="B22084" s="4" t="s">
        <f>=HYPERLINK("http://anyluxury.ru/shop/pismennye-prinadlezhnosti/ruchki/sharikovye/sharikovaya-ruchka-crocus-krasnaya-151015060/" , "151015.060 Шариковая ручка Crocus, красная")</f>
      </c>
      <c r="C22084" s="4" t="n">
        <v>120.00</v>
      </c>
      <c r="D22084" s="4"/>
    </row>
    <row collapsed="" customFormat="false" customHeight="1" hidden="" ht="14" outlineLevel="0" r="22085">
      <c r="A22085" s="3" t="inlineStr">
        <is>
          <t>22017</t>
        </is>
      </c>
      <c r="B22085" s="4" t="s">
        <f>=HYPERLINK("http://anyluxury.ru/shop/pismennye-prinadlezhnosti/ruchki/sharikovye/sharikovaya-ruchka-regatta-seraya-153013080/" , "153013.080 Шариковая ручка Regatta, серая")</f>
      </c>
      <c r="C22085" s="4" t="n">
        <v>180.00</v>
      </c>
      <c r="D22085" s="4"/>
    </row>
    <row collapsed="" customFormat="false" customHeight="1" hidden="" ht="14" outlineLevel="0" r="22086">
      <c r="A22086" s="3" t="inlineStr">
        <is>
          <t>22018</t>
        </is>
      </c>
      <c r="B22086" s="4" t="s">
        <f>=HYPERLINK("http://anyluxury.ru/shop/pismennye-prinadlezhnosti/ruchki/sharikovye/sharikovaya-ruchka-arctic-belayazelenaya-163016100040/" , "163016.100.040 Шариковая ручка Arctic, белая/зеленая")</f>
      </c>
      <c r="C22086" s="4" t="n">
        <v>208.00</v>
      </c>
      <c r="D22086" s="4"/>
    </row>
    <row collapsed="" customFormat="false" customHeight="1" hidden="" ht="14" outlineLevel="0" r="22087">
      <c r="A22087" s="3" t="inlineStr">
        <is>
          <t>22019</t>
        </is>
      </c>
      <c r="B22087" s="4" t="s">
        <f>=HYPERLINK("http://anyluxury.ru/shop/pismennye-prinadlezhnosti/ruchki/sharikovye/sharikovaya-ruchka-city-sinyaya-164209030/" , "164209.030 Шариковая ручка City, синяя")</f>
      </c>
      <c r="C22087" s="4" t="n">
        <v>88.00</v>
      </c>
      <c r="D22087" s="4"/>
    </row>
    <row collapsed="" customFormat="false" customHeight="1" hidden="" ht="14" outlineLevel="0" r="22088">
      <c r="A22088" s="3" t="inlineStr">
        <is>
          <t>22020</t>
        </is>
      </c>
      <c r="B22088" s="4" t="s">
        <f>=HYPERLINK("http://anyluxury.ru/shop/pismennye-prinadlezhnosti/ruchki/sharikovye/sharikovaya-ruchka-city-krasnaya-164209060/" , "164209.060 Шариковая ручка City, красная")</f>
      </c>
      <c r="C22088" s="4" t="n">
        <v>88.00</v>
      </c>
      <c r="D22088" s="4"/>
    </row>
    <row collapsed="" customFormat="false" customHeight="1" hidden="" ht="14" outlineLevel="0" r="22089">
      <c r="A22089" s="3" t="inlineStr">
        <is>
          <t>22021</t>
        </is>
      </c>
      <c r="B22089" s="4" t="s">
        <f>=HYPERLINK("http://anyluxury.ru/shop/pismennye-prinadlezhnosti/ruchki/sharikovye/sharikovaya-ruchka-portobello-promo-sinyaya-165032030/" , "165032.030 Шариковая ручка Portobello PROMO, синяя")</f>
      </c>
      <c r="C22089" s="4" t="n">
        <v>120.00</v>
      </c>
      <c r="D22089" s="4"/>
    </row>
    <row collapsed="" customFormat="false" customHeight="1" hidden="" ht="14" outlineLevel="0" r="22090">
      <c r="A22090" s="3" t="inlineStr">
        <is>
          <t>22022</t>
        </is>
      </c>
      <c r="B22090" s="4" t="s">
        <f>=HYPERLINK("http://anyluxury.ru/shop/pismennye-prinadlezhnosti/ruchki/sharikovye/sharikovaya-ruchka-pyramid-antracitmatovaya-165109010/" , "165109.010 Шариковая ручка Pyramid, антрацит/матовая")</f>
      </c>
      <c r="C22090" s="4" t="n">
        <v>261.00</v>
      </c>
      <c r="D22090" s="4"/>
    </row>
    <row collapsed="" customFormat="false" customHeight="1" hidden="" ht="14" outlineLevel="0" r="22091">
      <c r="A22091" s="3" t="inlineStr">
        <is>
          <t>22023</t>
        </is>
      </c>
      <c r="B22091" s="4" t="s">
        <f>=HYPERLINK("http://anyluxury.ru/shop/pismennye-prinadlezhnosti/ruchki/sharikovye/sharikovaya-ruchka-pyramid-sinyayaglyanec-165109030/" , "165109.030 Шариковая ручка Pyramid, синяя/глянец")</f>
      </c>
      <c r="C22091" s="4" t="n">
        <v>261.00</v>
      </c>
      <c r="D22091" s="4"/>
    </row>
    <row collapsed="" customFormat="false" customHeight="1" hidden="" ht="14" outlineLevel="0" r="22092">
      <c r="A22092" s="3" t="inlineStr">
        <is>
          <t>22024</t>
        </is>
      </c>
      <c r="B22092" s="4" t="s">
        <f>=HYPERLINK("http://anyluxury.ru/shop/pismennye-prinadlezhnosti/ruchki/sharikovye/sharikovaya-ruchka-consul-kakao-171006020/" , "171006.020 Шариковая ручка Consul, какао")</f>
      </c>
      <c r="C22092" s="4" t="n">
        <v>229.00</v>
      </c>
      <c r="D22092" s="4"/>
    </row>
    <row collapsed="" customFormat="false" customHeight="1" hidden="" ht="14" outlineLevel="0" r="22093">
      <c r="A22093" s="3" t="inlineStr">
        <is>
          <t>22025</t>
        </is>
      </c>
      <c r="B22093" s="4" t="s">
        <f>=HYPERLINK("http://anyluxury.ru/shop/pismennye-prinadlezhnosti/ruchki/sharikovye/sharikovaya-ruchka-consul-oranzhevaya-171006070/" , "171006.070 Шариковая ручка Consul, оранжевая")</f>
      </c>
      <c r="C22093" s="4" t="n">
        <v>229.00</v>
      </c>
      <c r="D22093" s="4"/>
    </row>
    <row collapsed="" customFormat="false" customHeight="1" hidden="" ht="14" outlineLevel="0" r="22094">
      <c r="A22094" s="3" t="inlineStr">
        <is>
          <t>22026</t>
        </is>
      </c>
      <c r="B22094" s="4" t="s">
        <f>=HYPERLINK("http://anyluxury.ru/shop/pismennye-prinadlezhnosti/ruchki/sharikovye/sharikovaya-ruchka-consul-serebro-171006080/" , "171006.080 Шариковая ручка Consul, серебро")</f>
      </c>
      <c r="C22094" s="4" t="n">
        <v>229.00</v>
      </c>
      <c r="D22094" s="4"/>
    </row>
    <row collapsed="" customFormat="false" customHeight="1" hidden="" ht="14" outlineLevel="0" r="22095">
      <c r="A22095" s="3" t="inlineStr">
        <is>
          <t>22027</t>
        </is>
      </c>
      <c r="B22095" s="4" t="s">
        <f>=HYPERLINK("http://anyluxury.ru/shop/pismennye-prinadlezhnosti/ruchki/sharikovye/sharikovaya-ruchka-alpha-oranzhevaya-173207070/" , "173207.070 Шариковая ручка Alpha, оранжевая")</f>
      </c>
      <c r="C22095" s="4" t="n">
        <v>120.00</v>
      </c>
      <c r="D22095" s="4"/>
    </row>
    <row collapsed="" customFormat="false" customHeight="1" hidden="" ht="14" outlineLevel="0" r="22096">
      <c r="A22096" s="3" t="inlineStr">
        <is>
          <t>22028</t>
        </is>
      </c>
      <c r="B22096" s="4" t="s">
        <f>=HYPERLINK("http://anyluxury.ru/shop/pismennye-prinadlezhnosti/ruchki/sharikovye/sharikovaya-ruchka-alpha-zheltaya-173207075/" , "173207.075 Шариковая ручка Alpha, желтая")</f>
      </c>
      <c r="C22096" s="4" t="n">
        <v>120.00</v>
      </c>
      <c r="D22096" s="4"/>
    </row>
    <row collapsed="" customFormat="false" customHeight="1" hidden="" ht="14" outlineLevel="0" r="22097">
      <c r="A22097" s="3" t="inlineStr">
        <is>
          <t>22029</t>
        </is>
      </c>
      <c r="B22097" s="4" t="s">
        <f>=HYPERLINK("http://anyluxury.ru/shop/pismennye-prinadlezhnosti/ruchki/sharikovye/sharikovaya-ruchka-alpha-belaya-173207100/" , "173207.100 Шариковая ручка Alpha, белая")</f>
      </c>
      <c r="C22097" s="4" t="n">
        <v>120.00</v>
      </c>
      <c r="D22097" s="4"/>
    </row>
    <row collapsed="" customFormat="false" customHeight="1" hidden="" ht="14" outlineLevel="0" r="22098">
      <c r="A22098" s="3" t="inlineStr">
        <is>
          <t>22030</t>
        </is>
      </c>
      <c r="B22098" s="4" t="s">
        <f>=HYPERLINK("http://anyluxury.ru/shop/pismennye-prinadlezhnosti/ruchki/sharikovye/sharikovaya-ruchka-scotland-zelenaya-176002040/" , "176002.040 Шариковая ручка Scotland, зеленая")</f>
      </c>
      <c r="C22098" s="4" t="n">
        <v>90.00</v>
      </c>
      <c r="D22098" s="4"/>
    </row>
    <row collapsed="" customFormat="false" customHeight="1" hidden="" ht="14" outlineLevel="0" r="22099">
      <c r="A22099" s="3" t="inlineStr">
        <is>
          <t>22031</t>
        </is>
      </c>
      <c r="B22099" s="4" t="s">
        <f>=HYPERLINK("http://anyluxury.ru/shop/pismennye-prinadlezhnosti/ruchki/sharikovye/sharikovaya-ruchka-scotland-krasnaya-176002060/" , "176002.060 Шариковая ручка Scotland, красная")</f>
      </c>
      <c r="C22099" s="4" t="n">
        <v>90.00</v>
      </c>
      <c r="D22099" s="4"/>
    </row>
    <row collapsed="" customFormat="false" customHeight="1" hidden="" ht="14" outlineLevel="0" r="22100">
      <c r="A22100" s="3" t="inlineStr">
        <is>
          <t>22032</t>
        </is>
      </c>
      <c r="B22100" s="4" t="s">
        <f>=HYPERLINK("http://anyluxury.ru/shop/pismennye-prinadlezhnosti/ruchki/sharikovye/sharikovaya-ruchka-scotland-oranzhevaya-176002070/" , "176002.070 Шариковая ручка Scotland, оранжевая")</f>
      </c>
      <c r="C22100" s="4" t="n">
        <v>90.00</v>
      </c>
      <c r="D22100" s="4"/>
    </row>
    <row collapsed="" customFormat="false" customHeight="1" hidden="" ht="14" outlineLevel="0" r="22101">
      <c r="A22101" s="3" t="inlineStr">
        <is>
          <t>22033</t>
        </is>
      </c>
      <c r="B22101" s="4" t="s">
        <f>=HYPERLINK("http://anyluxury.ru/shop/pismennye-prinadlezhnosti/ruchki/sharikovye/sharikovaya-ruchka-bello-sinyaya-176003030/" , "176003.030 Шариковая ручка Bello, синяя")</f>
      </c>
      <c r="C22101" s="4" t="n">
        <v>120.00</v>
      </c>
      <c r="D22101" s="4"/>
    </row>
    <row collapsed="" customFormat="false" customHeight="1" hidden="" ht="14" outlineLevel="0" r="22102">
      <c r="A22102" s="3" t="inlineStr">
        <is>
          <t>22034</t>
        </is>
      </c>
      <c r="B22102" s="4" t="s">
        <f>=HYPERLINK("http://anyluxury.ru/shop/pismennye-prinadlezhnosti/ruchki/sharikovye/sharikovaya-ruchka-comet-belaya-beliy-stilus-183011100/" , "183011.100 Шариковая ручка Comet, белая (белый стилус)")</f>
      </c>
      <c r="C22102" s="4" t="n">
        <v>241.00</v>
      </c>
      <c r="D22102" s="4"/>
    </row>
    <row collapsed="" customFormat="false" customHeight="1" hidden="" ht="14" outlineLevel="0" r="22103">
      <c r="A22103" s="3" t="inlineStr">
        <is>
          <t>22035</t>
        </is>
      </c>
      <c r="B22103" s="4" t="s">
        <f>=HYPERLINK("http://anyluxury.ru/shop/pismennye-prinadlezhnosti/ruchki/sharikovye/sharikovaya-ruchka-comet-neo-sinyaya-193022030/" , "193022.030 Шариковая ручка Comet NEO, синяя")</f>
      </c>
      <c r="C22103" s="4" t="n">
        <v>241.00</v>
      </c>
      <c r="D22103" s="4"/>
    </row>
    <row collapsed="" customFormat="false" customHeight="1" hidden="" ht="14" outlineLevel="0" r="22104">
      <c r="A22104" s="3" t="inlineStr">
        <is>
          <t>22036</t>
        </is>
      </c>
      <c r="B22104" s="4" t="s">
        <f>=HYPERLINK("http://anyluxury.ru/shop/pismennye-prinadlezhnosti/ruchki/sharikovye/sharikovaya-ruchka-comet-neo-zelenaya-193022040/" , "193022.040 Шариковая ручка Comet NEO, зеленая")</f>
      </c>
      <c r="C22104" s="4" t="n">
        <v>241.00</v>
      </c>
      <c r="D22104" s="4"/>
    </row>
    <row collapsed="" customFormat="false" customHeight="1" hidden="" ht="14" outlineLevel="0" r="22105">
      <c r="A22105" s="3" t="inlineStr">
        <is>
          <t>22037</t>
        </is>
      </c>
      <c r="B22105" s="4" t="s">
        <f>=HYPERLINK("http://anyluxury.ru/shop/pismennye-prinadlezhnosti/ruchki/sharikovye/sharikovaya-ruchka-comet-neo-krasnaya-193022060/" , "193022.060 Шариковая ручка Comet NEO, красная")</f>
      </c>
      <c r="C22105" s="4" t="n">
        <v>241.00</v>
      </c>
      <c r="D22105" s="4"/>
    </row>
    <row collapsed="" customFormat="false" customHeight="1" hidden="" ht="14" outlineLevel="0" r="22106">
      <c r="A22106" s="3" t="inlineStr">
        <is>
          <t>22038</t>
        </is>
      </c>
      <c r="B22106" s="4" t="s">
        <f>=HYPERLINK("http://anyluxury.ru/shop/pismennye-prinadlezhnosti/ruchki/sharikovye/sharikovaya-ruchka-pyramid-neo-chernaya-195109010/" , "195109.010 Шариковая ручка Pyramid NEO, черная")</f>
      </c>
      <c r="C22106" s="4" t="n">
        <v>250.00</v>
      </c>
      <c r="D22106" s="4"/>
    </row>
    <row collapsed="" customFormat="false" customHeight="1" hidden="" ht="14" outlineLevel="0" r="22107">
      <c r="A22107" s="3" t="inlineStr">
        <is>
          <t>22039</t>
        </is>
      </c>
      <c r="B22107" s="4" t="s">
        <f>=HYPERLINK("http://anyluxury.ru/shop/pismennye-prinadlezhnosti/ruchki/sharikovye/sharikovaya-ruchka-pyramid-neo-krasnaya-195109060/" , "195109.060 Шариковая ручка Pyramid NEO, красная")</f>
      </c>
      <c r="C22107" s="4" t="n">
        <v>250.00</v>
      </c>
      <c r="D22107" s="4"/>
    </row>
    <row collapsed="" customFormat="false" customHeight="1" hidden="" ht="14" outlineLevel="0" r="22108">
      <c r="A22108" s="3" t="inlineStr">
        <is>
          <t>22040</t>
        </is>
      </c>
      <c r="B22108" s="4" t="s">
        <f>=HYPERLINK("http://anyluxury.ru/shop/pismennye-prinadlezhnosti/ruchki/sharikovye/sharikovaya-ruchka-penta-sinyaya-198008030/" , "198008.030 Шариковая ручка Penta, синяя")</f>
      </c>
      <c r="C22108" s="4" t="n">
        <v>227.00</v>
      </c>
      <c r="D22108" s="4"/>
    </row>
    <row collapsed="" customFormat="false" customHeight="1" hidden="" ht="14" outlineLevel="0" r="22109">
      <c r="A22109" s="3" t="inlineStr">
        <is>
          <t>22041</t>
        </is>
      </c>
      <c r="B22109" s="4" t="s">
        <f>=HYPERLINK("http://anyluxury.ru/shop/pismennye-prinadlezhnosti/ruchki/sharikovye/sharikovaya-ruchka-penta-belaya-198008100/" , "198008.100 Шариковая ручка Penta, белая")</f>
      </c>
      <c r="C22109" s="4" t="n">
        <v>227.00</v>
      </c>
      <c r="D22109" s="4"/>
    </row>
    <row collapsed="" customFormat="false" customHeight="1" hidden="" ht="14" outlineLevel="0" r="22110">
      <c r="A22110" s="3" t="inlineStr">
        <is>
          <t>22042</t>
        </is>
      </c>
      <c r="B22110" s="4" t="s">
        <f>=HYPERLINK("http://anyluxury.ru/shop/pismennye-prinadlezhnosti/ruchki/sharikovye/sharikovaya-ruchka-crocus-belaya-151015100/" , "151015.100 Шариковая ручка Crocus, белая")</f>
      </c>
      <c r="C22110" s="4" t="n">
        <v>120.00</v>
      </c>
      <c r="D22110" s="4"/>
    </row>
    <row collapsed="" customFormat="false" customHeight="1" hidden="" ht="14" outlineLevel="0" r="22111">
      <c r="A22111" s="3" t="inlineStr">
        <is>
          <t>22043</t>
        </is>
      </c>
      <c r="B22111" s="4" t="s">
        <f>=HYPERLINK("http://anyluxury.ru/shop/pismennye-prinadlezhnosti/ruchki/sharikovye/sharikovaya-ruchka-ip-chameleon-zelenaya-1730162040/" , "1730162.040 Шариковая ручка IP Chameleon, зеленая")</f>
      </c>
      <c r="C22111" s="4" t="n">
        <v>239.00</v>
      </c>
      <c r="D22111" s="4"/>
    </row>
    <row collapsed="" customFormat="false" customHeight="1" hidden="" ht="14" outlineLevel="0" r="22112">
      <c r="A22112" s="3" t="inlineStr">
        <is>
          <t>22044</t>
        </is>
      </c>
      <c r="B22112" s="4" t="s">
        <f>=HYPERLINK("http://anyluxury.ru/shop/pismennye-prinadlezhnosti/ruchki/sharikovye/sharikovaya-ruchka-city-belaya-164209100/" , "164209.100 Шариковая ручка City, белая")</f>
      </c>
      <c r="C22112" s="4" t="n">
        <v>88.00</v>
      </c>
      <c r="D22112" s="4"/>
    </row>
    <row collapsed="" customFormat="false" customHeight="1" hidden="" ht="14" outlineLevel="0" r="22113">
      <c r="A22113" s="3" t="inlineStr">
        <is>
          <t>22045</t>
        </is>
      </c>
      <c r="B22113" s="4" t="s">
        <f>=HYPERLINK("http://anyluxury.ru/shop/pismennye-prinadlezhnosti/ruchki/sharikovye/sharikovaya-ruchka-comet-chernaya-183011010/" , "183011.010 Шариковая ручка Comet, черная")</f>
      </c>
      <c r="C22113" s="4" t="n">
        <v>241.00</v>
      </c>
      <c r="D22113" s="4"/>
    </row>
    <row collapsed="" customFormat="false" customHeight="1" hidden="" ht="14" outlineLevel="0" r="22114">
      <c r="A22114" s="3" t="inlineStr">
        <is>
          <t>22046</t>
        </is>
      </c>
      <c r="B22114" s="4" t="s">
        <f>=HYPERLINK("http://anyluxury.ru/shop/pismennye-prinadlezhnosti/ruchki/sharikovye/sharikovaya-ruchka-comet-temnoseraya-183011080/" , "183011.080 Шариковая ручка Comet, темно-серая")</f>
      </c>
      <c r="C22114" s="4" t="n">
        <v>241.00</v>
      </c>
      <c r="D22114" s="4"/>
    </row>
    <row collapsed="" customFormat="false" customHeight="1" hidden="" ht="14" outlineLevel="0" r="22115">
      <c r="A22115" s="3" t="inlineStr">
        <is>
          <t>22047</t>
        </is>
      </c>
      <c r="B22115" s="4" t="s">
        <f>=HYPERLINK("http://anyluxury.ru/shop/pismennye-prinadlezhnosti/ruchki/sharikovye/sharikovaya-ruchka-bello-chernayaakva-176003010600/" , "176003.010.600 Шариковая ручка Bello, черная/аква")</f>
      </c>
      <c r="C22115" s="4" t="n">
        <v>120.00</v>
      </c>
      <c r="D22115" s="4"/>
    </row>
    <row collapsed="" customFormat="false" customHeight="1" hidden="" ht="14" outlineLevel="0" r="22116">
      <c r="A22116" s="3" t="inlineStr">
        <is>
          <t>22048</t>
        </is>
      </c>
      <c r="B22116" s="4" t="s">
        <f>=HYPERLINK("http://anyluxury.ru/shop/pismennye-prinadlezhnosti/ruchki/sharikovye/sharikovaya-ruchka-regatta-chernaya-153013010/" , "153013.010 Шариковая ручка Regatta, черная")</f>
      </c>
      <c r="C22116" s="4" t="n">
        <v>180.00</v>
      </c>
      <c r="D22116" s="4"/>
    </row>
    <row collapsed="" customFormat="false" customHeight="1" hidden="" ht="14" outlineLevel="0" r="22117">
      <c r="A22117" s="3" t="inlineStr">
        <is>
          <t>22049</t>
        </is>
      </c>
      <c r="B22117" s="4" t="s">
        <f>=HYPERLINK("http://anyluxury.ru/shop/pismennye-prinadlezhnosti/ruchki/sharikovye/sharikovaya-ruchka-ip-chameleon-sinyaya-1730162030/" , "1730162.030 Шариковая ручка IP Chameleon, синяя")</f>
      </c>
      <c r="C22117" s="4" t="n">
        <v>239.00</v>
      </c>
      <c r="D22117" s="4"/>
    </row>
    <row collapsed="" customFormat="false" customHeight="1" hidden="" ht="14" outlineLevel="0" r="22118">
      <c r="A22118" s="3" t="inlineStr">
        <is>
          <t>22050</t>
        </is>
      </c>
      <c r="B22118" s="4" t="s">
        <f>=HYPERLINK("http://anyluxury.ru/shop/pismennye-prinadlezhnosti/ruchki/sharikovye/sharikovaya-ruchka-colt-oranzhevaya-186229070/" , "186229.070 Шариковая ручка Colt, оранжевая")</f>
      </c>
      <c r="C22118" s="4" t="n">
        <v>70.00</v>
      </c>
      <c r="D22118" s="4"/>
    </row>
    <row collapsed="" customFormat="false" customHeight="1" hidden="" ht="14" outlineLevel="0" r="22119">
      <c r="A22119" s="3" t="inlineStr">
        <is>
          <t>22051</t>
        </is>
      </c>
      <c r="B22119" s="4" t="s">
        <f>=HYPERLINK("http://anyluxury.ru/shop/pismennye-prinadlezhnosti/ruchki/sharikovye/sharikovaya-ruchka-comet-neo-belaya-193022100/" , "193022.100 Шариковая ручка Comet NEO, белая")</f>
      </c>
      <c r="C22119" s="4" t="n">
        <v>241.00</v>
      </c>
      <c r="D22119" s="4"/>
    </row>
    <row collapsed="" customFormat="false" customHeight="1" hidden="" ht="14" outlineLevel="0" r="22120">
      <c r="A22120" s="3" t="inlineStr">
        <is>
          <t>22052</t>
        </is>
      </c>
      <c r="B22120" s="4" t="s">
        <f>=HYPERLINK("http://anyluxury.ru/shop/pismennye-prinadlezhnosti/ruchki/sharikovye/sharikovaya-ruchka-ip-chameleon-krasnaya-1730162060/" , "1730162.060 Шариковая ручка IP Chameleon, красная")</f>
      </c>
      <c r="C22120" s="4" t="n">
        <v>239.00</v>
      </c>
      <c r="D22120" s="4"/>
    </row>
    <row collapsed="" customFormat="false" customHeight="1" hidden="" ht="14" outlineLevel="0" r="22121">
      <c r="A22121" s="3" t="inlineStr">
        <is>
          <t>22053</t>
        </is>
      </c>
      <c r="B22121" s="4" t="s">
        <f>=HYPERLINK("http://anyluxury.ru/shop/pismennye-prinadlezhnosti/ruchki/sharikovye/sharikovaya-ruchka-penta-serebro-198008110/" , "198008.110 Шариковая ручка Penta, серебро")</f>
      </c>
      <c r="C22121" s="4" t="n">
        <v>227.00</v>
      </c>
      <c r="D22121" s="4"/>
    </row>
    <row collapsed="" customFormat="false" customHeight="1" hidden="" ht="14" outlineLevel="0" r="22122">
      <c r="A22122" s="3" t="inlineStr">
        <is>
          <t>22054</t>
        </is>
      </c>
      <c r="B22122" s="4" t="s">
        <f>=HYPERLINK("http://anyluxury.ru/shop/pismennye-prinadlezhnosti/ruchki/sharikovye/sharikovaya-ruchka-pyramid-neo-belaya-195109100/" , "195109.100 Шариковая ручка Pyramid NEO, белая")</f>
      </c>
      <c r="C22122" s="4" t="n">
        <v>250.00</v>
      </c>
      <c r="D22122" s="4"/>
    </row>
    <row collapsed="" customFormat="false" customHeight="1" hidden="" ht="14" outlineLevel="0" r="22123">
      <c r="A22123" s="3" t="inlineStr">
        <is>
          <t>22055</t>
        </is>
      </c>
      <c r="B22123" s="4" t="s">
        <f>=HYPERLINK("http://anyluxury.ru/shop/pismennye-prinadlezhnosti/ruchki/sharikovye/sharikovaya-ruchka-penta-chernaya-198008010/" , "198008.010 Шариковая ручка Penta, черная")</f>
      </c>
      <c r="C22123" s="4" t="n">
        <v>227.00</v>
      </c>
      <c r="D22123" s="4"/>
    </row>
    <row collapsed="" customFormat="false" customHeight="1" hidden="" ht="14" outlineLevel="0" r="22124">
      <c r="A22124" s="3" t="inlineStr">
        <is>
          <t>22056</t>
        </is>
      </c>
      <c r="B22124" s="4" t="s">
        <f>=HYPERLINK("http://anyluxury.ru/shop/pismennye-prinadlezhnosti/ruchki/sharikovye/sharikovaya-ruchka-pyramid-neo-serebro-195109110/" , "195109.110 Шариковая ручка Pyramid NEO, серебро")</f>
      </c>
      <c r="C22124" s="4" t="n">
        <v>250.00</v>
      </c>
      <c r="D22124" s="4"/>
    </row>
    <row collapsed="" customFormat="false" customHeight="1" hidden="" ht="14" outlineLevel="0" r="22125">
      <c r="A22125" s="3" t="inlineStr">
        <is>
          <t>22057</t>
        </is>
      </c>
      <c r="B22125" s="4" t="s">
        <f>=HYPERLINK("http://anyluxury.ru/shop/pismennye-prinadlezhnosti/ruchki/sharikovye/sharikovaya-ruchka-penta-seraya-198008080/" , "198008.080 Шариковая ручка Penta, серая")</f>
      </c>
      <c r="C22125" s="4" t="n">
        <v>227.00</v>
      </c>
      <c r="D22125" s="4"/>
    </row>
    <row collapsed="" customFormat="false" customHeight="1" hidden="" ht="14" outlineLevel="0" r="22126">
      <c r="A22126" s="3" t="inlineStr">
        <is>
          <t>22058</t>
        </is>
      </c>
      <c r="B22126" s="4" t="s">
        <f>=HYPERLINK("http://anyluxury.ru/shop/pismennye-prinadlezhnosti/ruchki/sharikovye/sharikovaya-ruchka-comet-neo-chernaya-193022010/" , "193022.010 Шариковая ручка Comet NEO, черная")</f>
      </c>
      <c r="C22126" s="4" t="n">
        <v>241.00</v>
      </c>
      <c r="D22126" s="4"/>
    </row>
    <row collapsed="" customFormat="false" customHeight="1" hidden="" ht="14" outlineLevel="0" r="22127">
      <c r="A22127" s="3" t="inlineStr">
        <is>
          <t>22059</t>
        </is>
      </c>
      <c r="B22127" s="4" t="s">
        <f>=HYPERLINK("http://anyluxury.ru/shop/pismennye-prinadlezhnosti/ruchki/sharikovye/ruchka-x9-s-matovim-korpusom-i-silikonovim-gripom-p610791/" , "P610.791 Ручка X9 с матовым корпусом и силиконовым грипом")</f>
      </c>
      <c r="C22127" s="4" t="n">
        <v>56.00</v>
      </c>
      <c r="D22127" s="4"/>
    </row>
    <row collapsed="" customFormat="false" customHeight="1" hidden="" ht="14" outlineLevel="0" r="22128">
      <c r="A22128" s="3" t="inlineStr">
        <is>
          <t>22060</t>
        </is>
      </c>
      <c r="B22128" s="4" t="s">
        <f>=HYPERLINK("http://anyluxury.ru/shop/pismennye-prinadlezhnosti/ruchki/sharikovye/ruchka-x9-s-matovim-korpusom-i-silikonovim-gripom-p610795/" , "P610.795 Ручка X9 с матовым корпусом и силиконовым грипом")</f>
      </c>
      <c r="C22128" s="4" t="n">
        <v>56.00</v>
      </c>
      <c r="D22128" s="4"/>
    </row>
    <row collapsed="" customFormat="false" customHeight="1" hidden="" ht="14" outlineLevel="0" r="22129">
      <c r="A22129" s="3" t="inlineStr">
        <is>
          <t>22061</t>
        </is>
      </c>
      <c r="B22129" s="4" t="s">
        <f>=HYPERLINK("http://anyluxury.ru/shop/pismennye-prinadlezhnosti/ruchki/sharikovye/sharikovaya-ruchka-portobello-promo-chernaya-165032010/" , "165032.010 Шариковая ручка Portobello PROMO, черная")</f>
      </c>
      <c r="C22129" s="4" t="n">
        <v>120.00</v>
      </c>
      <c r="D22129" s="4"/>
    </row>
    <row collapsed="" customFormat="false" customHeight="1" hidden="" ht="14" outlineLevel="0" r="22130">
      <c r="A22130" s="3" t="inlineStr">
        <is>
          <t>22062</t>
        </is>
      </c>
      <c r="B22130" s="4" t="s">
        <f>=HYPERLINK("http://anyluxury.ru/shop/pismennye-prinadlezhnosti/ruchki/sharikovye/ruchka-sharikovaya-blade-soft-touch-seraya-1314111/" , "13141.11 Ручка шариковая Blade Soft Touch, серая")</f>
      </c>
      <c r="C22130" s="4" t="n">
        <v>470.00</v>
      </c>
      <c r="D22130" s="4"/>
    </row>
    <row collapsed="" customFormat="false" customHeight="1" hidden="" ht="14" outlineLevel="0" r="22131">
      <c r="A22131" s="3" t="inlineStr">
        <is>
          <t>22063</t>
        </is>
      </c>
      <c r="B22131" s="4" t="s">
        <f>=HYPERLINK("http://anyluxury.ru/shop/pismennye-prinadlezhnosti/ruchki/sharikovye/ruchka-sharikovaya-prodir-ds3-tmm-belaya-matovaya-1477060/" , "14770.60 Ручка шариковая Prodir DS3 TMM, белая матовая")</f>
      </c>
      <c r="C22131" s="4" t="n">
        <v>111.00</v>
      </c>
      <c r="D22131" s="4"/>
    </row>
    <row collapsed="" customFormat="false" customHeight="1" hidden="" ht="14" outlineLevel="0" r="22132">
      <c r="A22132" s="3" t="inlineStr">
        <is>
          <t>22064</t>
        </is>
      </c>
      <c r="B22132" s="4" t="s">
        <f>=HYPERLINK("http://anyluxury.ru/shop/pismennye-prinadlezhnosti/ruchki/sharikovye/ruchka-sharikovaya-pin-soft-touch-seraya-332211/" , "3322.11 Ручка шариковая Pin Soft Touch, серая")</f>
      </c>
      <c r="C22132" s="4" t="n">
        <v>33.50</v>
      </c>
      <c r="D22132" s="4"/>
    </row>
    <row collapsed="" customFormat="false" customHeight="1" hidden="" ht="14" outlineLevel="0" r="22133">
      <c r="A22133" s="3" t="inlineStr">
        <is>
          <t>22065</t>
        </is>
      </c>
      <c r="B22133" s="4" t="s">
        <f>=HYPERLINK("http://anyluxury.ru/shop/pismennye-prinadlezhnosti/ruchki/sharikovye/ruchka-sharikovaya-bento-belaya-470800/" , "4708.00 Ручка шариковая Bento, белая")</f>
      </c>
      <c r="C22133" s="4" t="n">
        <v>23.10</v>
      </c>
      <c r="D22133" s="4"/>
    </row>
    <row collapsed="" customFormat="false" customHeight="1" hidden="" ht="14" outlineLevel="0" r="22134">
      <c r="A22134" s="3" t="inlineStr">
        <is>
          <t>22066</t>
        </is>
      </c>
      <c r="B22134" s="4" t="s">
        <f>=HYPERLINK("http://anyluxury.ru/shop/pismennye-prinadlezhnosti/ruchki/sharikovye/sharikovaya-ruchka-grunge-lemoni-zheltaya-186006175/" , "186006.175 Шариковая ручка Grunge Lemoni, желтая")</f>
      </c>
      <c r="C22134" s="4" t="n">
        <v>90.00</v>
      </c>
      <c r="D22134" s="4"/>
    </row>
    <row collapsed="" customFormat="false" customHeight="1" hidden="" ht="14" outlineLevel="0" r="22135">
      <c r="A22135" s="3" t="inlineStr">
        <is>
          <t>22067</t>
        </is>
      </c>
      <c r="B22135" s="4" t="s">
        <f>=HYPERLINK("http://anyluxury.ru/shop/pismennye-prinadlezhnosti/ruchki/sharikovye/sharikovaya-ruchka-pyramid-neo-lemoni-zheltaya-195109175/" , "195109.175 Шариковая ручка Pyramid NEO Lemoni, желтая")</f>
      </c>
      <c r="C22135" s="4" t="n">
        <v>140.00</v>
      </c>
      <c r="D22135" s="4"/>
    </row>
    <row collapsed="" customFormat="false" customHeight="1" hidden="" ht="14" outlineLevel="0" r="22136">
      <c r="A22136" s="3" t="inlineStr">
        <is>
          <t>22068</t>
        </is>
      </c>
      <c r="B22136" s="4" t="s">
        <f>=HYPERLINK("http://anyluxury.ru/shop/pismennye-prinadlezhnosti/ruchki/sharikovye/sharikovaya-ruchka-urban-lemoni-zheltaya-210607175/" , "210607.175 Шариковая ручка Urban Lemoni, желтая")</f>
      </c>
      <c r="C22136" s="4" t="n">
        <v>140.00</v>
      </c>
      <c r="D22136" s="4"/>
    </row>
    <row collapsed="" customFormat="false" customHeight="1" hidden="" ht="14" outlineLevel="0" r="22137">
      <c r="A22137" s="3" t="inlineStr">
        <is>
          <t>22069</t>
        </is>
      </c>
      <c r="B22137" s="4" t="s">
        <f>=HYPERLINK("http://anyluxury.ru/shop/pismennye-prinadlezhnosti/ruchki/sharikovye/vechnaya-ruchka-cambiano-aluminum-walnut-1421815/" , "14218.15 Вечная ручка Cambiano Aluminum Walnut")</f>
      </c>
      <c r="C22137" s="4" t="n">
        <v>15500.00</v>
      </c>
      <c r="D22137" s="4"/>
    </row>
    <row collapsed="" customFormat="false" customHeight="1" hidden="" ht="14" outlineLevel="0" r="22138">
      <c r="A22138" s="3" t="inlineStr">
        <is>
          <t>22070</t>
        </is>
      </c>
      <c r="B22138" s="4" t="s">
        <f>=HYPERLINK("http://anyluxury.ru/shop/pismennye-prinadlezhnosti/ruchki/sharikovye/vechnaya-ruchka-cambiano-glossy-black-walnut-1421835/" , "14218.35 Вечная ручка Cambiano Glossy Black Walnut")</f>
      </c>
      <c r="C22138" s="4" t="n">
        <v>15500.00</v>
      </c>
      <c r="D22138" s="4"/>
    </row>
    <row collapsed="" customFormat="false" customHeight="1" hidden="" ht="14" outlineLevel="0" r="22139">
      <c r="A22139" s="3" t="inlineStr">
        <is>
          <t>22071</t>
        </is>
      </c>
      <c r="B22139" s="4" t="s">
        <f>=HYPERLINK("http://anyluxury.ru/shop/pismennye-prinadlezhnosti/ruchki/sharikovye/vechnaya-ruchka-cambiano-matte-black-walnut-1421853/" , "14218.53 Вечная ручка Cambiano Matte Black Walnut")</f>
      </c>
      <c r="C22139" s="4" t="n">
        <v>15500.00</v>
      </c>
      <c r="D22139" s="4"/>
    </row>
    <row collapsed="" customFormat="false" customHeight="1" hidden="" ht="14" outlineLevel="0" r="22140">
      <c r="A22140" s="3" t="inlineStr">
        <is>
          <t>22072</t>
        </is>
      </c>
      <c r="B22140" s="4" t="s">
        <f>=HYPERLINK("http://anyluxury.ru/shop/pismennye-prinadlezhnosti/ruchki/sharikovye/vechnaya-ruchka-cambiano-cedarwood-1421855/" , "14218.55 Вечная ручка Cambiano Cedarwood")</f>
      </c>
      <c r="C22140" s="4" t="n">
        <v>15500.00</v>
      </c>
      <c r="D22140" s="4"/>
    </row>
    <row collapsed="" customFormat="false" customHeight="1" hidden="" ht="14" outlineLevel="0" r="22141">
      <c r="A22141" s="3" t="inlineStr">
        <is>
          <t>22073</t>
        </is>
      </c>
      <c r="B22141" s="4" t="s">
        <f>=HYPERLINK("http://anyluxury.ru/shop/pismennye-prinadlezhnosti/ruchki/sharikovye/sharikovaya-ruchka-cambiano-shiny-chrome-walnut-1421910/" , "14219.10 Шариковая ручка Cambiano Shiny Chrome Walnut")</f>
      </c>
      <c r="C22141" s="4" t="n">
        <v>15500.00</v>
      </c>
      <c r="D22141" s="4"/>
    </row>
    <row collapsed="" customFormat="false" customHeight="1" hidden="" ht="14" outlineLevel="0" r="22142">
      <c r="A22142" s="3" t="inlineStr">
        <is>
          <t>22074</t>
        </is>
      </c>
      <c r="B22142" s="4" t="s">
        <f>=HYPERLINK("http://anyluxury.ru/shop/pismennye-prinadlezhnosti/ruchki/sharikovye/vechnaya-ruchka-aero-sinyaya-1422040/" , "14220.40 Вечная ручка Aero, синяя")</f>
      </c>
      <c r="C22142" s="4" t="n">
        <v>18950.00</v>
      </c>
      <c r="D22142" s="4"/>
    </row>
    <row collapsed="" customFormat="false" customHeight="1" hidden="" ht="14" outlineLevel="0" r="22143">
      <c r="A22143" s="3" t="inlineStr">
        <is>
          <t>22075</t>
        </is>
      </c>
      <c r="B22143" s="4" t="s">
        <f>=HYPERLINK("http://anyluxury.ru/shop/pismennye-prinadlezhnosti/ruchki/sharikovye/vechnaya-ruchka-aero-krasnaya-1422050/" , "14220.50 Вечная ручка Aero, красная")</f>
      </c>
      <c r="C22143" s="4" t="n">
        <v>18950.00</v>
      </c>
      <c r="D22143" s="4"/>
    </row>
    <row collapsed="" customFormat="false" customHeight="1" hidden="" ht="14" outlineLevel="0" r="22144">
      <c r="A22144" s="3" t="inlineStr">
        <is>
          <t>22076</t>
        </is>
      </c>
      <c r="B22144" s="4" t="s">
        <f>=HYPERLINK("http://anyluxury.ru/shop/pismennye-prinadlezhnosti/ruchki/sharikovye/vechnaya-ruchka-aero-oranzhevaya-1422020/" , "14220.20 Вечная ручка Aero, оранжевая")</f>
      </c>
      <c r="C22144" s="4" t="n">
        <v>18950.00</v>
      </c>
      <c r="D22144" s="4"/>
    </row>
    <row collapsed="" customFormat="false" customHeight="1" hidden="" ht="14" outlineLevel="0" r="22145">
      <c r="A22145" s="3" t="inlineStr">
        <is>
          <t>22077</t>
        </is>
      </c>
      <c r="B22145" s="4" t="s">
        <f>=HYPERLINK("http://anyluxury.ru/shop/pismennye-prinadlezhnosti/ruchki/sharikovye/ruchka-sharikovaya-pf-one-chernaya-1422130/" , "14221.30 Ручка шариковая PF One, черная")</f>
      </c>
      <c r="C22145" s="4" t="n">
        <v>14950.00</v>
      </c>
      <c r="D22145" s="4"/>
    </row>
    <row collapsed="" customFormat="false" customHeight="1" hidden="" ht="14" outlineLevel="0" r="22146">
      <c r="A22146" s="3" t="inlineStr">
        <is>
          <t>22078</t>
        </is>
      </c>
      <c r="B22146" s="4" t="s">
        <f>=HYPERLINK("http://anyluxury.ru/shop/pismennye-prinadlezhnosti/ruchki/sharikovye/ruchka-sharikovaya-pf-one-serebristaya-1422110/" , "14221.10 Ручка шариковая PF One, серебристая")</f>
      </c>
      <c r="C22146" s="4" t="n">
        <v>14950.00</v>
      </c>
      <c r="D22146" s="4"/>
    </row>
    <row collapsed="" customFormat="false" customHeight="1" hidden="" ht="14" outlineLevel="0" r="22147">
      <c r="A22147" s="3" t="inlineStr">
        <is>
          <t>22079</t>
        </is>
      </c>
      <c r="B22147" s="4" t="s">
        <f>=HYPERLINK("http://anyluxury.ru/shop/pismennye-prinadlezhnosti/ruchki/sharikovye/ruchka-sharikovaya-pf-one-serebristaya-s-sinim-1422114/" , "14221.14 Ручка шариковая PF One, серебристая с синим")</f>
      </c>
      <c r="C22147" s="4" t="n">
        <v>14950.00</v>
      </c>
      <c r="D22147" s="4"/>
    </row>
    <row collapsed="" customFormat="false" customHeight="1" hidden="" ht="14" outlineLevel="0" r="22148">
      <c r="A22148" s="3" t="inlineStr">
        <is>
          <t>22080</t>
        </is>
      </c>
      <c r="B22148" s="4" t="s">
        <f>=HYPERLINK("http://anyluxury.ru/shop/pismennye-prinadlezhnosti/ruchki/sharikovye/ruchka-perevaya-pf-one-chernaya-1422230/" , "14222.30 Ручка перьевая PF One, черная")</f>
      </c>
      <c r="C22148" s="4" t="n">
        <v>16950.00</v>
      </c>
      <c r="D22148" s="4"/>
    </row>
    <row collapsed="" customFormat="false" customHeight="1" hidden="" ht="14" outlineLevel="0" r="22149">
      <c r="A22149" s="3" t="inlineStr">
        <is>
          <t>22081</t>
        </is>
      </c>
      <c r="B22149" s="4" t="s">
        <f>=HYPERLINK("http://anyluxury.ru/shop/pismennye-prinadlezhnosti/ruchki/sharikovye/ruchka-perevaya-pf-one-serebristaya-1422210/" , "14222.10 Ручка перьевая PF One, серебристая")</f>
      </c>
      <c r="C22149" s="4" t="n">
        <v>16950.00</v>
      </c>
      <c r="D22149" s="4"/>
    </row>
    <row collapsed="" customFormat="false" customHeight="1" hidden="" ht="14" outlineLevel="0" r="22150">
      <c r="A22150" s="3" t="inlineStr">
        <is>
          <t>22082</t>
        </is>
      </c>
      <c r="B22150" s="4" t="s">
        <f>=HYPERLINK("http://anyluxury.ru/shop/pismennye-prinadlezhnosti/ruchki/sharikovye/ruchka-perevaya-pf-one-serebristaya-s-sinim-1422214/" , "14222.14 Ручка перьевая PF One, серебристая с синим")</f>
      </c>
      <c r="C22150" s="4" t="n">
        <v>16950.00</v>
      </c>
      <c r="D22150" s="4"/>
    </row>
    <row collapsed="" customFormat="false" customHeight="1" hidden="" ht="14" outlineLevel="0" r="22151">
      <c r="A22151" s="3" t="inlineStr">
        <is>
          <t>22083</t>
        </is>
      </c>
      <c r="B22151" s="4" t="s">
        <f>=HYPERLINK("http://anyluxury.ru/shop/pismennye-prinadlezhnosti/ruchki/sharikovye/ruchka-sharikovaya-pf-two-chernaya-1422330/" , "14223.30 Ручка шариковая PF Two, черная")</f>
      </c>
      <c r="C22151" s="4" t="n">
        <v>18300.00</v>
      </c>
      <c r="D22151" s="4"/>
    </row>
    <row collapsed="" customFormat="false" customHeight="1" hidden="" ht="14" outlineLevel="0" r="22152">
      <c r="A22152" s="3" t="inlineStr">
        <is>
          <t>22084</t>
        </is>
      </c>
      <c r="B22152" s="4" t="s">
        <f>=HYPERLINK("http://anyluxury.ru/shop/pismennye-prinadlezhnosti/ruchki/sharikovye/ruchka-sharikovaya-pf-two-sinyaya-1422340/" , "14223.40 Ручка шариковая PF Two, синяя")</f>
      </c>
      <c r="C22152" s="4" t="n">
        <v>18300.00</v>
      </c>
      <c r="D22152" s="4"/>
    </row>
    <row collapsed="" customFormat="false" customHeight="1" hidden="" ht="14" outlineLevel="0" r="22153">
      <c r="A22153" s="3" t="inlineStr">
        <is>
          <t>22085</t>
        </is>
      </c>
      <c r="B22153" s="4" t="s">
        <f>=HYPERLINK("http://anyluxury.ru/shop/pismennye-prinadlezhnosti/ruchki/sharikovye/roller-pf-two-cherniy-1422430/" , "14224.30 Роллер PF Two, черный")</f>
      </c>
      <c r="C22153" s="4" t="n">
        <v>19550.00</v>
      </c>
      <c r="D22153" s="4"/>
    </row>
    <row collapsed="" customFormat="false" customHeight="1" hidden="" ht="14" outlineLevel="0" r="22154">
      <c r="A22154" s="3" t="inlineStr">
        <is>
          <t>22086</t>
        </is>
      </c>
      <c r="B22154" s="4" t="s">
        <f>=HYPERLINK("http://anyluxury.ru/shop/pismennye-prinadlezhnosti/ruchki/sharikovye/roller-pf-two-siniy-1422440/" , "14224.40 Роллер PF Two, синий")</f>
      </c>
      <c r="C22154" s="4" t="n">
        <v>19550.00</v>
      </c>
      <c r="D22154" s="4"/>
    </row>
    <row collapsed="" customFormat="false" customHeight="1" hidden="" ht="14" outlineLevel="0" r="22155">
      <c r="A22155" s="3" t="inlineStr">
        <is>
          <t>22087</t>
        </is>
      </c>
      <c r="B22155" s="4" t="s">
        <f>=HYPERLINK("http://anyluxury.ru/shop/pismennye-prinadlezhnosti/ruchki/sharikovye/ruchka-perevaya-pf-two-chernaya-1422530/" , "14225.30 Ручка перьевая PF Two, черная")</f>
      </c>
      <c r="C22155" s="4" t="n">
        <v>20750.00</v>
      </c>
      <c r="D22155" s="4"/>
    </row>
    <row collapsed="" customFormat="false" customHeight="1" hidden="" ht="14" outlineLevel="0" r="22156">
      <c r="A22156" s="3" t="inlineStr">
        <is>
          <t>22088</t>
        </is>
      </c>
      <c r="B22156" s="4" t="s">
        <f>=HYPERLINK("http://anyluxury.ru/shop/pismennye-prinadlezhnosti/ruchki/sharikovye/ruchka-perevaya-pf-two-sinyaya-1422540/" , "14225.40 Ручка перьевая PF Two, синяя")</f>
      </c>
      <c r="C22156" s="4" t="n">
        <v>20750.00</v>
      </c>
      <c r="D22156" s="4"/>
    </row>
    <row collapsed="" customFormat="false" customHeight="1" hidden="" ht="14" outlineLevel="0" r="22157">
      <c r="A22157" s="3" t="inlineStr">
        <is>
          <t>22089</t>
        </is>
      </c>
      <c r="B22157" s="4" t="s">
        <f>=HYPERLINK("http://anyluxury.ru/shop/pismennye-prinadlezhnosti/ruchki/sharikovye/vechnaya-ruchka-forever-prima-chernaya-1422730/" , "14227.30 Вечная ручка Forever Prima, черная")</f>
      </c>
      <c r="C22157" s="4" t="n">
        <v>5650.00</v>
      </c>
      <c r="D22157" s="4"/>
    </row>
    <row collapsed="" customFormat="false" customHeight="1" hidden="" ht="14" outlineLevel="0" r="22158">
      <c r="A22158" s="3" t="inlineStr">
        <is>
          <t>22090</t>
        </is>
      </c>
      <c r="B22158" s="4" t="s">
        <f>=HYPERLINK("http://anyluxury.ru/shop/pismennye-prinadlezhnosti/ruchki/sharikovye/vechnaya-ruchka-forever-prima-krasnaya-1422750/" , "14227.50 Вечная ручка Forever Prima, красная")</f>
      </c>
      <c r="C22158" s="4" t="n">
        <v>5650.00</v>
      </c>
      <c r="D22158" s="4"/>
    </row>
    <row collapsed="" customFormat="false" customHeight="1" hidden="" ht="14" outlineLevel="0" r="22159">
      <c r="A22159" s="3" t="inlineStr">
        <is>
          <t>22091</t>
        </is>
      </c>
      <c r="B22159" s="4" t="s">
        <f>=HYPERLINK("http://anyluxury.ru/shop/pismennye-prinadlezhnosti/ruchki/sharikovye/vechnaya-ruchka-forever-prima-golubaya-1422744/" , "14227.44 Вечная ручка Forever Prima, голубая")</f>
      </c>
      <c r="C22159" s="4" t="n">
        <v>5650.00</v>
      </c>
      <c r="D22159" s="4"/>
    </row>
    <row collapsed="" customFormat="false" customHeight="1" hidden="" ht="14" outlineLevel="0" r="22160">
      <c r="A22160" s="3" t="inlineStr">
        <is>
          <t>22092</t>
        </is>
      </c>
      <c r="B22160" s="4" t="s">
        <f>=HYPERLINK("http://anyluxury.ru/shop/pismennye-prinadlezhnosti/ruchki/sharikovye/vechnaya-ruchka-forever-prima-serebristaya-1422710/" , "14227.10 Вечная ручка Forever Prima, серебристая")</f>
      </c>
      <c r="C22160" s="4" t="n">
        <v>5650.00</v>
      </c>
      <c r="D22160" s="4"/>
    </row>
    <row collapsed="" customFormat="false" customHeight="1" hidden="" ht="14" outlineLevel="0" r="22161">
      <c r="A22161" s="3" t="inlineStr">
        <is>
          <t>22093</t>
        </is>
      </c>
      <c r="B22161" s="4" t="s">
        <f>=HYPERLINK("http://anyluxury.ru/shop/pismennye-prinadlezhnosti/ruchki/sharikovye/vechnaya-ruchka-forever-prima-temnoseraya-1422711/" , "14227.11 Вечная ручка Forever Prima, темно-серая")</f>
      </c>
      <c r="C22161" s="4" t="n">
        <v>5650.00</v>
      </c>
      <c r="D22161" s="4"/>
    </row>
    <row collapsed="" customFormat="false" customHeight="1" hidden="" ht="14" outlineLevel="0" r="22162">
      <c r="A22162" s="3" t="inlineStr">
        <is>
          <t>22094</t>
        </is>
      </c>
      <c r="B22162" s="4" t="s">
        <f>=HYPERLINK("http://anyluxury.ru/shop/pismennye-prinadlezhnosti/ruchki/sharikovye/vechnaya-ruchka-forever-prima-oranzhevaya-1422720/" , "14227.20 Вечная ручка Forever Prima, оранжевая")</f>
      </c>
      <c r="C22162" s="4" t="n">
        <v>5650.00</v>
      </c>
      <c r="D22162" s="4"/>
    </row>
    <row collapsed="" customFormat="false" customHeight="1" hidden="" ht="14" outlineLevel="0" r="22163">
      <c r="A22163" s="3" t="inlineStr">
        <is>
          <t>22095</t>
        </is>
      </c>
      <c r="B22163" s="4" t="s">
        <f>=HYPERLINK("http://anyluxury.ru/shop/pismennye-prinadlezhnosti/ruchki/sharikovye/vechnaya-ruchka-forever-prima-zolotistaya-1422700/" , "14227.00 Вечная ручка Forever Prima, золотистая")</f>
      </c>
      <c r="C22163" s="4" t="n">
        <v>5650.00</v>
      </c>
      <c r="D22163" s="4"/>
    </row>
    <row collapsed="" customFormat="false" customHeight="1" hidden="" ht="14" outlineLevel="0" r="22164">
      <c r="A22164" s="3" t="inlineStr">
        <is>
          <t>22096</t>
        </is>
      </c>
      <c r="B22164" s="4" t="s">
        <f>=HYPERLINK("http://anyluxury.ru/shop/pismennye-prinadlezhnosti/ruchki/sharikovye/vechnaya-ruchka-forever-prima-mednaya-1422712/" , "14227.12 Вечная ручка Forever Prima, медная")</f>
      </c>
      <c r="C22164" s="4" t="n">
        <v>5650.00</v>
      </c>
      <c r="D22164" s="4"/>
    </row>
    <row collapsed="" customFormat="false" customHeight="1" hidden="" ht="14" outlineLevel="0" r="22165">
      <c r="A22165" s="3" t="inlineStr">
        <is>
          <t>22097</t>
        </is>
      </c>
      <c r="B22165" s="4" t="s">
        <f>=HYPERLINK("http://anyluxury.ru/shop/pismennye-prinadlezhnosti/ruchki/sharikovye/vechnaya-ruchka-forever-prima-bronzovaya-1422713/" , "14227.13 Вечная ручка Forever Prima, бронзовая")</f>
      </c>
      <c r="C22165" s="4" t="n">
        <v>4750.00</v>
      </c>
      <c r="D22165" s="4"/>
    </row>
    <row collapsed="" customFormat="false" customHeight="1" hidden="" ht="14" outlineLevel="0" r="22166">
      <c r="A22166" s="3" t="inlineStr">
        <is>
          <t>22098</t>
        </is>
      </c>
      <c r="B22166" s="4" t="s">
        <f>=HYPERLINK("http://anyluxury.ru/shop/pismennye-prinadlezhnosti/ruchki/sharikovye/sharikovaya-ruchka-quattro-seraya-221008080/" , "221008.080 Шариковая ручка Quattro, серая")</f>
      </c>
      <c r="C22166" s="4" t="n">
        <v>285.00</v>
      </c>
      <c r="D22166" s="4"/>
    </row>
    <row collapsed="" customFormat="false" customHeight="1" hidden="" ht="14" outlineLevel="0" r="22167">
      <c r="A22167" s="3" t="inlineStr">
        <is>
          <t>22099</t>
        </is>
      </c>
      <c r="B22167" s="4" t="s">
        <f>=HYPERLINK("http://anyluxury.ru/shop/pismennye-prinadlezhnosti/ruchki/sharikovye/ruchka-sharikovaya-raja-chrome-bordovaya-283155/" , "2831.55 Ручка шариковая Raja Chrome, бордовая")</f>
      </c>
      <c r="C22167" s="4" t="n">
        <v>205.00</v>
      </c>
      <c r="D22167" s="4"/>
    </row>
    <row collapsed="" customFormat="false" customHeight="1" hidden="" ht="14" outlineLevel="0" r="22168">
      <c r="A22168" s="3" t="inlineStr">
        <is>
          <t>22100</t>
        </is>
      </c>
      <c r="B22168" s="4" t="s">
        <f>=HYPERLINK("http://anyluxury.ru/shop/pismennye-prinadlezhnosti/ruchki/sharikovye/ruchka-sharikovaya-cork-belaya-1533160/" , "15331.60 Ручка шариковая Cork, белая")</f>
      </c>
      <c r="C22168" s="4" t="n">
        <v>194.00</v>
      </c>
      <c r="D22168" s="4"/>
    </row>
    <row collapsed="" customFormat="false" customHeight="1" hidden="" ht="14" outlineLevel="0" r="22169">
      <c r="A22169" s="3" t="inlineStr">
        <is>
          <t>22101</t>
        </is>
      </c>
      <c r="B22169" s="4" t="s">
        <f>=HYPERLINK("http://anyluxury.ru/shop/pismennye-prinadlezhnosti/ruchki/sharikovye/ruchka-sharikovaya-cork-sinyaya-1533140/" , "15331.40 Ручка шариковая Cork, синяя")</f>
      </c>
      <c r="C22169" s="4" t="n">
        <v>194.00</v>
      </c>
      <c r="D22169" s="4"/>
    </row>
    <row collapsed="" customFormat="false" customHeight="1" hidden="" ht="14" outlineLevel="0" r="22170">
      <c r="A22170" s="3" t="inlineStr">
        <is>
          <t>22102</t>
        </is>
      </c>
      <c r="B22170" s="4" t="s">
        <f>=HYPERLINK("http://anyluxury.ru/shop/pismennye-prinadlezhnosti/ruchki/sharikovye/ruchka-sharikovaya-cork-chernaya-1533130/" , "15331.30 Ручка шариковая Cork, черная")</f>
      </c>
      <c r="C22170" s="4" t="n">
        <v>194.00</v>
      </c>
      <c r="D22170" s="4"/>
    </row>
    <row collapsed="" customFormat="false" customHeight="1" hidden="" ht="14" outlineLevel="0" r="22171">
      <c r="A22171" s="3" t="inlineStr">
        <is>
          <t>22103</t>
        </is>
      </c>
      <c r="B22171" s="4" t="s">
        <f>=HYPERLINK("http://anyluxury.ru/shop/pismennye-prinadlezhnosti/ruchki/sharikovye/sharikovaya-ruchka-benua-belaya-233227100/" , "233227.100 Шариковая ручка Benua, белая")</f>
      </c>
      <c r="C22171" s="4" t="n">
        <v>164.00</v>
      </c>
      <c r="D22171" s="4"/>
    </row>
    <row collapsed="" customFormat="false" customHeight="1" hidden="" ht="14" outlineLevel="0" r="22172">
      <c r="A22172" s="3" t="inlineStr">
        <is>
          <t>22104</t>
        </is>
      </c>
      <c r="B22172" s="4" t="s">
        <f>=HYPERLINK("http://anyluxury.ru/shop/pismennye-prinadlezhnosti/ruchki/sharikovye/sharikovaya-ruchka-benua-seraya-233227080/" , "233227.080 Шариковая ручка Benua, серая")</f>
      </c>
      <c r="C22172" s="4" t="n">
        <v>164.00</v>
      </c>
      <c r="D22172" s="4"/>
    </row>
    <row collapsed="" customFormat="false" customHeight="1" hidden="" ht="14" outlineLevel="0" r="22173">
      <c r="A22173" s="3" t="inlineStr">
        <is>
          <t>22105</t>
        </is>
      </c>
      <c r="B22173" s="4" t="s">
        <f>=HYPERLINK("http://anyluxury.ru/shop/pismennye-prinadlezhnosti/ruchki/sharikovye/sharikovaya-ruchka-benua-sinyaya-233227030/" , "233227.030 Шариковая ручка Benua, синяя")</f>
      </c>
      <c r="C22173" s="4" t="n">
        <v>164.00</v>
      </c>
      <c r="D22173" s="4"/>
    </row>
    <row collapsed="" customFormat="false" customHeight="1" hidden="" ht="14" outlineLevel="0" r="22174">
      <c r="A22174" s="3" t="inlineStr">
        <is>
          <t>22106</t>
        </is>
      </c>
      <c r="B22174" s="4" t="s">
        <f>=HYPERLINK("http://anyluxury.ru/shop/pismennye-prinadlezhnosti/ruchki/sharikovye/sharikovaya-ruchka-benua-chernaya-233227010/" , "233227.010 Шариковая ручка Benua, черная")</f>
      </c>
      <c r="C22174" s="4" t="n">
        <v>164.00</v>
      </c>
      <c r="D22174" s="4"/>
    </row>
    <row collapsed="" customFormat="false" customHeight="1" hidden="" ht="14" outlineLevel="0" r="22175">
      <c r="A22175" s="3" t="inlineStr">
        <is>
          <t>22107</t>
        </is>
      </c>
      <c r="B22175" s="4" t="s">
        <f>=HYPERLINK("http://anyluxury.ru/shop/pismennye-prinadlezhnosti/ruchki/sharikovye/ruchka-sharikovaya-parker-jotter-core-k691-14933/" , "14933 Ручка шариковая Parker Jotter Core K691")</f>
      </c>
      <c r="C22175" s="4" t="n">
        <v>3122.00</v>
      </c>
      <c r="D22175" s="4"/>
    </row>
    <row collapsed="" customFormat="false" customHeight="1" hidden="" ht="14" outlineLevel="0" r="22176">
      <c r="A22176" s="3" t="inlineStr">
        <is>
          <t>22108</t>
        </is>
      </c>
      <c r="B22176" s="4" t="s">
        <f>=HYPERLINK("http://anyluxury.ru/shop/pismennye-prinadlezhnosti/ruchki/sharikovye/ruchka-sharikovaya-student-50s-rock-sinyaya-1561940/" , "15619.40 Ручка шариковая Student 50's Rock, синяя")</f>
      </c>
      <c r="C22176" s="4" t="n">
        <v>7456.00</v>
      </c>
      <c r="D22176" s="4"/>
    </row>
    <row collapsed="" customFormat="false" customHeight="1" hidden="" ht="14" outlineLevel="0" r="22177">
      <c r="A22177" s="3" t="inlineStr">
        <is>
          <t>22109</t>
        </is>
      </c>
      <c r="B22177" s="4" t="s">
        <f>=HYPERLINK("http://anyluxury.ru/shop/pismennye-prinadlezhnosti/ruchki/sharikovye/ruchka-sharikovaya-student-60s-swing-zelenaya-1561990/" , "15619.90 Ручка шариковая Student 60's Swing, зеленая")</f>
      </c>
      <c r="C22177" s="4" t="n">
        <v>7456.00</v>
      </c>
      <c r="D22177" s="4"/>
    </row>
    <row collapsed="" customFormat="false" customHeight="1" hidden="" ht="14" outlineLevel="0" r="22178">
      <c r="A22178" s="3" t="inlineStr">
        <is>
          <t>22110</t>
        </is>
      </c>
      <c r="B22178" s="4" t="s">
        <f>=HYPERLINK("http://anyluxury.ru/shop/pismennye-prinadlezhnosti/ruchki/sharikovye/ruchka-sharikovaya-student-70s-soul-oranzhevaya-1561920/" , "15619.20 Ручка шариковая Student 70`s Soul, оранжевая")</f>
      </c>
      <c r="C22178" s="4" t="n">
        <v>7456.00</v>
      </c>
      <c r="D22178" s="4"/>
    </row>
    <row collapsed="" customFormat="false" customHeight="1" hidden="" ht="14" outlineLevel="0" r="22179">
      <c r="A22179" s="3" t="inlineStr">
        <is>
          <t>22111</t>
        </is>
      </c>
      <c r="B22179" s="4" t="s">
        <f>=HYPERLINK("http://anyluxury.ru/shop/pismennye-prinadlezhnosti/ruchki/sharikovye/ruchka-perevaya-perkeo-chernaya-1562030/" , "15620.30 Ручка перьевая Perkeo, черная")</f>
      </c>
      <c r="C22179" s="4" t="n">
        <v>2216.00</v>
      </c>
      <c r="D22179" s="4"/>
    </row>
    <row collapsed="" customFormat="false" customHeight="1" hidden="" ht="14" outlineLevel="0" r="22180">
      <c r="A22180" s="3" t="inlineStr">
        <is>
          <t>22112</t>
        </is>
      </c>
      <c r="B22180" s="4" t="s">
        <f>=HYPERLINK("http://anyluxury.ru/shop/pismennye-prinadlezhnosti/ruchki/sharikovye/ruchka-perevaya-perkeo-prozrachnaya-1562000/" , "15620.00 Ручка перьевая Perkeo, прозрачная")</f>
      </c>
      <c r="C22180" s="4" t="n">
        <v>2216.00</v>
      </c>
      <c r="D22180" s="4"/>
    </row>
    <row collapsed="" customFormat="false" customHeight="1" hidden="" ht="14" outlineLevel="0" r="22181">
      <c r="A22181" s="3" t="inlineStr">
        <is>
          <t>22113</t>
        </is>
      </c>
      <c r="B22181" s="4" t="s">
        <f>=HYPERLINK("http://anyluxury.ru/shop/pismennye-prinadlezhnosti/ruchki/sharikovye/ruchka-perevaya-perkeo-zelenaya-1562090/" , "15620.90 Ручка перьевая Perkeo, зеленая")</f>
      </c>
      <c r="C22181" s="4" t="n">
        <v>2216.00</v>
      </c>
      <c r="D22181" s="4"/>
    </row>
    <row collapsed="" customFormat="false" customHeight="1" hidden="" ht="14" outlineLevel="0" r="22182">
      <c r="A22182" s="3" t="inlineStr">
        <is>
          <t>22114</t>
        </is>
      </c>
      <c r="B22182" s="4" t="s">
        <f>=HYPERLINK("http://anyluxury.ru/shop/pismennye-prinadlezhnosti/ruchki/sharikovye/roller-brass-sport-zolotistiy-1562108/" , "15621.08 Роллер Brass Sport, золотистый")</f>
      </c>
      <c r="C22182" s="4" t="n">
        <v>8190.00</v>
      </c>
      <c r="D22182" s="4"/>
    </row>
    <row collapsed="" customFormat="false" customHeight="1" hidden="" ht="14" outlineLevel="0" r="22183">
      <c r="A22183" s="3" t="inlineStr">
        <is>
          <t>22115</t>
        </is>
      </c>
      <c r="B22183" s="4" t="s">
        <f>=HYPERLINK("http://anyluxury.ru/shop/pismennye-prinadlezhnosti/ruchki/sharikovye/ruchka-sharikovaya-prodir-ds6s-tmm-belaya-2339060/" , "23390.60 Ручка шариковая Prodir DS6S TMM, белая")</f>
      </c>
      <c r="C22183" s="4" t="n">
        <v>134.00</v>
      </c>
      <c r="D22183" s="4"/>
    </row>
    <row collapsed="" customFormat="false" customHeight="1" hidden="" ht="14" outlineLevel="0" r="22184">
      <c r="A22184" s="3" t="inlineStr">
        <is>
          <t>22116</t>
        </is>
      </c>
      <c r="B22184" s="4" t="s">
        <f>=HYPERLINK("http://anyluxury.ru/shop/pismennye-prinadlezhnosti/ruchki/sharikovye/ruchka-sharikovaya-prodir-ds6s-tmm-zelenaya-2339090/" , "23390.90 Ручка шариковая Prodir DS6S TMM, зеленая")</f>
      </c>
      <c r="C22184" s="4" t="n">
        <v>134.00</v>
      </c>
      <c r="D22184" s="4"/>
    </row>
    <row collapsed="" customFormat="false" customHeight="1" hidden="" ht="14" outlineLevel="0" r="22185">
      <c r="A22185" s="3" t="inlineStr">
        <is>
          <t>22117</t>
        </is>
      </c>
      <c r="B22185" s="4" t="s">
        <f>=HYPERLINK("http://anyluxury.ru/shop/pismennye-prinadlezhnosti/ruchki/sharikovye/ruchka-sharikovaya-prodir-ds6s-tmm-golubaya-2339014/" , "23390.14 Ручка шариковая Prodir DS6S TMM, голубая")</f>
      </c>
      <c r="C22185" s="4" t="n">
        <v>134.00</v>
      </c>
      <c r="D22185" s="4"/>
    </row>
    <row collapsed="" customFormat="false" customHeight="1" hidden="" ht="14" outlineLevel="0" r="22186">
      <c r="A22186" s="3" t="inlineStr">
        <is>
          <t>22118</t>
        </is>
      </c>
      <c r="B22186" s="4" t="s">
        <f>=HYPERLINK("http://anyluxury.ru/shop/pismennye-prinadlezhnosti/ruchki/sharikovye/ruchka-sharikovaya-prodir-ds6s-tmm-fioletovaya-2339070/" , "23390.70 Ручка шариковая Prodir DS6S TMM, фиолетовая")</f>
      </c>
      <c r="C22186" s="4" t="n">
        <v>134.00</v>
      </c>
      <c r="D22186" s="4"/>
    </row>
    <row collapsed="" customFormat="false" customHeight="1" hidden="" ht="14" outlineLevel="0" r="22187">
      <c r="A22187" s="3" t="inlineStr">
        <is>
          <t>22119</t>
        </is>
      </c>
      <c r="B22187" s="4" t="s">
        <f>=HYPERLINK("http://anyluxury.ru/shop/pismennye-prinadlezhnosti/ruchki/sharikovye/ruchka-sharikovaya-prodir-ds6s-tmm-krasnaya-2339050/" , "23390.50 Ручка шариковая Prodir DS6S TMM, красная")</f>
      </c>
      <c r="C22187" s="4" t="n">
        <v>134.00</v>
      </c>
      <c r="D22187" s="4"/>
    </row>
    <row collapsed="" customFormat="false" customHeight="1" hidden="" ht="14" outlineLevel="0" r="22188">
      <c r="A22188" s="3" t="inlineStr">
        <is>
          <t>22120</t>
        </is>
      </c>
      <c r="B22188" s="4" t="s">
        <f>=HYPERLINK("http://anyluxury.ru/shop/pismennye-prinadlezhnosti/ruchki/sharikovye/ruchka-sharikovaya-prodir-ds6s-tmm-temnosinyaya-2339040/" , "23390.40 Ручка шариковая Prodir DS6S TMM, синяя")</f>
      </c>
      <c r="C22188" s="4" t="n">
        <v>134.00</v>
      </c>
      <c r="D22188" s="4"/>
    </row>
    <row collapsed="" customFormat="false" customHeight="1" hidden="" ht="14" outlineLevel="0" r="22189">
      <c r="A22189" s="3" t="inlineStr">
        <is>
          <t>22121</t>
        </is>
      </c>
      <c r="B22189" s="4" t="s">
        <f>=HYPERLINK("http://anyluxury.ru/shop/pismennye-prinadlezhnosti/ruchki/sharikovye/ruchka-sharikovaya-prodir-ds6s-tmm-zheltaya-2339080/" , "23390.80 Ручка шариковая Prodir DS6S TMM, желтая")</f>
      </c>
      <c r="C22189" s="4" t="n">
        <v>134.00</v>
      </c>
      <c r="D22189" s="4"/>
    </row>
    <row collapsed="" customFormat="false" customHeight="1" hidden="" ht="14" outlineLevel="0" r="22190">
      <c r="A22190" s="3" t="inlineStr">
        <is>
          <t>22122</t>
        </is>
      </c>
      <c r="B22190" s="4" t="s">
        <f>=HYPERLINK("http://anyluxury.ru/shop/pismennye-prinadlezhnosti/ruchki/sharikovye/ruchka-sharikovaya-prodir-ds6s-tmm-chernaya-2339030/" , "23390.30 Ручка шариковая Prodir DS6S TMM, черная")</f>
      </c>
      <c r="C22190" s="4" t="n">
        <v>134.00</v>
      </c>
      <c r="D22190" s="4"/>
    </row>
    <row collapsed="" customFormat="false" customHeight="1" hidden="" ht="14" outlineLevel="0" r="22191">
      <c r="A22191" s="3" t="inlineStr">
        <is>
          <t>22123</t>
        </is>
      </c>
      <c r="B22191" s="4" t="s">
        <f>=HYPERLINK("http://anyluxury.ru/shop/pismennye-prinadlezhnosti/ruchki/sharikovye/ruchka-sharikovaya-prodir-ds5-tsr-metal-clip-chernaya-2477630/" , "24776.30 Ручка шариковая Prodir DS5 TSR Metal Clip, черная")</f>
      </c>
      <c r="C22191" s="4" t="n">
        <v>547.00</v>
      </c>
      <c r="D22191" s="4"/>
    </row>
    <row collapsed="" customFormat="false" customHeight="1" hidden="" ht="14" outlineLevel="0" r="22192">
      <c r="A22192" s="3" t="inlineStr">
        <is>
          <t>22124</t>
        </is>
      </c>
      <c r="B22192" s="4" t="s">
        <f>=HYPERLINK("http://anyluxury.ru/shop/pismennye-prinadlezhnosti/ruchki/sharikovye/sharikovaya-ruchka-benua-golubaya-233227240/" , "233227.240 Шариковая ручка Benua, голубая")</f>
      </c>
      <c r="C22192" s="4" t="n">
        <v>164.00</v>
      </c>
      <c r="D22192" s="4"/>
    </row>
    <row collapsed="" customFormat="false" customHeight="1" hidden="" ht="14" outlineLevel="0" r="22193">
      <c r="A22193" s="3" t="inlineStr">
        <is>
          <t>22125</t>
        </is>
      </c>
      <c r="B22193" s="4" t="s">
        <f>=HYPERLINK("http://anyluxury.ru/shop/pismennye-prinadlezhnosti/ruchki/sharikovye/sharikovaya-ruchka-benua-zelenaya-233227040/" , "233227.040 Шариковая ручка Benua, зеленая")</f>
      </c>
      <c r="C22193" s="4" t="n">
        <v>164.00</v>
      </c>
      <c r="D22193" s="4"/>
    </row>
    <row collapsed="" customFormat="false" customHeight="1" hidden="" ht="14" outlineLevel="0" r="22194">
      <c r="A22194" s="3" t="inlineStr">
        <is>
          <t>22126</t>
        </is>
      </c>
      <c r="B22194" s="4" t="s">
        <f>=HYPERLINK("http://anyluxury.ru/shop/pismennye-prinadlezhnosti/ruchki/sharikovye/sharikovaya-ruchka-benua-krasnaya-233227060/" , "233227.060 Шариковая ручка Benua, красная")</f>
      </c>
      <c r="C22194" s="4" t="n">
        <v>164.00</v>
      </c>
      <c r="D22194" s="4"/>
    </row>
    <row collapsed="" customFormat="false" customHeight="1" hidden="" ht="14" outlineLevel="0" r="22195">
      <c r="A22195" s="3" t="inlineStr">
        <is>
          <t>22127</t>
        </is>
      </c>
      <c r="B22195" s="4" t="s">
        <f>=HYPERLINK("http://anyluxury.ru/shop/pismennye-prinadlezhnosti/ruchki/sharikovye/sharikovaya-ruchka-benua-myatnaya-233227650/" , "233227.650 Шариковая ручка Benua, мятная")</f>
      </c>
      <c r="C22195" s="4" t="n">
        <v>164.00</v>
      </c>
      <c r="D22195" s="4"/>
    </row>
    <row collapsed="" customFormat="false" customHeight="1" hidden="" ht="14" outlineLevel="0" r="22196">
      <c r="A22196" s="3" t="inlineStr">
        <is>
          <t>22128</t>
        </is>
      </c>
      <c r="B22196" s="4" t="s">
        <f>=HYPERLINK("http://anyluxury.ru/shop/pismennye-prinadlezhnosti/ruchki/sharikovye/sharikovaya-ruchka-benua-fioletovaya-233227034/" , "233227.034 Шариковая ручка Benua, фиолетовая")</f>
      </c>
      <c r="C22196" s="4" t="n">
        <v>164.00</v>
      </c>
      <c r="D22196" s="4"/>
    </row>
    <row collapsed="" customFormat="false" customHeight="1" hidden="" ht="14" outlineLevel="0" r="22197">
      <c r="A22197" s="3" t="inlineStr">
        <is>
          <t>22129</t>
        </is>
      </c>
      <c r="B22197" s="4" t="s">
        <f>=HYPERLINK("http://anyluxury.ru/shop/pismennye-prinadlezhnosti/ruchki/sharikovye/ruchka-sharikovaya-easy-grip-zolotistaya-1533200/" , "15332.00 Ручка шариковая Easy Grip, золотистая")</f>
      </c>
      <c r="C22197" s="4" t="n">
        <v>143.00</v>
      </c>
      <c r="D22197" s="4"/>
    </row>
    <row collapsed="" customFormat="false" customHeight="1" hidden="" ht="14" outlineLevel="0" r="22198">
      <c r="A22198" s="3" t="inlineStr">
        <is>
          <t>22130</t>
        </is>
      </c>
      <c r="B22198" s="4" t="s">
        <f>=HYPERLINK("http://anyluxury.ru/shop/pismennye-prinadlezhnosti/ruchki/sharikovye/ruchka-sharikovaya-easy-grip-serebristaya-1533210/" , "15332.10 Ручка шариковая Easy Grip, серебристая")</f>
      </c>
      <c r="C22198" s="4" t="n">
        <v>143.00</v>
      </c>
      <c r="D22198" s="4"/>
    </row>
    <row collapsed="" customFormat="false" customHeight="1" hidden="" ht="14" outlineLevel="0" r="22199">
      <c r="A22199" s="3" t="inlineStr">
        <is>
          <t>22131</t>
        </is>
      </c>
      <c r="B22199" s="4" t="s">
        <f>=HYPERLINK("http://anyluxury.ru/shop/pismennye-prinadlezhnosti/ruchki/sharikovye/ruchka-sharikovaya-easy-grip-chernaya-1533230/" , "15332.30 Ручка шариковая Easy Grip, черная")</f>
      </c>
      <c r="C22199" s="4" t="n">
        <v>143.00</v>
      </c>
      <c r="D22199" s="4"/>
    </row>
    <row collapsed="" customFormat="false" customHeight="1" hidden="" ht="14" outlineLevel="0" r="22200">
      <c r="A22200" s="3" t="inlineStr">
        <is>
          <t>22132</t>
        </is>
      </c>
      <c r="B22200" s="4" t="s">
        <f>=HYPERLINK("http://anyluxury.ru/shop/pismennye-prinadlezhnosti/ruchki/sharikovye/vechnaya-ruchka-forever-primina-belaya-1553360/" , "15533.60 Вечная ручка Forever Primina, белая")</f>
      </c>
      <c r="C22200" s="4" t="n">
        <v>4750.00</v>
      </c>
      <c r="D22200" s="4"/>
    </row>
    <row collapsed="" customFormat="false" customHeight="1" hidden="" ht="14" outlineLevel="0" r="22201">
      <c r="A22201" s="3" t="inlineStr">
        <is>
          <t>22133</t>
        </is>
      </c>
      <c r="B22201" s="4" t="s">
        <f>=HYPERLINK("http://anyluxury.ru/shop/pismennye-prinadlezhnosti/ruchki/sharikovye/vechnaya-ruchka-forever-primina-chernaya-1553330/" , "15533.30 Вечная ручка Forever Primina, черная")</f>
      </c>
      <c r="C22201" s="4" t="n">
        <v>4750.00</v>
      </c>
      <c r="D22201" s="4"/>
    </row>
    <row collapsed="" customFormat="false" customHeight="1" hidden="" ht="14" outlineLevel="0" r="22202">
      <c r="A22202" s="3" t="inlineStr">
        <is>
          <t>22134</t>
        </is>
      </c>
      <c r="B22202" s="4" t="s">
        <f>=HYPERLINK("http://anyluxury.ru/shop/pismennye-prinadlezhnosti/ruchki/sharikovye/vechnaya-ruchka-forever-primina-serebristaya-1553310/" , "15533.10 Вечная ручка Forever Primina, серебристая")</f>
      </c>
      <c r="C22202" s="4" t="n">
        <v>4750.00</v>
      </c>
      <c r="D22202" s="4"/>
    </row>
    <row collapsed="" customFormat="false" customHeight="1" hidden="" ht="14" outlineLevel="0" r="22203">
      <c r="A22203" s="3" t="inlineStr">
        <is>
          <t>22135</t>
        </is>
      </c>
      <c r="B22203" s="4" t="s">
        <f>=HYPERLINK("http://anyluxury.ru/shop/pismennye-prinadlezhnosti/ruchki/sharikovye/vechnaya-ruchka-forever-primina-svetlozelenaya-1553389/" , "15533.89 Вечная ручка Forever Primina, светло-зеленая")</f>
      </c>
      <c r="C22203" s="4" t="n">
        <v>4750.00</v>
      </c>
      <c r="D22203" s="4"/>
    </row>
    <row collapsed="" customFormat="false" customHeight="1" hidden="" ht="14" outlineLevel="0" r="22204">
      <c r="A22204" s="3" t="inlineStr">
        <is>
          <t>22136</t>
        </is>
      </c>
      <c r="B22204" s="4" t="s">
        <f>=HYPERLINK("http://anyluxury.ru/shop/pismennye-prinadlezhnosti/ruchki/sharikovye/vechnaya-ruchka-forever-primina-biryuzovaya-1553342/" , "15533.42 Вечная ручка Forever Primina, бирюзовая")</f>
      </c>
      <c r="C22204" s="4" t="n">
        <v>4750.00</v>
      </c>
      <c r="D22204" s="4"/>
    </row>
    <row collapsed="" customFormat="false" customHeight="1" hidden="" ht="14" outlineLevel="0" r="22205">
      <c r="A22205" s="3" t="inlineStr">
        <is>
          <t>22137</t>
        </is>
      </c>
      <c r="B22205" s="4" t="s">
        <f>=HYPERLINK("http://anyluxury.ru/shop/pismennye-prinadlezhnosti/ruchki/sharikovye/vechnaya-ruchka-forever-primina-golubaya-1553344/" , "15533.44 Вечная ручка Forever Primina, голубая")</f>
      </c>
      <c r="C22205" s="4" t="n">
        <v>4750.00</v>
      </c>
      <c r="D22205" s="4"/>
    </row>
    <row collapsed="" customFormat="false" customHeight="1" hidden="" ht="14" outlineLevel="0" r="22206">
      <c r="A22206" s="3" t="inlineStr">
        <is>
          <t>22138</t>
        </is>
      </c>
      <c r="B22206" s="4" t="s">
        <f>=HYPERLINK("http://anyluxury.ru/shop/pismennye-prinadlezhnosti/ruchki/sharikovye/vechnaya-ruchka-forever-primina-sinyaya-1553340/" , "15533.40 Вечная ручка Forever Primina, синяя")</f>
      </c>
      <c r="C22206" s="4" t="n">
        <v>4750.00</v>
      </c>
      <c r="D22206" s="4"/>
    </row>
    <row collapsed="" customFormat="false" customHeight="1" hidden="" ht="14" outlineLevel="0" r="22207">
      <c r="A22207" s="3" t="inlineStr">
        <is>
          <t>22139</t>
        </is>
      </c>
      <c r="B22207" s="4" t="s">
        <f>=HYPERLINK("http://anyluxury.ru/shop/pismennye-prinadlezhnosti/ruchki/sharikovye/vechnaya-ruchka-forever-primina-fioletovaya-1553370/" , "15533.70 Вечная ручка Forever Primina, фиолетовая")</f>
      </c>
      <c r="C22207" s="4" t="n">
        <v>4750.00</v>
      </c>
      <c r="D22207" s="4"/>
    </row>
    <row collapsed="" customFormat="false" customHeight="1" hidden="" ht="14" outlineLevel="0" r="22208">
      <c r="A22208" s="3" t="inlineStr">
        <is>
          <t>22140</t>
        </is>
      </c>
      <c r="B22208" s="4" t="s">
        <f>=HYPERLINK("http://anyluxury.ru/shop/pismennye-prinadlezhnosti/ruchki/sharikovye/vechnaya-ruchka-forever-primina-rozovaya-purpurnaya-1553357/" , "15533.57 Вечная ручка Forever Primina, розовая (пурпурная)")</f>
      </c>
      <c r="C22208" s="4" t="n">
        <v>4750.00</v>
      </c>
      <c r="D22208" s="4"/>
    </row>
    <row collapsed="" customFormat="false" customHeight="1" hidden="" ht="14" outlineLevel="0" r="22209">
      <c r="A22209" s="3" t="inlineStr">
        <is>
          <t>22141</t>
        </is>
      </c>
      <c r="B22209" s="4" t="s">
        <f>=HYPERLINK("http://anyluxury.ru/shop/pismennye-prinadlezhnosti/ruchki/sharikovye/vechnaya-ruchka-forever-primina-krasnaya-1553350/" , "15533.50 Вечная ручка Forever Primina, красная")</f>
      </c>
      <c r="C22209" s="4" t="n">
        <v>4750.00</v>
      </c>
      <c r="D22209" s="4"/>
    </row>
    <row collapsed="" customFormat="false" customHeight="1" hidden="" ht="14" outlineLevel="0" r="22210">
      <c r="A22210" s="3" t="inlineStr">
        <is>
          <t>22142</t>
        </is>
      </c>
      <c r="B22210" s="4" t="s">
        <f>=HYPERLINK("http://anyluxury.ru/shop/pismennye-prinadlezhnosti/ruchki/sharikovye/vechnaya-ruchka-forever-primina-oranzhevaya-1553320/" , "15533.20 Вечная ручка Forever Primina, оранжевая")</f>
      </c>
      <c r="C22210" s="4" t="n">
        <v>4750.00</v>
      </c>
      <c r="D22210" s="4"/>
    </row>
    <row collapsed="" customFormat="false" customHeight="1" hidden="" ht="14" outlineLevel="0" r="22211">
      <c r="A22211" s="3" t="inlineStr">
        <is>
          <t>22143</t>
        </is>
      </c>
      <c r="B22211" s="4" t="s">
        <f>=HYPERLINK("http://anyluxury.ru/shop/pismennye-prinadlezhnosti/ruchki/sharikovye/vechnaya-ruchka-forever-primina-zheltaya-1553380/" , "15533.80 Вечная ручка Forever Primina, желтая")</f>
      </c>
      <c r="C22211" s="4" t="n">
        <v>4750.00</v>
      </c>
      <c r="D22211" s="4"/>
    </row>
    <row collapsed="" customFormat="false" customHeight="1" hidden="" ht="14" outlineLevel="0" r="22212">
      <c r="A22212" s="3" t="inlineStr">
        <is>
          <t>22144</t>
        </is>
      </c>
      <c r="B22212" s="4" t="s">
        <f>=HYPERLINK("http://anyluxury.ru/shop/pismennye-prinadlezhnosti/ruchki/sharikovye/sharikovaya-ruchka-grafeex-v-chehle-chernaya-s-fioletovim-1553470/" , "15534.70 Шариковая ручка GrafeeX в чехле, черная с фиолетовым")</f>
      </c>
      <c r="C22212" s="4" t="n">
        <v>1860.00</v>
      </c>
      <c r="D22212" s="4"/>
    </row>
    <row collapsed="" customFormat="false" customHeight="1" hidden="" ht="14" outlineLevel="0" r="22213">
      <c r="A22213" s="3" t="inlineStr">
        <is>
          <t>22145</t>
        </is>
      </c>
      <c r="B22213" s="4" t="s">
        <f>=HYPERLINK("http://anyluxury.ru/shop/pismennye-prinadlezhnosti/ruchki/sharikovye/sharikovaya-ruchka-grafeex-v-chehle-chernaya-s-oranzhevim-1553420/" , "15534.20 Шариковая ручка GrafeeX в чехле, черная с оранжевым")</f>
      </c>
      <c r="C22213" s="4" t="n">
        <v>1860.00</v>
      </c>
      <c r="D22213" s="4"/>
    </row>
    <row collapsed="" customFormat="false" customHeight="1" hidden="" ht="14" outlineLevel="0" r="22214">
      <c r="A22214" s="3" t="inlineStr">
        <is>
          <t>22146</t>
        </is>
      </c>
      <c r="B22214" s="4" t="s">
        <f>=HYPERLINK("http://anyluxury.ru/shop/pismennye-prinadlezhnosti/ruchki/sharikovye/sharikovaya-ruchka-grafeex-v-chehle-chernaya-s-zelenim-1553490/" , "15534.90 Шариковая ручка GrafeeX в чехле, черная с зеленым")</f>
      </c>
      <c r="C22214" s="4" t="n">
        <v>1860.00</v>
      </c>
      <c r="D22214" s="4"/>
    </row>
    <row collapsed="" customFormat="false" customHeight="1" hidden="" ht="14" outlineLevel="0" r="22215">
      <c r="A22215" s="3" t="inlineStr">
        <is>
          <t>22147</t>
        </is>
      </c>
      <c r="B22215" s="4" t="s">
        <f>=HYPERLINK("http://anyluxury.ru/shop/pismennye-prinadlezhnosti/ruchki/sharikovye/sharikovaya-ruchka-grafeex-v-chehle-chernaya-s-zheltim-1553480/" , "15534.80 Шариковая ручка GrafeeX в чехле, черная с желтым")</f>
      </c>
      <c r="C22215" s="4" t="n">
        <v>1860.00</v>
      </c>
      <c r="D22215" s="4"/>
    </row>
    <row collapsed="" customFormat="false" customHeight="1" hidden="" ht="14" outlineLevel="0" r="22216">
      <c r="A22216" s="3" t="inlineStr">
        <is>
          <t>22148</t>
        </is>
      </c>
      <c r="B22216" s="4" t="s">
        <f>=HYPERLINK("http://anyluxury.ru/shop/pismennye-prinadlezhnosti/ruchki/sharikovye/sharikovaya-ruchka-grafeex-v-chehle-chernaya-s-krasnim-1553450/" , "15534.50 Шариковая ручка GrafeeX в чехле, черная с красным")</f>
      </c>
      <c r="C22216" s="4" t="n">
        <v>1860.00</v>
      </c>
      <c r="D22216" s="4"/>
    </row>
    <row collapsed="" customFormat="false" customHeight="1" hidden="" ht="14" outlineLevel="0" r="22217">
      <c r="A22217" s="3" t="inlineStr">
        <is>
          <t>22149</t>
        </is>
      </c>
      <c r="B22217" s="4" t="s">
        <f>=HYPERLINK("http://anyluxury.ru/shop/pismennye-prinadlezhnosti/ruchki/sharikovye/sharikovaya-ruchka-grafeex-v-chehle-chernaya-s-sinim-1553440/" , "15534.40 Шариковая ручка GrafeeX в чехле, черная с синим")</f>
      </c>
      <c r="C22217" s="4" t="n">
        <v>1860.00</v>
      </c>
      <c r="D22217" s="4"/>
    </row>
    <row collapsed="" customFormat="false" customHeight="1" hidden="" ht="14" outlineLevel="0" r="22218">
      <c r="A22218" s="3" t="inlineStr">
        <is>
          <t>22150</t>
        </is>
      </c>
      <c r="B22218" s="4" t="s">
        <f>=HYPERLINK("http://anyluxury.ru/shop/pismennye-prinadlezhnosti/ruchki/sharikovye/vechnaya-ruchka-forever-libra-seraya-1553811/" , "15538.11 Вечная ручка Forever Libra, серая")</f>
      </c>
      <c r="C22218" s="4" t="n">
        <v>5250.00</v>
      </c>
      <c r="D22218" s="4"/>
    </row>
    <row collapsed="" customFormat="false" customHeight="1" hidden="" ht="14" outlineLevel="0" r="22219">
      <c r="A22219" s="3" t="inlineStr">
        <is>
          <t>22151</t>
        </is>
      </c>
      <c r="B22219" s="4" t="s">
        <f>=HYPERLINK("http://anyluxury.ru/shop/pismennye-prinadlezhnosti/ruchki/sharikovye/vechnaya-ruchka-forever-libra-chernaya-1553830/" , "15538.30 Вечная ручка Forever Libra, черная")</f>
      </c>
      <c r="C22219" s="4" t="n">
        <v>5250.00</v>
      </c>
      <c r="D22219" s="4"/>
    </row>
    <row collapsed="" customFormat="false" customHeight="1" hidden="" ht="14" outlineLevel="0" r="22220">
      <c r="A22220" s="3" t="inlineStr">
        <is>
          <t>22152</t>
        </is>
      </c>
      <c r="B22220" s="4" t="s">
        <f>=HYPERLINK("http://anyluxury.ru/shop/pismennye-prinadlezhnosti/ruchki/sharikovye/vechnaya-ruchka-forever-libra-serebristaya-1553810/" , "15538.10 Вечная ручка Forever Libra, серебристая")</f>
      </c>
      <c r="C22220" s="4" t="n">
        <v>5250.00</v>
      </c>
      <c r="D22220" s="4"/>
    </row>
    <row collapsed="" customFormat="false" customHeight="1" hidden="" ht="14" outlineLevel="0" r="22221">
      <c r="A22221" s="3" t="inlineStr">
        <is>
          <t>22153</t>
        </is>
      </c>
      <c r="B22221" s="4" t="s">
        <f>=HYPERLINK("http://anyluxury.ru/shop/pismennye-prinadlezhnosti/ruchki/sharikovye/vechnaya-ruchka-filum-titanium-s-dvumya-nakonechnikami-1553900/" , "15539.00 Вечная ручка Filum Titanium с двумя наконечниками")</f>
      </c>
      <c r="C22221" s="4" t="n">
        <v>44450.00</v>
      </c>
      <c r="D22221" s="4"/>
    </row>
    <row collapsed="" customFormat="false" customHeight="1" hidden="" ht="14" outlineLevel="0" r="22222">
      <c r="A22222" s="3" t="inlineStr">
        <is>
          <t>22154</t>
        </is>
      </c>
      <c r="B22222" s="4" t="s">
        <f>=HYPERLINK("http://anyluxury.ru/shop/pismennye-prinadlezhnosti/ruchki/sharikovye/vechnaya-ruchka-aero-temnoseraya-1422030/" , "14220.30 Вечная ручка Aero, темно-серая")</f>
      </c>
      <c r="C22222" s="4" t="n">
        <v>18950.00</v>
      </c>
      <c r="D22222" s="4"/>
    </row>
    <row collapsed="" customFormat="false" customHeight="1" hidden="" ht="14" outlineLevel="0" r="22223">
      <c r="A22223" s="3" t="inlineStr">
        <is>
          <t>22155</t>
        </is>
      </c>
      <c r="B22223" s="4" t="s">
        <f>=HYPERLINK("http://anyluxury.ru/shop/pismennye-prinadlezhnosti/ruchki/sharikovye/ruchka-sharikovaya-s-bella-extra-krasnaya-1563150/" , "15631.50 Ручка шариковая S Bella Extra, красная")</f>
      </c>
      <c r="C22223" s="4" t="n">
        <v>216.00</v>
      </c>
      <c r="D22223" s="4"/>
    </row>
    <row collapsed="" customFormat="false" customHeight="1" hidden="" ht="14" outlineLevel="0" r="22224">
      <c r="A22224" s="3" t="inlineStr">
        <is>
          <t>22156</t>
        </is>
      </c>
      <c r="B22224" s="4" t="s">
        <f>=HYPERLINK("http://anyluxury.ru/shop/pismennye-prinadlezhnosti/ruchki/sharikovye/ruchka-sharikovaya-s-bella-extra-sinyaya-1563140/" , "15631.40 Ручка шариковая S Bella Extra, синяя")</f>
      </c>
      <c r="C22224" s="4" t="n">
        <v>216.00</v>
      </c>
      <c r="D22224" s="4"/>
    </row>
    <row collapsed="" customFormat="false" customHeight="1" hidden="" ht="14" outlineLevel="0" r="22225">
      <c r="A22225" s="3" t="inlineStr">
        <is>
          <t>22157</t>
        </is>
      </c>
      <c r="B22225" s="4" t="s">
        <f>=HYPERLINK("http://anyluxury.ru/shop/pismennye-prinadlezhnosti/ruchki/sharikovye/ruchka-sharikovaya-s-bella-extra-oranzhevaya-1563120/" , "15631.20 Ручка шариковая S Bella Extra, оранжевая")</f>
      </c>
      <c r="C22225" s="4" t="n">
        <v>216.00</v>
      </c>
      <c r="D22225" s="4"/>
    </row>
    <row collapsed="" customFormat="false" customHeight="1" hidden="" ht="14" outlineLevel="0" r="22226">
      <c r="A22226" s="3" t="inlineStr">
        <is>
          <t>22158</t>
        </is>
      </c>
      <c r="B22226" s="4" t="s">
        <f>=HYPERLINK("http://anyluxury.ru/shop/pismennye-prinadlezhnosti/ruchki/sharikovye/ruchka-sharikovaya-s-bella-extra-chernaya-1563130/" , "15631.30 Ручка шариковая S Bella Extra, черная")</f>
      </c>
      <c r="C22226" s="4" t="n">
        <v>216.00</v>
      </c>
      <c r="D22226" s="4"/>
    </row>
    <row collapsed="" customFormat="false" customHeight="1" hidden="" ht="14" outlineLevel="0" r="22227">
      <c r="A22227" s="3" t="inlineStr">
        <is>
          <t>22159</t>
        </is>
      </c>
      <c r="B22227" s="4" t="s">
        <f>=HYPERLINK("http://anyluxury.ru/shop/pismennye-prinadlezhnosti/ruchki/sharikovye/ruchka-sharikovaya-s-bella-extra-zheltaya-1563180/" , "15631.80 Ручка шариковая S Bella Extra, желтая")</f>
      </c>
      <c r="C22227" s="4" t="n">
        <v>216.00</v>
      </c>
      <c r="D22227" s="4"/>
    </row>
    <row collapsed="" customFormat="false" customHeight="1" hidden="" ht="14" outlineLevel="0" r="22228">
      <c r="A22228" s="3" t="inlineStr">
        <is>
          <t>22160</t>
        </is>
      </c>
      <c r="B22228" s="4" t="s">
        <f>=HYPERLINK("http://anyluxury.ru/shop/pismennye-prinadlezhnosti/ruchki/sharikovye/ruchka-sharikovaya-s-bella-extra-zelenaya-1563190/" , "15631.90 Ручка шариковая S Bella Extra, зеленая")</f>
      </c>
      <c r="C22228" s="4" t="n">
        <v>216.00</v>
      </c>
      <c r="D22228" s="4"/>
    </row>
    <row collapsed="" customFormat="false" customHeight="1" hidden="" ht="14" outlineLevel="0" r="22229">
      <c r="A22229" s="3" t="inlineStr">
        <is>
          <t>22161</t>
        </is>
      </c>
      <c r="B22229" s="4" t="s">
        <f>=HYPERLINK("http://anyluxury.ru/shop/pismennye-prinadlezhnosti/ruchki/sharikovye/nabor-platero-1519700/" , "15197.00 Набор Platero")</f>
      </c>
      <c r="C22229" s="4" t="n">
        <v>920.00</v>
      </c>
      <c r="D22229" s="4"/>
    </row>
    <row collapsed="" customFormat="false" customHeight="1" hidden="" ht="14" outlineLevel="0" r="22230">
      <c r="A22230" s="3" t="inlineStr">
        <is>
          <t>22162</t>
        </is>
      </c>
      <c r="B22230" s="4" t="s">
        <f>=HYPERLINK("http://anyluxury.ru/shop/pismennye-prinadlezhnosti/ruchki/sharikovye/ruchka-sharikovaya-construction-multiinstrument-zolotistaya-646201/" , "6462.01 Ручка шариковая Construction, мультиинструмент, золотистая")</f>
      </c>
      <c r="C22230" s="4" t="n">
        <v>2750.00</v>
      </c>
      <c r="D22230" s="4"/>
    </row>
    <row collapsed="" customFormat="false" customHeight="1" hidden="" ht="14" outlineLevel="0" r="22231">
      <c r="A22231" s="3" t="inlineStr">
        <is>
          <t>22163</t>
        </is>
      </c>
      <c r="B22231" s="4" t="s">
        <f>=HYPERLINK("http://anyluxury.ru/shop/pismennye-prinadlezhnosti/ruchki/sharikovye/ruchka-sharikovaya-prodir-ds5-trrp-soft-touch-chernaya-s-oranzhevim-338932/" , "3389.32 Ручка шариковая Prodir DS5 TRR-P Soft Touch, черная с оранжевым")</f>
      </c>
      <c r="C22231" s="4" t="n">
        <v>305.00</v>
      </c>
      <c r="D22231" s="4"/>
    </row>
    <row collapsed="" customFormat="false" customHeight="1" hidden="" ht="14" outlineLevel="0" r="22232">
      <c r="A22232" s="3" t="inlineStr">
        <is>
          <t>22164</t>
        </is>
      </c>
      <c r="B22232" s="4" t="s">
        <f>=HYPERLINK("http://anyluxury.ru/shop/pismennye-prinadlezhnosti/ruchki/sharikovye/ruchka-sharikovaya-prodir-ds1-tmm-dot-seraya-s-krasnim-342515/" , "3425.15 Ручка шариковая Prodir DS1 TMM Dot, серая с красным")</f>
      </c>
      <c r="C22232" s="4" t="n">
        <v>169.00</v>
      </c>
      <c r="D22232" s="4"/>
    </row>
    <row collapsed="" customFormat="false" customHeight="1" hidden="" ht="14" outlineLevel="0" r="22233">
      <c r="A22233" s="3" t="inlineStr">
        <is>
          <t>22165</t>
        </is>
      </c>
      <c r="B22233" s="4" t="s">
        <f>=HYPERLINK("http://anyluxury.ru/shop/pismennye-prinadlezhnosti/ruchki/sharikovye/ruchka-sharikovaya-prodir-ds1-tmm-dot-seraya-s-sinim-342514/" , "3425.14 Ручка шариковая Prodir DS1 TMM Dot, серая с синим")</f>
      </c>
      <c r="C22233" s="4" t="n">
        <v>169.00</v>
      </c>
      <c r="D22233" s="4"/>
    </row>
    <row collapsed="" customFormat="false" customHeight="1" hidden="" ht="14" outlineLevel="0" r="22234">
      <c r="A22234" s="3" t="inlineStr">
        <is>
          <t>22166</t>
        </is>
      </c>
      <c r="B22234" s="4" t="s">
        <f>=HYPERLINK("http://anyluxury.ru/shop/pismennye-prinadlezhnosti/ruchki/sharikovye/ruchka-sharikovaya-prodir-ds1-tmm-dot-seraya-s-chernim-342513/" , "3425.13 Ручка шариковая Prodir DS1 TMM Dot, серая с черным")</f>
      </c>
      <c r="C22234" s="4" t="n">
        <v>169.00</v>
      </c>
      <c r="D22234" s="4"/>
    </row>
    <row collapsed="" customFormat="false" customHeight="1" hidden="" ht="14" outlineLevel="0" r="22235">
      <c r="A22235" s="3" t="inlineStr">
        <is>
          <t>22167</t>
        </is>
      </c>
      <c r="B22235" s="4" t="s">
        <f>=HYPERLINK("http://anyluxury.ru/shop/pismennye-prinadlezhnosti/ruchki/sharikovye/ruchka-sharikovaya-prodir-ds1-tmm-dot-seraya-s-oranzhevim-342512/" , "3425.12 Ручка шариковая Prodir DS1 TMM Dot, серая с оранжевым")</f>
      </c>
      <c r="C22235" s="4" t="n">
        <v>169.00</v>
      </c>
      <c r="D22235" s="4"/>
    </row>
    <row collapsed="" customFormat="false" customHeight="1" hidden="" ht="14" outlineLevel="0" r="22236">
      <c r="A22236" s="3" t="inlineStr">
        <is>
          <t>22168</t>
        </is>
      </c>
      <c r="B22236" s="4" t="s">
        <f>=HYPERLINK("http://anyluxury.ru/shop/pismennye-prinadlezhnosti/ruchki/sharikovye/ruchka-sharikovaya-prodir-ds1-tmm-dot-seraya-s-yarkozelenim-342519/" , "3425.19 Ручка шариковая Prodir DS1 TMM Dot, серая с ярко-зеленым")</f>
      </c>
      <c r="C22236" s="4" t="n">
        <v>169.00</v>
      </c>
      <c r="D22236" s="4"/>
    </row>
    <row collapsed="" customFormat="false" customHeight="1" hidden="" ht="14" outlineLevel="0" r="22237">
      <c r="A22237" s="3" t="inlineStr">
        <is>
          <t>22169</t>
        </is>
      </c>
      <c r="B22237" s="4" t="s">
        <f>=HYPERLINK("http://anyluxury.ru/shop/pismennye-prinadlezhnosti/ruchki/sharikovye/ruchka-sharikovaya-prodir-ds1-tmm-dot-seraya-s-golubim-342541/" , "3425.41 Ручка шариковая Prodir DS1 TMM Dot, серая с голубым")</f>
      </c>
      <c r="C22237" s="4" t="n">
        <v>169.00</v>
      </c>
      <c r="D22237" s="4"/>
    </row>
    <row collapsed="" customFormat="false" customHeight="1" hidden="" ht="14" outlineLevel="0" r="22238">
      <c r="A22238" s="3" t="inlineStr">
        <is>
          <t>22170</t>
        </is>
      </c>
      <c r="B22238" s="4" t="s">
        <f>=HYPERLINK("http://anyluxury.ru/shop/pismennye-prinadlezhnosti/ruchki/sharikovye/ruchka-sharikovaya-prodir-qs01-prtp-soft-touch-chernaya-s-krasnim-709135/" , "7091.35 Ручка шариковая Prodir QS01 PRT-P Soft Touch, черная с красным")</f>
      </c>
      <c r="C22238" s="4" t="n">
        <v>359.00</v>
      </c>
      <c r="D22238" s="4"/>
    </row>
    <row collapsed="" customFormat="false" customHeight="1" hidden="" ht="14" outlineLevel="0" r="22239">
      <c r="A22239" s="3" t="inlineStr">
        <is>
          <t>22171</t>
        </is>
      </c>
      <c r="B22239" s="4" t="s">
        <f>=HYPERLINK("http://anyluxury.ru/shop/pismennye-prinadlezhnosti/ruchki/sharikovye/ruchka-sharikovaya-prodir-qs01-prtp-soft-touch-chernaya-s-sinim-709134/" , "7091.34 Ручка шариковая Prodir QS01 PRT-P Soft Touch, черная с синим")</f>
      </c>
      <c r="C22239" s="4" t="n">
        <v>359.00</v>
      </c>
      <c r="D22239" s="4"/>
    </row>
    <row collapsed="" customFormat="false" customHeight="1" hidden="" ht="14" outlineLevel="0" r="22240">
      <c r="A22240" s="3" t="inlineStr">
        <is>
          <t>22172</t>
        </is>
      </c>
      <c r="B22240" s="4" t="s">
        <f>=HYPERLINK("http://anyluxury.ru/shop/pismennye-prinadlezhnosti/ruchki/sharikovye/ruchka-sharikovaya-prodir-qs01-prtp-soft-touch-chernaya-s-oranzhevim-709132/" , "7091.32 Ручка шариковая Prodir QS01 PRT-P Soft Touch, черная с оранжевым")</f>
      </c>
      <c r="C22240" s="4" t="n">
        <v>359.00</v>
      </c>
      <c r="D22240" s="4"/>
    </row>
    <row collapsed="" customFormat="false" customHeight="1" hidden="" ht="14" outlineLevel="0" r="22241">
      <c r="A22241" s="3" t="inlineStr">
        <is>
          <t>22173</t>
        </is>
      </c>
      <c r="B22241" s="4" t="s">
        <f>=HYPERLINK("http://anyluxury.ru/shop/pismennye-prinadlezhnosti/ruchki/sharikovye/ruchka-sharikovaya-prodir-qs01-prtp-soft-touch-chernaya-s-zelenim-709139/" , "7091.39 Ручка шариковая Prodir QS01 PRT-P Soft Touch, черная с зеленым")</f>
      </c>
      <c r="C22241" s="4" t="n">
        <v>359.00</v>
      </c>
      <c r="D22241" s="4"/>
    </row>
    <row collapsed="" customFormat="false" customHeight="1" hidden="" ht="14" outlineLevel="0" r="22242">
      <c r="A22242" s="3" t="inlineStr">
        <is>
          <t>22174</t>
        </is>
      </c>
      <c r="B22242" s="4" t="s">
        <f>=HYPERLINK("http://anyluxury.ru/shop/pismennye-prinadlezhnosti/ruchki/sharikovye/ruchka-sharikovaya-prodir-qs01-prtp-soft-touch-chernaya-s-golubim-709143/" , "7091.43 Ручка шариковая Prodir QS01 PRT-P Soft Touch, черная с голубым")</f>
      </c>
      <c r="C22242" s="4" t="n">
        <v>359.00</v>
      </c>
      <c r="D22242" s="4"/>
    </row>
    <row collapsed="" customFormat="false" customHeight="1" hidden="" ht="14" outlineLevel="0" r="22243">
      <c r="A22243" s="3" t="inlineStr">
        <is>
          <t>22175</t>
        </is>
      </c>
      <c r="B22243" s="4" t="s">
        <f>=HYPERLINK("http://anyluxury.ru/shop/pismennye-prinadlezhnosti/ruchki/sharikovye/ruchka-sharikovaya-prodir-ds5-tsm-metal-clip-chernaya-1619930/" , "16199.30 Ручка шариковая Prodir DS5 TSM Metal Clip, черная")</f>
      </c>
      <c r="C22243" s="4" t="n">
        <v>489.00</v>
      </c>
      <c r="D22243" s="4"/>
    </row>
    <row collapsed="" customFormat="false" customHeight="1" hidden="" ht="14" outlineLevel="0" r="22244">
      <c r="A22244" s="3" t="inlineStr">
        <is>
          <t>22176</t>
        </is>
      </c>
      <c r="B22244" s="4" t="s">
        <f>=HYPERLINK("http://anyluxury.ru/shop/pismennye-prinadlezhnosti/ruchki/sharikovye/ruchka-sharikovaya-prodir-ds5-tsm-metal-clip-krasnaya-s-serim-1619951/" , "16199.51 Ручка шариковая Prodir DS5 TSM Metal Clip, красная с серым")</f>
      </c>
      <c r="C22244" s="4" t="n">
        <v>489.00</v>
      </c>
      <c r="D22244" s="4"/>
    </row>
    <row collapsed="" customFormat="false" customHeight="1" hidden="" ht="14" outlineLevel="0" r="22245">
      <c r="A22245" s="3" t="inlineStr">
        <is>
          <t>22177</t>
        </is>
      </c>
      <c r="B22245" s="4" t="s">
        <f>=HYPERLINK("http://anyluxury.ru/shop/pismennye-prinadlezhnosti/ruchki/sharikovye/ruchka-sharikovaya-prodir-ds5-tsm-metal-clip-belaya-s-serim-1619961/" , "16199.61 Ручка шариковая Prodir DS5 TSM Metal Clip, белая с серым")</f>
      </c>
      <c r="C22245" s="4" t="n">
        <v>489.00</v>
      </c>
      <c r="D22245" s="4"/>
    </row>
    <row collapsed="" customFormat="false" customHeight="1" hidden="" ht="14" outlineLevel="0" r="22246">
      <c r="A22246" s="3" t="inlineStr">
        <is>
          <t>22178</t>
        </is>
      </c>
      <c r="B22246" s="4" t="s">
        <f>=HYPERLINK("http://anyluxury.ru/shop/pismennye-prinadlezhnosti/ruchki/sharikovye/ruchka-sharikovaya-prodir-ds5-tsm-metal-clip-golubaya-s-serim-1619914/" , "16199.14 Ручка шариковая Prodir DS5 TSM Metal Clip, голубая с серым")</f>
      </c>
      <c r="C22246" s="4" t="n">
        <v>489.00</v>
      </c>
      <c r="D22246" s="4"/>
    </row>
    <row collapsed="" customFormat="false" customHeight="1" hidden="" ht="14" outlineLevel="0" r="22247">
      <c r="A22247" s="3" t="inlineStr">
        <is>
          <t>22179</t>
        </is>
      </c>
      <c r="B22247" s="4" t="s">
        <f>=HYPERLINK("http://anyluxury.ru/shop/pismennye-prinadlezhnosti/ruchki/sharikovye/ruchka-sharikovaya-prodir-ds5-tsm-metal-clip-sinyaya-s-serim-1619941/" , "16199.41 Ручка шариковая Prodir DS5 TSM Metal Clip, синяя с серым")</f>
      </c>
      <c r="C22247" s="4" t="n">
        <v>489.00</v>
      </c>
      <c r="D22247" s="4"/>
    </row>
    <row collapsed="" customFormat="false" customHeight="1" hidden="" ht="14" outlineLevel="0" r="22248">
      <c r="A22248" s="3" t="inlineStr">
        <is>
          <t>22180</t>
        </is>
      </c>
      <c r="B22248" s="4" t="s">
        <f>=HYPERLINK("http://anyluxury.ru/shop/pismennye-prinadlezhnosti/ruchki/sharikovye/ruchka-sharikovaya-prodir-ds5-tsm-metal-clip-seraya-1619910/" , "16199.10 Ручка шариковая Prodir DS5 TSM Metal Clip, серая")</f>
      </c>
      <c r="C22248" s="4" t="n">
        <v>489.00</v>
      </c>
      <c r="D22248" s="4"/>
    </row>
    <row collapsed="" customFormat="false" customHeight="1" hidden="" ht="14" outlineLevel="0" r="22249">
      <c r="A22249" s="3" t="inlineStr">
        <is>
          <t>22181</t>
        </is>
      </c>
      <c r="B22249" s="4" t="s">
        <f>=HYPERLINK("http://anyluxury.ru/shop/pismennye-prinadlezhnosti/ruchki/sharikovye/ruchka-sharikovaya-delgado-serebristaya-2121800/" , "21218.00 Ручка шариковая Delgado, серебристая")</f>
      </c>
      <c r="C22249" s="4" t="n">
        <v>381.00</v>
      </c>
      <c r="D22249" s="4"/>
    </row>
    <row collapsed="" customFormat="false" customHeight="1" hidden="" ht="14" outlineLevel="0" r="22250">
      <c r="A22250" s="3" t="inlineStr">
        <is>
          <t>22182</t>
        </is>
      </c>
      <c r="B22250" s="4" t="s">
        <f>=HYPERLINK("http://anyluxury.ru/shop/pismennye-prinadlezhnosti/ruchki/sharikovye/ruchka-sharikovaya-delgado-sinyaya-2121840/" , "21218.40 Ручка шариковая Delgado, синяя")</f>
      </c>
      <c r="C22250" s="4" t="n">
        <v>381.00</v>
      </c>
      <c r="D22250" s="4"/>
    </row>
    <row collapsed="" customFormat="false" customHeight="1" hidden="" ht="14" outlineLevel="0" r="22251">
      <c r="A22251" s="3" t="inlineStr">
        <is>
          <t>22183</t>
        </is>
      </c>
      <c r="B22251" s="4" t="s">
        <f>=HYPERLINK("http://anyluxury.ru/shop/pismennye-prinadlezhnosti/ruchki/sharikovye/ruchka-sharikovaya-delgado-seraya-2121810/" , "21218.10 Ручка шариковая Delgado, серая")</f>
      </c>
      <c r="C22251" s="4" t="n">
        <v>381.00</v>
      </c>
      <c r="D22251" s="4"/>
    </row>
    <row collapsed="" customFormat="false" customHeight="1" hidden="" ht="14" outlineLevel="0" r="22252">
      <c r="A22252" s="3" t="inlineStr">
        <is>
          <t>22184</t>
        </is>
      </c>
      <c r="B22252" s="4" t="s">
        <f>=HYPERLINK("http://anyluxury.ru/shop/pismennye-prinadlezhnosti/ruchki/sharikovye/ruchka-sharikovaya-carton-plus-belaya-1516260/" , "15162.60 Ручка шариковая Carton Plus, белая")</f>
      </c>
      <c r="C22252" s="4" t="n">
        <v>29.50</v>
      </c>
      <c r="D22252" s="4"/>
    </row>
    <row collapsed="" customFormat="false" customHeight="1" hidden="" ht="14" outlineLevel="0" r="22253">
      <c r="A22253" s="3" t="inlineStr">
        <is>
          <t>22185</t>
        </is>
      </c>
      <c r="B22253" s="4" t="s">
        <f>=HYPERLINK("http://anyluxury.ru/shop/pismennye-prinadlezhnosti/ruchki/sharikovye/ruchka-sharikovaya-carton-plus-bordovaya-1516250/" , "15162.50 Ручка шариковая Carton Plus, бордовая")</f>
      </c>
      <c r="C22253" s="4" t="n">
        <v>27.00</v>
      </c>
      <c r="D22253" s="4"/>
    </row>
    <row collapsed="" customFormat="false" customHeight="1" hidden="" ht="14" outlineLevel="0" r="22254">
      <c r="A22254" s="3" t="inlineStr">
        <is>
          <t>22186</t>
        </is>
      </c>
      <c r="B22254" s="4" t="s">
        <f>=HYPERLINK("http://anyluxury.ru/shop/pismennye-prinadlezhnosti/ruchki/sharikovye/ruchka-sharikovaya-carton-plus-zelenaya-1516290/" , "15162.90 Ручка шариковая Carton Plus, зеленая")</f>
      </c>
      <c r="C22254" s="4" t="n">
        <v>29.50</v>
      </c>
      <c r="D22254" s="4"/>
    </row>
    <row collapsed="" customFormat="false" customHeight="1" hidden="" ht="14" outlineLevel="0" r="22255">
      <c r="A22255" s="3" t="inlineStr">
        <is>
          <t>22187</t>
        </is>
      </c>
      <c r="B22255" s="4" t="s">
        <f>=HYPERLINK("http://anyluxury.ru/shop/pismennye-prinadlezhnosti/ruchki/sharikovye/ruchka-sharikovaya-parker-jotter-originals-navy-blue-chrome-ct-temnosinyaya-1660640/" , "16606.40 Ручка шариковая Parker Jotter Originals Navy Blue Chrome CT, темно-синяя")</f>
      </c>
      <c r="C22255" s="4" t="n">
        <v>2150.00</v>
      </c>
      <c r="D22255" s="4"/>
    </row>
    <row collapsed="" customFormat="false" customHeight="1" hidden="" ht="14" outlineLevel="0" r="22256">
      <c r="A22256" s="3" t="inlineStr">
        <is>
          <t>22188</t>
        </is>
      </c>
      <c r="B22256" s="4" t="s">
        <f>=HYPERLINK("http://anyluxury.ru/shop/pismennye-prinadlezhnosti/ruchki/sharikovye/ruchka-sharikovaya-parker-im-essential-muted-black-ct-chernaya-1661630/" , "16616.30 Ручка шариковая Parker IM Essential Muted Black CT, черная")</f>
      </c>
      <c r="C22256" s="4" t="n">
        <v>3724.00</v>
      </c>
      <c r="D22256" s="4"/>
    </row>
    <row collapsed="" customFormat="false" customHeight="1" hidden="" ht="14" outlineLevel="0" r="22257">
      <c r="A22257" s="3" t="inlineStr">
        <is>
          <t>22189</t>
        </is>
      </c>
      <c r="B22257" s="4" t="s">
        <f>=HYPERLINK("http://anyluxury.ru/shop/pismennye-prinadlezhnosti/ruchki/sharikovye/ruchka-perevaya-parker-im-black-gt-1661730/" , "16617.30 Ручка перьевая Parker IM Black GT")</f>
      </c>
      <c r="C22257" s="4" t="n">
        <v>8846.00</v>
      </c>
      <c r="D22257" s="4"/>
    </row>
    <row collapsed="" customFormat="false" customHeight="1" hidden="" ht="14" outlineLevel="0" r="22258">
      <c r="A22258" s="3" t="inlineStr">
        <is>
          <t>22190</t>
        </is>
      </c>
      <c r="B22258" s="4" t="s">
        <f>=HYPERLINK("http://anyluxury.ru/shop/pismennye-prinadlezhnosti/ruchki/sharikovye/ruchka-sharikovaya-parker-im-premium-blackgold-gt-1661830/" , "16618.30 Ручка шариковая Parker IM Premium Black/Gold GT")</f>
      </c>
      <c r="C22258" s="4" t="n">
        <v>9062.00</v>
      </c>
      <c r="D22258" s="4"/>
    </row>
    <row collapsed="" customFormat="false" customHeight="1" hidden="" ht="14" outlineLevel="0" r="22259">
      <c r="A22259" s="3" t="inlineStr">
        <is>
          <t>22191</t>
        </is>
      </c>
      <c r="B22259" s="4" t="s">
        <f>=HYPERLINK("http://anyluxury.ru/shop/pismennye-prinadlezhnosti/ruchki/sharikovye/ruchka-sharikovaya-parker-im-achromatic-black-1661930/" , "16619.30 Ручка шариковая Parker IM Achromatic Black")</f>
      </c>
      <c r="C22259" s="4" t="n">
        <v>5114.00</v>
      </c>
      <c r="D22259" s="4"/>
    </row>
    <row collapsed="" customFormat="false" customHeight="1" hidden="" ht="14" outlineLevel="0" r="22260">
      <c r="A22260" s="3" t="inlineStr">
        <is>
          <t>22192</t>
        </is>
      </c>
      <c r="B22260" s="4" t="s">
        <f>=HYPERLINK("http://anyluxury.ru/shop/pismennye-prinadlezhnosti/ruchki/sharikovye/ruchka-sharikovaya-parker-jotter-xl-monochrome-grey-serebristaya-1660910/" , "16609.10 Ручка шариковая Parker Jotter XL Monochrome Grey, серебристая")</f>
      </c>
      <c r="C22260" s="4" t="n">
        <v>5025.00</v>
      </c>
      <c r="D22260" s="4"/>
    </row>
    <row collapsed="" customFormat="false" customHeight="1" hidden="" ht="14" outlineLevel="0" r="22261">
      <c r="A22261" s="3" t="inlineStr">
        <is>
          <t>22193</t>
        </is>
      </c>
      <c r="B22261" s="4" t="s">
        <f>=HYPERLINK("http://anyluxury.ru/shop/pismennye-prinadlezhnosti/ruchki/sharikovye/ruchka-sharikovaya-parker-im-essential-stainless-steel-ct-serebristaya-s-chernim-1661600/" , "16616.00 Ручка шариковая Parker IM Essential Stainless Steel CT, серебристая с черным")</f>
      </c>
      <c r="C22261" s="4" t="n">
        <v>3724.00</v>
      </c>
      <c r="D22261" s="4"/>
    </row>
    <row collapsed="" customFormat="false" customHeight="1" hidden="" ht="14" outlineLevel="0" r="22262">
      <c r="A22262" s="3" t="inlineStr">
        <is>
          <t>22194</t>
        </is>
      </c>
      <c r="B22262" s="4" t="s">
        <f>=HYPERLINK("http://anyluxury.ru/shop/pismennye-prinadlezhnosti/ruchki/sharikovye/ruchka-sharikovaya-parker-im-professionals-monochrome-blue-sinyaya-1662140/" , "16621.40 Ручка шариковая Parker IM Professionals Monochrome Blue, синяя")</f>
      </c>
      <c r="C22262" s="4" t="n">
        <v>6454.00</v>
      </c>
      <c r="D22262" s="4"/>
    </row>
    <row collapsed="" customFormat="false" customHeight="1" hidden="" ht="14" outlineLevel="0" r="22263">
      <c r="A22263" s="3" t="inlineStr">
        <is>
          <t>22195</t>
        </is>
      </c>
      <c r="B22263" s="4" t="s">
        <f>=HYPERLINK("http://anyluxury.ru/shop/pismennye-prinadlezhnosti/ruchki/sharikovye/ruchka-sharikovaya-parker-im-professionals-monochrome-champagne-zolotistaya-1662100/" , "16621.00 Ручка шариковая Parker IM Professionals Monochrome Champagne, золотистая")</f>
      </c>
      <c r="C22263" s="4" t="n">
        <v>6454.00</v>
      </c>
      <c r="D22263" s="4"/>
    </row>
    <row collapsed="" customFormat="false" customHeight="1" hidden="" ht="14" outlineLevel="0" r="22264">
      <c r="A22264" s="3" t="inlineStr">
        <is>
          <t>22196</t>
        </is>
      </c>
      <c r="B22264" s="4" t="s">
        <f>=HYPERLINK("http://anyluxury.ru/shop/pismennye-prinadlezhnosti/ruchki/sharikovye/ruchka-sharikovaya-parker-jotter-originals-blue-chrome-ct-sinyaya-1660641/" , "16606.41 Ручка шариковая Parker Jotter Originals Blue Chrome CT, синяя")</f>
      </c>
      <c r="C22264" s="4" t="n">
        <v>2150.00</v>
      </c>
      <c r="D22264" s="4"/>
    </row>
    <row collapsed="" customFormat="false" customHeight="1" hidden="" ht="14" outlineLevel="0" r="22265">
      <c r="A22265" s="3" t="inlineStr">
        <is>
          <t>22197</t>
        </is>
      </c>
      <c r="B22265" s="4" t="s">
        <f>=HYPERLINK("http://anyluxury.ru/shop/pismennye-prinadlezhnosti/ruchki/sharikovye/ruchka-sharikovaya-swiper-sq-belaya-1752260/" , "17522.60 Ручка шариковая Swiper SQ, белая")</f>
      </c>
      <c r="C22265" s="4" t="n">
        <v>42.50</v>
      </c>
      <c r="D22265" s="4"/>
    </row>
    <row collapsed="" customFormat="false" customHeight="1" hidden="" ht="14" outlineLevel="0" r="22266">
      <c r="A22266" s="3" t="inlineStr">
        <is>
          <t>22198</t>
        </is>
      </c>
      <c r="B22266" s="4" t="s">
        <f>=HYPERLINK("http://anyluxury.ru/shop/pismennye-prinadlezhnosti/ruchki/sharikovye/ruchka-sharikovaya-swiper-sq-belaya-s-krasnim-1752265/" , "17522.65 Ручка шариковая Swiper SQ, белая с красным")</f>
      </c>
      <c r="C22266" s="4" t="n">
        <v>42.50</v>
      </c>
      <c r="D22266" s="4"/>
    </row>
    <row collapsed="" customFormat="false" customHeight="1" hidden="" ht="14" outlineLevel="0" r="22267">
      <c r="A22267" s="3" t="inlineStr">
        <is>
          <t>22199</t>
        </is>
      </c>
      <c r="B22267" s="4" t="s">
        <f>=HYPERLINK("http://anyluxury.ru/shop/pismennye-prinadlezhnosti/ruchki/sharikovye/ruchka-sharikovaya-swiper-sq-belaya-s-sinim-1752264/" , "17522.64 Ручка шариковая Swiper SQ, белая с синим")</f>
      </c>
      <c r="C22267" s="4" t="n">
        <v>42.50</v>
      </c>
      <c r="D22267" s="4"/>
    </row>
    <row collapsed="" customFormat="false" customHeight="1" hidden="" ht="14" outlineLevel="0" r="22268">
      <c r="A22268" s="3" t="inlineStr">
        <is>
          <t>22200</t>
        </is>
      </c>
      <c r="B22268" s="4" t="s">
        <f>=HYPERLINK("http://anyluxury.ru/shop/pismennye-prinadlezhnosti/ruchki/sharikovye/ruchka-sharikovaya-swiper-sq-belaya-s-chernim-1752263/" , "17522.63 Ручка шариковая Swiper SQ, белая с черным")</f>
      </c>
      <c r="C22268" s="4" t="n">
        <v>42.50</v>
      </c>
      <c r="D22268" s="4"/>
    </row>
    <row collapsed="" customFormat="false" customHeight="1" hidden="" ht="14" outlineLevel="0" r="22269">
      <c r="A22269" s="3" t="inlineStr">
        <is>
          <t>22201</t>
        </is>
      </c>
      <c r="B22269" s="4" t="s">
        <f>=HYPERLINK("http://anyluxury.ru/shop/pismennye-prinadlezhnosti/ruchki/sharikovye/ruchka-sharikovaya-swiper-sq-belaya-s-zelenim-1752269/" , "17522.69 Ручка шариковая Swiper SQ, белая с зеленым")</f>
      </c>
      <c r="C22269" s="4" t="n">
        <v>42.50</v>
      </c>
      <c r="D22269" s="4"/>
    </row>
    <row collapsed="" customFormat="false" customHeight="1" hidden="" ht="14" outlineLevel="0" r="22270">
      <c r="A22270" s="3" t="inlineStr">
        <is>
          <t>22202</t>
        </is>
      </c>
      <c r="B22270" s="4" t="s">
        <f>=HYPERLINK("http://anyluxury.ru/shop/pismennye-prinadlezhnosti/ruchki/sharikovye/ruchka-sharikovaya-swiper-sq-belaya-s-oranzhevim-1752262/" , "17522.62 Ручка шариковая Swiper SQ, белая с оранжевым")</f>
      </c>
      <c r="C22270" s="4" t="n">
        <v>42.50</v>
      </c>
      <c r="D22270" s="4"/>
    </row>
    <row collapsed="" customFormat="false" customHeight="1" hidden="" ht="14" outlineLevel="0" r="22271">
      <c r="A22271" s="3" t="inlineStr">
        <is>
          <t>22203</t>
        </is>
      </c>
      <c r="B22271" s="4" t="s">
        <f>=HYPERLINK("http://anyluxury.ru/shop/pismennye-prinadlezhnosti/ruchki/sharikovye/ruchka-sharikovaya-swiper-sq-soft-touch-belaya-1696960/" , "16969.60 Ручка шариковая Swiper SQ Soft Touch, белая")</f>
      </c>
      <c r="C22271" s="4" t="n">
        <v>49.10</v>
      </c>
      <c r="D22271" s="4"/>
    </row>
    <row collapsed="" customFormat="false" customHeight="1" hidden="" ht="14" outlineLevel="0" r="22272">
      <c r="A22272" s="3" t="inlineStr">
        <is>
          <t>22204</t>
        </is>
      </c>
      <c r="B22272" s="4" t="s">
        <f>=HYPERLINK("http://anyluxury.ru/shop/pismennye-prinadlezhnosti/ruchki/sharikovye/ruchka-sharikovaya-swiper-sq-soft-touch-krasnaya-1696950/" , "16969.50 Ручка шариковая Swiper SQ Soft Touch, красная")</f>
      </c>
      <c r="C22272" s="4" t="n">
        <v>49.10</v>
      </c>
      <c r="D22272" s="4"/>
    </row>
    <row collapsed="" customFormat="false" customHeight="1" hidden="" ht="14" outlineLevel="0" r="22273">
      <c r="A22273" s="3" t="inlineStr">
        <is>
          <t>22205</t>
        </is>
      </c>
      <c r="B22273" s="4" t="s">
        <f>=HYPERLINK("http://anyluxury.ru/shop/pismennye-prinadlezhnosti/ruchki/sharikovye/ruchka-sharikovaya-swiper-sq-soft-touch-sinyaya-1696940/" , "16969.40 Ручка шариковая Swiper SQ Soft Touch, синяя")</f>
      </c>
      <c r="C22273" s="4" t="n">
        <v>49.10</v>
      </c>
      <c r="D22273" s="4"/>
    </row>
    <row collapsed="" customFormat="false" customHeight="1" hidden="" ht="14" outlineLevel="0" r="22274">
      <c r="A22274" s="3" t="inlineStr">
        <is>
          <t>22206</t>
        </is>
      </c>
      <c r="B22274" s="4" t="s">
        <f>=HYPERLINK("http://anyluxury.ru/shop/pismennye-prinadlezhnosti/ruchki/sharikovye/ruchka-sharikovaya-swiper-sq-soft-touch-zelenaya-1696990/" , "16969.90 Ручка шариковая Swiper SQ Soft Touch, зеленая")</f>
      </c>
      <c r="C22274" s="4" t="n">
        <v>49.10</v>
      </c>
      <c r="D22274" s="4"/>
    </row>
    <row collapsed="" customFormat="false" customHeight="1" hidden="" ht="14" outlineLevel="0" r="22275">
      <c r="A22275" s="3" t="inlineStr">
        <is>
          <t>22207</t>
        </is>
      </c>
      <c r="B22275" s="4" t="s">
        <f>=HYPERLINK("http://anyluxury.ru/shop/pismennye-prinadlezhnosti/ruchki/sharikovye/roller-scribo-so-stilusom-matoviy-cherniy-2057133/" , "20571.33 Роллер Scribo со стилусом, матовый черный")</f>
      </c>
      <c r="C22275" s="4" t="n">
        <v>210.00</v>
      </c>
      <c r="D22275" s="4"/>
    </row>
    <row collapsed="" customFormat="false" customHeight="1" hidden="" ht="14" outlineLevel="0" r="22276">
      <c r="A22276" s="3" t="inlineStr">
        <is>
          <t>22208</t>
        </is>
      </c>
      <c r="B22276" s="4" t="s">
        <f>=HYPERLINK("http://anyluxury.ru/shop/pismennye-prinadlezhnosti/ruchki/sharikovye/ruchka-sharikovaya-parker-urban-twist-black-gt-1660830/" , "16608.30 Ручка шариковая Parker Urban Twist Black GT")</f>
      </c>
      <c r="C22276" s="4" t="n">
        <v>5753.00</v>
      </c>
      <c r="D22276" s="4"/>
    </row>
    <row collapsed="" customFormat="false" customHeight="1" hidden="" ht="14" outlineLevel="0" r="22277">
      <c r="A22277" s="3" t="inlineStr">
        <is>
          <t>22209</t>
        </is>
      </c>
      <c r="B22277" s="4" t="s">
        <f>=HYPERLINK("http://anyluxury.ru/shop/pismennye-prinadlezhnosti/ruchki/sharikovye/sharikovaya-ruchka-pf-go-seraya-1643813/" , "16438.13 Шариковая ручка PF Go, серая")</f>
      </c>
      <c r="C22277" s="4" t="n">
        <v>9750.00</v>
      </c>
      <c r="D22277" s="4"/>
    </row>
    <row collapsed="" customFormat="false" customHeight="1" hidden="" ht="14" outlineLevel="0" r="22278">
      <c r="A22278" s="3" t="inlineStr">
        <is>
          <t>22210</t>
        </is>
      </c>
      <c r="B22278" s="4" t="s">
        <f>=HYPERLINK("http://anyluxury.ru/shop/pismennye-prinadlezhnosti/ruchki/sharikovye/sharikovaya-ruchka-pf-go-yarkosinyaya-1643814/" , "16438.14 Шариковая ручка PF Go, ярко-синяя")</f>
      </c>
      <c r="C22278" s="4" t="n">
        <v>9750.00</v>
      </c>
      <c r="D22278" s="4"/>
    </row>
    <row collapsed="" customFormat="false" customHeight="1" hidden="" ht="14" outlineLevel="0" r="22279">
      <c r="A22279" s="3" t="inlineStr">
        <is>
          <t>22211</t>
        </is>
      </c>
      <c r="B22279" s="4" t="s">
        <f>=HYPERLINK("http://anyluxury.ru/shop/pismennye-prinadlezhnosti/ruchki/sharikovye/sharikovaya-ruchka-pf-go-krasnaya-1643850/" , "16438.50 Шариковая ручка PF Go, красная")</f>
      </c>
      <c r="C22279" s="4" t="n">
        <v>9750.00</v>
      </c>
      <c r="D22279" s="4"/>
    </row>
    <row collapsed="" customFormat="false" customHeight="1" hidden="" ht="14" outlineLevel="0" r="22280">
      <c r="A22280" s="3" t="inlineStr">
        <is>
          <t>22212</t>
        </is>
      </c>
      <c r="B22280" s="4" t="s">
        <f>=HYPERLINK("http://anyluxury.ru/shop/pismennye-prinadlezhnosti/ruchki/sharikovye/roller-pf-go-seriy-1643913/" , "16439.13 Роллер PF Go, серый")</f>
      </c>
      <c r="C22280" s="4" t="n">
        <v>9750.00</v>
      </c>
      <c r="D22280" s="4"/>
    </row>
    <row collapsed="" customFormat="false" customHeight="1" hidden="" ht="14" outlineLevel="0" r="22281">
      <c r="A22281" s="3" t="inlineStr">
        <is>
          <t>22213</t>
        </is>
      </c>
      <c r="B22281" s="4" t="s">
        <f>=HYPERLINK("http://anyluxury.ru/shop/pismennye-prinadlezhnosti/ruchki/sharikovye/roller-pf-go-yarkosiniy-1643914/" , "16439.14 Роллер PF Go, ярко-синий")</f>
      </c>
      <c r="C22281" s="4" t="n">
        <v>9750.00</v>
      </c>
      <c r="D22281" s="4"/>
    </row>
    <row collapsed="" customFormat="false" customHeight="1" hidden="" ht="14" outlineLevel="0" r="22282">
      <c r="A22282" s="3" t="inlineStr">
        <is>
          <t>22214</t>
        </is>
      </c>
      <c r="B22282" s="4" t="s">
        <f>=HYPERLINK("http://anyluxury.ru/shop/pismennye-prinadlezhnosti/ruchki/sharikovye/roller-pf-go-krasniy-1643950/" , "16439.50 Роллер PF Go, красный")</f>
      </c>
      <c r="C22282" s="4" t="n">
        <v>9750.00</v>
      </c>
      <c r="D22282" s="4"/>
    </row>
    <row collapsed="" customFormat="false" customHeight="1" hidden="" ht="14" outlineLevel="0" r="22283">
      <c r="A22283" s="3" t="inlineStr">
        <is>
          <t>22215</t>
        </is>
      </c>
      <c r="B22283" s="4" t="s">
        <f>=HYPERLINK("http://anyluxury.ru/shop/pismennye-prinadlezhnosti/ruchki/sharikovye/sharikovaya-ruchka-sostanza-chernaya-1638930/" , "16389.30 Шариковая ручка Sostanza, черная")</f>
      </c>
      <c r="C22283" s="4" t="n">
        <v>8500.00</v>
      </c>
      <c r="D22283" s="4"/>
    </row>
    <row collapsed="" customFormat="false" customHeight="1" hidden="" ht="14" outlineLevel="0" r="22284">
      <c r="A22284" s="3" t="inlineStr">
        <is>
          <t>22216</t>
        </is>
      </c>
      <c r="B22284" s="4" t="s">
        <f>=HYPERLINK("http://anyluxury.ru/shop/pismennye-prinadlezhnosti/ruchki/sharikovye/sharikovaya-ruchka-sostanza-serebristaya-1638910/" , "16389.10 Шариковая ручка Sostanza, серебристая")</f>
      </c>
      <c r="C22284" s="4" t="n">
        <v>8500.00</v>
      </c>
      <c r="D22284" s="4"/>
    </row>
    <row collapsed="" customFormat="false" customHeight="1" hidden="" ht="14" outlineLevel="0" r="22285">
      <c r="A22285" s="3" t="inlineStr">
        <is>
          <t>22217</t>
        </is>
      </c>
      <c r="B22285" s="4" t="s">
        <f>=HYPERLINK("http://anyluxury.ru/shop/pismennye-prinadlezhnosti/ruchki/sharikovye/ruchka-sharikovaya-fluent-siniy-metallik-1832740/" , "18327.40 Ручка шариковая Fluent, синий металлик")</f>
      </c>
      <c r="C22285" s="4" t="n">
        <v>34.90</v>
      </c>
      <c r="D22285" s="4"/>
    </row>
    <row collapsed="" customFormat="false" customHeight="1" hidden="" ht="14" outlineLevel="0" r="22286">
      <c r="A22286" s="3" t="inlineStr">
        <is>
          <t>22218</t>
        </is>
      </c>
      <c r="B22286" s="4" t="s">
        <f>=HYPERLINK("http://anyluxury.ru/shop/pismennye-prinadlezhnosti/ruchki/sharikovye/ruchka-sharikovaya-fluent-krasniy-metallik-1832750/" , "18327.50 Ручка шариковая Fluent, красный металлик")</f>
      </c>
      <c r="C22286" s="4" t="n">
        <v>34.90</v>
      </c>
      <c r="D22286" s="4"/>
    </row>
    <row collapsed="" customFormat="false" customHeight="1" hidden="" ht="14" outlineLevel="0" r="22287">
      <c r="A22287" s="3" t="inlineStr">
        <is>
          <t>22219</t>
        </is>
      </c>
      <c r="B22287" s="4" t="s">
        <f>=HYPERLINK("http://anyluxury.ru/shop/pismennye-prinadlezhnosti/ruchki/sharikovye/ruchka-sharikovaya-fluent-serebristaya-1832710/" , "18327.10 Ручка шариковая Fluent, серебристая")</f>
      </c>
      <c r="C22287" s="4" t="n">
        <v>34.90</v>
      </c>
      <c r="D22287" s="4"/>
    </row>
    <row collapsed="" customFormat="false" customHeight="1" hidden="" ht="14" outlineLevel="0" r="22288">
      <c r="A22288" s="3" t="inlineStr">
        <is>
          <t>22220</t>
        </is>
      </c>
      <c r="B22288" s="4" t="s">
        <f>=HYPERLINK("http://anyluxury.ru/shop/pismennye-prinadlezhnosti/ruchki/sharikovye/ruchka-sharikovaya-winkel-sinyaya-1832840/" , "18328.40 Ручка шариковая Winkel, синяя")</f>
      </c>
      <c r="C22288" s="4" t="n">
        <v>39.40</v>
      </c>
      <c r="D22288" s="4"/>
    </row>
    <row collapsed="" customFormat="false" customHeight="1" hidden="" ht="14" outlineLevel="0" r="22289">
      <c r="A22289" s="3" t="inlineStr">
        <is>
          <t>22221</t>
        </is>
      </c>
      <c r="B22289" s="4" t="s">
        <f>=HYPERLINK("http://anyluxury.ru/shop/pismennye-prinadlezhnosti/ruchki/sharikovye/ruchka-sharikovaya-winkel-chernaya-1832830/" , "18328.30 Ручка шариковая Winkel, черная")</f>
      </c>
      <c r="C22289" s="4" t="n">
        <v>39.40</v>
      </c>
      <c r="D22289" s="4"/>
    </row>
    <row collapsed="" customFormat="false" customHeight="1" hidden="" ht="14" outlineLevel="0" r="22290">
      <c r="A22290" s="3" t="inlineStr">
        <is>
          <t>22222</t>
        </is>
      </c>
      <c r="B22290" s="4" t="s">
        <f>=HYPERLINK("http://anyluxury.ru/shop/pismennye-prinadlezhnosti/ruchki/sharikovye/ruchka-sharikovaya-winkel-golubaya-1832814/" , "18328.14 Ручка шариковая Winkel, голубая")</f>
      </c>
      <c r="C22290" s="4" t="n">
        <v>39.40</v>
      </c>
      <c r="D22290" s="4"/>
    </row>
    <row collapsed="" customFormat="false" customHeight="1" hidden="" ht="14" outlineLevel="0" r="22291">
      <c r="A22291" s="3" t="inlineStr">
        <is>
          <t>22223</t>
        </is>
      </c>
      <c r="B22291" s="4" t="s">
        <f>=HYPERLINK("http://anyluxury.ru/shop/pismennye-prinadlezhnosti/ruchki/sharikovye/ruchka-sharikovaya-winkel-zelenaya-1832890/" , "18328.90 Ручка шариковая Winkel, зеленая")</f>
      </c>
      <c r="C22291" s="4" t="n">
        <v>39.40</v>
      </c>
      <c r="D22291" s="4"/>
    </row>
    <row collapsed="" customFormat="false" customHeight="1" hidden="" ht="14" outlineLevel="0" r="22292">
      <c r="A22292" s="3" t="inlineStr">
        <is>
          <t>22224</t>
        </is>
      </c>
      <c r="B22292" s="4" t="s">
        <f>=HYPERLINK("http://anyluxury.ru/shop/pismennye-prinadlezhnosti/ruchki/sharikovye/ruchka-sharikovaya-winkel-krasnaya-1832850/" , "18328.50 Ручка шариковая Winkel, красная")</f>
      </c>
      <c r="C22292" s="4" t="n">
        <v>39.40</v>
      </c>
      <c r="D22292" s="4"/>
    </row>
    <row collapsed="" customFormat="false" customHeight="1" hidden="" ht="14" outlineLevel="0" r="22293">
      <c r="A22293" s="3" t="inlineStr">
        <is>
          <t>22225</t>
        </is>
      </c>
      <c r="B22293" s="4" t="s">
        <f>=HYPERLINK("http://anyluxury.ru/shop/pismennye-prinadlezhnosti/ruchki/sharikovye/ruchka-sharikovaya-cursive-soft-touch-belaya-1832960/" , "18329.60 Ручка шариковая Cursive, белая")</f>
      </c>
      <c r="C22293" s="4" t="n">
        <v>39.70</v>
      </c>
      <c r="D22293" s="4"/>
    </row>
    <row collapsed="" customFormat="false" customHeight="1" hidden="" ht="14" outlineLevel="0" r="22294">
      <c r="A22294" s="3" t="inlineStr">
        <is>
          <t>22226</t>
        </is>
      </c>
      <c r="B22294" s="4" t="s">
        <f>=HYPERLINK("http://anyluxury.ru/shop/pismennye-prinadlezhnosti/ruchki/sharikovye/ruchka-sharikovaya-cursive-soft-touch-sinyaya-1832940/" , "18329.40 Ручка шариковая Cursive, синяя")</f>
      </c>
      <c r="C22294" s="4" t="n">
        <v>39.70</v>
      </c>
      <c r="D22294" s="4"/>
    </row>
    <row collapsed="" customFormat="false" customHeight="1" hidden="" ht="14" outlineLevel="0" r="22295">
      <c r="A22295" s="3" t="inlineStr">
        <is>
          <t>22227</t>
        </is>
      </c>
      <c r="B22295" s="4" t="s">
        <f>=HYPERLINK("http://anyluxury.ru/shop/pismennye-prinadlezhnosti/ruchki/sharikovye/ruchka-sharikovaya-cursive-soft-touch-chernaya-1832930/" , "18329.30 Ручка шариковая Cursive, черная")</f>
      </c>
      <c r="C22295" s="4" t="n">
        <v>39.70</v>
      </c>
      <c r="D22295" s="4"/>
    </row>
    <row collapsed="" customFormat="false" customHeight="1" hidden="" ht="14" outlineLevel="0" r="22296">
      <c r="A22296" s="3" t="inlineStr">
        <is>
          <t>22228</t>
        </is>
      </c>
      <c r="B22296" s="4" t="s">
        <f>=HYPERLINK("http://anyluxury.ru/shop/pismennye-prinadlezhnosti/ruchki/sharikovye/ruchka-sharikovaya-cursive-soft-touch-zelenaya-1832990/" , "18329.90 Ручка шариковая Cursive, зеленая")</f>
      </c>
      <c r="C22296" s="4" t="n">
        <v>39.70</v>
      </c>
      <c r="D22296" s="4"/>
    </row>
    <row collapsed="" customFormat="false" customHeight="1" hidden="" ht="14" outlineLevel="0" r="22297">
      <c r="A22297" s="3" t="inlineStr">
        <is>
          <t>22229</t>
        </is>
      </c>
      <c r="B22297" s="4" t="s">
        <f>=HYPERLINK("http://anyluxury.ru/shop/pismennye-prinadlezhnosti/ruchki/sharikovye/ruchka-sharikovaya-cursive-soft-touch-bezhevaya-1832911/" , "18329.11 Ручка шариковая Cursive, бежевая")</f>
      </c>
      <c r="C22297" s="4" t="n">
        <v>39.70</v>
      </c>
      <c r="D22297" s="4"/>
    </row>
    <row collapsed="" customFormat="false" customHeight="1" hidden="" ht="14" outlineLevel="0" r="22298">
      <c r="A22298" s="3" t="inlineStr">
        <is>
          <t>22230</t>
        </is>
      </c>
      <c r="B22298" s="4" t="s">
        <f>=HYPERLINK("http://anyluxury.ru/shop/pismennye-prinadlezhnosti/ruchki/sharikovye/ruchka-sharikovaya-cursive-soft-touch-golubaya-1832914/" , "18329.14 Ручка шариковая Cursive, голубая")</f>
      </c>
      <c r="C22298" s="4" t="n">
        <v>39.70</v>
      </c>
      <c r="D22298" s="4"/>
    </row>
    <row collapsed="" customFormat="false" customHeight="1" hidden="" ht="14" outlineLevel="0" r="22299">
      <c r="A22299" s="3" t="inlineStr">
        <is>
          <t>22231</t>
        </is>
      </c>
      <c r="B22299" s="4" t="s">
        <f>=HYPERLINK("http://anyluxury.ru/shop/pismennye-prinadlezhnosti/ruchki/sharikovye/ruchka-sharikovaya-cursive-soft-touch-krasnaya-1832950/" , "18329.50 Ручка шариковая Cursive, красная")</f>
      </c>
      <c r="C22299" s="4" t="n">
        <v>39.70</v>
      </c>
      <c r="D22299" s="4"/>
    </row>
    <row collapsed="" customFormat="false" customHeight="1" hidden="" ht="14" outlineLevel="0" r="22300">
      <c r="A22300" s="3" t="inlineStr">
        <is>
          <t>22232</t>
        </is>
      </c>
      <c r="B22300" s="4" t="s">
        <f>=HYPERLINK("http://anyluxury.ru/shop/pismennye-prinadlezhnosti/ruchki/sharikovye/ruchka-sharikovaya-renk-chernaya-1833030/" , "18330.30 Ручка шариковая Renk, черная")</f>
      </c>
      <c r="C22300" s="4" t="n">
        <v>44.40</v>
      </c>
      <c r="D22300" s="4"/>
    </row>
    <row collapsed="" customFormat="false" customHeight="1" hidden="" ht="14" outlineLevel="0" r="22301">
      <c r="A22301" s="3" t="inlineStr">
        <is>
          <t>22233</t>
        </is>
      </c>
      <c r="B22301" s="4" t="s">
        <f>=HYPERLINK("http://anyluxury.ru/shop/pismennye-prinadlezhnosti/ruchki/sharikovye/ruchka-sharikovaya-renk-sinyaya-1833040/" , "18330.40 Ручка шариковая Renk, синяя")</f>
      </c>
      <c r="C22301" s="4" t="n">
        <v>44.40</v>
      </c>
      <c r="D22301" s="4"/>
    </row>
    <row collapsed="" customFormat="false" customHeight="1" hidden="" ht="14" outlineLevel="0" r="22302">
      <c r="A22302" s="3" t="inlineStr">
        <is>
          <t>22234</t>
        </is>
      </c>
      <c r="B22302" s="4" t="s">
        <f>=HYPERLINK("http://anyluxury.ru/shop/pismennye-prinadlezhnosti/ruchki/sharikovye/ruchka-sharikovaya-renk-belaya-1833060/" , "18330.60 Ручка шариковая Renk, белая")</f>
      </c>
      <c r="C22302" s="4" t="n">
        <v>44.40</v>
      </c>
      <c r="D22302" s="4"/>
    </row>
    <row collapsed="" customFormat="false" customHeight="1" hidden="" ht="14" outlineLevel="0" r="22303">
      <c r="A22303" s="3" t="inlineStr">
        <is>
          <t>22235</t>
        </is>
      </c>
      <c r="B22303" s="4" t="s">
        <f>=HYPERLINK("http://anyluxury.ru/shop/pismennye-prinadlezhnosti/ruchki/sharikovye/ruchka-sharikovaya-renk-zelenaya-1833090/" , "18330.90 Ручка шариковая Renk, зеленая")</f>
      </c>
      <c r="C22303" s="4" t="n">
        <v>44.40</v>
      </c>
      <c r="D22303" s="4"/>
    </row>
    <row collapsed="" customFormat="false" customHeight="1" hidden="" ht="14" outlineLevel="0" r="22304">
      <c r="A22304" s="3" t="inlineStr">
        <is>
          <t>22236</t>
        </is>
      </c>
      <c r="B22304" s="4" t="s">
        <f>=HYPERLINK("http://anyluxury.ru/shop/pismennye-prinadlezhnosti/ruchki/sharikovye/ruchka-sharikovaya-renk-krasnaya-1833050/" , "18330.50 Ручка шариковая Renk, красная")</f>
      </c>
      <c r="C22304" s="4" t="n">
        <v>44.40</v>
      </c>
      <c r="D22304" s="4"/>
    </row>
    <row collapsed="" customFormat="false" customHeight="1" hidden="" ht="14" outlineLevel="0" r="22305">
      <c r="A22305" s="3" t="inlineStr">
        <is>
          <t>22237</t>
        </is>
      </c>
      <c r="B22305" s="4" t="s">
        <f>=HYPERLINK("http://anyluxury.ru/shop/pismennye-prinadlezhnosti/ruchki/sharikovye/ruchka-sharikovaya-renk-oranzhevaya-1833020/" , "18330.20 Ручка шариковая Renk, оранжевая")</f>
      </c>
      <c r="C22305" s="4" t="n">
        <v>44.40</v>
      </c>
      <c r="D22305" s="4"/>
    </row>
    <row collapsed="" customFormat="false" customHeight="1" hidden="" ht="14" outlineLevel="0" r="22306">
      <c r="A22306" s="3" t="inlineStr">
        <is>
          <t>22238</t>
        </is>
      </c>
      <c r="B22306" s="4" t="s">
        <f>=HYPERLINK("http://anyluxury.ru/shop/pismennye-prinadlezhnosti/ruchki/sharikovye/ruchka-sharikovaya-renk-zheltaya-1833080/" , "18330.80 Ручка шариковая Renk, желтая")</f>
      </c>
      <c r="C22306" s="4" t="n">
        <v>44.40</v>
      </c>
      <c r="D22306" s="4"/>
    </row>
    <row collapsed="" customFormat="false" customHeight="1" hidden="" ht="14" outlineLevel="0" r="22307">
      <c r="A22307" s="3" t="inlineStr">
        <is>
          <t>22239</t>
        </is>
      </c>
      <c r="B22307" s="4" t="s">
        <f>=HYPERLINK("http://anyluxury.ru/shop/pismennye-prinadlezhnosti/ruchki/sharikovye/ruchka-sharikovaya-liberty-polished-seraya-1291510/" , "12915.10 Ручка шариковая Liberty Polished, серая")</f>
      </c>
      <c r="C22307" s="4" t="n">
        <v>90.00</v>
      </c>
      <c r="D22307" s="4"/>
    </row>
    <row collapsed="" customFormat="false" customHeight="1" hidden="" ht="14" outlineLevel="0" r="22308">
      <c r="A22308" s="3" t="inlineStr">
        <is>
          <t>22240</t>
        </is>
      </c>
      <c r="B22308" s="4" t="s">
        <f>=HYPERLINK("http://anyluxury.ru/shop/pismennye-prinadlezhnosti/ruchki/sharikovye/ruchka-sharikovaya-parker-jotter-xl-monochrome-black-chernaya-1660930/" , "16609.30 Ручка шариковая Parker Jotter XL Monochrome Black, черная")</f>
      </c>
      <c r="C22308" s="4" t="n">
        <v>5025.00</v>
      </c>
      <c r="D22308" s="4"/>
    </row>
    <row collapsed="" customFormat="false" customHeight="1" hidden="" ht="14" outlineLevel="0" r="22309">
      <c r="A22309" s="3" t="inlineStr">
        <is>
          <t>22241</t>
        </is>
      </c>
      <c r="B22309" s="4" t="s">
        <f>=HYPERLINK("http://anyluxury.ru/shop/pismennye-prinadlezhnosti/ruchki/sharikovye/ruchka-sharikovaya-parker-jotter-xl-monochrome-gold-zolotistaya-1660900/" , "16609.00 Ручка шариковая Parker Jotter XL Monochrome Gold, золотистая")</f>
      </c>
      <c r="C22309" s="4" t="n">
        <v>5025.00</v>
      </c>
      <c r="D22309" s="4"/>
    </row>
    <row collapsed="" customFormat="false" customHeight="1" hidden="" ht="14" outlineLevel="0" r="22310">
      <c r="A22310" s="3" t="inlineStr">
        <is>
          <t>22242</t>
        </is>
      </c>
      <c r="B22310" s="4" t="s">
        <f>=HYPERLINK("http://anyluxury.ru/shop/pismennye-prinadlezhnosti/ruchki/sharikovye/ruchka-sharikovaya-parker-jotter-xl-monochrome-pink-gold-rozovoe-zoloto-1660915/" , "16609.15 Ручка шариковая Parker Jotter XL Monochrome Pink Gold, розовое золото")</f>
      </c>
      <c r="C22310" s="4" t="n">
        <v>5025.00</v>
      </c>
      <c r="D22310" s="4"/>
    </row>
    <row collapsed="" customFormat="false" customHeight="1" hidden="" ht="14" outlineLevel="0" r="22311">
      <c r="A22311" s="3" t="inlineStr">
        <is>
          <t>22243</t>
        </is>
      </c>
      <c r="B22311" s="4" t="s">
        <f>=HYPERLINK("http://anyluxury.ru/shop/pismennye-prinadlezhnosti/ruchki/sharikovye/ruchka-sharikovaya-slim-beam-sinyaya-1831840/" , "18318.40 Ручка шариковая Slim Beam, синяя")</f>
      </c>
      <c r="C22311" s="4" t="n">
        <v>58.00</v>
      </c>
      <c r="D22311" s="4"/>
    </row>
    <row collapsed="" customFormat="false" customHeight="1" hidden="" ht="14" outlineLevel="0" r="22312">
      <c r="A22312" s="3" t="inlineStr">
        <is>
          <t>22244</t>
        </is>
      </c>
      <c r="B22312" s="4" t="s">
        <f>=HYPERLINK("http://anyluxury.ru/shop/pismennye-prinadlezhnosti/ruchki/sharikovye/ruchka-sharikovaya-slim-beam-belaya-1831860/" , "18318.60 Ручка шариковая Slim Beam, белая")</f>
      </c>
      <c r="C22312" s="4" t="n">
        <v>58.00</v>
      </c>
      <c r="D22312" s="4"/>
    </row>
    <row collapsed="" customFormat="false" customHeight="1" hidden="" ht="14" outlineLevel="0" r="22313">
      <c r="A22313" s="3" t="inlineStr">
        <is>
          <t>22245</t>
        </is>
      </c>
      <c r="B22313" s="4" t="s">
        <f>=HYPERLINK("http://anyluxury.ru/shop/pismennye-prinadlezhnosti/ruchki/sharikovye/ruchka-sharikovaya-slim-beam-chernaya-1831830/" , "18318.30 Ручка шариковая Slim Beam, черная")</f>
      </c>
      <c r="C22313" s="4" t="n">
        <v>58.00</v>
      </c>
      <c r="D22313" s="4"/>
    </row>
    <row collapsed="" customFormat="false" customHeight="1" hidden="" ht="14" outlineLevel="0" r="22314">
      <c r="A22314" s="3" t="inlineStr">
        <is>
          <t>22246</t>
        </is>
      </c>
      <c r="B22314" s="4" t="s">
        <f>=HYPERLINK("http://anyluxury.ru/shop/pismennye-prinadlezhnosti/ruchki/sharikovye/ruchka-sharikovaya-slim-beam-krasnaya-1831850/" , "18318.50 Ручка шариковая Slim Beam, красная")</f>
      </c>
      <c r="C22314" s="4" t="n">
        <v>58.00</v>
      </c>
      <c r="D22314" s="4"/>
    </row>
    <row collapsed="" customFormat="false" customHeight="1" hidden="" ht="14" outlineLevel="0" r="22315">
      <c r="A22315" s="3" t="inlineStr">
        <is>
          <t>22247</t>
        </is>
      </c>
      <c r="B22315" s="4" t="s">
        <f>=HYPERLINK("http://anyluxury.ru/shop/pismennye-prinadlezhnosti/ruchki/sharikovye/ruchka-sharikovaya-slim-beam-seraya-1831810/" , "18318.10 Ручка шариковая Slim Beam, серая")</f>
      </c>
      <c r="C22315" s="4" t="n">
        <v>58.00</v>
      </c>
      <c r="D22315" s="4"/>
    </row>
    <row collapsed="" customFormat="false" customHeight="1" hidden="" ht="14" outlineLevel="0" r="22316">
      <c r="A22316" s="3" t="inlineStr">
        <is>
          <t>22248</t>
        </is>
      </c>
      <c r="B22316" s="4" t="s">
        <f>=HYPERLINK("http://anyluxury.ru/shop/pismennye-prinadlezhnosti/ruchki/sharikovye/ruchka-sharikovaya-slim-beam-oranzhevaya-1831820/" , "18318.20 Ручка шариковая Slim Beam, оранжевая")</f>
      </c>
      <c r="C22316" s="4" t="n">
        <v>58.00</v>
      </c>
      <c r="D22316" s="4"/>
    </row>
    <row collapsed="" customFormat="false" customHeight="1" hidden="" ht="14" outlineLevel="0" r="22317">
      <c r="A22317" s="3" t="inlineStr">
        <is>
          <t>22249</t>
        </is>
      </c>
      <c r="B22317" s="4" t="s">
        <f>=HYPERLINK("http://anyluxury.ru/shop/pismennye-prinadlezhnosti/ruchki/sharikovye/ruchka-sharikovaya-slim-beam-yarkosinyaya-1831814/" , "18318.14 Ручка шариковая Slim Beam, ярко-синяя")</f>
      </c>
      <c r="C22317" s="4" t="n">
        <v>58.00</v>
      </c>
      <c r="D22317" s="4"/>
    </row>
    <row collapsed="" customFormat="false" customHeight="1" hidden="" ht="14" outlineLevel="0" r="22318">
      <c r="A22318" s="3" t="inlineStr">
        <is>
          <t>22250</t>
        </is>
      </c>
      <c r="B22318" s="4" t="s">
        <f>=HYPERLINK("http://anyluxury.ru/shop/pismennye-prinadlezhnosti/ruchki/sharikovye/ruchka-sharikovaya-slim-beam-zelenaya-1831890/" , "18318.90 Ручка шариковая Slim Beam, зеленая")</f>
      </c>
      <c r="C22318" s="4" t="n">
        <v>58.00</v>
      </c>
      <c r="D22318" s="4"/>
    </row>
    <row collapsed="" customFormat="false" customHeight="1" hidden="" ht="14" outlineLevel="0" r="22319">
      <c r="A22319" s="3" t="inlineStr">
        <is>
          <t>22251</t>
        </is>
      </c>
      <c r="B22319" s="4" t="s">
        <f>=HYPERLINK("http://anyluxury.ru/shop/pismennye-prinadlezhnosti/ruchki/sharikovye/ruchka-sharikovaya-slim-beam-biryuzovaya-1831849/" , "18318.49 Ручка шариковая Slim Beam, бирюзовая")</f>
      </c>
      <c r="C22319" s="4" t="n">
        <v>58.00</v>
      </c>
      <c r="D22319" s="4"/>
    </row>
    <row collapsed="" customFormat="false" customHeight="1" hidden="" ht="14" outlineLevel="0" r="22320">
      <c r="A22320" s="3" t="inlineStr">
        <is>
          <t>22252</t>
        </is>
      </c>
      <c r="B22320" s="4" t="s">
        <f>=HYPERLINK("http://anyluxury.ru/shop/pismennye-prinadlezhnosti/ruchki/sharikovye/ruchka-sharikovaya-mastermind-sinyaya-1831940/" , "18319.40 Ручка шариковая Mastermind, синяя")</f>
      </c>
      <c r="C22320" s="4" t="n">
        <v>65.00</v>
      </c>
      <c r="D22320" s="4"/>
    </row>
    <row collapsed="" customFormat="false" customHeight="1" hidden="" ht="14" outlineLevel="0" r="22321">
      <c r="A22321" s="3" t="inlineStr">
        <is>
          <t>22253</t>
        </is>
      </c>
      <c r="B22321" s="4" t="s">
        <f>=HYPERLINK("http://anyluxury.ru/shop/pismennye-prinadlezhnosti/ruchki/sharikovye/ruchka-sharikovaya-mastermind-belaya-1831960/" , "18319.60 Ручка шариковая Mastermind, белая")</f>
      </c>
      <c r="C22321" s="4" t="n">
        <v>65.00</v>
      </c>
      <c r="D22321" s="4"/>
    </row>
    <row collapsed="" customFormat="false" customHeight="1" hidden="" ht="14" outlineLevel="0" r="22322">
      <c r="A22322" s="3" t="inlineStr">
        <is>
          <t>22254</t>
        </is>
      </c>
      <c r="B22322" s="4" t="s">
        <f>=HYPERLINK("http://anyluxury.ru/shop/pismennye-prinadlezhnosti/ruchki/sharikovye/ruchka-sharikovaya-mastermind-chernaya-1831930/" , "18319.30 Ручка шариковая Mastermind, черная")</f>
      </c>
      <c r="C22322" s="4" t="n">
        <v>65.00</v>
      </c>
      <c r="D22322" s="4"/>
    </row>
    <row collapsed="" customFormat="false" customHeight="1" hidden="" ht="14" outlineLevel="0" r="22323">
      <c r="A22323" s="3" t="inlineStr">
        <is>
          <t>22255</t>
        </is>
      </c>
      <c r="B22323" s="4" t="s">
        <f>=HYPERLINK("http://anyluxury.ru/shop/pismennye-prinadlezhnosti/ruchki/sharikovye/ruchka-sharikovaya-mastermind-krasnaya-1831950/" , "18319.50 Ручка шариковая Mastermind, красная")</f>
      </c>
      <c r="C22323" s="4" t="n">
        <v>65.00</v>
      </c>
      <c r="D22323" s="4"/>
    </row>
    <row collapsed="" customFormat="false" customHeight="1" hidden="" ht="14" outlineLevel="0" r="22324">
      <c r="A22324" s="3" t="inlineStr">
        <is>
          <t>22256</t>
        </is>
      </c>
      <c r="B22324" s="4" t="s">
        <f>=HYPERLINK("http://anyluxury.ru/shop/pismennye-prinadlezhnosti/ruchki/sharikovye/ruchka-sharikovaya-mastermind-seraya-1831910/" , "18319.10 Ручка шариковая Mastermind, серая")</f>
      </c>
      <c r="C22324" s="4" t="n">
        <v>65.00</v>
      </c>
      <c r="D22324" s="4"/>
    </row>
    <row collapsed="" customFormat="false" customHeight="1" hidden="" ht="14" outlineLevel="0" r="22325">
      <c r="A22325" s="3" t="inlineStr">
        <is>
          <t>22257</t>
        </is>
      </c>
      <c r="B22325" s="4" t="s">
        <f>=HYPERLINK("http://anyluxury.ru/shop/pismennye-prinadlezhnosti/ruchki/sharikovye/ruchka-sharikovaya-mastermind-oranzhevaya-1831920/" , "18319.20 Ручка шариковая Mastermind, оранжевая")</f>
      </c>
      <c r="C22325" s="4" t="n">
        <v>65.00</v>
      </c>
      <c r="D22325" s="4"/>
    </row>
    <row collapsed="" customFormat="false" customHeight="1" hidden="" ht="14" outlineLevel="0" r="22326">
      <c r="A22326" s="3" t="inlineStr">
        <is>
          <t>22258</t>
        </is>
      </c>
      <c r="B22326" s="4" t="s">
        <f>=HYPERLINK("http://anyluxury.ru/shop/pismennye-prinadlezhnosti/ruchki/sharikovye/ruchka-sharikovaya-mastermind-golubaya-1831914/" , "18319.14 Ручка шариковая Mastermind, голубая")</f>
      </c>
      <c r="C22326" s="4" t="n">
        <v>65.00</v>
      </c>
      <c r="D22326" s="4"/>
    </row>
    <row collapsed="" customFormat="false" customHeight="1" hidden="" ht="14" outlineLevel="0" r="22327">
      <c r="A22327" s="3" t="inlineStr">
        <is>
          <t>22259</t>
        </is>
      </c>
      <c r="B22327" s="4" t="s">
        <f>=HYPERLINK("http://anyluxury.ru/shop/pismennye-prinadlezhnosti/ruchki/sharikovye/ruchka-sharikovaya-mastermind-zelenaya-1831990/" , "18319.90 Ручка шариковая Mastermind, зеленая")</f>
      </c>
      <c r="C22327" s="4" t="n">
        <v>65.00</v>
      </c>
      <c r="D22327" s="4"/>
    </row>
    <row collapsed="" customFormat="false" customHeight="1" hidden="" ht="14" outlineLevel="0" r="22328">
      <c r="A22328" s="3" t="inlineStr">
        <is>
          <t>22260</t>
        </is>
      </c>
      <c r="B22328" s="4" t="s">
        <f>=HYPERLINK("http://anyluxury.ru/shop/pismennye-prinadlezhnosti/ruchki/sharikovye/ruchka-sharikovaya-mastermind-biryuzovaya-1831949/" , "18319.49 Ручка шариковая Mastermind, бирюзовая")</f>
      </c>
      <c r="C22328" s="4" t="n">
        <v>65.00</v>
      </c>
      <c r="D22328" s="4"/>
    </row>
    <row collapsed="" customFormat="false" customHeight="1" hidden="" ht="14" outlineLevel="0" r="22329">
      <c r="A22329" s="3" t="inlineStr">
        <is>
          <t>22261</t>
        </is>
      </c>
      <c r="B22329" s="4" t="s">
        <f>=HYPERLINK("http://anyluxury.ru/shop/pismennye-prinadlezhnosti/ruchki/sharikovye/ruchka-sharikovaya-penpal-belaya-1832060/" , "18320.60 Ручка шариковая Penpal, белая")</f>
      </c>
      <c r="C22329" s="4" t="n">
        <v>11.90</v>
      </c>
      <c r="D22329" s="4"/>
    </row>
    <row collapsed="" customFormat="false" customHeight="1" hidden="" ht="14" outlineLevel="0" r="22330">
      <c r="A22330" s="3" t="inlineStr">
        <is>
          <t>22262</t>
        </is>
      </c>
      <c r="B22330" s="4" t="s">
        <f>=HYPERLINK("http://anyluxury.ru/shop/pismennye-prinadlezhnosti/ruchki/sharikovye/ruchka-sharikovaya-penpal-sinyaya-1832040/" , "18320.40 Ручка шариковая Penpal, синяя")</f>
      </c>
      <c r="C22330" s="4" t="n">
        <v>11.90</v>
      </c>
      <c r="D22330" s="4"/>
    </row>
    <row collapsed="" customFormat="false" customHeight="1" hidden="" ht="14" outlineLevel="0" r="22331">
      <c r="A22331" s="3" t="inlineStr">
        <is>
          <t>22263</t>
        </is>
      </c>
      <c r="B22331" s="4" t="s">
        <f>=HYPERLINK("http://anyluxury.ru/shop/pismennye-prinadlezhnosti/ruchki/sharikovye/ruchka-sharikovaya-penpal-krasnaya-1832050/" , "18320.50 Ручка шариковая Penpal, красная")</f>
      </c>
      <c r="C22331" s="4" t="n">
        <v>11.90</v>
      </c>
      <c r="D22331" s="4"/>
    </row>
    <row collapsed="" customFormat="false" customHeight="1" hidden="" ht="14" outlineLevel="0" r="22332">
      <c r="A22332" s="3" t="inlineStr">
        <is>
          <t>22264</t>
        </is>
      </c>
      <c r="B22332" s="4" t="s">
        <f>=HYPERLINK("http://anyluxury.ru/shop/pismennye-prinadlezhnosti/ruchki/sharikovye/ruchka-sharikovaya-penpal-chernaya-1832030/" , "18320.30 Ручка шариковая Penpal, черная")</f>
      </c>
      <c r="C22332" s="4" t="n">
        <v>11.90</v>
      </c>
      <c r="D22332" s="4"/>
    </row>
    <row collapsed="" customFormat="false" customHeight="1" hidden="" ht="14" outlineLevel="0" r="22333">
      <c r="A22333" s="3" t="inlineStr">
        <is>
          <t>22265</t>
        </is>
      </c>
      <c r="B22333" s="4" t="s">
        <f>=HYPERLINK("http://anyluxury.ru/shop/pismennye-prinadlezhnosti/ruchki/sharikovye/ruchka-sharikovaya-penpal-zelenaya-1832090/" , "18320.90 Ручка шариковая Penpal, зеленая")</f>
      </c>
      <c r="C22333" s="4" t="n">
        <v>11.90</v>
      </c>
      <c r="D22333" s="4"/>
    </row>
    <row collapsed="" customFormat="false" customHeight="1" hidden="" ht="14" outlineLevel="0" r="22334">
      <c r="A22334" s="3" t="inlineStr">
        <is>
          <t>22266</t>
        </is>
      </c>
      <c r="B22334" s="4" t="s">
        <f>=HYPERLINK("http://anyluxury.ru/shop/pismennye-prinadlezhnosti/ruchki/sharikovye/ruchka-sharikovaya-bright-spark-cherniy-metallik-1832130/" , "18321.30 Ручка шариковая Bright Spark, черный металлик")</f>
      </c>
      <c r="C22334" s="4" t="n">
        <v>40.00</v>
      </c>
      <c r="D22334" s="4"/>
    </row>
    <row collapsed="" customFormat="false" customHeight="1" hidden="" ht="14" outlineLevel="0" r="22335">
      <c r="A22335" s="3" t="inlineStr">
        <is>
          <t>22267</t>
        </is>
      </c>
      <c r="B22335" s="4" t="s">
        <f>=HYPERLINK("http://anyluxury.ru/shop/pismennye-prinadlezhnosti/ruchki/sharikovye/ruchka-sharikovaya-bright-spark-siniy-metallik-1832140/" , "18321.40 Ручка шариковая Bright Spark, синий металлик")</f>
      </c>
      <c r="C22335" s="4" t="n">
        <v>40.00</v>
      </c>
      <c r="D22335" s="4"/>
    </row>
    <row collapsed="" customFormat="false" customHeight="1" hidden="" ht="14" outlineLevel="0" r="22336">
      <c r="A22336" s="3" t="inlineStr">
        <is>
          <t>22268</t>
        </is>
      </c>
      <c r="B22336" s="4" t="s">
        <f>=HYPERLINK("http://anyluxury.ru/shop/pismennye-prinadlezhnosti/ruchki/sharikovye/ruchka-sharikovaya-bright-spark-krasniy-metallik-1832150/" , "18321.50 Ручка шариковая Bright Spark, красный металлик")</f>
      </c>
      <c r="C22336" s="4" t="n">
        <v>40.00</v>
      </c>
      <c r="D22336" s="4"/>
    </row>
    <row collapsed="" customFormat="false" customHeight="1" hidden="" ht="14" outlineLevel="0" r="22337">
      <c r="A22337" s="3" t="inlineStr">
        <is>
          <t>22269</t>
        </is>
      </c>
      <c r="B22337" s="4" t="s">
        <f>=HYPERLINK("http://anyluxury.ru/shop/pismennye-prinadlezhnosti/ruchki/sharikovye/ruchka-sharikovaya-bright-spark-serebristaya-1832111/" , "18321.11 Ручка шариковая Bright Spark, серебристая")</f>
      </c>
      <c r="C22337" s="4" t="n">
        <v>40.00</v>
      </c>
      <c r="D22337" s="4"/>
    </row>
    <row collapsed="" customFormat="false" customHeight="1" hidden="" ht="14" outlineLevel="0" r="22338">
      <c r="A22338" s="3" t="inlineStr">
        <is>
          <t>22270</t>
        </is>
      </c>
      <c r="B22338" s="4" t="s">
        <f>=HYPERLINK("http://anyluxury.ru/shop/pismennye-prinadlezhnosti/ruchki/sharikovye/ruchka-sharikovaya-bright-spark-zolotistaya-1832100/" , "18321.00 Ручка шариковая Bright Spark, золотистая")</f>
      </c>
      <c r="C22338" s="4" t="n">
        <v>40.00</v>
      </c>
      <c r="D22338" s="4"/>
    </row>
    <row collapsed="" customFormat="false" customHeight="1" hidden="" ht="14" outlineLevel="0" r="22339">
      <c r="A22339" s="3" t="inlineStr">
        <is>
          <t>22271</t>
        </is>
      </c>
      <c r="B22339" s="4" t="s">
        <f>=HYPERLINK("http://anyluxury.ru/shop/pismennye-prinadlezhnosti/ruchki/sharikovye/ruchka-sharikovaya-bright-spark-seriy-metallik-1832110/" , "18321.10 Ручка шариковая Bright Spark, серый металлик")</f>
      </c>
      <c r="C22339" s="4" t="n">
        <v>40.00</v>
      </c>
      <c r="D22339" s="4"/>
    </row>
    <row collapsed="" customFormat="false" customHeight="1" hidden="" ht="14" outlineLevel="0" r="22340">
      <c r="A22340" s="3" t="inlineStr">
        <is>
          <t>22272</t>
        </is>
      </c>
      <c r="B22340" s="4" t="s">
        <f>=HYPERLINK("http://anyluxury.ru/shop/pismennye-prinadlezhnosti/ruchki/sharikovye/ruchka-sharikovaya-so-stilusom-digit-soft-touch-chernaya-1832230/" , "18322.30 Ручка шариковая со стилусом Digit Soft Touch, черная")</f>
      </c>
      <c r="C22340" s="4" t="n">
        <v>83.00</v>
      </c>
      <c r="D22340" s="4"/>
    </row>
    <row collapsed="" customFormat="false" customHeight="1" hidden="" ht="14" outlineLevel="0" r="22341">
      <c r="A22341" s="3" t="inlineStr">
        <is>
          <t>22273</t>
        </is>
      </c>
      <c r="B22341" s="4" t="s">
        <f>=HYPERLINK("http://anyluxury.ru/shop/pismennye-prinadlezhnosti/ruchki/sharikovye/ruchka-sharikovaya-so-stilusom-digit-soft-touch-sinyaya-1832240/" , "18322.40 Ручка шариковая со стилусом Digit Soft Touch, синяя")</f>
      </c>
      <c r="C22341" s="4" t="n">
        <v>83.00</v>
      </c>
      <c r="D22341" s="4"/>
    </row>
    <row collapsed="" customFormat="false" customHeight="1" hidden="" ht="14" outlineLevel="0" r="22342">
      <c r="A22342" s="3" t="inlineStr">
        <is>
          <t>22274</t>
        </is>
      </c>
      <c r="B22342" s="4" t="s">
        <f>=HYPERLINK("http://anyluxury.ru/shop/pismennye-prinadlezhnosti/ruchki/sharikovye/ruchka-sharikovaya-so-stilusom-digit-soft-touch-krasnaya-1832250/" , "18322.50 Ручка шариковая со стилусом Digit Soft Touch, красная")</f>
      </c>
      <c r="C22342" s="4" t="n">
        <v>83.00</v>
      </c>
      <c r="D22342" s="4"/>
    </row>
    <row collapsed="" customFormat="false" customHeight="1" hidden="" ht="14" outlineLevel="0" r="22343">
      <c r="A22343" s="3" t="inlineStr">
        <is>
          <t>22275</t>
        </is>
      </c>
      <c r="B22343" s="4" t="s">
        <f>=HYPERLINK("http://anyluxury.ru/shop/pismennye-prinadlezhnosti/ruchki/sharikovye/ruchka-sharikovaya-so-stilusom-digit-soft-touch-zelenaya-1832290/" , "18322.90 Ручка шариковая со стилусом Digit Soft Touch, зеленая")</f>
      </c>
      <c r="C22343" s="4" t="n">
        <v>83.00</v>
      </c>
      <c r="D22343" s="4"/>
    </row>
    <row collapsed="" customFormat="false" customHeight="1" hidden="" ht="14" outlineLevel="0" r="22344">
      <c r="A22344" s="3" t="inlineStr">
        <is>
          <t>22276</t>
        </is>
      </c>
      <c r="B22344" s="4" t="s">
        <f>=HYPERLINK("http://anyluxury.ru/shop/pismennye-prinadlezhnosti/ruchki/sharikovye/ruchka-sharikovaya-so-stilusom-digit-soft-touch-seraya-1832210/" , "18322.10 Ручка шариковая со стилусом Digit Soft Touch, серая")</f>
      </c>
      <c r="C22344" s="4" t="n">
        <v>83.00</v>
      </c>
      <c r="D22344" s="4"/>
    </row>
    <row collapsed="" customFormat="false" customHeight="1" hidden="" ht="14" outlineLevel="0" r="22345">
      <c r="A22345" s="3" t="inlineStr">
        <is>
          <t>22277</t>
        </is>
      </c>
      <c r="B22345" s="4" t="s">
        <f>=HYPERLINK("http://anyluxury.ru/shop/pismennye-prinadlezhnosti/ruchki/sharikovye/ruchka-sharikovaya-so-stilusom-digit-soft-touch-belaya-1832260/" , "18322.60 Ручка шариковая со стилусом Digit Soft Touch, белая")</f>
      </c>
      <c r="C22345" s="4" t="n">
        <v>83.00</v>
      </c>
      <c r="D22345" s="4"/>
    </row>
    <row collapsed="" customFormat="false" customHeight="1" hidden="" ht="14" outlineLevel="0" r="22346">
      <c r="A22346" s="3" t="inlineStr">
        <is>
          <t>22278</t>
        </is>
      </c>
      <c r="B22346" s="4" t="s">
        <f>=HYPERLINK("http://anyluxury.ru/shop/pismennye-prinadlezhnosti/ruchki/sharikovye/ruchka-sharikovaya-lobby-soft-touch-chrome-chernaya-1832330/" , "18323.30 Ручка шариковая Lobby Soft Touch Chrome, черная")</f>
      </c>
      <c r="C22346" s="4" t="n">
        <v>86.00</v>
      </c>
      <c r="D22346" s="4"/>
    </row>
    <row collapsed="" customFormat="false" customHeight="1" hidden="" ht="14" outlineLevel="0" r="22347">
      <c r="A22347" s="3" t="inlineStr">
        <is>
          <t>22279</t>
        </is>
      </c>
      <c r="B22347" s="4" t="s">
        <f>=HYPERLINK("http://anyluxury.ru/shop/pismennye-prinadlezhnosti/ruchki/sharikovye/ruchka-sharikovaya-lobby-soft-touch-chrome-belaya-1832360/" , "18323.60 Ручка шариковая Lobby Soft Touch Chrome, белая")</f>
      </c>
      <c r="C22347" s="4" t="n">
        <v>86.00</v>
      </c>
      <c r="D22347" s="4"/>
    </row>
    <row collapsed="" customFormat="false" customHeight="1" hidden="" ht="14" outlineLevel="0" r="22348">
      <c r="A22348" s="3" t="inlineStr">
        <is>
          <t>22280</t>
        </is>
      </c>
      <c r="B22348" s="4" t="s">
        <f>=HYPERLINK("http://anyluxury.ru/shop/pismennye-prinadlezhnosti/ruchki/sharikovye/ruchka-sharikovaya-lobby-soft-touch-chrome-sinyaya-1832340/" , "18323.40 Ручка шариковая Lobby Soft Touch Chrome, синяя")</f>
      </c>
      <c r="C22348" s="4" t="n">
        <v>86.00</v>
      </c>
      <c r="D22348" s="4"/>
    </row>
    <row collapsed="" customFormat="false" customHeight="1" hidden="" ht="14" outlineLevel="0" r="22349">
      <c r="A22349" s="3" t="inlineStr">
        <is>
          <t>22281</t>
        </is>
      </c>
      <c r="B22349" s="4" t="s">
        <f>=HYPERLINK("http://anyluxury.ru/shop/pismennye-prinadlezhnosti/ruchki/sharikovye/ruchka-sharikovaya-lobby-soft-touch-chrome-krasnaya-1832350/" , "18323.50 Ручка шариковая Lobby Soft Touch Chrome, красная")</f>
      </c>
      <c r="C22349" s="4" t="n">
        <v>86.00</v>
      </c>
      <c r="D22349" s="4"/>
    </row>
    <row collapsed="" customFormat="false" customHeight="1" hidden="" ht="14" outlineLevel="0" r="22350">
      <c r="A22350" s="3" t="inlineStr">
        <is>
          <t>22282</t>
        </is>
      </c>
      <c r="B22350" s="4" t="s">
        <f>=HYPERLINK("http://anyluxury.ru/shop/pismennye-prinadlezhnosti/ruchki/sharikovye/ruchka-sharikovaya-lobby-soft-touch-gold-chernaya-1832430/" , "18324.30 Ручка шариковая Lobby Soft Touch Gold, черная")</f>
      </c>
      <c r="C22350" s="4" t="n">
        <v>97.00</v>
      </c>
      <c r="D22350" s="4"/>
    </row>
    <row collapsed="" customFormat="false" customHeight="1" hidden="" ht="14" outlineLevel="0" r="22351">
      <c r="A22351" s="3" t="inlineStr">
        <is>
          <t>22283</t>
        </is>
      </c>
      <c r="B22351" s="4" t="s">
        <f>=HYPERLINK("http://anyluxury.ru/shop/pismennye-prinadlezhnosti/ruchki/sharikovye/ruchka-sharikovaya-lobby-soft-touch-gold-belaya-1832460/" , "18324.60 Ручка шариковая Lobby Soft Touch Gold, белая")</f>
      </c>
      <c r="C22351" s="4" t="n">
        <v>97.00</v>
      </c>
      <c r="D22351" s="4"/>
    </row>
    <row collapsed="" customFormat="false" customHeight="1" hidden="" ht="14" outlineLevel="0" r="22352">
      <c r="A22352" s="3" t="inlineStr">
        <is>
          <t>22284</t>
        </is>
      </c>
      <c r="B22352" s="4" t="s">
        <f>=HYPERLINK("http://anyluxury.ru/shop/pismennye-prinadlezhnosti/ruchki/sharikovye/ruchka-sharikovaya-lobby-soft-touch-gold-sinyaya-1832440/" , "18324.40 Ручка шариковая Lobby Soft Touch Gold, синяя")</f>
      </c>
      <c r="C22352" s="4" t="n">
        <v>97.00</v>
      </c>
      <c r="D22352" s="4"/>
    </row>
    <row collapsed="" customFormat="false" customHeight="1" hidden="" ht="14" outlineLevel="0" r="22353">
      <c r="A22353" s="3" t="inlineStr">
        <is>
          <t>22285</t>
        </is>
      </c>
      <c r="B22353" s="4" t="s">
        <f>=HYPERLINK("http://anyluxury.ru/shop/pismennye-prinadlezhnosti/ruchki/sharikovye/ruchka-sharikovaya-lobby-soft-touch-gold-krasnaya-1832450/" , "18324.50 Ручка шариковая Lobby Soft Touch Gold, красная")</f>
      </c>
      <c r="C22353" s="4" t="n">
        <v>97.00</v>
      </c>
      <c r="D22353" s="4"/>
    </row>
    <row collapsed="" customFormat="false" customHeight="1" hidden="" ht="14" outlineLevel="0" r="22354">
      <c r="A22354" s="3" t="inlineStr">
        <is>
          <t>22286</t>
        </is>
      </c>
      <c r="B22354" s="4" t="s">
        <f>=HYPERLINK("http://anyluxury.ru/shop/pismennye-prinadlezhnosti/ruchki/sharikovye/ruchka-sharikovaya-undertone-black-soft-touch-belaya-1832560/" , "18325.60 Ручка шариковая Undertone Black Soft Touch, белая")</f>
      </c>
      <c r="C22354" s="4" t="n">
        <v>93.00</v>
      </c>
      <c r="D22354" s="4"/>
    </row>
    <row collapsed="" customFormat="false" customHeight="1" hidden="" ht="14" outlineLevel="0" r="22355">
      <c r="A22355" s="3" t="inlineStr">
        <is>
          <t>22287</t>
        </is>
      </c>
      <c r="B22355" s="4" t="s">
        <f>=HYPERLINK("http://anyluxury.ru/shop/pismennye-prinadlezhnosti/ruchki/sharikovye/ruchka-sharikovaya-undertone-black-soft-touch-chernaya-1832530/" , "18325.30 Ручка шариковая Undertone Black Soft Touch, черная")</f>
      </c>
      <c r="C22355" s="4" t="n">
        <v>93.00</v>
      </c>
      <c r="D22355" s="4"/>
    </row>
    <row collapsed="" customFormat="false" customHeight="1" hidden="" ht="14" outlineLevel="0" r="22356">
      <c r="A22356" s="3" t="inlineStr">
        <is>
          <t>22288</t>
        </is>
      </c>
      <c r="B22356" s="4" t="s">
        <f>=HYPERLINK("http://anyluxury.ru/shop/pismennye-prinadlezhnosti/ruchki/sharikovye/ruchka-sharikovaya-undertone-black-soft-touch-yarkosinyaya-1832514/" , "18325.14 Ручка шариковая Undertone Black Soft Touch, ярко-синяя")</f>
      </c>
      <c r="C22356" s="4" t="n">
        <v>93.00</v>
      </c>
      <c r="D22356" s="4"/>
    </row>
    <row collapsed="" customFormat="false" customHeight="1" hidden="" ht="14" outlineLevel="0" r="22357">
      <c r="A22357" s="3" t="inlineStr">
        <is>
          <t>22289</t>
        </is>
      </c>
      <c r="B22357" s="4" t="s">
        <f>=HYPERLINK("http://anyluxury.ru/shop/pismennye-prinadlezhnosti/ruchki/sharikovye/ruchka-sharikovaya-undertone-black-soft-touch-zelenaya-1832590/" , "18325.90 Ручка шариковая Undertone Black Soft Touch, зеленая")</f>
      </c>
      <c r="C22357" s="4" t="n">
        <v>93.00</v>
      </c>
      <c r="D22357" s="4"/>
    </row>
    <row collapsed="" customFormat="false" customHeight="1" hidden="" ht="14" outlineLevel="0" r="22358">
      <c r="A22358" s="3" t="inlineStr">
        <is>
          <t>22290</t>
        </is>
      </c>
      <c r="B22358" s="4" t="s">
        <f>=HYPERLINK("http://anyluxury.ru/shop/pismennye-prinadlezhnosti/ruchki/sharikovye/ruchka-sharikovaya-undertone-black-soft-touch-krasnaya-1832550/" , "18325.50 Ручка шариковая Undertone Black Soft Touch, красная")</f>
      </c>
      <c r="C22358" s="4" t="n">
        <v>93.00</v>
      </c>
      <c r="D22358" s="4"/>
    </row>
    <row collapsed="" customFormat="false" customHeight="1" hidden="" ht="14" outlineLevel="0" r="22359">
      <c r="A22359" s="3" t="inlineStr">
        <is>
          <t>22291</t>
        </is>
      </c>
      <c r="B22359" s="4" t="s">
        <f>=HYPERLINK("http://anyluxury.ru/shop/pismennye-prinadlezhnosti/ruchki/sharikovye/ruchka-sharikovaya-undertone-black-soft-touch-seraya-1832510/" , "18325.10 Ручка шариковая Undertone Black Soft Touch, серая")</f>
      </c>
      <c r="C22359" s="4" t="n">
        <v>93.00</v>
      </c>
      <c r="D22359" s="4"/>
    </row>
    <row collapsed="" customFormat="false" customHeight="1" hidden="" ht="14" outlineLevel="0" r="22360">
      <c r="A22360" s="3" t="inlineStr">
        <is>
          <t>22292</t>
        </is>
      </c>
      <c r="B22360" s="4" t="s">
        <f>=HYPERLINK("http://anyluxury.ru/shop/pismennye-prinadlezhnosti/ruchki/sharikovye/ruchka-sharikovaya-undertone-black-soft-touch-oranzhevaya-1832520/" , "18325.20 Ручка шариковая Undertone Black Soft Touch, оранжевая")</f>
      </c>
      <c r="C22360" s="4" t="n">
        <v>93.00</v>
      </c>
      <c r="D22360" s="4"/>
    </row>
    <row collapsed="" customFormat="false" customHeight="1" hidden="" ht="14" outlineLevel="0" r="22361">
      <c r="A22361" s="3" t="inlineStr">
        <is>
          <t>22293</t>
        </is>
      </c>
      <c r="B22361" s="4" t="s">
        <f>=HYPERLINK("http://anyluxury.ru/shop/pismennye-prinadlezhnosti/ruchki/sharikovye/ruchka-sharikovaya-undertone-black-soft-touch-zheltaya-1832580/" , "18325.80 Ручка шариковая Undertone Black Soft Touch, желтая")</f>
      </c>
      <c r="C22361" s="4" t="n">
        <v>93.00</v>
      </c>
      <c r="D22361" s="4"/>
    </row>
    <row collapsed="" customFormat="false" customHeight="1" hidden="" ht="14" outlineLevel="0" r="22362">
      <c r="A22362" s="3" t="inlineStr">
        <is>
          <t>22294</t>
        </is>
      </c>
      <c r="B22362" s="4" t="s">
        <f>=HYPERLINK("http://anyluxury.ru/shop/pismennye-prinadlezhnosti/ruchki/sharikovye/ruchka-sharikovaya-underton-metallic-chernaya-1832630/" , "18326.30 Ручка шариковая Undertone Metallic, черная")</f>
      </c>
      <c r="C22362" s="4" t="n">
        <v>90.00</v>
      </c>
      <c r="D22362" s="4"/>
    </row>
    <row collapsed="" customFormat="false" customHeight="1" hidden="" ht="14" outlineLevel="0" r="22363">
      <c r="A22363" s="3" t="inlineStr">
        <is>
          <t>22295</t>
        </is>
      </c>
      <c r="B22363" s="4" t="s">
        <f>=HYPERLINK("http://anyluxury.ru/shop/pismennye-prinadlezhnosti/ruchki/sharikovye/ruchka-sharikovaya-underton-metallic-seraya-1832610/" , "18326.10 Ручка шариковая Undertone Metallic, серая")</f>
      </c>
      <c r="C22363" s="4" t="n">
        <v>90.00</v>
      </c>
      <c r="D22363" s="4"/>
    </row>
    <row collapsed="" customFormat="false" customHeight="1" hidden="" ht="14" outlineLevel="0" r="22364">
      <c r="A22364" s="3" t="inlineStr">
        <is>
          <t>22296</t>
        </is>
      </c>
      <c r="B22364" s="4" t="s">
        <f>=HYPERLINK("http://anyluxury.ru/shop/pismennye-prinadlezhnosti/ruchki/sharikovye/ruchka-sharikovaya-underton-metallic-sinyaya-1832640/" , "18326.40 Ручка шариковая Undertone Metallic, синяя")</f>
      </c>
      <c r="C22364" s="4" t="n">
        <v>90.00</v>
      </c>
      <c r="D22364" s="4"/>
    </row>
    <row collapsed="" customFormat="false" customHeight="1" hidden="" ht="14" outlineLevel="0" r="22365">
      <c r="A22365" s="3" t="inlineStr">
        <is>
          <t>22297</t>
        </is>
      </c>
      <c r="B22365" s="4" t="s">
        <f>=HYPERLINK("http://anyluxury.ru/shop/pismennye-prinadlezhnosti/ruchki/sharikovye/ruchka-sharikovaya-underton-metallic-zelenaya-1832690/" , "18326.90 Ручка шариковая Undertone Metallic, зеленая")</f>
      </c>
      <c r="C22365" s="4" t="n">
        <v>90.00</v>
      </c>
      <c r="D22365" s="4"/>
    </row>
    <row collapsed="" customFormat="false" customHeight="1" hidden="" ht="14" outlineLevel="0" r="22366">
      <c r="A22366" s="3" t="inlineStr">
        <is>
          <t>22298</t>
        </is>
      </c>
      <c r="B22366" s="4" t="s">
        <f>=HYPERLINK("http://anyluxury.ru/shop/pismennye-prinadlezhnosti/ruchki/sharikovye/ruchka-sharikovaya-underton-metallic-krasnaya-1832650/" , "18326.50 Ручка шариковая Undertone Metallic, красная")</f>
      </c>
      <c r="C22366" s="4" t="n">
        <v>90.00</v>
      </c>
      <c r="D22366" s="4"/>
    </row>
    <row collapsed="" customFormat="false" customHeight="1" hidden="" ht="14" outlineLevel="0" r="22367">
      <c r="A22367" s="3" t="inlineStr">
        <is>
          <t>22299</t>
        </is>
      </c>
      <c r="B22367" s="4" t="s">
        <f>=HYPERLINK("http://anyluxury.ru/shop/pismennye-prinadlezhnosti/ruchki/sharikovye/ruchka-sharikovaya-underton-metallic-oranzhevaya-1832620/" , "18326.20 Ручка шариковая Undertone Metallic, оранжевая")</f>
      </c>
      <c r="C22367" s="4" t="n">
        <v>90.00</v>
      </c>
      <c r="D22367" s="4"/>
    </row>
    <row collapsed="" customFormat="false" customHeight="1" hidden="" ht="14" outlineLevel="0" r="22368">
      <c r="A22368" s="3" t="inlineStr">
        <is>
          <t>22300</t>
        </is>
      </c>
      <c r="B22368" s="4" t="s">
        <f>=HYPERLINK("http://anyluxury.ru/shop/pismennye-prinadlezhnosti/ruchki/sharikovye/ruchka-sharikovaya-construction-basic-temnosinyaya-2241040/" , "22410.40 Ручка шариковая Construction Basic, темно-синяя")</f>
      </c>
      <c r="C22368" s="4" t="n">
        <v>950.00</v>
      </c>
      <c r="D22368" s="4"/>
    </row>
    <row collapsed="" customFormat="false" customHeight="1" hidden="" ht="14" outlineLevel="0" r="22369">
      <c r="A22369" s="3" t="inlineStr">
        <is>
          <t>22301</t>
        </is>
      </c>
      <c r="B22369" s="4" t="s">
        <f>=HYPERLINK("http://anyluxury.ru/shop/pismennye-prinadlezhnosti/ruchki/sharikovye/ruchka-sharikovaya-construction-basic-serebristaya-2241010/" , "22410.10 Ручка шариковая Construction Basic, серебристая")</f>
      </c>
      <c r="C22369" s="4" t="n">
        <v>950.00</v>
      </c>
      <c r="D22369" s="4"/>
    </row>
    <row collapsed="" customFormat="false" customHeight="1" hidden="" ht="14" outlineLevel="0" r="22370">
      <c r="A22370" s="3" t="inlineStr">
        <is>
          <t>22302</t>
        </is>
      </c>
      <c r="B22370" s="4" t="s">
        <f>=HYPERLINK("http://anyluxury.ru/shop/pismennye-prinadlezhnosti/ruchki/sharikovye/sharikovaya-ruchka-lira-belaya-223206100/" , "223206.100 Шариковая ручка Lira, белая")</f>
      </c>
      <c r="C22370" s="4" t="n">
        <v>215.00</v>
      </c>
      <c r="D22370" s="4"/>
    </row>
    <row collapsed="" customFormat="false" customHeight="1" hidden="" ht="14" outlineLevel="0" r="22371">
      <c r="A22371" s="3" t="inlineStr">
        <is>
          <t>22303</t>
        </is>
      </c>
      <c r="B22371" s="4" t="s">
        <f>=HYPERLINK("http://anyluxury.ru/shop/pismennye-prinadlezhnosti/ruchki/sharikovye/sharikovaya-ruchka-lira-kakao-223206020/" , "223206.020 Шариковая ручка Lira, какао")</f>
      </c>
      <c r="C22371" s="4" t="n">
        <v>178.00</v>
      </c>
      <c r="D22371" s="4"/>
    </row>
    <row collapsed="" customFormat="false" customHeight="1" hidden="" ht="14" outlineLevel="0" r="22372">
      <c r="A22372" s="3" t="inlineStr">
        <is>
          <t>22304</t>
        </is>
      </c>
      <c r="B22372" s="4" t="s">
        <f>=HYPERLINK("http://anyluxury.ru/shop/pismennye-prinadlezhnosti/ruchki/sharikovye/sharikovaya-ruchka-lira-serebryanaya-223206110/" , "223206.110 Шариковая ручка Lira, серебряная")</f>
      </c>
      <c r="C22372" s="4" t="n">
        <v>215.00</v>
      </c>
      <c r="D22372" s="4"/>
    </row>
    <row collapsed="" customFormat="false" customHeight="1" hidden="" ht="14" outlineLevel="0" r="22373">
      <c r="A22373" s="3" t="inlineStr">
        <is>
          <t>22305</t>
        </is>
      </c>
      <c r="B22373" s="4" t="s">
        <f>=HYPERLINK("http://anyluxury.ru/shop/pismennye-prinadlezhnosti/ruchki/sharikovye/sharikovaya-ruchka-lira-sinyaya-223206030/" , "223206.030 Шариковая ручка Lira, синяя")</f>
      </c>
      <c r="C22373" s="4" t="n">
        <v>215.00</v>
      </c>
      <c r="D22373" s="4"/>
    </row>
    <row collapsed="" customFormat="false" customHeight="1" hidden="" ht="14" outlineLevel="0" r="22374">
      <c r="A22374" s="3" t="inlineStr">
        <is>
          <t>22306</t>
        </is>
      </c>
      <c r="B22374" s="4" t="s">
        <f>=HYPERLINK("http://anyluxury.ru/shop/pismennye-prinadlezhnosti/ruchki/sharikovye/sharikovaya-ruchka-lira-chernaya-223206010/" , "223206.010 Шариковая ручка Lira, черная")</f>
      </c>
      <c r="C22374" s="4" t="n">
        <v>215.00</v>
      </c>
      <c r="D22374" s="4"/>
    </row>
    <row collapsed="" customFormat="false" customHeight="1" hidden="" ht="14" outlineLevel="0" r="22375">
      <c r="A22375" s="3" t="inlineStr">
        <is>
          <t>22307</t>
        </is>
      </c>
      <c r="B22375" s="4" t="s">
        <f>=HYPERLINK("http://anyluxury.ru/shop/pismennye-prinadlezhnosti/ruchki/sharikovye/sharikovaya-ruchka-pyramid-belayaglyanec-165109100/" , "165109.100 Шариковая ручка Pyramid, белая/глянец")</f>
      </c>
      <c r="C22375" s="4" t="n">
        <v>261.00</v>
      </c>
      <c r="D22375" s="4"/>
    </row>
    <row collapsed="" customFormat="false" customHeight="1" hidden="" ht="14" outlineLevel="0" r="22376">
      <c r="A22376" s="3" t="inlineStr">
        <is>
          <t>22308</t>
        </is>
      </c>
      <c r="B22376" s="4" t="s">
        <f>=HYPERLINK("http://anyluxury.ru/shop/pismennye-prinadlezhnosti/ruchki/sharikovye/sharikovaya-ruchka-sonata-bp-chernayapozolota-208607112/" , "208607.112 Шариковая ручка Sonata BP, черная/позолота")</f>
      </c>
      <c r="C22376" s="4" t="n">
        <v>625.00</v>
      </c>
      <c r="D22376" s="4"/>
    </row>
    <row collapsed="" customFormat="false" customHeight="1" hidden="" ht="14" outlineLevel="0" r="22377">
      <c r="A22377" s="3" t="inlineStr">
        <is>
          <t>22309</t>
        </is>
      </c>
      <c r="B22377" s="4" t="s">
        <f>=HYPERLINK("http://anyluxury.ru/shop/pismennye-prinadlezhnosti/ruchki/sharikovye/sharikovaya-ruchka-tesoro-chernayapozolota-210606112/" , "210606.112 Шариковая ручка Tesoro, черная/позолота")</f>
      </c>
      <c r="C22377" s="4" t="n">
        <v>624.00</v>
      </c>
      <c r="D22377" s="4"/>
    </row>
    <row collapsed="" customFormat="false" customHeight="1" hidden="" ht="14" outlineLevel="0" r="22378">
      <c r="A22378" s="3" t="inlineStr">
        <is>
          <t>22310</t>
        </is>
      </c>
      <c r="B22378" s="4" t="s">
        <f>=HYPERLINK("http://anyluxury.ru/shop/pismennye-prinadlezhnosti/ruchki/sharikovye/sharikovaya-ruchka-velutto-pen-krasnaya-223013060/" , "223013.060 Шариковая ручка Velutto pen, красная")</f>
      </c>
      <c r="C22378" s="4" t="n">
        <v>245.00</v>
      </c>
      <c r="D22378" s="4"/>
    </row>
    <row collapsed="" customFormat="false" customHeight="1" hidden="" ht="14" outlineLevel="0" r="22379">
      <c r="A22379" s="3" t="inlineStr">
        <is>
          <t>22311</t>
        </is>
      </c>
      <c r="B22379" s="4" t="s">
        <f>=HYPERLINK("http://anyluxury.ru/shop/pismennye-prinadlezhnosti/ruchki/sharikovye/sharikovaya-ruchka-velutto-pen-seraya-223013080/" , "223013.080 Шариковая ручка Velutto pen, серая")</f>
      </c>
      <c r="C22379" s="4" t="n">
        <v>245.00</v>
      </c>
      <c r="D22379" s="4"/>
    </row>
    <row collapsed="" customFormat="false" customHeight="1" hidden="" ht="14" outlineLevel="0" r="22380">
      <c r="A22380" s="3" t="inlineStr">
        <is>
          <t>22312</t>
        </is>
      </c>
      <c r="B22380" s="4" t="s">
        <f>=HYPERLINK("http://anyluxury.ru/shop/pismennye-prinadlezhnosti/ruchki/sharikovye/sharikovaya-ruchka-velutto-pen-sinyaya-223013030/" , "223013.030 Шариковая ручка Velutto pen, синяя")</f>
      </c>
      <c r="C22380" s="4" t="n">
        <v>245.00</v>
      </c>
      <c r="D22380" s="4"/>
    </row>
    <row collapsed="" customFormat="false" customHeight="1" hidden="" ht="14" outlineLevel="0" r="22381">
      <c r="A22381" s="3" t="inlineStr">
        <is>
          <t>22313</t>
        </is>
      </c>
      <c r="B22381" s="4" t="s">
        <f>=HYPERLINK("http://anyluxury.ru/shop/pismennye-prinadlezhnosti/ruchki/sharikovye/sharikovaya-ruchka-quattro-oranzhevaya-221008070/" , "221008.070 Шариковая ручка Quattro, оранжевая")</f>
      </c>
      <c r="C22381" s="4" t="n">
        <v>285.00</v>
      </c>
      <c r="D22381" s="4"/>
    </row>
    <row collapsed="" customFormat="false" customHeight="1" hidden="" ht="14" outlineLevel="0" r="22382">
      <c r="A22382" s="3" t="inlineStr">
        <is>
          <t>22314</t>
        </is>
      </c>
      <c r="B22382" s="4" t="s">
        <f>=HYPERLINK("http://anyluxury.ru/shop/pismennye-prinadlezhnosti/ruchki/sharikovye/sharikovaya-ruchka-quattro-serebryanaya-221008111/" , "221008.111 Шариковая ручка Quattro, серебряная")</f>
      </c>
      <c r="C22382" s="4" t="n">
        <v>285.00</v>
      </c>
      <c r="D22382" s="4"/>
    </row>
    <row collapsed="" customFormat="false" customHeight="1" hidden="" ht="14" outlineLevel="0" r="22383">
      <c r="A22383" s="3" t="inlineStr">
        <is>
          <t>22315</t>
        </is>
      </c>
      <c r="B22383" s="4" t="s">
        <f>=HYPERLINK("http://anyluxury.ru/shop/pismennye-prinadlezhnosti/ruchki/sharikovye/sharikovaya-ruchka-quattro-sinyaya-221008030/" , "221008.030 Шариковая ручка Quattro, синяя")</f>
      </c>
      <c r="C22383" s="4" t="n">
        <v>285.00</v>
      </c>
      <c r="D22383" s="4"/>
    </row>
    <row collapsed="" customFormat="false" customHeight="1" hidden="" ht="14" outlineLevel="0" r="22384">
      <c r="A22384" s="3" t="inlineStr">
        <is>
          <t>22316</t>
        </is>
      </c>
      <c r="B22384" s="4" t="s">
        <f>=HYPERLINK("http://anyluxury.ru/shop/pismennye-prinadlezhnosti/ruchki/sharikovye/sharikovaya-ruchka-quattro-chernaya-221008010/" , "221008.010 Шариковая ручка Quattro, черная")</f>
      </c>
      <c r="C22384" s="4" t="n">
        <v>285.00</v>
      </c>
      <c r="D22384" s="4"/>
    </row>
    <row collapsed="" customFormat="false" customHeight="1" hidden="" ht="14" outlineLevel="0" r="22385">
      <c r="A22385" s="3" t="inlineStr">
        <is>
          <t>22317</t>
        </is>
      </c>
      <c r="B22385" s="4" t="s">
        <f>=HYPERLINK("http://anyluxury.ru/shop/pismennye-prinadlezhnosti/ruchki/sharikovye/sharikovaya-ruchka-regatta-fioletovaya-153013034/" , "153013.034 Шариковая ручка Regatta, фиолетовая")</f>
      </c>
      <c r="C22385" s="4" t="n">
        <v>180.00</v>
      </c>
      <c r="D22385" s="4"/>
    </row>
    <row collapsed="" customFormat="false" customHeight="1" hidden="" ht="14" outlineLevel="0" r="22386">
      <c r="A22386" s="3" t="inlineStr">
        <is>
          <t>22318</t>
        </is>
      </c>
      <c r="B22386" s="4" t="s">
        <f>=HYPERLINK("http://anyluxury.ru/shop/pismennye-prinadlezhnosti/ruchki/sharikovye/sharikovaya-ruchka-ip-chameleon-chernaya-1730162010/" , "1730162.010 Шариковая ручка IP Chameleon, черная")</f>
      </c>
      <c r="C22386" s="4" t="n">
        <v>239.00</v>
      </c>
      <c r="D22386" s="4"/>
    </row>
    <row collapsed="" customFormat="false" customHeight="1" hidden="" ht="14" outlineLevel="0" r="22387">
      <c r="A22387" s="3" t="inlineStr">
        <is>
          <t>22319</t>
        </is>
      </c>
      <c r="B22387" s="4" t="s">
        <f>=HYPERLINK("http://anyluxury.ru/shop/pismennye-prinadlezhnosti/ruchki/sharikovye/sharikovaya-ruchka-legato-seraya-230506080/" , "230506.080 Шариковая ручка Legato, серая")</f>
      </c>
      <c r="C22387" s="4" t="n">
        <v>193.00</v>
      </c>
      <c r="D22387" s="4"/>
    </row>
    <row collapsed="" customFormat="false" customHeight="1" hidden="" ht="14" outlineLevel="0" r="22388">
      <c r="A22388" s="3" t="inlineStr">
        <is>
          <t>22320</t>
        </is>
      </c>
      <c r="B22388" s="4" t="s">
        <f>=HYPERLINK("http://anyluxury.ru/shop/pismennye-prinadlezhnosti/ruchki/sharikovye/sharikovaya-ruchka-legato-sinyaya-230506030/" , "230506.030 Шариковая ручка Legato, синяя")</f>
      </c>
      <c r="C22388" s="4" t="n">
        <v>193.00</v>
      </c>
      <c r="D22388" s="4"/>
    </row>
    <row collapsed="" customFormat="false" customHeight="1" hidden="" ht="14" outlineLevel="0" r="22389">
      <c r="A22389" s="3" t="inlineStr">
        <is>
          <t>22321</t>
        </is>
      </c>
      <c r="B22389" s="4" t="s">
        <f>=HYPERLINK("http://anyluxury.ru/shop/pismennye-prinadlezhnosti/ruchki/sharikovye/sharikovaya-ruchka-legato-chernaya-230506010/" , "230506.010 Шариковая ручка Legato, черная")</f>
      </c>
      <c r="C22389" s="4" t="n">
        <v>193.00</v>
      </c>
      <c r="D22389" s="4"/>
    </row>
    <row collapsed="" customFormat="false" customHeight="1" hidden="" ht="14" outlineLevel="0" r="22390">
      <c r="A22390" s="3" t="inlineStr">
        <is>
          <t>22322</t>
        </is>
      </c>
      <c r="B22390" s="4" t="s">
        <f>=HYPERLINK("http://anyluxury.ru/shop/pismennye-prinadlezhnosti/ruchki/sharikovye/sharikovaya-ruchka-smart-s-chipom-peredachi-informacii-nfc-sinyaya-233010030/" , "233010.030 Шариковая ручка Smart с чипом передачи информации NFC, синяя")</f>
      </c>
      <c r="C22390" s="4" t="n">
        <v>205.00</v>
      </c>
      <c r="D22390" s="4"/>
    </row>
    <row collapsed="" customFormat="false" customHeight="1" hidden="" ht="14" outlineLevel="0" r="22391">
      <c r="A22391" s="3" t="inlineStr">
        <is>
          <t>22323</t>
        </is>
      </c>
      <c r="B22391" s="4" t="s">
        <f>=HYPERLINK("http://anyluxury.ru/shop/pismennye-prinadlezhnosti/ruchki/sharikovye/sharikovaya-ruchka-smart-s-chipom-peredachi-informacii-nfc-chernaya-233010010/" , "233010.010 Шариковая ручка Smart с чипом передачи информации NFC, черная")</f>
      </c>
      <c r="C22391" s="4" t="n">
        <v>205.00</v>
      </c>
      <c r="D22391" s="4"/>
    </row>
    <row collapsed="" customFormat="false" customHeight="1" hidden="" ht="14" outlineLevel="0" r="22392">
      <c r="A22392" s="3" t="inlineStr">
        <is>
          <t>22324</t>
        </is>
      </c>
      <c r="B22392" s="4" t="s">
        <f>=HYPERLINK("http://anyluxury.ru/shop/pismennye-prinadlezhnosti/ruchki/sharikovye/sharikovaya-ruchka-comet-neo-sinyaya-1930220301/" , "193022.030.1 Шариковая ручка Comet NEO, синяя")</f>
      </c>
      <c r="C22392" s="4" t="n">
        <v>241.00</v>
      </c>
      <c r="D22392" s="4"/>
    </row>
    <row collapsed="" customFormat="false" customHeight="1" hidden="" ht="14" outlineLevel="0" r="22393">
      <c r="A22393" s="3" t="inlineStr">
        <is>
          <t>22325</t>
        </is>
      </c>
      <c r="B22393" s="4" t="s">
        <f>=HYPERLINK("http://anyluxury.ru/shop/pismennye-prinadlezhnosti/ruchki/sharikovye/sharikovaya-ruchka-pyramid-neo-krasnaya-1951090601/" , "195109.060.1 Шариковая ручка Pyramid NEO, красная")</f>
      </c>
      <c r="C22393" s="4" t="n">
        <v>227.00</v>
      </c>
      <c r="D22393" s="4"/>
    </row>
    <row collapsed="" customFormat="false" customHeight="1" hidden="" ht="14" outlineLevel="0" r="22394">
      <c r="A22394" s="3" t="inlineStr">
        <is>
          <t>22326</t>
        </is>
      </c>
      <c r="B22394" s="4" t="s">
        <f>=HYPERLINK("http://anyluxury.ru/shop/pismennye-prinadlezhnosti/ruchki/sharikovye/sharikovaya-ruchka-urban-fioletovaya-2106070341/" , "210607.034.1 Шариковая ручка Urban, фиолетовая")</f>
      </c>
      <c r="C22394" s="4" t="n">
        <v>241.00</v>
      </c>
      <c r="D22394" s="4"/>
    </row>
    <row collapsed="" customFormat="false" customHeight="" hidden="" ht="12.1" outlineLevel="0" r="22395">
      <c r="A22395" s="5" t="inlineStr">
        <is>
          <t> -  - Футляры для ручек</t>
        </is>
      </c>
      <c r="B22395" s="6"/>
      <c r="C22395" s="6"/>
      <c r="D22395" s="6"/>
    </row>
    <row collapsed="" customFormat="false" customHeight="1" hidden="" ht="14" outlineLevel="0" r="22396">
      <c r="A22396" s="3" t="inlineStr">
        <is>
          <t>22327</t>
        </is>
      </c>
      <c r="B22396" s="4" t="s">
        <f>=HYPERLINK("http://anyluxury.ru/shop/pismennye-prinadlezhnosti/futlyary-dlya-ruchek/futlyar-dlya-ruchki-liman-serebristyy/" , "6905.1 Футляр для ручки Liman, серебристый")</f>
      </c>
      <c r="C22396" s="4" t="n">
        <v>169.00</v>
      </c>
      <c r="D22396" s="4"/>
    </row>
    <row collapsed="" customFormat="false" customHeight="1" hidden="" ht="14" outlineLevel="0" r="22397">
      <c r="A22397" s="3" t="inlineStr">
        <is>
          <t>22328</t>
        </is>
      </c>
      <c r="B22397" s="4" t="s">
        <f>=HYPERLINK("http://anyluxury.ru/shop/pismennye-prinadlezhnosti/futlyary-dlya-ruchek/korobka-podarochnaya-futlyar-plastik-s-alyuminievoy-vstavkoy-dlya-1-ruchki-penbox2181/" , "PENBOX2181 Футляр для ручки, пластик с алюминиевой вставкой")</f>
      </c>
      <c r="C22397" s="4" t="n">
        <v>650.00</v>
      </c>
      <c r="D22397" s="4"/>
    </row>
    <row collapsed="" customFormat="false" customHeight="1" hidden="" ht="14" outlineLevel="0" r="22398">
      <c r="A22398" s="3" t="inlineStr">
        <is>
          <t>22329</t>
        </is>
      </c>
      <c r="B22398" s="4" t="s">
        <f>=HYPERLINK("http://anyluxury.ru/shop/pismennye-prinadlezhnosti/futlyary-dlya-ruchek/futlyar-crystal-dlya-1-ruchki-prozrachniy-16679/" , "16679 Футляр Crystal для 1 ручки, прозрачный")</f>
      </c>
      <c r="C22398" s="4" t="n">
        <v>95.00</v>
      </c>
      <c r="D22398" s="4"/>
    </row>
    <row collapsed="" customFormat="false" customHeight="1" hidden="" ht="14" outlineLevel="0" r="22399">
      <c r="A22399" s="3" t="inlineStr">
        <is>
          <t>22330</t>
        </is>
      </c>
      <c r="B22399" s="4" t="s">
        <f>=HYPERLINK("http://anyluxury.ru/shop/pismennye-prinadlezhnosti/futlyary-dlya-ruchek/futlyar-serene-dlya-2-ruchek-prozrachniy-26679/" , "26679 Футляр Serene для 2 ручек, прозрачный")</f>
      </c>
      <c r="C22399" s="4" t="n">
        <v>160.00</v>
      </c>
      <c r="D22399" s="4"/>
    </row>
    <row collapsed="" customFormat="false" customHeight="1" hidden="" ht="14" outlineLevel="0" r="22400">
      <c r="A22400" s="3" t="inlineStr">
        <is>
          <t>22331</t>
        </is>
      </c>
      <c r="B22400" s="4" t="s">
        <f>=HYPERLINK("http://anyluxury.ru/shop/pismennye-prinadlezhnosti/futlyary-dlya-ruchek/korobka-podarochnaya-plastik-dlya-1-ruchki-201518/" , "201518 Коробка подарочная для ручки, пластик")</f>
      </c>
      <c r="C22400" s="4" t="n">
        <v>178.00</v>
      </c>
      <c r="D22400" s="4"/>
    </row>
    <row collapsed="" customFormat="false" customHeight="1" hidden="" ht="14" outlineLevel="0" r="22401">
      <c r="A22401" s="3" t="inlineStr">
        <is>
          <t>22332</t>
        </is>
      </c>
      <c r="B22401" s="4" t="s">
        <f>=HYPERLINK("http://anyluxury.ru/shop/pismennye-prinadlezhnosti/futlyary-dlya-ruchek/korobka-podarochnaya-futlyar-tubus-alyuminieviy-serebro-matoviy-perlamutr-dlya-1-ruchki-202030110/" , "202030.110 Футляр для ручки, серебро")</f>
      </c>
      <c r="C22401" s="4" t="n">
        <v>273.00</v>
      </c>
      <c r="D22401" s="4"/>
    </row>
    <row collapsed="" customFormat="false" customHeight="1" hidden="" ht="14" outlineLevel="0" r="22402">
      <c r="A22402" s="3" t="inlineStr">
        <is>
          <t>22333</t>
        </is>
      </c>
      <c r="B22402" s="4" t="s">
        <f>=HYPERLINK("http://anyluxury.ru/shop/pismennye-prinadlezhnosti/futlyary-dlya-ruchek/korobka-podarochnaya-futlyar-tubus-alyuminieviy-serebryaniy-matoviy-dlya-1-ruchki-202010110/" , "202010.110 Футляр для ручки, серебряный")</f>
      </c>
      <c r="C22402" s="4" t="n">
        <v>251.00</v>
      </c>
      <c r="D22402" s="4"/>
    </row>
    <row collapsed="" customFormat="false" customHeight="1" hidden="" ht="14" outlineLevel="0" r="22403">
      <c r="A22403" s="3" t="inlineStr">
        <is>
          <t>22334</t>
        </is>
      </c>
      <c r="B22403" s="4" t="s">
        <f>=HYPERLINK("http://anyluxury.ru/shop/pismennye-prinadlezhnosti/futlyary-dlya-ruchek/penal-na-rezinke-dorset-seriy-1264810/" , "12648.10 Пенал на резинке Dorset, серый")</f>
      </c>
      <c r="C22403" s="4" t="n">
        <v>429.00</v>
      </c>
      <c r="D22403" s="4"/>
    </row>
    <row collapsed="" customFormat="false" customHeight="1" hidden="" ht="14" outlineLevel="0" r="22404">
      <c r="A22404" s="3" t="inlineStr">
        <is>
          <t>22335</t>
        </is>
      </c>
      <c r="B22404" s="4" t="s">
        <f>=HYPERLINK("http://anyluxury.ru/shop/pismennye-prinadlezhnosti/futlyary-dlya-ruchek/chehol-dlya-ruchki-hood-color-cherniy-7703830/" , "77038.30 Чехол для ручки Hood Color, черный")</f>
      </c>
      <c r="C22404" s="4" t="n">
        <v>27.00</v>
      </c>
      <c r="D22404" s="4"/>
    </row>
    <row collapsed="" customFormat="false" customHeight="1" hidden="" ht="14" outlineLevel="0" r="22405">
      <c r="A22405" s="3" t="inlineStr">
        <is>
          <t>22336</t>
        </is>
      </c>
      <c r="B22405" s="4" t="s">
        <f>=HYPERLINK("http://anyluxury.ru/shop/pismennye-prinadlezhnosti/futlyary-dlya-ruchek/korobka-podarochnaya-futlyar-tubus-alyuminieviy-siniy-glyanceviy-dlya-1-ruchki-202010030/" , "202010.030 Футляр для ручки, синий глянцевый")</f>
      </c>
      <c r="C22405" s="4" t="n">
        <v>251.00</v>
      </c>
      <c r="D22405" s="4"/>
    </row>
    <row collapsed="" customFormat="false" customHeight="1" hidden="" ht="14" outlineLevel="0" r="22406">
      <c r="A22406" s="3" t="inlineStr">
        <is>
          <t>22337</t>
        </is>
      </c>
      <c r="B22406" s="4" t="s">
        <f>=HYPERLINK("http://anyluxury.ru/shop/pismennye-prinadlezhnosti/futlyary-dlya-ruchek/futlyar-dlya-ruchek-kaweco-cherniy-1562230/" , "15622.30 Футляр для ручек Kaweco, черный")</f>
      </c>
      <c r="C22406" s="4" t="n">
        <v>742.00</v>
      </c>
      <c r="D22406" s="4"/>
    </row>
    <row collapsed="" customFormat="false" customHeight="1" hidden="" ht="14" outlineLevel="0" r="22407">
      <c r="A22407" s="3" t="inlineStr">
        <is>
          <t>22338</t>
        </is>
      </c>
      <c r="B22407" s="4" t="s">
        <f>=HYPERLINK("http://anyluxury.ru/shop/pismennye-prinadlezhnosti/futlyary-dlya-ruchek/korobka-podarochnaya-futlyar-tubus-alyuminieviy-seriy-matoviy-perlamutr-dlya-1-ruchki-202030080/" , "202030.080 Футляр для ручки, серый")</f>
      </c>
      <c r="C22407" s="4" t="n">
        <v>273.00</v>
      </c>
      <c r="D22407" s="4"/>
    </row>
    <row collapsed="" customFormat="false" customHeight="1" hidden="" ht="14" outlineLevel="0" r="22408">
      <c r="A22408" s="3" t="inlineStr">
        <is>
          <t>22339</t>
        </is>
      </c>
      <c r="B22408" s="4" t="s">
        <f>=HYPERLINK("http://anyluxury.ru/shop/pismennye-prinadlezhnosti/futlyary-dlya-ruchek/korobka-podarochnaya-futlyar-tubus-alyuminieviy-cherniy-glyanceviy-dlya-1-ruchki-202010010/" , "202010.010 Футляр для ручки, черный глянцевый")</f>
      </c>
      <c r="C22408" s="4" t="n">
        <v>251.00</v>
      </c>
      <c r="D22408" s="4"/>
    </row>
    <row collapsed="" customFormat="false" customHeight="" hidden="" ht="12.1" outlineLevel="0" r="22409">
      <c r="A22409" s="5" t="inlineStr">
        <is>
          <t> -  - Наборы с ручками</t>
        </is>
      </c>
      <c r="B22409" s="6"/>
      <c r="C22409" s="6"/>
      <c r="D22409" s="6"/>
    </row>
    <row collapsed="" customFormat="false" customHeight="1" hidden="" ht="14" outlineLevel="0" r="22410">
      <c r="A22410" s="3" t="inlineStr">
        <is>
          <t>22340</t>
        </is>
      </c>
      <c r="B22410" s="4" t="s">
        <f>=HYPERLINK("http://anyluxury.ru/shop/pismennye-prinadlezhnosti/nabory-s-ruchkami/nabor-hand-hunter-catch-beliy-722160/" , "7221.60 Набор Hand Hunter Catch, белый")</f>
      </c>
      <c r="C22410" s="4" t="n">
        <v>2529.00</v>
      </c>
      <c r="D22410" s="4"/>
    </row>
    <row collapsed="" customFormat="false" customHeight="1" hidden="" ht="14" outlineLevel="0" r="22411">
      <c r="A22411" s="3" t="inlineStr">
        <is>
          <t>22341</t>
        </is>
      </c>
      <c r="B22411" s="4" t="s">
        <f>=HYPERLINK("http://anyluxury.ru/shop/pismennye-prinadlezhnosti/nabory-s-ruchkami/nabor-brand-tone-seriy-1068810/" , "10688.10 Набор Brand Tone, серый")</f>
      </c>
      <c r="C22411" s="4" t="n">
        <v>1596.00</v>
      </c>
      <c r="D22411" s="4"/>
    </row>
    <row collapsed="" customFormat="false" customHeight="1" hidden="" ht="14" outlineLevel="0" r="22412">
      <c r="A22412" s="3" t="inlineStr">
        <is>
          <t>22342</t>
        </is>
      </c>
      <c r="B22412" s="4" t="s">
        <f>=HYPERLINK("http://anyluxury.ru/shop/pismennye-prinadlezhnosti/nabory-s-ruchkami/nabor-brand-tone-svetlosiniy-1068844/" , "10688.44 Набор Brand Tone, светло-синий")</f>
      </c>
      <c r="C22412" s="4" t="n">
        <v>1596.00</v>
      </c>
      <c r="D22412" s="4"/>
    </row>
    <row collapsed="" customFormat="false" customHeight="1" hidden="" ht="14" outlineLevel="0" r="22413">
      <c r="A22413" s="3" t="inlineStr">
        <is>
          <t>22343</t>
        </is>
      </c>
      <c r="B22413" s="4" t="s">
        <f>=HYPERLINK("http://anyluxury.ru/shop/pismennye-prinadlezhnosti/nabory-s-ruchkami/nabor-brand-tone-cherniy-1068830/" , "10688.30 Набор Brand Tone, черный")</f>
      </c>
      <c r="C22413" s="4" t="n">
        <v>1596.00</v>
      </c>
      <c r="D22413" s="4"/>
    </row>
    <row collapsed="" customFormat="false" customHeight="1" hidden="" ht="14" outlineLevel="0" r="22414">
      <c r="A22414" s="3" t="inlineStr">
        <is>
          <t>22344</t>
        </is>
      </c>
      <c r="B22414" s="4" t="s">
        <f>=HYPERLINK("http://anyluxury.ru/shop/pismennye-prinadlezhnosti/nabory-s-ruchkami/nabor-brand-tone-siniy-1068840/" , "10688.40 Набор Brand Tone, синий")</f>
      </c>
      <c r="C22414" s="4" t="n">
        <v>1596.00</v>
      </c>
      <c r="D22414" s="4"/>
    </row>
    <row collapsed="" customFormat="false" customHeight="1" hidden="" ht="14" outlineLevel="0" r="22415">
      <c r="A22415" s="3" t="inlineStr">
        <is>
          <t>22345</t>
        </is>
      </c>
      <c r="B22415" s="4" t="s">
        <f>=HYPERLINK("http://anyluxury.ru/shop/pismennye-prinadlezhnosti/nabory-s-ruchkami/nabor-flexpen-serebristosiniy-1089714/" , "10897.14 Набор Flexpen, серебристо-синий")</f>
      </c>
      <c r="C22415" s="4" t="n">
        <v>1125.80</v>
      </c>
      <c r="D22415" s="4"/>
    </row>
    <row collapsed="" customFormat="false" customHeight="1" hidden="" ht="14" outlineLevel="0" r="22416">
      <c r="A22416" s="3" t="inlineStr">
        <is>
          <t>22346</t>
        </is>
      </c>
      <c r="B22416" s="4" t="s">
        <f>=HYPERLINK("http://anyluxury.ru/shop/pismennye-prinadlezhnosti/nabory-s-ruchkami/nabor-flexpen-serebristofioletoviy-1089717/" , "10897.17 Набор Flexpen, серебристо-фиолетовый")</f>
      </c>
      <c r="C22416" s="4" t="n">
        <v>1125.80</v>
      </c>
      <c r="D22416" s="4"/>
    </row>
    <row collapsed="" customFormat="false" customHeight="1" hidden="" ht="14" outlineLevel="0" r="22417">
      <c r="A22417" s="3" t="inlineStr">
        <is>
          <t>22347</t>
        </is>
      </c>
      <c r="B22417" s="4" t="s">
        <f>=HYPERLINK("http://anyluxury.ru/shop/pismennye-prinadlezhnosti/nabory-s-ruchkami/nabor-flexpen-serebristobiryuzoviy-1089749/" , "10897.49 Набор Flexpen, серебристо-бирюзовый")</f>
      </c>
      <c r="C22417" s="4" t="n">
        <v>1125.80</v>
      </c>
      <c r="D22417" s="4"/>
    </row>
    <row collapsed="" customFormat="false" customHeight="1" hidden="" ht="14" outlineLevel="0" r="22418">
      <c r="A22418" s="3" t="inlineStr">
        <is>
          <t>22348</t>
        </is>
      </c>
      <c r="B22418" s="4" t="s">
        <f>=HYPERLINK("http://anyluxury.ru/shop/pismennye-prinadlezhnosti/nabory-s-ruchkami/nabor-bright-idea-goluboy-1212914/" , "12129.14 Набор Bright Idea, голубой")</f>
      </c>
      <c r="C22418" s="4" t="n">
        <v>1044.50</v>
      </c>
      <c r="D22418" s="4"/>
    </row>
    <row collapsed="" customFormat="false" customHeight="1" hidden="" ht="14" outlineLevel="0" r="22419">
      <c r="A22419" s="3" t="inlineStr">
        <is>
          <t>22349</t>
        </is>
      </c>
      <c r="B22419" s="4" t="s">
        <f>=HYPERLINK("http://anyluxury.ru/shop/pismennye-prinadlezhnosti/nabory-s-ruchkami/nabor-bright-idea-cherniy-1212930/" , "12129.30 Набор Bright Idea, черный")</f>
      </c>
      <c r="C22419" s="4" t="n">
        <v>984.50</v>
      </c>
      <c r="D22419" s="4"/>
    </row>
    <row collapsed="" customFormat="false" customHeight="1" hidden="" ht="14" outlineLevel="0" r="22420">
      <c r="A22420" s="3" t="inlineStr">
        <is>
          <t>22350</t>
        </is>
      </c>
      <c r="B22420" s="4" t="s">
        <f>=HYPERLINK("http://anyluxury.ru/shop/pismennye-prinadlezhnosti/nabory-s-ruchkami/nabor-bright-idea-siniy-1212940/" , "12129.40 Набор Bright Idea, синий")</f>
      </c>
      <c r="C22420" s="4" t="n">
        <v>1277.00</v>
      </c>
      <c r="D22420" s="4"/>
    </row>
    <row collapsed="" customFormat="false" customHeight="1" hidden="" ht="14" outlineLevel="0" r="22421">
      <c r="A22421" s="3" t="inlineStr">
        <is>
          <t>22351</t>
        </is>
      </c>
      <c r="B22421" s="4" t="s">
        <f>=HYPERLINK("http://anyluxury.ru/shop/pismennye-prinadlezhnosti/nabory-s-ruchkami/nabor-suite-energy-bolshoy-krasniy-1171050/" , "11710.50 Набор Suite Energy, большой, красный")</f>
      </c>
      <c r="C22421" s="4" t="n">
        <v>2652.50</v>
      </c>
      <c r="D22421" s="4"/>
    </row>
    <row collapsed="" customFormat="false" customHeight="1" hidden="" ht="14" outlineLevel="0" r="22422">
      <c r="A22422" s="3" t="inlineStr">
        <is>
          <t>22352</t>
        </is>
      </c>
      <c r="B22422" s="4" t="s">
        <f>=HYPERLINK("http://anyluxury.ru/shop/pismennye-prinadlezhnosti/nabory-s-ruchkami/nabor-phrase-ruchka-i-karandash-krasniy-1570550/" , "15705.50 Набор Phrase: ручка и карандаш, красный")</f>
      </c>
      <c r="C22422" s="4" t="n">
        <v>1166.00</v>
      </c>
      <c r="D22422" s="4"/>
    </row>
    <row collapsed="" customFormat="false" customHeight="1" hidden="" ht="14" outlineLevel="0" r="22423">
      <c r="A22423" s="3" t="inlineStr">
        <is>
          <t>22353</t>
        </is>
      </c>
      <c r="B22423" s="4" t="s">
        <f>=HYPERLINK("http://anyluxury.ru/shop/pismennye-prinadlezhnosti/nabory-s-ruchkami/nabor-hoop-siniy-1235840/" , "12358.40 Набор Hoop, синий")</f>
      </c>
      <c r="C22423" s="4" t="n">
        <v>2720.00</v>
      </c>
      <c r="D22423" s="4"/>
    </row>
    <row collapsed="" customFormat="false" customHeight="1" hidden="" ht="14" outlineLevel="0" r="22424">
      <c r="A22424" s="3" t="inlineStr">
        <is>
          <t>22354</t>
        </is>
      </c>
      <c r="B22424" s="4" t="s">
        <f>=HYPERLINK("http://anyluxury.ru/shop/pismennye-prinadlezhnosti/nabory-s-ruchkami/kancelyarskiy-nabor-scribe-cherniy-1163730/" , "11637.30 Канцелярский набор Scribe, с блокнотом, черный")</f>
      </c>
      <c r="C22424" s="4" t="n">
        <v>354.00</v>
      </c>
      <c r="D22424" s="4"/>
    </row>
    <row collapsed="" customFormat="false" customHeight="1" hidden="" ht="14" outlineLevel="0" r="22425">
      <c r="A22425" s="3" t="inlineStr">
        <is>
          <t>22355</t>
        </is>
      </c>
      <c r="B22425" s="4" t="s">
        <f>=HYPERLINK("http://anyluxury.ru/shop/pismennye-prinadlezhnosti/nabory-s-ruchkami/nabor-hard-work-write-now-7118310/" , "71183.10 Набор Hard Work — Write Now")</f>
      </c>
      <c r="C22425" s="4" t="n">
        <v>899.00</v>
      </c>
      <c r="D22425" s="4"/>
    </row>
    <row collapsed="" customFormat="false" customHeight="1" hidden="" ht="14" outlineLevel="0" r="22426">
      <c r="A22426" s="3" t="inlineStr">
        <is>
          <t>22356</t>
        </is>
      </c>
      <c r="B22426" s="4" t="s">
        <f>=HYPERLINK("http://anyluxury.ru/shop/pismennye-prinadlezhnosti/nabory-s-ruchkami/nabor-color-block-siniy-s-cherniy-1434543/" , "14345.43 Набор Color Block: кружка и ручка, синий с черный")</f>
      </c>
      <c r="C22426" s="4" t="n">
        <v>760.90</v>
      </c>
      <c r="D22426" s="4"/>
    </row>
    <row collapsed="" customFormat="false" customHeight="1" hidden="" ht="14" outlineLevel="0" r="22427">
      <c r="A22427" s="3" t="inlineStr">
        <is>
          <t>22357</t>
        </is>
      </c>
      <c r="B22427" s="4" t="s">
        <f>=HYPERLINK("http://anyluxury.ru/shop/pismennye-prinadlezhnosti/nabory-s-ruchkami/nabor-color-block-krasniy-s-chernim-1434553/" , "14345.53 Набор Color Block: кружка и ручка, красный с черным")</f>
      </c>
      <c r="C22427" s="4" t="n">
        <v>760.90</v>
      </c>
      <c r="D22427" s="4"/>
    </row>
    <row collapsed="" customFormat="false" customHeight="1" hidden="" ht="14" outlineLevel="0" r="22428">
      <c r="A22428" s="3" t="inlineStr">
        <is>
          <t>22358</t>
        </is>
      </c>
      <c r="B22428" s="4" t="s">
        <f>=HYPERLINK("http://anyluxury.ru/shop/pismennye-prinadlezhnosti/nabory-s-ruchkami/nabor-color-block-oranzheviy-s-chernim-1434523/" , "14345.23 Набор Color Block: кружка и ручка, оранжевый с черным")</f>
      </c>
      <c r="C22428" s="4" t="n">
        <v>760.90</v>
      </c>
      <c r="D22428" s="4"/>
    </row>
    <row collapsed="" customFormat="false" customHeight="1" hidden="" ht="14" outlineLevel="0" r="22429">
      <c r="A22429" s="3" t="inlineStr">
        <is>
          <t>22359</t>
        </is>
      </c>
      <c r="B22429" s="4" t="s">
        <f>=HYPERLINK("http://anyluxury.ru/shop/pismennye-prinadlezhnosti/nabory-s-ruchkami/nabor-color-block-zeleniy-s-chernim-1434593/" , "14345.93 Набор Color Block: кружка и ручка, зеленый с черным")</f>
      </c>
      <c r="C22429" s="4" t="n">
        <v>760.90</v>
      </c>
      <c r="D22429" s="4"/>
    </row>
    <row collapsed="" customFormat="false" customHeight="1" hidden="" ht="14" outlineLevel="0" r="22430">
      <c r="A22430" s="3" t="inlineStr">
        <is>
          <t>22360</t>
        </is>
      </c>
      <c r="B22430" s="4" t="s">
        <f>=HYPERLINK("http://anyluxury.ru/shop/pismennye-prinadlezhnosti/nabory-s-ruchkami/nabor-memorable-bordoviy-1525155/" , "15251.55 Набор Memorable, бордовый")</f>
      </c>
      <c r="C22430" s="4" t="n">
        <v>1246.00</v>
      </c>
      <c r="D22430" s="4"/>
    </row>
    <row collapsed="" customFormat="false" customHeight="1" hidden="" ht="14" outlineLevel="0" r="22431">
      <c r="A22431" s="3" t="inlineStr">
        <is>
          <t>22361</t>
        </is>
      </c>
      <c r="B22431" s="4" t="s">
        <f>=HYPERLINK("http://anyluxury.ru/shop/pismennye-prinadlezhnosti/nabory-s-ruchkami/nabor-memorable-beliy-1525160/" , "15251.60 Набор Memorable, белый")</f>
      </c>
      <c r="C22431" s="4" t="n">
        <v>1246.00</v>
      </c>
      <c r="D22431" s="4"/>
    </row>
    <row collapsed="" customFormat="false" customHeight="1" hidden="" ht="14" outlineLevel="0" r="22432">
      <c r="A22432" s="3" t="inlineStr">
        <is>
          <t>22362</t>
        </is>
      </c>
      <c r="B22432" s="4" t="s">
        <f>=HYPERLINK("http://anyluxury.ru/shop/pismennye-prinadlezhnosti/nabory-s-ruchkami/nabor-flashwrite-8-gb-siniy-15335408gb/" , "15335.40.8Гб Набор Flashwrite, 8 Гб, синий")</f>
      </c>
      <c r="C22432" s="4" t="n">
        <v>737.50</v>
      </c>
      <c r="D22432" s="4"/>
    </row>
    <row collapsed="" customFormat="false" customHeight="1" hidden="" ht="14" outlineLevel="0" r="22433">
      <c r="A22433" s="3" t="inlineStr">
        <is>
          <t>22363</t>
        </is>
      </c>
      <c r="B22433" s="4" t="s">
        <f>=HYPERLINK("http://anyluxury.ru/shop/pismennye-prinadlezhnosti/nabory-s-ruchkami/nabor-flashwrite-8-gb-krasniy-15335508gb/" , "15335.50.8Гб Набор Flashwrite, 8 Гб, красный")</f>
      </c>
      <c r="C22433" s="4" t="n">
        <v>737.50</v>
      </c>
      <c r="D22433" s="4"/>
    </row>
    <row collapsed="" customFormat="false" customHeight="1" hidden="" ht="14" outlineLevel="0" r="22434">
      <c r="A22434" s="3" t="inlineStr">
        <is>
          <t>22364</t>
        </is>
      </c>
      <c r="B22434" s="4" t="s">
        <f>=HYPERLINK("http://anyluxury.ru/shop/pismennye-prinadlezhnosti/nabory-s-ruchkami/nabor-flashwrite-8-gb-zeleniy-15335908gb/" , "15335.90.8Гб Набор Flashwrite, 8 Гб, зеленый")</f>
      </c>
      <c r="C22434" s="4" t="n">
        <v>737.50</v>
      </c>
      <c r="D22434" s="4"/>
    </row>
    <row collapsed="" customFormat="false" customHeight="1" hidden="" ht="14" outlineLevel="0" r="22435">
      <c r="A22435" s="3" t="inlineStr">
        <is>
          <t>22365</t>
        </is>
      </c>
      <c r="B22435" s="4" t="s">
        <f>=HYPERLINK("http://anyluxury.ru/shop/pismennye-prinadlezhnosti/nabory-s-ruchkami/nabor-flashwrite-siniy-16-gb-153354016gb/" , "15335.40.16Гб Набор Flashwrite, синий, 16 Гб")</f>
      </c>
      <c r="C22435" s="4" t="n">
        <v>847.50</v>
      </c>
      <c r="D22435" s="4"/>
    </row>
    <row collapsed="" customFormat="false" customHeight="1" hidden="" ht="14" outlineLevel="0" r="22436">
      <c r="A22436" s="3" t="inlineStr">
        <is>
          <t>22366</t>
        </is>
      </c>
      <c r="B22436" s="4" t="s">
        <f>=HYPERLINK("http://anyluxury.ru/shop/pismennye-prinadlezhnosti/nabory-s-ruchkami/nabor-flashwrite-krasniy-16-gb-153355016gb/" , "15335.50.16Гб Набор Flashwrite, красный, 16 Гб")</f>
      </c>
      <c r="C22436" s="4" t="n">
        <v>847.50</v>
      </c>
      <c r="D22436" s="4"/>
    </row>
    <row collapsed="" customFormat="false" customHeight="1" hidden="" ht="14" outlineLevel="0" r="22437">
      <c r="A22437" s="3" t="inlineStr">
        <is>
          <t>22367</t>
        </is>
      </c>
      <c r="B22437" s="4" t="s">
        <f>=HYPERLINK("http://anyluxury.ru/shop/pismennye-prinadlezhnosti/nabory-s-ruchkami/nabor-scribo-matoviy-beliy-2057260/" , "20572.60 Набор Scribo, матовый белый")</f>
      </c>
      <c r="C22437" s="4" t="n">
        <v>493.00</v>
      </c>
      <c r="D22437" s="4"/>
    </row>
    <row collapsed="" customFormat="false" customHeight="1" hidden="" ht="14" outlineLevel="0" r="22438">
      <c r="A22438" s="3" t="inlineStr">
        <is>
          <t>22368</t>
        </is>
      </c>
      <c r="B22438" s="4" t="s">
        <f>=HYPERLINK("http://anyluxury.ru/shop/pismennye-prinadlezhnosti/nabory-s-ruchkami/nabor-scribo-matoviy-cherniy-2057233/" , "20572.33 Набор Scribo, матовый черный")</f>
      </c>
      <c r="C22438" s="4" t="n">
        <v>493.00</v>
      </c>
      <c r="D22438" s="4"/>
    </row>
    <row collapsed="" customFormat="false" customHeight="1" hidden="" ht="14" outlineLevel="0" r="22439">
      <c r="A22439" s="3" t="inlineStr">
        <is>
          <t>22369</t>
        </is>
      </c>
      <c r="B22439" s="4" t="s">
        <f>=HYPERLINK("http://anyluxury.ru/shop/pismennye-prinadlezhnosti/nabory-s-ruchkami/nabor-scribo-matoviy-seriy-2057212/" , "20572.12 Набор Scribo, матовый серый")</f>
      </c>
      <c r="C22439" s="4" t="n">
        <v>493.00</v>
      </c>
      <c r="D22439" s="4"/>
    </row>
    <row collapsed="" customFormat="false" customHeight="1" hidden="" ht="14" outlineLevel="0" r="22440">
      <c r="A22440" s="3" t="inlineStr">
        <is>
          <t>22370</t>
        </is>
      </c>
      <c r="B22440" s="4" t="s">
        <f>=HYPERLINK("http://anyluxury.ru/shop/pismennye-prinadlezhnosti/nabory-s-ruchkami/nabor-blade-soft-touch-cherniy-2314130/" , "23141.30 Набор Blade Soft Touch, черный")</f>
      </c>
      <c r="C22440" s="4" t="n">
        <v>1280.00</v>
      </c>
      <c r="D22440" s="4"/>
    </row>
    <row collapsed="" customFormat="false" customHeight="1" hidden="" ht="14" outlineLevel="0" r="22441">
      <c r="A22441" s="3" t="inlineStr">
        <is>
          <t>22371</t>
        </is>
      </c>
      <c r="B22441" s="4" t="s">
        <f>=HYPERLINK("http://anyluxury.ru/shop/pismennye-prinadlezhnosti/nabory-s-ruchkami/nabor-blade-soft-touch-siniy-2314140/" , "23141.40 Набор Blade Soft Touch, синий")</f>
      </c>
      <c r="C22441" s="4" t="n">
        <v>1280.00</v>
      </c>
      <c r="D22441" s="4"/>
    </row>
    <row collapsed="" customFormat="false" customHeight="" hidden="" ht="12.1" outlineLevel="0" r="22442">
      <c r="A22442" s="5" t="inlineStr">
        <is>
          <t>Подарки для дома</t>
        </is>
      </c>
      <c r="B22442" s="6"/>
      <c r="C22442" s="6"/>
      <c r="D22442" s="6"/>
    </row>
    <row collapsed="" customFormat="false" customHeight="" hidden="" ht="12.1" outlineLevel="0" r="22443">
      <c r="A22443" s="5" t="inlineStr">
        <is>
          <t> -  - Декоративные свечи и подсвечники</t>
        </is>
      </c>
      <c r="B22443" s="6"/>
      <c r="C22443" s="6"/>
      <c r="D22443" s="6"/>
    </row>
    <row collapsed="" customFormat="false" customHeight="1" hidden="" ht="14" outlineLevel="0" r="22444">
      <c r="A22444" s="3" t="inlineStr">
        <is>
          <t>22372</t>
        </is>
      </c>
      <c r="B22444" s="4" t="s">
        <f>=HYPERLINK("http://anyluxury.ru/shop/podarki-dlya-doma/dekorativnye-svechi-i-podsvechniki/podsvechnik-kolonna-z0601/" , "Z0601 Подсвечник «Колонна»")</f>
      </c>
      <c r="C22444" s="4" t="n">
        <v>2990.00</v>
      </c>
      <c r="D22444" s="4"/>
    </row>
    <row collapsed="" customFormat="false" customHeight="1" hidden="" ht="14" outlineLevel="0" r="22445">
      <c r="A22445" s="3" t="inlineStr">
        <is>
          <t>22373</t>
        </is>
      </c>
      <c r="B22445" s="4" t="s">
        <f>=HYPERLINK("http://anyluxury.ru/shop/podarki-dlya-doma/dekorativnye-svechi-i-podsvechniki/nabor-kaminniy-z5334/" , "Z5334 Набор «Каминный»")</f>
      </c>
      <c r="C22445" s="4" t="n">
        <v>9990.00</v>
      </c>
      <c r="D22445" s="4"/>
    </row>
    <row collapsed="" customFormat="false" customHeight="1" hidden="" ht="14" outlineLevel="0" r="22446">
      <c r="A22446" s="3" t="inlineStr">
        <is>
          <t>22374</t>
        </is>
      </c>
      <c r="B22446" s="4" t="s">
        <f>=HYPERLINK("http://anyluxury.ru/shop/podarki-dlya-doma/dekorativnye-svechi-i-podsvechniki/podsvechnik-torro-z18013/" , "Z18013 Подсвечник Torro")</f>
      </c>
      <c r="C22446" s="4" t="n">
        <v>19990.00</v>
      </c>
      <c r="D22446" s="4"/>
    </row>
    <row collapsed="" customFormat="false" customHeight="1" hidden="" ht="14" outlineLevel="0" r="22447">
      <c r="A22447" s="3" t="inlineStr">
        <is>
          <t>22375</t>
        </is>
      </c>
      <c r="B22447" s="4" t="s">
        <f>=HYPERLINK("http://anyluxury.ru/shop/podarki-dlya-doma/dekorativnye-svechi-i-podsvechniki/svecha-mandarin-5863/" , "5863 Свеча «Мандарин»")</f>
      </c>
      <c r="C22447" s="4" t="n">
        <v>210.00</v>
      </c>
      <c r="D22447" s="4"/>
    </row>
    <row collapsed="" customFormat="false" customHeight="1" hidden="" ht="14" outlineLevel="0" r="22448">
      <c r="A22448" s="3" t="inlineStr">
        <is>
          <t>22376</t>
        </is>
      </c>
      <c r="B22448" s="4" t="s">
        <f>=HYPERLINK("http://anyluxury.ru/shop/podarki-dlya-doma/dekorativnye-svechi-i-podsvechniki/svecha-syurpriz-sinyaya-79640/" , "796.40 Свеча «Сюрприз», синяя")</f>
      </c>
      <c r="C22448" s="4" t="n">
        <v>122.00</v>
      </c>
      <c r="D22448" s="4"/>
    </row>
    <row collapsed="" customFormat="false" customHeight="1" hidden="" ht="14" outlineLevel="0" r="22449">
      <c r="A22449" s="3" t="inlineStr">
        <is>
          <t>22377</t>
        </is>
      </c>
      <c r="B22449" s="4" t="s">
        <f>=HYPERLINK("http://anyluxury.ru/shop/podarki-dlya-doma/dekorativnye-svechi-i-podsvechniki/svecha-sanochki-797/" , "797 Свеча «Саночки»")</f>
      </c>
      <c r="C22449" s="4" t="n">
        <v>122.00</v>
      </c>
      <c r="D22449" s="4"/>
    </row>
    <row collapsed="" customFormat="false" customHeight="1" hidden="" ht="14" outlineLevel="0" r="22450">
      <c r="A22450" s="3" t="inlineStr">
        <is>
          <t>22378</t>
        </is>
      </c>
      <c r="B22450" s="4" t="s">
        <f>=HYPERLINK("http://anyluxury.ru/shop/podarki-dlya-doma/dekorativnye-svechi-i-podsvechniki/svecha-syurpriz-zelenaya-79690/" , "796.90 Свеча «Сюрприз», зеленая")</f>
      </c>
      <c r="C22450" s="4" t="n">
        <v>122.00</v>
      </c>
      <c r="D22450" s="4"/>
    </row>
    <row collapsed="" customFormat="false" customHeight="1" hidden="" ht="14" outlineLevel="0" r="22451">
      <c r="A22451" s="3" t="inlineStr">
        <is>
          <t>22379</t>
        </is>
      </c>
      <c r="B22451" s="4" t="s">
        <f>=HYPERLINK("http://anyluxury.ru/shop/podarki-dlya-doma/dekorativnye-svechi-i-podsvechniki/nabor-podsvechnikov-form-fluid-zeleniy-1128895/" , "11288.95 Набор подсвечников Form Fluid, зеленый")</f>
      </c>
      <c r="C22451" s="4" t="n">
        <v>1909.00</v>
      </c>
      <c r="D22451" s="4"/>
    </row>
    <row collapsed="" customFormat="false" customHeight="1" hidden="" ht="14" outlineLevel="0" r="22452">
      <c r="A22452" s="3" t="inlineStr">
        <is>
          <t>22380</t>
        </is>
      </c>
      <c r="B22452" s="4" t="s">
        <f>=HYPERLINK("http://anyluxury.ru/shop/podarki-dlya-doma/dekorativnye-svechi-i-podsvechniki/svecha-taurus-12203/" , "12203 Свеча Taurus")</f>
      </c>
      <c r="C22452" s="4" t="n">
        <v>125.00</v>
      </c>
      <c r="D22452" s="4"/>
    </row>
    <row collapsed="" customFormat="false" customHeight="1" hidden="" ht="14" outlineLevel="0" r="22453">
      <c r="A22453" s="3" t="inlineStr">
        <is>
          <t>22381</t>
        </is>
      </c>
      <c r="B22453" s="4" t="s">
        <f>=HYPERLINK("http://anyluxury.ru/shop/podarki-dlya-doma/dekorativnye-svechi-i-podsvechniki/svecha-spotted-cow-elka-12205/" , "12205 Свеча Mood Booster Tree")</f>
      </c>
      <c r="C22453" s="4" t="n">
        <v>150.00</v>
      </c>
      <c r="D22453" s="4"/>
    </row>
    <row collapsed="" customFormat="false" customHeight="1" hidden="" ht="14" outlineLevel="0" r="22454">
      <c r="A22454" s="3" t="inlineStr">
        <is>
          <t>22382</t>
        </is>
      </c>
      <c r="B22454" s="4" t="s">
        <f>=HYPERLINK("http://anyluxury.ru/shop/podarki-dlya-doma/dekorativnye-svechi-i-podsvechniki/svecha-lagom-care-krasnaya-1789050/" , "17890.50 Свеча Lagom Care, красная")</f>
      </c>
      <c r="C22454" s="4" t="n">
        <v>189.00</v>
      </c>
      <c r="D22454" s="4"/>
    </row>
    <row collapsed="" customFormat="false" customHeight="1" hidden="" ht="14" outlineLevel="0" r="22455">
      <c r="A22455" s="3" t="inlineStr">
        <is>
          <t>22383</t>
        </is>
      </c>
      <c r="B22455" s="4" t="s">
        <f>=HYPERLINK("http://anyluxury.ru/shop/podarki-dlya-doma/dekorativnye-svechi-i-podsvechniki/svecha-lagom-care-zelenaya-1789090/" , "17890.90 Свеча Lagom Care, зеленая")</f>
      </c>
      <c r="C22455" s="4" t="n">
        <v>189.00</v>
      </c>
      <c r="D22455" s="4"/>
    </row>
    <row collapsed="" customFormat="false" customHeight="1" hidden="" ht="14" outlineLevel="0" r="22456">
      <c r="A22456" s="3" t="inlineStr">
        <is>
          <t>22384</t>
        </is>
      </c>
      <c r="B22456" s="4" t="s">
        <f>=HYPERLINK("http://anyluxury.ru/shop/podarki-dlya-doma/dekorativnye-svechi-i-podsvechniki/svecha-homemate-cone-bezhevaya-1582100/" , "15821.00 Свеча Homemate Cone, бежевая")</f>
      </c>
      <c r="C22456" s="4" t="n">
        <v>363.00</v>
      </c>
      <c r="D22456" s="4"/>
    </row>
    <row collapsed="" customFormat="false" customHeight="1" hidden="" ht="14" outlineLevel="0" r="22457">
      <c r="A22457" s="3" t="inlineStr">
        <is>
          <t>22385</t>
        </is>
      </c>
      <c r="B22457" s="4" t="s">
        <f>=HYPERLINK("http://anyluxury.ru/shop/podarki-dlya-doma/dekorativnye-svechi-i-podsvechniki/svecha-homemate-cone-seraya-1582110/" , "15821.10 Свеча Homemate Cone, серая")</f>
      </c>
      <c r="C22457" s="4" t="n">
        <v>363.00</v>
      </c>
      <c r="D22457" s="4"/>
    </row>
    <row collapsed="" customFormat="false" customHeight="1" hidden="" ht="14" outlineLevel="0" r="22458">
      <c r="A22458" s="3" t="inlineStr">
        <is>
          <t>22386</t>
        </is>
      </c>
      <c r="B22458" s="4" t="s">
        <f>=HYPERLINK("http://anyluxury.ru/shop/podarki-dlya-doma/dekorativnye-svechi-i-podsvechniki/svecha-homemate-cylinder-zelenaya-1582290/" , "15822.90 Свеча Homemate Cylinder, зеленая")</f>
      </c>
      <c r="C22458" s="4" t="n">
        <v>364.00</v>
      </c>
      <c r="D22458" s="4"/>
    </row>
    <row collapsed="" customFormat="false" customHeight="1" hidden="" ht="14" outlineLevel="0" r="22459">
      <c r="A22459" s="3" t="inlineStr">
        <is>
          <t>22387</t>
        </is>
      </c>
      <c r="B22459" s="4" t="s">
        <f>=HYPERLINK("http://anyluxury.ru/shop/podarki-dlya-doma/dekorativnye-svechi-i-podsvechniki/svecha-home-lights-santa-15823/" , "15823 Свеча Home Lights, Санта")</f>
      </c>
      <c r="C22459" s="4" t="n">
        <v>167.00</v>
      </c>
      <c r="D22459" s="4"/>
    </row>
    <row collapsed="" customFormat="false" customHeight="1" hidden="" ht="14" outlineLevel="0" r="22460">
      <c r="A22460" s="3" t="inlineStr">
        <is>
          <t>22388</t>
        </is>
      </c>
      <c r="B22460" s="4" t="s">
        <f>=HYPERLINK("http://anyluxury.ru/shop/podarki-dlya-doma/dekorativnye-svechi-i-podsvechniki/svecha-home-lights-snegovik-15824/" , "15824 Свеча Home Lights, снеговик")</f>
      </c>
      <c r="C22460" s="4" t="n">
        <v>167.00</v>
      </c>
      <c r="D22460" s="4"/>
    </row>
    <row collapsed="" customFormat="false" customHeight="1" hidden="" ht="14" outlineLevel="0" r="22461">
      <c r="A22461" s="3" t="inlineStr">
        <is>
          <t>22389</t>
        </is>
      </c>
      <c r="B22461" s="4" t="s">
        <f>=HYPERLINK("http://anyluxury.ru/shop/podarki-dlya-doma/dekorativnye-svechi-i-podsvechniki/svecha-fire-fairy-rozovaya-1507415/" , "15074.15 Свеча Fire Fairy, розовая")</f>
      </c>
      <c r="C22461" s="4" t="n">
        <v>489.00</v>
      </c>
      <c r="D22461" s="4"/>
    </row>
    <row collapsed="" customFormat="false" customHeight="1" hidden="" ht="14" outlineLevel="0" r="22462">
      <c r="A22462" s="3" t="inlineStr">
        <is>
          <t>22390</t>
        </is>
      </c>
      <c r="B22462" s="4" t="s">
        <f>=HYPERLINK("http://anyluxury.ru/shop/podarki-dlya-doma/dekorativnye-svechi-i-podsvechniki/nabor-light-insight-30172/" , "30172 Набор Light Insight")</f>
      </c>
      <c r="C22462" s="4" t="n">
        <v>798.00</v>
      </c>
      <c r="D22462" s="4"/>
    </row>
    <row collapsed="" customFormat="false" customHeight="1" hidden="" ht="14" outlineLevel="0" r="22463">
      <c r="A22463" s="3" t="inlineStr">
        <is>
          <t>22391</t>
        </is>
      </c>
      <c r="B22463" s="4" t="s">
        <f>=HYPERLINK("http://anyluxury.ru/shop/podarki-dlya-doma/dekorativnye-svechi-i-podsvechniki/intererniy-fonarpodsvechnik-villatic-sredniy-beliy-1778860/" , "17788.60 Интерьерный фонарь-подсвечник Villatic, средний, белый")</f>
      </c>
      <c r="C22463" s="4" t="n">
        <v>2105.00</v>
      </c>
      <c r="D22463" s="4"/>
    </row>
    <row collapsed="" customFormat="false" customHeight="1" hidden="" ht="14" outlineLevel="0" r="22464">
      <c r="A22464" s="3" t="inlineStr">
        <is>
          <t>22392</t>
        </is>
      </c>
      <c r="B22464" s="4" t="s">
        <f>=HYPERLINK("http://anyluxury.ru/shop/podarki-dlya-doma/dekorativnye-svechi-i-podsvechniki/svecha-aromaticheskaya-calore-tonka-i-makadamiya-1622458/" , "16224.58 Свеча ароматическая Calore, тонка и макадамия")</f>
      </c>
      <c r="C22464" s="4" t="n">
        <v>550.00</v>
      </c>
      <c r="D22464" s="4"/>
    </row>
    <row collapsed="" customFormat="false" customHeight="1" hidden="" ht="14" outlineLevel="0" r="22465">
      <c r="A22465" s="3" t="inlineStr">
        <is>
          <t>22393</t>
        </is>
      </c>
      <c r="B22465" s="4" t="s">
        <f>=HYPERLINK("http://anyluxury.ru/shop/podarki-dlya-doma/dekorativnye-svechi-i-podsvechniki/svecha-aromaticheskaya-calore-lavanda-i-bazilik-1622459/" , "16224.59 Свеча ароматическая Calore, лаванда и базилик")</f>
      </c>
      <c r="C22465" s="4" t="n">
        <v>550.00</v>
      </c>
      <c r="D22465" s="4"/>
    </row>
    <row collapsed="" customFormat="false" customHeight="1" hidden="" ht="14" outlineLevel="0" r="22466">
      <c r="A22466" s="3" t="inlineStr">
        <is>
          <t>22394</t>
        </is>
      </c>
      <c r="B22466" s="4" t="s">
        <f>=HYPERLINK("http://anyluxury.ru/shop/podarki-dlya-doma/dekorativnye-svechi-i-podsvechniki/svecha-aromaticheskaya-savor-flavor-vanil-i-ambra-1638830/" , "16388.30 Свеча ароматическая Savor Flavor, ваниль и амбра")</f>
      </c>
      <c r="C22466" s="4" t="n">
        <v>1090.00</v>
      </c>
      <c r="D22466" s="4"/>
    </row>
    <row collapsed="" customFormat="false" customHeight="1" hidden="" ht="14" outlineLevel="0" r="22467">
      <c r="A22467" s="3" t="inlineStr">
        <is>
          <t>22395</t>
        </is>
      </c>
      <c r="B22467" s="4" t="s">
        <f>=HYPERLINK("http://anyluxury.ru/shop/podarki-dlya-doma/dekorativnye-svechi-i-podsvechniki/svecha-aromaticheskaya-savor-flavor-mango-1638860/" , "16388.60 Свеча ароматическая Savor Flavor, манго")</f>
      </c>
      <c r="C22467" s="4" t="n">
        <v>1090.00</v>
      </c>
      <c r="D22467" s="4"/>
    </row>
    <row collapsed="" customFormat="false" customHeight="1" hidden="" ht="14" outlineLevel="0" r="22468">
      <c r="A22468" s="3" t="inlineStr">
        <is>
          <t>22396</t>
        </is>
      </c>
      <c r="B22468" s="4" t="s">
        <f>=HYPERLINK("http://anyluxury.ru/shop/podarki-dlya-doma/dekorativnye-svechi-i-podsvechniki/svecha-aromaticheskaya-savor-flavor-kedr-i-vishneviy-sirop-1638810/" , "16388.10 Свеча ароматическая Savor Flavor, кедр и вишневый сироп")</f>
      </c>
      <c r="C22468" s="4" t="n">
        <v>1090.00</v>
      </c>
      <c r="D22468" s="4"/>
    </row>
    <row collapsed="" customFormat="false" customHeight="1" hidden="" ht="14" outlineLevel="0" r="22469">
      <c r="A22469" s="3" t="inlineStr">
        <is>
          <t>22397</t>
        </is>
      </c>
      <c r="B22469" s="4" t="s">
        <f>=HYPERLINK("http://anyluxury.ru/shop/podarki-dlya-doma/dekorativnye-svechi-i-podsvechniki/svecha-aromaticheskaya-savor-flavor-apelsin-i-korica-1638850/" , "16388.50 Свеча ароматическая Savor Flavor, апельсин и корица")</f>
      </c>
      <c r="C22469" s="4" t="n">
        <v>1090.00</v>
      </c>
      <c r="D22469" s="4"/>
    </row>
    <row collapsed="" customFormat="false" customHeight="1" hidden="" ht="14" outlineLevel="0" r="22470">
      <c r="A22470" s="3" t="inlineStr">
        <is>
          <t>22398</t>
        </is>
      </c>
      <c r="B22470" s="4" t="s">
        <f>=HYPERLINK("http://anyluxury.ru/shop/podarki-dlya-doma/dekorativnye-svechi-i-podsvechniki/aromaticheskaya-svecha-savor-flavor-v-prozrachnom-stakane-kedr-i-yablochniy-pirog-1634401/" , "16344.01 Ароматическая свеча Savor Flavor в прозрачном стакане, кедр и яблочный пирог")</f>
      </c>
      <c r="C22470" s="4" t="n">
        <v>1290.00</v>
      </c>
      <c r="D22470" s="4"/>
    </row>
    <row collapsed="" customFormat="false" customHeight="" hidden="" ht="12.1" outlineLevel="0" r="22471">
      <c r="A22471" s="5" t="inlineStr">
        <is>
          <t> -  - Домашний текстиль</t>
        </is>
      </c>
      <c r="B22471" s="6"/>
      <c r="C22471" s="6"/>
      <c r="D22471" s="6"/>
    </row>
    <row collapsed="" customFormat="false" customHeight="1" hidden="" ht="14" outlineLevel="0" r="22472">
      <c r="A22472" s="3" t="inlineStr">
        <is>
          <t>22399</t>
        </is>
      </c>
      <c r="B22472" s="4" t="s">
        <f>=HYPERLINK("http://anyluxury.ru/shop/podarki-dlya-doma/domashniy-tekstil/prihvatkarukavica-keep-palms-serogolubaya-1117310/" , "11173.10 Прихватка-рукавица Keep Palms, серо-голубая")</f>
      </c>
      <c r="C22472" s="4" t="n">
        <v>490.00</v>
      </c>
      <c r="D22472" s="4"/>
    </row>
    <row collapsed="" customFormat="false" customHeight="1" hidden="" ht="14" outlineLevel="0" r="22473">
      <c r="A22473" s="3" t="inlineStr">
        <is>
          <t>22400</t>
        </is>
      </c>
      <c r="B22473" s="4" t="s">
        <f>=HYPERLINK("http://anyluxury.ru/shop/podarki-dlya-doma/domashniy-tekstil/prihvatkarukavica-keep-palms-gorchichnaya-1117380/" , "11173.80 Прихватка-рукавица Keep Palms, горчичная")</f>
      </c>
      <c r="C22473" s="4" t="n">
        <v>490.00</v>
      </c>
      <c r="D22473" s="4"/>
    </row>
    <row collapsed="" customFormat="false" customHeight="1" hidden="" ht="14" outlineLevel="0" r="22474">
      <c r="A22474" s="3" t="inlineStr">
        <is>
          <t>22401</t>
        </is>
      </c>
      <c r="B22474" s="4" t="s">
        <f>=HYPERLINK("http://anyluxury.ru/shop/podarki-dlya-doma/domashniy-tekstil/podushka-stille-bordovaya-1010055/" , "10100.55 Подушка Stille, бордовая")</f>
      </c>
      <c r="C22474" s="4" t="n">
        <v>1834.00</v>
      </c>
      <c r="D22474" s="4"/>
    </row>
    <row collapsed="" customFormat="false" customHeight="1" hidden="" ht="14" outlineLevel="0" r="22475">
      <c r="A22475" s="3" t="inlineStr">
        <is>
          <t>22402</t>
        </is>
      </c>
      <c r="B22475" s="4" t="s">
        <f>=HYPERLINK("http://anyluxury.ru/shop/podarki-dlya-doma/domashniy-tekstil/igrushka-svinka-vitayushhaya-v-oblakah-belaya-1016760/" , "10167.60 Игрушка «Свинка, витающая в облаках», белая")</f>
      </c>
      <c r="C22475" s="4" t="n">
        <v>649.00</v>
      </c>
      <c r="D22475" s="4"/>
    </row>
    <row collapsed="" customFormat="false" customHeight="1" hidden="" ht="14" outlineLevel="0" r="22476">
      <c r="A22476" s="3" t="inlineStr">
        <is>
          <t>22403</t>
        </is>
      </c>
      <c r="B22476" s="4" t="s">
        <f>=HYPERLINK("http://anyluxury.ru/shop/podarki-dlya-doma/domashniy-tekstil/podushka-na-stul-essential-bezhevaya-1059411/" , "10594.11 Подушка на стул Essential, бежевая")</f>
      </c>
      <c r="C22476" s="4" t="n">
        <v>1500.00</v>
      </c>
      <c r="D22476" s="4"/>
    </row>
    <row collapsed="" customFormat="false" customHeight="1" hidden="" ht="14" outlineLevel="0" r="22477">
      <c r="A22477" s="3" t="inlineStr">
        <is>
          <t>22404</t>
        </is>
      </c>
      <c r="B22477" s="4" t="s">
        <f>=HYPERLINK("http://anyluxury.ru/shop/podarki-dlya-doma/domashniy-tekstil/podushka-na-stul-essential-seraya-1059410/" , "10594.10 Подушка на стул Essential, серая")</f>
      </c>
      <c r="C22477" s="4" t="n">
        <v>1500.00</v>
      </c>
      <c r="D22477" s="4"/>
    </row>
    <row collapsed="" customFormat="false" customHeight="1" hidden="" ht="14" outlineLevel="0" r="22478">
      <c r="A22478" s="3" t="inlineStr">
        <is>
          <t>22405</t>
        </is>
      </c>
      <c r="B22478" s="4" t="s">
        <f>=HYPERLINK("http://anyluxury.ru/shop/podarki-dlya-doma/domashniy-tekstil/podushka-na-stul-essential-temnosinyaya-1059440/" , "10594.40 Подушка на стул Essential, темно-синяя")</f>
      </c>
      <c r="C22478" s="4" t="n">
        <v>1500.00</v>
      </c>
      <c r="D22478" s="4"/>
    </row>
    <row collapsed="" customFormat="false" customHeight="1" hidden="" ht="14" outlineLevel="0" r="22479">
      <c r="A22479" s="3" t="inlineStr">
        <is>
          <t>22406</t>
        </is>
      </c>
      <c r="B22479" s="4" t="s">
        <f>=HYPERLINK("http://anyluxury.ru/shop/podarki-dlya-doma/domashniy-tekstil/kovrik-dlya-vannoy-essential-beliy-1063260/" , "10632.60 Коврик для ванной Essential, белый")</f>
      </c>
      <c r="C22479" s="4" t="n">
        <v>1500.00</v>
      </c>
      <c r="D22479" s="4"/>
    </row>
    <row collapsed="" customFormat="false" customHeight="1" hidden="" ht="14" outlineLevel="0" r="22480">
      <c r="A22480" s="3" t="inlineStr">
        <is>
          <t>22407</t>
        </is>
      </c>
      <c r="B22480" s="4" t="s">
        <f>=HYPERLINK("http://anyluxury.ru/shop/podarki-dlya-doma/domashniy-tekstil/kovrik-dlya-vannoy-essential-temnoseriy-1063210/" , "10632.10 Коврик для ванной Essential, темно-серый")</f>
      </c>
      <c r="C22480" s="4" t="n">
        <v>1500.00</v>
      </c>
      <c r="D22480" s="4"/>
    </row>
    <row collapsed="" customFormat="false" customHeight="1" hidden="" ht="14" outlineLevel="0" r="22481">
      <c r="A22481" s="3" t="inlineStr">
        <is>
          <t>22408</t>
        </is>
      </c>
      <c r="B22481" s="4" t="s">
        <f>=HYPERLINK("http://anyluxury.ru/shop/podarki-dlya-doma/domashniy-tekstil/podushka-dekorativnaya-ethnic-s-kistochkami-1063610/" , "10636.10 Подушка декоративная Ethnic, с кисточками")</f>
      </c>
      <c r="C22481" s="4" t="n">
        <v>2200.00</v>
      </c>
      <c r="D22481" s="4"/>
    </row>
    <row collapsed="" customFormat="false" customHeight="1" hidden="" ht="14" outlineLevel="0" r="22482">
      <c r="A22482" s="3" t="inlineStr">
        <is>
          <t>22409</t>
        </is>
      </c>
      <c r="B22482" s="4" t="s">
        <f>=HYPERLINK("http://anyluxury.ru/shop/podarki-dlya-doma/domashniy-tekstil/prihvatka-essential-bezhevaya-1064811/" , "10648.11 Прихватка Essential, бежевая")</f>
      </c>
      <c r="C22482" s="4" t="n">
        <v>390.00</v>
      </c>
      <c r="D22482" s="4"/>
    </row>
    <row collapsed="" customFormat="false" customHeight="1" hidden="" ht="14" outlineLevel="0" r="22483">
      <c r="A22483" s="3" t="inlineStr">
        <is>
          <t>22410</t>
        </is>
      </c>
      <c r="B22483" s="4" t="s">
        <f>=HYPERLINK("http://anyluxury.ru/shop/podarki-dlya-doma/domashniy-tekstil/prihvatka-essential-seraya-1064810/" , "10648.10 Прихватка Essential, серая")</f>
      </c>
      <c r="C22483" s="4" t="n">
        <v>390.00</v>
      </c>
      <c r="D22483" s="4"/>
    </row>
    <row collapsed="" customFormat="false" customHeight="1" hidden="" ht="14" outlineLevel="0" r="22484">
      <c r="A22484" s="3" t="inlineStr">
        <is>
          <t>22411</t>
        </is>
      </c>
      <c r="B22484" s="4" t="s">
        <f>=HYPERLINK("http://anyluxury.ru/shop/podarki-dlya-doma/domashniy-tekstil/prihvatka-essential-temnosinyaya-1064840/" , "10648.40 Прихватка Essential, темно-синяя")</f>
      </c>
      <c r="C22484" s="4" t="n">
        <v>390.00</v>
      </c>
      <c r="D22484" s="4"/>
    </row>
    <row collapsed="" customFormat="false" customHeight="1" hidden="" ht="14" outlineLevel="0" r="22485">
      <c r="A22485" s="3" t="inlineStr">
        <is>
          <t>22412</t>
        </is>
      </c>
      <c r="B22485" s="4" t="s">
        <f>=HYPERLINK("http://anyluxury.ru/shop/podarki-dlya-doma/domashniy-tekstil/skatert-essential-s-propitkoy-pryamougolnaya-bordovaya-1065150/" , "10651.50 Скатерть Essential с пропиткой, прямоугольная, бордовая")</f>
      </c>
      <c r="C22485" s="4" t="n">
        <v>7900.00</v>
      </c>
      <c r="D22485" s="4"/>
    </row>
    <row collapsed="" customFormat="false" customHeight="1" hidden="" ht="14" outlineLevel="0" r="22486">
      <c r="A22486" s="3" t="inlineStr">
        <is>
          <t>22413</t>
        </is>
      </c>
      <c r="B22486" s="4" t="s">
        <f>=HYPERLINK("http://anyluxury.ru/shop/podarki-dlya-doma/domashniy-tekstil/skatert-essential-s-propitkoy-pryamougolnaya-rozovaya-1065115/" , "10651.15 Скатерть Essential с пропиткой, прямоугольная, розовая")</f>
      </c>
      <c r="C22486" s="4" t="n">
        <v>7900.00</v>
      </c>
      <c r="D22486" s="4"/>
    </row>
    <row collapsed="" customFormat="false" customHeight="1" hidden="" ht="14" outlineLevel="0" r="22487">
      <c r="A22487" s="3" t="inlineStr">
        <is>
          <t>22414</t>
        </is>
      </c>
      <c r="B22487" s="4" t="s">
        <f>=HYPERLINK("http://anyluxury.ru/shop/podarki-dlya-doma/domashniy-tekstil/skatert-essential-s-propitkoy-pryamougolnaya-temnoseraya-1065110/" , "10651.10 Скатерть Essential с пропиткой, прямоугольная, темно-серая")</f>
      </c>
      <c r="C22487" s="4" t="n">
        <v>7900.00</v>
      </c>
      <c r="D22487" s="4"/>
    </row>
    <row collapsed="" customFormat="false" customHeight="1" hidden="" ht="14" outlineLevel="0" r="22488">
      <c r="A22488" s="3" t="inlineStr">
        <is>
          <t>22415</t>
        </is>
      </c>
      <c r="B22488" s="4" t="s">
        <f>=HYPERLINK("http://anyluxury.ru/shop/podarki-dlya-doma/domashniy-tekstil/skatert-essential-s-propitkoy-kvadratnaya-bordovaya-1065250/" , "10652.50 Скатерть Essential с пропиткой, квадратная, бордовая")</f>
      </c>
      <c r="C22488" s="4" t="n">
        <v>5500.00</v>
      </c>
      <c r="D22488" s="4"/>
    </row>
    <row collapsed="" customFormat="false" customHeight="1" hidden="" ht="14" outlineLevel="0" r="22489">
      <c r="A22489" s="3" t="inlineStr">
        <is>
          <t>22416</t>
        </is>
      </c>
      <c r="B22489" s="4" t="s">
        <f>=HYPERLINK("http://anyluxury.ru/shop/podarki-dlya-doma/domashniy-tekstil/skatert-essential-s-propitkoy-kvadratnaya-temnoseraya-1065210/" , "10652.10 Скатерть Essential с пропиткой, квадратная, темно-серая")</f>
      </c>
      <c r="C22489" s="4" t="n">
        <v>5500.00</v>
      </c>
      <c r="D22489" s="4"/>
    </row>
    <row collapsed="" customFormat="false" customHeight="1" hidden="" ht="14" outlineLevel="0" r="22490">
      <c r="A22490" s="3" t="inlineStr">
        <is>
          <t>22417</t>
        </is>
      </c>
      <c r="B22490" s="4" t="s">
        <f>=HYPERLINK("http://anyluxury.ru/shop/podarki-dlya-doma/domashniy-tekstil/skatert-essential-s-propitkoy-kvadratnaya-rozovaya-1065215/" , "10652.15 Скатерть Essential с пропиткой, квадратная, розовая")</f>
      </c>
      <c r="C22490" s="4" t="n">
        <v>5500.00</v>
      </c>
      <c r="D22490" s="4"/>
    </row>
    <row collapsed="" customFormat="false" customHeight="1" hidden="" ht="14" outlineLevel="0" r="22491">
      <c r="A22491" s="3" t="inlineStr">
        <is>
          <t>22418</t>
        </is>
      </c>
      <c r="B22491" s="4" t="s">
        <f>=HYPERLINK("http://anyluxury.ru/shop/podarki-dlya-doma/domashniy-tekstil/chehol-na-podushku-funky-dots-temnosiniy-1065940/" , "10659.40 Чехол на подушку Funky dots, темно-синий")</f>
      </c>
      <c r="C22491" s="4" t="n">
        <v>590.00</v>
      </c>
      <c r="D22491" s="4"/>
    </row>
    <row collapsed="" customFormat="false" customHeight="1" hidden="" ht="14" outlineLevel="0" r="22492">
      <c r="A22492" s="3" t="inlineStr">
        <is>
          <t>22419</t>
        </is>
      </c>
      <c r="B22492" s="4" t="s">
        <f>=HYPERLINK("http://anyluxury.ru/shop/podarki-dlya-doma/domashniy-tekstil/chehol-na-podushku-twirl-kvadratniy-gorchichniy-1066080/" , "10660.80 Чехол на подушку Twirl, квадратный, горчичный")</f>
      </c>
      <c r="C22492" s="4" t="n">
        <v>590.00</v>
      </c>
      <c r="D22492" s="4"/>
    </row>
    <row collapsed="" customFormat="false" customHeight="1" hidden="" ht="14" outlineLevel="0" r="22493">
      <c r="A22493" s="3" t="inlineStr">
        <is>
          <t>22420</t>
        </is>
      </c>
      <c r="B22493" s="4" t="s">
        <f>=HYPERLINK("http://anyluxury.ru/shop/podarki-dlya-doma/domashniy-tekstil/chehol-na-podushku-yagodi-taygi-seriy-s-gorchichnim-1067310/" , "10673.10 Чехол на подушку «Ягоды тайги», серый с горчичным")</f>
      </c>
      <c r="C22493" s="4" t="n">
        <v>950.00</v>
      </c>
      <c r="D22493" s="4"/>
    </row>
    <row collapsed="" customFormat="false" customHeight="1" hidden="" ht="14" outlineLevel="0" r="22494">
      <c r="A22494" s="3" t="inlineStr">
        <is>
          <t>22421</t>
        </is>
      </c>
      <c r="B22494" s="4" t="s">
        <f>=HYPERLINK("http://anyluxury.ru/shop/podarki-dlya-doma/domashniy-tekstil/chehol-na-podushku-hvoynoe-utro-pryamougolniy-bordoviy-1066750/" , "10667.50 Чехол на подушку «Хвойное утро», прямоугольный, бордовый")</f>
      </c>
      <c r="C22494" s="4" t="n">
        <v>1750.00</v>
      </c>
      <c r="D22494" s="4"/>
    </row>
    <row collapsed="" customFormat="false" customHeight="1" hidden="" ht="14" outlineLevel="0" r="22495">
      <c r="A22495" s="3" t="inlineStr">
        <is>
          <t>22422</t>
        </is>
      </c>
      <c r="B22495" s="4" t="s">
        <f>=HYPERLINK("http://anyluxury.ru/shop/podarki-dlya-doma/domashniy-tekstil/chehol-na-podushku-hvoynoe-utro-pryamougolniy-zeleniy-1066790/" , "10667.90 Чехол на подушку «Хвойное утро», прямоугольный, зеленый")</f>
      </c>
      <c r="C22495" s="4" t="n">
        <v>1750.00</v>
      </c>
      <c r="D22495" s="4"/>
    </row>
    <row collapsed="" customFormat="false" customHeight="1" hidden="" ht="14" outlineLevel="0" r="22496">
      <c r="A22496" s="3" t="inlineStr">
        <is>
          <t>22423</t>
        </is>
      </c>
      <c r="B22496" s="4" t="s">
        <f>=HYPERLINK("http://anyluxury.ru/shop/podarki-dlya-doma/domashniy-tekstil/chehol-na-podushku-hvoynoe-utro-pryamougolniy-gorchichniy-1066780/" , "10667.80 Чехол на подушку «Хвойное утро», прямоугольный, горчичный")</f>
      </c>
      <c r="C22496" s="4" t="n">
        <v>1750.00</v>
      </c>
      <c r="D22496" s="4"/>
    </row>
    <row collapsed="" customFormat="false" customHeight="1" hidden="" ht="14" outlineLevel="0" r="22497">
      <c r="A22497" s="3" t="inlineStr">
        <is>
          <t>22424</t>
        </is>
      </c>
      <c r="B22497" s="4" t="s">
        <f>=HYPERLINK("http://anyluxury.ru/shop/podarki-dlya-doma/domashniy-tekstil/chehol-na-podushkuhvoynoe-utro-kvadratniy-bordoviy-1066850/" , "10668.50 Чехол на подушку«Хвойное утро», квадратный, бордовый")</f>
      </c>
      <c r="C22497" s="4" t="n">
        <v>1990.00</v>
      </c>
      <c r="D22497" s="4"/>
    </row>
    <row collapsed="" customFormat="false" customHeight="1" hidden="" ht="14" outlineLevel="0" r="22498">
      <c r="A22498" s="3" t="inlineStr">
        <is>
          <t>22425</t>
        </is>
      </c>
      <c r="B22498" s="4" t="s">
        <f>=HYPERLINK("http://anyluxury.ru/shop/podarki-dlya-doma/domashniy-tekstil/chehol-na-podushku-hvoynoe-utro-kvadratniy-gorchichniy-1066880/" , "10668.80 Чехол на подушку «Хвойное утро», квадратный, горчичный")</f>
      </c>
      <c r="C22498" s="4" t="n">
        <v>1990.00</v>
      </c>
      <c r="D22498" s="4"/>
    </row>
    <row collapsed="" customFormat="false" customHeight="1" hidden="" ht="14" outlineLevel="0" r="22499">
      <c r="A22499" s="3" t="inlineStr">
        <is>
          <t>22426</t>
        </is>
      </c>
      <c r="B22499" s="4" t="s">
        <f>=HYPERLINK("http://anyluxury.ru/shop/podarki-dlya-doma/domashniy-tekstil/shtora-dlya-vannoy-popple-rozovaya-1066915/" , "10669.15 Штора для ванной Popple, розовая")</f>
      </c>
      <c r="C22499" s="4" t="n">
        <v>2900.00</v>
      </c>
      <c r="D22499" s="4"/>
    </row>
    <row collapsed="" customFormat="false" customHeight="1" hidden="" ht="14" outlineLevel="0" r="22500">
      <c r="A22500" s="3" t="inlineStr">
        <is>
          <t>22427</t>
        </is>
      </c>
      <c r="B22500" s="4" t="s">
        <f>=HYPERLINK("http://anyluxury.ru/shop/podarki-dlya-doma/domashniy-tekstil/podushka-bez-chehla-tkano-kvadratnaya-1067560/" , "10675.60 Подушка без чехла Tkano, квадратная")</f>
      </c>
      <c r="C22500" s="4" t="n">
        <v>500.00</v>
      </c>
      <c r="D22500" s="4"/>
    </row>
    <row collapsed="" customFormat="false" customHeight="1" hidden="" ht="14" outlineLevel="0" r="22501">
      <c r="A22501" s="3" t="inlineStr">
        <is>
          <t>22428</t>
        </is>
      </c>
      <c r="B22501" s="4" t="s">
        <f>=HYPERLINK("http://anyluxury.ru/shop/podarki-dlya-doma/domashniy-tekstil/podushka-bez-chehla-tkano-pryamougolnaya-1067660/" , "10676.60 Подушка без чехла Tkano, прямоугольная")</f>
      </c>
      <c r="C22501" s="4" t="n">
        <v>350.00</v>
      </c>
      <c r="D22501" s="4"/>
    </row>
    <row collapsed="" customFormat="false" customHeight="1" hidden="" ht="14" outlineLevel="0" r="22502">
      <c r="A22502" s="3" t="inlineStr">
        <is>
          <t>22429</t>
        </is>
      </c>
      <c r="B22502" s="4" t="s">
        <f>=HYPERLINK("http://anyluxury.ru/shop/podarki-dlya-doma/domashniy-tekstil/prihvatkarukavica-ravioli-zelenaya-1189199/" , "11891.99 Прихватка-рукавица «Равиоли», зеленая")</f>
      </c>
      <c r="C22502" s="4" t="n">
        <v>500.00</v>
      </c>
      <c r="D22502" s="4"/>
    </row>
    <row collapsed="" customFormat="false" customHeight="1" hidden="" ht="14" outlineLevel="0" r="22503">
      <c r="A22503" s="3" t="inlineStr">
        <is>
          <t>22430</t>
        </is>
      </c>
      <c r="B22503" s="4" t="s">
        <f>=HYPERLINK("http://anyluxury.ru/shop/podarki-dlya-doma/domashniy-tekstil/prihvatka-ravioli-dvustronnyaya-zelenaya-1189299/" , "11892.99 Прихватка «Равиоли», двустронняя, зеленая")</f>
      </c>
      <c r="C22503" s="4" t="n">
        <v>600.00</v>
      </c>
      <c r="D22503" s="4"/>
    </row>
    <row collapsed="" customFormat="false" customHeight="1" hidden="" ht="14" outlineLevel="0" r="22504">
      <c r="A22504" s="3" t="inlineStr">
        <is>
          <t>22431</t>
        </is>
      </c>
      <c r="B22504" s="4" t="s">
        <f>=HYPERLINK("http://anyluxury.ru/shop/podarki-dlya-doma/domashniy-tekstil/prihvatka-ravioli-kvadratnaya-zelenaya-1189399/" , "11893.99 Прихватка «Равиоли», квадратная, зеленая")</f>
      </c>
      <c r="C22504" s="4" t="n">
        <v>340.00</v>
      </c>
      <c r="D22504" s="4"/>
    </row>
    <row collapsed="" customFormat="false" customHeight="1" hidden="" ht="14" outlineLevel="0" r="22505">
      <c r="A22505" s="3" t="inlineStr">
        <is>
          <t>22432</t>
        </is>
      </c>
      <c r="B22505" s="4" t="s">
        <f>=HYPERLINK("http://anyluxury.ru/shop/podarki-dlya-doma/domashniy-tekstil/skatert-ravioli-zelenaya-1189499/" , "11894.99 Скатерть «Равиоли», зеленая")</f>
      </c>
      <c r="C22505" s="4" t="n">
        <v>1400.00</v>
      </c>
      <c r="D22505" s="4"/>
    </row>
    <row collapsed="" customFormat="false" customHeight="1" hidden="" ht="14" outlineLevel="0" r="22506">
      <c r="A22506" s="3" t="inlineStr">
        <is>
          <t>22433</t>
        </is>
      </c>
      <c r="B22506" s="4" t="s">
        <f>=HYPERLINK("http://anyluxury.ru/shop/podarki-dlya-doma/domashniy-tekstil/prihvatkarukavica-bolshoy-shef-temnozelenaya-1189793/" , "11897.93 Прихватка-рукавица «Большой шеф», темно-зеленая")</f>
      </c>
      <c r="C22506" s="4" t="n">
        <v>560.00</v>
      </c>
      <c r="D22506" s="4"/>
    </row>
    <row collapsed="" customFormat="false" customHeight="1" hidden="" ht="14" outlineLevel="0" r="22507">
      <c r="A22507" s="3" t="inlineStr">
        <is>
          <t>22434</t>
        </is>
      </c>
      <c r="B22507" s="4" t="s">
        <f>=HYPERLINK("http://anyluxury.ru/shop/podarki-dlya-doma/domashniy-tekstil/prihvatkarukavica-detskaya-mladshiy-shef-temnozelenaya-1189893/" , "11898.93 Прихватка-рукавица детская «Младший шеф», темно-зеленая")</f>
      </c>
      <c r="C22507" s="4" t="n">
        <v>440.00</v>
      </c>
      <c r="D22507" s="4"/>
    </row>
    <row collapsed="" customFormat="false" customHeight="1" hidden="" ht="14" outlineLevel="0" r="22508">
      <c r="A22508" s="3" t="inlineStr">
        <is>
          <t>22435</t>
        </is>
      </c>
      <c r="B22508" s="4" t="s">
        <f>=HYPERLINK("http://anyluxury.ru/shop/podarki-dlya-doma/domashniy-tekstil/nabor-salfetok-ravioli-zeleniy-1189999/" , "11899.99 Набор салфеток «Равиоли», зеленый")</f>
      </c>
      <c r="C22508" s="4" t="n">
        <v>1000.00</v>
      </c>
      <c r="D22508" s="4"/>
    </row>
    <row collapsed="" customFormat="false" customHeight="1" hidden="" ht="14" outlineLevel="0" r="22509">
      <c r="A22509" s="3" t="inlineStr">
        <is>
          <t>22436</t>
        </is>
      </c>
      <c r="B22509" s="4" t="s">
        <f>=HYPERLINK("http://anyluxury.ru/shop/podarki-dlya-doma/domashniy-tekstil/nabor-salfetok-napoletano-oranzheviy-1190020/" , "11900.20 Набор салфеток «Наполетано», оранжевый")</f>
      </c>
      <c r="C22509" s="4" t="n">
        <v>1000.00</v>
      </c>
      <c r="D22509" s="4"/>
    </row>
    <row collapsed="" customFormat="false" customHeight="1" hidden="" ht="14" outlineLevel="0" r="22510">
      <c r="A22510" s="3" t="inlineStr">
        <is>
          <t>22437</t>
        </is>
      </c>
      <c r="B22510" s="4" t="s">
        <f>=HYPERLINK("http://anyluxury.ru/shop/podarki-dlya-doma/domashniy-tekstil/prihvatkarukavica-akcent-krasnosinyaya-1190854/" , "11908.54 Прихватка-рукавица «Акцент», красно-синяя")</f>
      </c>
      <c r="C22510" s="4" t="n">
        <v>480.00</v>
      </c>
      <c r="D22510" s="4"/>
    </row>
    <row collapsed="" customFormat="false" customHeight="1" hidden="" ht="14" outlineLevel="0" r="22511">
      <c r="A22511" s="3" t="inlineStr">
        <is>
          <t>22438</t>
        </is>
      </c>
      <c r="B22511" s="4" t="s">
        <f>=HYPERLINK("http://anyluxury.ru/shop/podarki-dlya-doma/domashniy-tekstil/skatert-letniy-hit-zelenaya-s-fioletovim-1190997/" , "11909.97 Скатерть «Летний хит», зеленая с фиолетовым")</f>
      </c>
      <c r="C22511" s="4" t="n">
        <v>3960.00</v>
      </c>
      <c r="D22511" s="4"/>
    </row>
    <row collapsed="" customFormat="false" customHeight="1" hidden="" ht="14" outlineLevel="0" r="22512">
      <c r="A22512" s="3" t="inlineStr">
        <is>
          <t>22439</t>
        </is>
      </c>
      <c r="B22512" s="4" t="s">
        <f>=HYPERLINK("http://anyluxury.ru/shop/podarki-dlya-doma/domashniy-tekstil/skatert-letniy-hit-fioletovaya-s-lilovim-1190977/" , "11909.77 Скатерть «Летний хит», фиолетовая с лиловым")</f>
      </c>
      <c r="C22512" s="4" t="n">
        <v>3960.00</v>
      </c>
      <c r="D22512" s="4"/>
    </row>
    <row collapsed="" customFormat="false" customHeight="1" hidden="" ht="14" outlineLevel="0" r="22513">
      <c r="A22513" s="3" t="inlineStr">
        <is>
          <t>22440</t>
        </is>
      </c>
      <c r="B22513" s="4" t="s">
        <f>=HYPERLINK("http://anyluxury.ru/shop/podarki-dlya-doma/domashniy-tekstil/skatert-letniy-hit-fioletovaya-s-zelenim-1190979/" , "11909.79 Скатерть «Летний хит», фиолетовая с зеленым")</f>
      </c>
      <c r="C22513" s="4" t="n">
        <v>3960.00</v>
      </c>
      <c r="D22513" s="4"/>
    </row>
    <row collapsed="" customFormat="false" customHeight="1" hidden="" ht="14" outlineLevel="0" r="22514">
      <c r="A22514" s="3" t="inlineStr">
        <is>
          <t>22441</t>
        </is>
      </c>
      <c r="B22514" s="4" t="s">
        <f>=HYPERLINK("http://anyluxury.ru/shop/podarki-dlya-doma/domashniy-tekstil/nabor-salfetok-letniy-hit-liloviy-1191079/" , "11910.79 Набор салфеток «Летний хит», лиловый")</f>
      </c>
      <c r="C22514" s="4" t="n">
        <v>1300.00</v>
      </c>
      <c r="D22514" s="4"/>
    </row>
    <row collapsed="" customFormat="false" customHeight="1" hidden="" ht="14" outlineLevel="0" r="22515">
      <c r="A22515" s="3" t="inlineStr">
        <is>
          <t>22442</t>
        </is>
      </c>
      <c r="B22515" s="4" t="s">
        <f>=HYPERLINK("http://anyluxury.ru/shop/podarki-dlya-doma/domashniy-tekstil/nabor-salfetok-letniy-hit-zeleniy-1191099/" , "11910.99 Набор салфеток «Летний хит», зеленый")</f>
      </c>
      <c r="C22515" s="4" t="n">
        <v>1300.00</v>
      </c>
      <c r="D22515" s="4"/>
    </row>
    <row collapsed="" customFormat="false" customHeight="1" hidden="" ht="14" outlineLevel="0" r="22516">
      <c r="A22516" s="3" t="inlineStr">
        <is>
          <t>22443</t>
        </is>
      </c>
      <c r="B22516" s="4" t="s">
        <f>=HYPERLINK("http://anyluxury.ru/shop/podarki-dlya-doma/domashniy-tekstil/nabor-salfetok-letniy-hit-fioletoviy-1191077/" , "11910.77 Набор салфеток «Летний хит», фиолетовый")</f>
      </c>
      <c r="C22516" s="4" t="n">
        <v>1300.00</v>
      </c>
      <c r="D22516" s="4"/>
    </row>
    <row collapsed="" customFormat="false" customHeight="1" hidden="" ht="14" outlineLevel="0" r="22517">
      <c r="A22517" s="3" t="inlineStr">
        <is>
          <t>22444</t>
        </is>
      </c>
      <c r="B22517" s="4" t="s">
        <f>=HYPERLINK("http://anyluxury.ru/shop/podarki-dlya-doma/domashniy-tekstil/skatert-kakao-svetlokorichnevaya-1191156/" , "11911.56 Скатерть «Какао», светло-коричневая")</f>
      </c>
      <c r="C22517" s="4" t="n">
        <v>4200.00</v>
      </c>
      <c r="D22517" s="4"/>
    </row>
    <row collapsed="" customFormat="false" customHeight="1" hidden="" ht="14" outlineLevel="0" r="22518">
      <c r="A22518" s="3" t="inlineStr">
        <is>
          <t>22445</t>
        </is>
      </c>
      <c r="B22518" s="4" t="s">
        <f>=HYPERLINK("http://anyluxury.ru/shop/podarki-dlya-doma/domashniy-tekstil/nabor-salfetok-angliyskiy-stil-maliy-1191245/" , "11912.45 Набор салфеток «Английский стиль», малый")</f>
      </c>
      <c r="C22518" s="4" t="n">
        <v>700.00</v>
      </c>
      <c r="D22518" s="4"/>
    </row>
    <row collapsed="" customFormat="false" customHeight="1" hidden="" ht="14" outlineLevel="0" r="22519">
      <c r="A22519" s="3" t="inlineStr">
        <is>
          <t>22446</t>
        </is>
      </c>
      <c r="B22519" s="4" t="s">
        <f>=HYPERLINK("http://anyluxury.ru/shop/podarki-dlya-doma/domashniy-tekstil/nabor-salfetok-angliyskiy-stil-bolshoy-1191345/" , "11913.45 Набор салфеток «Английский стиль», большой")</f>
      </c>
      <c r="C22519" s="4" t="n">
        <v>1450.00</v>
      </c>
      <c r="D22519" s="4"/>
    </row>
    <row collapsed="" customFormat="false" customHeight="1" hidden="" ht="14" outlineLevel="0" r="22520">
      <c r="A22520" s="3" t="inlineStr">
        <is>
          <t>22447</t>
        </is>
      </c>
      <c r="B22520" s="4" t="s">
        <f>=HYPERLINK("http://anyluxury.ru/shop/podarki-dlya-doma/domashniy-tekstil/skatert-ovoshhnoe-ragu-zelenaya-1191490/" , "11914.90 Скатерть «Овощное рагу», зеленая")</f>
      </c>
      <c r="C22520" s="4" t="n">
        <v>2200.00</v>
      </c>
      <c r="D22520" s="4"/>
    </row>
    <row collapsed="" customFormat="false" customHeight="1" hidden="" ht="14" outlineLevel="0" r="22521">
      <c r="A22521" s="3" t="inlineStr">
        <is>
          <t>22448</t>
        </is>
      </c>
      <c r="B22521" s="4" t="s">
        <f>=HYPERLINK("http://anyluxury.ru/shop/podarki-dlya-doma/domashniy-tekstil/nabor-salfetok-ovoshhnoe-ragu-1191590/" , "11915.90 Набор салфеток «Овощное рагу»")</f>
      </c>
      <c r="C22521" s="4" t="n">
        <v>1300.00</v>
      </c>
      <c r="D22521" s="4"/>
    </row>
    <row collapsed="" customFormat="false" customHeight="1" hidden="" ht="14" outlineLevel="0" r="22522">
      <c r="A22522" s="3" t="inlineStr">
        <is>
          <t>22449</t>
        </is>
      </c>
      <c r="B22522" s="4" t="s">
        <f>=HYPERLINK("http://anyluxury.ru/shop/podarki-dlya-doma/domashniy-tekstil/nabor-ovoshhnoe-ragu-skatert-i-salfetki-1191690/" , "11916.90 Набор «Овощное рагу», скатерть и салфетки")</f>
      </c>
      <c r="C22522" s="4" t="n">
        <v>3740.00</v>
      </c>
      <c r="D22522" s="4"/>
    </row>
    <row collapsed="" customFormat="false" customHeight="1" hidden="" ht="14" outlineLevel="0" r="22523">
      <c r="A22523" s="3" t="inlineStr">
        <is>
          <t>22450</t>
        </is>
      </c>
      <c r="B22523" s="4" t="s">
        <f>=HYPERLINK("http://anyluxury.ru/shop/podarki-dlya-doma/domashniy-tekstil/skatert-morskoy-piknik-oranzhevaya-1191720/" , "11917.20 Скатерть «Морской пикник», оранжевая")</f>
      </c>
      <c r="C22523" s="4" t="n">
        <v>2200.00</v>
      </c>
      <c r="D22523" s="4"/>
    </row>
    <row collapsed="" customFormat="false" customHeight="1" hidden="" ht="14" outlineLevel="0" r="22524">
      <c r="A22524" s="3" t="inlineStr">
        <is>
          <t>22451</t>
        </is>
      </c>
      <c r="B22524" s="4" t="s">
        <f>=HYPERLINK("http://anyluxury.ru/shop/podarki-dlya-doma/domashniy-tekstil/nabor-salfetok-morskoy-piknik-belogoluboy-1191846/" , "11918.46 Набор салфеток «Морской пикник», бело-голубой")</f>
      </c>
      <c r="C22524" s="4" t="n">
        <v>770.00</v>
      </c>
      <c r="D22524" s="4"/>
    </row>
    <row collapsed="" customFormat="false" customHeight="1" hidden="" ht="14" outlineLevel="0" r="22525">
      <c r="A22525" s="3" t="inlineStr">
        <is>
          <t>22452</t>
        </is>
      </c>
      <c r="B22525" s="4" t="s">
        <f>=HYPERLINK("http://anyluxury.ru/shop/podarki-dlya-doma/domashniy-tekstil/nabor-morskoy-piknik-skatert-i-salfetki-1191920/" , "11919.20 Набор «Морской пикник», скатерть и салфетки")</f>
      </c>
      <c r="C22525" s="4" t="n">
        <v>3080.00</v>
      </c>
      <c r="D22525" s="4"/>
    </row>
    <row collapsed="" customFormat="false" customHeight="1" hidden="" ht="14" outlineLevel="0" r="22526">
      <c r="A22526" s="3" t="inlineStr">
        <is>
          <t>22453</t>
        </is>
      </c>
      <c r="B22526" s="4" t="s">
        <f>=HYPERLINK("http://anyluxury.ru/shop/podarki-dlya-doma/domashniy-tekstil/dorozhka-servirovochnaya-gostepriimstvo-bezhevaya-1192010/" , "11920.10 Дорожка сервировочная «Гостеприимство», бежевая")</f>
      </c>
      <c r="C22526" s="4" t="n">
        <v>1870.00</v>
      </c>
      <c r="D22526" s="4"/>
    </row>
    <row collapsed="" customFormat="false" customHeight="1" hidden="" ht="14" outlineLevel="0" r="22527">
      <c r="A22527" s="3" t="inlineStr">
        <is>
          <t>22454</t>
        </is>
      </c>
      <c r="B22527" s="4" t="s">
        <f>=HYPERLINK("http://anyluxury.ru/shop/podarki-dlya-doma/domashniy-tekstil/dorozhka-servirovochnaya-piknik-oranzhevaya-1192120/" , "11921.20 Дорожка сервировочная «Пикник», оранжевая")</f>
      </c>
      <c r="C22527" s="4" t="n">
        <v>1440.00</v>
      </c>
      <c r="D22527" s="4"/>
    </row>
    <row collapsed="" customFormat="false" customHeight="1" hidden="" ht="14" outlineLevel="0" r="22528">
      <c r="A22528" s="3" t="inlineStr">
        <is>
          <t>22455</t>
        </is>
      </c>
      <c r="B22528" s="4" t="s">
        <f>=HYPERLINK("http://anyluxury.ru/shop/podarki-dlya-doma/domashniy-tekstil/nabor-osenniy-dorozhka-servirovochnaya-i-salfetki-svetlokorichneviy-1192256/" , "11922.56 Набор «Осенний», дорожка сервировочная и салфетки, светло-коричневый")</f>
      </c>
      <c r="C22528" s="4" t="n">
        <v>1540.00</v>
      </c>
      <c r="D22528" s="4"/>
    </row>
    <row collapsed="" customFormat="false" customHeight="1" hidden="" ht="14" outlineLevel="0" r="22529">
      <c r="A22529" s="3" t="inlineStr">
        <is>
          <t>22456</t>
        </is>
      </c>
      <c r="B22529" s="4" t="s">
        <f>=HYPERLINK("http://anyluxury.ru/shop/podarki-dlya-doma/domashniy-tekstil/salfetka-dlya-ruk-for-rooms-chernaya-1045430/" , "10454.30 Салфетка для рук For Rooms, черная")</f>
      </c>
      <c r="C22529" s="4" t="n">
        <v>160.00</v>
      </c>
      <c r="D22529" s="4"/>
    </row>
    <row collapsed="" customFormat="false" customHeight="1" hidden="" ht="14" outlineLevel="0" r="22530">
      <c r="A22530" s="3" t="inlineStr">
        <is>
          <t>22457</t>
        </is>
      </c>
      <c r="B22530" s="4" t="s">
        <f>=HYPERLINK("http://anyluxury.ru/shop/podarki-dlya-doma/domashniy-tekstil/salfetka-dlya-ruk-for-rooms-belaya-1045460/" , "10454.60 Салфетка для рук For Rooms, белая")</f>
      </c>
      <c r="C22530" s="4" t="n">
        <v>160.00</v>
      </c>
      <c r="D22530" s="4"/>
    </row>
    <row collapsed="" customFormat="false" customHeight="1" hidden="" ht="14" outlineLevel="0" r="22531">
      <c r="A22531" s="3" t="inlineStr">
        <is>
          <t>22458</t>
        </is>
      </c>
      <c r="B22531" s="4" t="s">
        <f>=HYPERLINK("http://anyluxury.ru/shop/podarki-dlya-doma/domashniy-tekstil/prihvatkarukavica-keep-palms-zelenaya-1117391/" , "11173.91 Прихватка-рукавица Keep Palms, зеленая")</f>
      </c>
      <c r="C22531" s="4" t="n">
        <v>490.00</v>
      </c>
      <c r="D22531" s="4"/>
    </row>
    <row collapsed="" customFormat="false" customHeight="1" hidden="" ht="14" outlineLevel="0" r="22532">
      <c r="A22532" s="3" t="inlineStr">
        <is>
          <t>22459</t>
        </is>
      </c>
      <c r="B22532" s="4" t="s">
        <f>=HYPERLINK("http://anyluxury.ru/shop/podarki-dlya-doma/domashniy-tekstil/podushka-holland-neokrashennaya-1602700/" , "16027.00 Подушка Holland, неокрашенная")</f>
      </c>
      <c r="C22532" s="4" t="n">
        <v>765.00</v>
      </c>
      <c r="D22532" s="4"/>
    </row>
    <row collapsed="" customFormat="false" customHeight="1" hidden="" ht="14" outlineLevel="0" r="22533">
      <c r="A22533" s="3" t="inlineStr">
        <is>
          <t>22460</t>
        </is>
      </c>
      <c r="B22533" s="4" t="s">
        <f>=HYPERLINK("http://anyluxury.ru/shop/podarki-dlya-doma/domashniy-tekstil/nabor-feast-mist-servirovochnaya-salfetka-i-kuvert-zeleniy-1245691/" , "12456.91 Набор Feast Mist: сервировочная салфетка и куверт, зеленый")</f>
      </c>
      <c r="C22533" s="4" t="n">
        <v>590.00</v>
      </c>
      <c r="D22533" s="4"/>
    </row>
    <row collapsed="" customFormat="false" customHeight="1" hidden="" ht="14" outlineLevel="0" r="22534">
      <c r="A22534" s="3" t="inlineStr">
        <is>
          <t>22461</t>
        </is>
      </c>
      <c r="B22534" s="4" t="s">
        <f>=HYPERLINK("http://anyluxury.ru/shop/podarki-dlya-doma/domashniy-tekstil/podushka-na-zakaz-sapo-net-akril-1886901/" , "18869.01 Подушка на заказ Сapo, акрил")</f>
      </c>
      <c r="C22534" s="4" t="n">
        <v>1454.00</v>
      </c>
      <c r="D22534" s="4"/>
    </row>
    <row collapsed="" customFormat="false" customHeight="1" hidden="" ht="14" outlineLevel="0" r="22535">
      <c r="A22535" s="3" t="inlineStr">
        <is>
          <t>22462</t>
        </is>
      </c>
      <c r="B22535" s="4" t="s">
        <f>=HYPERLINK("http://anyluxury.ru/shop/podarki-dlya-doma/domashniy-tekstil/podushka-tekstil-na-zakaz-1892401/" , "18924.01 Подушка Tekstil на заказ")</f>
      </c>
      <c r="C22535" s="4" t="n">
        <v>573.00</v>
      </c>
      <c r="D22535" s="4"/>
    </row>
    <row collapsed="" customFormat="false" customHeight="1" hidden="" ht="14" outlineLevel="0" r="22536">
      <c r="A22536" s="3" t="inlineStr">
        <is>
          <t>22463</t>
        </is>
      </c>
      <c r="B22536" s="4" t="s">
        <f>=HYPERLINK("http://anyluxury.ru/shop/podarki-dlya-doma/domashniy-tekstil/podushka-pluche-na-zakaz-1892501/" , "18925.01 Подушка Pluche на заказ")</f>
      </c>
      <c r="C22536" s="4" t="n">
        <v>856.00</v>
      </c>
      <c r="D22536" s="4"/>
    </row>
    <row collapsed="" customFormat="false" customHeight="1" hidden="" ht="14" outlineLevel="0" r="22537">
      <c r="A22537" s="3" t="inlineStr">
        <is>
          <t>22464</t>
        </is>
      </c>
      <c r="B22537" s="4" t="s">
        <f>=HYPERLINK("http://anyluxury.ru/shop/podarki-dlya-doma/domashniy-tekstil/podushka-antistress-na-zakaz-1892601/" , "18926.01 Подушка AntiStress на заказ")</f>
      </c>
      <c r="C22537" s="4" t="n">
        <v>1074.00</v>
      </c>
      <c r="D22537" s="4"/>
    </row>
    <row collapsed="" customFormat="false" customHeight="1" hidden="" ht="14" outlineLevel="0" r="22538">
      <c r="A22538" s="3" t="inlineStr">
        <is>
          <t>22465</t>
        </is>
      </c>
      <c r="B22538" s="4" t="s">
        <f>=HYPERLINK("http://anyluxury.ru/shop/podarki-dlya-doma/domashniy-tekstil/prihvatkarukavica-holland-neokrashennaya-1603300/" , "16033.00 Прихватка-рукавица Holland, неокрашенная")</f>
      </c>
      <c r="C22538" s="4" t="n">
        <v>330.00</v>
      </c>
      <c r="D22538" s="4"/>
    </row>
    <row collapsed="" customFormat="false" customHeight="1" hidden="" ht="14" outlineLevel="0" r="22539">
      <c r="A22539" s="3" t="inlineStr">
        <is>
          <t>22466</t>
        </is>
      </c>
      <c r="B22539" s="4" t="s">
        <f>=HYPERLINK("http://anyluxury.ru/shop/podarki-dlya-doma/domashniy-tekstil/salfetka-holland-neokrashennaya-1603400/" , "16034.00 Салфетка Holland, неокрашенная")</f>
      </c>
      <c r="C22539" s="4" t="n">
        <v>145.00</v>
      </c>
      <c r="D22539" s="4"/>
    </row>
    <row collapsed="" customFormat="false" customHeight="1" hidden="" ht="14" outlineLevel="0" r="22540">
      <c r="A22540" s="3" t="inlineStr">
        <is>
          <t>22467</t>
        </is>
      </c>
      <c r="B22540" s="4" t="s">
        <f>=HYPERLINK("http://anyluxury.ru/shop/podarki-dlya-doma/domashniy-tekstil/prihvatkarukavica-feast-mist-rozovaya-1245551/" , "12455.51 Прихватка-рукавица Feast Mist, розовая")</f>
      </c>
      <c r="C22540" s="4" t="n">
        <v>590.00</v>
      </c>
      <c r="D22540" s="4"/>
    </row>
    <row collapsed="" customFormat="false" customHeight="1" hidden="" ht="14" outlineLevel="0" r="22541">
      <c r="A22541" s="3" t="inlineStr">
        <is>
          <t>22468</t>
        </is>
      </c>
      <c r="B22541" s="4" t="s">
        <f>=HYPERLINK("http://anyluxury.ru/shop/podarki-dlya-doma/domashniy-tekstil/salfetka-s-kolcom-ace-of-grace-1408665/" , "14086.65 Салфетка с кольцом Ace of Grace")</f>
      </c>
      <c r="C22541" s="4" t="n">
        <v>440.00</v>
      </c>
      <c r="D22541" s="4"/>
    </row>
    <row collapsed="" customFormat="false" customHeight="1" hidden="" ht="14" outlineLevel="0" r="22542">
      <c r="A22542" s="3" t="inlineStr">
        <is>
          <t>22469</t>
        </is>
      </c>
      <c r="B22542" s="4" t="s">
        <f>=HYPERLINK("http://anyluxury.ru/shop/podarki-dlya-doma/domashniy-tekstil/navolochka-holland-neokrashennaya-1603200/" , "16032.00 Наволочка Holland, неокрашенная")</f>
      </c>
      <c r="C22542" s="4" t="n">
        <v>315.00</v>
      </c>
      <c r="D22542" s="4"/>
    </row>
    <row collapsed="" customFormat="false" customHeight="1" hidden="" ht="14" outlineLevel="0" r="22543">
      <c r="A22543" s="3" t="inlineStr">
        <is>
          <t>22470</t>
        </is>
      </c>
      <c r="B22543" s="4" t="s">
        <f>=HYPERLINK("http://anyluxury.ru/shop/podarki-dlya-doma/domashniy-tekstil/nakidka-ukiyo-hisako-iz-hlopka-aware-100x180-sm-p453809/" , "P453.809 Накидка Ukiyo Hisako из хлопка AWARE™, 100x180 см")</f>
      </c>
      <c r="C22543" s="4" t="n">
        <v>3790.00</v>
      </c>
      <c r="D22543" s="4"/>
    </row>
    <row collapsed="" customFormat="false" customHeight="1" hidden="" ht="14" outlineLevel="0" r="22544">
      <c r="A22544" s="3" t="inlineStr">
        <is>
          <t>22471</t>
        </is>
      </c>
      <c r="B22544" s="4" t="s">
        <f>=HYPERLINK("http://anyluxury.ru/shop/podarki-dlya-doma/domashniy-tekstil/nakidka-ukiyo-hisako-iz-hlopka-aware-100x180-sm-p453807/" , "P453.807 Накидка Ukiyo Hisako из хлопка AWARE™, 100x180 см")</f>
      </c>
      <c r="C22544" s="4" t="n">
        <v>3790.00</v>
      </c>
      <c r="D22544" s="4"/>
    </row>
    <row collapsed="" customFormat="false" customHeight="1" hidden="" ht="14" outlineLevel="0" r="22545">
      <c r="A22545" s="3" t="inlineStr">
        <is>
          <t>22472</t>
        </is>
      </c>
      <c r="B22545" s="4" t="s">
        <f>=HYPERLINK("http://anyluxury.ru/shop/podarki-dlya-doma/domashniy-tekstil/nakidka-ukiyo-hisako-iz-hlopka-aware-100x180-sm-p453805/" , "P453.805 Накидка Ukiyo Hisako из хлопка AWARE™, 100x180 см")</f>
      </c>
      <c r="C22545" s="4" t="n">
        <v>3790.00</v>
      </c>
      <c r="D22545" s="4"/>
    </row>
    <row collapsed="" customFormat="false" customHeight="1" hidden="" ht="14" outlineLevel="0" r="22546">
      <c r="A22546" s="3" t="inlineStr">
        <is>
          <t>22473</t>
        </is>
      </c>
      <c r="B22546" s="4" t="s">
        <f>=HYPERLINK("http://anyluxury.ru/shop/podarki-dlya-doma/domashniy-tekstil/nakidka-ukiyo-hisako-iz-hlopka-aware-100x180-sm-p453801/" , "P453.801 Накидка Ukiyo Hisako из хлопка AWARE™, 100x180 см")</f>
      </c>
      <c r="C22546" s="4" t="n">
        <v>3790.00</v>
      </c>
      <c r="D22546" s="4"/>
    </row>
    <row collapsed="" customFormat="false" customHeight="1" hidden="" ht="14" outlineLevel="0" r="22547">
      <c r="A22547" s="3" t="inlineStr">
        <is>
          <t>22474</t>
        </is>
      </c>
      <c r="B22547" s="4" t="s">
        <f>=HYPERLINK("http://anyluxury.ru/shop/podarki-dlya-doma/domashniy-tekstil/kolpak-povarskoy-cookery-cherniy-1637530/" , "16375.30 Колпак поварской Cookery, черный")</f>
      </c>
      <c r="C22547" s="4" t="n">
        <v>480.00</v>
      </c>
      <c r="D22547" s="4"/>
    </row>
    <row collapsed="" customFormat="false" customHeight="1" hidden="" ht="14" outlineLevel="0" r="22548">
      <c r="A22548" s="3" t="inlineStr">
        <is>
          <t>22475</t>
        </is>
      </c>
      <c r="B22548" s="4" t="s">
        <f>=HYPERLINK("http://anyluxury.ru/shop/podarki-dlya-doma/domashniy-tekstil/kolpak-povarskoy-cookery-beliy-1637560/" , "16375.60 Колпак поварской Cookery, белый")</f>
      </c>
      <c r="C22548" s="4" t="n">
        <v>480.00</v>
      </c>
      <c r="D22548" s="4"/>
    </row>
    <row collapsed="" customFormat="false" customHeight="1" hidden="" ht="14" outlineLevel="0" r="22549">
      <c r="A22549" s="3" t="inlineStr">
        <is>
          <t>22476</t>
        </is>
      </c>
      <c r="B22549" s="4" t="s">
        <f>=HYPERLINK("http://anyluxury.ru/shop/podarki-dlya-doma/domashniy-tekstil/prihvatka-settle-in-seraya-1578513/" , "15785.13 Прихватка Settle In, серая")</f>
      </c>
      <c r="C22549" s="4" t="n">
        <v>190.00</v>
      </c>
      <c r="D22549" s="4"/>
    </row>
    <row collapsed="" customFormat="false" customHeight="1" hidden="" ht="14" outlineLevel="0" r="22550">
      <c r="A22550" s="3" t="inlineStr">
        <is>
          <t>22477</t>
        </is>
      </c>
      <c r="B22550" s="4" t="s">
        <f>=HYPERLINK("http://anyluxury.ru/shop/podarki-dlya-doma/domashniy-tekstil/prihvatka-settle-in-korichnevaya-1578595/" , "15785.95 Прихватка Settle In, коричневая")</f>
      </c>
      <c r="C22550" s="4" t="n">
        <v>190.00</v>
      </c>
      <c r="D22550" s="4"/>
    </row>
    <row collapsed="" customFormat="false" customHeight="1" hidden="" ht="14" outlineLevel="0" r="22551">
      <c r="A22551" s="3" t="inlineStr">
        <is>
          <t>22478</t>
        </is>
      </c>
      <c r="B22551" s="4" t="s">
        <f>=HYPERLINK("http://anyluxury.ru/shop/podarki-dlya-doma/domashniy-tekstil/prihvatka-settle-in-krasnaya-1578550/" , "15785.50 Прихватка Settle In, красная")</f>
      </c>
      <c r="C22551" s="4" t="n">
        <v>190.00</v>
      </c>
      <c r="D22551" s="4"/>
    </row>
    <row collapsed="" customFormat="false" customHeight="1" hidden="" ht="14" outlineLevel="0" r="22552">
      <c r="A22552" s="3" t="inlineStr">
        <is>
          <t>22479</t>
        </is>
      </c>
      <c r="B22552" s="4" t="s">
        <f>=HYPERLINK("http://anyluxury.ru/shop/podarki-dlya-doma/domashniy-tekstil/navolochka-settle-in-seraya-1578710/" , "15787.10 Наволочка Settle In, серая")</f>
      </c>
      <c r="C22552" s="4" t="n">
        <v>450.00</v>
      </c>
      <c r="D22552" s="4"/>
    </row>
    <row collapsed="" customFormat="false" customHeight="1" hidden="" ht="14" outlineLevel="0" r="22553">
      <c r="A22553" s="3" t="inlineStr">
        <is>
          <t>22480</t>
        </is>
      </c>
      <c r="B22553" s="4" t="s">
        <f>=HYPERLINK("http://anyluxury.ru/shop/podarki-dlya-doma/domashniy-tekstil/navolochka-settle-in-temnoseraya-1578731/" , "15787.31 Наволочка Settle In, темно-серая")</f>
      </c>
      <c r="C22553" s="4" t="n">
        <v>450.00</v>
      </c>
      <c r="D22553" s="4"/>
    </row>
    <row collapsed="" customFormat="false" customHeight="1" hidden="" ht="14" outlineLevel="0" r="22554">
      <c r="A22554" s="3" t="inlineStr">
        <is>
          <t>22481</t>
        </is>
      </c>
      <c r="B22554" s="4" t="s">
        <f>=HYPERLINK("http://anyluxury.ru/shop/podarki-dlya-doma/domashniy-tekstil/navolochka-settle-in-krasnaya-1578750/" , "15787.50 Наволочка Settle In, красная")</f>
      </c>
      <c r="C22554" s="4" t="n">
        <v>450.00</v>
      </c>
      <c r="D22554" s="4"/>
    </row>
    <row collapsed="" customFormat="false" customHeight="1" hidden="" ht="14" outlineLevel="0" r="22555">
      <c r="A22555" s="3" t="inlineStr">
        <is>
          <t>22482</t>
        </is>
      </c>
      <c r="B22555" s="4" t="s">
        <f>=HYPERLINK("http://anyluxury.ru/shop/podarki-dlya-doma/domashniy-tekstil/salfetka-servirovochnaya-settle-in-seraya-1578810/" , "15788.10 Салфетка сервировочная Settle In, серая")</f>
      </c>
      <c r="C22555" s="4" t="n">
        <v>250.00</v>
      </c>
      <c r="D22555" s="4"/>
    </row>
    <row collapsed="" customFormat="false" customHeight="1" hidden="" ht="14" outlineLevel="0" r="22556">
      <c r="A22556" s="3" t="inlineStr">
        <is>
          <t>22483</t>
        </is>
      </c>
      <c r="B22556" s="4" t="s">
        <f>=HYPERLINK("http://anyluxury.ru/shop/podarki-dlya-doma/domashniy-tekstil/salfetka-servirovochnaya-settle-in-temnoseraya-1578831/" , "15788.31 Салфетка сервировочная Settle In, темно-серая")</f>
      </c>
      <c r="C22556" s="4" t="n">
        <v>250.00</v>
      </c>
      <c r="D22556" s="4"/>
    </row>
    <row collapsed="" customFormat="false" customHeight="1" hidden="" ht="14" outlineLevel="0" r="22557">
      <c r="A22557" s="3" t="inlineStr">
        <is>
          <t>22484</t>
        </is>
      </c>
      <c r="B22557" s="4" t="s">
        <f>=HYPERLINK("http://anyluxury.ru/shop/podarki-dlya-doma/domashniy-tekstil/salfetka-servirovochnaya-settle-in-krasnaya-1578850/" , "15788.50 Салфетка сервировочная Settle In, красная")</f>
      </c>
      <c r="C22557" s="4" t="n">
        <v>250.00</v>
      </c>
      <c r="D22557" s="4"/>
    </row>
    <row collapsed="" customFormat="false" customHeight="1" hidden="" ht="14" outlineLevel="0" r="22558">
      <c r="A22558" s="3" t="inlineStr">
        <is>
          <t>22485</t>
        </is>
      </c>
      <c r="B22558" s="4" t="s">
        <f>=HYPERLINK("http://anyluxury.ru/shop/podarki-dlya-doma/domashniy-tekstil/salfetka-servirovochnaya-settle-in-korichnevaya-1578859/" , "15788.59 Салфетка сервировочная Settle In, коричневая")</f>
      </c>
      <c r="C22558" s="4" t="n">
        <v>250.00</v>
      </c>
      <c r="D22558" s="4"/>
    </row>
    <row collapsed="" customFormat="false" customHeight="1" hidden="" ht="14" outlineLevel="0" r="22559">
      <c r="A22559" s="3" t="inlineStr">
        <is>
          <t>22486</t>
        </is>
      </c>
      <c r="B22559" s="4" t="s">
        <f>=HYPERLINK("http://anyluxury.ru/shop/podarki-dlya-doma/domashniy-tekstil/dorozhka-servirovochnaya-settle-in-temnoseraya-1578931/" , "15789.31 Дорожка сервировочная Settle In, темно-серая")</f>
      </c>
      <c r="C22559" s="4" t="n">
        <v>590.00</v>
      </c>
      <c r="D22559" s="4"/>
    </row>
    <row collapsed="" customFormat="false" customHeight="1" hidden="" ht="14" outlineLevel="0" r="22560">
      <c r="A22560" s="3" t="inlineStr">
        <is>
          <t>22487</t>
        </is>
      </c>
      <c r="B22560" s="4" t="s">
        <f>=HYPERLINK("http://anyluxury.ru/shop/podarki-dlya-doma/domashniy-tekstil/dorozhka-servirovochnaya-settle-in-krasnaya-1578950/" , "15789.50 Дорожка сервировочная Settle In, красная")</f>
      </c>
      <c r="C22560" s="4" t="n">
        <v>590.00</v>
      </c>
      <c r="D22560" s="4"/>
    </row>
    <row collapsed="" customFormat="false" customHeight="1" hidden="" ht="14" outlineLevel="0" r="22561">
      <c r="A22561" s="3" t="inlineStr">
        <is>
          <t>22488</t>
        </is>
      </c>
      <c r="B22561" s="4" t="s">
        <f>=HYPERLINK("http://anyluxury.ru/shop/podarki-dlya-doma/domashniy-tekstil/prihvatkarukavica-settle-in-temnoseraya-1578631/" , "15786.31 Прихватка-рукавица Settle In, темно-серая")</f>
      </c>
      <c r="C22561" s="4" t="n">
        <v>390.00</v>
      </c>
      <c r="D22561" s="4"/>
    </row>
    <row collapsed="" customFormat="false" customHeight="1" hidden="" ht="14" outlineLevel="0" r="22562">
      <c r="A22562" s="3" t="inlineStr">
        <is>
          <t>22489</t>
        </is>
      </c>
      <c r="B22562" s="4" t="s">
        <f>=HYPERLINK("http://anyluxury.ru/shop/podarki-dlya-doma/domashniy-tekstil/prihvatkarukavica-settle-in-krasnaya-1578650/" , "15786.50 Прихватка-рукавица Settle In, красная")</f>
      </c>
      <c r="C22562" s="4" t="n">
        <v>390.00</v>
      </c>
      <c r="D22562" s="4"/>
    </row>
    <row collapsed="" customFormat="false" customHeight="1" hidden="" ht="14" outlineLevel="0" r="22563">
      <c r="A22563" s="3" t="inlineStr">
        <is>
          <t>22490</t>
        </is>
      </c>
      <c r="B22563" s="4" t="s">
        <f>=HYPERLINK("http://anyluxury.ru/shop/podarki-dlya-doma/domashniy-tekstil/navolochka-settle-in-korichnevaya-1578759/" , "15787.59 Наволочка Settle In, коричневая")</f>
      </c>
      <c r="C22563" s="4" t="n">
        <v>450.00</v>
      </c>
      <c r="D22563" s="4"/>
    </row>
    <row collapsed="" customFormat="false" customHeight="1" hidden="" ht="14" outlineLevel="0" r="22564">
      <c r="A22564" s="3" t="inlineStr">
        <is>
          <t>22491</t>
        </is>
      </c>
      <c r="B22564" s="4" t="s">
        <f>=HYPERLINK("http://anyluxury.ru/shop/podarki-dlya-doma/domashniy-tekstil/sidushka-settle-in-seraya-1579110/" , "15791.10 Сидушка Settle In, серая")</f>
      </c>
      <c r="C22564" s="4" t="n">
        <v>990.00</v>
      </c>
      <c r="D22564" s="4"/>
    </row>
    <row collapsed="" customFormat="false" customHeight="1" hidden="" ht="14" outlineLevel="0" r="22565">
      <c r="A22565" s="3" t="inlineStr">
        <is>
          <t>22492</t>
        </is>
      </c>
      <c r="B22565" s="4" t="s">
        <f>=HYPERLINK("http://anyluxury.ru/shop/podarki-dlya-doma/domashniy-tekstil/sidushka-settle-in-temnoseraya-1579131/" , "15791.31 Сидушка Settle In, темно-серая")</f>
      </c>
      <c r="C22565" s="4" t="n">
        <v>990.00</v>
      </c>
      <c r="D22565" s="4"/>
    </row>
    <row collapsed="" customFormat="false" customHeight="1" hidden="" ht="14" outlineLevel="0" r="22566">
      <c r="A22566" s="3" t="inlineStr">
        <is>
          <t>22493</t>
        </is>
      </c>
      <c r="B22566" s="4" t="s">
        <f>=HYPERLINK("http://anyluxury.ru/shop/podarki-dlya-doma/domashniy-tekstil/sidushka-settle-in-krasnaya-1579150/" , "15791.50 Сидушка Settle In, красная")</f>
      </c>
      <c r="C22566" s="4" t="n">
        <v>990.00</v>
      </c>
      <c r="D22566" s="4"/>
    </row>
    <row collapsed="" customFormat="false" customHeight="1" hidden="" ht="14" outlineLevel="0" r="22567">
      <c r="A22567" s="3" t="inlineStr">
        <is>
          <t>22494</t>
        </is>
      </c>
      <c r="B22567" s="4" t="s">
        <f>=HYPERLINK("http://anyluxury.ru/shop/podarki-dlya-doma/domashniy-tekstil/sidushka-settle-in-korichnevaya-1579159/" , "15791.59 Сидушка Settle In, коричневая")</f>
      </c>
      <c r="C22567" s="4" t="n">
        <v>990.00</v>
      </c>
      <c r="D22567" s="4"/>
    </row>
    <row collapsed="" customFormat="false" customHeight="" hidden="" ht="12.1" outlineLevel="0" r="22568">
      <c r="A22568" s="5" t="inlineStr">
        <is>
          <t> -  - Игрушки</t>
        </is>
      </c>
      <c r="B22568" s="6"/>
      <c r="C22568" s="6"/>
      <c r="D22568" s="6"/>
    </row>
    <row collapsed="" customFormat="false" customHeight="1" hidden="" ht="14" outlineLevel="0" r="22569">
      <c r="A22569" s="3" t="inlineStr">
        <is>
          <t>22495</t>
        </is>
      </c>
      <c r="B22569" s="4" t="s">
        <f>=HYPERLINK("http://anyluxury.ru/shop/podarki-dlya-doma/igrushki/igrushka-pes-hose-7782/" , "7782 Мягкая игрушка «Пес Хосе»")</f>
      </c>
      <c r="C22569" s="4" t="n">
        <v>691.00</v>
      </c>
      <c r="D22569" s="4"/>
    </row>
    <row collapsed="" customFormat="false" customHeight="1" hidden="" ht="14" outlineLevel="0" r="22570">
      <c r="A22570" s="3" t="inlineStr">
        <is>
          <t>22496</t>
        </is>
      </c>
      <c r="B22570" s="4" t="s">
        <f>=HYPERLINK("http://anyluxury.ru/shop/podarki-dlya-doma/igrushki/myagkaya-igrushkapodveska-svinka-penny-10016/" , "10016 Мягкая игрушка-подвеска «Свинка Penny»")</f>
      </c>
      <c r="C22570" s="4" t="n">
        <v>200.00</v>
      </c>
      <c r="D22570" s="4"/>
    </row>
    <row collapsed="" customFormat="false" customHeight="1" hidden="" ht="14" outlineLevel="0" r="22571">
      <c r="A22571" s="3" t="inlineStr">
        <is>
          <t>22497</t>
        </is>
      </c>
      <c r="B22571" s="4" t="s">
        <f>=HYPERLINK("http://anyluxury.ru/shop/podarki-dlya-doma/igrushki/podushka-george-moonie-12636/" , "12636 Подушка George Moonie")</f>
      </c>
      <c r="C22571" s="4" t="n">
        <v>890.00</v>
      </c>
      <c r="D22571" s="4"/>
    </row>
    <row collapsed="" customFormat="false" customHeight="1" hidden="" ht="14" outlineLevel="0" r="22572">
      <c r="A22572" s="3" t="inlineStr">
        <is>
          <t>22498</t>
        </is>
      </c>
      <c r="B22572" s="4" t="s">
        <f>=HYPERLINK("http://anyluxury.ru/shop/podarki-dlya-doma/igrushki/ryukzak-detskiy-toffee-12644/" , "12644 Рюкзак детский Toffee")</f>
      </c>
      <c r="C22572" s="4" t="n">
        <v>1301.00</v>
      </c>
      <c r="D22572" s="4"/>
    </row>
    <row collapsed="" customFormat="false" customHeight="1" hidden="" ht="14" outlineLevel="0" r="22573">
      <c r="A22573" s="3" t="inlineStr">
        <is>
          <t>22499</t>
        </is>
      </c>
      <c r="B22573" s="4" t="s">
        <f>=HYPERLINK("http://anyluxury.ru/shop/podarki-dlya-doma/igrushki/sharfik-na-igrushku-na-zakaz-tegan-akril-1886701/" , "18867.01 Шарфик на игрушку на заказ Tegan, акрил")</f>
      </c>
      <c r="C22573" s="4" t="n">
        <v>207.00</v>
      </c>
      <c r="D22573" s="4"/>
    </row>
    <row collapsed="" customFormat="false" customHeight="1" hidden="" ht="14" outlineLevel="0" r="22574">
      <c r="A22574" s="3" t="inlineStr">
        <is>
          <t>22500</t>
        </is>
      </c>
      <c r="B22574" s="4" t="s">
        <f>=HYPERLINK("http://anyluxury.ru/shop/podarki-dlya-doma/igrushki/plyusheviy-mishka-big-teddy-v-vyazanom-svitere-na-zakaz-1896302/" , "18963.02 Плюшевый мишка Teddy в вязаном свитере на заказ, большой")</f>
      </c>
      <c r="C22574" s="4" t="n">
        <v>2279.00</v>
      </c>
      <c r="D22574" s="4"/>
    </row>
    <row collapsed="" customFormat="false" customHeight="1" hidden="" ht="14" outlineLevel="0" r="22575">
      <c r="A22575" s="3" t="inlineStr">
        <is>
          <t>22501</t>
        </is>
      </c>
      <c r="B22575" s="4" t="s">
        <f>=HYPERLINK("http://anyluxury.ru/shop/podarki-dlya-doma/igrushki/plyusheviy-mishka-teddy-v-vyazanom-svitere-na-zakaz-maliy-1896301/" , "18963.01 Плюшевый мишка Teddy в вязаном свитере на заказ, малый")</f>
      </c>
      <c r="C22575" s="4" t="n">
        <v>1121.00</v>
      </c>
      <c r="D22575" s="4"/>
    </row>
    <row collapsed="" customFormat="false" customHeight="1" hidden="" ht="14" outlineLevel="0" r="22576">
      <c r="A22576" s="3" t="inlineStr">
        <is>
          <t>22502</t>
        </is>
      </c>
      <c r="B22576" s="4" t="s">
        <f>=HYPERLINK("http://anyluxury.ru/shop/podarki-dlya-doma/igrushki/shapochka-na-igrushku-dress-cup-ver2-krasnaya-1696651/" , "16966.51 Шапочка на игрушку Dress Cup, ver.2, красная")</f>
      </c>
      <c r="C22576" s="4" t="n">
        <v>149.00</v>
      </c>
      <c r="D22576" s="4"/>
    </row>
    <row collapsed="" customFormat="false" customHeight="1" hidden="" ht="14" outlineLevel="0" r="22577">
      <c r="A22577" s="3" t="inlineStr">
        <is>
          <t>22503</t>
        </is>
      </c>
      <c r="B22577" s="4" t="s">
        <f>=HYPERLINK("http://anyluxury.ru/shop/podarki-dlya-doma/igrushki/sharfik-na-igrushku-dress-cup-ver2-krasniy-1696751/" , "16967.51 Шарфик на игрушку Dress Cup, ver.2, красный")</f>
      </c>
      <c r="C22577" s="4" t="n">
        <v>129.00</v>
      </c>
      <c r="D22577" s="4"/>
    </row>
    <row collapsed="" customFormat="false" customHeight="1" hidden="" ht="14" outlineLevel="0" r="22578">
      <c r="A22578" s="3" t="inlineStr">
        <is>
          <t>22504</t>
        </is>
      </c>
      <c r="B22578" s="4" t="s">
        <f>=HYPERLINK("http://anyluxury.ru/shop/podarki-dlya-doma/igrushki/shapochka-na-igrushku-dress-cup-ver2-sinyaya-1696641/" , "16966.41 Шапочка на игрушку Dress Cup, ver.2, синяя")</f>
      </c>
      <c r="C22578" s="4" t="n">
        <v>149.00</v>
      </c>
      <c r="D22578" s="4"/>
    </row>
    <row collapsed="" customFormat="false" customHeight="1" hidden="" ht="14" outlineLevel="0" r="22579">
      <c r="A22579" s="3" t="inlineStr">
        <is>
          <t>22505</t>
        </is>
      </c>
      <c r="B22579" s="4" t="s">
        <f>=HYPERLINK("http://anyluxury.ru/shop/podarki-dlya-doma/igrushki/shapochka-na-igrushku-dress-cup-ver2-zelenaya-1696691/" , "16966.91 Шапочка на игрушку Dress Cup, ver.2, зеленая")</f>
      </c>
      <c r="C22579" s="4" t="n">
        <v>149.00</v>
      </c>
      <c r="D22579" s="4"/>
    </row>
    <row collapsed="" customFormat="false" customHeight="1" hidden="" ht="14" outlineLevel="0" r="22580">
      <c r="A22580" s="3" t="inlineStr">
        <is>
          <t>22506</t>
        </is>
      </c>
      <c r="B22580" s="4" t="s">
        <f>=HYPERLINK("http://anyluxury.ru/shop/podarki-dlya-doma/igrushki/shapochka-na-igrushku-dress-cup-sinyaya-1696640/" , "16966.40 Шапочка на игрушку Dress Cup, синяя")</f>
      </c>
      <c r="C22580" s="4" t="n">
        <v>149.00</v>
      </c>
      <c r="D22580" s="4"/>
    </row>
    <row collapsed="" customFormat="false" customHeight="1" hidden="" ht="14" outlineLevel="0" r="22581">
      <c r="A22581" s="3" t="inlineStr">
        <is>
          <t>22507</t>
        </is>
      </c>
      <c r="B22581" s="4" t="s">
        <f>=HYPERLINK("http://anyluxury.ru/shop/podarki-dlya-doma/igrushki/shapochka-na-igrushku-dress-cup-krasnaya-1696650/" , "16966.50 Шапочка на игрушку Dress Cup, красная")</f>
      </c>
      <c r="C22581" s="4" t="n">
        <v>149.00</v>
      </c>
      <c r="D22581" s="4"/>
    </row>
    <row collapsed="" customFormat="false" customHeight="1" hidden="" ht="14" outlineLevel="0" r="22582">
      <c r="A22582" s="3" t="inlineStr">
        <is>
          <t>22508</t>
        </is>
      </c>
      <c r="B22582" s="4" t="s">
        <f>=HYPERLINK("http://anyluxury.ru/shop/podarki-dlya-doma/igrushki/sharfik-na-igrushku-dress-cup-siniy-1696740/" , "16967.40 Шарфик на игрушку Dress Cup, синий")</f>
      </c>
      <c r="C22582" s="4" t="n">
        <v>129.00</v>
      </c>
      <c r="D22582" s="4"/>
    </row>
    <row collapsed="" customFormat="false" customHeight="1" hidden="" ht="14" outlineLevel="0" r="22583">
      <c r="A22583" s="3" t="inlineStr">
        <is>
          <t>22509</t>
        </is>
      </c>
      <c r="B22583" s="4" t="s">
        <f>=HYPERLINK("http://anyluxury.ru/shop/podarki-dlya-doma/igrushki/sharfik-na-igrushku-dress-cup-krasniy-1696750/" , "16967.50 Шарфик на игрушку Dress Cup, красный")</f>
      </c>
      <c r="C22583" s="4" t="n">
        <v>129.00</v>
      </c>
      <c r="D22583" s="4"/>
    </row>
    <row collapsed="" customFormat="false" customHeight="1" hidden="" ht="14" outlineLevel="0" r="22584">
      <c r="A22584" s="3" t="inlineStr">
        <is>
          <t>22510</t>
        </is>
      </c>
      <c r="B22584" s="4" t="s">
        <f>=HYPERLINK("http://anyluxury.ru/shop/podarki-dlya-doma/igrushki/sharfik-na-igrushku-dress-cup-zeleniy-1696790/" , "16967.90 Шарфик на игрушку Dress Cup, зеленый")</f>
      </c>
      <c r="C22584" s="4" t="n">
        <v>129.00</v>
      </c>
      <c r="D22584" s="4"/>
    </row>
    <row collapsed="" customFormat="false" customHeight="1" hidden="" ht="14" outlineLevel="0" r="22585">
      <c r="A22585" s="3" t="inlineStr">
        <is>
          <t>22511</t>
        </is>
      </c>
      <c r="B22585" s="4" t="s">
        <f>=HYPERLINK("http://anyluxury.ru/shop/podarki-dlya-doma/igrushki/sviter-dlya-myagkoy-igrushki-snugget-temnoseriy-3017110/" , "30171.10 Свитер для мягкой игрушки Snugget, темно-серый")</f>
      </c>
      <c r="C22585" s="4" t="n">
        <v>191.00</v>
      </c>
      <c r="D22585" s="4"/>
    </row>
    <row collapsed="" customFormat="false" customHeight="1" hidden="" ht="14" outlineLevel="0" r="22586">
      <c r="A22586" s="3" t="inlineStr">
        <is>
          <t>22512</t>
        </is>
      </c>
      <c r="B22586" s="4" t="s">
        <f>=HYPERLINK("http://anyluxury.ru/shop/podarki-dlya-doma/igrushki/ryukzak-detskiy-dreki-16793/" , "16793 Рюкзак детский Dreki")</f>
      </c>
      <c r="C22586" s="4" t="n">
        <v>1490.00</v>
      </c>
      <c r="D22586" s="4"/>
    </row>
    <row collapsed="" customFormat="false" customHeight="1" hidden="" ht="14" outlineLevel="0" r="22587">
      <c r="A22587" s="3" t="inlineStr">
        <is>
          <t>22513</t>
        </is>
      </c>
      <c r="B22587" s="4" t="s">
        <f>=HYPERLINK("http://anyluxury.ru/shop/podarki-dlya-doma/igrushki/myagkaya-igrushka-tummy-16794/" , "16794 Мягкая игрушка Tummy")</f>
      </c>
      <c r="C22587" s="4" t="n">
        <v>876.00</v>
      </c>
      <c r="D22587" s="4"/>
    </row>
    <row collapsed="" customFormat="false" customHeight="" hidden="" ht="12.1" outlineLevel="0" r="22588">
      <c r="A22588" s="5" t="inlineStr">
        <is>
          <t> -  - Интерьерные сувениры</t>
        </is>
      </c>
      <c r="B22588" s="6"/>
      <c r="C22588" s="6"/>
      <c r="D22588" s="6"/>
    </row>
    <row collapsed="" customFormat="false" customHeight="1" hidden="" ht="14" outlineLevel="0" r="22589">
      <c r="A22589" s="3" t="inlineStr">
        <is>
          <t>22514</t>
        </is>
      </c>
      <c r="B22589" s="4" t="s">
        <f>=HYPERLINK("http://anyluxury.ru/shop/podarki-dlya-doma/interernye-suveniry/shkatulka-golubi-z2409/" , "Z2409 Шкатулка «Голуби»")</f>
      </c>
      <c r="C22589" s="4" t="n">
        <v>790.00</v>
      </c>
      <c r="D22589" s="4"/>
    </row>
    <row collapsed="" customFormat="false" customHeight="1" hidden="" ht="14" outlineLevel="0" r="22590">
      <c r="A22590" s="3" t="inlineStr">
        <is>
          <t>22515</t>
        </is>
      </c>
      <c r="B22590" s="4" t="s">
        <f>=HYPERLINK("http://anyluxury.ru/shop/podarki-dlya-doma/interernye-suveniry/shkatulka-obezyana-z0762/" , "Z0762 Шкатулка «Обезьяна»")</f>
      </c>
      <c r="C22590" s="4" t="n">
        <v>6990.00</v>
      </c>
      <c r="D22590" s="4"/>
    </row>
    <row collapsed="" customFormat="false" customHeight="1" hidden="" ht="14" outlineLevel="0" r="22591">
      <c r="A22591" s="3" t="inlineStr">
        <is>
          <t>22516</t>
        </is>
      </c>
      <c r="B22591" s="4" t="s">
        <f>=HYPERLINK("http://anyluxury.ru/shop/podarki-dlya-doma/interernye-suveniry/aksessuar-mahaon-z0763/" , "Z0763 Аксессуар «Махаон»")</f>
      </c>
      <c r="C22591" s="4" t="n">
        <v>990.00</v>
      </c>
      <c r="D22591" s="4"/>
    </row>
    <row collapsed="" customFormat="false" customHeight="1" hidden="" ht="14" outlineLevel="0" r="22592">
      <c r="A22592" s="3" t="inlineStr">
        <is>
          <t>22517</t>
        </is>
      </c>
      <c r="B22592" s="4" t="s">
        <f>=HYPERLINK("http://anyluxury.ru/shop/podarki-dlya-doma/interernye-suveniry/statuetka-loshad-na-monetah-z36080/" , "Z36080 Статуэтка «Лошадь на монетах»")</f>
      </c>
      <c r="C22592" s="4" t="n">
        <v>170.00</v>
      </c>
      <c r="D22592" s="4"/>
    </row>
    <row collapsed="" customFormat="false" customHeight="1" hidden="" ht="14" outlineLevel="0" r="22593">
      <c r="A22593" s="3" t="inlineStr">
        <is>
          <t>22518</t>
        </is>
      </c>
      <c r="B22593" s="4" t="s">
        <f>=HYPERLINK("http://anyluxury.ru/shop/podarki-dlya-doma/interernye-suveniry/statuetka-obezyana-z36167/" , "Z36167 Статуэтка «Обезьяна»")</f>
      </c>
      <c r="C22593" s="4" t="n">
        <v>290.00</v>
      </c>
      <c r="D22593" s="4"/>
    </row>
    <row collapsed="" customFormat="false" customHeight="1" hidden="" ht="14" outlineLevel="0" r="22594">
      <c r="A22594" s="3" t="inlineStr">
        <is>
          <t>22519</t>
        </is>
      </c>
      <c r="B22594" s="4" t="s">
        <f>=HYPERLINK("http://anyluxury.ru/shop/podarki-dlya-doma/interernye-suveniry/derzhatel-dlya-klyuchey-i-pisem-magnetter-korichneviy-700359/" , "7003.59 Держатель для ключей и писем Magnetter, коричневый")</f>
      </c>
      <c r="C22594" s="4" t="n">
        <v>1850.00</v>
      </c>
      <c r="D22594" s="4"/>
    </row>
    <row collapsed="" customFormat="false" customHeight="1" hidden="" ht="14" outlineLevel="0" r="22595">
      <c r="A22595" s="3" t="inlineStr">
        <is>
          <t>22520</t>
        </is>
      </c>
      <c r="B22595" s="4" t="s">
        <f>=HYPERLINK("http://anyluxury.ru/shop/podarki-dlya-doma/interernye-suveniry/besprovodnaya-kolonka-melodypot-belaya-784860/" , "7848.60 Беспроводная колонка melodyPot, белая")</f>
      </c>
      <c r="C22595" s="4" t="n">
        <v>1490.00</v>
      </c>
      <c r="D22595" s="4"/>
    </row>
    <row collapsed="" customFormat="false" customHeight="1" hidden="" ht="14" outlineLevel="0" r="22596">
      <c r="A22596" s="3" t="inlineStr">
        <is>
          <t>22521</t>
        </is>
      </c>
      <c r="B22596" s="4" t="s">
        <f>=HYPERLINK("http://anyluxury.ru/shop/podarki-dlya-doma/interernye-suveniry/derzhatel-dlya-kolec-origami-bird-7614/" , "7614 Держатель для колец Origami Bird")</f>
      </c>
      <c r="C22596" s="4" t="n">
        <v>650.00</v>
      </c>
      <c r="D22596" s="4"/>
    </row>
    <row collapsed="" customFormat="false" customHeight="1" hidden="" ht="14" outlineLevel="0" r="22597">
      <c r="A22597" s="3" t="inlineStr">
        <is>
          <t>22522</t>
        </is>
      </c>
      <c r="B22597" s="4" t="s">
        <f>=HYPERLINK("http://anyluxury.ru/shop/podarki-dlya-doma/interernye-suveniry/derzhatel-dlya-kolec-origami-elephant-7615/" , "7615 Держатель для колец Origami Elephant")</f>
      </c>
      <c r="C22597" s="4" t="n">
        <v>650.00</v>
      </c>
      <c r="D22597" s="4"/>
    </row>
    <row collapsed="" customFormat="false" customHeight="1" hidden="" ht="14" outlineLevel="0" r="22598">
      <c r="A22598" s="3" t="inlineStr">
        <is>
          <t>22523</t>
        </is>
      </c>
      <c r="B22598" s="4" t="s">
        <f>=HYPERLINK("http://anyluxury.ru/shop/podarki-dlya-doma/interernye-suveniry/derzhatel-dlya-kolec-origami-rabbit-7616/" , "7616 Держатель для колец Origami Rabbit")</f>
      </c>
      <c r="C22598" s="4" t="n">
        <v>650.00</v>
      </c>
      <c r="D22598" s="4"/>
    </row>
    <row collapsed="" customFormat="false" customHeight="1" hidden="" ht="14" outlineLevel="0" r="22599">
      <c r="A22599" s="3" t="inlineStr">
        <is>
          <t>22524</t>
        </is>
      </c>
      <c r="B22599" s="4" t="s">
        <f>=HYPERLINK("http://anyluxury.ru/shop/podarki-dlya-doma/interernye-suveniry/nabor-dlya-virashhivaniya-funky-kid-1011103/" , "10111.03 Набор для выращивания Funky Kid")</f>
      </c>
      <c r="C22599" s="4" t="n">
        <v>1290.00</v>
      </c>
      <c r="D22599" s="4"/>
    </row>
    <row collapsed="" customFormat="false" customHeight="1" hidden="" ht="14" outlineLevel="0" r="22600">
      <c r="A22600" s="3" t="inlineStr">
        <is>
          <t>22525</t>
        </is>
      </c>
      <c r="B22600" s="4" t="s">
        <f>=HYPERLINK("http://anyluxury.ru/shop/podarki-dlya-doma/interernye-suveniry/nabor-dlya-virashhivaniya-funky-buddy-1011102/" , "10111.02 Набор для выращивания Funky Buddy")</f>
      </c>
      <c r="C22600" s="4" t="n">
        <v>1290.00</v>
      </c>
      <c r="D22600" s="4"/>
    </row>
    <row collapsed="" customFormat="false" customHeight="1" hidden="" ht="14" outlineLevel="0" r="22601">
      <c r="A22601" s="3" t="inlineStr">
        <is>
          <t>22526</t>
        </is>
      </c>
      <c r="B22601" s="4" t="s">
        <f>=HYPERLINK("http://anyluxury.ru/shop/podarki-dlya-doma/interernye-suveniry/nabor-dlya-virashhivaniya-funky-headman-1011101/" , "10111.01 Набор для выращивания Funky Headman")</f>
      </c>
      <c r="C22601" s="4" t="n">
        <v>1290.00</v>
      </c>
      <c r="D22601" s="4"/>
    </row>
    <row collapsed="" customFormat="false" customHeight="1" hidden="" ht="14" outlineLevel="0" r="22602">
      <c r="A22602" s="3" t="inlineStr">
        <is>
          <t>22527</t>
        </is>
      </c>
      <c r="B22602" s="4" t="s">
        <f>=HYPERLINK("http://anyluxury.ru/shop/podarki-dlya-doma/interernye-suveniry/dekorativnaya-nadpis-do-what-you-love-1023930/" , "10239.30 Декоративная надпись Do What You Love")</f>
      </c>
      <c r="C22602" s="4" t="n">
        <v>2390.00</v>
      </c>
      <c r="D22602" s="4"/>
    </row>
    <row collapsed="" customFormat="false" customHeight="1" hidden="" ht="14" outlineLevel="0" r="22603">
      <c r="A22603" s="3" t="inlineStr">
        <is>
          <t>22528</t>
        </is>
      </c>
      <c r="B22603" s="4" t="s">
        <f>=HYPERLINK("http://anyluxury.ru/shop/podarki-dlya-doma/interernye-suveniry/dekor-dlya-sten-mariposa-1024060/" , "10240.60 Декор для стен Mariposa")</f>
      </c>
      <c r="C22603" s="4" t="n">
        <v>900.00</v>
      </c>
      <c r="D22603" s="4"/>
    </row>
    <row collapsed="" customFormat="false" customHeight="1" hidden="" ht="14" outlineLevel="0" r="22604">
      <c r="A22604" s="3" t="inlineStr">
        <is>
          <t>22529</t>
        </is>
      </c>
      <c r="B22604" s="4" t="s">
        <f>=HYPERLINK("http://anyluxury.ru/shop/podarki-dlya-doma/interernye-suveniry/knizhnaya-polka-conceal-1024310/" , "10243.10 Книжная полка Conceal")</f>
      </c>
      <c r="C22604" s="4" t="n">
        <v>1700.00</v>
      </c>
      <c r="D22604" s="4"/>
    </row>
    <row collapsed="" customFormat="false" customHeight="1" hidden="" ht="14" outlineLevel="0" r="22605">
      <c r="A22605" s="3" t="inlineStr">
        <is>
          <t>22530</t>
        </is>
      </c>
      <c r="B22605" s="4" t="s">
        <f>=HYPERLINK("http://anyluxury.ru/shop/podarki-dlya-doma/interernye-suveniry/organayzer-dlya-ukrasheniy-little-black-dress-1024430/" , "10244.30 Органайзер для украшений Little Black Dress")</f>
      </c>
      <c r="C22605" s="4" t="n">
        <v>1000.00</v>
      </c>
      <c r="D22605" s="4"/>
    </row>
    <row collapsed="" customFormat="false" customHeight="1" hidden="" ht="14" outlineLevel="0" r="22606">
      <c r="A22606" s="3" t="inlineStr">
        <is>
          <t>22531</t>
        </is>
      </c>
      <c r="B22606" s="4" t="s">
        <f>=HYPERLINK("http://anyluxury.ru/shop/podarki-dlya-doma/interernye-suveniry/shkatulka-dlya-ukrasheniy-stowit-bolshaya-chernaya-1027430/" , "10274.30 Шкатулка для украшений Stowit, большая, черная")</f>
      </c>
      <c r="C22606" s="4" t="n">
        <v>9850.00</v>
      </c>
      <c r="D22606" s="4"/>
    </row>
    <row collapsed="" customFormat="false" customHeight="1" hidden="" ht="14" outlineLevel="0" r="22607">
      <c r="A22607" s="3" t="inlineStr">
        <is>
          <t>22532</t>
        </is>
      </c>
      <c r="B22607" s="4" t="s">
        <f>=HYPERLINK("http://anyluxury.ru/shop/podarki-dlya-doma/interernye-suveniry/dekor-dlya-sten-chrysalis-cherniy-1027660/" , "10276.60 Декор для стен Chrysalis, черный")</f>
      </c>
      <c r="C22607" s="4" t="n">
        <v>1100.00</v>
      </c>
      <c r="D22607" s="4"/>
    </row>
    <row collapsed="" customFormat="false" customHeight="1" hidden="" ht="14" outlineLevel="0" r="22608">
      <c r="A22608" s="3" t="inlineStr">
        <is>
          <t>22533</t>
        </is>
      </c>
      <c r="B22608" s="4" t="s">
        <f>=HYPERLINK("http://anyluxury.ru/shop/podarki-dlya-doma/interernye-suveniry/fotoramka-prisma-kvadratnaya-med-1027885/" , "10278.85 Фоторамка Prisma, квадратная, медь")</f>
      </c>
      <c r="C22608" s="4" t="n">
        <v>1250.00</v>
      </c>
      <c r="D22608" s="4"/>
    </row>
    <row collapsed="" customFormat="false" customHeight="1" hidden="" ht="14" outlineLevel="0" r="22609">
      <c r="A22609" s="3" t="inlineStr">
        <is>
          <t>22534</t>
        </is>
      </c>
      <c r="B22609" s="4" t="s">
        <f>=HYPERLINK("http://anyluxury.ru/shop/podarki-dlya-doma/interernye-suveniry/panno-dlya-fotografiy-gridart-beloe-1028160/" , "10281.60 Панно для фотографий Gridart, белое")</f>
      </c>
      <c r="C22609" s="4" t="n">
        <v>4350.00</v>
      </c>
      <c r="D22609" s="4"/>
    </row>
    <row collapsed="" customFormat="false" customHeight="1" hidden="" ht="14" outlineLevel="0" r="22610">
      <c r="A22610" s="3" t="inlineStr">
        <is>
          <t>22535</t>
        </is>
      </c>
      <c r="B22610" s="4" t="s">
        <f>=HYPERLINK("http://anyluxury.ru/shop/podarki-dlya-doma/interernye-suveniry/doska-magnitnaya-trigon-belaya-1028460/" , "10284.60 Доска магнитная Trigon, белая")</f>
      </c>
      <c r="C22610" s="4" t="n">
        <v>3800.00</v>
      </c>
      <c r="D22610" s="4"/>
    </row>
    <row collapsed="" customFormat="false" customHeight="1" hidden="" ht="14" outlineLevel="0" r="22611">
      <c r="A22611" s="3" t="inlineStr">
        <is>
          <t>22536</t>
        </is>
      </c>
      <c r="B22611" s="4" t="s">
        <f>=HYPERLINK("http://anyluxury.ru/shop/podarki-dlya-doma/interernye-suveniry/kashpo-dlya-rasteniy-nastolnoe-nesta-1028860/" , "10288.60 Кашпо для растений настольное Nesta")</f>
      </c>
      <c r="C22611" s="4" t="n">
        <v>2590.00</v>
      </c>
      <c r="D22611" s="4"/>
    </row>
    <row collapsed="" customFormat="false" customHeight="1" hidden="" ht="14" outlineLevel="0" r="22612">
      <c r="A22612" s="3" t="inlineStr">
        <is>
          <t>22537</t>
        </is>
      </c>
      <c r="B22612" s="4" t="s">
        <f>=HYPERLINK("http://anyluxury.ru/shop/podarki-dlya-doma/interernye-suveniry/zerkala-dekorativnie-dima-1029530/" , "10295.30 Зеркала декоративные Dima")</f>
      </c>
      <c r="C22612" s="4" t="n">
        <v>3990.00</v>
      </c>
      <c r="D22612" s="4"/>
    </row>
    <row collapsed="" customFormat="false" customHeight="1" hidden="" ht="14" outlineLevel="0" r="22613">
      <c r="A22613" s="3" t="inlineStr">
        <is>
          <t>22538</t>
        </is>
      </c>
      <c r="B22613" s="4" t="s">
        <f>=HYPERLINK("http://anyluxury.ru/shop/podarki-dlya-doma/interernye-suveniry/fotoramka-prisma-bolshaya-chernaya-1029630/" , "10296.30 Фоторамка Prisma, большая, черная")</f>
      </c>
      <c r="C22613" s="4" t="n">
        <v>2216.00</v>
      </c>
      <c r="D22613" s="4"/>
    </row>
    <row collapsed="" customFormat="false" customHeight="1" hidden="" ht="14" outlineLevel="0" r="22614">
      <c r="A22614" s="3" t="inlineStr">
        <is>
          <t>22539</t>
        </is>
      </c>
      <c r="B22614" s="4" t="s">
        <f>=HYPERLINK("http://anyluxury.ru/shop/podarki-dlya-doma/interernye-suveniry/panno-dlya-fotografiy-luna-beloe-1024560/" , "10245.60 Панно для фотографий Luna, белое")</f>
      </c>
      <c r="C22614" s="4" t="n">
        <v>5490.00</v>
      </c>
      <c r="D22614" s="4"/>
    </row>
    <row collapsed="" customFormat="false" customHeight="1" hidden="" ht="14" outlineLevel="0" r="22615">
      <c r="A22615" s="3" t="inlineStr">
        <is>
          <t>22540</t>
        </is>
      </c>
      <c r="B22615" s="4" t="s">
        <f>=HYPERLINK("http://anyluxury.ru/shop/podarki-dlya-doma/interernye-suveniry/vaza-loom-malaya-11475/" , "11475 Ваза Loom, малая")</f>
      </c>
      <c r="C22615" s="4" t="n">
        <v>13306.00</v>
      </c>
      <c r="D22615" s="4"/>
    </row>
    <row collapsed="" customFormat="false" customHeight="1" hidden="" ht="14" outlineLevel="0" r="22616">
      <c r="A22616" s="3" t="inlineStr">
        <is>
          <t>22541</t>
        </is>
      </c>
      <c r="B22616" s="4" t="s">
        <f>=HYPERLINK("http://anyluxury.ru/shop/podarki-dlya-doma/interernye-suveniry/vaza-diamante-bianco-1105260/" , "11052.60 Ваза Diamante Bianco, малая")</f>
      </c>
      <c r="C22616" s="4" t="n">
        <v>989.00</v>
      </c>
      <c r="D22616" s="4"/>
    </row>
    <row collapsed="" customFormat="false" customHeight="1" hidden="" ht="14" outlineLevel="0" r="22617">
      <c r="A22617" s="3" t="inlineStr">
        <is>
          <t>22542</t>
        </is>
      </c>
      <c r="B22617" s="4" t="s">
        <f>=HYPERLINK("http://anyluxury.ru/shop/podarki-dlya-doma/interernye-suveniry/dekorativnaya-kompoziciya-greenbox-wooden-cube-biryuzoviy-1110344/" , "11103.44 Декоративная композиция GreenBox Wooden Cube, бирюзовый")</f>
      </c>
      <c r="C22617" s="4" t="n">
        <v>599.00</v>
      </c>
      <c r="D22617" s="4"/>
    </row>
    <row collapsed="" customFormat="false" customHeight="1" hidden="" ht="14" outlineLevel="0" r="22618">
      <c r="A22618" s="3" t="inlineStr">
        <is>
          <t>22543</t>
        </is>
      </c>
      <c r="B22618" s="4" t="s">
        <f>=HYPERLINK("http://anyluxury.ru/shop/podarki-dlya-doma/interernye-suveniry/zerkalo-woodstock-1107400/" , "11074.00 Зеркало Woodstock")</f>
      </c>
      <c r="C22618" s="4" t="n">
        <v>1190.00</v>
      </c>
      <c r="D22618" s="4"/>
    </row>
    <row collapsed="" customFormat="false" customHeight="1" hidden="" ht="14" outlineLevel="0" r="22619">
      <c r="A22619" s="3" t="inlineStr">
        <is>
          <t>22544</t>
        </is>
      </c>
      <c r="B22619" s="4" t="s">
        <f>=HYPERLINK("http://anyluxury.ru/shop/podarki-dlya-doma/interernye-suveniry/vaza-form-fluid-srednyaya-sinezelenaya-1128395/" , "11283.95 Ваза Form Fluid, средняя, сине-зеленая")</f>
      </c>
      <c r="C22619" s="4" t="n">
        <v>1290.00</v>
      </c>
      <c r="D22619" s="4"/>
    </row>
    <row collapsed="" customFormat="false" customHeight="1" hidden="" ht="14" outlineLevel="0" r="22620">
      <c r="A22620" s="3" t="inlineStr">
        <is>
          <t>22545</t>
        </is>
      </c>
      <c r="B22620" s="4" t="s">
        <f>=HYPERLINK("http://anyluxury.ru/shop/podarki-dlya-doma/interernye-suveniry/shkatulka-form-fluid-bordovaya-1128955/" , "11289.55 Шкатулка Form Fluid, бордовая")</f>
      </c>
      <c r="C22620" s="4" t="n">
        <v>1290.00</v>
      </c>
      <c r="D22620" s="4"/>
    </row>
    <row collapsed="" customFormat="false" customHeight="1" hidden="" ht="14" outlineLevel="0" r="22621">
      <c r="A22621" s="3" t="inlineStr">
        <is>
          <t>22546</t>
        </is>
      </c>
      <c r="B22621" s="4" t="s">
        <f>=HYPERLINK("http://anyluxury.ru/shop/podarki-dlya-doma/interernye-suveniry/shkatulka-form-fluid-zelenaya-1128995/" , "11289.95 Шкатулка Form Fluid, зеленая")</f>
      </c>
      <c r="C22621" s="4" t="n">
        <v>1290.00</v>
      </c>
      <c r="D22621" s="4"/>
    </row>
    <row collapsed="" customFormat="false" customHeight="1" hidden="" ht="14" outlineLevel="0" r="22622">
      <c r="A22622" s="3" t="inlineStr">
        <is>
          <t>22547</t>
        </is>
      </c>
      <c r="B22622" s="4" t="s">
        <f>=HYPERLINK("http://anyluxury.ru/shop/podarki-dlya-doma/interernye-suveniry/gorshok-dlya-orhidei-orchid-pot-beliy-1221460/" , "12214.60 Горшок для орхидеи Orchid Pot, белый")</f>
      </c>
      <c r="C22622" s="4" t="n">
        <v>6650.00</v>
      </c>
      <c r="D22622" s="4"/>
    </row>
    <row collapsed="" customFormat="false" customHeight="1" hidden="" ht="14" outlineLevel="0" r="22623">
      <c r="A22623" s="3" t="inlineStr">
        <is>
          <t>22548</t>
        </is>
      </c>
      <c r="B22623" s="4" t="s">
        <f>=HYPERLINK("http://anyluxury.ru/shop/podarki-dlya-doma/interernye-suveniry/gorshok-dlya-orhidei-s-funkciey-samopoliva-orchid-pot-maliy-beliy-1221560/" , "12215.60 Горшок для орхидеи с функцией самополива Orchid Pot, малый, белый")</f>
      </c>
      <c r="C22623" s="4" t="n">
        <v>3790.00</v>
      </c>
      <c r="D22623" s="4"/>
    </row>
    <row collapsed="" customFormat="false" customHeight="1" hidden="" ht="14" outlineLevel="0" r="22624">
      <c r="A22624" s="3" t="inlineStr">
        <is>
          <t>22549</t>
        </is>
      </c>
      <c r="B22624" s="4" t="s">
        <f>=HYPERLINK("http://anyluxury.ru/shop/podarki-dlya-doma/interernye-suveniry/gorshok-dlya-orhidei-s-funkciey-samopoliva-orchid-pot-bolshoy-beliy-1221660/" , "12216.60 Горшок для орхидеи с функцией самополива Orchid Pot, большой, белый")</f>
      </c>
      <c r="C22624" s="4" t="n">
        <v>4290.00</v>
      </c>
      <c r="D22624" s="4"/>
    </row>
    <row collapsed="" customFormat="false" customHeight="1" hidden="" ht="14" outlineLevel="0" r="22625">
      <c r="A22625" s="3" t="inlineStr">
        <is>
          <t>22550</t>
        </is>
      </c>
      <c r="B22625" s="4" t="s">
        <f>=HYPERLINK("http://anyluxury.ru/shop/podarki-dlya-doma/interernye-suveniry/gorshok-dlya-rasteniy-flowerpot-sredniy-beliy-1221760/" , "12217.60 Горшок для растений Flowerpot, средний, белый")</f>
      </c>
      <c r="C22625" s="4" t="n">
        <v>3790.00</v>
      </c>
      <c r="D22625" s="4"/>
    </row>
    <row collapsed="" customFormat="false" customHeight="1" hidden="" ht="14" outlineLevel="0" r="22626">
      <c r="A22626" s="3" t="inlineStr">
        <is>
          <t>22551</t>
        </is>
      </c>
      <c r="B22626" s="4" t="s">
        <f>=HYPERLINK("http://anyluxury.ru/shop/podarki-dlya-doma/interernye-suveniry/gorshok-dlya-rasteniy-flowerpot-sredniy-seriy-1221710/" , "12217.10 Горшок для растений Flowerpot, средний, серый")</f>
      </c>
      <c r="C22626" s="4" t="n">
        <v>3790.00</v>
      </c>
      <c r="D22626" s="4"/>
    </row>
    <row collapsed="" customFormat="false" customHeight="1" hidden="" ht="14" outlineLevel="0" r="22627">
      <c r="A22627" s="3" t="inlineStr">
        <is>
          <t>22552</t>
        </is>
      </c>
      <c r="B22627" s="4" t="s">
        <f>=HYPERLINK("http://anyluxury.ru/shop/podarki-dlya-doma/interernye-suveniry/gorshok-dlya-rasteniy-flowerpot-bolshoy-beliy-1221860/" , "12218.60 Горшок для растений Flowerpot, большой, белый")</f>
      </c>
      <c r="C22627" s="4" t="n">
        <v>4290.00</v>
      </c>
      <c r="D22627" s="4"/>
    </row>
    <row collapsed="" customFormat="false" customHeight="1" hidden="" ht="14" outlineLevel="0" r="22628">
      <c r="A22628" s="3" t="inlineStr">
        <is>
          <t>22553</t>
        </is>
      </c>
      <c r="B22628" s="4" t="s">
        <f>=HYPERLINK("http://anyluxury.ru/shop/podarki-dlya-doma/interernye-suveniry/gorshok-dlya-rasteniy-flowerpot-s-blyudcem-korichneviy-1221955/" , "12219.55 Горшок для растений Flowerpot, с блюдцем, коричневый")</f>
      </c>
      <c r="C22628" s="4" t="n">
        <v>3850.00</v>
      </c>
      <c r="D22628" s="4"/>
    </row>
    <row collapsed="" customFormat="false" customHeight="1" hidden="" ht="14" outlineLevel="0" r="22629">
      <c r="A22629" s="3" t="inlineStr">
        <is>
          <t>22554</t>
        </is>
      </c>
      <c r="B22629" s="4" t="s">
        <f>=HYPERLINK("http://anyluxury.ru/shop/podarki-dlya-doma/interernye-suveniry/gorshok-dlya-rasteniy-flowerpot-s-blyudcem-pesochniy-1221912/" , "12219.12 Горшок для растений Flowerpot, с блюдцем, песочный")</f>
      </c>
      <c r="C22629" s="4" t="n">
        <v>3850.00</v>
      </c>
      <c r="D22629" s="4"/>
    </row>
    <row collapsed="" customFormat="false" customHeight="1" hidden="" ht="14" outlineLevel="0" r="22630">
      <c r="A22630" s="3" t="inlineStr">
        <is>
          <t>22555</t>
        </is>
      </c>
      <c r="B22630" s="4" t="s">
        <f>=HYPERLINK("http://anyluxury.ru/shop/podarki-dlya-doma/interernye-suveniry/gorshok-dlya-rasteniy-flowerpot-maliy-beliy-1222060/" , "12220.60 Горшок для растений Flowerpot, малый, белый")</f>
      </c>
      <c r="C22630" s="4" t="n">
        <v>2850.00</v>
      </c>
      <c r="D22630" s="4"/>
    </row>
    <row collapsed="" customFormat="false" customHeight="1" hidden="" ht="14" outlineLevel="0" r="22631">
      <c r="A22631" s="3" t="inlineStr">
        <is>
          <t>22556</t>
        </is>
      </c>
      <c r="B22631" s="4" t="s">
        <f>=HYPERLINK("http://anyluxury.ru/shop/podarki-dlya-doma/interernye-suveniry/gorshok-dlya-rasteniy-flowerpot-maliy-seriy-1222010/" , "12220.10 Горшок для растений Flowerpot, малый, серый")</f>
      </c>
      <c r="C22631" s="4" t="n">
        <v>2850.00</v>
      </c>
      <c r="D22631" s="4"/>
    </row>
    <row collapsed="" customFormat="false" customHeight="1" hidden="" ht="14" outlineLevel="0" r="22632">
      <c r="A22632" s="3" t="inlineStr">
        <is>
          <t>22557</t>
        </is>
      </c>
      <c r="B22632" s="4" t="s">
        <f>=HYPERLINK("http://anyluxury.ru/shop/podarki-dlya-doma/interernye-suveniry/gorshok-dlya-rasteniy-flowerpot-farforoviy-goluboy-1222160/" , "12221.60 Горшок для растений Flowerpot, фарфоровый, голубой")</f>
      </c>
      <c r="C22632" s="4" t="n">
        <v>3790.00</v>
      </c>
      <c r="D22632" s="4"/>
    </row>
    <row collapsed="" customFormat="false" customHeight="1" hidden="" ht="14" outlineLevel="0" r="22633">
      <c r="A22633" s="3" t="inlineStr">
        <is>
          <t>22558</t>
        </is>
      </c>
      <c r="B22633" s="4" t="s">
        <f>=HYPERLINK("http://anyluxury.ru/shop/podarki-dlya-doma/interernye-suveniry/gorshok-dlya-rasteniy-flowerpot-farforoviy-beliy-1222166/" , "12221.66 Горшок для растений Flowerpot, фарфоровый, белый")</f>
      </c>
      <c r="C22633" s="4" t="n">
        <v>3790.00</v>
      </c>
      <c r="D22633" s="4"/>
    </row>
    <row collapsed="" customFormat="false" customHeight="1" hidden="" ht="14" outlineLevel="0" r="22634">
      <c r="A22634" s="3" t="inlineStr">
        <is>
          <t>22559</t>
        </is>
      </c>
      <c r="B22634" s="4" t="s">
        <f>=HYPERLINK("http://anyluxury.ru/shop/podarki-dlya-doma/interernye-suveniry/gorshok-dlya-rasteniy-flowerpot-farforoviy-seriy-1222110/" , "12221.10 Горшок для растений Flowerpot, фарфоровый, серый")</f>
      </c>
      <c r="C22634" s="4" t="n">
        <v>3790.00</v>
      </c>
      <c r="D22634" s="4"/>
    </row>
    <row collapsed="" customFormat="false" customHeight="1" hidden="" ht="14" outlineLevel="0" r="22635">
      <c r="A22635" s="3" t="inlineStr">
        <is>
          <t>22560</t>
        </is>
      </c>
      <c r="B22635" s="4" t="s">
        <f>=HYPERLINK("http://anyluxury.ru/shop/podarki-dlya-doma/interernye-suveniry/gorshok-dlya-rasteniy-flowerpot-podvesnoy-beliy-1222260/" , "12222.60 Горшок для растений Flowerpot, подвесной, белый")</f>
      </c>
      <c r="C22635" s="4" t="n">
        <v>4290.00</v>
      </c>
      <c r="D22635" s="4"/>
    </row>
    <row collapsed="" customFormat="false" customHeight="1" hidden="" ht="14" outlineLevel="0" r="22636">
      <c r="A22636" s="3" t="inlineStr">
        <is>
          <t>22561</t>
        </is>
      </c>
      <c r="B22636" s="4" t="s">
        <f>=HYPERLINK("http://anyluxury.ru/shop/podarki-dlya-doma/interernye-suveniry/gorshok-dlya-rasteniy-flowerpot-podvesnoy-seriy-1222210/" , "12222.10 Горшок для растений Flowerpot, подвесной, серый")</f>
      </c>
      <c r="C22636" s="4" t="n">
        <v>4290.00</v>
      </c>
      <c r="D22636" s="4"/>
    </row>
    <row collapsed="" customFormat="false" customHeight="1" hidden="" ht="14" outlineLevel="0" r="22637">
      <c r="A22637" s="3" t="inlineStr">
        <is>
          <t>22562</t>
        </is>
      </c>
      <c r="B22637" s="4" t="s">
        <f>=HYPERLINK("http://anyluxury.ru/shop/podarki-dlya-doma/interernye-suveniry/organayzer-eva-solo-bathroom-cherniy-1486230/" , "14862.30 Органайзер Eva Solo Bathroom, черный")</f>
      </c>
      <c r="C22637" s="4" t="n">
        <v>1900.00</v>
      </c>
      <c r="D22637" s="4"/>
    </row>
    <row collapsed="" customFormat="false" customHeight="1" hidden="" ht="14" outlineLevel="0" r="22638">
      <c r="A22638" s="3" t="inlineStr">
        <is>
          <t>22563</t>
        </is>
      </c>
      <c r="B22638" s="4" t="s">
        <f>=HYPERLINK("http://anyluxury.ru/shop/podarki-dlya-doma/interernye-suveniry/vaza-flora-18007/" , "18007 Ваза Flora")</f>
      </c>
      <c r="C22638" s="4" t="n">
        <v>445.00</v>
      </c>
      <c r="D22638" s="4"/>
    </row>
    <row collapsed="" customFormat="false" customHeight="1" hidden="" ht="14" outlineLevel="0" r="22639">
      <c r="A22639" s="3" t="inlineStr">
        <is>
          <t>22564</t>
        </is>
      </c>
      <c r="B22639" s="4" t="s">
        <f>=HYPERLINK("http://anyluxury.ru/shop/podarki-dlya-doma/interernye-suveniry/dekorativnoe-blyudo-baumstein-1880800/" , "18808.00 Декоративное блюдо Baumstein")</f>
      </c>
      <c r="C22639" s="4" t="n">
        <v>1990.00</v>
      </c>
      <c r="D22639" s="4"/>
    </row>
    <row collapsed="" customFormat="false" customHeight="1" hidden="" ht="14" outlineLevel="0" r="22640">
      <c r="A22640" s="3" t="inlineStr">
        <is>
          <t>22565</t>
        </is>
      </c>
      <c r="B22640" s="4" t="s">
        <f>=HYPERLINK("http://anyluxury.ru/shop/podarki-dlya-doma/interernye-suveniry/vaza-float-vertikalnaya-1881202/" , "18812.02 Ваза Float, вертикальная")</f>
      </c>
      <c r="C22640" s="4" t="n">
        <v>7452.00</v>
      </c>
      <c r="D22640" s="4"/>
    </row>
    <row collapsed="" customFormat="false" customHeight="1" hidden="" ht="14" outlineLevel="0" r="22641">
      <c r="A22641" s="3" t="inlineStr">
        <is>
          <t>22566</t>
        </is>
      </c>
      <c r="B22641" s="4" t="s">
        <f>=HYPERLINK("http://anyluxury.ru/shop/podarki-dlya-doma/interernye-suveniry/vaza-float-kruglaya-1881203/" , "18812.03 Ваза Float, круглая")</f>
      </c>
      <c r="C22641" s="4" t="n">
        <v>7452.00</v>
      </c>
      <c r="D22641" s="4"/>
    </row>
    <row collapsed="" customFormat="false" customHeight="1" hidden="" ht="14" outlineLevel="0" r="22642">
      <c r="A22642" s="3" t="inlineStr">
        <is>
          <t>22567</t>
        </is>
      </c>
      <c r="B22642" s="4" t="s">
        <f>=HYPERLINK("http://anyluxury.ru/shop/podarki-dlya-doma/interernye-suveniry/shkatulkagolovolomka-block-unlock-1366600/" , "13666.00 Шкатулка-головоломка Block Unlock")</f>
      </c>
      <c r="C22642" s="4" t="n">
        <v>3300.00</v>
      </c>
      <c r="D22642" s="4"/>
    </row>
    <row collapsed="" customFormat="false" customHeight="1" hidden="" ht="14" outlineLevel="0" r="22643">
      <c r="A22643" s="3" t="inlineStr">
        <is>
          <t>22568</t>
        </is>
      </c>
      <c r="B22643" s="4" t="s">
        <f>=HYPERLINK("http://anyluxury.ru/shop/podarki-dlya-doma/interernye-suveniry/magnit-s-pechatyu-imant-na-zakaz-1897801/" , "18978.01 Магнит с печатью Imant на заказ, M")</f>
      </c>
      <c r="C22643" s="4" t="n">
        <v>82.32</v>
      </c>
      <c r="D22643" s="4"/>
    </row>
    <row collapsed="" customFormat="false" customHeight="1" hidden="" ht="14" outlineLevel="0" r="22644">
      <c r="A22644" s="3" t="inlineStr">
        <is>
          <t>22569</t>
        </is>
      </c>
      <c r="B22644" s="4" t="s">
        <f>=HYPERLINK("http://anyluxury.ru/shop/podarki-dlya-doma/interernye-suveniry/magnit-s-pechatyu-imant-na-zakaz-s-1897802/" , "18978.02 Магнит с печатью Imant на заказ, S")</f>
      </c>
      <c r="C22644" s="4" t="n">
        <v>51.35</v>
      </c>
      <c r="D22644" s="4"/>
    </row>
    <row collapsed="" customFormat="false" customHeight="1" hidden="" ht="14" outlineLevel="0" r="22645">
      <c r="A22645" s="3" t="inlineStr">
        <is>
          <t>22570</t>
        </is>
      </c>
      <c r="B22645" s="4" t="s">
        <f>=HYPERLINK("http://anyluxury.ru/shop/podarki-dlya-doma/interernye-suveniry/cifrovaya-fotoramka-digma-pf1043-belaya-1539160/" , "15391.60 Цифровая фоторамка Digma PF-1043, белая")</f>
      </c>
      <c r="C22645" s="4" t="n">
        <v>6490.00</v>
      </c>
      <c r="D22645" s="4"/>
    </row>
    <row collapsed="" customFormat="false" customHeight="1" hidden="" ht="14" outlineLevel="0" r="22646">
      <c r="A22646" s="3" t="inlineStr">
        <is>
          <t>22571</t>
        </is>
      </c>
      <c r="B22646" s="4" t="s">
        <f>=HYPERLINK("http://anyluxury.ru/shop/podarki-dlya-doma/interernye-suveniry/cifrovaya-fotoramka-digma-pf1043-chernaya-1539130/" , "15391.30 Цифровая фоторамка Digma PF-1043, черная")</f>
      </c>
      <c r="C22646" s="4" t="n">
        <v>6490.00</v>
      </c>
      <c r="D22646" s="4"/>
    </row>
    <row collapsed="" customFormat="false" customHeight="1" hidden="" ht="14" outlineLevel="0" r="22647">
      <c r="A22647" s="3" t="inlineStr">
        <is>
          <t>22572</t>
        </is>
      </c>
      <c r="B22647" s="4" t="s">
        <f>=HYPERLINK("http://anyluxury.ru/shop/podarki-dlya-doma/interernye-suveniry/cifrovaya-fotoramka-digma-pf733-belaya-1539260/" , "15392.60 Цифровая фоторамка Digma PF-733, белая")</f>
      </c>
      <c r="C22647" s="4" t="n">
        <v>3890.00</v>
      </c>
      <c r="D22647" s="4"/>
    </row>
    <row collapsed="" customFormat="false" customHeight="1" hidden="" ht="14" outlineLevel="0" r="22648">
      <c r="A22648" s="3" t="inlineStr">
        <is>
          <t>22573</t>
        </is>
      </c>
      <c r="B22648" s="4" t="s">
        <f>=HYPERLINK("http://anyluxury.ru/shop/podarki-dlya-doma/interernye-suveniry/cifrovaya-fotoramka-digma-pf733-chernaya-1539230/" , "15392.30 Цифровая фоторамка Digma PF-733, черная")</f>
      </c>
      <c r="C22648" s="4" t="n">
        <v>3890.00</v>
      </c>
      <c r="D22648" s="4"/>
    </row>
    <row collapsed="" customFormat="false" customHeight="1" hidden="" ht="14" outlineLevel="0" r="22649">
      <c r="A22649" s="3" t="inlineStr">
        <is>
          <t>22574</t>
        </is>
      </c>
      <c r="B22649" s="4" t="s">
        <f>=HYPERLINK("http://anyluxury.ru/shop/podarki-dlya-doma/interernye-suveniry/magnit-iz-pvh-info-na-zakaz-1899601/" , "18996.01 Магнит Info на заказ")</f>
      </c>
      <c r="C22649" s="4" t="n">
        <v>176.00</v>
      </c>
      <c r="D22649" s="4"/>
    </row>
    <row collapsed="" customFormat="false" customHeight="1" hidden="" ht="14" outlineLevel="0" r="22650">
      <c r="A22650" s="3" t="inlineStr">
        <is>
          <t>22575</t>
        </is>
      </c>
      <c r="B22650" s="4" t="s">
        <f>=HYPERLINK("http://anyluxury.ru/shop/podarki-dlya-doma/interernye-suveniry/vaza-flora-2-18560/" , "18560 Ваза Flora 2")</f>
      </c>
      <c r="C22650" s="4" t="n">
        <v>590.00</v>
      </c>
      <c r="D22650" s="4"/>
    </row>
    <row collapsed="" customFormat="false" customHeight="1" hidden="" ht="14" outlineLevel="0" r="22651">
      <c r="A22651" s="3" t="inlineStr">
        <is>
          <t>22576</t>
        </is>
      </c>
      <c r="B22651" s="4" t="s">
        <f>=HYPERLINK("http://anyluxury.ru/shop/podarki-dlya-doma/interernye-suveniry/aromatizator-vozduha-savor-flavor-mango-1576401/" , "15764.01 Ароматизатор воздуха Savor Flavor, манго")</f>
      </c>
      <c r="C22651" s="4" t="n">
        <v>1790.00</v>
      </c>
      <c r="D22651" s="4"/>
    </row>
    <row collapsed="" customFormat="false" customHeight="1" hidden="" ht="14" outlineLevel="0" r="22652">
      <c r="A22652" s="3" t="inlineStr">
        <is>
          <t>22577</t>
        </is>
      </c>
      <c r="B22652" s="4" t="s">
        <f>=HYPERLINK("http://anyluxury.ru/shop/podarki-dlya-doma/interernye-suveniry/aromatizator-vozduha-savor-flavor-kedr-i-ambra-1576402/" , "15764.02 Ароматизатор воздуха Savor Flavor, кедр и амбра")</f>
      </c>
      <c r="C22652" s="4" t="n">
        <v>1790.00</v>
      </c>
      <c r="D22652" s="4"/>
    </row>
    <row collapsed="" customFormat="false" customHeight="1" hidden="" ht="14" outlineLevel="0" r="22653">
      <c r="A22653" s="3" t="inlineStr">
        <is>
          <t>22578</t>
        </is>
      </c>
      <c r="B22653" s="4" t="s">
        <f>=HYPERLINK("http://anyluxury.ru/shop/podarki-dlya-doma/interernye-suveniry/aromatizator-vozduha-savor-flavor-tabak-i-vanil-1576403/" , "15764.03 Ароматизатор воздуха Savor Flavor, табак и ваниль")</f>
      </c>
      <c r="C22653" s="4" t="n">
        <v>1790.00</v>
      </c>
      <c r="D22653" s="4"/>
    </row>
    <row collapsed="" customFormat="false" customHeight="1" hidden="" ht="14" outlineLevel="0" r="22654">
      <c r="A22654" s="3" t="inlineStr">
        <is>
          <t>22579</t>
        </is>
      </c>
      <c r="B22654" s="4" t="s">
        <f>=HYPERLINK("http://anyluxury.ru/shop/podarki-dlya-doma/interernye-suveniry/aromatizator-vozduha-savor-flavor-vanilniy-kupazh-1576404/" , "15764.04 Ароматизатор воздуха Savor Flavor, ванильный купаж")</f>
      </c>
      <c r="C22654" s="4" t="n">
        <v>1790.00</v>
      </c>
      <c r="D22654" s="4"/>
    </row>
    <row collapsed="" customFormat="false" customHeight="1" hidden="" ht="14" outlineLevel="0" r="22655">
      <c r="A22655" s="3" t="inlineStr">
        <is>
          <t>22580</t>
        </is>
      </c>
      <c r="B22655" s="4" t="s">
        <f>=HYPERLINK("http://anyluxury.ru/shop/podarki-dlya-doma/interernye-suveniry/aromatizator-vozduha-savor-flavor-shafran-i-vetiver-1576405/" , "15764.05 Ароматизатор воздуха Savor Flavor, шафран и ветивер")</f>
      </c>
      <c r="C22655" s="4" t="n">
        <v>1790.00</v>
      </c>
      <c r="D22655" s="4"/>
    </row>
    <row collapsed="" customFormat="false" customHeight="1" hidden="" ht="14" outlineLevel="0" r="22656">
      <c r="A22656" s="3" t="inlineStr">
        <is>
          <t>22581</t>
        </is>
      </c>
      <c r="B22656" s="4" t="s">
        <f>=HYPERLINK("http://anyluxury.ru/shop/podarki-dlya-doma/interernye-suveniry/aromaticheskiy-diffuzor-savor-flavor-rozmarin-i-neroli-1562601/" , "15626.01 Ароматический диффузор Savor Flavor, розмарин и нероли")</f>
      </c>
      <c r="C22656" s="4" t="n">
        <v>2290.00</v>
      </c>
      <c r="D22656" s="4"/>
    </row>
    <row collapsed="" customFormat="false" customHeight="1" hidden="" ht="14" outlineLevel="0" r="22657">
      <c r="A22657" s="3" t="inlineStr">
        <is>
          <t>22582</t>
        </is>
      </c>
      <c r="B22657" s="4" t="s">
        <f>=HYPERLINK("http://anyluxury.ru/shop/podarki-dlya-doma/interernye-suveniry/aromaticheskiy-diffuzor-savor-flavor-bergamot-i-praline-1562602/" , "15626.02 Ароматический диффузор Savor Flavor, бергамот и пралине")</f>
      </c>
      <c r="C22657" s="4" t="n">
        <v>2290.00</v>
      </c>
      <c r="D22657" s="4"/>
    </row>
    <row collapsed="" customFormat="false" customHeight="1" hidden="" ht="14" outlineLevel="0" r="22658">
      <c r="A22658" s="3" t="inlineStr">
        <is>
          <t>22583</t>
        </is>
      </c>
      <c r="B22658" s="4" t="s">
        <f>=HYPERLINK("http://anyluxury.ru/shop/podarki-dlya-doma/interernye-suveniry/aromaticheskiy-diffuzor-savor-flavor-tabak-i-vanil-1562603/" , "15626.03 Ароматический диффузор Savor Flavor, табак и ваниль")</f>
      </c>
      <c r="C22658" s="4" t="n">
        <v>2290.00</v>
      </c>
      <c r="D22658" s="4"/>
    </row>
    <row collapsed="" customFormat="false" customHeight="1" hidden="" ht="14" outlineLevel="0" r="22659">
      <c r="A22659" s="3" t="inlineStr">
        <is>
          <t>22584</t>
        </is>
      </c>
      <c r="B22659" s="4" t="s">
        <f>=HYPERLINK("http://anyluxury.ru/shop/podarki-dlya-doma/interernye-suveniry/aromaticheskiy-diffuzor-savor-flavor-vanil-i-ambra-1562604/" , "15626.04 Ароматический диффузор Savor Flavor, ваниль и амбра")</f>
      </c>
      <c r="C22659" s="4" t="n">
        <v>2290.00</v>
      </c>
      <c r="D22659" s="4"/>
    </row>
    <row collapsed="" customFormat="false" customHeight="1" hidden="" ht="14" outlineLevel="0" r="22660">
      <c r="A22660" s="3" t="inlineStr">
        <is>
          <t>22585</t>
        </is>
      </c>
      <c r="B22660" s="4" t="s">
        <f>=HYPERLINK("http://anyluxury.ru/shop/podarki-dlya-doma/interernye-suveniry/aromaticheskiy-diffuzor-savor-flavor-kozha-i-drevesina-1562605/" , "15626.05 Ароматический диффузор Savor Flavor, кожа и древесина")</f>
      </c>
      <c r="C22660" s="4" t="n">
        <v>2290.00</v>
      </c>
      <c r="D22660" s="4"/>
    </row>
    <row collapsed="" customFormat="false" customHeight="1" hidden="" ht="14" outlineLevel="0" r="22661">
      <c r="A22661" s="3" t="inlineStr">
        <is>
          <t>22586</t>
        </is>
      </c>
      <c r="B22661" s="4" t="s">
        <f>=HYPERLINK("http://anyluxury.ru/shop/podarki-dlya-doma/interernye-suveniry/diffuzor-aromaticheskiy-aromaharmony-specii-i-drevesina-1622302/" , "16223.02 Диффузор ароматический AromaHarmony, специи и древесина")</f>
      </c>
      <c r="C22661" s="4" t="n">
        <v>350.00</v>
      </c>
      <c r="D22661" s="4"/>
    </row>
    <row collapsed="" customFormat="false" customHeight="1" hidden="" ht="14" outlineLevel="0" r="22662">
      <c r="A22662" s="3" t="inlineStr">
        <is>
          <t>22587</t>
        </is>
      </c>
      <c r="B22662" s="4" t="s">
        <f>=HYPERLINK("http://anyluxury.ru/shop/podarki-dlya-doma/interernye-suveniry/diffuzor-aromaticheskiy-aromaharmony-imbir-i-zhasmin-1622303/" , "16223.03 Диффузор ароматический AromaHarmony, имбирь и жасмин")</f>
      </c>
      <c r="C22662" s="4" t="n">
        <v>350.00</v>
      </c>
      <c r="D22662" s="4"/>
    </row>
    <row collapsed="" customFormat="false" customHeight="1" hidden="" ht="14" outlineLevel="0" r="22663">
      <c r="A22663" s="3" t="inlineStr">
        <is>
          <t>22588</t>
        </is>
      </c>
      <c r="B22663" s="4" t="s">
        <f>=HYPERLINK("http://anyluxury.ru/shop/podarki-dlya-doma/interernye-suveniry/diffuzor-aromaticheskiy-aromaharmony-bergamot-i-bobi-tonka-1622304/" , "16223.04 Диффузор ароматический AromaHarmony, бергамот и бобы тонка")</f>
      </c>
      <c r="C22663" s="4" t="n">
        <v>350.00</v>
      </c>
      <c r="D22663" s="4"/>
    </row>
    <row collapsed="" customFormat="false" customHeight="1" hidden="" ht="14" outlineLevel="0" r="22664">
      <c r="A22664" s="3" t="inlineStr">
        <is>
          <t>22589</t>
        </is>
      </c>
      <c r="B22664" s="4" t="s">
        <f>=HYPERLINK("http://anyluxury.ru/shop/podarki-dlya-doma/interernye-suveniry/diffuzor-aromaticheskiy-aromaharmony-roza-i-lotos-1622305/" , "16223.05 Диффузор ароматический AromaHarmony, роза и лотос")</f>
      </c>
      <c r="C22664" s="4" t="n">
        <v>350.00</v>
      </c>
      <c r="D22664" s="4"/>
    </row>
    <row collapsed="" customFormat="false" customHeight="1" hidden="" ht="14" outlineLevel="0" r="22665">
      <c r="A22665" s="3" t="inlineStr">
        <is>
          <t>22590</t>
        </is>
      </c>
      <c r="B22665" s="4" t="s">
        <f>=HYPERLINK("http://anyluxury.ru/shop/podarki-dlya-doma/interernye-suveniry/diffuzor-stoneglow-candles-kedr-i-kiparis-1622702/" , "16227.02 Диффузор Stoneglow Candles, кедр и кипарис")</f>
      </c>
      <c r="C22665" s="4" t="n">
        <v>4490.00</v>
      </c>
      <c r="D22665" s="4"/>
    </row>
    <row collapsed="" customFormat="false" customHeight="1" hidden="" ht="14" outlineLevel="0" r="22666">
      <c r="A22666" s="3" t="inlineStr">
        <is>
          <t>22591</t>
        </is>
      </c>
      <c r="B22666" s="4" t="s">
        <f>=HYPERLINK("http://anyluxury.ru/shop/podarki-dlya-doma/interernye-suveniry/diffuzor-stoneglow-candles-drevesina-kozha-shafran-1622703/" , "16227.03 Диффузор Stoneglow Candles, древесина, кожа, шафран")</f>
      </c>
      <c r="C22666" s="4" t="n">
        <v>4490.00</v>
      </c>
      <c r="D22666" s="4"/>
    </row>
    <row collapsed="" customFormat="false" customHeight="1" hidden="" ht="14" outlineLevel="0" r="22667">
      <c r="A22667" s="3" t="inlineStr">
        <is>
          <t>22592</t>
        </is>
      </c>
      <c r="B22667" s="4" t="s">
        <f>=HYPERLINK("http://anyluxury.ru/shop/podarki-dlya-doma/interernye-suveniry/diffuzor-stoneglow-candles-ilangilang-i-ambra-1622704/" , "16227.04 Диффузор Stoneglow Candles, иланг-иланг и амбра")</f>
      </c>
      <c r="C22667" s="4" t="n">
        <v>4490.00</v>
      </c>
      <c r="D22667" s="4"/>
    </row>
    <row collapsed="" customFormat="false" customHeight="1" hidden="" ht="14" outlineLevel="0" r="22668">
      <c r="A22668" s="3" t="inlineStr">
        <is>
          <t>22593</t>
        </is>
      </c>
      <c r="B22668" s="4" t="s">
        <f>=HYPERLINK("http://anyluxury.ru/shop/podarki-dlya-doma/interernye-suveniry/diffuzor-stoneglow-candles-sandalovoe-derevo-i-pachuli-1622706/" , "16227.06 Диффузор Stoneglow Candles, сандаловое дерево и пачули")</f>
      </c>
      <c r="C22668" s="4" t="n">
        <v>4490.00</v>
      </c>
      <c r="D22668" s="4"/>
    </row>
    <row collapsed="" customFormat="false" customHeight="1" hidden="" ht="14" outlineLevel="0" r="22669">
      <c r="A22669" s="3" t="inlineStr">
        <is>
          <t>22594</t>
        </is>
      </c>
      <c r="B22669" s="4" t="s">
        <f>=HYPERLINK("http://anyluxury.ru/shop/podarki-dlya-doma/interernye-suveniry/diffuzor-stoneglow-candles-temnaya-ambra-i-vetiver-1622707/" , "16227.07 Диффузор Stoneglow Candles, темная амбра и ветивер")</f>
      </c>
      <c r="C22669" s="4" t="n">
        <v>4490.00</v>
      </c>
      <c r="D22669" s="4"/>
    </row>
    <row collapsed="" customFormat="false" customHeight="1" hidden="" ht="14" outlineLevel="0" r="22670">
      <c r="A22670" s="3" t="inlineStr">
        <is>
          <t>22595</t>
        </is>
      </c>
      <c r="B22670" s="4" t="s">
        <f>=HYPERLINK("http://anyluxury.ru/shop/podarki-dlya-doma/interernye-suveniry/shtormglass-elusive-mist-cherniy-3018130/" , "30181.30 Штормгласс Elusive Mist, черный")</f>
      </c>
      <c r="C22670" s="4" t="n">
        <v>2590.00</v>
      </c>
      <c r="D22670" s="4"/>
    </row>
    <row collapsed="" customFormat="false" customHeight="1" hidden="" ht="14" outlineLevel="0" r="22671">
      <c r="A22671" s="3" t="inlineStr">
        <is>
          <t>22596</t>
        </is>
      </c>
      <c r="B22671" s="4" t="s">
        <f>=HYPERLINK("http://anyluxury.ru/shop/podarki-dlya-doma/interernye-suveniry/nabor-aromatizatorov-vozduha-bago-home-citrus-i-drevesina-1683001/" , "16830.01 Набор ароматизаторов воздуха Bago Home, цитрус и древесина")</f>
      </c>
      <c r="C22671" s="4" t="n">
        <v>1490.00</v>
      </c>
      <c r="D22671" s="4"/>
    </row>
    <row collapsed="" customFormat="false" customHeight="1" hidden="" ht="14" outlineLevel="0" r="22672">
      <c r="A22672" s="3" t="inlineStr">
        <is>
          <t>22597</t>
        </is>
      </c>
      <c r="B22672" s="4" t="s">
        <f>=HYPERLINK("http://anyluxury.ru/shop/podarki-dlya-doma/interernye-suveniry/nabor-aromatizatorov-vozduha-bago-home-marula-i-bergamot-1683002/" , "16830.02 Набор ароматизаторов воздуха Bago Home, марула и бергамот")</f>
      </c>
      <c r="C22672" s="4" t="n">
        <v>1490.00</v>
      </c>
      <c r="D22672" s="4"/>
    </row>
    <row collapsed="" customFormat="false" customHeight="1" hidden="" ht="14" outlineLevel="0" r="22673">
      <c r="A22673" s="3" t="inlineStr">
        <is>
          <t>22598</t>
        </is>
      </c>
      <c r="B22673" s="4" t="s">
        <f>=HYPERLINK("http://anyluxury.ru/shop/podarki-dlya-doma/interernye-suveniry/nabor-aromatizatorov-vozduha-bago-home-roza-i-fialka-1683003/" , "16830.03 Набор ароматизаторов воздуха Bago Home, роза и фиалка")</f>
      </c>
      <c r="C22673" s="4" t="n">
        <v>1490.00</v>
      </c>
      <c r="D22673" s="4"/>
    </row>
    <row collapsed="" customFormat="false" customHeight="1" hidden="" ht="14" outlineLevel="0" r="22674">
      <c r="A22674" s="3" t="inlineStr">
        <is>
          <t>22599</t>
        </is>
      </c>
      <c r="B22674" s="4" t="s">
        <f>=HYPERLINK("http://anyluxury.ru/shop/podarki-dlya-doma/interernye-suveniry/nabor-aromatizatorov-vozduha-bago-home-kedr-i-dushistie-travi-1683004/" , "16830.04 Набор ароматизаторов воздуха Bago Home, кедр и душистые травы")</f>
      </c>
      <c r="C22674" s="4" t="n">
        <v>1490.00</v>
      </c>
      <c r="D22674" s="4"/>
    </row>
    <row collapsed="" customFormat="false" customHeight="1" hidden="" ht="14" outlineLevel="0" r="22675">
      <c r="A22675" s="3" t="inlineStr">
        <is>
          <t>22600</t>
        </is>
      </c>
      <c r="B22675" s="4" t="s">
        <f>=HYPERLINK("http://anyluxury.ru/shop/podarki-dlya-doma/interernye-suveniry/nabor-aromatizatorov-vozduha-bago-home-chernaya-smorodina-i-inzhir-1683005/" , "16830.05 Набор ароматизаторов воздуха Bago Home, черная смородина и инжир")</f>
      </c>
      <c r="C22675" s="4" t="n">
        <v>1490.00</v>
      </c>
      <c r="D22675" s="4"/>
    </row>
    <row collapsed="" customFormat="false" customHeight="1" hidden="" ht="14" outlineLevel="0" r="22676">
      <c r="A22676" s="3" t="inlineStr">
        <is>
          <t>22601</t>
        </is>
      </c>
      <c r="B22676" s="4" t="s">
        <f>=HYPERLINK("http://anyluxury.ru/shop/podarki-dlya-doma/interernye-suveniry/nabor-aromatizatorov-vozduha-bago-home-pobegi-bambuka-1683006/" , "16830.06 Набор ароматизаторов воздуха Bago Home, побеги бамбука")</f>
      </c>
      <c r="C22676" s="4" t="n">
        <v>1490.00</v>
      </c>
      <c r="D22676" s="4"/>
    </row>
    <row collapsed="" customFormat="false" customHeight="1" hidden="" ht="14" outlineLevel="0" r="22677">
      <c r="A22677" s="3" t="inlineStr">
        <is>
          <t>22602</t>
        </is>
      </c>
      <c r="B22677" s="4" t="s">
        <f>=HYPERLINK("http://anyluxury.ru/shop/podarki-dlya-doma/interernye-suveniry/biokamin-sera-1617730/" , "16177.30 Биокамин Sera")</f>
      </c>
      <c r="C22677" s="4" t="n">
        <v>3990.00</v>
      </c>
      <c r="D22677" s="4"/>
    </row>
    <row collapsed="" customFormat="false" customHeight="1" hidden="" ht="14" outlineLevel="0" r="22678">
      <c r="A22678" s="3" t="inlineStr">
        <is>
          <t>22603</t>
        </is>
      </c>
      <c r="B22678" s="4" t="s">
        <f>=HYPERLINK("http://anyluxury.ru/shop/podarki-dlya-doma/interernye-suveniry/biokamin-fuoko-1617830/" , "16178.30 Биокамин Fuoko")</f>
      </c>
      <c r="C22678" s="4" t="n">
        <v>4490.00</v>
      </c>
      <c r="D22678" s="4"/>
    </row>
    <row collapsed="" customFormat="false" customHeight="" hidden="" ht="12.1" outlineLevel="0" r="22679">
      <c r="A22679" s="5" t="inlineStr">
        <is>
          <t> -  - Пледы</t>
        </is>
      </c>
      <c r="B22679" s="6"/>
      <c r="C22679" s="6"/>
      <c r="D22679" s="6"/>
    </row>
    <row collapsed="" customFormat="false" customHeight="1" hidden="" ht="14" outlineLevel="0" r="22680">
      <c r="A22680" s="3" t="inlineStr">
        <is>
          <t>22604</t>
        </is>
      </c>
      <c r="B22680" s="4" t="s">
        <f>=HYPERLINK("http://anyluxury.ru/shop/podarki-dlya-doma/pledy/pled-luxury-beliy-z470560/" , "Z4705.60 Плед Luxury, белый")</f>
      </c>
      <c r="C22680" s="4" t="n">
        <v>19990.00</v>
      </c>
      <c r="D22680" s="4"/>
    </row>
    <row collapsed="" customFormat="false" customHeight="1" hidden="" ht="14" outlineLevel="0" r="22681">
      <c r="A22681" s="3" t="inlineStr">
        <is>
          <t>22605</t>
        </is>
      </c>
      <c r="B22681" s="4" t="s">
        <f>=HYPERLINK("http://anyluxury.ru/shop/podarki-dlya-doma/pledy/pled-dlya-piknika-soft-andamp-dry-yarkosiniy-562444/" , "5624.44 Плед для пикника Soft &amp; Dry, ярко-синий")</f>
      </c>
      <c r="C22681" s="4" t="n">
        <v>1444.00</v>
      </c>
      <c r="D22681" s="4"/>
    </row>
    <row collapsed="" customFormat="false" customHeight="1" hidden="" ht="14" outlineLevel="0" r="22682">
      <c r="A22682" s="3" t="inlineStr">
        <is>
          <t>22606</t>
        </is>
      </c>
      <c r="B22682" s="4" t="s">
        <f>=HYPERLINK("http://anyluxury.ru/shop/podarki-dlya-doma/pledy/pled-qrcode-pesochniycherniy-z35003/" , "Z35003 Плед QR-code, песочный/черный")</f>
      </c>
      <c r="C22682" s="4" t="n">
        <v>19990.00</v>
      </c>
      <c r="D22682" s="4"/>
    </row>
    <row collapsed="" customFormat="false" customHeight="1" hidden="" ht="14" outlineLevel="0" r="22683">
      <c r="A22683" s="3" t="inlineStr">
        <is>
          <t>22607</t>
        </is>
      </c>
      <c r="B22683" s="4" t="s">
        <f>=HYPERLINK("http://anyluxury.ru/shop/podarki-dlya-doma/pledy/pled-dlya-piknika-soft-andamp-dry-zeleniy-562490/" , "5624.90 Плед для пикника Soft &amp; Dry, зеленый")</f>
      </c>
      <c r="C22683" s="4" t="n">
        <v>1444.00</v>
      </c>
      <c r="D22683" s="4"/>
    </row>
    <row collapsed="" customFormat="false" customHeight="1" hidden="" ht="14" outlineLevel="0" r="22684">
      <c r="A22684" s="3" t="inlineStr">
        <is>
          <t>22608</t>
        </is>
      </c>
      <c r="B22684" s="4" t="s">
        <f>=HYPERLINK("http://anyluxury.ru/shop/podarki-dlya-doma/pledy/pled-dlya-piknika-soft-and-dry-temnooranzheviy-562421/" , "5624.21 Плед для пикника Soft &amp; Dry, темно-оранжевый")</f>
      </c>
      <c r="C22684" s="4" t="n">
        <v>1444.00</v>
      </c>
      <c r="D22684" s="4"/>
    </row>
    <row collapsed="" customFormat="false" customHeight="1" hidden="" ht="14" outlineLevel="0" r="22685">
      <c r="A22685" s="3" t="inlineStr">
        <is>
          <t>22609</t>
        </is>
      </c>
      <c r="B22685" s="4" t="s">
        <f>=HYPERLINK("http://anyluxury.ru/shop/podarki-dlya-doma/pledy/pled-dlya-piknika-soft-and-dry-temnokrasniy-562451/" , "5624.51 Плед для пикника Soft &amp; Dry, темно-красный")</f>
      </c>
      <c r="C22685" s="4" t="n">
        <v>1444.00</v>
      </c>
      <c r="D22685" s="4"/>
    </row>
    <row collapsed="" customFormat="false" customHeight="1" hidden="" ht="14" outlineLevel="0" r="22686">
      <c r="A22686" s="3" t="inlineStr">
        <is>
          <t>22610</t>
        </is>
      </c>
      <c r="B22686" s="4" t="s">
        <f>=HYPERLINK("http://anyluxury.ru/shop/podarki-dlya-doma/pledy/pled-dlya-piknika-comfy-oranzheviy-336820/" , "3368.20 Плед для пикника Comfy, оранжевый")</f>
      </c>
      <c r="C22686" s="4" t="n">
        <v>1387.00</v>
      </c>
      <c r="D22686" s="4"/>
    </row>
    <row collapsed="" customFormat="false" customHeight="1" hidden="" ht="14" outlineLevel="0" r="22687">
      <c r="A22687" s="3" t="inlineStr">
        <is>
          <t>22611</t>
        </is>
      </c>
      <c r="B22687" s="4" t="s">
        <f>=HYPERLINK("http://anyluxury.ru/shop/podarki-dlya-doma/pledy/pled-dlya-piknika-comfy-siniy-336840/" , "3368.40 Плед для пикника Comfy, синий")</f>
      </c>
      <c r="C22687" s="4" t="n">
        <v>1387.00</v>
      </c>
      <c r="D22687" s="4"/>
    </row>
    <row collapsed="" customFormat="false" customHeight="1" hidden="" ht="14" outlineLevel="0" r="22688">
      <c r="A22688" s="3" t="inlineStr">
        <is>
          <t>22612</t>
        </is>
      </c>
      <c r="B22688" s="4" t="s">
        <f>=HYPERLINK("http://anyluxury.ru/shop/podarki-dlya-doma/pledy/pled-dlya-piknika-comfy-krasniy-336850/" , "3368.50 Плед для пикника Comfy, красный")</f>
      </c>
      <c r="C22688" s="4" t="n">
        <v>1387.00</v>
      </c>
      <c r="D22688" s="4"/>
    </row>
    <row collapsed="" customFormat="false" customHeight="1" hidden="" ht="14" outlineLevel="0" r="22689">
      <c r="A22689" s="3" t="inlineStr">
        <is>
          <t>22613</t>
        </is>
      </c>
      <c r="B22689" s="4" t="s">
        <f>=HYPERLINK("http://anyluxury.ru/shop/podarki-dlya-doma/pledy/pled-dlya-piknika-comfy-zeleniy-336890/" , "3368.90 Плед для пикника Comfy, зеленый")</f>
      </c>
      <c r="C22689" s="4" t="n">
        <v>1387.00</v>
      </c>
      <c r="D22689" s="4"/>
    </row>
    <row collapsed="" customFormat="false" customHeight="1" hidden="" ht="14" outlineLevel="0" r="22690">
      <c r="A22690" s="3" t="inlineStr">
        <is>
          <t>22614</t>
        </is>
      </c>
      <c r="B22690" s="4" t="s">
        <f>=HYPERLINK("http://anyluxury.ru/shop/podarki-dlya-doma/pledy/pled-stille-bordoviy-702755/" , "7027.55 Плед Stille, бордовый")</f>
      </c>
      <c r="C22690" s="4" t="n">
        <v>5996.00</v>
      </c>
      <c r="D22690" s="4"/>
    </row>
    <row collapsed="" customFormat="false" customHeight="1" hidden="" ht="14" outlineLevel="0" r="22691">
      <c r="A22691" s="3" t="inlineStr">
        <is>
          <t>22615</t>
        </is>
      </c>
      <c r="B22691" s="4" t="s">
        <f>=HYPERLINK("http://anyluxury.ru/shop/podarki-dlya-doma/pledy/pled-stille-zeleniy-702790/" , "7027.90 Плед Stille, зеленый")</f>
      </c>
      <c r="C22691" s="4" t="n">
        <v>5996.00</v>
      </c>
      <c r="D22691" s="4"/>
    </row>
    <row collapsed="" customFormat="false" customHeight="1" hidden="" ht="14" outlineLevel="0" r="22692">
      <c r="A22692" s="3" t="inlineStr">
        <is>
          <t>22616</t>
        </is>
      </c>
      <c r="B22692" s="4" t="s">
        <f>=HYPERLINK("http://anyluxury.ru/shop/podarki-dlya-doma/pledy/pled-pleat-molochnobeliy-760260/" , "7602.60 Плед Pleat, молочно-белый")</f>
      </c>
      <c r="C22692" s="4" t="n">
        <v>2694.00</v>
      </c>
      <c r="D22692" s="4"/>
    </row>
    <row collapsed="" customFormat="false" customHeight="1" hidden="" ht="14" outlineLevel="0" r="22693">
      <c r="A22693" s="3" t="inlineStr">
        <is>
          <t>22617</t>
        </is>
      </c>
      <c r="B22693" s="4" t="s">
        <f>=HYPERLINK("http://anyluxury.ru/shop/podarki-dlya-doma/pledy/pled-pleat-seriy-760210/" , "7602.10 Плед Pleat, серый")</f>
      </c>
      <c r="C22693" s="4" t="n">
        <v>2694.00</v>
      </c>
      <c r="D22693" s="4"/>
    </row>
    <row collapsed="" customFormat="false" customHeight="1" hidden="" ht="14" outlineLevel="0" r="22694">
      <c r="A22694" s="3" t="inlineStr">
        <is>
          <t>22618</t>
        </is>
      </c>
      <c r="B22694" s="4" t="s">
        <f>=HYPERLINK("http://anyluxury.ru/shop/podarki-dlya-doma/pledy/pled-pleat-korichneviy-760259/" , "7602.59 Плед Pleat, коричневый")</f>
      </c>
      <c r="C22694" s="4" t="n">
        <v>2694.00</v>
      </c>
      <c r="D22694" s="4"/>
    </row>
    <row collapsed="" customFormat="false" customHeight="1" hidden="" ht="14" outlineLevel="0" r="22695">
      <c r="A22695" s="3" t="inlineStr">
        <is>
          <t>22619</t>
        </is>
      </c>
      <c r="B22695" s="4" t="s">
        <f>=HYPERLINK("http://anyluxury.ru/shop/podarki-dlya-doma/pledy/flisoviy-pled-warmandpeace-siniy-766940/" , "7669.40 Флисовый плед Warm&amp;Peace, синий")</f>
      </c>
      <c r="C22695" s="4" t="n">
        <v>611.00</v>
      </c>
      <c r="D22695" s="4"/>
    </row>
    <row collapsed="" customFormat="false" customHeight="1" hidden="" ht="14" outlineLevel="0" r="22696">
      <c r="A22696" s="3" t="inlineStr">
        <is>
          <t>22620</t>
        </is>
      </c>
      <c r="B22696" s="4" t="s">
        <f>=HYPERLINK("http://anyluxury.ru/shop/podarki-dlya-doma/pledy/flisoviy-pled-warmandpeace-seriy-766910/" , "7669.10 Флисовый плед Warm&amp;Peace, серый")</f>
      </c>
      <c r="C22696" s="4" t="n">
        <v>611.00</v>
      </c>
      <c r="D22696" s="4"/>
    </row>
    <row collapsed="" customFormat="false" customHeight="1" hidden="" ht="14" outlineLevel="0" r="22697">
      <c r="A22697" s="3" t="inlineStr">
        <is>
          <t>22621</t>
        </is>
      </c>
      <c r="B22697" s="4" t="s">
        <f>=HYPERLINK("http://anyluxury.ru/shop/podarki-dlya-doma/pledy/pled-pleat-siniy-760240/" , "7602.40 Плед Pleat, синий")</f>
      </c>
      <c r="C22697" s="4" t="n">
        <v>2694.00</v>
      </c>
      <c r="D22697" s="4"/>
    </row>
    <row collapsed="" customFormat="false" customHeight="1" hidden="" ht="14" outlineLevel="0" r="22698">
      <c r="A22698" s="3" t="inlineStr">
        <is>
          <t>22622</t>
        </is>
      </c>
      <c r="B22698" s="4" t="s">
        <f>=HYPERLINK("http://anyluxury.ru/shop/podarki-dlya-doma/pledy/pled-morfeo-oranzheviy-1001820/" , "10018.20 Плед Morfeo, оранжевый")</f>
      </c>
      <c r="C22698" s="4" t="n">
        <v>9900.00</v>
      </c>
      <c r="D22698" s="4"/>
    </row>
    <row collapsed="" customFormat="false" customHeight="1" hidden="" ht="14" outlineLevel="0" r="22699">
      <c r="A22699" s="3" t="inlineStr">
        <is>
          <t>22623</t>
        </is>
      </c>
      <c r="B22699" s="4" t="s">
        <f>=HYPERLINK("http://anyluxury.ru/shop/podarki-dlya-doma/pledy/pled-morfeo-bordoviy-1001855/" , "10018.55 Плед Morfeo, бордовый")</f>
      </c>
      <c r="C22699" s="4" t="n">
        <v>7900.00</v>
      </c>
      <c r="D22699" s="4"/>
    </row>
    <row collapsed="" customFormat="false" customHeight="1" hidden="" ht="14" outlineLevel="0" r="22700">
      <c r="A22700" s="3" t="inlineStr">
        <is>
          <t>22624</t>
        </is>
      </c>
      <c r="B22700" s="4" t="s">
        <f>=HYPERLINK("http://anyluxury.ru/shop/podarki-dlya-doma/pledy/pled-morfeo-seriy-1001810/" , "10018.10 Плед Morfeo, серый")</f>
      </c>
      <c r="C22700" s="4" t="n">
        <v>9900.00</v>
      </c>
      <c r="D22700" s="4"/>
    </row>
    <row collapsed="" customFormat="false" customHeight="1" hidden="" ht="14" outlineLevel="0" r="22701">
      <c r="A22701" s="3" t="inlineStr">
        <is>
          <t>22625</t>
        </is>
      </c>
      <c r="B22701" s="4" t="s">
        <f>=HYPERLINK("http://anyluxury.ru/shop/podarki-dlya-doma/pledy/pled-morfeo-zheltiy-1001880/" , "10018.80 Плед Morfeo, желтый")</f>
      </c>
      <c r="C22701" s="4" t="n">
        <v>9900.00</v>
      </c>
      <c r="D22701" s="4"/>
    </row>
    <row collapsed="" customFormat="false" customHeight="1" hidden="" ht="14" outlineLevel="0" r="22702">
      <c r="A22702" s="3" t="inlineStr">
        <is>
          <t>22626</t>
        </is>
      </c>
      <c r="B22702" s="4" t="s">
        <f>=HYPERLINK("http://anyluxury.ru/shop/podarki-dlya-doma/pledy/pled-baltimora-biryuzoviy-1001942/" , "10019.42 Плед Baltimora, бирюзовый")</f>
      </c>
      <c r="C22702" s="4" t="n">
        <v>21900.00</v>
      </c>
      <c r="D22702" s="4"/>
    </row>
    <row collapsed="" customFormat="false" customHeight="1" hidden="" ht="14" outlineLevel="0" r="22703">
      <c r="A22703" s="3" t="inlineStr">
        <is>
          <t>22627</t>
        </is>
      </c>
      <c r="B22703" s="4" t="s">
        <f>=HYPERLINK("http://anyluxury.ru/shop/podarki-dlya-doma/pledy/pled-baltimora-fuksiya-1001957/" , "10019.57 Плед Baltimora, фуксия")</f>
      </c>
      <c r="C22703" s="4" t="n">
        <v>21900.00</v>
      </c>
      <c r="D22703" s="4"/>
    </row>
    <row collapsed="" customFormat="false" customHeight="1" hidden="" ht="14" outlineLevel="0" r="22704">
      <c r="A22704" s="3" t="inlineStr">
        <is>
          <t>22628</t>
        </is>
      </c>
      <c r="B22704" s="4" t="s">
        <f>=HYPERLINK("http://anyluxury.ru/shop/podarki-dlya-doma/pledy/pled-baltimora-korichneviy-1001959/" , "10019.59 Плед Baltimora, коричневый")</f>
      </c>
      <c r="C22704" s="4" t="n">
        <v>21900.00</v>
      </c>
      <c r="D22704" s="4"/>
    </row>
    <row collapsed="" customFormat="false" customHeight="1" hidden="" ht="14" outlineLevel="0" r="22705">
      <c r="A22705" s="3" t="inlineStr">
        <is>
          <t>22629</t>
        </is>
      </c>
      <c r="B22705" s="4" t="s">
        <f>=HYPERLINK("http://anyluxury.ru/shop/podarki-dlya-doma/pledy/pled-baltimora-seriy-1001913/" , "10019.13 Плед Baltimora, серый")</f>
      </c>
      <c r="C22705" s="4" t="n">
        <v>32900.00</v>
      </c>
      <c r="D22705" s="4"/>
    </row>
    <row collapsed="" customFormat="false" customHeight="1" hidden="" ht="14" outlineLevel="0" r="22706">
      <c r="A22706" s="3" t="inlineStr">
        <is>
          <t>22630</t>
        </is>
      </c>
      <c r="B22706" s="4" t="s">
        <f>=HYPERLINK("http://anyluxury.ru/shop/podarki-dlya-doma/pledy/pled-illinois-korichneviy-723359/" , "7233.59 Плед Illinois, коричневый")</f>
      </c>
      <c r="C22706" s="4" t="n">
        <v>16900.00</v>
      </c>
      <c r="D22706" s="4"/>
    </row>
    <row collapsed="" customFormat="false" customHeight="1" hidden="" ht="14" outlineLevel="0" r="22707">
      <c r="A22707" s="3" t="inlineStr">
        <is>
          <t>22631</t>
        </is>
      </c>
      <c r="B22707" s="4" t="s">
        <f>=HYPERLINK("http://anyluxury.ru/shop/podarki-dlya-doma/pledy/pled-illinois-malinoviy-723357/" , "7233.57 Плед Illinois, малиновый")</f>
      </c>
      <c r="C22707" s="4" t="n">
        <v>16900.00</v>
      </c>
      <c r="D22707" s="4"/>
    </row>
    <row collapsed="" customFormat="false" customHeight="1" hidden="" ht="14" outlineLevel="0" r="22708">
      <c r="A22708" s="3" t="inlineStr">
        <is>
          <t>22632</t>
        </is>
      </c>
      <c r="B22708" s="4" t="s">
        <f>=HYPERLINK("http://anyluxury.ru/shop/podarki-dlya-doma/pledy/pled-ermes-biryuzoviy-1002342/" , "10023.42 Плед Ermes, бирюзовый")</f>
      </c>
      <c r="C22708" s="4" t="n">
        <v>24900.00</v>
      </c>
      <c r="D22708" s="4"/>
    </row>
    <row collapsed="" customFormat="false" customHeight="1" hidden="" ht="14" outlineLevel="0" r="22709">
      <c r="A22709" s="3" t="inlineStr">
        <is>
          <t>22633</t>
        </is>
      </c>
      <c r="B22709" s="4" t="s">
        <f>=HYPERLINK("http://anyluxury.ru/shop/podarki-dlya-doma/pledy/pled-ermes-seriy-1002310/" , "10023.10 Плед Ermes, серый")</f>
      </c>
      <c r="C22709" s="4" t="n">
        <v>14900.00</v>
      </c>
      <c r="D22709" s="4"/>
    </row>
    <row collapsed="" customFormat="false" customHeight="1" hidden="" ht="14" outlineLevel="0" r="22710">
      <c r="A22710" s="3" t="inlineStr">
        <is>
          <t>22634</t>
        </is>
      </c>
      <c r="B22710" s="4" t="s">
        <f>=HYPERLINK("http://anyluxury.ru/shop/podarki-dlya-doma/pledy/pled-cosy-siniy-z475940/" , "Z4759.40 Плед Cosy, синий")</f>
      </c>
      <c r="C22710" s="4" t="n">
        <v>14990.00</v>
      </c>
      <c r="D22710" s="4"/>
    </row>
    <row collapsed="" customFormat="false" customHeight="1" hidden="" ht="14" outlineLevel="0" r="22711">
      <c r="A22711" s="3" t="inlineStr">
        <is>
          <t>22635</t>
        </is>
      </c>
      <c r="B22711" s="4" t="s">
        <f>=HYPERLINK("http://anyluxury.ru/shop/podarki-dlya-doma/pledy/pled-diagonal-bezheviy-1009111/" , "10091.11 Плед Diagonal, бежевый")</f>
      </c>
      <c r="C22711" s="4" t="n">
        <v>14990.00</v>
      </c>
      <c r="D22711" s="4"/>
    </row>
    <row collapsed="" customFormat="false" customHeight="1" hidden="" ht="14" outlineLevel="0" r="22712">
      <c r="A22712" s="3" t="inlineStr">
        <is>
          <t>22636</t>
        </is>
      </c>
      <c r="B22712" s="4" t="s">
        <f>=HYPERLINK("http://anyluxury.ru/shop/podarki-dlya-doma/pledy/pledspalnik-snug-siniy-1124740/" , "11247.40 Плед-спальник Snug, синий")</f>
      </c>
      <c r="C22712" s="4" t="n">
        <v>1590.00</v>
      </c>
      <c r="D22712" s="4"/>
    </row>
    <row collapsed="" customFormat="false" customHeight="1" hidden="" ht="14" outlineLevel="0" r="22713">
      <c r="A22713" s="3" t="inlineStr">
        <is>
          <t>22637</t>
        </is>
      </c>
      <c r="B22713" s="4" t="s">
        <f>=HYPERLINK("http://anyluxury.ru/shop/podarki-dlya-doma/pledy/pokrivalo-essential-1063814/" , "10638.14 Покрывало Essential")</f>
      </c>
      <c r="C22713" s="4" t="n">
        <v>4900.00</v>
      </c>
      <c r="D22713" s="4"/>
    </row>
    <row collapsed="" customFormat="false" customHeight="1" hidden="" ht="14" outlineLevel="0" r="22714">
      <c r="A22714" s="3" t="inlineStr">
        <is>
          <t>22638</t>
        </is>
      </c>
      <c r="B22714" s="4" t="s">
        <f>=HYPERLINK("http://anyluxury.ru/shop/podarki-dlya-doma/pledy/pokrivalo-hvoynoe-utro-maloe-gorchichnoe-1063980/" , "10639.80 Покрывало «Хвойное утро», малое, горчичное")</f>
      </c>
      <c r="C22714" s="4" t="n">
        <v>19900.00</v>
      </c>
      <c r="D22714" s="4"/>
    </row>
    <row collapsed="" customFormat="false" customHeight="1" hidden="" ht="14" outlineLevel="0" r="22715">
      <c r="A22715" s="3" t="inlineStr">
        <is>
          <t>22639</t>
        </is>
      </c>
      <c r="B22715" s="4" t="s">
        <f>=HYPERLINK("http://anyluxury.ru/shop/podarki-dlya-doma/pledy/pokrivalo-hvoynoe-utro-maloe-zelenoe-1063990/" , "10639.90 Покрывало «Хвойное утро», малое, зеленое")</f>
      </c>
      <c r="C22715" s="4" t="n">
        <v>19900.00</v>
      </c>
      <c r="D22715" s="4"/>
    </row>
    <row collapsed="" customFormat="false" customHeight="1" hidden="" ht="14" outlineLevel="0" r="22716">
      <c r="A22716" s="3" t="inlineStr">
        <is>
          <t>22640</t>
        </is>
      </c>
      <c r="B22716" s="4" t="s">
        <f>=HYPERLINK("http://anyluxury.ru/shop/podarki-dlya-doma/pledy/pokrivalo-north-stars-temnosinee-1064040/" , "10640.40 Покрывало North Stars, темно-синее")</f>
      </c>
      <c r="C22716" s="4" t="n">
        <v>24900.00</v>
      </c>
      <c r="D22716" s="4"/>
    </row>
    <row collapsed="" customFormat="false" customHeight="1" hidden="" ht="14" outlineLevel="0" r="22717">
      <c r="A22717" s="3" t="inlineStr">
        <is>
          <t>22641</t>
        </is>
      </c>
      <c r="B22717" s="4" t="s">
        <f>=HYPERLINK("http://anyluxury.ru/shop/podarki-dlya-doma/pledy/pokrivalo-russian-north-bezhevoe-1064111/" , "10641.11 Покрывало Russian North, бежевое")</f>
      </c>
      <c r="C22717" s="4" t="n">
        <v>13900.00</v>
      </c>
      <c r="D22717" s="4"/>
    </row>
    <row collapsed="" customFormat="false" customHeight="1" hidden="" ht="14" outlineLevel="0" r="22718">
      <c r="A22718" s="3" t="inlineStr">
        <is>
          <t>22642</t>
        </is>
      </c>
      <c r="B22718" s="4" t="s">
        <f>=HYPERLINK("http://anyluxury.ru/shop/podarki-dlya-doma/pledy/pokrivalo-russian-north-seroe-1064110/" , "10641.10 Покрывало Russian North, серое")</f>
      </c>
      <c r="C22718" s="4" t="n">
        <v>13900.00</v>
      </c>
      <c r="D22718" s="4"/>
    </row>
    <row collapsed="" customFormat="false" customHeight="1" hidden="" ht="14" outlineLevel="0" r="22719">
      <c r="A22719" s="3" t="inlineStr">
        <is>
          <t>22643</t>
        </is>
      </c>
      <c r="B22719" s="4" t="s">
        <f>=HYPERLINK("http://anyluxury.ru/shop/podarki-dlya-doma/pledy/flisoviy-pled-warmandpeace-krasniy-766950/" , "7669.50 Флисовый плед Warm&amp;Peace, красный")</f>
      </c>
      <c r="C22719" s="4" t="n">
        <v>611.00</v>
      </c>
      <c r="D22719" s="4"/>
    </row>
    <row collapsed="" customFormat="false" customHeight="1" hidden="" ht="14" outlineLevel="0" r="22720">
      <c r="A22720" s="3" t="inlineStr">
        <is>
          <t>22644</t>
        </is>
      </c>
      <c r="B22720" s="4" t="s">
        <f>=HYPERLINK("http://anyluxury.ru/shop/podarki-dlya-doma/pledy/flisoviy-pled-warmandpeace-zeleniy-766990/" , "7669.90 Флисовый плед Warm&amp;Peace, зеленый")</f>
      </c>
      <c r="C22720" s="4" t="n">
        <v>611.00</v>
      </c>
      <c r="D22720" s="4"/>
    </row>
    <row collapsed="" customFormat="false" customHeight="1" hidden="" ht="14" outlineLevel="0" r="22721">
      <c r="A22721" s="3" t="inlineStr">
        <is>
          <t>22645</t>
        </is>
      </c>
      <c r="B22721" s="4" t="s">
        <f>=HYPERLINK("http://anyluxury.ru/shop/podarki-dlya-doma/pledy/flisoviy-pled-warmandpeace-oranzheviy-766920/" , "7669.20 Флисовый плед Warm&amp;Peace, оранжевый")</f>
      </c>
      <c r="C22721" s="4" t="n">
        <v>611.00</v>
      </c>
      <c r="D22721" s="4"/>
    </row>
    <row collapsed="" customFormat="false" customHeight="1" hidden="" ht="14" outlineLevel="0" r="22722">
      <c r="A22722" s="3" t="inlineStr">
        <is>
          <t>22646</t>
        </is>
      </c>
      <c r="B22722" s="4" t="s">
        <f>=HYPERLINK("http://anyluxury.ru/shop/podarki-dlya-doma/pledy/dorozhniy-pled-voyager-beliy-1124860/" , "11248.60 Дорожный плед Voyager, белый")</f>
      </c>
      <c r="C22722" s="4" t="n">
        <v>841.00</v>
      </c>
      <c r="D22722" s="4"/>
    </row>
    <row collapsed="" customFormat="false" customHeight="1" hidden="" ht="14" outlineLevel="0" r="22723">
      <c r="A22723" s="3" t="inlineStr">
        <is>
          <t>22647</t>
        </is>
      </c>
      <c r="B22723" s="4" t="s">
        <f>=HYPERLINK("http://anyluxury.ru/shop/podarki-dlya-doma/pledy/dorozhniy-pled-voyager-krasniy-1124850/" , "11248.50 Дорожный плед Voyager, красный")</f>
      </c>
      <c r="C22723" s="4" t="n">
        <v>841.00</v>
      </c>
      <c r="D22723" s="4"/>
    </row>
    <row collapsed="" customFormat="false" customHeight="1" hidden="" ht="14" outlineLevel="0" r="22724">
      <c r="A22724" s="3" t="inlineStr">
        <is>
          <t>22648</t>
        </is>
      </c>
      <c r="B22724" s="4" t="s">
        <f>=HYPERLINK("http://anyluxury.ru/shop/podarki-dlya-doma/pledy/pled-field-yarkosiniy-vasilek-1045344/" , "10453.44 Плед Field, ярко-синий (василек)")</f>
      </c>
      <c r="C22724" s="4" t="n">
        <v>2890.00</v>
      </c>
      <c r="D22724" s="4"/>
    </row>
    <row collapsed="" customFormat="false" customHeight="1" hidden="" ht="14" outlineLevel="0" r="22725">
      <c r="A22725" s="3" t="inlineStr">
        <is>
          <t>22649</t>
        </is>
      </c>
      <c r="B22725" s="4" t="s">
        <f>=HYPERLINK("http://anyluxury.ru/shop/podarki-dlya-doma/pledy/pled-field-biryuzoviy-1045314/" , "10453.14 Плед Field, бирюзовый")</f>
      </c>
      <c r="C22725" s="4" t="n">
        <v>2890.00</v>
      </c>
      <c r="D22725" s="4"/>
    </row>
    <row collapsed="" customFormat="false" customHeight="1" hidden="" ht="14" outlineLevel="0" r="22726">
      <c r="A22726" s="3" t="inlineStr">
        <is>
          <t>22650</t>
        </is>
      </c>
      <c r="B22726" s="4" t="s">
        <f>=HYPERLINK("http://anyluxury.ru/shop/podarki-dlya-doma/pledy/pled-field-molochnobeliy-1045360/" , "10453.60 Плед Field, молочно-белый")</f>
      </c>
      <c r="C22726" s="4" t="n">
        <v>2890.00</v>
      </c>
      <c r="D22726" s="4"/>
    </row>
    <row collapsed="" customFormat="false" customHeight="1" hidden="" ht="14" outlineLevel="0" r="22727">
      <c r="A22727" s="3" t="inlineStr">
        <is>
          <t>22651</t>
        </is>
      </c>
      <c r="B22727" s="4" t="s">
        <f>=HYPERLINK("http://anyluxury.ru/shop/podarki-dlya-doma/pledy/pled-field-krasniy-1045350/" , "10453.50 Плед Field, красный")</f>
      </c>
      <c r="C22727" s="4" t="n">
        <v>2890.00</v>
      </c>
      <c r="D22727" s="4"/>
    </row>
    <row collapsed="" customFormat="false" customHeight="1" hidden="" ht="14" outlineLevel="0" r="22728">
      <c r="A22728" s="3" t="inlineStr">
        <is>
          <t>22652</t>
        </is>
      </c>
      <c r="B22728" s="4" t="s">
        <f>=HYPERLINK("http://anyluxury.ru/shop/podarki-dlya-doma/pledy/pled-field-zeleniy-olivkoviy-1045390/" , "10453.90 Плед Field, зеленый (оливковый)")</f>
      </c>
      <c r="C22728" s="4" t="n">
        <v>2890.00</v>
      </c>
      <c r="D22728" s="4"/>
    </row>
    <row collapsed="" customFormat="false" customHeight="1" hidden="" ht="14" outlineLevel="0" r="22729">
      <c r="A22729" s="3" t="inlineStr">
        <is>
          <t>22653</t>
        </is>
      </c>
      <c r="B22729" s="4" t="s">
        <f>=HYPERLINK("http://anyluxury.ru/shop/podarki-dlya-doma/pledy/pled-field-gorchichniy-1045382/" , "10453.82 Плед Field, горчичный")</f>
      </c>
      <c r="C22729" s="4" t="n">
        <v>2890.00</v>
      </c>
      <c r="D22729" s="4"/>
    </row>
    <row collapsed="" customFormat="false" customHeight="1" hidden="" ht="14" outlineLevel="0" r="22730">
      <c r="A22730" s="3" t="inlineStr">
        <is>
          <t>22654</t>
        </is>
      </c>
      <c r="B22730" s="4" t="s">
        <f>=HYPERLINK("http://anyluxury.ru/shop/podarki-dlya-doma/pledy/pled-field-oranzheviy-1045320/" , "10453.20 Плед Field, оранжевый")</f>
      </c>
      <c r="C22730" s="4" t="n">
        <v>2890.00</v>
      </c>
      <c r="D22730" s="4"/>
    </row>
    <row collapsed="" customFormat="false" customHeight="1" hidden="" ht="14" outlineLevel="0" r="22731">
      <c r="A22731" s="3" t="inlineStr">
        <is>
          <t>22655</t>
        </is>
      </c>
      <c r="B22731" s="4" t="s">
        <f>=HYPERLINK("http://anyluxury.ru/shop/podarki-dlya-doma/pledy/pled-pleat-zeleniy-760290/" , "7602.90 Плед Pleat, зеленый")</f>
      </c>
      <c r="C22731" s="4" t="n">
        <v>2694.00</v>
      </c>
      <c r="D22731" s="4"/>
    </row>
    <row collapsed="" customFormat="false" customHeight="1" hidden="" ht="14" outlineLevel="0" r="22732">
      <c r="A22732" s="3" t="inlineStr">
        <is>
          <t>22656</t>
        </is>
      </c>
      <c r="B22732" s="4" t="s">
        <f>=HYPERLINK("http://anyluxury.ru/shop/podarki-dlya-doma/pledy/dorozhniy-pled-pathway-siniy-1062240/" , "10622.40 Дорожный плед Pathway, синий")</f>
      </c>
      <c r="C22732" s="4" t="n">
        <v>1249.00</v>
      </c>
      <c r="D22732" s="4"/>
    </row>
    <row collapsed="" customFormat="false" customHeight="1" hidden="" ht="14" outlineLevel="0" r="22733">
      <c r="A22733" s="3" t="inlineStr">
        <is>
          <t>22657</t>
        </is>
      </c>
      <c r="B22733" s="4" t="s">
        <f>=HYPERLINK("http://anyluxury.ru/shop/podarki-dlya-doma/pledy/dorozhniy-pled-pathway-krasniy-1062250/" , "10622.50 Дорожный плед Pathway, красный")</f>
      </c>
      <c r="C22733" s="4" t="n">
        <v>1249.00</v>
      </c>
      <c r="D22733" s="4"/>
    </row>
    <row collapsed="" customFormat="false" customHeight="1" hidden="" ht="14" outlineLevel="0" r="22734">
      <c r="A22734" s="3" t="inlineStr">
        <is>
          <t>22658</t>
        </is>
      </c>
      <c r="B22734" s="4" t="s">
        <f>=HYPERLINK("http://anyluxury.ru/shop/podarki-dlya-doma/pledy/flisoviy-pled-warmandpeace-cherniy-766930/" , "7669.30 Флисовый плед Warm&amp;Peace, черный")</f>
      </c>
      <c r="C22734" s="4" t="n">
        <v>611.00</v>
      </c>
      <c r="D22734" s="4"/>
    </row>
    <row collapsed="" customFormat="false" customHeight="1" hidden="" ht="14" outlineLevel="0" r="22735">
      <c r="A22735" s="3" t="inlineStr">
        <is>
          <t>22659</t>
        </is>
      </c>
      <c r="B22735" s="4" t="s">
        <f>=HYPERLINK("http://anyluxury.ru/shop/podarki-dlya-doma/pledy/dorozhniy-pled-voyager-zeleniy-1124890/" , "11248.90 Дорожный плед Voyager, зеленый")</f>
      </c>
      <c r="C22735" s="4" t="n">
        <v>841.00</v>
      </c>
      <c r="D22735" s="4"/>
    </row>
    <row collapsed="" customFormat="false" customHeight="1" hidden="" ht="14" outlineLevel="0" r="22736">
      <c r="A22736" s="3" t="inlineStr">
        <is>
          <t>22660</t>
        </is>
      </c>
      <c r="B22736" s="4" t="s">
        <f>=HYPERLINK("http://anyluxury.ru/shop/podarki-dlya-doma/pledy/pled-lattice-molochnobeliy-1159060/" , "11590.60 Плед Lattice, молочно-белый")</f>
      </c>
      <c r="C22736" s="4" t="n">
        <v>3896.00</v>
      </c>
      <c r="D22736" s="4"/>
    </row>
    <row collapsed="" customFormat="false" customHeight="1" hidden="" ht="14" outlineLevel="0" r="22737">
      <c r="A22737" s="3" t="inlineStr">
        <is>
          <t>22661</t>
        </is>
      </c>
      <c r="B22737" s="4" t="s">
        <f>=HYPERLINK("http://anyluxury.ru/shop/podarki-dlya-doma/pledy/flisoviy-pled-warmandpeace-beliy-766960/" , "7669.60 Флисовый плед Warm&amp;Peace, белый")</f>
      </c>
      <c r="C22737" s="4" t="n">
        <v>611.00</v>
      </c>
      <c r="D22737" s="4"/>
    </row>
    <row collapsed="" customFormat="false" customHeight="1" hidden="" ht="14" outlineLevel="0" r="22738">
      <c r="A22738" s="3" t="inlineStr">
        <is>
          <t>22662</t>
        </is>
      </c>
      <c r="B22738" s="4" t="s">
        <f>=HYPERLINK("http://anyluxury.ru/shop/podarki-dlya-doma/pledy/flisoviy-pled-warmandpeace-fioletoviy-766978/" , "7669.78 Флисовый плед Warm&amp;Peace, фиолетовый")</f>
      </c>
      <c r="C22738" s="4" t="n">
        <v>611.00</v>
      </c>
      <c r="D22738" s="4"/>
    </row>
    <row collapsed="" customFormat="false" customHeight="1" hidden="" ht="14" outlineLevel="0" r="22739">
      <c r="A22739" s="3" t="inlineStr">
        <is>
          <t>22663</t>
        </is>
      </c>
      <c r="B22739" s="4" t="s">
        <f>=HYPERLINK("http://anyluxury.ru/shop/podarki-dlya-doma/pledy/pled-rossi-paint-molochnokorichneviy-1099418/" , "10994.18 Плед Rossi Paint, молочно-коричневый")</f>
      </c>
      <c r="C22739" s="4" t="n">
        <v>21900.00</v>
      </c>
      <c r="D22739" s="4"/>
    </row>
    <row collapsed="" customFormat="false" customHeight="1" hidden="" ht="14" outlineLevel="0" r="22740">
      <c r="A22740" s="3" t="inlineStr">
        <is>
          <t>22664</t>
        </is>
      </c>
      <c r="B22740" s="4" t="s">
        <f>=HYPERLINK("http://anyluxury.ru/shop/podarki-dlya-doma/pledy/pled-rossi-paint-molochnobiryuzoviy-1099414/" , "10994.14 Плед Rossi Paint, молочно-бирюзовый")</f>
      </c>
      <c r="C22740" s="4" t="n">
        <v>21900.00</v>
      </c>
      <c r="D22740" s="4"/>
    </row>
    <row collapsed="" customFormat="false" customHeight="1" hidden="" ht="14" outlineLevel="0" r="22741">
      <c r="A22741" s="3" t="inlineStr">
        <is>
          <t>22665</t>
        </is>
      </c>
      <c r="B22741" s="4" t="s">
        <f>=HYPERLINK("http://anyluxury.ru/shop/podarki-dlya-doma/pledy/pled-rossi-paint-molochnobordoviy-1099415/" , "10994.15 Плед Rossi Paint, молочно-бордовый")</f>
      </c>
      <c r="C22741" s="4" t="n">
        <v>21900.00</v>
      </c>
      <c r="D22741" s="4"/>
    </row>
    <row collapsed="" customFormat="false" customHeight="1" hidden="" ht="14" outlineLevel="0" r="22742">
      <c r="A22742" s="3" t="inlineStr">
        <is>
          <t>22666</t>
        </is>
      </c>
      <c r="B22742" s="4" t="s">
        <f>=HYPERLINK("http://anyluxury.ru/shop/podarki-dlya-doma/pledy/pled-garden-rozoviy-1094515/" , "10945.15 Плед Garden, розовый")</f>
      </c>
      <c r="C22742" s="4" t="n">
        <v>9900.00</v>
      </c>
      <c r="D22742" s="4"/>
    </row>
    <row collapsed="" customFormat="false" customHeight="1" hidden="" ht="14" outlineLevel="0" r="22743">
      <c r="A22743" s="3" t="inlineStr">
        <is>
          <t>22667</t>
        </is>
      </c>
      <c r="B22743" s="4" t="s">
        <f>=HYPERLINK("http://anyluxury.ru/shop/podarki-dlya-doma/pledy/pled-garden-biryuzoviy-1094514/" , "10945.14 Плед Garden, бирюзовый")</f>
      </c>
      <c r="C22743" s="4" t="n">
        <v>9900.00</v>
      </c>
      <c r="D22743" s="4"/>
    </row>
    <row collapsed="" customFormat="false" customHeight="1" hidden="" ht="14" outlineLevel="0" r="22744">
      <c r="A22744" s="3" t="inlineStr">
        <is>
          <t>22668</t>
        </is>
      </c>
      <c r="B22744" s="4" t="s">
        <f>=HYPERLINK("http://anyluxury.ru/shop/podarki-dlya-doma/pledy/pled-garden-bezheviy-1094511/" , "10945.11 Плед Garden, бежевый")</f>
      </c>
      <c r="C22744" s="4" t="n">
        <v>9900.00</v>
      </c>
      <c r="D22744" s="4"/>
    </row>
    <row collapsed="" customFormat="false" customHeight="1" hidden="" ht="14" outlineLevel="0" r="22745">
      <c r="A22745" s="3" t="inlineStr">
        <is>
          <t>22669</t>
        </is>
      </c>
      <c r="B22745" s="4" t="s">
        <f>=HYPERLINK("http://anyluxury.ru/shop/podarki-dlya-doma/pledy/dorozhniy-pled-voyager-oranzheviy-1124820/" , "11248.20 Дорожный плед Voyager, оранжевый")</f>
      </c>
      <c r="C22745" s="4" t="n">
        <v>841.00</v>
      </c>
      <c r="D22745" s="4"/>
    </row>
    <row collapsed="" customFormat="false" customHeight="1" hidden="" ht="14" outlineLevel="0" r="22746">
      <c r="A22746" s="3" t="inlineStr">
        <is>
          <t>22670</t>
        </is>
      </c>
      <c r="B22746" s="4" t="s">
        <f>=HYPERLINK("http://anyluxury.ru/shop/podarki-dlya-doma/pledy/dorozhniy-pled-pathway-oranzheviy-1062220/" , "10622.20 Дорожный плед Pathway, оранжевый")</f>
      </c>
      <c r="C22746" s="4" t="n">
        <v>1249.00</v>
      </c>
      <c r="D22746" s="4"/>
    </row>
    <row collapsed="" customFormat="false" customHeight="1" hidden="" ht="14" outlineLevel="0" r="22747">
      <c r="A22747" s="3" t="inlineStr">
        <is>
          <t>22671</t>
        </is>
      </c>
      <c r="B22747" s="4" t="s">
        <f>=HYPERLINK("http://anyluxury.ru/shop/podarki-dlya-doma/pledy/pled-field-zelenoe-yabloko-1045394/" , "10453.94 Плед Field, зеленое яблоко")</f>
      </c>
      <c r="C22747" s="4" t="n">
        <v>2890.00</v>
      </c>
      <c r="D22747" s="4"/>
    </row>
    <row collapsed="" customFormat="false" customHeight="1" hidden="" ht="14" outlineLevel="0" r="22748">
      <c r="A22748" s="3" t="inlineStr">
        <is>
          <t>22672</t>
        </is>
      </c>
      <c r="B22748" s="4" t="s">
        <f>=HYPERLINK("http://anyluxury.ru/shop/podarki-dlya-doma/pledy/pled-cosy-goluboy-z475914/" , "Z4759.14 Плед Cosy, голубой")</f>
      </c>
      <c r="C22748" s="4" t="n">
        <v>14990.00</v>
      </c>
      <c r="D22748" s="4"/>
    </row>
    <row collapsed="" customFormat="false" customHeight="1" hidden="" ht="14" outlineLevel="0" r="22749">
      <c r="A22749" s="3" t="inlineStr">
        <is>
          <t>22673</t>
        </is>
      </c>
      <c r="B22749" s="4" t="s">
        <f>=HYPERLINK("http://anyluxury.ru/shop/podarki-dlya-doma/pledy/dorozhniy-pled-voyager-seriy-1124810/" , "11248.10 Дорожный плед Voyager, серый")</f>
      </c>
      <c r="C22749" s="4" t="n">
        <v>841.00</v>
      </c>
      <c r="D22749" s="4"/>
    </row>
    <row collapsed="" customFormat="false" customHeight="1" hidden="" ht="14" outlineLevel="0" r="22750">
      <c r="A22750" s="3" t="inlineStr">
        <is>
          <t>22674</t>
        </is>
      </c>
      <c r="B22750" s="4" t="s">
        <f>=HYPERLINK("http://anyluxury.ru/shop/podarki-dlya-doma/pledy/pled-lattice-zeleniy-olivkoviy-1159090/" , "11590.90 Плед Lattice, зеленый меланж (оливковый)")</f>
      </c>
      <c r="C22750" s="4" t="n">
        <v>3896.00</v>
      </c>
      <c r="D22750" s="4"/>
    </row>
    <row collapsed="" customFormat="false" customHeight="1" hidden="" ht="14" outlineLevel="0" r="22751">
      <c r="A22751" s="3" t="inlineStr">
        <is>
          <t>22675</t>
        </is>
      </c>
      <c r="B22751" s="4" t="s">
        <f>=HYPERLINK("http://anyluxury.ru/shop/podarki-dlya-doma/pledy/pled-lattice-bordoviy-1159055/" , "11590.55 Плед Lattice, бордовый")</f>
      </c>
      <c r="C22751" s="4" t="n">
        <v>3896.00</v>
      </c>
      <c r="D22751" s="4"/>
    </row>
    <row collapsed="" customFormat="false" customHeight="1" hidden="" ht="14" outlineLevel="0" r="22752">
      <c r="A22752" s="3" t="inlineStr">
        <is>
          <t>22676</t>
        </is>
      </c>
      <c r="B22752" s="4" t="s">
        <f>=HYPERLINK("http://anyluxury.ru/shop/podarki-dlya-doma/pledy/pled-heat-trick-bezheviy-1287416/" , "12874.16 Плед Heat Trick, бежевый")</f>
      </c>
      <c r="C22752" s="4" t="n">
        <v>3802.00</v>
      </c>
      <c r="D22752" s="4"/>
    </row>
    <row collapsed="" customFormat="false" customHeight="1" hidden="" ht="14" outlineLevel="0" r="22753">
      <c r="A22753" s="3" t="inlineStr">
        <is>
          <t>22677</t>
        </is>
      </c>
      <c r="B22753" s="4" t="s">
        <f>=HYPERLINK("http://anyluxury.ru/shop/podarki-dlya-doma/pledy/pled-remit-bezheviy-1224011/" , "12240.11 Плед Remit, бежевый")</f>
      </c>
      <c r="C22753" s="4" t="n">
        <v>2790.00</v>
      </c>
      <c r="D22753" s="4"/>
    </row>
    <row collapsed="" customFormat="false" customHeight="1" hidden="" ht="14" outlineLevel="0" r="22754">
      <c r="A22754" s="3" t="inlineStr">
        <is>
          <t>22678</t>
        </is>
      </c>
      <c r="B22754" s="4" t="s">
        <f>=HYPERLINK("http://anyluxury.ru/shop/podarki-dlya-doma/pledy/pled-remit-pesochniy-1224012/" , "12240.12 Плед Remit, песочный")</f>
      </c>
      <c r="C22754" s="4" t="n">
        <v>2790.00</v>
      </c>
      <c r="D22754" s="4"/>
    </row>
    <row collapsed="" customFormat="false" customHeight="1" hidden="" ht="14" outlineLevel="0" r="22755">
      <c r="A22755" s="3" t="inlineStr">
        <is>
          <t>22679</t>
        </is>
      </c>
      <c r="B22755" s="4" t="s">
        <f>=HYPERLINK("http://anyluxury.ru/shop/podarki-dlya-doma/pledy/pled-remit-yarkosiniy-vasilek-1224040/" , "12240.40 Плед Remit, ярко-синий (василек)")</f>
      </c>
      <c r="C22755" s="4" t="n">
        <v>2790.00</v>
      </c>
      <c r="D22755" s="4"/>
    </row>
    <row collapsed="" customFormat="false" customHeight="1" hidden="" ht="14" outlineLevel="0" r="22756">
      <c r="A22756" s="3" t="inlineStr">
        <is>
          <t>22680</t>
        </is>
      </c>
      <c r="B22756" s="4" t="s">
        <f>=HYPERLINK("http://anyluxury.ru/shop/podarki-dlya-doma/pledy/pled-remit-temnosiniy-sapfir-1224044/" , "12240.44 Плед Remit, темно-синий (сапфир)")</f>
      </c>
      <c r="C22756" s="4" t="n">
        <v>2790.00</v>
      </c>
      <c r="D22756" s="4"/>
    </row>
    <row collapsed="" customFormat="false" customHeight="1" hidden="" ht="14" outlineLevel="0" r="22757">
      <c r="A22757" s="3" t="inlineStr">
        <is>
          <t>22681</t>
        </is>
      </c>
      <c r="B22757" s="4" t="s">
        <f>=HYPERLINK("http://anyluxury.ru/shop/podarki-dlya-doma/pledy/pled-remit-bordoviy-1224055/" , "12240.55 Плед Remit, бордовый")</f>
      </c>
      <c r="C22757" s="4" t="n">
        <v>2790.00</v>
      </c>
      <c r="D22757" s="4"/>
    </row>
    <row collapsed="" customFormat="false" customHeight="1" hidden="" ht="14" outlineLevel="0" r="22758">
      <c r="A22758" s="3" t="inlineStr">
        <is>
          <t>22682</t>
        </is>
      </c>
      <c r="B22758" s="4" t="s">
        <f>=HYPERLINK("http://anyluxury.ru/shop/podarki-dlya-doma/pledy/pled-remit-temnozeleniy-1224093/" , "12240.93 Плед Remit, темно-зеленый")</f>
      </c>
      <c r="C22758" s="4" t="n">
        <v>2790.00</v>
      </c>
      <c r="D22758" s="4"/>
    </row>
    <row collapsed="" customFormat="false" customHeight="1" hidden="" ht="14" outlineLevel="0" r="22759">
      <c r="A22759" s="3" t="inlineStr">
        <is>
          <t>22683</t>
        </is>
      </c>
      <c r="B22759" s="4" t="s">
        <f>=HYPERLINK("http://anyluxury.ru/shop/podarki-dlya-doma/pledy/pled-stille-temnosiniy-melanzh-702744/" , "7027.44 Плед Stille, темно-синий меланж")</f>
      </c>
      <c r="C22759" s="4" t="n">
        <v>5996.00</v>
      </c>
      <c r="D22759" s="4"/>
    </row>
    <row collapsed="" customFormat="false" customHeight="1" hidden="" ht="14" outlineLevel="0" r="22760">
      <c r="A22760" s="3" t="inlineStr">
        <is>
          <t>22684</t>
        </is>
      </c>
      <c r="B22760" s="4" t="s">
        <f>=HYPERLINK("http://anyluxury.ru/shop/podarki-dlya-doma/pledy/pled-heat-trick-svetloseriy-melanzh-1287411/" , "12874.11 Плед Heat Trick, светло-серый меланж")</f>
      </c>
      <c r="C22760" s="4" t="n">
        <v>3802.00</v>
      </c>
      <c r="D22760" s="4"/>
    </row>
    <row collapsed="" customFormat="false" customHeight="1" hidden="" ht="14" outlineLevel="0" r="22761">
      <c r="A22761" s="3" t="inlineStr">
        <is>
          <t>22685</t>
        </is>
      </c>
      <c r="B22761" s="4" t="s">
        <f>=HYPERLINK("http://anyluxury.ru/shop/podarki-dlya-doma/pledy/flisoviy-pled-warmandpeace-rozoviy-koralloviy-766921/" , "7669.21 Флисовый плед Warm&amp;Peace, розовый (коралловый)")</f>
      </c>
      <c r="C22761" s="4" t="n">
        <v>611.00</v>
      </c>
      <c r="D22761" s="4"/>
    </row>
    <row collapsed="" customFormat="false" customHeight="1" hidden="" ht="14" outlineLevel="0" r="22762">
      <c r="A22762" s="3" t="inlineStr">
        <is>
          <t>22686</t>
        </is>
      </c>
      <c r="B22762" s="4" t="s">
        <f>=HYPERLINK("http://anyluxury.ru/shop/podarki-dlya-doma/pledy/pled-remit-molochnobeliy-1224060/" , "12240.60 Плед Remit, молочно-белый")</f>
      </c>
      <c r="C22762" s="4" t="n">
        <v>2790.00</v>
      </c>
      <c r="D22762" s="4"/>
    </row>
    <row collapsed="" customFormat="false" customHeight="1" hidden="" ht="14" outlineLevel="0" r="22763">
      <c r="A22763" s="3" t="inlineStr">
        <is>
          <t>22687</t>
        </is>
      </c>
      <c r="B22763" s="4" t="s">
        <f>=HYPERLINK("http://anyluxury.ru/shop/podarki-dlya-doma/pledy/pled-medley-bezheviy-2010500/" , "20105.00 Плед Medley, бежево-серый")</f>
      </c>
      <c r="C22763" s="4" t="n">
        <v>19990.00</v>
      </c>
      <c r="D22763" s="4"/>
    </row>
    <row collapsed="" customFormat="false" customHeight="1" hidden="" ht="14" outlineLevel="0" r="22764">
      <c r="A22764" s="3" t="inlineStr">
        <is>
          <t>22688</t>
        </is>
      </c>
      <c r="B22764" s="4" t="s">
        <f>=HYPERLINK("http://anyluxury.ru/shop/podarki-dlya-doma/pledy/pled-medley-seriy-2010510/" , "20105.10 Плед Medley, серый")</f>
      </c>
      <c r="C22764" s="4" t="n">
        <v>19990.00</v>
      </c>
      <c r="D22764" s="4"/>
    </row>
    <row collapsed="" customFormat="false" customHeight="1" hidden="" ht="14" outlineLevel="0" r="22765">
      <c r="A22765" s="3" t="inlineStr">
        <is>
          <t>22689</t>
        </is>
      </c>
      <c r="B22765" s="4" t="s">
        <f>=HYPERLINK("http://anyluxury.ru/shop/podarki-dlya-doma/pledy/pled-medley-krasniy-2010550/" , "20105.50 Плед Medley, красный")</f>
      </c>
      <c r="C22765" s="4" t="n">
        <v>19990.00</v>
      </c>
      <c r="D22765" s="4"/>
    </row>
    <row collapsed="" customFormat="false" customHeight="1" hidden="" ht="14" outlineLevel="0" r="22766">
      <c r="A22766" s="3" t="inlineStr">
        <is>
          <t>22690</t>
        </is>
      </c>
      <c r="B22766" s="4" t="s">
        <f>=HYPERLINK("http://anyluxury.ru/shop/podarki-dlya-doma/pledy/pled-grasse-bezheviy-2010600/" , "20106.00 Плед Grasse, бежево-серый")</f>
      </c>
      <c r="C22766" s="4" t="n">
        <v>24990.00</v>
      </c>
      <c r="D22766" s="4"/>
    </row>
    <row collapsed="" customFormat="false" customHeight="1" hidden="" ht="14" outlineLevel="0" r="22767">
      <c r="A22767" s="3" t="inlineStr">
        <is>
          <t>22691</t>
        </is>
      </c>
      <c r="B22767" s="4" t="s">
        <f>=HYPERLINK("http://anyluxury.ru/shop/podarki-dlya-doma/pledy/pled-grasse-beliy-2010660/" , "20106.60 Плед Grasse, белый")</f>
      </c>
      <c r="C22767" s="4" t="n">
        <v>15314.00</v>
      </c>
      <c r="D22767" s="4"/>
    </row>
    <row collapsed="" customFormat="false" customHeight="1" hidden="" ht="14" outlineLevel="0" r="22768">
      <c r="A22768" s="3" t="inlineStr">
        <is>
          <t>22692</t>
        </is>
      </c>
      <c r="B22768" s="4" t="s">
        <f>=HYPERLINK("http://anyluxury.ru/shop/podarki-dlya-doma/pledy/pled-grasse-siniy-2010640/" , "20106.40 Плед Grasse, синий")</f>
      </c>
      <c r="C22768" s="4" t="n">
        <v>24990.00</v>
      </c>
      <c r="D22768" s="4"/>
    </row>
    <row collapsed="" customFormat="false" customHeight="1" hidden="" ht="14" outlineLevel="0" r="22769">
      <c r="A22769" s="3" t="inlineStr">
        <is>
          <t>22693</t>
        </is>
      </c>
      <c r="B22769" s="4" t="s">
        <f>=HYPERLINK("http://anyluxury.ru/shop/podarki-dlya-doma/pledy/pled-jotta-siniy-2010740/" , "20107.40 Плед Jotta, синий")</f>
      </c>
      <c r="C22769" s="4" t="n">
        <v>13990.00</v>
      </c>
      <c r="D22769" s="4"/>
    </row>
    <row collapsed="" customFormat="false" customHeight="1" hidden="" ht="14" outlineLevel="0" r="22770">
      <c r="A22770" s="3" t="inlineStr">
        <is>
          <t>22694</t>
        </is>
      </c>
      <c r="B22770" s="4" t="s">
        <f>=HYPERLINK("http://anyluxury.ru/shop/podarki-dlya-doma/pledy/pled-jotta-bezheviy-2010700/" , "20107.00 Плед Jotta, бежевый")</f>
      </c>
      <c r="C22770" s="4" t="n">
        <v>9990.00</v>
      </c>
      <c r="D22770" s="4"/>
    </row>
    <row collapsed="" customFormat="false" customHeight="1" hidden="" ht="14" outlineLevel="0" r="22771">
      <c r="A22771" s="3" t="inlineStr">
        <is>
          <t>22695</t>
        </is>
      </c>
      <c r="B22771" s="4" t="s">
        <f>=HYPERLINK("http://anyluxury.ru/shop/podarki-dlya-doma/pledy/pled-jotta-seriy-2010710/" , "20107.10 Плед Jotta, серый")</f>
      </c>
      <c r="C22771" s="4" t="n">
        <v>13990.00</v>
      </c>
      <c r="D22771" s="4"/>
    </row>
    <row collapsed="" customFormat="false" customHeight="1" hidden="" ht="14" outlineLevel="0" r="22772">
      <c r="A22772" s="3" t="inlineStr">
        <is>
          <t>22696</t>
        </is>
      </c>
      <c r="B22772" s="4" t="s">
        <f>=HYPERLINK("http://anyluxury.ru/shop/podarki-dlya-doma/pledy/pled-stille-krasniy-702750/" , "7027.50 Плед Stille, красный")</f>
      </c>
      <c r="C22772" s="4" t="n">
        <v>5996.00</v>
      </c>
      <c r="D22772" s="4"/>
    </row>
    <row collapsed="" customFormat="false" customHeight="1" hidden="" ht="14" outlineLevel="0" r="22773">
      <c r="A22773" s="3" t="inlineStr">
        <is>
          <t>22697</t>
        </is>
      </c>
      <c r="B22773" s="4" t="s">
        <f>=HYPERLINK("http://anyluxury.ru/shop/podarki-dlya-doma/pledy/dorozhniy-pled-voyager-cherniy-1124830/" , "11248.30 Дорожный плед Voyager, черный")</f>
      </c>
      <c r="C22773" s="4" t="n">
        <v>841.00</v>
      </c>
      <c r="D22773" s="4"/>
    </row>
    <row collapsed="" customFormat="false" customHeight="1" hidden="" ht="14" outlineLevel="0" r="22774">
      <c r="A22774" s="3" t="inlineStr">
        <is>
          <t>22698</t>
        </is>
      </c>
      <c r="B22774" s="4" t="s">
        <f>=HYPERLINK("http://anyluxury.ru/shop/podarki-dlya-doma/pledy/dorozhniy-pled-voyager-yarkosiniy-1124844/" , "11248.44 Дорожный плед Voyager, ярко-синий")</f>
      </c>
      <c r="C22774" s="4" t="n">
        <v>841.00</v>
      </c>
      <c r="D22774" s="4"/>
    </row>
    <row collapsed="" customFormat="false" customHeight="1" hidden="" ht="14" outlineLevel="0" r="22775">
      <c r="A22775" s="3" t="inlineStr">
        <is>
          <t>22699</t>
        </is>
      </c>
      <c r="B22775" s="4" t="s">
        <f>=HYPERLINK("http://anyluxury.ru/shop/podarki-dlya-doma/pledy/dorozhniy-pled-voyager-zheltiy-1124880/" , "11248.80 Дорожный плед Voyager, желтый")</f>
      </c>
      <c r="C22775" s="4" t="n">
        <v>839.00</v>
      </c>
      <c r="D22775" s="4"/>
    </row>
    <row collapsed="" customFormat="false" customHeight="1" hidden="" ht="14" outlineLevel="0" r="22776">
      <c r="A22776" s="3" t="inlineStr">
        <is>
          <t>22700</t>
        </is>
      </c>
      <c r="B22776" s="4" t="s">
        <f>=HYPERLINK("http://anyluxury.ru/shop/podarki-dlya-doma/pledy/dorozhniy-pled-voyager-fioletoviy-1124878/" , "11248.78 Дорожный плед Voyager, фиолетовый")</f>
      </c>
      <c r="C22776" s="4" t="n">
        <v>839.00</v>
      </c>
      <c r="D22776" s="4"/>
    </row>
    <row collapsed="" customFormat="false" customHeight="1" hidden="" ht="14" outlineLevel="0" r="22777">
      <c r="A22777" s="3" t="inlineStr">
        <is>
          <t>22701</t>
        </is>
      </c>
      <c r="B22777" s="4" t="s">
        <f>=HYPERLINK("http://anyluxury.ru/shop/podarki-dlya-doma/pledy/dorozhniy-pled-voyager-rozoviy-koralloviy-1124821/" , "11248.21 Дорожный плед Voyager, розовый (коралловый)")</f>
      </c>
      <c r="C22777" s="4" t="n">
        <v>839.00</v>
      </c>
      <c r="D22777" s="4"/>
    </row>
    <row collapsed="" customFormat="false" customHeight="1" hidden="" ht="14" outlineLevel="0" r="22778">
      <c r="A22778" s="3" t="inlineStr">
        <is>
          <t>22702</t>
        </is>
      </c>
      <c r="B22778" s="4" t="s">
        <f>=HYPERLINK("http://anyluxury.ru/shop/podarki-dlya-doma/pledy/flisoviy-pled-warmandpeace-zheltiy-766980/" , "7669.80 Флисовый плед Warm&amp;Peace, желтый")</f>
      </c>
      <c r="C22778" s="4" t="n">
        <v>611.00</v>
      </c>
      <c r="D22778" s="4"/>
    </row>
    <row collapsed="" customFormat="false" customHeight="1" hidden="" ht="14" outlineLevel="0" r="22779">
      <c r="A22779" s="3" t="inlineStr">
        <is>
          <t>22703</t>
        </is>
      </c>
      <c r="B22779" s="4" t="s">
        <f>=HYPERLINK("http://anyluxury.ru/shop/podarki-dlya-doma/pledy/dorozhniy-pled-pathway-yarkosiniy-1062244/" , "10622.44 Дорожный плед Pathway, ярко-синий")</f>
      </c>
      <c r="C22779" s="4" t="n">
        <v>1249.00</v>
      </c>
      <c r="D22779" s="4"/>
    </row>
    <row collapsed="" customFormat="false" customHeight="1" hidden="" ht="14" outlineLevel="0" r="22780">
      <c r="A22780" s="3" t="inlineStr">
        <is>
          <t>22704</t>
        </is>
      </c>
      <c r="B22780" s="4" t="s">
        <f>=HYPERLINK("http://anyluxury.ru/shop/podarki-dlya-doma/pledy/dorozhniy-pled-pathway-seriy-1062210/" , "10622.10 Дорожный плед Pathway, серый")</f>
      </c>
      <c r="C22780" s="4" t="n">
        <v>1249.00</v>
      </c>
      <c r="D22780" s="4"/>
    </row>
    <row collapsed="" customFormat="false" customHeight="1" hidden="" ht="14" outlineLevel="0" r="22781">
      <c r="A22781" s="3" t="inlineStr">
        <is>
          <t>22705</t>
        </is>
      </c>
      <c r="B22781" s="4" t="s">
        <f>=HYPERLINK("http://anyluxury.ru/shop/podarki-dlya-doma/pledy/dorozhniy-pled-pathway-zeleniy-1062290/" , "10622.90 Дорожный плед Pathway, зеленый")</f>
      </c>
      <c r="C22781" s="4" t="n">
        <v>1249.00</v>
      </c>
      <c r="D22781" s="4"/>
    </row>
    <row collapsed="" customFormat="false" customHeight="1" hidden="" ht="14" outlineLevel="0" r="22782">
      <c r="A22782" s="3" t="inlineStr">
        <is>
          <t>22706</t>
        </is>
      </c>
      <c r="B22782" s="4" t="s">
        <f>=HYPERLINK("http://anyluxury.ru/shop/podarki-dlya-doma/pledy/pledspalnik-snug-seriy-1124710/" , "11247.10 Плед-спальник Snug, серый")</f>
      </c>
      <c r="C22782" s="4" t="n">
        <v>1590.00</v>
      </c>
      <c r="D22782" s="4"/>
    </row>
    <row collapsed="" customFormat="false" customHeight="1" hidden="" ht="14" outlineLevel="0" r="22783">
      <c r="A22783" s="3" t="inlineStr">
        <is>
          <t>22707</t>
        </is>
      </c>
      <c r="B22783" s="4" t="s">
        <f>=HYPERLINK("http://anyluxury.ru/shop/podarki-dlya-doma/pledy/pledspalnik-snug-zeleniy-1124790/" , "11247.90 Плед-спальник Snug, зеленый")</f>
      </c>
      <c r="C22783" s="4" t="n">
        <v>1590.00</v>
      </c>
      <c r="D22783" s="4"/>
    </row>
    <row collapsed="" customFormat="false" customHeight="1" hidden="" ht="14" outlineLevel="0" r="22784">
      <c r="A22784" s="3" t="inlineStr">
        <is>
          <t>22708</t>
        </is>
      </c>
      <c r="B22784" s="4" t="s">
        <f>=HYPERLINK("http://anyluxury.ru/shop/podarki-dlya-doma/pledy/pled-shirr-seriy-melanzh-2127711/" , "21277.11 Плед Shirr, серый меланж")</f>
      </c>
      <c r="C22784" s="4" t="n">
        <v>7232.00</v>
      </c>
      <c r="D22784" s="4"/>
    </row>
    <row collapsed="" customFormat="false" customHeight="1" hidden="" ht="14" outlineLevel="0" r="22785">
      <c r="A22785" s="3" t="inlineStr">
        <is>
          <t>22709</t>
        </is>
      </c>
      <c r="B22785" s="4" t="s">
        <f>=HYPERLINK("http://anyluxury.ru/shop/podarki-dlya-doma/pledy/pled-shirr-siniy-denim-2127743/" , "21277.43 Плед Shirr, синий (деним)")</f>
      </c>
      <c r="C22785" s="4" t="n">
        <v>7232.00</v>
      </c>
      <c r="D22785" s="4"/>
    </row>
    <row collapsed="" customFormat="false" customHeight="1" hidden="" ht="14" outlineLevel="0" r="22786">
      <c r="A22786" s="3" t="inlineStr">
        <is>
          <t>22710</t>
        </is>
      </c>
      <c r="B22786" s="4" t="s">
        <f>=HYPERLINK("http://anyluxury.ru/shop/podarki-dlya-doma/pledy/pled-shirr-molochnobeliy-2127760/" , "21277.60 Плед Shirr, молочно-белый")</f>
      </c>
      <c r="C22786" s="4" t="n">
        <v>7232.00</v>
      </c>
      <c r="D22786" s="4"/>
    </row>
    <row collapsed="" customFormat="false" customHeight="1" hidden="" ht="14" outlineLevel="0" r="22787">
      <c r="A22787" s="3" t="inlineStr">
        <is>
          <t>22711</t>
        </is>
      </c>
      <c r="B22787" s="4" t="s">
        <f>=HYPERLINK("http://anyluxury.ru/shop/podarki-dlya-doma/pledy/pled-shirr-zeleniy-olivkoviy-2127790/" , "21277.90 Плед Shirr, зеленый (оливковый)")</f>
      </c>
      <c r="C22787" s="4" t="n">
        <v>7232.00</v>
      </c>
      <c r="D22787" s="4"/>
    </row>
    <row collapsed="" customFormat="false" customHeight="1" hidden="" ht="14" outlineLevel="0" r="22788">
      <c r="A22788" s="3" t="inlineStr">
        <is>
          <t>22712</t>
        </is>
      </c>
      <c r="B22788" s="4" t="s">
        <f>=HYPERLINK("http://anyluxury.ru/shop/podarki-dlya-doma/pledy/pled-remit-nebesnogoluboy-1224041/" , "12240.41 Плед Remit, небесно-голубой")</f>
      </c>
      <c r="C22788" s="4" t="n">
        <v>2790.00</v>
      </c>
      <c r="D22788" s="4"/>
    </row>
    <row collapsed="" customFormat="false" customHeight="1" hidden="" ht="14" outlineLevel="0" r="22789">
      <c r="A22789" s="3" t="inlineStr">
        <is>
          <t>22713</t>
        </is>
      </c>
      <c r="B22789" s="4" t="s">
        <f>=HYPERLINK("http://anyluxury.ru/shop/podarki-dlya-doma/pledy/pled-dlya-piknika-comfy-seriy-336810/" , "3368.10 Плед для пикника Comfy, серый")</f>
      </c>
      <c r="C22789" s="4" t="n">
        <v>1387.00</v>
      </c>
      <c r="D22789" s="4"/>
    </row>
    <row collapsed="" customFormat="false" customHeight="1" hidden="" ht="14" outlineLevel="0" r="22790">
      <c r="A22790" s="3" t="inlineStr">
        <is>
          <t>22714</t>
        </is>
      </c>
      <c r="B22790" s="4" t="s">
        <f>=HYPERLINK("http://anyluxury.ru/shop/podarki-dlya-doma/pledy/pled-dlya-piknika-soft-and-dry-seriy-562410/" , "5624.10 Плед для пикника Soft &amp; Dry, серый")</f>
      </c>
      <c r="C22790" s="4" t="n">
        <v>1444.00</v>
      </c>
      <c r="D22790" s="4"/>
    </row>
    <row collapsed="" customFormat="false" customHeight="1" hidden="" ht="14" outlineLevel="0" r="22791">
      <c r="A22791" s="3" t="inlineStr">
        <is>
          <t>22715</t>
        </is>
      </c>
      <c r="B22791" s="4" t="s">
        <f>=HYPERLINK("http://anyluxury.ru/shop/podarki-dlya-doma/pledy/pled-remit-krasniy-1224050/" , "12240.50 Плед Remit, красный")</f>
      </c>
      <c r="C22791" s="4" t="n">
        <v>2790.00</v>
      </c>
      <c r="D22791" s="4"/>
    </row>
    <row collapsed="" customFormat="false" customHeight="1" hidden="" ht="14" outlineLevel="0" r="22792">
      <c r="A22792" s="3" t="inlineStr">
        <is>
          <t>22716</t>
        </is>
      </c>
      <c r="B22792" s="4" t="s">
        <f>=HYPERLINK("http://anyluxury.ru/shop/podarki-dlya-doma/pledy/pled-farbe-bordoviy-1702755/" , "17027.55 Плед Farbe, бордовый")</f>
      </c>
      <c r="C22792" s="4" t="n">
        <v>5897.00</v>
      </c>
      <c r="D22792" s="4"/>
    </row>
    <row collapsed="" customFormat="false" customHeight="1" hidden="" ht="14" outlineLevel="0" r="22793">
      <c r="A22793" s="3" t="inlineStr">
        <is>
          <t>22717</t>
        </is>
      </c>
      <c r="B22793" s="4" t="s">
        <f>=HYPERLINK("http://anyluxury.ru/shop/podarki-dlya-doma/pledy/pled-dlya-piknika-comfy-cherniy-336830/" , "3368.30 Плед для пикника Comfy, черный")</f>
      </c>
      <c r="C22793" s="4" t="n">
        <v>1387.00</v>
      </c>
      <c r="D22793" s="4"/>
    </row>
    <row collapsed="" customFormat="false" customHeight="1" hidden="" ht="14" outlineLevel="0" r="22794">
      <c r="A22794" s="3" t="inlineStr">
        <is>
          <t>22718</t>
        </is>
      </c>
      <c r="B22794" s="4" t="s">
        <f>=HYPERLINK("http://anyluxury.ru/shop/podarki-dlya-doma/pledy/pled-dlya-piknika-soft-and-dry-cherniy-562430/" , "5624.30 Плед для пикника Soft &amp; Dry, черный")</f>
      </c>
      <c r="C22794" s="4" t="n">
        <v>1444.00</v>
      </c>
      <c r="D22794" s="4"/>
    </row>
    <row collapsed="" customFormat="false" customHeight="1" hidden="" ht="14" outlineLevel="0" r="22795">
      <c r="A22795" s="3" t="inlineStr">
        <is>
          <t>22719</t>
        </is>
      </c>
      <c r="B22795" s="4" t="s">
        <f>=HYPERLINK("http://anyluxury.ru/shop/podarki-dlya-doma/pledy/pled-chess-queen-ver2-seriy-melanzh-1044413/" , "10444.13 Плед Chess Queen, ver.2, серый меланж")</f>
      </c>
      <c r="C22795" s="4" t="n">
        <v>3984.00</v>
      </c>
      <c r="D22795" s="4"/>
    </row>
    <row collapsed="" customFormat="false" customHeight="1" hidden="" ht="14" outlineLevel="0" r="22796">
      <c r="A22796" s="3" t="inlineStr">
        <is>
          <t>22720</t>
        </is>
      </c>
      <c r="B22796" s="4" t="s">
        <f>=HYPERLINK("http://anyluxury.ru/shop/podarki-dlya-doma/pledy/pled-chess-queen-ver2-siniy-melanzh-1044444/" , "10444.44 Плед Chess Queen, ver.2, синий меланж")</f>
      </c>
      <c r="C22796" s="4" t="n">
        <v>3984.00</v>
      </c>
      <c r="D22796" s="4"/>
    </row>
    <row collapsed="" customFormat="false" customHeight="1" hidden="" ht="14" outlineLevel="0" r="22797">
      <c r="A22797" s="3" t="inlineStr">
        <is>
          <t>22721</t>
        </is>
      </c>
      <c r="B22797" s="4" t="s">
        <f>=HYPERLINK("http://anyluxury.ru/shop/podarki-dlya-doma/pledy/flisoviy-pled-warmandpeace-xl-krasniy-1305950/" , "13059.50 Флисовый плед Warm&amp;Peace XL, красный")</f>
      </c>
      <c r="C22797" s="4" t="n">
        <v>999.00</v>
      </c>
      <c r="D22797" s="4"/>
    </row>
    <row collapsed="" customFormat="false" customHeight="1" hidden="" ht="14" outlineLevel="0" r="22798">
      <c r="A22798" s="3" t="inlineStr">
        <is>
          <t>22722</t>
        </is>
      </c>
      <c r="B22798" s="4" t="s">
        <f>=HYPERLINK("http://anyluxury.ru/shop/podarki-dlya-doma/pledy/flisoviy-pled-warmandpeace-xl-zeleniy-1305990/" , "13059.90 Флисовый плед Warm&amp;Peace XL, зеленый")</f>
      </c>
      <c r="C22798" s="4" t="n">
        <v>999.00</v>
      </c>
      <c r="D22798" s="4"/>
    </row>
    <row collapsed="" customFormat="false" customHeight="1" hidden="" ht="14" outlineLevel="0" r="22799">
      <c r="A22799" s="3" t="inlineStr">
        <is>
          <t>22723</t>
        </is>
      </c>
      <c r="B22799" s="4" t="s">
        <f>=HYPERLINK("http://anyluxury.ru/shop/podarki-dlya-doma/pledy/flisoviy-pled-warmandpeace-xl-oranzheviy-1305920/" , "13059.20 Флисовый плед Warm&amp;Peace XL, оранжевый")</f>
      </c>
      <c r="C22799" s="4" t="n">
        <v>999.00</v>
      </c>
      <c r="D22799" s="4"/>
    </row>
    <row collapsed="" customFormat="false" customHeight="1" hidden="" ht="14" outlineLevel="0" r="22800">
      <c r="A22800" s="3" t="inlineStr">
        <is>
          <t>22724</t>
        </is>
      </c>
      <c r="B22800" s="4" t="s">
        <f>=HYPERLINK("http://anyluxury.ru/shop/podarki-dlya-doma/pledy/flisoviy-pled-warmandpeace-xl-beliy-1305960/" , "13059.60 Флисовый плед Warm&amp;Peace XL, белый")</f>
      </c>
      <c r="C22800" s="4" t="n">
        <v>999.00</v>
      </c>
      <c r="D22800" s="4"/>
    </row>
    <row collapsed="" customFormat="false" customHeight="1" hidden="" ht="14" outlineLevel="0" r="22801">
      <c r="A22801" s="3" t="inlineStr">
        <is>
          <t>22725</t>
        </is>
      </c>
      <c r="B22801" s="4" t="s">
        <f>=HYPERLINK("http://anyluxury.ru/shop/podarki-dlya-doma/pledy/flisoviy-pled-warmandpeace-xl-cherniy-1305930/" , "13059.30 Флисовый плед Warm&amp;Peace XL, черный")</f>
      </c>
      <c r="C22801" s="4" t="n">
        <v>999.00</v>
      </c>
      <c r="D22801" s="4"/>
    </row>
    <row collapsed="" customFormat="false" customHeight="1" hidden="" ht="14" outlineLevel="0" r="22802">
      <c r="A22802" s="3" t="inlineStr">
        <is>
          <t>22726</t>
        </is>
      </c>
      <c r="B22802" s="4" t="s">
        <f>=HYPERLINK("http://anyluxury.ru/shop/podarki-dlya-doma/pledy/flisoviy-pled-warmandpeace-xl-fioletoviy-1305978/" , "13059.78 Флисовый плед Warm&amp;Peace XL, фиолетовый")</f>
      </c>
      <c r="C22802" s="4" t="n">
        <v>999.00</v>
      </c>
      <c r="D22802" s="4"/>
    </row>
    <row collapsed="" customFormat="false" customHeight="1" hidden="" ht="14" outlineLevel="0" r="22803">
      <c r="A22803" s="3" t="inlineStr">
        <is>
          <t>22727</t>
        </is>
      </c>
      <c r="B22803" s="4" t="s">
        <f>=HYPERLINK("http://anyluxury.ru/shop/podarki-dlya-doma/pledy/flisoviy-pled-warmandpeace-xl-siniy-1305940/" , "13059.40 Флисовый плед Warm&amp;Peace XL, синий")</f>
      </c>
      <c r="C22803" s="4" t="n">
        <v>999.00</v>
      </c>
      <c r="D22803" s="4"/>
    </row>
    <row collapsed="" customFormat="false" customHeight="1" hidden="" ht="14" outlineLevel="0" r="22804">
      <c r="A22804" s="3" t="inlineStr">
        <is>
          <t>22728</t>
        </is>
      </c>
      <c r="B22804" s="4" t="s">
        <f>=HYPERLINK("http://anyluxury.ru/shop/podarki-dlya-doma/pledy/flisoviy-pled-warmandpeace-xl-seriy-1305910/" , "13059.10 Флисовый плед Warm&amp;Peace XL, серый")</f>
      </c>
      <c r="C22804" s="4" t="n">
        <v>999.00</v>
      </c>
      <c r="D22804" s="4"/>
    </row>
    <row collapsed="" customFormat="false" customHeight="1" hidden="" ht="14" outlineLevel="0" r="22805">
      <c r="A22805" s="3" t="inlineStr">
        <is>
          <t>22729</t>
        </is>
      </c>
      <c r="B22805" s="4" t="s">
        <f>=HYPERLINK("http://anyluxury.ru/shop/podarki-dlya-doma/pledy/flisoviy-pled-warmandpeace-xl-rozoviy-koralloviy-1305921/" , "13059.21 Флисовый плед Warm&amp;Peace XL, розовый (коралловый)")</f>
      </c>
      <c r="C22805" s="4" t="n">
        <v>999.00</v>
      </c>
      <c r="D22805" s="4"/>
    </row>
    <row collapsed="" customFormat="false" customHeight="1" hidden="" ht="14" outlineLevel="0" r="22806">
      <c r="A22806" s="3" t="inlineStr">
        <is>
          <t>22730</t>
        </is>
      </c>
      <c r="B22806" s="4" t="s">
        <f>=HYPERLINK("http://anyluxury.ru/shop/podarki-dlya-doma/pledy/flisoviy-pled-warmandpeace-xl-yarkosiniy-1305944/" , "13059.44 Флисовый плед Warm&amp;Peace XL, ярко-синий")</f>
      </c>
      <c r="C22806" s="4" t="n">
        <v>999.00</v>
      </c>
      <c r="D22806" s="4"/>
    </row>
    <row collapsed="" customFormat="false" customHeight="1" hidden="" ht="14" outlineLevel="0" r="22807">
      <c r="A22807" s="3" t="inlineStr">
        <is>
          <t>22731</t>
        </is>
      </c>
      <c r="B22807" s="4" t="s">
        <f>=HYPERLINK("http://anyluxury.ru/shop/podarki-dlya-doma/pledy/flisoviy-pled-warmandpeace-xl-zheltiy-1305980/" , "13059.80 Флисовый плед Warm&amp;Peace XL, желтый")</f>
      </c>
      <c r="C22807" s="4" t="n">
        <v>999.00</v>
      </c>
      <c r="D22807" s="4"/>
    </row>
    <row collapsed="" customFormat="false" customHeight="1" hidden="" ht="14" outlineLevel="0" r="22808">
      <c r="A22808" s="3" t="inlineStr">
        <is>
          <t>22732</t>
        </is>
      </c>
      <c r="B22808" s="4" t="s">
        <f>=HYPERLINK("http://anyluxury.ru/shop/podarki-dlya-doma/pledy/pled-reframe-seriy-2334511/" , "23345.11 Плед Reframe, серый")</f>
      </c>
      <c r="C22808" s="4" t="n">
        <v>2230.00</v>
      </c>
      <c r="D22808" s="4"/>
    </row>
    <row collapsed="" customFormat="false" customHeight="1" hidden="" ht="14" outlineLevel="0" r="22809">
      <c r="A22809" s="3" t="inlineStr">
        <is>
          <t>22733</t>
        </is>
      </c>
      <c r="B22809" s="4" t="s">
        <f>=HYPERLINK("http://anyluxury.ru/shop/podarki-dlya-doma/pledy/pled-reframe-goluboy-2334514/" , "23345.14 Плед Reframe, голубой")</f>
      </c>
      <c r="C22809" s="4" t="n">
        <v>3688.00</v>
      </c>
      <c r="D22809" s="4"/>
    </row>
    <row collapsed="" customFormat="false" customHeight="1" hidden="" ht="14" outlineLevel="0" r="22810">
      <c r="A22810" s="3" t="inlineStr">
        <is>
          <t>22734</t>
        </is>
      </c>
      <c r="B22810" s="4" t="s">
        <f>=HYPERLINK("http://anyluxury.ru/shop/podarki-dlya-doma/pledy/pled-reframe-bordoviy-2334555/" , "23345.55 Плед Reframe, бордовый")</f>
      </c>
      <c r="C22810" s="4" t="n">
        <v>3688.00</v>
      </c>
      <c r="D22810" s="4"/>
    </row>
    <row collapsed="" customFormat="false" customHeight="1" hidden="" ht="14" outlineLevel="0" r="22811">
      <c r="A22811" s="3" t="inlineStr">
        <is>
          <t>22735</t>
        </is>
      </c>
      <c r="B22811" s="4" t="s">
        <f>=HYPERLINK("http://anyluxury.ru/shop/podarki-dlya-doma/pledy/pled-marea-oranzheviy-apelsin-2334620/" , "23346.20 Плед Marea, оранжевый (апельсин)")</f>
      </c>
      <c r="C22811" s="4" t="n">
        <v>2903.00</v>
      </c>
      <c r="D22811" s="4"/>
    </row>
    <row collapsed="" customFormat="false" customHeight="1" hidden="" ht="14" outlineLevel="0" r="22812">
      <c r="A22812" s="3" t="inlineStr">
        <is>
          <t>22736</t>
        </is>
      </c>
      <c r="B22812" s="4" t="s">
        <f>=HYPERLINK("http://anyluxury.ru/shop/podarki-dlya-doma/pledy/pled-marea-yarkosiniy-2334640/" , "23346.40 Плед Marea, ярко-синий")</f>
      </c>
      <c r="C22812" s="4" t="n">
        <v>2903.00</v>
      </c>
      <c r="D22812" s="4"/>
    </row>
    <row collapsed="" customFormat="false" customHeight="1" hidden="" ht="14" outlineLevel="0" r="22813">
      <c r="A22813" s="3" t="inlineStr">
        <is>
          <t>22737</t>
        </is>
      </c>
      <c r="B22813" s="4" t="s">
        <f>=HYPERLINK("http://anyluxury.ru/shop/podarki-dlya-doma/pledy/pled-marea-temnosiniy-sapfir-2334644/" , "23346.44 Плед Marea, темно-синий (сапфир)")</f>
      </c>
      <c r="C22813" s="4" t="n">
        <v>2903.00</v>
      </c>
      <c r="D22813" s="4"/>
    </row>
    <row collapsed="" customFormat="false" customHeight="1" hidden="" ht="14" outlineLevel="0" r="22814">
      <c r="A22814" s="3" t="inlineStr">
        <is>
          <t>22738</t>
        </is>
      </c>
      <c r="B22814" s="4" t="s">
        <f>=HYPERLINK("http://anyluxury.ru/shop/podarki-dlya-doma/pledy/pled-marea-biryuzoviy-2334649/" , "23346.49 Плед Marea, бирюзовый")</f>
      </c>
      <c r="C22814" s="4" t="n">
        <v>2903.00</v>
      </c>
      <c r="D22814" s="4"/>
    </row>
    <row collapsed="" customFormat="false" customHeight="1" hidden="" ht="14" outlineLevel="0" r="22815">
      <c r="A22815" s="3" t="inlineStr">
        <is>
          <t>22739</t>
        </is>
      </c>
      <c r="B22815" s="4" t="s">
        <f>=HYPERLINK("http://anyluxury.ru/shop/podarki-dlya-doma/pledy/pled-marea-krasniy-2334650/" , "23346.50 Плед Marea, красный")</f>
      </c>
      <c r="C22815" s="4" t="n">
        <v>2903.00</v>
      </c>
      <c r="D22815" s="4"/>
    </row>
    <row collapsed="" customFormat="false" customHeight="1" hidden="" ht="14" outlineLevel="0" r="22816">
      <c r="A22816" s="3" t="inlineStr">
        <is>
          <t>22740</t>
        </is>
      </c>
      <c r="B22816" s="4" t="s">
        <f>=HYPERLINK("http://anyluxury.ru/shop/podarki-dlya-doma/pledy/pled-marea-molochnobeliy-2334660/" , "23346.60 Плед Marea, молочно-белый")</f>
      </c>
      <c r="C22816" s="4" t="n">
        <v>2903.00</v>
      </c>
      <c r="D22816" s="4"/>
    </row>
    <row collapsed="" customFormat="false" customHeight="1" hidden="" ht="14" outlineLevel="0" r="22817">
      <c r="A22817" s="3" t="inlineStr">
        <is>
          <t>22741</t>
        </is>
      </c>
      <c r="B22817" s="4" t="s">
        <f>=HYPERLINK("http://anyluxury.ru/shop/podarki-dlya-doma/pledy/pled-marea-zheltiy-2334680/" , "23346.80 Плед Marea, желтый")</f>
      </c>
      <c r="C22817" s="4" t="n">
        <v>2903.00</v>
      </c>
      <c r="D22817" s="4"/>
    </row>
    <row collapsed="" customFormat="false" customHeight="1" hidden="" ht="14" outlineLevel="0" r="22818">
      <c r="A22818" s="3" t="inlineStr">
        <is>
          <t>22742</t>
        </is>
      </c>
      <c r="B22818" s="4" t="s">
        <f>=HYPERLINK("http://anyluxury.ru/shop/podarki-dlya-doma/pledy/pled-s-rukavami-lazybones-temnosiniy-467841/" , "4678.41 Плед с рукавами Lazybones, темно-синий")</f>
      </c>
      <c r="C22818" s="4" t="n">
        <v>1299.00</v>
      </c>
      <c r="D22818" s="4"/>
    </row>
    <row collapsed="" customFormat="false" customHeight="1" hidden="" ht="14" outlineLevel="0" r="22819">
      <c r="A22819" s="3" t="inlineStr">
        <is>
          <t>22743</t>
        </is>
      </c>
      <c r="B22819" s="4" t="s">
        <f>=HYPERLINK("http://anyluxury.ru/shop/podarki-dlya-doma/pledy/pled-s-rukavami-lazybones-zeleniy-467890/" , "4678.90 Плед с рукавами Lazybones, зеленый")</f>
      </c>
      <c r="C22819" s="4" t="n">
        <v>1299.00</v>
      </c>
      <c r="D22819" s="4"/>
    </row>
    <row collapsed="" customFormat="false" customHeight="1" hidden="" ht="14" outlineLevel="0" r="22820">
      <c r="A22820" s="3" t="inlineStr">
        <is>
          <t>22744</t>
        </is>
      </c>
      <c r="B22820" s="4" t="s">
        <f>=HYPERLINK("http://anyluxury.ru/shop/podarki-dlya-doma/pledy/pled-s-rukavami-lazybones-oranzheviy-467820/" , "4678.20 Плед с рукавами Lazybones, оранжевый")</f>
      </c>
      <c r="C22820" s="4" t="n">
        <v>1299.00</v>
      </c>
      <c r="D22820" s="4"/>
    </row>
    <row collapsed="" customFormat="false" customHeight="1" hidden="" ht="14" outlineLevel="0" r="22821">
      <c r="A22821" s="3" t="inlineStr">
        <is>
          <t>22745</t>
        </is>
      </c>
      <c r="B22821" s="4" t="s">
        <f>=HYPERLINK("http://anyluxury.ru/shop/podarki-dlya-doma/pledy/pled-s-rukavami-lazybones-seriy-467810/" , "4678.10 Плед с рукавами Lazybones, серый")</f>
      </c>
      <c r="C22821" s="4" t="n">
        <v>1299.00</v>
      </c>
      <c r="D22821" s="4"/>
    </row>
    <row collapsed="" customFormat="false" customHeight="1" hidden="" ht="14" outlineLevel="0" r="22822">
      <c r="A22822" s="3" t="inlineStr">
        <is>
          <t>22746</t>
        </is>
      </c>
      <c r="B22822" s="4" t="s">
        <f>=HYPERLINK("http://anyluxury.ru/shop/podarki-dlya-doma/pledy/pled-s-rukavami-lazybones-krasniy-467850/" , "4678.50 Плед с рукавами Lazybones, красный")</f>
      </c>
      <c r="C22822" s="4" t="n">
        <v>1299.00</v>
      </c>
      <c r="D22822" s="4"/>
    </row>
    <row collapsed="" customFormat="false" customHeight="1" hidden="" ht="14" outlineLevel="0" r="22823">
      <c r="A22823" s="3" t="inlineStr">
        <is>
          <t>22747</t>
        </is>
      </c>
      <c r="B22823" s="4" t="s">
        <f>=HYPERLINK("http://anyluxury.ru/shop/podarki-dlya-doma/pledy/pled-reframe-zeleniy-2334590/" , "23345.90 Плед Reframe, зеленый")</f>
      </c>
      <c r="C22823" s="4" t="n">
        <v>2230.00</v>
      </c>
      <c r="D22823" s="4"/>
    </row>
    <row collapsed="" customFormat="false" customHeight="1" hidden="" ht="14" outlineLevel="0" r="22824">
      <c r="A22824" s="3" t="inlineStr">
        <is>
          <t>22748</t>
        </is>
      </c>
      <c r="B22824" s="4" t="s">
        <f>=HYPERLINK("http://anyluxury.ru/shop/podarki-dlya-doma/pledy/pled-london-siniy-1308640/" , "13086.40 Плед London, синий")</f>
      </c>
      <c r="C22824" s="4" t="n">
        <v>1690.00</v>
      </c>
      <c r="D22824" s="4"/>
    </row>
    <row collapsed="" customFormat="false" customHeight="1" hidden="" ht="14" outlineLevel="0" r="22825">
      <c r="A22825" s="3" t="inlineStr">
        <is>
          <t>22749</t>
        </is>
      </c>
      <c r="B22825" s="4" t="s">
        <f>=HYPERLINK("http://anyluxury.ru/shop/podarki-dlya-doma/pledy/pled-snippet-svetloseriy-melanzh-1587810/" , "15878.10 Плед Snippet, светло-серый меланж")</f>
      </c>
      <c r="C22825" s="4" t="n">
        <v>3457.00</v>
      </c>
      <c r="D22825" s="4"/>
    </row>
    <row collapsed="" customFormat="false" customHeight="1" hidden="" ht="14" outlineLevel="0" r="22826">
      <c r="A22826" s="3" t="inlineStr">
        <is>
          <t>22750</t>
        </is>
      </c>
      <c r="B22826" s="4" t="s">
        <f>=HYPERLINK("http://anyluxury.ru/shop/podarki-dlya-doma/pledy/pled-snippet-temnoseriy-1587811/" , "15878.11 Плед Snippet, темно-серый")</f>
      </c>
      <c r="C22826" s="4" t="n">
        <v>3457.00</v>
      </c>
      <c r="D22826" s="4"/>
    </row>
    <row collapsed="" customFormat="false" customHeight="1" hidden="" ht="14" outlineLevel="0" r="22827">
      <c r="A22827" s="3" t="inlineStr">
        <is>
          <t>22751</t>
        </is>
      </c>
      <c r="B22827" s="4" t="s">
        <f>=HYPERLINK("http://anyluxury.ru/shop/podarki-dlya-doma/pledy/pled-snippet-bezheviy-melanzh-1587816/" , "15878.16 Плед Snippet, бежевый меланж")</f>
      </c>
      <c r="C22827" s="4" t="n">
        <v>3457.00</v>
      </c>
      <c r="D22827" s="4"/>
    </row>
    <row collapsed="" customFormat="false" customHeight="1" hidden="" ht="14" outlineLevel="0" r="22828">
      <c r="A22828" s="3" t="inlineStr">
        <is>
          <t>22752</t>
        </is>
      </c>
      <c r="B22828" s="4" t="s">
        <f>=HYPERLINK("http://anyluxury.ru/shop/podarki-dlya-doma/pledy/pled-snippet-korichneviy-melanzh-1587859/" , "15878.59 Плед Snippet, коричневый меланж")</f>
      </c>
      <c r="C22828" s="4" t="n">
        <v>3457.00</v>
      </c>
      <c r="D22828" s="4"/>
    </row>
    <row collapsed="" customFormat="false" customHeight="1" hidden="" ht="14" outlineLevel="0" r="22829">
      <c r="A22829" s="3" t="inlineStr">
        <is>
          <t>22753</t>
        </is>
      </c>
      <c r="B22829" s="4" t="s">
        <f>=HYPERLINK("http://anyluxury.ru/shop/podarki-dlya-doma/pledy/pled-snippet-zeleniy-melanzh-1587890/" , "15878.90 Плед Snippet, темно-зеленый")</f>
      </c>
      <c r="C22829" s="4" t="n">
        <v>3457.00</v>
      </c>
      <c r="D22829" s="4"/>
    </row>
    <row collapsed="" customFormat="false" customHeight="1" hidden="" ht="14" outlineLevel="0" r="22830">
      <c r="A22830" s="3" t="inlineStr">
        <is>
          <t>22754</t>
        </is>
      </c>
      <c r="B22830" s="4" t="s">
        <f>=HYPERLINK("http://anyluxury.ru/shop/podarki-dlya-doma/pledy/pled-fado-vyazaniy-16090-sm-bezheviy-bez-podarochnoy-korobki-206315251/" , "20631.525.1 Плед Fado вязаный, бежевый (без подарочной коробки)")</f>
      </c>
      <c r="C22830" s="4" t="n">
        <v>2173.00</v>
      </c>
      <c r="D22830" s="4"/>
    </row>
    <row collapsed="" customFormat="false" customHeight="1" hidden="" ht="14" outlineLevel="0" r="22831">
      <c r="A22831" s="3" t="inlineStr">
        <is>
          <t>22755</t>
        </is>
      </c>
      <c r="B22831" s="4" t="s">
        <f>=HYPERLINK("http://anyluxury.ru/shop/podarki-dlya-doma/pledy/pled-fado-vyazaniy-16090-sm-krasniy-bez-podarochnoy-korobki-206310601/" , "20631.060.1 Плед Fado вязаный, красный (без подарочной коробки)")</f>
      </c>
      <c r="C22831" s="4" t="n">
        <v>2173.00</v>
      </c>
      <c r="D22831" s="4"/>
    </row>
    <row collapsed="" customFormat="false" customHeight="1" hidden="" ht="14" outlineLevel="0" r="22832">
      <c r="A22832" s="3" t="inlineStr">
        <is>
          <t>22756</t>
        </is>
      </c>
      <c r="B22832" s="4" t="s">
        <f>=HYPERLINK("http://anyluxury.ru/shop/podarki-dlya-doma/pledy/pled-fado-vyazaniy-16090-sm-seriy-bez-podarochnoy-korobki-206310801/" , "20631.080.1 Плед Fado вязаный, серый (без подарочной коробки)")</f>
      </c>
      <c r="C22832" s="4" t="n">
        <v>2173.00</v>
      </c>
      <c r="D22832" s="4"/>
    </row>
    <row collapsed="" customFormat="false" customHeight="1" hidden="" ht="14" outlineLevel="0" r="22833">
      <c r="A22833" s="3" t="inlineStr">
        <is>
          <t>22757</t>
        </is>
      </c>
      <c r="B22833" s="4" t="s">
        <f>=HYPERLINK("http://anyluxury.ru/shop/podarki-dlya-doma/pledy/flisoviy-pled-v-chehle-p459065/" , "P459.065 Флисовый плед в чехле")</f>
      </c>
      <c r="C22833" s="4" t="n">
        <v>1594.00</v>
      </c>
      <c r="D22833" s="4"/>
    </row>
    <row collapsed="" customFormat="false" customHeight="1" hidden="" ht="14" outlineLevel="0" r="22834">
      <c r="A22834" s="3" t="inlineStr">
        <is>
          <t>22758</t>
        </is>
      </c>
      <c r="B22834" s="4" t="s">
        <f>=HYPERLINK("http://anyluxury.ru/shop/podarki-dlya-doma/pledy/flisoviy-pled-v-chehle-p459062/" , "P459.062 Флисовый плед в чехле")</f>
      </c>
      <c r="C22834" s="4" t="n">
        <v>1594.00</v>
      </c>
      <c r="D22834" s="4"/>
    </row>
    <row collapsed="" customFormat="false" customHeight="1" hidden="" ht="14" outlineLevel="0" r="22835">
      <c r="A22835" s="3" t="inlineStr">
        <is>
          <t>22759</t>
        </is>
      </c>
      <c r="B22835" s="4" t="s">
        <f>=HYPERLINK("http://anyluxury.ru/shop/podarki-dlya-doma/pledy/flisoviy-pled-v-chehle-p459061/" , "P459.061 Флисовый плед в чехле")</f>
      </c>
      <c r="C22835" s="4" t="n">
        <v>1594.00</v>
      </c>
      <c r="D22835" s="4"/>
    </row>
    <row collapsed="" customFormat="false" customHeight="1" hidden="" ht="14" outlineLevel="0" r="22836">
      <c r="A22836" s="3" t="inlineStr">
        <is>
          <t>22760</t>
        </is>
      </c>
      <c r="B22836" s="4" t="s">
        <f>=HYPERLINK("http://anyluxury.ru/shop/podarki-dlya-doma/pledy/pled-trenza-temnoseriy-2334810/" , "23348.10 Плед Trenza, серый")</f>
      </c>
      <c r="C22836" s="4" t="n">
        <v>2798.00</v>
      </c>
      <c r="D22836" s="4"/>
    </row>
    <row collapsed="" customFormat="false" customHeight="1" hidden="" ht="14" outlineLevel="0" r="22837">
      <c r="A22837" s="3" t="inlineStr">
        <is>
          <t>22761</t>
        </is>
      </c>
      <c r="B22837" s="4" t="s">
        <f>=HYPERLINK("http://anyluxury.ru/shop/podarki-dlya-doma/pledy/pled-trenza-svetloseriy-2334816/" , "23348.16 Плед Trenza, светло-серый")</f>
      </c>
      <c r="C22837" s="4" t="n">
        <v>2798.00</v>
      </c>
      <c r="D22837" s="4"/>
    </row>
    <row collapsed="" customFormat="false" customHeight="1" hidden="" ht="14" outlineLevel="0" r="22838">
      <c r="A22838" s="3" t="inlineStr">
        <is>
          <t>22762</t>
        </is>
      </c>
      <c r="B22838" s="4" t="s">
        <f>=HYPERLINK("http://anyluxury.ru/shop/podarki-dlya-doma/pledy/pled-trenza-siniy-2334840/" , "23348.40 Плед Trenza, синий")</f>
      </c>
      <c r="C22838" s="4" t="n">
        <v>2798.00</v>
      </c>
      <c r="D22838" s="4"/>
    </row>
    <row collapsed="" customFormat="false" customHeight="1" hidden="" ht="14" outlineLevel="0" r="22839">
      <c r="A22839" s="3" t="inlineStr">
        <is>
          <t>22763</t>
        </is>
      </c>
      <c r="B22839" s="4" t="s">
        <f>=HYPERLINK("http://anyluxury.ru/shop/podarki-dlya-doma/pledy/pled-trenza-molochnobeliy-2334860/" , "23348.60 Плед Trenza, молочно-белый")</f>
      </c>
      <c r="C22839" s="4" t="n">
        <v>2798.00</v>
      </c>
      <c r="D22839" s="4"/>
    </row>
    <row collapsed="" customFormat="false" customHeight="1" hidden="" ht="14" outlineLevel="0" r="22840">
      <c r="A22840" s="3" t="inlineStr">
        <is>
          <t>22764</t>
        </is>
      </c>
      <c r="B22840" s="4" t="s">
        <f>=HYPERLINK("http://anyluxury.ru/shop/podarki-dlya-doma/pledy/pled-trenza-zeleniy-2334890/" , "23348.90 Плед Trenza, зеленый")</f>
      </c>
      <c r="C22840" s="4" t="n">
        <v>2798.00</v>
      </c>
      <c r="D22840" s="4"/>
    </row>
    <row collapsed="" customFormat="false" customHeight="1" hidden="" ht="14" outlineLevel="0" r="22841">
      <c r="A22841" s="3" t="inlineStr">
        <is>
          <t>22765</t>
        </is>
      </c>
      <c r="B22841" s="4" t="s">
        <f>=HYPERLINK("http://anyluxury.ru/shop/podarki-dlya-doma/pledy/pled-onego-siniy-dzhins-5300143/" , "53001.43 Плед Onego, синий (джинс)")</f>
      </c>
      <c r="C22841" s="4" t="n">
        <v>4043.00</v>
      </c>
      <c r="D22841" s="4"/>
    </row>
    <row collapsed="" customFormat="false" customHeight="1" hidden="" ht="14" outlineLevel="0" r="22842">
      <c r="A22842" s="3" t="inlineStr">
        <is>
          <t>22766</t>
        </is>
      </c>
      <c r="B22842" s="4" t="s">
        <f>=HYPERLINK("http://anyluxury.ru/shop/podarki-dlya-doma/pledy/pled-onego-krasniy-5300150/" , "53001.50 Плед Onego, красный")</f>
      </c>
      <c r="C22842" s="4" t="n">
        <v>2894.00</v>
      </c>
      <c r="D22842" s="4"/>
    </row>
    <row collapsed="" customFormat="false" customHeight="1" hidden="" ht="14" outlineLevel="0" r="22843">
      <c r="A22843" s="3" t="inlineStr">
        <is>
          <t>22767</t>
        </is>
      </c>
      <c r="B22843" s="4" t="s">
        <f>=HYPERLINK("http://anyluxury.ru/shop/podarki-dlya-doma/pledy/pled-snippet-siniy-melanzh-kobalt-1587840/" , "15878.40 Плед Snippet, синий меланж (кобальт)")</f>
      </c>
      <c r="C22843" s="4" t="n">
        <v>3457.00</v>
      </c>
      <c r="D22843" s="4"/>
    </row>
    <row collapsed="" customFormat="false" customHeight="1" hidden="" ht="14" outlineLevel="0" r="22844">
      <c r="A22844" s="3" t="inlineStr">
        <is>
          <t>22768</t>
        </is>
      </c>
      <c r="B22844" s="4" t="s">
        <f>=HYPERLINK("http://anyluxury.ru/shop/podarki-dlya-doma/pledy/pled-snippet-molochnobeliy-1587860/" , "15878.60 Плед Snippet, молочно-белый")</f>
      </c>
      <c r="C22844" s="4" t="n">
        <v>3457.00</v>
      </c>
      <c r="D22844" s="4"/>
    </row>
    <row collapsed="" customFormat="false" customHeight="1" hidden="" ht="14" outlineLevel="0" r="22845">
      <c r="A22845" s="3" t="inlineStr">
        <is>
          <t>22769</t>
        </is>
      </c>
      <c r="B22845" s="4" t="s">
        <f>=HYPERLINK("http://anyluxury.ru/shop/podarki-dlya-doma/pledy/pled-na-zakaz-tricksy-net-light-s-polusherst-1801402/" , "18014.02 Плед на заказ Tricksy Net Light, S, полушерсть")</f>
      </c>
      <c r="C22845" s="4" t="n">
        <v>3178.00</v>
      </c>
      <c r="D22845" s="4"/>
    </row>
    <row collapsed="" customFormat="false" customHeight="1" hidden="" ht="14" outlineLevel="0" r="22846">
      <c r="A22846" s="3" t="inlineStr">
        <is>
          <t>22770</t>
        </is>
      </c>
      <c r="B22846" s="4" t="s">
        <f>=HYPERLINK("http://anyluxury.ru/shop/podarki-dlya-doma/pledy/pled-na-zakaz-tricksy-fint-s-akril-1801501/" , "18015.01 Плед на заказ Tricksy Fint, S, акрил")</f>
      </c>
      <c r="C22846" s="4" t="n">
        <v>2609.00</v>
      </c>
      <c r="D22846" s="4"/>
    </row>
    <row collapsed="" customFormat="false" customHeight="1" hidden="" ht="14" outlineLevel="0" r="22847">
      <c r="A22847" s="3" t="inlineStr">
        <is>
          <t>22771</t>
        </is>
      </c>
      <c r="B22847" s="4" t="s">
        <f>=HYPERLINK("http://anyluxury.ru/shop/podarki-dlya-doma/pledy/pled-na-zakaz-tricksy-net-2-cveta-s-akril-1801601/" , "18016.01 Плед на заказ Tricksy Net, 2 цвета, S, акрил")</f>
      </c>
      <c r="C22847" s="4" t="n">
        <v>2919.00</v>
      </c>
      <c r="D22847" s="4"/>
    </row>
    <row collapsed="" customFormat="false" customHeight="1" hidden="" ht="14" outlineLevel="0" r="22848">
      <c r="A22848" s="3" t="inlineStr">
        <is>
          <t>22772</t>
        </is>
      </c>
      <c r="B22848" s="4" t="s">
        <f>=HYPERLINK("http://anyluxury.ru/shop/podarki-dlya-doma/pledy/pled-na-zakaz-tricksy-net-2-cveta-s-polusherst-1801602/" , "18016.02 Плед на заказ Tricksy Net, 2 цвета, S, полушерсть")</f>
      </c>
      <c r="C22848" s="4" t="n">
        <v>4239.00</v>
      </c>
      <c r="D22848" s="4"/>
    </row>
    <row collapsed="" customFormat="false" customHeight="1" hidden="" ht="14" outlineLevel="0" r="22849">
      <c r="A22849" s="3" t="inlineStr">
        <is>
          <t>22773</t>
        </is>
      </c>
      <c r="B22849" s="4" t="s">
        <f>=HYPERLINK("http://anyluxury.ru/shop/podarki-dlya-doma/pledy/pled-na-zakaz-tricksy-net-3-cveta-s-akril-1801701/" , "18017.01 Плед на заказ Tricksy Net, 3 цвета, S, акрил")</f>
      </c>
      <c r="C22849" s="4" t="n">
        <v>3063.00</v>
      </c>
      <c r="D22849" s="4"/>
    </row>
    <row collapsed="" customFormat="false" customHeight="1" hidden="" ht="14" outlineLevel="0" r="22850">
      <c r="A22850" s="3" t="inlineStr">
        <is>
          <t>22774</t>
        </is>
      </c>
      <c r="B22850" s="4" t="s">
        <f>=HYPERLINK("http://anyluxury.ru/shop/podarki-dlya-doma/pledy/pled-na-zakaz-tricksy-net-3-cveta-s-polusherst-1801702/" , "18017.02 Плед на заказ Tricksy Net, 3 цвета, S, полушерсть")</f>
      </c>
      <c r="C22850" s="4" t="n">
        <v>4358.00</v>
      </c>
      <c r="D22850" s="4"/>
    </row>
    <row collapsed="" customFormat="false" customHeight="1" hidden="" ht="14" outlineLevel="0" r="22851">
      <c r="A22851" s="3" t="inlineStr">
        <is>
          <t>22775</t>
        </is>
      </c>
      <c r="B22851" s="4" t="s">
        <f>=HYPERLINK("http://anyluxury.ru/shop/podarki-dlya-doma/pledy/pled-na-zakaz-tricksy-net-4-cveta-s-akril-1801801/" , "18018.01 Плед на заказ Tricksy Net, 4 цвета, S, акрил")</f>
      </c>
      <c r="C22851" s="4" t="n">
        <v>3270.00</v>
      </c>
      <c r="D22851" s="4"/>
    </row>
    <row collapsed="" customFormat="false" customHeight="1" hidden="" ht="14" outlineLevel="0" r="22852">
      <c r="A22852" s="3" t="inlineStr">
        <is>
          <t>22776</t>
        </is>
      </c>
      <c r="B22852" s="4" t="s">
        <f>=HYPERLINK("http://anyluxury.ru/shop/podarki-dlya-doma/pledy/pled-boho-gorchichniy-2001680/" , "20016.80 Плед Boho, горчичный")</f>
      </c>
      <c r="C22852" s="4" t="n">
        <v>1990.00</v>
      </c>
      <c r="D22852" s="4"/>
    </row>
    <row collapsed="" customFormat="false" customHeight="1" hidden="" ht="14" outlineLevel="0" r="22853">
      <c r="A22853" s="3" t="inlineStr">
        <is>
          <t>22777</t>
        </is>
      </c>
      <c r="B22853" s="4" t="s">
        <f>=HYPERLINK("http://anyluxury.ru/shop/podarki-dlya-doma/pledy/pled-boho-temnoseriy-grafit-2001613/" , "20016.13 Плед Boho, темно-синий (графит)")</f>
      </c>
      <c r="C22853" s="4" t="n">
        <v>1990.00</v>
      </c>
      <c r="D22853" s="4"/>
    </row>
    <row collapsed="" customFormat="false" customHeight="1" hidden="" ht="14" outlineLevel="0" r="22854">
      <c r="A22854" s="3" t="inlineStr">
        <is>
          <t>22778</t>
        </is>
      </c>
      <c r="B22854" s="4" t="s">
        <f>=HYPERLINK("http://anyluxury.ru/shop/podarki-dlya-doma/pledy/pled-na-zakaz-stille-plus-s-akril-1801901/" , "18019.01 Плед на заказ Stille Plus, S, акрил")</f>
      </c>
      <c r="C22854" s="4" t="n">
        <v>3281.00</v>
      </c>
      <c r="D22854" s="4"/>
    </row>
    <row collapsed="" customFormat="false" customHeight="1" hidden="" ht="14" outlineLevel="0" r="22855">
      <c r="A22855" s="3" t="inlineStr">
        <is>
          <t>22779</t>
        </is>
      </c>
      <c r="B22855" s="4" t="s">
        <f>=HYPERLINK("http://anyluxury.ru/shop/podarki-dlya-doma/pledy/pled-na-zakaz-heat-trick-plus-s-akril-1802101/" , "18021.01 Плед на заказ Heat Trick Plus, S, акрил")</f>
      </c>
      <c r="C22855" s="4" t="n">
        <v>3038.00</v>
      </c>
      <c r="D22855" s="4"/>
    </row>
    <row collapsed="" customFormat="false" customHeight="1" hidden="" ht="14" outlineLevel="0" r="22856">
      <c r="A22856" s="3" t="inlineStr">
        <is>
          <t>22780</t>
        </is>
      </c>
      <c r="B22856" s="4" t="s">
        <f>=HYPERLINK("http://anyluxury.ru/shop/podarki-dlya-doma/pledy/pled-na-zakaz-chess-plus-s-akril-1802201/" , "18022.01 Плед на заказ Chess Plus, S, акрил")</f>
      </c>
      <c r="C22856" s="4" t="n">
        <v>2695.00</v>
      </c>
      <c r="D22856" s="4"/>
    </row>
    <row collapsed="" customFormat="false" customHeight="1" hidden="" ht="14" outlineLevel="0" r="22857">
      <c r="A22857" s="3" t="inlineStr">
        <is>
          <t>22781</t>
        </is>
      </c>
      <c r="B22857" s="4" t="s">
        <f>=HYPERLINK("http://anyluxury.ru/shop/podarki-dlya-doma/pledy/pled-na-zakaz-remit-plus-s-akril-1802301/" , "18023.01 Плед на заказ Remit Plus, S, акрил")</f>
      </c>
      <c r="C22857" s="4" t="n">
        <v>2381.00</v>
      </c>
      <c r="D22857" s="4"/>
    </row>
    <row collapsed="" customFormat="false" customHeight="1" hidden="" ht="14" outlineLevel="0" r="22858">
      <c r="A22858" s="3" t="inlineStr">
        <is>
          <t>22782</t>
        </is>
      </c>
      <c r="B22858" s="4" t="s">
        <f>=HYPERLINK("http://anyluxury.ru/shop/podarki-dlya-doma/pledy/pled-na-zakaz-basket-s-akril-1802401/" , "18024.01 Плед на заказ Basket, S, акрил")</f>
      </c>
      <c r="C22858" s="4" t="n">
        <v>1867.00</v>
      </c>
      <c r="D22858" s="4"/>
    </row>
    <row collapsed="" customFormat="false" customHeight="1" hidden="" ht="14" outlineLevel="0" r="22859">
      <c r="A22859" s="3" t="inlineStr">
        <is>
          <t>22783</t>
        </is>
      </c>
      <c r="B22859" s="4" t="s">
        <f>=HYPERLINK("http://anyluxury.ru/shop/podarki-dlya-doma/pledy/pled-na-zakaz-comfort-up-plus-s-akril-1802501/" , "18025.01 Плед на заказ Comfort Up Plus, S, акрил")</f>
      </c>
      <c r="C22859" s="4" t="n">
        <v>2834.00</v>
      </c>
      <c r="D22859" s="4"/>
    </row>
    <row collapsed="" customFormat="false" customHeight="1" hidden="" ht="14" outlineLevel="0" r="22860">
      <c r="A22860" s="3" t="inlineStr">
        <is>
          <t>22784</t>
        </is>
      </c>
      <c r="B22860" s="4" t="s">
        <f>=HYPERLINK("http://anyluxury.ru/shop/podarki-dlya-doma/pledy/pled-na-zakaz-field-plus-s-akril-1802601/" , "18026.01 Плед на заказ Field Plus, S, акрил")</f>
      </c>
      <c r="C22860" s="4" t="n">
        <v>1678.00</v>
      </c>
      <c r="D22860" s="4"/>
    </row>
    <row collapsed="" customFormat="false" customHeight="1" hidden="" ht="14" outlineLevel="0" r="22861">
      <c r="A22861" s="3" t="inlineStr">
        <is>
          <t>22785</t>
        </is>
      </c>
      <c r="B22861" s="4" t="s">
        <f>=HYPERLINK("http://anyluxury.ru/shop/podarki-dlya-doma/pledy/pled-na-zakaz-pleat-plus-s-akril-1802701/" , "18027.01 Плед на заказ Pleat Plus, S, акрил")</f>
      </c>
      <c r="C22861" s="4" t="n">
        <v>2143.00</v>
      </c>
      <c r="D22861" s="4"/>
    </row>
    <row collapsed="" customFormat="false" customHeight="1" hidden="" ht="14" outlineLevel="0" r="22862">
      <c r="A22862" s="3" t="inlineStr">
        <is>
          <t>22786</t>
        </is>
      </c>
      <c r="B22862" s="4" t="s">
        <f>=HYPERLINK("http://anyluxury.ru/shop/podarki-dlya-doma/pledy/pled-na-zakaz-tricksy-terra-s-akril-1802801/" , "18028.01 Плед на заказ Tricksy Terra, S, акрил")</f>
      </c>
      <c r="C22862" s="4" t="n">
        <v>2725.00</v>
      </c>
      <c r="D22862" s="4"/>
    </row>
    <row collapsed="" customFormat="false" customHeight="1" hidden="" ht="14" outlineLevel="0" r="22863">
      <c r="A22863" s="3" t="inlineStr">
        <is>
          <t>22787</t>
        </is>
      </c>
      <c r="B22863" s="4" t="s">
        <f>=HYPERLINK("http://anyluxury.ru/shop/podarki-dlya-doma/pledy/pled-na-zakaz-bricks-s-akril-1802901/" , "18029.01 Плед на заказ Bricks, S, акрил")</f>
      </c>
      <c r="C22863" s="4" t="n">
        <v>1460.00</v>
      </c>
      <c r="D22863" s="4"/>
    </row>
    <row collapsed="" customFormat="false" customHeight="1" hidden="" ht="14" outlineLevel="0" r="22864">
      <c r="A22864" s="3" t="inlineStr">
        <is>
          <t>22788</t>
        </is>
      </c>
      <c r="B22864" s="4" t="s">
        <f>=HYPERLINK("http://anyluxury.ru/shop/podarki-dlya-doma/pledy/pled-na-zakaz-brugge-plus-s-akril-1803001/" , "18030.01 Плед на заказ Brugge Plus, S, акрил")</f>
      </c>
      <c r="C22864" s="4" t="n">
        <v>1707.00</v>
      </c>
      <c r="D22864" s="4"/>
    </row>
    <row collapsed="" customFormat="false" customHeight="1" hidden="" ht="14" outlineLevel="0" r="22865">
      <c r="A22865" s="3" t="inlineStr">
        <is>
          <t>22789</t>
        </is>
      </c>
      <c r="B22865" s="4" t="s">
        <f>=HYPERLINK("http://anyluxury.ru/shop/podarki-dlya-doma/pledy/pled-na-zakaz-wave-s-akril-1803101/" , "18031.01 Плед на заказ Wave, S, акрил")</f>
      </c>
      <c r="C22865" s="4" t="n">
        <v>2954.00</v>
      </c>
      <c r="D22865" s="4"/>
    </row>
    <row collapsed="" customFormat="false" customHeight="1" hidden="" ht="14" outlineLevel="0" r="22866">
      <c r="A22866" s="3" t="inlineStr">
        <is>
          <t>22790</t>
        </is>
      </c>
      <c r="B22866" s="4" t="s">
        <f>=HYPERLINK("http://anyluxury.ru/shop/podarki-dlya-doma/pledy/pled-na-zakaz-tricksy-terra-net-s-akril-1803201/" , "18032.01 Плед на заказ Tricksy Terra Net, S, акрил")</f>
      </c>
      <c r="C22866" s="4" t="n">
        <v>2386.00</v>
      </c>
      <c r="D22866" s="4"/>
    </row>
    <row collapsed="" customFormat="false" customHeight="1" hidden="" ht="14" outlineLevel="0" r="22867">
      <c r="A22867" s="3" t="inlineStr">
        <is>
          <t>22791</t>
        </is>
      </c>
      <c r="B22867" s="4" t="s">
        <f>=HYPERLINK("http://anyluxury.ru/shop/podarki-dlya-doma/pledy/pled-na-zakaz-stille-plus-s-polusherst-1801902/" , "18019.02 Плед на заказ Stille Plus, S, полушерсть")</f>
      </c>
      <c r="C22867" s="4" t="n">
        <v>4375.00</v>
      </c>
      <c r="D22867" s="4"/>
    </row>
    <row collapsed="" customFormat="false" customHeight="1" hidden="" ht="14" outlineLevel="0" r="22868">
      <c r="A22868" s="3" t="inlineStr">
        <is>
          <t>22792</t>
        </is>
      </c>
      <c r="B22868" s="4" t="s">
        <f>=HYPERLINK("http://anyluxury.ru/shop/podarki-dlya-doma/pledy/pled-na-zakaz-heat-trick-plus-s-polusherst-1802102/" , "18021.02 Плед на заказ Heat Trick Plus, S, полушерсть")</f>
      </c>
      <c r="C22868" s="4" t="n">
        <v>4632.00</v>
      </c>
      <c r="D22868" s="4"/>
    </row>
    <row collapsed="" customFormat="false" customHeight="1" hidden="" ht="14" outlineLevel="0" r="22869">
      <c r="A22869" s="3" t="inlineStr">
        <is>
          <t>22793</t>
        </is>
      </c>
      <c r="B22869" s="4" t="s">
        <f>=HYPERLINK("http://anyluxury.ru/shop/podarki-dlya-doma/pledy/pled-na-zakaz-chess-plus-s-polusherst-1802202/" , "18022.02 Плед на заказ Chess Plus, S, полушерсть")</f>
      </c>
      <c r="C22869" s="4" t="n">
        <v>4007.00</v>
      </c>
      <c r="D22869" s="4"/>
    </row>
    <row collapsed="" customFormat="false" customHeight="1" hidden="" ht="14" outlineLevel="0" r="22870">
      <c r="A22870" s="3" t="inlineStr">
        <is>
          <t>22794</t>
        </is>
      </c>
      <c r="B22870" s="4" t="s">
        <f>=HYPERLINK("http://anyluxury.ru/shop/podarki-dlya-doma/pledy/pled-na-zakaz-remit-plus-s-polusherst-1802302/" , "18023.02 Плед на заказ Remit Plus, S, полушерсть")</f>
      </c>
      <c r="C22870" s="4" t="n">
        <v>4020.00</v>
      </c>
      <c r="D22870" s="4"/>
    </row>
    <row collapsed="" customFormat="false" customHeight="1" hidden="" ht="14" outlineLevel="0" r="22871">
      <c r="A22871" s="3" t="inlineStr">
        <is>
          <t>22795</t>
        </is>
      </c>
      <c r="B22871" s="4" t="s">
        <f>=HYPERLINK("http://anyluxury.ru/shop/podarki-dlya-doma/pledy/pled-na-zakaz-basket-s-polusherst-1802402/" , "18024.02 Плед на заказ Basket, S, полушерсть")</f>
      </c>
      <c r="C22871" s="4" t="n">
        <v>2767.00</v>
      </c>
      <c r="D22871" s="4"/>
    </row>
    <row collapsed="" customFormat="false" customHeight="1" hidden="" ht="14" outlineLevel="0" r="22872">
      <c r="A22872" s="3" t="inlineStr">
        <is>
          <t>22796</t>
        </is>
      </c>
      <c r="B22872" s="4" t="s">
        <f>=HYPERLINK("http://anyluxury.ru/shop/podarki-dlya-doma/pledy/pled-na-zakaz-comfort-up-plus-s-polusherst-1802502/" , "18025.02 Плед на заказ Comfort Up Plus, S, полушерсть")</f>
      </c>
      <c r="C22872" s="4" t="n">
        <v>3508.00</v>
      </c>
      <c r="D22872" s="4"/>
    </row>
    <row collapsed="" customFormat="false" customHeight="1" hidden="" ht="14" outlineLevel="0" r="22873">
      <c r="A22873" s="3" t="inlineStr">
        <is>
          <t>22797</t>
        </is>
      </c>
      <c r="B22873" s="4" t="s">
        <f>=HYPERLINK("http://anyluxury.ru/shop/podarki-dlya-doma/pledy/pled-na-zakaz-field-plus-s-polusherst-1802602/" , "18026.02 Плед на заказ Field Plus, S, полушерсть")</f>
      </c>
      <c r="C22873" s="4" t="n">
        <v>2782.00</v>
      </c>
      <c r="D22873" s="4"/>
    </row>
    <row collapsed="" customFormat="false" customHeight="1" hidden="" ht="14" outlineLevel="0" r="22874">
      <c r="A22874" s="3" t="inlineStr">
        <is>
          <t>22798</t>
        </is>
      </c>
      <c r="B22874" s="4" t="s">
        <f>=HYPERLINK("http://anyluxury.ru/shop/podarki-dlya-doma/pledy/pled-na-zakaz-pleat-plus-s-polusherst-1802702/" , "18027.02 Плед на заказ Pleat Plus, S, полушерсть")</f>
      </c>
      <c r="C22874" s="4" t="n">
        <v>3266.00</v>
      </c>
      <c r="D22874" s="4"/>
    </row>
    <row collapsed="" customFormat="false" customHeight="1" hidden="" ht="14" outlineLevel="0" r="22875">
      <c r="A22875" s="3" t="inlineStr">
        <is>
          <t>22799</t>
        </is>
      </c>
      <c r="B22875" s="4" t="s">
        <f>=HYPERLINK("http://anyluxury.ru/shop/podarki-dlya-doma/pledy/pled-na-zakaz-tricksy-terra-s-polusherst-1802802/" , "18028.02 Плед на заказ Tricksy Terra, S, полушерсть")</f>
      </c>
      <c r="C22875" s="4" t="n">
        <v>3752.00</v>
      </c>
      <c r="D22875" s="4"/>
    </row>
    <row collapsed="" customFormat="false" customHeight="1" hidden="" ht="14" outlineLevel="0" r="22876">
      <c r="A22876" s="3" t="inlineStr">
        <is>
          <t>22800</t>
        </is>
      </c>
      <c r="B22876" s="4" t="s">
        <f>=HYPERLINK("http://anyluxury.ru/shop/podarki-dlya-doma/pledy/pled-na-zakaz-bricks-s-polusherst-1802902/" , "18029.02 Плед на заказ Bricks, S, полушерсть")</f>
      </c>
      <c r="C22876" s="4" t="n">
        <v>2413.00</v>
      </c>
      <c r="D22876" s="4"/>
    </row>
    <row collapsed="" customFormat="false" customHeight="1" hidden="" ht="14" outlineLevel="0" r="22877">
      <c r="A22877" s="3" t="inlineStr">
        <is>
          <t>22801</t>
        </is>
      </c>
      <c r="B22877" s="4" t="s">
        <f>=HYPERLINK("http://anyluxury.ru/shop/podarki-dlya-doma/pledy/pled-na-zakaz-brugge-plus-s-polusherst-1803002/" , "18030.02 Плед на заказ Brugge Plus, S, полушерсть")</f>
      </c>
      <c r="C22877" s="4" t="n">
        <v>3081.00</v>
      </c>
      <c r="D22877" s="4"/>
    </row>
    <row collapsed="" customFormat="false" customHeight="1" hidden="" ht="14" outlineLevel="0" r="22878">
      <c r="A22878" s="3" t="inlineStr">
        <is>
          <t>22802</t>
        </is>
      </c>
      <c r="B22878" s="4" t="s">
        <f>=HYPERLINK("http://anyluxury.ru/shop/podarki-dlya-doma/pledy/pled-na-zakaz-wave-s-polusherst-1803102/" , "18031.02 Плед на заказ Wave, S, полушерсть")</f>
      </c>
      <c r="C22878" s="4" t="n">
        <v>5120.00</v>
      </c>
      <c r="D22878" s="4"/>
    </row>
    <row collapsed="" customFormat="false" customHeight="1" hidden="" ht="14" outlineLevel="0" r="22879">
      <c r="A22879" s="3" t="inlineStr">
        <is>
          <t>22803</t>
        </is>
      </c>
      <c r="B22879" s="4" t="s">
        <f>=HYPERLINK("http://anyluxury.ru/shop/podarki-dlya-doma/pledy/pled-na-zakaz-tricksy-terra-net-s-polusherst-1803202/" , "18032.02 Плед на заказ Tricksy Terra Net, S, полушерсть")</f>
      </c>
      <c r="C22879" s="4" t="n">
        <v>3639.00</v>
      </c>
      <c r="D22879" s="4"/>
    </row>
    <row collapsed="" customFormat="false" customHeight="1" hidden="" ht="14" outlineLevel="0" r="22880">
      <c r="A22880" s="3" t="inlineStr">
        <is>
          <t>22804</t>
        </is>
      </c>
      <c r="B22880" s="4" t="s">
        <f>=HYPERLINK("http://anyluxury.ru/shop/podarki-dlya-doma/pledy/pled-na-zakaz-tricksy-net-light-xl-polusherst-1803302/" , "18033.02 Плед на заказ Tricksy Net Light, XL, полушерсть")</f>
      </c>
      <c r="C22880" s="4" t="n">
        <v>6342.00</v>
      </c>
      <c r="D22880" s="4"/>
    </row>
    <row collapsed="" customFormat="false" customHeight="1" hidden="" ht="14" outlineLevel="0" r="22881">
      <c r="A22881" s="3" t="inlineStr">
        <is>
          <t>22805</t>
        </is>
      </c>
      <c r="B22881" s="4" t="s">
        <f>=HYPERLINK("http://anyluxury.ru/shop/podarki-dlya-doma/pledy/pled-na-zakaz-tricksy-fint-m-akril-1803401/" , "18034.01 Плед на заказ Tricksy Fint, М, акрил")</f>
      </c>
      <c r="C22881" s="4" t="n">
        <v>3356.00</v>
      </c>
      <c r="D22881" s="4"/>
    </row>
    <row collapsed="" customFormat="false" customHeight="1" hidden="" ht="14" outlineLevel="0" r="22882">
      <c r="A22882" s="3" t="inlineStr">
        <is>
          <t>22806</t>
        </is>
      </c>
      <c r="B22882" s="4" t="s">
        <f>=HYPERLINK("http://anyluxury.ru/shop/podarki-dlya-doma/pledy/pled-na-zakaz-tricksy-net-2-cveta-m-akril-1803501/" , "18035.01 Плед на заказ Tricksy Net, 2 цвета, М, акрил")</f>
      </c>
      <c r="C22882" s="4" t="n">
        <v>3614.00</v>
      </c>
      <c r="D22882" s="4"/>
    </row>
    <row collapsed="" customFormat="false" customHeight="1" hidden="" ht="14" outlineLevel="0" r="22883">
      <c r="A22883" s="3" t="inlineStr">
        <is>
          <t>22807</t>
        </is>
      </c>
      <c r="B22883" s="4" t="s">
        <f>=HYPERLINK("http://anyluxury.ru/shop/podarki-dlya-doma/pledy/pled-na-zakaz-tricksy-net-2-cveta-m-polusherst-1803502/" , "18035.02 Плед на заказ Tricksy Net, 2 цвета, М, полушерсть")</f>
      </c>
      <c r="C22883" s="4" t="n">
        <v>5810.00</v>
      </c>
      <c r="D22883" s="4"/>
    </row>
    <row collapsed="" customFormat="false" customHeight="1" hidden="" ht="14" outlineLevel="0" r="22884">
      <c r="A22884" s="3" t="inlineStr">
        <is>
          <t>22808</t>
        </is>
      </c>
      <c r="B22884" s="4" t="s">
        <f>=HYPERLINK("http://anyluxury.ru/shop/podarki-dlya-doma/pledy/pled-na-zakaz-tricksy-net-3-cveta-m-akril-1804301/" , "18043.01 Плед на заказ Tricksy Net, 3 цвета, М, акрил")</f>
      </c>
      <c r="C22884" s="4" t="n">
        <v>3768.00</v>
      </c>
      <c r="D22884" s="4"/>
    </row>
    <row collapsed="" customFormat="false" customHeight="1" hidden="" ht="14" outlineLevel="0" r="22885">
      <c r="A22885" s="3" t="inlineStr">
        <is>
          <t>22809</t>
        </is>
      </c>
      <c r="B22885" s="4" t="s">
        <f>=HYPERLINK("http://anyluxury.ru/shop/podarki-dlya-doma/pledy/pled-na-zakaz-tricksy-net-3-cveta-m-polusherst-1804302/" , "18043.02 Плед на заказ Tricksy Net, 3 цвета, М, полушерсть")</f>
      </c>
      <c r="C22885" s="4" t="n">
        <v>5850.00</v>
      </c>
      <c r="D22885" s="4"/>
    </row>
    <row collapsed="" customFormat="false" customHeight="1" hidden="" ht="14" outlineLevel="0" r="22886">
      <c r="A22886" s="3" t="inlineStr">
        <is>
          <t>22810</t>
        </is>
      </c>
      <c r="B22886" s="4" t="s">
        <f>=HYPERLINK("http://anyluxury.ru/shop/podarki-dlya-doma/pledy/pled-na-zakaz-tricksy-net-4-cveta-m-akril-1804401/" , "18044.01 Плед на заказ Tricksy Net, 4 цвета, М, акрил")</f>
      </c>
      <c r="C22886" s="4" t="n">
        <v>4020.00</v>
      </c>
      <c r="D22886" s="4"/>
    </row>
    <row collapsed="" customFormat="false" customHeight="1" hidden="" ht="14" outlineLevel="0" r="22887">
      <c r="A22887" s="3" t="inlineStr">
        <is>
          <t>22811</t>
        </is>
      </c>
      <c r="B22887" s="4" t="s">
        <f>=HYPERLINK("http://anyluxury.ru/shop/podarki-dlya-doma/pledy/pled-na-zakaz-stille-plus-m-akril-1804501/" , "18045.01 Плед на заказ Stille Plus, M, акрил")</f>
      </c>
      <c r="C22887" s="4" t="n">
        <v>3792.00</v>
      </c>
      <c r="D22887" s="4"/>
    </row>
    <row collapsed="" customFormat="false" customHeight="1" hidden="" ht="14" outlineLevel="0" r="22888">
      <c r="A22888" s="3" t="inlineStr">
        <is>
          <t>22812</t>
        </is>
      </c>
      <c r="B22888" s="4" t="s">
        <f>=HYPERLINK("http://anyluxury.ru/shop/podarki-dlya-doma/pledy/pled-na-zakaz-stille-plus-m-polusherst-1804502/" , "18045.02 Плед на заказ Stille Plus, M, полушерсть")</f>
      </c>
      <c r="C22888" s="4" t="n">
        <v>5605.00</v>
      </c>
      <c r="D22888" s="4"/>
    </row>
    <row collapsed="" customFormat="false" customHeight="1" hidden="" ht="14" outlineLevel="0" r="22889">
      <c r="A22889" s="3" t="inlineStr">
        <is>
          <t>22813</t>
        </is>
      </c>
      <c r="B22889" s="4" t="s">
        <f>=HYPERLINK("http://anyluxury.ru/shop/podarki-dlya-doma/pledy/pled-na-zakaz-heat-trick-plus-m-akril-1804601/" , "18046.01 Плед на заказ Heat Trick Plus, М, акрил")</f>
      </c>
      <c r="C22889" s="4" t="n">
        <v>3542.00</v>
      </c>
      <c r="D22889" s="4"/>
    </row>
    <row collapsed="" customFormat="false" customHeight="1" hidden="" ht="14" outlineLevel="0" r="22890">
      <c r="A22890" s="3" t="inlineStr">
        <is>
          <t>22814</t>
        </is>
      </c>
      <c r="B22890" s="4" t="s">
        <f>=HYPERLINK("http://anyluxury.ru/shop/podarki-dlya-doma/pledy/pled-na-zakaz-heat-trick-plus-m-polusherst-1804602/" , "18046.02 Плед на заказ Heat Trick Plus, М, полушерсть")</f>
      </c>
      <c r="C22890" s="4" t="n">
        <v>5529.00</v>
      </c>
      <c r="D22890" s="4"/>
    </row>
    <row collapsed="" customFormat="false" customHeight="1" hidden="" ht="14" outlineLevel="0" r="22891">
      <c r="A22891" s="3" t="inlineStr">
        <is>
          <t>22815</t>
        </is>
      </c>
      <c r="B22891" s="4" t="s">
        <f>=HYPERLINK("http://anyluxury.ru/shop/podarki-dlya-doma/pledy/pled-na-zakaz-chess-plus-m-akril-1804701/" , "18047.01 Плед на заказ Chess Plus, М, акрил")</f>
      </c>
      <c r="C22891" s="4" t="n">
        <v>3230.00</v>
      </c>
      <c r="D22891" s="4"/>
    </row>
    <row collapsed="" customFormat="false" customHeight="1" hidden="" ht="14" outlineLevel="0" r="22892">
      <c r="A22892" s="3" t="inlineStr">
        <is>
          <t>22816</t>
        </is>
      </c>
      <c r="B22892" s="4" t="s">
        <f>=HYPERLINK("http://anyluxury.ru/shop/podarki-dlya-doma/pledy/pled-na-zakaz-chess-plus-m-polusherst-1804702/" , "18047.02 Плед на заказ Chess Plus, М, полушерсть")</f>
      </c>
      <c r="C22892" s="4" t="n">
        <v>5221.00</v>
      </c>
      <c r="D22892" s="4"/>
    </row>
    <row collapsed="" customFormat="false" customHeight="1" hidden="" ht="14" outlineLevel="0" r="22893">
      <c r="A22893" s="3" t="inlineStr">
        <is>
          <t>22817</t>
        </is>
      </c>
      <c r="B22893" s="4" t="s">
        <f>=HYPERLINK("http://anyluxury.ru/shop/podarki-dlya-doma/pledy/pled-na-zakaz-remit-plus-m-akril-1804801/" , "18048.01 Плед на заказ Remit Plus, М, акрил")</f>
      </c>
      <c r="C22893" s="4" t="n">
        <v>2813.00</v>
      </c>
      <c r="D22893" s="4"/>
    </row>
    <row collapsed="" customFormat="false" customHeight="1" hidden="" ht="14" outlineLevel="0" r="22894">
      <c r="A22894" s="3" t="inlineStr">
        <is>
          <t>22818</t>
        </is>
      </c>
      <c r="B22894" s="4" t="s">
        <f>=HYPERLINK("http://anyluxury.ru/shop/podarki-dlya-doma/pledy/pled-na-zakaz-remit-plus-m-polusherst-1804802/" , "18048.02 Плед на заказ Remit Plus, М, полушерсть")</f>
      </c>
      <c r="C22894" s="4" t="n">
        <v>4607.00</v>
      </c>
      <c r="D22894" s="4"/>
    </row>
    <row collapsed="" customFormat="false" customHeight="1" hidden="" ht="14" outlineLevel="0" r="22895">
      <c r="A22895" s="3" t="inlineStr">
        <is>
          <t>22819</t>
        </is>
      </c>
      <c r="B22895" s="4" t="s">
        <f>=HYPERLINK("http://anyluxury.ru/shop/podarki-dlya-doma/pledy/pled-na-zakaz-basket-m-akril-1804901/" , "18049.01 Плед на заказ Basket, М, акрил")</f>
      </c>
      <c r="C22895" s="4" t="n">
        <v>3250.00</v>
      </c>
      <c r="D22895" s="4"/>
    </row>
    <row collapsed="" customFormat="false" customHeight="1" hidden="" ht="14" outlineLevel="0" r="22896">
      <c r="A22896" s="3" t="inlineStr">
        <is>
          <t>22820</t>
        </is>
      </c>
      <c r="B22896" s="4" t="s">
        <f>=HYPERLINK("http://anyluxury.ru/shop/podarki-dlya-doma/pledy/pled-na-zakaz-basket-m-polusherst-1804902/" , "18049.02 Плед на заказ Basket, М, полушерсть")</f>
      </c>
      <c r="C22896" s="4" t="n">
        <v>4400.00</v>
      </c>
      <c r="D22896" s="4"/>
    </row>
    <row collapsed="" customFormat="false" customHeight="1" hidden="" ht="14" outlineLevel="0" r="22897">
      <c r="A22897" s="3" t="inlineStr">
        <is>
          <t>22821</t>
        </is>
      </c>
      <c r="B22897" s="4" t="s">
        <f>=HYPERLINK("http://anyluxury.ru/shop/podarki-dlya-doma/pledy/pled-na-zakaz-comfort-plus-m-akril-1805001/" , "18050.01 Плед на заказ Comfort Up Plus , М, акрил")</f>
      </c>
      <c r="C22897" s="4" t="n">
        <v>3283.00</v>
      </c>
      <c r="D22897" s="4"/>
    </row>
    <row collapsed="" customFormat="false" customHeight="1" hidden="" ht="14" outlineLevel="0" r="22898">
      <c r="A22898" s="3" t="inlineStr">
        <is>
          <t>22822</t>
        </is>
      </c>
      <c r="B22898" s="4" t="s">
        <f>=HYPERLINK("http://anyluxury.ru/shop/podarki-dlya-doma/pledy/pled-na-zakaz-comfort-plus-m-polusherst-1805002/" , "18050.02 Плед на заказ Comfort Up Plus , М, полушерсть")</f>
      </c>
      <c r="C22898" s="4" t="n">
        <v>4858.00</v>
      </c>
      <c r="D22898" s="4"/>
    </row>
    <row collapsed="" customFormat="false" customHeight="1" hidden="" ht="14" outlineLevel="0" r="22899">
      <c r="A22899" s="3" t="inlineStr">
        <is>
          <t>22823</t>
        </is>
      </c>
      <c r="B22899" s="4" t="s">
        <f>=HYPERLINK("http://anyluxury.ru/shop/podarki-dlya-doma/pledy/pled-na-zakaz-field-plus-m-akril-1805101/" , "18051.01 Плед на заказ Field Plus, М, акрил")</f>
      </c>
      <c r="C22899" s="4" t="n">
        <v>1836.00</v>
      </c>
      <c r="D22899" s="4"/>
    </row>
    <row collapsed="" customFormat="false" customHeight="1" hidden="" ht="14" outlineLevel="0" r="22900">
      <c r="A22900" s="3" t="inlineStr">
        <is>
          <t>22824</t>
        </is>
      </c>
      <c r="B22900" s="4" t="s">
        <f>=HYPERLINK("http://anyluxury.ru/shop/podarki-dlya-doma/pledy/pled-na-zakaz-field-plus-m-polusherst-1805102/" , "18051.02 Плед на заказ Field Plus, М, полушерсть")</f>
      </c>
      <c r="C22900" s="4" t="n">
        <v>3501.00</v>
      </c>
      <c r="D22900" s="4"/>
    </row>
    <row collapsed="" customFormat="false" customHeight="1" hidden="" ht="14" outlineLevel="0" r="22901">
      <c r="A22901" s="3" t="inlineStr">
        <is>
          <t>22825</t>
        </is>
      </c>
      <c r="B22901" s="4" t="s">
        <f>=HYPERLINK("http://anyluxury.ru/shop/podarki-dlya-doma/pledy/pled-na-zakaz-pleat-plus-m-akril-1805201/" , "18052.01 Плед на заказ Pleat Plus, М, акрил")</f>
      </c>
      <c r="C22901" s="4" t="n">
        <v>2357.00</v>
      </c>
      <c r="D22901" s="4"/>
    </row>
    <row collapsed="" customFormat="false" customHeight="1" hidden="" ht="14" outlineLevel="0" r="22902">
      <c r="A22902" s="3" t="inlineStr">
        <is>
          <t>22826</t>
        </is>
      </c>
      <c r="B22902" s="4" t="s">
        <f>=HYPERLINK("http://anyluxury.ru/shop/podarki-dlya-doma/pledy/pled-na-zakaz-pleat-plus-m-polusherst-1805202/" , "18052.02 Плед на заказ Pleat Plus, М, полушерсть")</f>
      </c>
      <c r="C22902" s="4" t="n">
        <v>3703.00</v>
      </c>
      <c r="D22902" s="4"/>
    </row>
    <row collapsed="" customFormat="false" customHeight="1" hidden="" ht="14" outlineLevel="0" r="22903">
      <c r="A22903" s="3" t="inlineStr">
        <is>
          <t>22827</t>
        </is>
      </c>
      <c r="B22903" s="4" t="s">
        <f>=HYPERLINK("http://anyluxury.ru/shop/podarki-dlya-doma/pledy/pled-na-zakaz-tricksy-terra-m-akril-1805301/" , "18053.01 Плед на заказ Tricksy Terra, М, акрил")</f>
      </c>
      <c r="C22903" s="4" t="n">
        <v>3152.00</v>
      </c>
      <c r="D22903" s="4"/>
    </row>
    <row collapsed="" customFormat="false" customHeight="1" hidden="" ht="14" outlineLevel="0" r="22904">
      <c r="A22904" s="3" t="inlineStr">
        <is>
          <t>22828</t>
        </is>
      </c>
      <c r="B22904" s="4" t="s">
        <f>=HYPERLINK("http://anyluxury.ru/shop/podarki-dlya-doma/pledy/pled-na-zakaz-tricksy-terra-m-polusherst-1805302/" , "18053.02 Плед на заказ Tricksy Terra, М, полушерсть")</f>
      </c>
      <c r="C22904" s="4" t="n">
        <v>4420.00</v>
      </c>
      <c r="D22904" s="4"/>
    </row>
    <row collapsed="" customFormat="false" customHeight="1" hidden="" ht="14" outlineLevel="0" r="22905">
      <c r="A22905" s="3" t="inlineStr">
        <is>
          <t>22829</t>
        </is>
      </c>
      <c r="B22905" s="4" t="s">
        <f>=HYPERLINK("http://anyluxury.ru/shop/podarki-dlya-doma/pledy/pled-na-zakaz-bricks-m-akril-1805401/" , "18054.01 Плед на заказ Bricks, М, акрил")</f>
      </c>
      <c r="C22905" s="4" t="n">
        <v>1903.00</v>
      </c>
      <c r="D22905" s="4"/>
    </row>
    <row collapsed="" customFormat="false" customHeight="1" hidden="" ht="14" outlineLevel="0" r="22906">
      <c r="A22906" s="3" t="inlineStr">
        <is>
          <t>22830</t>
        </is>
      </c>
      <c r="B22906" s="4" t="s">
        <f>=HYPERLINK("http://anyluxury.ru/shop/podarki-dlya-doma/pledy/pled-na-zakaz-bricks-m-polusherst-1805402/" , "18054.02 Плед на заказ Bricks, М, полушерсть")</f>
      </c>
      <c r="C22906" s="4" t="n">
        <v>3146.00</v>
      </c>
      <c r="D22906" s="4"/>
    </row>
    <row collapsed="" customFormat="false" customHeight="1" hidden="" ht="14" outlineLevel="0" r="22907">
      <c r="A22907" s="3" t="inlineStr">
        <is>
          <t>22831</t>
        </is>
      </c>
      <c r="B22907" s="4" t="s">
        <f>=HYPERLINK("http://anyluxury.ru/shop/podarki-dlya-doma/pledy/pled-na-zakaz-brugge-plus-m-akril-1805501/" , "18055.01 Плед на заказ Brugge Plus, М, акрил")</f>
      </c>
      <c r="C22907" s="4" t="n">
        <v>2225.00</v>
      </c>
      <c r="D22907" s="4"/>
    </row>
    <row collapsed="" customFormat="false" customHeight="1" hidden="" ht="14" outlineLevel="0" r="22908">
      <c r="A22908" s="3" t="inlineStr">
        <is>
          <t>22832</t>
        </is>
      </c>
      <c r="B22908" s="4" t="s">
        <f>=HYPERLINK("http://anyluxury.ru/shop/podarki-dlya-doma/pledy/pled-na-zakaz-brugge-plus-m-polusherst-1805502/" , "18055.02 Плед на заказ Brugge Plus, М, полушерсть")</f>
      </c>
      <c r="C22908" s="4" t="n">
        <v>4015.00</v>
      </c>
      <c r="D22908" s="4"/>
    </row>
    <row collapsed="" customFormat="false" customHeight="1" hidden="" ht="14" outlineLevel="0" r="22909">
      <c r="A22909" s="3" t="inlineStr">
        <is>
          <t>22833</t>
        </is>
      </c>
      <c r="B22909" s="4" t="s">
        <f>=HYPERLINK("http://anyluxury.ru/shop/podarki-dlya-doma/pledy/pled-na-zakaz-wave-m-akril-1805601/" , "18056.01 Плед на заказ Wave, М, акрил")</f>
      </c>
      <c r="C22909" s="4" t="n">
        <v>3502.00</v>
      </c>
      <c r="D22909" s="4"/>
    </row>
    <row collapsed="" customFormat="false" customHeight="1" hidden="" ht="14" outlineLevel="0" r="22910">
      <c r="A22910" s="3" t="inlineStr">
        <is>
          <t>22834</t>
        </is>
      </c>
      <c r="B22910" s="4" t="s">
        <f>=HYPERLINK("http://anyluxury.ru/shop/podarki-dlya-doma/pledy/pled-na-zakaz-wave-m-polusherst-1805602/" , "18056.02 Плед на заказ Wave, М, полушерсть")</f>
      </c>
      <c r="C22910" s="4" t="n">
        <v>6067.00</v>
      </c>
      <c r="D22910" s="4"/>
    </row>
    <row collapsed="" customFormat="false" customHeight="1" hidden="" ht="14" outlineLevel="0" r="22911">
      <c r="A22911" s="3" t="inlineStr">
        <is>
          <t>22835</t>
        </is>
      </c>
      <c r="B22911" s="4" t="s">
        <f>=HYPERLINK("http://anyluxury.ru/shop/podarki-dlya-doma/pledy/pled-na-zakaz-tricksy-terra-net-m-akril-1805701/" , "18057.01 Плед на заказ Tricksy Terra Net, М, акрил")</f>
      </c>
      <c r="C22911" s="4" t="n">
        <v>2731.00</v>
      </c>
      <c r="D22911" s="4"/>
    </row>
    <row collapsed="" customFormat="false" customHeight="1" hidden="" ht="14" outlineLevel="0" r="22912">
      <c r="A22912" s="3" t="inlineStr">
        <is>
          <t>22836</t>
        </is>
      </c>
      <c r="B22912" s="4" t="s">
        <f>=HYPERLINK("http://anyluxury.ru/shop/podarki-dlya-doma/pledy/pled-na-zakaz-tricksy-terra-net-m-polusherst-1805702/" , "18057.02 Плед на заказ Tricksy Terra Net, М, полушерсть")</f>
      </c>
      <c r="C22912" s="4" t="n">
        <v>4651.00</v>
      </c>
      <c r="D22912" s="4"/>
    </row>
    <row collapsed="" customFormat="false" customHeight="1" hidden="" ht="14" outlineLevel="0" r="22913">
      <c r="A22913" s="3" t="inlineStr">
        <is>
          <t>22837</t>
        </is>
      </c>
      <c r="B22913" s="4" t="s">
        <f>=HYPERLINK("http://anyluxury.ru/shop/podarki-dlya-doma/pledy/pled-detskiy-s-zaykami-beastie-toys-rozoviy-1598910/" , "15989.10 Плед детский с зайками Beastie Toys, розовый")</f>
      </c>
      <c r="C22913" s="4" t="n">
        <v>1491.00</v>
      </c>
      <c r="D22913" s="4"/>
    </row>
    <row collapsed="" customFormat="false" customHeight="1" hidden="" ht="14" outlineLevel="0" r="22914">
      <c r="A22914" s="3" t="inlineStr">
        <is>
          <t>22838</t>
        </is>
      </c>
      <c r="B22914" s="4" t="s">
        <f>=HYPERLINK("http://anyluxury.ru/shop/podarki-dlya-doma/pledy/pled-camino-bezheviy-1855011/" , "18550.11 Плед Camino, бежевый")</f>
      </c>
      <c r="C22914" s="4" t="n">
        <v>7125.00</v>
      </c>
      <c r="D22914" s="4"/>
    </row>
    <row collapsed="" customFormat="false" customHeight="1" hidden="" ht="14" outlineLevel="0" r="22915">
      <c r="A22915" s="3" t="inlineStr">
        <is>
          <t>22839</t>
        </is>
      </c>
      <c r="B22915" s="4" t="s">
        <f>=HYPERLINK("http://anyluxury.ru/shop/podarki-dlya-doma/pledy/pled-pluma-temnoseriy-grafit-1855112/" , "18551.12 Плед Pluma, темно-серый (графит)")</f>
      </c>
      <c r="C22915" s="4" t="n">
        <v>7283.00</v>
      </c>
      <c r="D22915" s="4"/>
    </row>
    <row collapsed="" customFormat="false" customHeight="1" hidden="" ht="14" outlineLevel="0" r="22916">
      <c r="A22916" s="3" t="inlineStr">
        <is>
          <t>22840</t>
        </is>
      </c>
      <c r="B22916" s="4" t="s">
        <f>=HYPERLINK("http://anyluxury.ru/shop/podarki-dlya-doma/pledy/pled-dantel-molochnobeliy-1855260/" , "18552.60 Плед Dantel, молочно-белый")</f>
      </c>
      <c r="C22916" s="4" t="n">
        <v>7621.00</v>
      </c>
      <c r="D22916" s="4"/>
    </row>
    <row collapsed="" customFormat="false" customHeight="1" hidden="" ht="14" outlineLevel="0" r="22917">
      <c r="A22917" s="3" t="inlineStr">
        <is>
          <t>22841</t>
        </is>
      </c>
      <c r="B22917" s="4" t="s">
        <f>=HYPERLINK("http://anyluxury.ru/shop/podarki-dlya-doma/pledy/pled-frontier-temnosiniy-1855344/" , "18553.44 Плед Frontier, темно-синий")</f>
      </c>
      <c r="C22917" s="4" t="n">
        <v>6629.00</v>
      </c>
      <c r="D22917" s="4"/>
    </row>
    <row collapsed="" customFormat="false" customHeight="1" hidden="" ht="14" outlineLevel="0" r="22918">
      <c r="A22918" s="3" t="inlineStr">
        <is>
          <t>22842</t>
        </is>
      </c>
      <c r="B22918" s="4" t="s">
        <f>=HYPERLINK("http://anyluxury.ru/shop/podarki-dlya-doma/pledy/pled-na-zakaz-diamond-plus-s-akril-1807301/" , "18073.01 Плед на заказ Diamond Plus, S, акрил")</f>
      </c>
      <c r="C22918" s="4" t="n">
        <v>1711.00</v>
      </c>
      <c r="D22918" s="4"/>
    </row>
    <row collapsed="" customFormat="false" customHeight="1" hidden="" ht="14" outlineLevel="0" r="22919">
      <c r="A22919" s="3" t="inlineStr">
        <is>
          <t>22843</t>
        </is>
      </c>
      <c r="B22919" s="4" t="s">
        <f>=HYPERLINK("http://anyluxury.ru/shop/podarki-dlya-doma/pledy/pled-na-zakaz-diamond-plus-s-polusherst-1807302/" , "18073.02 Плед на заказ Diamond Plus, S, полушерсть")</f>
      </c>
      <c r="C22919" s="4" t="n">
        <v>2977.00</v>
      </c>
      <c r="D22919" s="4"/>
    </row>
    <row collapsed="" customFormat="false" customHeight="1" hidden="" ht="14" outlineLevel="0" r="22920">
      <c r="A22920" s="3" t="inlineStr">
        <is>
          <t>22844</t>
        </is>
      </c>
      <c r="B22920" s="4" t="s">
        <f>=HYPERLINK("http://anyluxury.ru/shop/podarki-dlya-doma/pledy/pled-na-zakaz-diamond-plus-m-akril-1805801/" , "18058.01 Плед на заказ Diamond Plus, М, акрил")</f>
      </c>
      <c r="C22920" s="4" t="n">
        <v>2228.00</v>
      </c>
      <c r="D22920" s="4"/>
    </row>
    <row collapsed="" customFormat="false" customHeight="1" hidden="" ht="14" outlineLevel="0" r="22921">
      <c r="A22921" s="3" t="inlineStr">
        <is>
          <t>22845</t>
        </is>
      </c>
      <c r="B22921" s="4" t="s">
        <f>=HYPERLINK("http://anyluxury.ru/shop/podarki-dlya-doma/pledy/pled-na-zakaz-diamond-plus-m-polusherst-1805802/" , "18058.02 Плед на заказ Diamond Plus, М, полушерсть")</f>
      </c>
      <c r="C22921" s="4" t="n">
        <v>3880.00</v>
      </c>
      <c r="D22921" s="4"/>
    </row>
    <row collapsed="" customFormat="false" customHeight="1" hidden="" ht="14" outlineLevel="0" r="22922">
      <c r="A22922" s="3" t="inlineStr">
        <is>
          <t>22846</t>
        </is>
      </c>
      <c r="B22922" s="4" t="s">
        <f>=HYPERLINK("http://anyluxury.ru/shop/podarki-dlya-doma/pledy/pled-na-zakaz-wiker-s-akril-1805901/" , "18059.01 Плед на заказ Wiker, S, акрил")</f>
      </c>
      <c r="C22922" s="4" t="n">
        <v>1506.00</v>
      </c>
      <c r="D22922" s="4"/>
    </row>
    <row collapsed="" customFormat="false" customHeight="1" hidden="" ht="14" outlineLevel="0" r="22923">
      <c r="A22923" s="3" t="inlineStr">
        <is>
          <t>22847</t>
        </is>
      </c>
      <c r="B22923" s="4" t="s">
        <f>=HYPERLINK("http://anyluxury.ru/shop/podarki-dlya-doma/pledy/pled-na-zakaz-wiker-s-polusherst-1805902/" , "18059.02 Плед на заказ Wiker, S, полушерсть")</f>
      </c>
      <c r="C22923" s="4" t="n">
        <v>2733.00</v>
      </c>
      <c r="D22923" s="4"/>
    </row>
    <row collapsed="" customFormat="false" customHeight="1" hidden="" ht="14" outlineLevel="0" r="22924">
      <c r="A22924" s="3" t="inlineStr">
        <is>
          <t>22848</t>
        </is>
      </c>
      <c r="B22924" s="4" t="s">
        <f>=HYPERLINK("http://anyluxury.ru/shop/podarki-dlya-doma/pledy/pled-na-zakaz-wiker-m-akril-1806001/" , "18060.01 Плед на заказ Wiker, М, акрил")</f>
      </c>
      <c r="C22924" s="4" t="n">
        <v>3427.00</v>
      </c>
      <c r="D22924" s="4"/>
    </row>
    <row collapsed="" customFormat="false" customHeight="1" hidden="" ht="14" outlineLevel="0" r="22925">
      <c r="A22925" s="3" t="inlineStr">
        <is>
          <t>22849</t>
        </is>
      </c>
      <c r="B22925" s="4" t="s">
        <f>=HYPERLINK("http://anyluxury.ru/shop/podarki-dlya-doma/pledy/pled-na-zakaz-wiker-m-polusherst-1806002/" , "18060.02 Плед на заказ Wiker, М, полушерсть")</f>
      </c>
      <c r="C22925" s="4" t="n">
        <v>5718.00</v>
      </c>
      <c r="D22925" s="4"/>
    </row>
    <row collapsed="" customFormat="false" customHeight="1" hidden="" ht="14" outlineLevel="0" r="22926">
      <c r="A22926" s="3" t="inlineStr">
        <is>
          <t>22850</t>
        </is>
      </c>
      <c r="B22926" s="4" t="s">
        <f>=HYPERLINK("http://anyluxury.ru/shop/podarki-dlya-doma/pledy/pled-na-zakaz-sail-s-akril-1806101/" , "18061.01 Плед на заказ Sail, S, акрил")</f>
      </c>
      <c r="C22926" s="4" t="n">
        <v>2087.00</v>
      </c>
      <c r="D22926" s="4"/>
    </row>
    <row collapsed="" customFormat="false" customHeight="1" hidden="" ht="14" outlineLevel="0" r="22927">
      <c r="A22927" s="3" t="inlineStr">
        <is>
          <t>22851</t>
        </is>
      </c>
      <c r="B22927" s="4" t="s">
        <f>=HYPERLINK("http://anyluxury.ru/shop/podarki-dlya-doma/pledy/pled-na-zakaz-sail-s-polusherst-1806102/" , "18061.02 Плед на заказ Sail, S, полушерсть")</f>
      </c>
      <c r="C22927" s="4" t="n">
        <v>2999.00</v>
      </c>
      <c r="D22927" s="4"/>
    </row>
    <row collapsed="" customFormat="false" customHeight="1" hidden="" ht="14" outlineLevel="0" r="22928">
      <c r="A22928" s="3" t="inlineStr">
        <is>
          <t>22852</t>
        </is>
      </c>
      <c r="B22928" s="4" t="s">
        <f>=HYPERLINK("http://anyluxury.ru/shop/podarki-dlya-doma/pledy/pled-na-zakaz-sail-m-akril-1806201/" , "18062.01 Плед на заказ Sail, М, акрил")</f>
      </c>
      <c r="C22928" s="4" t="n">
        <v>2720.00</v>
      </c>
      <c r="D22928" s="4"/>
    </row>
    <row collapsed="" customFormat="false" customHeight="1" hidden="" ht="14" outlineLevel="0" r="22929">
      <c r="A22929" s="3" t="inlineStr">
        <is>
          <t>22853</t>
        </is>
      </c>
      <c r="B22929" s="4" t="s">
        <f>=HYPERLINK("http://anyluxury.ru/shop/podarki-dlya-doma/pledy/pled-na-zakaz-sail-m-polusherst-1806202/" , "18062.02 Плед на заказ Sail, М, полушерсть")</f>
      </c>
      <c r="C22929" s="4" t="n">
        <v>3911.00</v>
      </c>
      <c r="D22929" s="4"/>
    </row>
    <row collapsed="" customFormat="false" customHeight="1" hidden="" ht="14" outlineLevel="0" r="22930">
      <c r="A22930" s="3" t="inlineStr">
        <is>
          <t>22854</t>
        </is>
      </c>
      <c r="B22930" s="4" t="s">
        <f>=HYPERLINK("http://anyluxury.ru/shop/podarki-dlya-doma/pledy/pled-na-zakaz-shirr-plus-s-akril-1806301/" , "18063.01 Плед на заказ Shirr Plus, S, акрил")</f>
      </c>
      <c r="C22930" s="4" t="n">
        <v>1637.00</v>
      </c>
      <c r="D22930" s="4"/>
    </row>
    <row collapsed="" customFormat="false" customHeight="1" hidden="" ht="14" outlineLevel="0" r="22931">
      <c r="A22931" s="3" t="inlineStr">
        <is>
          <t>22855</t>
        </is>
      </c>
      <c r="B22931" s="4" t="s">
        <f>=HYPERLINK("http://anyluxury.ru/shop/podarki-dlya-doma/pledy/pled-na-zakaz-shirr-plus-s-polusherst-1806302/" , "18063.02 Плед на заказ Shirr Plus, S, полушерсть")</f>
      </c>
      <c r="C22931" s="4" t="n">
        <v>3222.00</v>
      </c>
      <c r="D22931" s="4"/>
    </row>
    <row collapsed="" customFormat="false" customHeight="1" hidden="" ht="14" outlineLevel="0" r="22932">
      <c r="A22932" s="3" t="inlineStr">
        <is>
          <t>22856</t>
        </is>
      </c>
      <c r="B22932" s="4" t="s">
        <f>=HYPERLINK("http://anyluxury.ru/shop/podarki-dlya-doma/pledy/pled-na-zakaz-shirr-plus-m-akril-1806401/" , "18064.01 Плед на заказ Shirr Plus, М, акрил")</f>
      </c>
      <c r="C22932" s="4" t="n">
        <v>2133.00</v>
      </c>
      <c r="D22932" s="4"/>
    </row>
    <row collapsed="" customFormat="false" customHeight="1" hidden="" ht="14" outlineLevel="0" r="22933">
      <c r="A22933" s="3" t="inlineStr">
        <is>
          <t>22857</t>
        </is>
      </c>
      <c r="B22933" s="4" t="s">
        <f>=HYPERLINK("http://anyluxury.ru/shop/podarki-dlya-doma/pledy/pled-na-zakaz-shirr-plus-m-polusherst-1806402/" , "18064.02 Плед на заказ Shirr Plus, М, полушерсть")</f>
      </c>
      <c r="C22933" s="4" t="n">
        <v>4192.00</v>
      </c>
      <c r="D22933" s="4"/>
    </row>
    <row collapsed="" customFormat="false" customHeight="1" hidden="" ht="14" outlineLevel="0" r="22934">
      <c r="A22934" s="3" t="inlineStr">
        <is>
          <t>22858</t>
        </is>
      </c>
      <c r="B22934" s="4" t="s">
        <f>=HYPERLINK("http://anyluxury.ru/shop/podarki-dlya-doma/pledy/pled-na-zakaz-reframe-plus-s-akril-1806501/" , "18065.01 Плед на заказ Reframe Plus, S, акрил")</f>
      </c>
      <c r="C22934" s="4" t="n">
        <v>1894.00</v>
      </c>
      <c r="D22934" s="4"/>
    </row>
    <row collapsed="" customFormat="false" customHeight="1" hidden="" ht="14" outlineLevel="0" r="22935">
      <c r="A22935" s="3" t="inlineStr">
        <is>
          <t>22859</t>
        </is>
      </c>
      <c r="B22935" s="4" t="s">
        <f>=HYPERLINK("http://anyluxury.ru/shop/podarki-dlya-doma/pledy/pled-na-zakaz-reframe-plus-s-polusherst-1806502/" , "18065.02 Плед на заказ Reframe Plus, S, полушерсть")</f>
      </c>
      <c r="C22935" s="4" t="n">
        <v>3225.00</v>
      </c>
      <c r="D22935" s="4"/>
    </row>
    <row collapsed="" customFormat="false" customHeight="1" hidden="" ht="14" outlineLevel="0" r="22936">
      <c r="A22936" s="3" t="inlineStr">
        <is>
          <t>22860</t>
        </is>
      </c>
      <c r="B22936" s="4" t="s">
        <f>=HYPERLINK("http://anyluxury.ru/shop/podarki-dlya-doma/pledy/pled-na-zakaz-reframe-plus-m-akril-1806601/" , "18066.01 Плед на заказ Reframe Plus, М, акрил")</f>
      </c>
      <c r="C22936" s="4" t="n">
        <v>3907.00</v>
      </c>
      <c r="D22936" s="4"/>
    </row>
    <row collapsed="" customFormat="false" customHeight="1" hidden="" ht="14" outlineLevel="0" r="22937">
      <c r="A22937" s="3" t="inlineStr">
        <is>
          <t>22861</t>
        </is>
      </c>
      <c r="B22937" s="4" t="s">
        <f>=HYPERLINK("http://anyluxury.ru/shop/podarki-dlya-doma/pledy/pled-na-zakaz-reframe-plus-m-polusherst-1806602/" , "18066.02 Плед на заказ Reframe Plus, М, полушерсть")</f>
      </c>
      <c r="C22937" s="4" t="n">
        <v>6044.00</v>
      </c>
      <c r="D22937" s="4"/>
    </row>
    <row collapsed="" customFormat="false" customHeight="1" hidden="" ht="14" outlineLevel="0" r="22938">
      <c r="A22938" s="3" t="inlineStr">
        <is>
          <t>22862</t>
        </is>
      </c>
      <c r="B22938" s="4" t="s">
        <f>=HYPERLINK("http://anyluxury.ru/shop/podarki-dlya-doma/pledy/pled-na-zakaz-trenza-plus-s-akril-1806701/" , "18067.01 Плед на заказ Trenza Plus, S, акрил")</f>
      </c>
      <c r="C22938" s="4" t="n">
        <v>1380.00</v>
      </c>
      <c r="D22938" s="4"/>
    </row>
    <row collapsed="" customFormat="false" customHeight="1" hidden="" ht="14" outlineLevel="0" r="22939">
      <c r="A22939" s="3" t="inlineStr">
        <is>
          <t>22863</t>
        </is>
      </c>
      <c r="B22939" s="4" t="s">
        <f>=HYPERLINK("http://anyluxury.ru/shop/podarki-dlya-doma/pledy/pled-na-zakaz-trenza-plus-s-polusherst-1806702/" , "18067.02 Плед на заказ Trenza Plus, S, полушерсть")</f>
      </c>
      <c r="C22939" s="4" t="n">
        <v>2387.00</v>
      </c>
      <c r="D22939" s="4"/>
    </row>
    <row collapsed="" customFormat="false" customHeight="1" hidden="" ht="14" outlineLevel="0" r="22940">
      <c r="A22940" s="3" t="inlineStr">
        <is>
          <t>22864</t>
        </is>
      </c>
      <c r="B22940" s="4" t="s">
        <f>=HYPERLINK("http://anyluxury.ru/shop/podarki-dlya-doma/pledy/pled-na-zakaz-trenza-plus-m-akril-1806801/" , "18068.01 Плед на заказ Trenza Plus, М, акрил")</f>
      </c>
      <c r="C22940" s="4" t="n">
        <v>2765.00</v>
      </c>
      <c r="D22940" s="4"/>
    </row>
    <row collapsed="" customFormat="false" customHeight="1" hidden="" ht="14" outlineLevel="0" r="22941">
      <c r="A22941" s="3" t="inlineStr">
        <is>
          <t>22865</t>
        </is>
      </c>
      <c r="B22941" s="4" t="s">
        <f>=HYPERLINK("http://anyluxury.ru/shop/podarki-dlya-doma/pledy/pled-na-zakaz-trenza-plus-m-polusherst-1806802/" , "18068.02 Плед на заказ Trenza Plus, М, полушерсть")</f>
      </c>
      <c r="C22941" s="4" t="n">
        <v>4402.00</v>
      </c>
      <c r="D22941" s="4"/>
    </row>
    <row collapsed="" customFormat="false" customHeight="1" hidden="" ht="14" outlineLevel="0" r="22942">
      <c r="A22942" s="3" t="inlineStr">
        <is>
          <t>22866</t>
        </is>
      </c>
      <c r="B22942" s="4" t="s">
        <f>=HYPERLINK("http://anyluxury.ru/shop/podarki-dlya-doma/pledy/pled-na-zakaz-marea-plus-s-akril-1806901/" , "18069.01 Плед на заказ Marea Plus, S, акрил")</f>
      </c>
      <c r="C22942" s="4" t="n">
        <v>1408.00</v>
      </c>
      <c r="D22942" s="4"/>
    </row>
    <row collapsed="" customFormat="false" customHeight="1" hidden="" ht="14" outlineLevel="0" r="22943">
      <c r="A22943" s="3" t="inlineStr">
        <is>
          <t>22867</t>
        </is>
      </c>
      <c r="B22943" s="4" t="s">
        <f>=HYPERLINK("http://anyluxury.ru/shop/podarki-dlya-doma/pledy/pled-na-zakaz-marea-plus-s-polusherst-1806902/" , "18069.02 Плед на заказ Marea Plus, S, полушерсть")</f>
      </c>
      <c r="C22943" s="4" t="n">
        <v>2494.00</v>
      </c>
      <c r="D22943" s="4"/>
    </row>
    <row collapsed="" customFormat="false" customHeight="1" hidden="" ht="14" outlineLevel="0" r="22944">
      <c r="A22944" s="3" t="inlineStr">
        <is>
          <t>22868</t>
        </is>
      </c>
      <c r="B22944" s="4" t="s">
        <f>=HYPERLINK("http://anyluxury.ru/shop/podarki-dlya-doma/pledy/pled-na-zakaz-marea-plus-m-akril-1807001/" , "18070.01 Плед на заказ Marea Plus, М, акрил")</f>
      </c>
      <c r="C22944" s="4" t="n">
        <v>3317.00</v>
      </c>
      <c r="D22944" s="4"/>
    </row>
    <row collapsed="" customFormat="false" customHeight="1" hidden="" ht="14" outlineLevel="0" r="22945">
      <c r="A22945" s="3" t="inlineStr">
        <is>
          <t>22869</t>
        </is>
      </c>
      <c r="B22945" s="4" t="s">
        <f>=HYPERLINK("http://anyluxury.ru/shop/podarki-dlya-doma/pledy/pled-na-zakaz-marea-plus-m-polusherst-1807002/" , "18070.02 Плед на заказ Marea Plus, М, полушерсть")</f>
      </c>
      <c r="C22945" s="4" t="n">
        <v>5005.00</v>
      </c>
      <c r="D22945" s="4"/>
    </row>
    <row collapsed="" customFormat="false" customHeight="1" hidden="" ht="14" outlineLevel="0" r="22946">
      <c r="A22946" s="3" t="inlineStr">
        <is>
          <t>22870</t>
        </is>
      </c>
      <c r="B22946" s="4" t="s">
        <f>=HYPERLINK("http://anyluxury.ru/shop/podarki-dlya-doma/pledy/pled-na-zakaz-tyle-s-akril-1807101/" , "18071.01 Плед на заказ Tyle, S, акрил")</f>
      </c>
      <c r="C22946" s="4" t="n">
        <v>1766.00</v>
      </c>
      <c r="D22946" s="4"/>
    </row>
    <row collapsed="" customFormat="false" customHeight="1" hidden="" ht="14" outlineLevel="0" r="22947">
      <c r="A22947" s="3" t="inlineStr">
        <is>
          <t>22871</t>
        </is>
      </c>
      <c r="B22947" s="4" t="s">
        <f>=HYPERLINK("http://anyluxury.ru/shop/podarki-dlya-doma/pledy/pled-na-zakaz-tyle-s-polusherst-1807102/" , "18071.02 Плед на заказ Tyle, S, полушерсть")</f>
      </c>
      <c r="C22947" s="4" t="n">
        <v>3271.00</v>
      </c>
      <c r="D22947" s="4"/>
    </row>
    <row collapsed="" customFormat="false" customHeight="1" hidden="" ht="14" outlineLevel="0" r="22948">
      <c r="A22948" s="3" t="inlineStr">
        <is>
          <t>22872</t>
        </is>
      </c>
      <c r="B22948" s="4" t="s">
        <f>=HYPERLINK("http://anyluxury.ru/shop/podarki-dlya-doma/pledy/pled-na-zakaz-tyle-m-akril-1807201/" , "18072.01 Плед на заказ Tyle, М, акрил")</f>
      </c>
      <c r="C22948" s="4" t="n">
        <v>2301.00</v>
      </c>
      <c r="D22948" s="4"/>
    </row>
    <row collapsed="" customFormat="false" customHeight="1" hidden="" ht="14" outlineLevel="0" r="22949">
      <c r="A22949" s="3" t="inlineStr">
        <is>
          <t>22873</t>
        </is>
      </c>
      <c r="B22949" s="4" t="s">
        <f>=HYPERLINK("http://anyluxury.ru/shop/podarki-dlya-doma/pledy/pled-na-zakaz-tyle-m-polusherst-1807202/" , "18072.02 Плед на заказ Tyle, М, полушерсть")</f>
      </c>
      <c r="C22949" s="4" t="n">
        <v>4266.00</v>
      </c>
      <c r="D22949" s="4"/>
    </row>
    <row collapsed="" customFormat="false" customHeight="1" hidden="" ht="14" outlineLevel="0" r="22950">
      <c r="A22950" s="3" t="inlineStr">
        <is>
          <t>22874</t>
        </is>
      </c>
      <c r="B22950" s="4" t="s">
        <f>=HYPERLINK("http://anyluxury.ru/shop/podarki-dlya-doma/pledy/pled-pleat-korichneviy-terrakota-760255/" , "7602.55 Плед Pleat, коричневый (терракота)")</f>
      </c>
      <c r="C22950" s="4" t="n">
        <v>2694.00</v>
      </c>
      <c r="D22950" s="4"/>
    </row>
    <row collapsed="" customFormat="false" customHeight="1" hidden="" ht="14" outlineLevel="0" r="22951">
      <c r="A22951" s="3" t="inlineStr">
        <is>
          <t>22875</t>
        </is>
      </c>
      <c r="B22951" s="4" t="s">
        <f>=HYPERLINK("http://anyluxury.ru/shop/podarki-dlya-doma/pledy/pled-arequipa-fioletoviy-s-serim-1902057/" , "19020.57 Плед Аrequipa, фиолетовый с серым")</f>
      </c>
      <c r="C22951" s="4" t="n">
        <v>16900.00</v>
      </c>
      <c r="D22951" s="4"/>
    </row>
    <row collapsed="" customFormat="false" customHeight="1" hidden="" ht="14" outlineLevel="0" r="22952">
      <c r="A22952" s="3" t="inlineStr">
        <is>
          <t>22876</t>
        </is>
      </c>
      <c r="B22952" s="4" t="s">
        <f>=HYPERLINK("http://anyluxury.ru/shop/podarki-dlya-doma/pledy/pled-arequipa-seriy-1902011/" , "19020.11 Плед Аrequipa, серо-голубой")</f>
      </c>
      <c r="C22952" s="4" t="n">
        <v>16900.00</v>
      </c>
      <c r="D22952" s="4"/>
    </row>
    <row collapsed="" customFormat="false" customHeight="1" hidden="" ht="14" outlineLevel="0" r="22953">
      <c r="A22953" s="3" t="inlineStr">
        <is>
          <t>22877</t>
        </is>
      </c>
      <c r="B22953" s="4" t="s">
        <f>=HYPERLINK("http://anyluxury.ru/shop/podarki-dlya-doma/pledy/pled-arequipa-siniy-1902040/" , "19020.40 Плед Аrequipa, синий")</f>
      </c>
      <c r="C22953" s="4" t="n">
        <v>16900.00</v>
      </c>
      <c r="D22953" s="4"/>
    </row>
    <row collapsed="" customFormat="false" customHeight="1" hidden="" ht="14" outlineLevel="0" r="22954">
      <c r="A22954" s="3" t="inlineStr">
        <is>
          <t>22878</t>
        </is>
      </c>
      <c r="B22954" s="4" t="s">
        <f>=HYPERLINK("http://anyluxury.ru/shop/podarki-dlya-doma/pledy/pled-arequipa-krasniy-s-bezhevim-1902051/" , "19020.51 Плед Аrequipa, красный с бежевым")</f>
      </c>
      <c r="C22954" s="4" t="n">
        <v>16900.00</v>
      </c>
      <c r="D22954" s="4"/>
    </row>
    <row collapsed="" customFormat="false" customHeight="1" hidden="" ht="14" outlineLevel="0" r="22955">
      <c r="A22955" s="3" t="inlineStr">
        <is>
          <t>22879</t>
        </is>
      </c>
      <c r="B22955" s="4" t="s">
        <f>=HYPERLINK("http://anyluxury.ru/shop/podarki-dlya-doma/pledy/pled-shirr-temnosiniy-sapfir-2127744/" , "21277.44 Плед Shirr, темно-синий (сапфир)")</f>
      </c>
      <c r="C22955" s="4" t="n">
        <v>7232.00</v>
      </c>
      <c r="D22955" s="4"/>
    </row>
    <row collapsed="" customFormat="false" customHeight="1" hidden="" ht="14" outlineLevel="0" r="22956">
      <c r="A22956" s="3" t="inlineStr">
        <is>
          <t>22880</t>
        </is>
      </c>
      <c r="B22956" s="4" t="s">
        <f>=HYPERLINK("http://anyluxury.ru/shop/podarki-dlya-doma/pledy/pled-arequipa-bezheviy-s-serim-1902016/" , "19020.16 Плед Аrequipa, бежевый с серым")</f>
      </c>
      <c r="C22956" s="4" t="n">
        <v>16900.00</v>
      </c>
      <c r="D22956" s="4"/>
    </row>
    <row collapsed="" customFormat="false" customHeight="1" hidden="" ht="14" outlineLevel="0" r="22957">
      <c r="A22957" s="3" t="inlineStr">
        <is>
          <t>22881</t>
        </is>
      </c>
      <c r="B22957" s="4" t="s">
        <f>=HYPERLINK("http://anyluxury.ru/shop/podarki-dlya-doma/pledy/pled-arequipa-korichneviy-1902059/" , "19020.59 Плед Аrequipa, коричневый")</f>
      </c>
      <c r="C22957" s="4" t="n">
        <v>16900.00</v>
      </c>
      <c r="D22957" s="4"/>
    </row>
    <row collapsed="" customFormat="false" customHeight="1" hidden="" ht="14" outlineLevel="0" r="22958">
      <c r="A22958" s="3" t="inlineStr">
        <is>
          <t>22882</t>
        </is>
      </c>
      <c r="B22958" s="4" t="s">
        <f>=HYPERLINK("http://anyluxury.ru/shop/podarki-dlya-doma/pledy/pled-arequipa-zeleniy-1902090/" , "19020.90 Плед Аrequipa, зеленый")</f>
      </c>
      <c r="C22958" s="4" t="n">
        <v>16900.00</v>
      </c>
      <c r="D22958" s="4"/>
    </row>
    <row collapsed="" customFormat="false" customHeight="1" hidden="" ht="14" outlineLevel="0" r="22959">
      <c r="A22959" s="3" t="inlineStr">
        <is>
          <t>22883</t>
        </is>
      </c>
      <c r="B22959" s="4" t="s">
        <f>=HYPERLINK("http://anyluxury.ru/shop/podarki-dlya-doma/pledy/pled-arequipa-bordoviy-1902055/" , "19020.55 Плед Аrequipa, бордовый")</f>
      </c>
      <c r="C22959" s="4" t="n">
        <v>16900.00</v>
      </c>
      <c r="D22959" s="4"/>
    </row>
    <row collapsed="" customFormat="false" customHeight="1" hidden="" ht="14" outlineLevel="0" r="22960">
      <c r="A22960" s="3" t="inlineStr">
        <is>
          <t>22884</t>
        </is>
      </c>
      <c r="B22960" s="4" t="s">
        <f>=HYPERLINK("http://anyluxury.ru/shop/podarki-dlya-doma/pledy/pled-arequipa-rozoviy-1902015/" , "19020.15 Плед Аrequipa, розовый")</f>
      </c>
      <c r="C22960" s="4" t="n">
        <v>16900.00</v>
      </c>
      <c r="D22960" s="4"/>
    </row>
    <row collapsed="" customFormat="false" customHeight="1" hidden="" ht="14" outlineLevel="0" r="22961">
      <c r="A22961" s="3" t="inlineStr">
        <is>
          <t>22885</t>
        </is>
      </c>
      <c r="B22961" s="4" t="s">
        <f>=HYPERLINK("http://anyluxury.ru/shop/podarki-dlya-doma/pledy/pled-bilbo-pesochniy-1391311/" , "13913.11 Плед Bilbo, песочный")</f>
      </c>
      <c r="C22961" s="4" t="n">
        <v>5790.00</v>
      </c>
      <c r="D22961" s="4"/>
    </row>
    <row collapsed="" customFormat="false" customHeight="1" hidden="" ht="14" outlineLevel="0" r="22962">
      <c r="A22962" s="3" t="inlineStr">
        <is>
          <t>22886</t>
        </is>
      </c>
      <c r="B22962" s="4" t="s">
        <f>=HYPERLINK("http://anyluxury.ru/shop/podarki-dlya-doma/pledy/pled-bilbo-seriy-1391310/" , "13913.10 Плед Bilbo, серый")</f>
      </c>
      <c r="C22962" s="4" t="n">
        <v>5790.00</v>
      </c>
      <c r="D22962" s="4"/>
    </row>
    <row collapsed="" customFormat="false" customHeight="1" hidden="" ht="14" outlineLevel="0" r="22963">
      <c r="A22963" s="3" t="inlineStr">
        <is>
          <t>22887</t>
        </is>
      </c>
      <c r="B22963" s="4" t="s">
        <f>=HYPERLINK("http://anyluxury.ru/shop/podarki-dlya-doma/pledy/pled-bilbo-svetlosiniy-1391340/" , "13913.40 Плед Bilbo, светло-синий")</f>
      </c>
      <c r="C22963" s="4" t="n">
        <v>5790.00</v>
      </c>
      <c r="D22963" s="4"/>
    </row>
    <row collapsed="" customFormat="false" customHeight="1" hidden="" ht="14" outlineLevel="0" r="22964">
      <c r="A22964" s="3" t="inlineStr">
        <is>
          <t>22888</t>
        </is>
      </c>
      <c r="B22964" s="4" t="s">
        <f>=HYPERLINK("http://anyluxury.ru/shop/podarki-dlya-doma/pledy/pled-sagunt-pesochniy-1391411/" , "13914.11 Плед Sagunt, песочный")</f>
      </c>
      <c r="C22964" s="4" t="n">
        <v>2390.00</v>
      </c>
      <c r="D22964" s="4"/>
    </row>
    <row collapsed="" customFormat="false" customHeight="1" hidden="" ht="14" outlineLevel="0" r="22965">
      <c r="A22965" s="3" t="inlineStr">
        <is>
          <t>22889</t>
        </is>
      </c>
      <c r="B22965" s="4" t="s">
        <f>=HYPERLINK("http://anyluxury.ru/shop/podarki-dlya-doma/pledy/pled-sagunt-goluboy-1391415/" , "13914.15 Плед Sagunt, мятный")</f>
      </c>
      <c r="C22965" s="4" t="n">
        <v>2390.00</v>
      </c>
      <c r="D22965" s="4"/>
    </row>
    <row collapsed="" customFormat="false" customHeight="1" hidden="" ht="14" outlineLevel="0" r="22966">
      <c r="A22966" s="3" t="inlineStr">
        <is>
          <t>22890</t>
        </is>
      </c>
      <c r="B22966" s="4" t="s">
        <f>=HYPERLINK("http://anyluxury.ru/shop/podarki-dlya-doma/pledy/pled-ukiyo-iz-polylanar-aware-130x150sm-p459102/" , "P459.102 Плед Ukiyo из Polylana® Aware™, 130x150см")</f>
      </c>
      <c r="C22966" s="4" t="n">
        <v>4800.00</v>
      </c>
      <c r="D22966" s="4"/>
    </row>
    <row collapsed="" customFormat="false" customHeight="1" hidden="" ht="14" outlineLevel="0" r="22967">
      <c r="A22967" s="3" t="inlineStr">
        <is>
          <t>22891</t>
        </is>
      </c>
      <c r="B22967" s="4" t="s">
        <f>=HYPERLINK("http://anyluxury.ru/shop/podarki-dlya-doma/pledy/flisovie-pledi-feltro-s-tisneniem-na-zakaz-1884901/" , "18849.01 Флисовые пледы Feltro с тиснением на заказ")</f>
      </c>
      <c r="C22967" s="4" t="n">
        <v>2253.00</v>
      </c>
      <c r="D22967" s="4"/>
    </row>
    <row collapsed="" customFormat="false" customHeight="1" hidden="" ht="14" outlineLevel="0" r="22968">
      <c r="A22968" s="3" t="inlineStr">
        <is>
          <t>22892</t>
        </is>
      </c>
      <c r="B22968" s="4" t="s">
        <f>=HYPERLINK("http://anyluxury.ru/shop/podarki-dlya-doma/pledy/pled-na-zakaz-pleat-plus-l-akril-1893201/" , "18932.01 Плед на заказ Pleat Plus, L, акрил")</f>
      </c>
      <c r="C22968" s="4" t="n">
        <v>3094.00</v>
      </c>
      <c r="D22968" s="4"/>
    </row>
    <row collapsed="" customFormat="false" customHeight="1" hidden="" ht="14" outlineLevel="0" r="22969">
      <c r="A22969" s="3" t="inlineStr">
        <is>
          <t>22893</t>
        </is>
      </c>
      <c r="B22969" s="4" t="s">
        <f>=HYPERLINK("http://anyluxury.ru/shop/podarki-dlya-doma/pledy/pled-na-zakaz-pleat-plus-l-polusherst-1893202/" , "18932.02 Плед на заказ Pleat Plus, L, полушерсть")</f>
      </c>
      <c r="C22969" s="4" t="n">
        <v>4690.00</v>
      </c>
      <c r="D22969" s="4"/>
    </row>
    <row collapsed="" customFormat="false" customHeight="1" hidden="" ht="14" outlineLevel="0" r="22970">
      <c r="A22970" s="3" t="inlineStr">
        <is>
          <t>22894</t>
        </is>
      </c>
      <c r="B22970" s="4" t="s">
        <f>=HYPERLINK("http://anyluxury.ru/shop/podarki-dlya-doma/pledy/pled-na-zakaz-remit-plus-l-akril-1893301/" , "18933.01 Плед на заказ Remit Plus, L, акрил")</f>
      </c>
      <c r="C22970" s="4" t="n">
        <v>3799.00</v>
      </c>
      <c r="D22970" s="4"/>
    </row>
    <row collapsed="" customFormat="false" customHeight="1" hidden="" ht="14" outlineLevel="0" r="22971">
      <c r="A22971" s="3" t="inlineStr">
        <is>
          <t>22895</t>
        </is>
      </c>
      <c r="B22971" s="4" t="s">
        <f>=HYPERLINK("http://anyluxury.ru/shop/podarki-dlya-doma/pledy/pled-na-zakaz-remit-plus-l-polusherst-1893302/" , "18933.02 Плед на заказ Remit Plus, L, полушерсть")</f>
      </c>
      <c r="C22971" s="4" t="n">
        <v>6196.00</v>
      </c>
      <c r="D22971" s="4"/>
    </row>
    <row collapsed="" customFormat="false" customHeight="1" hidden="" ht="14" outlineLevel="0" r="22972">
      <c r="A22972" s="3" t="inlineStr">
        <is>
          <t>22896</t>
        </is>
      </c>
      <c r="B22972" s="4" t="s">
        <f>=HYPERLINK("http://anyluxury.ru/shop/podarki-dlya-doma/pledy/pled-na-zakaz-heat-trick-plus-l-akril-1893401/" , "18934.01 Плед на заказ Heat Trick Plus, L, акрил")</f>
      </c>
      <c r="C22972" s="4" t="n">
        <v>4944.00</v>
      </c>
      <c r="D22972" s="4"/>
    </row>
    <row collapsed="" customFormat="false" customHeight="1" hidden="" ht="14" outlineLevel="0" r="22973">
      <c r="A22973" s="3" t="inlineStr">
        <is>
          <t>22897</t>
        </is>
      </c>
      <c r="B22973" s="4" t="s">
        <f>=HYPERLINK("http://anyluxury.ru/shop/podarki-dlya-doma/pledy/pled-na-zakaz-heat-trick-plus-l-polusherst-1893402/" , "18934.02 Плед на заказ Heat Trick Plus, L, полушерсть")</f>
      </c>
      <c r="C22973" s="4" t="n">
        <v>7641.00</v>
      </c>
      <c r="D22973" s="4"/>
    </row>
    <row collapsed="" customFormat="false" customHeight="1" hidden="" ht="14" outlineLevel="0" r="22974">
      <c r="A22974" s="3" t="inlineStr">
        <is>
          <t>22898</t>
        </is>
      </c>
      <c r="B22974" s="4" t="s">
        <f>=HYPERLINK("http://anyluxury.ru/shop/podarki-dlya-doma/pledy/pled-dlya-piknika-impact-iz-rpet-aware-p459072/" , "P459.072 Плед для пикника Impact из RPET AWARE™")</f>
      </c>
      <c r="C22974" s="4" t="n">
        <v>4447.00</v>
      </c>
      <c r="D22974" s="4"/>
    </row>
    <row collapsed="" customFormat="false" customHeight="1" hidden="" ht="14" outlineLevel="0" r="22975">
      <c r="A22975" s="3" t="inlineStr">
        <is>
          <t>22899</t>
        </is>
      </c>
      <c r="B22975" s="4" t="s">
        <f>=HYPERLINK("http://anyluxury.ru/shop/podarki-dlya-doma/pledy/pled-dlya-piknika-impact-iz-rpet-aware-p459077/" , "P459.077 Плед для пикника Impact из RPET AWARE™")</f>
      </c>
      <c r="C22975" s="4" t="n">
        <v>4447.00</v>
      </c>
      <c r="D22975" s="4"/>
    </row>
    <row collapsed="" customFormat="false" customHeight="1" hidden="" ht="14" outlineLevel="0" r="22976">
      <c r="A22976" s="3" t="inlineStr">
        <is>
          <t>22900</t>
        </is>
      </c>
      <c r="B22976" s="4" t="s">
        <f>=HYPERLINK("http://anyluxury.ru/shop/podarki-dlya-doma/pledy/pled-dlya-piknika-impact-iz-rpet-aware-p459075/" , "P459.075 Плед для пикника Impact из RPET AWARE™")</f>
      </c>
      <c r="C22976" s="4" t="n">
        <v>4447.00</v>
      </c>
      <c r="D22976" s="4"/>
    </row>
    <row collapsed="" customFormat="false" customHeight="1" hidden="" ht="14" outlineLevel="0" r="22977">
      <c r="A22977" s="3" t="inlineStr">
        <is>
          <t>22901</t>
        </is>
      </c>
      <c r="B22977" s="4" t="s">
        <f>=HYPERLINK("http://anyluxury.ru/shop/podarki-dlya-doma/pledy/pled-fado-vyazaniy-16090-sm-tbezheviy-bez-podarochnoy-korobki-206315253/" , "20631.525.3 Плед Fado вязаный, бежевый (без подарочной коробки)")</f>
      </c>
      <c r="C22977" s="4" t="n">
        <v>2173.00</v>
      </c>
      <c r="D22977" s="4"/>
    </row>
    <row collapsed="" customFormat="false" customHeight="1" hidden="" ht="14" outlineLevel="0" r="22978">
      <c r="A22978" s="3" t="inlineStr">
        <is>
          <t>22902</t>
        </is>
      </c>
      <c r="B22978" s="4" t="s">
        <f>=HYPERLINK("http://anyluxury.ru/shop/podarki-dlya-doma/pledy/flisoviy-pled-warmandpeace-svetlozeleniy-766994/" , "7669.94 Флисовый плед Warm&amp;Peace, светло-зеленый")</f>
      </c>
      <c r="C22978" s="4" t="n">
        <v>611.00</v>
      </c>
      <c r="D22978" s="4"/>
    </row>
    <row collapsed="" customFormat="false" customHeight="1" hidden="" ht="14" outlineLevel="0" r="22979">
      <c r="A22979" s="3" t="inlineStr">
        <is>
          <t>22903</t>
        </is>
      </c>
      <c r="B22979" s="4" t="s">
        <f>=HYPERLINK("http://anyluxury.ru/shop/podarki-dlya-doma/pledy/flisoviy-pled-warmandpeace-bezheviy-766900/" , "7669.00 Флисовый плед Warm&amp;Peace, бежевый")</f>
      </c>
      <c r="C22979" s="4" t="n">
        <v>611.00</v>
      </c>
      <c r="D22979" s="4"/>
    </row>
    <row collapsed="" customFormat="false" customHeight="1" hidden="" ht="14" outlineLevel="0" r="22980">
      <c r="A22980" s="3" t="inlineStr">
        <is>
          <t>22904</t>
        </is>
      </c>
      <c r="B22980" s="4" t="s">
        <f>=HYPERLINK("http://anyluxury.ru/shop/podarki-dlya-doma/pledy/dorozhniy-pled-voyager-svetlozeleniy-1124894/" , "11248.94 Дорожный плед Voyager, светло-зеленый")</f>
      </c>
      <c r="C22980" s="4" t="n">
        <v>841.00</v>
      </c>
      <c r="D22980" s="4"/>
    </row>
    <row collapsed="" customFormat="false" customHeight="1" hidden="" ht="14" outlineLevel="0" r="22981">
      <c r="A22981" s="3" t="inlineStr">
        <is>
          <t>22905</t>
        </is>
      </c>
      <c r="B22981" s="4" t="s">
        <f>=HYPERLINK("http://anyluxury.ru/shop/podarki-dlya-doma/pledy/pled-dlya-piknika-soft-and-dry-svetlozeleniy-562494/" , "5624.94 Плед для пикника Soft &amp; Dry, светло-зеленый")</f>
      </c>
      <c r="C22981" s="4" t="n">
        <v>1444.00</v>
      </c>
      <c r="D22981" s="4"/>
    </row>
    <row collapsed="" customFormat="false" customHeight="1" hidden="" ht="14" outlineLevel="0" r="22982">
      <c r="A22982" s="3" t="inlineStr">
        <is>
          <t>22906</t>
        </is>
      </c>
      <c r="B22982" s="4" t="s">
        <f>=HYPERLINK("http://anyluxury.ru/shop/podarki-dlya-doma/pledy/pled-dlya-piknika-soft-and-dry-bezheviy-562400/" , "5624.00 Плед для пикника Soft &amp; Dry, бежевый")</f>
      </c>
      <c r="C22982" s="4" t="n">
        <v>1444.00</v>
      </c>
      <c r="D22982" s="4"/>
    </row>
    <row collapsed="" customFormat="false" customHeight="1" hidden="" ht="14" outlineLevel="0" r="22983">
      <c r="A22983" s="3" t="inlineStr">
        <is>
          <t>22907</t>
        </is>
      </c>
      <c r="B22983" s="4" t="s">
        <f>=HYPERLINK("http://anyluxury.ru/shop/podarki-dlya-doma/pledy/pled-dlya-piknika-soft-and-dry-zheltiy-562480/" , "5624.80 Плед для пикника Soft &amp; Dry, желтый")</f>
      </c>
      <c r="C22983" s="4" t="n">
        <v>1444.00</v>
      </c>
      <c r="D22983" s="4"/>
    </row>
    <row collapsed="" customFormat="false" customHeight="1" hidden="" ht="14" outlineLevel="0" r="22984">
      <c r="A22984" s="3" t="inlineStr">
        <is>
          <t>22908</t>
        </is>
      </c>
      <c r="B22984" s="4" t="s">
        <f>=HYPERLINK("http://anyluxury.ru/shop/podarki-dlya-doma/pledy/pled-dlya-piknika-comfy-svetlozeleniy-336894/" , "3368.94 Плед для пикника Comfy, светло-зеленый")</f>
      </c>
      <c r="C22984" s="4" t="n">
        <v>1387.00</v>
      </c>
      <c r="D22984" s="4"/>
    </row>
    <row collapsed="" customFormat="false" customHeight="1" hidden="" ht="14" outlineLevel="0" r="22985">
      <c r="A22985" s="3" t="inlineStr">
        <is>
          <t>22909</t>
        </is>
      </c>
      <c r="B22985" s="4" t="s">
        <f>=HYPERLINK("http://anyluxury.ru/shop/podarki-dlya-doma/pledy/pled-dlya-piknika-comfy-bezheviy-336800/" , "3368.00 Плед для пикника Comfy, бежевый")</f>
      </c>
      <c r="C22985" s="4" t="n">
        <v>1387.00</v>
      </c>
      <c r="D22985" s="4"/>
    </row>
    <row collapsed="" customFormat="false" customHeight="1" hidden="" ht="14" outlineLevel="0" r="22986">
      <c r="A22986" s="3" t="inlineStr">
        <is>
          <t>22910</t>
        </is>
      </c>
      <c r="B22986" s="4" t="s">
        <f>=HYPERLINK("http://anyluxury.ru/shop/podarki-dlya-doma/pledy/pled-dlya-piknika-comfy-zheltiy-336880/" , "3368.80 Плед для пикника Comfy, желтый")</f>
      </c>
      <c r="C22986" s="4" t="n">
        <v>1387.00</v>
      </c>
      <c r="D22986" s="4"/>
    </row>
    <row collapsed="" customFormat="false" customHeight="1" hidden="" ht="14" outlineLevel="0" r="22987">
      <c r="A22987" s="3" t="inlineStr">
        <is>
          <t>22911</t>
        </is>
      </c>
      <c r="B22987" s="4" t="s">
        <f>=HYPERLINK("http://anyluxury.ru/shop/podarki-dlya-doma/pledy/pled-hard-work-l-7172110/" , "71721.10 Плед Hard Work, L")</f>
      </c>
      <c r="C22987" s="4" t="n">
        <v>4095.00</v>
      </c>
      <c r="D22987" s="4"/>
    </row>
    <row collapsed="" customFormat="false" customHeight="1" hidden="" ht="14" outlineLevel="0" r="22988">
      <c r="A22988" s="3" t="inlineStr">
        <is>
          <t>22912</t>
        </is>
      </c>
      <c r="B22988" s="4" t="s">
        <f>=HYPERLINK("http://anyluxury.ru/shop/podarki-dlya-doma/pledy/pled-big-bun-3013410/" , "30134.10 Плед Big Bun")</f>
      </c>
      <c r="C22988" s="4" t="n">
        <v>1880.00</v>
      </c>
      <c r="D22988" s="4"/>
    </row>
    <row collapsed="" customFormat="false" customHeight="1" hidden="" ht="14" outlineLevel="0" r="22989">
      <c r="A22989" s="3" t="inlineStr">
        <is>
          <t>22913</t>
        </is>
      </c>
      <c r="B22989" s="4" t="s">
        <f>=HYPERLINK("http://anyluxury.ru/shop/podarki-dlya-doma/pledy/pled-na-zakaz-wiker-duo-m-akril-1896101/" , "18961.01 Плед на заказ Wiker Duo, М, акрил")</f>
      </c>
      <c r="C22989" s="4" t="n">
        <v>3168.00</v>
      </c>
      <c r="D22989" s="4"/>
    </row>
    <row collapsed="" customFormat="false" customHeight="1" hidden="" ht="14" outlineLevel="0" r="22990">
      <c r="A22990" s="3" t="inlineStr">
        <is>
          <t>22914</t>
        </is>
      </c>
      <c r="B22990" s="4" t="s">
        <f>=HYPERLINK("http://anyluxury.ru/shop/podarki-dlya-doma/pledy/palantin-territ-svetlorozoviy-2002115/" , "20021.15 Плед Territ, светло-розовый")</f>
      </c>
      <c r="C22990" s="4" t="n">
        <v>7990.00</v>
      </c>
      <c r="D22990" s="4"/>
    </row>
    <row collapsed="" customFormat="false" customHeight="1" hidden="" ht="14" outlineLevel="0" r="22991">
      <c r="A22991" s="3" t="inlineStr">
        <is>
          <t>22915</t>
        </is>
      </c>
      <c r="B22991" s="4" t="s">
        <f>=HYPERLINK("http://anyluxury.ru/shop/podarki-dlya-doma/pledy/palantin-territ-svetlobiryuzoviy-2002141/" , "20021.41 Плед Territ, светло-бирюзовый")</f>
      </c>
      <c r="C22991" s="4" t="n">
        <v>7990.00</v>
      </c>
      <c r="D22991" s="4"/>
    </row>
    <row collapsed="" customFormat="false" customHeight="1" hidden="" ht="14" outlineLevel="0" r="22992">
      <c r="A22992" s="3" t="inlineStr">
        <is>
          <t>22916</t>
        </is>
      </c>
      <c r="B22992" s="4" t="s">
        <f>=HYPERLINK("http://anyluxury.ru/shop/podarki-dlya-doma/pledy/palantin-territ-goluboy-2002114/" , "20021.14 Плед Territ, голубой")</f>
      </c>
      <c r="C22992" s="4" t="n">
        <v>7990.00</v>
      </c>
      <c r="D22992" s="4"/>
    </row>
    <row collapsed="" customFormat="false" customHeight="1" hidden="" ht="14" outlineLevel="0" r="22993">
      <c r="A22993" s="3" t="inlineStr">
        <is>
          <t>22917</t>
        </is>
      </c>
      <c r="B22993" s="4" t="s">
        <f>=HYPERLINK("http://anyluxury.ru/shop/podarki-dlya-doma/pledy/palantin-territ-cherniy-2002130/" , "20021.30 Плед Territ, черный")</f>
      </c>
      <c r="C22993" s="4" t="n">
        <v>7990.00</v>
      </c>
      <c r="D22993" s="4"/>
    </row>
    <row collapsed="" customFormat="false" customHeight="1" hidden="" ht="14" outlineLevel="0" r="22994">
      <c r="A22994" s="3" t="inlineStr">
        <is>
          <t>22918</t>
        </is>
      </c>
      <c r="B22994" s="4" t="s">
        <f>=HYPERLINK("http://anyluxury.ru/shop/podarki-dlya-doma/pledy/pled-auray-bezheviy-2002216/" , "20022.16 Плед Auray, бежевый")</f>
      </c>
      <c r="C22994" s="4" t="n">
        <v>14990.00</v>
      </c>
      <c r="D22994" s="4"/>
    </row>
    <row collapsed="" customFormat="false" customHeight="1" hidden="" ht="14" outlineLevel="0" r="22995">
      <c r="A22995" s="3" t="inlineStr">
        <is>
          <t>22919</t>
        </is>
      </c>
      <c r="B22995" s="4" t="s">
        <f>=HYPERLINK("http://anyluxury.ru/shop/podarki-dlya-doma/pledy/pled-auray-siniy-2002240/" , "20022.40 Плед Auray, синий")</f>
      </c>
      <c r="C22995" s="4" t="n">
        <v>14990.00</v>
      </c>
      <c r="D22995" s="4"/>
    </row>
    <row collapsed="" customFormat="false" customHeight="1" hidden="" ht="14" outlineLevel="0" r="22996">
      <c r="A22996" s="3" t="inlineStr">
        <is>
          <t>22920</t>
        </is>
      </c>
      <c r="B22996" s="4" t="s">
        <f>=HYPERLINK("http://anyluxury.ru/shop/podarki-dlya-doma/pledy/pled-auray-yarkosiniy-2002244/" , "20022.44 Плед Auray, ярко-синий")</f>
      </c>
      <c r="C22996" s="4" t="n">
        <v>9552.00</v>
      </c>
      <c r="D22996" s="4"/>
    </row>
    <row collapsed="" customFormat="false" customHeight="1" hidden="" ht="14" outlineLevel="0" r="22997">
      <c r="A22997" s="3" t="inlineStr">
        <is>
          <t>22921</t>
        </is>
      </c>
      <c r="B22997" s="4" t="s">
        <f>=HYPERLINK("http://anyluxury.ru/shop/podarki-dlya-doma/pledy/pled-flisoviy-hard-work-s-1424910/" , "14249.10 Плед Hard Work, S")</f>
      </c>
      <c r="C22997" s="4" t="n">
        <v>1493.00</v>
      </c>
      <c r="D22997" s="4"/>
    </row>
    <row collapsed="" customFormat="false" customHeight="1" hidden="" ht="14" outlineLevel="0" r="22998">
      <c r="A22998" s="3" t="inlineStr">
        <is>
          <t>22922</t>
        </is>
      </c>
      <c r="B22998" s="4" t="s">
        <f>=HYPERLINK("http://anyluxury.ru/shop/podarki-dlya-doma/pledy/pled-flisoviy-stardust-1425030/" , "14250.30 Плед Stardust")</f>
      </c>
      <c r="C22998" s="4" t="n">
        <v>1298.00</v>
      </c>
      <c r="D22998" s="4"/>
    </row>
    <row collapsed="" customFormat="false" customHeight="1" hidden="" ht="14" outlineLevel="0" r="22999">
      <c r="A22999" s="3" t="inlineStr">
        <is>
          <t>22923</t>
        </is>
      </c>
      <c r="B22999" s="4" t="s">
        <f>=HYPERLINK("http://anyluxury.ru/shop/podarki-dlya-doma/pledy/pled-trenza-temnoseriy-2334831/" , "23348.31 Плед Trenza, темно-серый")</f>
      </c>
      <c r="C22999" s="4" t="n">
        <v>2798.00</v>
      </c>
      <c r="D22999" s="4"/>
    </row>
    <row collapsed="" customFormat="false" customHeight="1" hidden="" ht="14" outlineLevel="0" r="23000">
      <c r="A23000" s="3" t="inlineStr">
        <is>
          <t>22924</t>
        </is>
      </c>
      <c r="B23000" s="4" t="s">
        <f>=HYPERLINK("http://anyluxury.ru/shop/podarki-dlya-doma/pledy/pled-trenza-korichneviy-kakao-2334853/" , "23348.53 Плед Trenza, коричневый (какао)")</f>
      </c>
      <c r="C23000" s="4" t="n">
        <v>2798.00</v>
      </c>
      <c r="D23000" s="4"/>
    </row>
    <row collapsed="" customFormat="false" customHeight="1" hidden="" ht="14" outlineLevel="0" r="23001">
      <c r="A23001" s="3" t="inlineStr">
        <is>
          <t>22925</t>
        </is>
      </c>
      <c r="B23001" s="4" t="s">
        <f>=HYPERLINK("http://anyluxury.ru/shop/podarki-dlya-doma/pledy/pled-sagunt-svetlosiniy-1391414/" , "13914.14 Плед Sagunt, светло-синий")</f>
      </c>
      <c r="C23001" s="4" t="n">
        <v>2390.00</v>
      </c>
      <c r="D23001" s="4"/>
    </row>
    <row collapsed="" customFormat="false" customHeight="1" hidden="" ht="14" outlineLevel="0" r="23002">
      <c r="A23002" s="3" t="inlineStr">
        <is>
          <t>22926</t>
        </is>
      </c>
      <c r="B23002" s="4" t="s">
        <f>=HYPERLINK("http://anyluxury.ru/shop/podarki-dlya-doma/pledy/pled-dublin-sinegoluboy-1369614/" , "13696.14 Плед Dublin, сине-голубой")</f>
      </c>
      <c r="C23002" s="4" t="n">
        <v>2190.00</v>
      </c>
      <c r="D23002" s="4"/>
    </row>
    <row collapsed="" customFormat="false" customHeight="1" hidden="" ht="14" outlineLevel="0" r="23003">
      <c r="A23003" s="3" t="inlineStr">
        <is>
          <t>22927</t>
        </is>
      </c>
      <c r="B23003" s="4" t="s">
        <f>=HYPERLINK("http://anyluxury.ru/shop/podarki-dlya-doma/pledy/flisoviy-pled-feltro-color-plus-s-pechatyu-na-zakaz-s-1885201/" , "18852.01 Флисовый плед Feltro Color Plus с печатью на заказ, S")</f>
      </c>
      <c r="C23003" s="4" t="n">
        <v>1986.00</v>
      </c>
      <c r="D23003" s="4"/>
    </row>
    <row collapsed="" customFormat="false" customHeight="1" hidden="" ht="14" outlineLevel="0" r="23004">
      <c r="A23004" s="3" t="inlineStr">
        <is>
          <t>22928</t>
        </is>
      </c>
      <c r="B23004" s="4" t="s">
        <f>=HYPERLINK("http://anyluxury.ru/shop/podarki-dlya-doma/pledy/flisoviy-pled-feltro-color-plus-s-pechatyu-na-zakaz-m-1885202/" , "18852.02 Флисовый плед Feltro Color Plus с печатью на заказ, M")</f>
      </c>
      <c r="C23004" s="4" t="n">
        <v>3160.00</v>
      </c>
      <c r="D23004" s="4"/>
    </row>
    <row collapsed="" customFormat="false" customHeight="1" hidden="" ht="14" outlineLevel="0" r="23005">
      <c r="A23005" s="3" t="inlineStr">
        <is>
          <t>22929</t>
        </is>
      </c>
      <c r="B23005" s="4" t="s">
        <f>=HYPERLINK("http://anyluxury.ru/shop/podarki-dlya-doma/pledy/pled-duotone-zeleniy-s-belim-1902996/" , "19029.96 Плед Duotone, зеленый с белым")</f>
      </c>
      <c r="C23005" s="4" t="n">
        <v>4992.00</v>
      </c>
      <c r="D23005" s="4"/>
    </row>
    <row collapsed="" customFormat="false" customHeight="1" hidden="" ht="14" outlineLevel="0" r="23006">
      <c r="A23006" s="3" t="inlineStr">
        <is>
          <t>22930</t>
        </is>
      </c>
      <c r="B23006" s="4" t="s">
        <f>=HYPERLINK("http://anyluxury.ru/shop/podarki-dlya-doma/pledy/pled-duotone-siniy-s-belim-1902946/" , "19029.46 Плед Duotone, синий с белым")</f>
      </c>
      <c r="C23006" s="4" t="n">
        <v>4992.00</v>
      </c>
      <c r="D23006" s="4"/>
    </row>
    <row collapsed="" customFormat="false" customHeight="1" hidden="" ht="14" outlineLevel="0" r="23007">
      <c r="A23007" s="3" t="inlineStr">
        <is>
          <t>22931</t>
        </is>
      </c>
      <c r="B23007" s="4" t="s">
        <f>=HYPERLINK("http://anyluxury.ru/shop/podarki-dlya-doma/pledy/pled-duotone-krasniy-s-belim-1902956/" , "19029.56 Плед Duotone, красный с белым")</f>
      </c>
      <c r="C23007" s="4" t="n">
        <v>4992.00</v>
      </c>
      <c r="D23007" s="4"/>
    </row>
    <row collapsed="" customFormat="false" customHeight="1" hidden="" ht="14" outlineLevel="0" r="23008">
      <c r="A23008" s="3" t="inlineStr">
        <is>
          <t>22932</t>
        </is>
      </c>
      <c r="B23008" s="4" t="s">
        <f>=HYPERLINK("http://anyluxury.ru/shop/podarki-dlya-doma/pledy/pled-duotone-cherniy-s-belim-1902936/" , "19029.36 Плед Duotone, черный с белым")</f>
      </c>
      <c r="C23008" s="4" t="n">
        <v>3900.00</v>
      </c>
      <c r="D23008" s="4"/>
    </row>
    <row collapsed="" customFormat="false" customHeight="1" hidden="" ht="14" outlineLevel="0" r="23009">
      <c r="A23009" s="3" t="inlineStr">
        <is>
          <t>22933</t>
        </is>
      </c>
      <c r="B23009" s="4" t="s">
        <f>=HYPERLINK("http://anyluxury.ru/shop/podarki-dlya-doma/pledy/pled-sheerness-temnozeleniy-1474499/" , "14744.99 Плед Sheerness, темно-зеленый")</f>
      </c>
      <c r="C23009" s="4" t="n">
        <v>4690.00</v>
      </c>
      <c r="D23009" s="4"/>
    </row>
    <row collapsed="" customFormat="false" customHeight="1" hidden="" ht="14" outlineLevel="0" r="23010">
      <c r="A23010" s="3" t="inlineStr">
        <is>
          <t>22934</t>
        </is>
      </c>
      <c r="B23010" s="4" t="s">
        <f>=HYPERLINK("http://anyluxury.ru/shop/podarki-dlya-doma/pledy/pled-sheerness-korichneviy-terrakota-1474455/" , "14744.55 Плед Sheerness, коричневый (терракота)")</f>
      </c>
      <c r="C23010" s="4" t="n">
        <v>4690.00</v>
      </c>
      <c r="D23010" s="4"/>
    </row>
    <row collapsed="" customFormat="false" customHeight="1" hidden="" ht="14" outlineLevel="0" r="23011">
      <c r="A23011" s="3" t="inlineStr">
        <is>
          <t>22935</t>
        </is>
      </c>
      <c r="B23011" s="4" t="s">
        <f>=HYPERLINK("http://anyluxury.ru/shop/podarki-dlya-doma/pledy/pled-sheerness-biryuzoviy-1474449/" , "14744.49 Плед Sheerness, бирюзовый (тиффани)")</f>
      </c>
      <c r="C23011" s="4" t="n">
        <v>4690.00</v>
      </c>
      <c r="D23011" s="4"/>
    </row>
    <row collapsed="" customFormat="false" customHeight="1" hidden="" ht="14" outlineLevel="0" r="23012">
      <c r="A23012" s="3" t="inlineStr">
        <is>
          <t>22936</t>
        </is>
      </c>
      <c r="B23012" s="4" t="s">
        <f>=HYPERLINK("http://anyluxury.ru/shop/podarki-dlya-doma/pledy/pled-sheerness-korichneviy-kakao-1474459/" , "14744.59 Плед Sheerness, коричневый (какао)")</f>
      </c>
      <c r="C23012" s="4" t="n">
        <v>3900.00</v>
      </c>
      <c r="D23012" s="4"/>
    </row>
    <row collapsed="" customFormat="false" customHeight="1" hidden="" ht="14" outlineLevel="0" r="23013">
      <c r="A23013" s="3" t="inlineStr">
        <is>
          <t>22937</t>
        </is>
      </c>
      <c r="B23013" s="4" t="s">
        <f>=HYPERLINK("http://anyluxury.ru/shop/podarki-dlya-doma/pledy/pled-sheerness-lnyanoy-1474417/" , "14744.17 Плед Sheerness, льняной")</f>
      </c>
      <c r="C23013" s="4" t="n">
        <v>4690.00</v>
      </c>
      <c r="D23013" s="4"/>
    </row>
    <row collapsed="" customFormat="false" customHeight="1" hidden="" ht="14" outlineLevel="0" r="23014">
      <c r="A23014" s="3" t="inlineStr">
        <is>
          <t>22938</t>
        </is>
      </c>
      <c r="B23014" s="4" t="s">
        <f>=HYPERLINK("http://anyluxury.ru/shop/podarki-dlya-doma/pledy/pled-pail-tint-zeleniy-myatniy-1522595/" , "15225.95 Плед Pail Tint, зеленый (мятный)")</f>
      </c>
      <c r="C23014" s="4" t="n">
        <v>2547.00</v>
      </c>
      <c r="D23014" s="4"/>
    </row>
    <row collapsed="" customFormat="false" customHeight="1" hidden="" ht="14" outlineLevel="0" r="23015">
      <c r="A23015" s="3" t="inlineStr">
        <is>
          <t>22939</t>
        </is>
      </c>
      <c r="B23015" s="4" t="s">
        <f>=HYPERLINK("http://anyluxury.ru/shop/podarki-dlya-doma/pledy/pled-pail-tint-molochniy-1522561/" , "15225.61 Плед Pail Tint, молочный")</f>
      </c>
      <c r="C23015" s="4" t="n">
        <v>2547.00</v>
      </c>
      <c r="D23015" s="4"/>
    </row>
    <row collapsed="" customFormat="false" customHeight="1" hidden="" ht="14" outlineLevel="0" r="23016">
      <c r="A23016" s="3" t="inlineStr">
        <is>
          <t>22940</t>
        </is>
      </c>
      <c r="B23016" s="4" t="s">
        <f>=HYPERLINK("http://anyluxury.ru/shop/podarki-dlya-doma/pledy/pled-pail-tint-goluboy-1522514/" , "15225.14 Плед Pail Tint, голубой")</f>
      </c>
      <c r="C23016" s="4" t="n">
        <v>2547.00</v>
      </c>
      <c r="D23016" s="4"/>
    </row>
    <row collapsed="" customFormat="false" customHeight="1" hidden="" ht="14" outlineLevel="0" r="23017">
      <c r="A23017" s="3" t="inlineStr">
        <is>
          <t>22941</t>
        </is>
      </c>
      <c r="B23017" s="4" t="s">
        <f>=HYPERLINK("http://anyluxury.ru/shop/podarki-dlya-doma/pledy/pled-pail-tint-rozoviy-1522515/" , "15225.15 Плед Pail Tint, розовый")</f>
      </c>
      <c r="C23017" s="4" t="n">
        <v>2547.00</v>
      </c>
      <c r="D23017" s="4"/>
    </row>
    <row collapsed="" customFormat="false" customHeight="1" hidden="" ht="14" outlineLevel="0" r="23018">
      <c r="A23018" s="3" t="inlineStr">
        <is>
          <t>22942</t>
        </is>
      </c>
      <c r="B23018" s="4" t="s">
        <f>=HYPERLINK("http://anyluxury.ru/shop/podarki-dlya-doma/pledy/pled-pail-tint-svetlozheltiy-1522586/" , "15225.86 Плед Pail Tint, светло-желтый")</f>
      </c>
      <c r="C23018" s="4" t="n">
        <v>2547.00</v>
      </c>
      <c r="D23018" s="4"/>
    </row>
    <row collapsed="" customFormat="false" customHeight="1" hidden="" ht="14" outlineLevel="0" r="23019">
      <c r="A23019" s="3" t="inlineStr">
        <is>
          <t>22943</t>
        </is>
      </c>
      <c r="B23019" s="4" t="s">
        <f>=HYPERLINK("http://anyluxury.ru/shop/podarki-dlya-doma/pledy/pled-termoment-krasniy-1551550/" , "15515.50 Плед Termoment, красный")</f>
      </c>
      <c r="C23019" s="4" t="n">
        <v>3470.00</v>
      </c>
      <c r="D23019" s="4"/>
    </row>
    <row collapsed="" customFormat="false" customHeight="1" hidden="" ht="14" outlineLevel="0" r="23020">
      <c r="A23020" s="3" t="inlineStr">
        <is>
          <t>22944</t>
        </is>
      </c>
      <c r="B23020" s="4" t="s">
        <f>=HYPERLINK("http://anyluxury.ru/shop/podarki-dlya-doma/pledy/pled-termoment-svetloseriy-1551511/" , "15515.11 Плед Termoment, светло-серый")</f>
      </c>
      <c r="C23020" s="4" t="n">
        <v>3470.00</v>
      </c>
      <c r="D23020" s="4"/>
    </row>
    <row collapsed="" customFormat="false" customHeight="1" hidden="" ht="14" outlineLevel="0" r="23021">
      <c r="A23021" s="3" t="inlineStr">
        <is>
          <t>22945</t>
        </is>
      </c>
      <c r="B23021" s="4" t="s">
        <f>=HYPERLINK("http://anyluxury.ru/shop/podarki-dlya-doma/pledy/pled-termoment-oranzheviy-terrakot-1551555/" , "15515.55 Плед Termoment, оранжевый (терракот)")</f>
      </c>
      <c r="C23021" s="4" t="n">
        <v>3470.00</v>
      </c>
      <c r="D23021" s="4"/>
    </row>
    <row collapsed="" customFormat="false" customHeight="1" hidden="" ht="14" outlineLevel="0" r="23022">
      <c r="A23022" s="3" t="inlineStr">
        <is>
          <t>22946</t>
        </is>
      </c>
      <c r="B23022" s="4" t="s">
        <f>=HYPERLINK("http://anyluxury.ru/shop/podarki-dlya-doma/pledy/pled-termoment-temnosiniy-1551544/" , "15515.44 Плед Termoment, темно-синий")</f>
      </c>
      <c r="C23022" s="4" t="n">
        <v>3470.00</v>
      </c>
      <c r="D23022" s="4"/>
    </row>
    <row collapsed="" customFormat="false" customHeight="1" hidden="" ht="14" outlineLevel="0" r="23023">
      <c r="A23023" s="3" t="inlineStr">
        <is>
          <t>22947</t>
        </is>
      </c>
      <c r="B23023" s="4" t="s">
        <f>=HYPERLINK("http://anyluxury.ru/shop/podarki-dlya-doma/pledy/pled-cella-vyazaniy-16090-sm-cherniy-bez-podarochnoy-korobki-20635010/" , "20635.010 Плед Cella вязаный, черный (без подарочной коробки)")</f>
      </c>
      <c r="C23023" s="4" t="n">
        <v>2290.00</v>
      </c>
      <c r="D23023" s="4"/>
    </row>
    <row collapsed="" customFormat="false" customHeight="1" hidden="" ht="14" outlineLevel="0" r="23024">
      <c r="A23024" s="3" t="inlineStr">
        <is>
          <t>22948</t>
        </is>
      </c>
      <c r="B23024" s="4" t="s">
        <f>=HYPERLINK("http://anyluxury.ru/shop/podarki-dlya-doma/pledy/pledponcho-dlya-piknika-snapcoat-oranzheviy-1425120/" , "14251.20 Плед-пончо для пикника SnapCoat, оранжевый")</f>
      </c>
      <c r="C23024" s="4" t="n">
        <v>1424.00</v>
      </c>
      <c r="D23024" s="4"/>
    </row>
    <row collapsed="" customFormat="false" customHeight="1" hidden="" ht="14" outlineLevel="0" r="23025">
      <c r="A23025" s="3" t="inlineStr">
        <is>
          <t>22949</t>
        </is>
      </c>
      <c r="B23025" s="4" t="s">
        <f>=HYPERLINK("http://anyluxury.ru/shop/podarki-dlya-doma/pledy/pledponcho-dlya-piknika-snapcoat-krasniy-1425150/" , "14251.50 Плед-пончо для пикника SnapCoat, красный")</f>
      </c>
      <c r="C23025" s="4" t="n">
        <v>1424.00</v>
      </c>
      <c r="D23025" s="4"/>
    </row>
    <row collapsed="" customFormat="false" customHeight="1" hidden="" ht="14" outlineLevel="0" r="23026">
      <c r="A23026" s="3" t="inlineStr">
        <is>
          <t>22950</t>
        </is>
      </c>
      <c r="B23026" s="4" t="s">
        <f>=HYPERLINK("http://anyluxury.ru/shop/podarki-dlya-doma/pledy/pledponcho-dlya-piknika-snapcoat-zeleniy-1425190/" , "14251.90 Плед-пончо для пикника SnapCoat, зеленый")</f>
      </c>
      <c r="C23026" s="4" t="n">
        <v>1424.00</v>
      </c>
      <c r="D23026" s="4"/>
    </row>
    <row collapsed="" customFormat="false" customHeight="1" hidden="" ht="14" outlineLevel="0" r="23027">
      <c r="A23027" s="3" t="inlineStr">
        <is>
          <t>22951</t>
        </is>
      </c>
      <c r="B23027" s="4" t="s">
        <f>=HYPERLINK("http://anyluxury.ru/shop/podarki-dlya-doma/pledy/pled-cella-vyazaniy-16090-sm-tbezheviy-bez-podarochnoy-korobki-206355251/" , "20635.525.1 Плед Cella вязаный, бежевый (без подарочной коробки)")</f>
      </c>
      <c r="C23027" s="4" t="n">
        <v>2290.00</v>
      </c>
      <c r="D23027" s="4"/>
    </row>
    <row collapsed="" customFormat="false" customHeight="1" hidden="" ht="14" outlineLevel="0" r="23028">
      <c r="A23028" s="3" t="inlineStr">
        <is>
          <t>22952</t>
        </is>
      </c>
      <c r="B23028" s="4" t="s">
        <f>=HYPERLINK("http://anyluxury.ru/shop/podarki-dlya-doma/pledy/pokrivalo-vello-color-na-zakaz-s-1893701/" , "18937.01 Покрывало Vello Color на заказ, S")</f>
      </c>
      <c r="C23028" s="4" t="n">
        <v>1632.00</v>
      </c>
      <c r="D23028" s="4"/>
    </row>
    <row collapsed="" customFormat="false" customHeight="1" hidden="" ht="14" outlineLevel="0" r="23029">
      <c r="A23029" s="3" t="inlineStr">
        <is>
          <t>22953</t>
        </is>
      </c>
      <c r="B23029" s="4" t="s">
        <f>=HYPERLINK("http://anyluxury.ru/shop/podarki-dlya-doma/pledy/pled-dlya-piknika-impact-iz-rpet-aware-i-poliuretana-p459082/" , "P459.082 Плед для пикника Impact из rPET AWARE™ и полиуретана")</f>
      </c>
      <c r="C23029" s="4" t="n">
        <v>4978.00</v>
      </c>
      <c r="D23029" s="4"/>
    </row>
    <row collapsed="" customFormat="false" customHeight="1" hidden="" ht="14" outlineLevel="0" r="23030">
      <c r="A23030" s="3" t="inlineStr">
        <is>
          <t>22954</t>
        </is>
      </c>
      <c r="B23030" s="4" t="s">
        <f>=HYPERLINK("http://anyluxury.ru/shop/podarki-dlya-doma/pledy/steganiy-pled-dlya-piknika-impact-iz-rpet-aware-p459121/" , "P459.121 Стеганый плед для пикника Impact из rPET Aware™")</f>
      </c>
      <c r="C23030" s="4" t="n">
        <v>6581.00</v>
      </c>
      <c r="D23030" s="4"/>
    </row>
    <row collapsed="" customFormat="false" customHeight="1" hidden="" ht="14" outlineLevel="0" r="23031">
      <c r="A23031" s="3" t="inlineStr">
        <is>
          <t>22955</t>
        </is>
      </c>
      <c r="B23031" s="4" t="s">
        <f>=HYPERLINK("http://anyluxury.ru/shop/podarki-dlya-doma/pledy/steganiy-pled-dlya-piknika-impact-iz-rpet-aware-p459122/" , "P459.122 Стеганый плед для пикника Impact из rPET Aware™")</f>
      </c>
      <c r="C23031" s="4" t="n">
        <v>6581.00</v>
      </c>
      <c r="D23031" s="4"/>
    </row>
    <row collapsed="" customFormat="false" customHeight="1" hidden="" ht="14" outlineLevel="0" r="23032">
      <c r="A23032" s="3" t="inlineStr">
        <is>
          <t>22956</t>
        </is>
      </c>
      <c r="B23032" s="4" t="s">
        <f>=HYPERLINK("http://anyluxury.ru/shop/podarki-dlya-doma/pledy/pokrivalo-dlya-piknika-sedere-color-na-zakaz-1884401/" , "18844.01 Покрывало для пикника Sedere Color на заказ")</f>
      </c>
      <c r="C23032" s="4" t="n">
        <v>2886.00</v>
      </c>
      <c r="D23032" s="4"/>
    </row>
    <row collapsed="" customFormat="false" customHeight="1" hidden="" ht="14" outlineLevel="0" r="23033">
      <c r="A23033" s="3" t="inlineStr">
        <is>
          <t>22957</t>
        </is>
      </c>
      <c r="B23033" s="4" t="s">
        <f>=HYPERLINK("http://anyluxury.ru/shop/podarki-dlya-doma/pledy/pled-exquisito-molochniy-1551061/" , "15510.61 Плед Exquisito, молочный")</f>
      </c>
      <c r="C23033" s="4" t="n">
        <v>5477.00</v>
      </c>
      <c r="D23033" s="4"/>
    </row>
    <row collapsed="" customFormat="false" customHeight="1" hidden="" ht="14" outlineLevel="0" r="23034">
      <c r="A23034" s="3" t="inlineStr">
        <is>
          <t>22958</t>
        </is>
      </c>
      <c r="B23034" s="4" t="s">
        <f>=HYPERLINK("http://anyluxury.ru/shop/podarki-dlya-doma/pledy/pled-exquisito-korichneviy-1551059/" , "15510.59 Плед Exquisito, коричневый")</f>
      </c>
      <c r="C23034" s="4" t="n">
        <v>5477.00</v>
      </c>
      <c r="D23034" s="4"/>
    </row>
    <row collapsed="" customFormat="false" customHeight="1" hidden="" ht="14" outlineLevel="0" r="23035">
      <c r="A23035" s="3" t="inlineStr">
        <is>
          <t>22959</t>
        </is>
      </c>
      <c r="B23035" s="4" t="s">
        <f>=HYPERLINK("http://anyluxury.ru/shop/podarki-dlya-doma/pledy/pled-arequipa-new-siniy-1094540/" , "10945.40 Плед Аrequipa New, синий")</f>
      </c>
      <c r="C23035" s="4" t="n">
        <v>9900.00</v>
      </c>
      <c r="D23035" s="4"/>
    </row>
    <row collapsed="" customFormat="false" customHeight="1" hidden="" ht="14" outlineLevel="0" r="23036">
      <c r="A23036" s="3" t="inlineStr">
        <is>
          <t>22960</t>
        </is>
      </c>
      <c r="B23036" s="4" t="s">
        <f>=HYPERLINK("http://anyluxury.ru/shop/podarki-dlya-doma/pledy/pled-arequipa-new-sireneviy-1094570/" , "10945.70 Плед Аrequipa New, сиреневый")</f>
      </c>
      <c r="C23036" s="4" t="n">
        <v>9900.00</v>
      </c>
      <c r="D23036" s="4"/>
    </row>
    <row collapsed="" customFormat="false" customHeight="1" hidden="" ht="14" outlineLevel="0" r="23037">
      <c r="A23037" s="3" t="inlineStr">
        <is>
          <t>22961</t>
        </is>
      </c>
      <c r="B23037" s="4" t="s">
        <f>=HYPERLINK("http://anyluxury.ru/shop/podarki-dlya-doma/pledy/pled-arequipa-new-fioletoviy-1094577/" , "10945.77 Плед Аrequipa New, фиолетовый")</f>
      </c>
      <c r="C23037" s="4" t="n">
        <v>9900.00</v>
      </c>
      <c r="D23037" s="4"/>
    </row>
    <row collapsed="" customFormat="false" customHeight="1" hidden="" ht="14" outlineLevel="0" r="23038">
      <c r="A23038" s="3" t="inlineStr">
        <is>
          <t>22962</t>
        </is>
      </c>
      <c r="B23038" s="4" t="s">
        <f>=HYPERLINK("http://anyluxury.ru/shop/podarki-dlya-doma/pledy/pled-arequipa-new-goluboy-1094544/" , "10945.44 Плед Аrequipa New, голубой")</f>
      </c>
      <c r="C23038" s="4" t="n">
        <v>9900.00</v>
      </c>
      <c r="D23038" s="4"/>
    </row>
    <row collapsed="" customFormat="false" customHeight="1" hidden="" ht="14" outlineLevel="0" r="23039">
      <c r="A23039" s="3" t="inlineStr">
        <is>
          <t>22963</t>
        </is>
      </c>
      <c r="B23039" s="4" t="s">
        <f>=HYPERLINK("http://anyluxury.ru/shop/podarki-dlya-doma/pledy/pled-arequipa-new-zeleniy-1094590/" , "10945.90 Плед Аrequipa New, зеленый")</f>
      </c>
      <c r="C23039" s="4" t="n">
        <v>9900.00</v>
      </c>
      <c r="D23039" s="4"/>
    </row>
    <row collapsed="" customFormat="false" customHeight="1" hidden="" ht="14" outlineLevel="0" r="23040">
      <c r="A23040" s="3" t="inlineStr">
        <is>
          <t>22964</t>
        </is>
      </c>
      <c r="B23040" s="4" t="s">
        <f>=HYPERLINK("http://anyluxury.ru/shop/podarki-dlya-doma/pledy/pled-fado-vyazaniy-16090-sm-akva-bez-podarochnoy-korobki-206316002/" , "20631.600.2 Плед Fado вязаный, аква (без подарочной коробки)")</f>
      </c>
      <c r="C23040" s="4" t="n">
        <v>2173.00</v>
      </c>
      <c r="D23040" s="4"/>
    </row>
    <row collapsed="" customFormat="false" customHeight="1" hidden="" ht="14" outlineLevel="0" r="23041">
      <c r="A23041" s="3" t="inlineStr">
        <is>
          <t>22965</t>
        </is>
      </c>
      <c r="B23041" s="4" t="s">
        <f>=HYPERLINK("http://anyluxury.ru/shop/podarki-dlya-doma/pledy/pled-fado-vyazaniy-16090-sm-seriy-bez-podarochnoy-korobki-206310804/" , "20631.080.4 Плед Fado вязаный, серый (без подарочной коробки)")</f>
      </c>
      <c r="C23041" s="4" t="n">
        <v>2173.00</v>
      </c>
      <c r="D23041" s="4"/>
    </row>
    <row collapsed="" customFormat="false" customHeight="1" hidden="" ht="14" outlineLevel="0" r="23042">
      <c r="A23042" s="3" t="inlineStr">
        <is>
          <t>22966</t>
        </is>
      </c>
      <c r="B23042" s="4" t="s">
        <f>=HYPERLINK("http://anyluxury.ru/shop/podarki-dlya-doma/pledy/pled-tak-hochu-rabotat-7149860/" , "71498.60 Плед «Так хочу работать»")</f>
      </c>
      <c r="C23042" s="4" t="n">
        <v>2357.00</v>
      </c>
      <c r="D23042" s="4"/>
    </row>
    <row collapsed="" customFormat="false" customHeight="1" hidden="" ht="14" outlineLevel="0" r="23043">
      <c r="A23043" s="3" t="inlineStr">
        <is>
          <t>22967</t>
        </is>
      </c>
      <c r="B23043" s="4" t="s">
        <f>=HYPERLINK("http://anyluxury.ru/shop/podarki-dlya-doma/pledy/pled-coloranto-polosatiy-1504000/" , "15040.00 Плед Coloranto, полосатый")</f>
      </c>
      <c r="C23043" s="4" t="n">
        <v>3875.00</v>
      </c>
      <c r="D23043" s="4"/>
    </row>
    <row collapsed="" customFormat="false" customHeight="1" hidden="" ht="14" outlineLevel="0" r="23044">
      <c r="A23044" s="3" t="inlineStr">
        <is>
          <t>22968</t>
        </is>
      </c>
      <c r="B23044" s="4" t="s">
        <f>=HYPERLINK("http://anyluxury.ru/shop/podarki-dlya-doma/pledy/pled-na-zakaz-tella-m-akril-1899301/" , "18993.01 Плед на заказ Tella, M, акрил")</f>
      </c>
      <c r="C23044" s="4" t="n">
        <v>3293.00</v>
      </c>
      <c r="D23044" s="4"/>
    </row>
    <row collapsed="" customFormat="false" customHeight="1" hidden="" ht="14" outlineLevel="0" r="23045">
      <c r="A23045" s="3" t="inlineStr">
        <is>
          <t>22969</t>
        </is>
      </c>
      <c r="B23045" s="4" t="s">
        <f>=HYPERLINK("http://anyluxury.ru/shop/podarki-dlya-doma/pledy/pled-na-zakaz-tella-m-polusherst-1899302/" , "18993.02 Плед на заказ Tella, M, полушерсть")</f>
      </c>
      <c r="C23045" s="4" t="n">
        <v>5026.00</v>
      </c>
      <c r="D23045" s="4"/>
    </row>
    <row collapsed="" customFormat="false" customHeight="1" hidden="" ht="14" outlineLevel="0" r="23046">
      <c r="A23046" s="3" t="inlineStr">
        <is>
          <t>22970</t>
        </is>
      </c>
      <c r="B23046" s="4" t="s">
        <f>=HYPERLINK("http://anyluxury.ru/shop/podarki-dlya-doma/pledy/pled-plush-seriy-1473210/" , "14732.10 Плед Plush, серый")</f>
      </c>
      <c r="C23046" s="4" t="n">
        <v>966.00</v>
      </c>
      <c r="D23046" s="4"/>
    </row>
    <row collapsed="" customFormat="false" customHeight="1" hidden="" ht="14" outlineLevel="0" r="23047">
      <c r="A23047" s="3" t="inlineStr">
        <is>
          <t>22971</t>
        </is>
      </c>
      <c r="B23047" s="4" t="s">
        <f>=HYPERLINK("http://anyluxury.ru/shop/podarki-dlya-doma/pledy/pled-plush-siniy-1473240/" , "14732.40 Плед Plush, синий")</f>
      </c>
      <c r="C23047" s="4" t="n">
        <v>966.00</v>
      </c>
      <c r="D23047" s="4"/>
    </row>
    <row collapsed="" customFormat="false" customHeight="1" hidden="" ht="14" outlineLevel="0" r="23048">
      <c r="A23048" s="3" t="inlineStr">
        <is>
          <t>22972</t>
        </is>
      </c>
      <c r="B23048" s="4" t="s">
        <f>=HYPERLINK("http://anyluxury.ru/shop/podarki-dlya-doma/pledy/pled-plush-krasniy-1473250/" , "14732.50 Плед Plush, красный")</f>
      </c>
      <c r="C23048" s="4" t="n">
        <v>966.00</v>
      </c>
      <c r="D23048" s="4"/>
    </row>
    <row collapsed="" customFormat="false" customHeight="1" hidden="" ht="14" outlineLevel="0" r="23049">
      <c r="A23049" s="3" t="inlineStr">
        <is>
          <t>22973</t>
        </is>
      </c>
      <c r="B23049" s="4" t="s">
        <f>=HYPERLINK("http://anyluxury.ru/shop/podarki-dlya-doma/pledy/pled-plush-zeleniy-1473290/" , "14732.90 Плед Plush, зеленый")</f>
      </c>
      <c r="C23049" s="4" t="n">
        <v>966.00</v>
      </c>
      <c r="D23049" s="4"/>
    </row>
    <row collapsed="" customFormat="false" customHeight="1" hidden="" ht="14" outlineLevel="0" r="23050">
      <c r="A23050" s="3" t="inlineStr">
        <is>
          <t>22974</t>
        </is>
      </c>
      <c r="B23050" s="4" t="s">
        <f>=HYPERLINK("http://anyluxury.ru/shop/podarki-dlya-doma/pledy/pled-cella-vyazaniy-16090-sm-seriy-bez-podarochnoy-korobki-20635080/" , "20635.080 Плед Cella вязаный, серый (без подарочной коробки)")</f>
      </c>
      <c r="C23050" s="4" t="n">
        <v>2290.00</v>
      </c>
      <c r="D23050" s="4"/>
    </row>
    <row collapsed="" customFormat="false" customHeight="1" hidden="" ht="14" outlineLevel="0" r="23051">
      <c r="A23051" s="3" t="inlineStr">
        <is>
          <t>22975</t>
        </is>
      </c>
      <c r="B23051" s="4" t="s">
        <f>=HYPERLINK("http://anyluxury.ru/shop/podarki-dlya-doma/pledy/pled-cella-vyazaniy-16090-sm-temnosiniy-bez-podarochnoy-korobki-20635030/" , "20635.030 Плед Cella вязаный, синий (без подарочной коробки)")</f>
      </c>
      <c r="C23051" s="4" t="n">
        <v>2290.00</v>
      </c>
      <c r="D23051" s="4"/>
    </row>
    <row collapsed="" customFormat="false" customHeight="1" hidden="" ht="14" outlineLevel="0" r="23052">
      <c r="A23052" s="3" t="inlineStr">
        <is>
          <t>22976</t>
        </is>
      </c>
      <c r="B23052" s="4" t="s">
        <f>=HYPERLINK("http://anyluxury.ru/shop/podarki-dlya-doma/pledy/plyazhnoe-polotence-vinga-lounge-80h160-sm-8055/" , "8055 Пляжное полотенце Vinga Lounge, 80х160 см")</f>
      </c>
      <c r="C23052" s="4" t="n">
        <v>6581.00</v>
      </c>
      <c r="D23052" s="4"/>
    </row>
    <row collapsed="" customFormat="false" customHeight="1" hidden="" ht="14" outlineLevel="0" r="23053">
      <c r="A23053" s="3" t="inlineStr">
        <is>
          <t>22977</t>
        </is>
      </c>
      <c r="B23053" s="4" t="s">
        <f>=HYPERLINK("http://anyluxury.ru/shop/podarki-dlya-doma/pledy/plyazhnoe-polotence-vinga-lounge-80h160-sm-8064/" , "8064 Пляжное полотенце Vinga Lounge, 80х160 см")</f>
      </c>
      <c r="C23053" s="4" t="n">
        <v>6581.00</v>
      </c>
      <c r="D23053" s="4"/>
    </row>
    <row collapsed="" customFormat="false" customHeight="1" hidden="" ht="14" outlineLevel="0" r="23054">
      <c r="A23054" s="3" t="inlineStr">
        <is>
          <t>22978</t>
        </is>
      </c>
      <c r="B23054" s="4" t="s">
        <f>=HYPERLINK("http://anyluxury.ru/shop/podarki-dlya-doma/pledy/plyazhnoe-polotence-vinga-lounge-80h160-sm-8067/" , "8067 Пляжное полотенце Vinga Lounge, 80х160 см")</f>
      </c>
      <c r="C23054" s="4" t="n">
        <v>6581.00</v>
      </c>
      <c r="D23054" s="4"/>
    </row>
    <row collapsed="" customFormat="false" customHeight="1" hidden="" ht="14" outlineLevel="0" r="23055">
      <c r="A23055" s="3" t="inlineStr">
        <is>
          <t>22979</t>
        </is>
      </c>
      <c r="B23055" s="4" t="s">
        <f>=HYPERLINK("http://anyluxury.ru/shop/podarki-dlya-doma/pledy/plyazhnoe-polotence-vinga-valmer-80h180-sm-8046/" , "8046 Пляжное полотенце VINGA Valmer, 80х180 см")</f>
      </c>
      <c r="C23055" s="4" t="n">
        <v>6228.00</v>
      </c>
      <c r="D23055" s="4"/>
    </row>
    <row collapsed="" customFormat="false" customHeight="1" hidden="" ht="14" outlineLevel="0" r="23056">
      <c r="A23056" s="3" t="inlineStr">
        <is>
          <t>22980</t>
        </is>
      </c>
      <c r="B23056" s="4" t="s">
        <f>=HYPERLINK("http://anyluxury.ru/shop/podarki-dlya-doma/pledy/plyazhnoe-polotence-vinga-valmer-80h180-sm-8052/" , "8052 Пляжное полотенце VINGA Valmer, 80х180 см")</f>
      </c>
      <c r="C23056" s="4" t="n">
        <v>6228.00</v>
      </c>
      <c r="D23056" s="4"/>
    </row>
    <row collapsed="" customFormat="false" customHeight="1" hidden="" ht="14" outlineLevel="0" r="23057">
      <c r="A23057" s="3" t="inlineStr">
        <is>
          <t>22981</t>
        </is>
      </c>
      <c r="B23057" s="4" t="s">
        <f>=HYPERLINK("http://anyluxury.ru/shop/podarki-dlya-doma/pledy/plyazhnoe-polotence-vinga-valmer-80h180-sm-8053/" , "8053 Пляжное полотенце VINGA Valmer, 80х180 см")</f>
      </c>
      <c r="C23057" s="4" t="n">
        <v>6228.00</v>
      </c>
      <c r="D23057" s="4"/>
    </row>
    <row collapsed="" customFormat="false" customHeight="1" hidden="" ht="14" outlineLevel="0" r="23058">
      <c r="A23058" s="3" t="inlineStr">
        <is>
          <t>22982</t>
        </is>
      </c>
      <c r="B23058" s="4" t="s">
        <f>=HYPERLINK("http://anyluxury.ru/shop/podarki-dlya-doma/pledy/plyazhnoe-polotence-vinga-valmer-80h180-sm-8062/" , "8062 Пляжное полотенце VINGA Valmer, 80х180 см")</f>
      </c>
      <c r="C23058" s="4" t="n">
        <v>6228.00</v>
      </c>
      <c r="D23058" s="4"/>
    </row>
    <row collapsed="" customFormat="false" customHeight="1" hidden="" ht="14" outlineLevel="0" r="23059">
      <c r="A23059" s="3" t="inlineStr">
        <is>
          <t>22983</t>
        </is>
      </c>
      <c r="B23059" s="4" t="s">
        <f>=HYPERLINK("http://anyluxury.ru/shop/podarki-dlya-doma/pledy/plyazhnoe-polotence-vinga-valmer-80h180-sm-8063/" , "8063 Пляжное полотенце VINGA Valmer, 80х180 см")</f>
      </c>
      <c r="C23059" s="4" t="n">
        <v>6228.00</v>
      </c>
      <c r="D23059" s="4"/>
    </row>
    <row collapsed="" customFormat="false" customHeight="1" hidden="" ht="14" outlineLevel="0" r="23060">
      <c r="A23060" s="3" t="inlineStr">
        <is>
          <t>22984</t>
        </is>
      </c>
      <c r="B23060" s="4" t="s">
        <f>=HYPERLINK("http://anyluxury.ru/shop/podarki-dlya-doma/pledy/pled-cella-vyazaniy-16090-sm-oranzheviy-bez-podarochnoy-korobki-20635070/" , "20635.070 Плед Cella вязаный, оранжевый (без подарочной коробки)")</f>
      </c>
      <c r="C23060" s="4" t="n">
        <v>2290.00</v>
      </c>
      <c r="D23060" s="4"/>
    </row>
    <row collapsed="" customFormat="false" customHeight="1" hidden="" ht="14" outlineLevel="0" r="23061">
      <c r="A23061" s="3" t="inlineStr">
        <is>
          <t>22985</t>
        </is>
      </c>
      <c r="B23061" s="4" t="s">
        <f>=HYPERLINK("http://anyluxury.ru/shop/podarki-dlya-doma/pledy/pled-cella-vyazaniy-16090-sm-fioletoviy-bez-podarochnoy-korobki-20635034/" , "20635.034 Плед Cella вязаный, фиолетовый (без подарочной коробки)")</f>
      </c>
      <c r="C23061" s="4" t="n">
        <v>2290.00</v>
      </c>
      <c r="D23061" s="4"/>
    </row>
    <row collapsed="" customFormat="false" customHeight="1" hidden="" ht="14" outlineLevel="0" r="23062">
      <c r="A23062" s="3" t="inlineStr">
        <is>
          <t>22986</t>
        </is>
      </c>
      <c r="B23062" s="4" t="s">
        <f>=HYPERLINK("http://anyluxury.ru/shop/podarki-dlya-doma/pledy/pled-jotta-bezheviy-2010701/" , "20107.01 Плед Jotta, бежевый")</f>
      </c>
      <c r="C23062" s="4" t="n">
        <v>13990.00</v>
      </c>
      <c r="D23062" s="4"/>
    </row>
    <row collapsed="" customFormat="false" customHeight="1" hidden="" ht="14" outlineLevel="0" r="23063">
      <c r="A23063" s="3" t="inlineStr">
        <is>
          <t>22987</t>
        </is>
      </c>
      <c r="B23063" s="4" t="s">
        <f>=HYPERLINK("http://anyluxury.ru/shop/podarki-dlya-doma/pledy/pled-plush-cherniy-1473230/" , "14732.30 Плед Plush, черный")</f>
      </c>
      <c r="C23063" s="4" t="n">
        <v>966.00</v>
      </c>
      <c r="D23063" s="4"/>
    </row>
    <row collapsed="" customFormat="false" customHeight="1" hidden="" ht="14" outlineLevel="0" r="23064">
      <c r="A23064" s="3" t="inlineStr">
        <is>
          <t>22988</t>
        </is>
      </c>
      <c r="B23064" s="4" t="s">
        <f>=HYPERLINK("http://anyluxury.ru/shop/podarki-dlya-doma/pledy/pled-plush-beliy-1473260/" , "14732.60 Плед Plush, белый")</f>
      </c>
      <c r="C23064" s="4" t="n">
        <v>966.00</v>
      </c>
      <c r="D23064" s="4"/>
    </row>
    <row collapsed="" customFormat="false" customHeight="1" hidden="" ht="14" outlineLevel="0" r="23065">
      <c r="A23065" s="3" t="inlineStr">
        <is>
          <t>22989</t>
        </is>
      </c>
      <c r="B23065" s="4" t="s">
        <f>=HYPERLINK("http://anyluxury.ru/shop/podarki-dlya-doma/pledy/pled-plush-oranzheviy-1473220/" , "14732.20 Плед Plush, оранжевый")</f>
      </c>
      <c r="C23065" s="4" t="n">
        <v>966.00</v>
      </c>
      <c r="D23065" s="4"/>
    </row>
    <row collapsed="" customFormat="false" customHeight="1" hidden="" ht="14" outlineLevel="0" r="23066">
      <c r="A23066" s="3" t="inlineStr">
        <is>
          <t>22990</t>
        </is>
      </c>
      <c r="B23066" s="4" t="s">
        <f>=HYPERLINK("http://anyluxury.ru/shop/podarki-dlya-doma/pledy/pled-plush-bezheviy-1473211/" , "14732.11 Плед Plush, бежевый")</f>
      </c>
      <c r="C23066" s="4" t="n">
        <v>966.00</v>
      </c>
      <c r="D23066" s="4"/>
    </row>
    <row collapsed="" customFormat="false" customHeight="1" hidden="" ht="14" outlineLevel="0" r="23067">
      <c r="A23067" s="3" t="inlineStr">
        <is>
          <t>22991</t>
        </is>
      </c>
      <c r="B23067" s="4" t="s">
        <f>=HYPERLINK("http://anyluxury.ru/shop/podarki-dlya-doma/pledy/pled-na-zakaz-tricksy-net-2-cveta-l-akril-1808301/" , "18083.01 Плед на заказ Tricksy Net, 2 цвета, L, акрил")</f>
      </c>
      <c r="C23067" s="4" t="n">
        <v>4202.00</v>
      </c>
      <c r="D23067" s="4"/>
    </row>
    <row collapsed="" customFormat="false" customHeight="1" hidden="" ht="14" outlineLevel="0" r="23068">
      <c r="A23068" s="3" t="inlineStr">
        <is>
          <t>22992</t>
        </is>
      </c>
      <c r="B23068" s="4" t="s">
        <f>=HYPERLINK("http://anyluxury.ru/shop/podarki-dlya-doma/pledy/pled-na-zakaz-tricksy-net-2-cveta-l-polusherst-1808302/" , "18083.02 Плед на заказ Tricksy Net, 2 цвета, L, полушерсть")</f>
      </c>
      <c r="C23068" s="4" t="n">
        <v>6982.00</v>
      </c>
      <c r="D23068" s="4"/>
    </row>
    <row collapsed="" customFormat="false" customHeight="1" hidden="" ht="14" outlineLevel="0" r="23069">
      <c r="A23069" s="3" t="inlineStr">
        <is>
          <t>22993</t>
        </is>
      </c>
      <c r="B23069" s="4" t="s">
        <f>=HYPERLINK("http://anyluxury.ru/shop/podarki-dlya-doma/pledy/pled-na-zakaz-tricksy-net-grand-2-cveta-xl-akril-1808401/" , "18084.01 Плед на заказ Tricksy Net Grand, 2 цвета, XL, акрил")</f>
      </c>
      <c r="C23069" s="4" t="n">
        <v>4780.00</v>
      </c>
      <c r="D23069" s="4"/>
    </row>
    <row collapsed="" customFormat="false" customHeight="1" hidden="" ht="14" outlineLevel="0" r="23070">
      <c r="A23070" s="3" t="inlineStr">
        <is>
          <t>22994</t>
        </is>
      </c>
      <c r="B23070" s="4" t="s">
        <f>=HYPERLINK("http://anyluxury.ru/shop/podarki-dlya-doma/pledy/pled-na-zakaz-tricksy-net-grand-2-cveta-xl-polusherst-1808402/" , "18084.02 Плед на заказ Tricksy Net Grand, 2 цвета, XL, полушерсть")</f>
      </c>
      <c r="C23070" s="4" t="n">
        <v>8231.00</v>
      </c>
      <c r="D23070" s="4"/>
    </row>
    <row collapsed="" customFormat="false" customHeight="1" hidden="" ht="14" outlineLevel="0" r="23071">
      <c r="A23071" s="3" t="inlineStr">
        <is>
          <t>22995</t>
        </is>
      </c>
      <c r="B23071" s="4" t="s">
        <f>=HYPERLINK("http://anyluxury.ru/shop/podarki-dlya-doma/pledy/pled-na-zakaz-tricksy-net-grand-2-cveta-xxl-akril-1808501/" , "18085.01 Плед на заказ Tricksy Net Grand, 2 цвета, XXL, акрил")</f>
      </c>
      <c r="C23071" s="4" t="n">
        <v>5765.00</v>
      </c>
      <c r="D23071" s="4"/>
    </row>
    <row collapsed="" customFormat="false" customHeight="1" hidden="" ht="14" outlineLevel="0" r="23072">
      <c r="A23072" s="3" t="inlineStr">
        <is>
          <t>22996</t>
        </is>
      </c>
      <c r="B23072" s="4" t="s">
        <f>=HYPERLINK("http://anyluxury.ru/shop/podarki-dlya-doma/pledy/pled-london-krasniy-1308653/" , "13086.53 Плед London, красный")</f>
      </c>
      <c r="C23072" s="4" t="n">
        <v>1690.00</v>
      </c>
      <c r="D23072" s="4"/>
    </row>
    <row collapsed="" customFormat="false" customHeight="1" hidden="" ht="14" outlineLevel="0" r="23073">
      <c r="A23073" s="3" t="inlineStr">
        <is>
          <t>22997</t>
        </is>
      </c>
      <c r="B23073" s="4" t="s">
        <f>=HYPERLINK("http://anyluxury.ru/shop/podarki-dlya-doma/pledy/pled-london-seriy-1308610/" , "13086.10 Плед London, серый")</f>
      </c>
      <c r="C23073" s="4" t="n">
        <v>1690.00</v>
      </c>
      <c r="D23073" s="4"/>
    </row>
    <row collapsed="" customFormat="false" customHeight="1" hidden="" ht="14" outlineLevel="0" r="23074">
      <c r="A23074" s="3" t="inlineStr">
        <is>
          <t>22998</t>
        </is>
      </c>
      <c r="B23074" s="4" t="s">
        <f>=HYPERLINK("http://anyluxury.ru/shop/podarki-dlya-doma/pledy/pled-dublin-seriy-1369610/" , "13696.10 Плед Dublin, серый")</f>
      </c>
      <c r="C23074" s="4" t="n">
        <v>2190.00</v>
      </c>
      <c r="D23074" s="4"/>
    </row>
    <row collapsed="" customFormat="false" customHeight="1" hidden="" ht="14" outlineLevel="0" r="23075">
      <c r="A23075" s="3" t="inlineStr">
        <is>
          <t>22999</t>
        </is>
      </c>
      <c r="B23075" s="4" t="s">
        <f>=HYPERLINK("http://anyluxury.ru/shop/podarki-dlya-doma/pledy/pled-dublin-bezhevoseriy-1369601/" , "13696.01 Плед Dublin, бежево-серый")</f>
      </c>
      <c r="C23075" s="4" t="n">
        <v>2190.00</v>
      </c>
      <c r="D23075" s="4"/>
    </row>
    <row collapsed="" customFormat="false" customHeight="1" hidden="" ht="14" outlineLevel="0" r="23076">
      <c r="A23076" s="3" t="inlineStr">
        <is>
          <t>23000</t>
        </is>
      </c>
      <c r="B23076" s="4" t="s">
        <f>=HYPERLINK("http://anyluxury.ru/shop/podarki-dlya-doma/pledy/pled-edinburgh-bezhevokorichneviy-1369705/" , "13697.05 Плед Edinburgh, бежево-коричневый")</f>
      </c>
      <c r="C23076" s="4" t="n">
        <v>3990.00</v>
      </c>
      <c r="D23076" s="4"/>
    </row>
    <row collapsed="" customFormat="false" customHeight="1" hidden="" ht="14" outlineLevel="0" r="23077">
      <c r="A23077" s="3" t="inlineStr">
        <is>
          <t>23001</t>
        </is>
      </c>
      <c r="B23077" s="4" t="s">
        <f>=HYPERLINK("http://anyluxury.ru/shop/podarki-dlya-doma/pledy/pled-dublin-temnosiniy-1369643/" , "13696.43 Плед Dublin, темно-синий")</f>
      </c>
      <c r="C23077" s="4" t="n">
        <v>2190.00</v>
      </c>
      <c r="D23077" s="4"/>
    </row>
    <row collapsed="" customFormat="false" customHeight="1" hidden="" ht="14" outlineLevel="0" r="23078">
      <c r="A23078" s="3" t="inlineStr">
        <is>
          <t>23002</t>
        </is>
      </c>
      <c r="B23078" s="4" t="s">
        <f>=HYPERLINK("http://anyluxury.ru/shop/podarki-dlya-doma/pledy/pled-seliger-pesochniy-1574500/" , "15745.00 Плед «Селигер», песочный")</f>
      </c>
      <c r="C23078" s="4" t="n">
        <v>5490.00</v>
      </c>
      <c r="D23078" s="4"/>
    </row>
    <row collapsed="" customFormat="false" customHeight="1" hidden="" ht="14" outlineLevel="0" r="23079">
      <c r="A23079" s="3" t="inlineStr">
        <is>
          <t>23003</t>
        </is>
      </c>
      <c r="B23079" s="4" t="s">
        <f>=HYPERLINK("http://anyluxury.ru/shop/podarki-dlya-doma/pledy/pled-cordoba-bezheviy-1574600/" , "15746.00 Плед Cordoba, бежевый")</f>
      </c>
      <c r="C23079" s="4" t="n">
        <v>2390.00</v>
      </c>
      <c r="D23079" s="4"/>
    </row>
    <row collapsed="" customFormat="false" customHeight="1" hidden="" ht="14" outlineLevel="0" r="23080">
      <c r="A23080" s="3" t="inlineStr">
        <is>
          <t>23004</t>
        </is>
      </c>
      <c r="B23080" s="4" t="s">
        <f>=HYPERLINK("http://anyluxury.ru/shop/podarki-dlya-doma/pledy/pled-onega-xl-bezheviy-1574700/" , "15747.00 Плед «Онега XL», бежевый")</f>
      </c>
      <c r="C23080" s="4" t="n">
        <v>9790.00</v>
      </c>
      <c r="D23080" s="4"/>
    </row>
    <row collapsed="" customFormat="false" customHeight="1" hidden="" ht="14" outlineLevel="0" r="23081">
      <c r="A23081" s="3" t="inlineStr">
        <is>
          <t>23005</t>
        </is>
      </c>
      <c r="B23081" s="4" t="s">
        <f>=HYPERLINK("http://anyluxury.ru/shop/podarki-dlya-doma/pledy/pled-murcia-xl-bezheviy-1574800/" , "15748.00 Плед Murcia XL, бежевый")</f>
      </c>
      <c r="C23081" s="4" t="n">
        <v>3485.00</v>
      </c>
      <c r="D23081" s="4"/>
    </row>
    <row collapsed="" customFormat="false" customHeight="1" hidden="" ht="14" outlineLevel="0" r="23082">
      <c r="A23082" s="3" t="inlineStr">
        <is>
          <t>23006</t>
        </is>
      </c>
      <c r="B23082" s="4" t="s">
        <f>=HYPERLINK("http://anyluxury.ru/shop/podarki-dlya-doma/pledy/pled-murcia-xl-seriy-1574810/" , "15748.10 Плед Murcia XL, серый")</f>
      </c>
      <c r="C23082" s="4" t="n">
        <v>3485.00</v>
      </c>
      <c r="D23082" s="4"/>
    </row>
    <row collapsed="" customFormat="false" customHeight="1" hidden="" ht="14" outlineLevel="0" r="23083">
      <c r="A23083" s="3" t="inlineStr">
        <is>
          <t>23007</t>
        </is>
      </c>
      <c r="B23083" s="4" t="s">
        <f>=HYPERLINK("http://anyluxury.ru/shop/podarki-dlya-doma/pledy/pled-murcia-xl-goluboy-1574814/" , "15748.14 Плед Murcia XL, голубой")</f>
      </c>
      <c r="C23083" s="4" t="n">
        <v>3485.00</v>
      </c>
      <c r="D23083" s="4"/>
    </row>
    <row collapsed="" customFormat="false" customHeight="1" hidden="" ht="14" outlineLevel="0" r="23084">
      <c r="A23084" s="3" t="inlineStr">
        <is>
          <t>23008</t>
        </is>
      </c>
      <c r="B23084" s="4" t="s">
        <f>=HYPERLINK("http://anyluxury.ru/shop/podarki-dlya-doma/pledy/pled-london-xl-serobezheviy-1574901/" , "15749.01 Плед London XL, серо-бежевый")</f>
      </c>
      <c r="C23084" s="4" t="n">
        <v>2490.00</v>
      </c>
      <c r="D23084" s="4"/>
    </row>
    <row collapsed="" customFormat="false" customHeight="1" hidden="" ht="14" outlineLevel="0" r="23085">
      <c r="A23085" s="3" t="inlineStr">
        <is>
          <t>23009</t>
        </is>
      </c>
      <c r="B23085" s="4" t="s">
        <f>=HYPERLINK("http://anyluxury.ru/shop/podarki-dlya-doma/pledy/pled-cella-vyazaniy-16090-sm-bezheviy-bez-podarochnoy-korobki-206355252/" , "20635.525.2 Плед Cella вязаный, бежевый (без подарочной коробки)")</f>
      </c>
      <c r="C23085" s="4" t="n">
        <v>2290.00</v>
      </c>
      <c r="D23085" s="4"/>
    </row>
    <row collapsed="" customFormat="false" customHeight="1" hidden="" ht="14" outlineLevel="0" r="23086">
      <c r="A23086" s="3" t="inlineStr">
        <is>
          <t>23010</t>
        </is>
      </c>
      <c r="B23086" s="4" t="s">
        <f>=HYPERLINK("http://anyluxury.ru/shop/podarki-dlya-doma/pledy/pled-cella-vyazaniy-16090-sm-siniy-bez-podarochnoy-korobki-206350301/" , "20635.030.1 Плед Cella вязаный, синий (без подарочной коробки)")</f>
      </c>
      <c r="C23086" s="4" t="n">
        <v>2290.00</v>
      </c>
      <c r="D23086" s="4"/>
    </row>
    <row collapsed="" customFormat="false" customHeight="1" hidden="" ht="14" outlineLevel="0" r="23087">
      <c r="A23087" s="3" t="inlineStr">
        <is>
          <t>23011</t>
        </is>
      </c>
      <c r="B23087" s="4" t="s">
        <f>=HYPERLINK("http://anyluxury.ru/shop/podarki-dlya-doma/pledy/pled-locus-solus-svetlogoluboy-1674914/" , "16749.14 Плед Locus Solus, светло-голубой")</f>
      </c>
      <c r="C23087" s="4" t="n">
        <v>2690.00</v>
      </c>
      <c r="D23087" s="4"/>
    </row>
    <row collapsed="" customFormat="false" customHeight="1" hidden="" ht="14" outlineLevel="0" r="23088">
      <c r="A23088" s="3" t="inlineStr">
        <is>
          <t>23012</t>
        </is>
      </c>
      <c r="B23088" s="4" t="s">
        <f>=HYPERLINK("http://anyluxury.ru/shop/podarki-dlya-doma/pledy/pled-locus-solus-seriy-1674911/" , "16749.11 Плед Locus Solus, серый")</f>
      </c>
      <c r="C23088" s="4" t="n">
        <v>2690.00</v>
      </c>
      <c r="D23088" s="4"/>
    </row>
    <row collapsed="" customFormat="false" customHeight="1" hidden="" ht="14" outlineLevel="0" r="23089">
      <c r="A23089" s="3" t="inlineStr">
        <is>
          <t>23013</t>
        </is>
      </c>
      <c r="B23089" s="4" t="s">
        <f>=HYPERLINK("http://anyluxury.ru/shop/podarki-dlya-doma/pledy/pled-locus-solus-siniy-s-golubim-1674940/" , "16749.40 Плед Locus Solus, синий с голубым")</f>
      </c>
      <c r="C23089" s="4" t="n">
        <v>2690.00</v>
      </c>
      <c r="D23089" s="4"/>
    </row>
    <row collapsed="" customFormat="false" customHeight="1" hidden="" ht="14" outlineLevel="0" r="23090">
      <c r="A23090" s="3" t="inlineStr">
        <is>
          <t>23014</t>
        </is>
      </c>
      <c r="B23090" s="4" t="s">
        <f>=HYPERLINK("http://anyluxury.ru/shop/podarki-dlya-doma/pledy/pled-quill-svetlogoluboy-1674714/" , "16747.14 Плед Quill, светло-голубой")</f>
      </c>
      <c r="C23090" s="4" t="n">
        <v>3281.00</v>
      </c>
      <c r="D23090" s="4"/>
    </row>
    <row collapsed="" customFormat="false" customHeight="1" hidden="" ht="14" outlineLevel="0" r="23091">
      <c r="A23091" s="3" t="inlineStr">
        <is>
          <t>23015</t>
        </is>
      </c>
      <c r="B23091" s="4" t="s">
        <f>=HYPERLINK("http://anyluxury.ru/shop/podarki-dlya-doma/pledy/pled-quill-molochnobeliy-1674761/" , "16747.61 Плед Quill, молочно-белый")</f>
      </c>
      <c r="C23091" s="4" t="n">
        <v>3281.00</v>
      </c>
      <c r="D23091" s="4"/>
    </row>
    <row collapsed="" customFormat="false" customHeight="1" hidden="" ht="14" outlineLevel="0" r="23092">
      <c r="A23092" s="3" t="inlineStr">
        <is>
          <t>23016</t>
        </is>
      </c>
      <c r="B23092" s="4" t="s">
        <f>=HYPERLINK("http://anyluxury.ru/shop/podarki-dlya-doma/pledy/pled-quill-temnoseriy-1674711/" , "16747.11 Плед Quill, темно-серый")</f>
      </c>
      <c r="C23092" s="4" t="n">
        <v>3281.00</v>
      </c>
      <c r="D23092" s="4"/>
    </row>
    <row collapsed="" customFormat="false" customHeight="1" hidden="" ht="14" outlineLevel="0" r="23093">
      <c r="A23093" s="3" t="inlineStr">
        <is>
          <t>23017</t>
        </is>
      </c>
      <c r="B23093" s="4" t="s">
        <f>=HYPERLINK("http://anyluxury.ru/shop/podarki-dlya-doma/pledy/pled-quill-svetloseriy-1674731/" , "16747.31 Плед Quill, светло-серый")</f>
      </c>
      <c r="C23093" s="4" t="n">
        <v>3281.00</v>
      </c>
      <c r="D23093" s="4"/>
    </row>
    <row collapsed="" customFormat="false" customHeight="1" hidden="" ht="14" outlineLevel="0" r="23094">
      <c r="A23094" s="3" t="inlineStr">
        <is>
          <t>23018</t>
        </is>
      </c>
      <c r="B23094" s="4" t="s">
        <f>=HYPERLINK("http://anyluxury.ru/shop/podarki-dlya-doma/pledy/pled-quill-krasniy-korall-1674751/" , "16747.51 Плед Quill, красный (коралл)")</f>
      </c>
      <c r="C23094" s="4" t="n">
        <v>3281.00</v>
      </c>
      <c r="D23094" s="4"/>
    </row>
    <row collapsed="" customFormat="false" customHeight="1" hidden="" ht="14" outlineLevel="0" r="23095">
      <c r="A23095" s="3" t="inlineStr">
        <is>
          <t>23019</t>
        </is>
      </c>
      <c r="B23095" s="4" t="s">
        <f>=HYPERLINK("http://anyluxury.ru/shop/podarki-dlya-doma/pledy/pled-slumberland-bezheviy-melanzh-1674616/" , "16746.16 Плед Slumberland, бежевый меланж")</f>
      </c>
      <c r="C23095" s="4" t="n">
        <v>2979.00</v>
      </c>
      <c r="D23095" s="4"/>
    </row>
    <row collapsed="" customFormat="false" customHeight="1" hidden="" ht="14" outlineLevel="0" r="23096">
      <c r="A23096" s="3" t="inlineStr">
        <is>
          <t>23020</t>
        </is>
      </c>
      <c r="B23096" s="4" t="s">
        <f>=HYPERLINK("http://anyluxury.ru/shop/podarki-dlya-doma/pledy/pled-slumberland-siniy-dzhins-1674643/" , "16746.43 Плед Slumberland, синий (джинс)")</f>
      </c>
      <c r="C23096" s="4" t="n">
        <v>2979.00</v>
      </c>
      <c r="D23096" s="4"/>
    </row>
    <row collapsed="" customFormat="false" customHeight="1" hidden="" ht="14" outlineLevel="0" r="23097">
      <c r="A23097" s="3" t="inlineStr">
        <is>
          <t>23021</t>
        </is>
      </c>
      <c r="B23097" s="4" t="s">
        <f>=HYPERLINK("http://anyluxury.ru/shop/podarki-dlya-doma/pledy/pled-slumberland-svetloseriy-1674631/" , "16746.31 Плед Slumberland, светло-серый")</f>
      </c>
      <c r="C23097" s="4" t="n">
        <v>2979.00</v>
      </c>
      <c r="D23097" s="4"/>
    </row>
    <row collapsed="" customFormat="false" customHeight="1" hidden="" ht="14" outlineLevel="0" r="23098">
      <c r="A23098" s="3" t="inlineStr">
        <is>
          <t>23022</t>
        </is>
      </c>
      <c r="B23098" s="4" t="s">
        <f>=HYPERLINK("http://anyluxury.ru/shop/podarki-dlya-doma/pledy/pled-slumberland-molochnobeliy-1674661/" , "16746.61 Плед Slumberland, молочно-белый")</f>
      </c>
      <c r="C23098" s="4" t="n">
        <v>2979.00</v>
      </c>
      <c r="D23098" s="4"/>
    </row>
    <row collapsed="" customFormat="false" customHeight="1" hidden="" ht="14" outlineLevel="0" r="23099">
      <c r="A23099" s="3" t="inlineStr">
        <is>
          <t>23023</t>
        </is>
      </c>
      <c r="B23099" s="4" t="s">
        <f>=HYPERLINK("http://anyluxury.ru/shop/podarki-dlya-doma/pledy/pled-slumberland-korichneviy-melanzh-1674659/" , "16746.59 Плед Slumberland, коричневый меланж")</f>
      </c>
      <c r="C23099" s="4" t="n">
        <v>2979.00</v>
      </c>
      <c r="D23099" s="4"/>
    </row>
    <row collapsed="" customFormat="false" customHeight="1" hidden="" ht="14" outlineLevel="0" r="23100">
      <c r="A23100" s="3" t="inlineStr">
        <is>
          <t>23024</t>
        </is>
      </c>
      <c r="B23100" s="4" t="s">
        <f>=HYPERLINK("http://anyluxury.ru/shop/podarki-dlya-doma/pledy/pled-fringy-beliy-s-chernim-1674263/" , "16742.63 Плед Fringy, белый с черным")</f>
      </c>
      <c r="C23100" s="4" t="n">
        <v>3784.00</v>
      </c>
      <c r="D23100" s="4"/>
    </row>
    <row collapsed="" customFormat="false" customHeight="1" hidden="" ht="14" outlineLevel="0" r="23101">
      <c r="A23101" s="3" t="inlineStr">
        <is>
          <t>23025</t>
        </is>
      </c>
      <c r="B23101" s="4" t="s">
        <f>=HYPERLINK("http://anyluxury.ru/shop/podarki-dlya-doma/pledy/pled-fringy-cherniy-s-belim-1674236/" , "16742.36 Плед Fringy, черный с белым")</f>
      </c>
      <c r="C23101" s="4" t="n">
        <v>3784.00</v>
      </c>
      <c r="D23101" s="4"/>
    </row>
    <row collapsed="" customFormat="false" customHeight="1" hidden="" ht="14" outlineLevel="0" r="23102">
      <c r="A23102" s="3" t="inlineStr">
        <is>
          <t>23026</t>
        </is>
      </c>
      <c r="B23102" s="4" t="s">
        <f>=HYPERLINK("http://anyluxury.ru/shop/podarki-dlya-doma/pledy/pled-fringy-goluboy-1674240/" , "16742.40 Плед Fringy, синий с голубым")</f>
      </c>
      <c r="C23102" s="4" t="n">
        <v>3784.00</v>
      </c>
      <c r="D23102" s="4"/>
    </row>
    <row collapsed="" customFormat="false" customHeight="1" hidden="" ht="14" outlineLevel="0" r="23103">
      <c r="A23103" s="3" t="inlineStr">
        <is>
          <t>23027</t>
        </is>
      </c>
      <c r="B23103" s="4" t="s">
        <f>=HYPERLINK("http://anyluxury.ru/shop/podarki-dlya-doma/pledy/pled-serenita-biryuzoviy-tiffani-1574449/" , "15744.49 Плед Serenita, бирюзовый (тиффани)")</f>
      </c>
      <c r="C23103" s="4" t="n">
        <v>3139.00</v>
      </c>
      <c r="D23103" s="4"/>
    </row>
    <row collapsed="" customFormat="false" customHeight="1" hidden="" ht="14" outlineLevel="0" r="23104">
      <c r="A23104" s="3" t="inlineStr">
        <is>
          <t>23028</t>
        </is>
      </c>
      <c r="B23104" s="4" t="s">
        <f>=HYPERLINK("http://anyluxury.ru/shop/podarki-dlya-doma/pledy/pled-serenita-rozoviy-flamingo-1574453/" , "15744.53 Плед Serenita, розовый (фламинго)")</f>
      </c>
      <c r="C23104" s="4" t="n">
        <v>3139.00</v>
      </c>
      <c r="D23104" s="4"/>
    </row>
    <row collapsed="" customFormat="false" customHeight="1" hidden="" ht="14" outlineLevel="0" r="23105">
      <c r="A23105" s="3" t="inlineStr">
        <is>
          <t>23029</t>
        </is>
      </c>
      <c r="B23105" s="4" t="s">
        <f>=HYPERLINK("http://anyluxury.ru/shop/podarki-dlya-doma/pledy/pled-serenita-molochnobeliy-1574461/" , "15744.61 Плед Serenita, молочно-белый")</f>
      </c>
      <c r="C23105" s="4" t="n">
        <v>3139.00</v>
      </c>
      <c r="D23105" s="4"/>
    </row>
    <row collapsed="" customFormat="false" customHeight="1" hidden="" ht="14" outlineLevel="0" r="23106">
      <c r="A23106" s="3" t="inlineStr">
        <is>
          <t>23030</t>
        </is>
      </c>
      <c r="B23106" s="4" t="s">
        <f>=HYPERLINK("http://anyluxury.ru/shop/podarki-dlya-doma/pledy/pled-serenita-temnosiniy-sapfir-1574444/" , "15744.44 Плед Serenita, темно-синий (сапфир)")</f>
      </c>
      <c r="C23106" s="4" t="n">
        <v>3139.00</v>
      </c>
      <c r="D23106" s="4"/>
    </row>
    <row collapsed="" customFormat="false" customHeight="1" hidden="" ht="14" outlineLevel="0" r="23107">
      <c r="A23107" s="3" t="inlineStr">
        <is>
          <t>23031</t>
        </is>
      </c>
      <c r="B23107" s="4" t="s">
        <f>=HYPERLINK("http://anyluxury.ru/shop/podarki-dlya-doma/pledy/pled-serenita-svetloseriy-1574431/" , "15744.31 Плед Serenita, светло-серый")</f>
      </c>
      <c r="C23107" s="4" t="n">
        <v>3139.00</v>
      </c>
      <c r="D23107" s="4"/>
    </row>
    <row collapsed="" customFormat="false" customHeight="1" hidden="" ht="14" outlineLevel="0" r="23108">
      <c r="A23108" s="3" t="inlineStr">
        <is>
          <t>23032</t>
        </is>
      </c>
      <c r="B23108" s="4" t="s">
        <f>=HYPERLINK("http://anyluxury.ru/shop/podarki-dlya-doma/pledy/pled-fringy-siniy-s-golubim-1674244/" , "16742.44 Плед Fringy, синий с голубым")</f>
      </c>
      <c r="C23108" s="4" t="n">
        <v>3790.00</v>
      </c>
      <c r="D23108" s="4"/>
    </row>
    <row collapsed="" customFormat="false" customHeight="1" hidden="" ht="14" outlineLevel="0" r="23109">
      <c r="A23109" s="3" t="inlineStr">
        <is>
          <t>23033</t>
        </is>
      </c>
      <c r="B23109" s="4" t="s">
        <f>=HYPERLINK("http://anyluxury.ru/shop/podarki-dlya-doma/pledy/pled-industry-plus-na-zakaz-702800/" , "7028.00 Плед Industry Plus на заказ")</f>
      </c>
      <c r="C23109" s="4" t="n">
        <v>4636.00</v>
      </c>
      <c r="D23109" s="4"/>
    </row>
    <row collapsed="" customFormat="false" customHeight="1" hidden="" ht="14" outlineLevel="0" r="23110">
      <c r="A23110" s="3" t="inlineStr">
        <is>
          <t>23034</t>
        </is>
      </c>
      <c r="B23110" s="4" t="s">
        <f>=HYPERLINK("http://anyluxury.ru/shop/podarki-dlya-doma/pledy/pled-na-zakaz-pluche-grand-s-akril-1824501/" , "18245.01 Плед на заказ Pluche Grand, S, акрил")</f>
      </c>
      <c r="C23110" s="4" t="n">
        <v>3132.00</v>
      </c>
      <c r="D23110" s="4"/>
    </row>
    <row collapsed="" customFormat="false" customHeight="1" hidden="" ht="14" outlineLevel="0" r="23111">
      <c r="A23111" s="3" t="inlineStr">
        <is>
          <t>23035</t>
        </is>
      </c>
      <c r="B23111" s="4" t="s">
        <f>=HYPERLINK("http://anyluxury.ru/shop/podarki-dlya-doma/pledy/pled-elf-krasniy-1675250/" , "16752.50 Плед «Эльф», красный")</f>
      </c>
      <c r="C23111" s="4" t="n">
        <v>3990.00</v>
      </c>
      <c r="D23111" s="4"/>
    </row>
    <row collapsed="" customFormat="false" customHeight="1" hidden="" ht="14" outlineLevel="0" r="23112">
      <c r="A23112" s="3" t="inlineStr">
        <is>
          <t>23036</t>
        </is>
      </c>
      <c r="B23112" s="4" t="s">
        <f>=HYPERLINK("http://anyluxury.ru/shop/podarki-dlya-doma/pledy/pled-longview-oranzheviy-kirpichniy-1574320/" , "15743.20 Плед Longview, оранжевый (кирпичный)")</f>
      </c>
      <c r="C23112" s="4" t="n">
        <v>3281.00</v>
      </c>
      <c r="D23112" s="4"/>
    </row>
    <row collapsed="" customFormat="false" customHeight="1" hidden="" ht="14" outlineLevel="0" r="23113">
      <c r="A23113" s="3" t="inlineStr">
        <is>
          <t>23037</t>
        </is>
      </c>
      <c r="B23113" s="4" t="s">
        <f>=HYPERLINK("http://anyluxury.ru/shop/podarki-dlya-doma/pledy/pled-longview-molochnobeliy-1574361/" , "15743.61 Плед Longview, молочно-белый")</f>
      </c>
      <c r="C23113" s="4" t="n">
        <v>3281.00</v>
      </c>
      <c r="D23113" s="4"/>
    </row>
    <row collapsed="" customFormat="false" customHeight="1" hidden="" ht="14" outlineLevel="0" r="23114">
      <c r="A23114" s="3" t="inlineStr">
        <is>
          <t>23038</t>
        </is>
      </c>
      <c r="B23114" s="4" t="s">
        <f>=HYPERLINK("http://anyluxury.ru/shop/podarki-dlya-doma/pledy/pled-longview-temnoseriy-antracit-1574312/" , "15743.12 Плед Longview, темно-серый (антрацит)")</f>
      </c>
      <c r="C23114" s="4" t="n">
        <v>3281.00</v>
      </c>
      <c r="D23114" s="4"/>
    </row>
    <row collapsed="" customFormat="false" customHeight="1" hidden="" ht="14" outlineLevel="0" r="23115">
      <c r="A23115" s="3" t="inlineStr">
        <is>
          <t>23039</t>
        </is>
      </c>
      <c r="B23115" s="4" t="s">
        <f>=HYPERLINK("http://anyluxury.ru/shop/podarki-dlya-doma/pledy/pled-longview-biryuzoviy-1574342/" , "15743.42 Плед Longview, бирюзовый")</f>
      </c>
      <c r="C23115" s="4" t="n">
        <v>3281.00</v>
      </c>
      <c r="D23115" s="4"/>
    </row>
    <row collapsed="" customFormat="false" customHeight="1" hidden="" ht="14" outlineLevel="0" r="23116">
      <c r="A23116" s="3" t="inlineStr">
        <is>
          <t>23040</t>
        </is>
      </c>
      <c r="B23116" s="4" t="s">
        <f>=HYPERLINK("http://anyluxury.ru/shop/podarki-dlya-doma/pledy/pled-tricksy-fint-one-2-cveta-s-akril-1824001/" , "18240.01 Плед Tricksy Fint One, 2 цвета, S, акрил")</f>
      </c>
      <c r="C23116" s="4" t="n">
        <v>2244.00</v>
      </c>
      <c r="D23116" s="4"/>
    </row>
    <row collapsed="" customFormat="false" customHeight="1" hidden="" ht="14" outlineLevel="0" r="23117">
      <c r="A23117" s="3" t="inlineStr">
        <is>
          <t>23041</t>
        </is>
      </c>
      <c r="B23117" s="4" t="s">
        <f>=HYPERLINK("http://anyluxury.ru/shop/podarki-dlya-doma/pledy/pled-draconia-beliy-s-zolotistim-1625700/" , "16257.00 Плед Draconia, белый с золотистым")</f>
      </c>
      <c r="C23117" s="4" t="n">
        <v>3615.00</v>
      </c>
      <c r="D23117" s="4"/>
    </row>
    <row collapsed="" customFormat="false" customHeight="1" hidden="" ht="14" outlineLevel="0" r="23118">
      <c r="A23118" s="3" t="inlineStr">
        <is>
          <t>23042</t>
        </is>
      </c>
      <c r="B23118" s="4" t="s">
        <f>=HYPERLINK("http://anyluxury.ru/shop/podarki-dlya-doma/pledy/pled-tricksy-fint-one-2-cveta-m-akril-1824701/" , "18247.01 Плед Tricksy Fint One, 2 цвета, M, акрил")</f>
      </c>
      <c r="C23118" s="4" t="n">
        <v>2980.00</v>
      </c>
      <c r="D23118" s="4"/>
    </row>
    <row collapsed="" customFormat="false" customHeight="1" hidden="" ht="14" outlineLevel="0" r="23119">
      <c r="A23119" s="3" t="inlineStr">
        <is>
          <t>23043</t>
        </is>
      </c>
      <c r="B23119" s="4" t="s">
        <f>=HYPERLINK("http://anyluxury.ru/shop/podarki-dlya-doma/pledy/pled-tricksy-fint-one-2-cveta-s-polusherst-1824002/" , "18240.02 Плед Tricksy Fint One, 2 цвета, S, полушерсть")</f>
      </c>
      <c r="C23119" s="4" t="n">
        <v>3425.00</v>
      </c>
      <c r="D23119" s="4"/>
    </row>
    <row collapsed="" customFormat="false" customHeight="1" hidden="" ht="14" outlineLevel="0" r="23120">
      <c r="A23120" s="3" t="inlineStr">
        <is>
          <t>23044</t>
        </is>
      </c>
      <c r="B23120" s="4" t="s">
        <f>=HYPERLINK("http://anyluxury.ru/shop/podarki-dlya-doma/pledy/pled-tricksy-fint-one-2-cveta-m-polusherst-1824702/" , "18247.02 Плед Tricksy Fint One, 2 цвета, M, полушерсть")</f>
      </c>
      <c r="C23120" s="4" t="n">
        <v>4230.00</v>
      </c>
      <c r="D23120" s="4"/>
    </row>
    <row collapsed="" customFormat="false" customHeight="1" hidden="" ht="14" outlineLevel="0" r="23121">
      <c r="A23121" s="3" t="inlineStr">
        <is>
          <t>23045</t>
        </is>
      </c>
      <c r="B23121" s="4" t="s">
        <f>=HYPERLINK("http://anyluxury.ru/shop/podarki-dlya-doma/pledy/pled-s-bahromoy-na-zakaz-tricksy-net-2-cveta-s-akril-1824301/" , "18243.01 Плед с бахромой на заказ Tricksy Net, 2 цвета, S, акрил")</f>
      </c>
      <c r="C23121" s="4" t="n">
        <v>3922.00</v>
      </c>
      <c r="D23121" s="4"/>
    </row>
    <row collapsed="" customFormat="false" customHeight="1" hidden="" ht="14" outlineLevel="0" r="23122">
      <c r="A23122" s="3" t="inlineStr">
        <is>
          <t>23046</t>
        </is>
      </c>
      <c r="B23122" s="4" t="s">
        <f>=HYPERLINK("http://anyluxury.ru/shop/podarki-dlya-doma/pledy/pled-frontier-svetloseriy-1855331/" , "18553.31 Плед Frontier, светло-серый")</f>
      </c>
      <c r="C23122" s="4" t="n">
        <v>6629.00</v>
      </c>
      <c r="D23122" s="4"/>
    </row>
    <row collapsed="" customFormat="false" customHeight="1" hidden="" ht="14" outlineLevel="0" r="23123">
      <c r="A23123" s="3" t="inlineStr">
        <is>
          <t>23047</t>
        </is>
      </c>
      <c r="B23123" s="4" t="s">
        <f>=HYPERLINK("http://anyluxury.ru/shop/podarki-dlya-doma/pledy/pled-s-bahromoy-na-zakaz-tricksy-net-2-cveta-s-polusherst-1824302/" , "18243.02 Плед с бахромой на заказ Tricksy Net, 2 цвета, S, полушерсть")</f>
      </c>
      <c r="C23123" s="4" t="n">
        <v>5463.00</v>
      </c>
      <c r="D23123" s="4"/>
    </row>
    <row collapsed="" customFormat="false" customHeight="1" hidden="" ht="14" outlineLevel="0" r="23124">
      <c r="A23124" s="3" t="inlineStr">
        <is>
          <t>23048</t>
        </is>
      </c>
      <c r="B23124" s="4" t="s">
        <f>=HYPERLINK("http://anyluxury.ru/shop/podarki-dlya-doma/pledy/plyazhnoe-polotence-ukiyo-yukari-xl-iz-pererabotannogo-hlopka-aware-100x180-sm-p453830/" , "P453.830 Пляжное полотенце Ukiyo Yukari XL из переработанного хлопка AWARE™, 100x180 см")</f>
      </c>
      <c r="C23124" s="4" t="n">
        <v>6550.00</v>
      </c>
      <c r="D23124" s="4"/>
    </row>
    <row collapsed="" customFormat="false" customHeight="1" hidden="" ht="14" outlineLevel="0" r="23125">
      <c r="A23125" s="3" t="inlineStr">
        <is>
          <t>23049</t>
        </is>
      </c>
      <c r="B23125" s="4" t="s">
        <f>=HYPERLINK("http://anyluxury.ru/shop/podarki-dlya-doma/pledy/plyazhnoe-polotence-ukiyo-yukari-xl-iz-pererabotannogo-hlopka-aware-100x180-sm-p453832/" , "P453.832 Пляжное полотенце Ukiyo Yukari XL из переработанного хлопка AWARE™, 100x180 см")</f>
      </c>
      <c r="C23125" s="4" t="n">
        <v>6550.00</v>
      </c>
      <c r="D23125" s="4"/>
    </row>
    <row collapsed="" customFormat="false" customHeight="1" hidden="" ht="14" outlineLevel="0" r="23126">
      <c r="A23126" s="3" t="inlineStr">
        <is>
          <t>23050</t>
        </is>
      </c>
      <c r="B23126" s="4" t="s">
        <f>=HYPERLINK("http://anyluxury.ru/shop/podarki-dlya-doma/pledy/plyazhnoe-polotence-ukiyo-yukari-xl-iz-pererabotannogo-hlopka-aware-100x180-sm-p453835/" , "P453.835 Пляжное полотенце Ukiyo Yukari XL из переработанного хлопка AWARE™, 100x180 см")</f>
      </c>
      <c r="C23126" s="4" t="n">
        <v>6550.00</v>
      </c>
      <c r="D23126" s="4"/>
    </row>
    <row collapsed="" customFormat="false" customHeight="1" hidden="" ht="14" outlineLevel="0" r="23127">
      <c r="A23127" s="3" t="inlineStr">
        <is>
          <t>23051</t>
        </is>
      </c>
      <c r="B23127" s="4" t="s">
        <f>=HYPERLINK("http://anyluxury.ru/shop/podarki-dlya-doma/pledy/plyazhnoe-polotence-ukiyo-yukari-xl-iz-pererabotannogo-hlopka-aware-100x180-sm-p453839/" , "P453.839 Пляжное полотенце Ukiyo Yukari XL из переработанного хлопка AWARE™, 100x180 см")</f>
      </c>
      <c r="C23127" s="4" t="n">
        <v>6550.00</v>
      </c>
      <c r="D23127" s="4"/>
    </row>
    <row collapsed="" customFormat="false" customHeight="1" hidden="" ht="14" outlineLevel="0" r="23128">
      <c r="A23128" s="3" t="inlineStr">
        <is>
          <t>23052</t>
        </is>
      </c>
      <c r="B23128" s="4" t="s">
        <f>=HYPERLINK("http://anyluxury.ru/shop/podarki-dlya-doma/pledy/pled-bambolay-svetloseriy-1674831/" , "16748.31 Плед Bambolay, светло-серый")</f>
      </c>
      <c r="C23128" s="4" t="n">
        <v>2595.00</v>
      </c>
      <c r="D23128" s="4"/>
    </row>
    <row collapsed="" customFormat="false" customHeight="1" hidden="" ht="14" outlineLevel="0" r="23129">
      <c r="A23129" s="3" t="inlineStr">
        <is>
          <t>23053</t>
        </is>
      </c>
      <c r="B23129" s="4" t="s">
        <f>=HYPERLINK("http://anyluxury.ru/shop/podarki-dlya-doma/pledy/pled-bambolay-molochnobeliy-1674861/" , "16748.61 Плед Bambolay, молочно-белый")</f>
      </c>
      <c r="C23129" s="4" t="n">
        <v>2595.00</v>
      </c>
      <c r="D23129" s="4"/>
    </row>
    <row collapsed="" customFormat="false" customHeight="1" hidden="" ht="14" outlineLevel="0" r="23130">
      <c r="A23130" s="3" t="inlineStr">
        <is>
          <t>23054</t>
        </is>
      </c>
      <c r="B23130" s="4" t="s">
        <f>=HYPERLINK("http://anyluxury.ru/shop/podarki-dlya-doma/pledy/pled-bambolay-siniy-chernika-1674840/" , "16748.40 Плед Bambolay, синий (черника)")</f>
      </c>
      <c r="C23130" s="4" t="n">
        <v>2595.00</v>
      </c>
      <c r="D23130" s="4"/>
    </row>
    <row collapsed="" customFormat="false" customHeight="1" hidden="" ht="14" outlineLevel="0" r="23131">
      <c r="A23131" s="3" t="inlineStr">
        <is>
          <t>23055</t>
        </is>
      </c>
      <c r="B23131" s="4" t="s">
        <f>=HYPERLINK("http://anyluxury.ru/shop/podarki-dlya-doma/pledy/pled-bambolay-bezheviy-1674800/" , "16748.00 Плед Bambolay, бежевый")</f>
      </c>
      <c r="C23131" s="4" t="n">
        <v>2595.00</v>
      </c>
      <c r="D23131" s="4"/>
    </row>
    <row collapsed="" customFormat="false" customHeight="1" hidden="" ht="14" outlineLevel="0" r="23132">
      <c r="A23132" s="3" t="inlineStr">
        <is>
          <t>23056</t>
        </is>
      </c>
      <c r="B23132" s="4" t="s">
        <f>=HYPERLINK("http://anyluxury.ru/shop/podarki-dlya-doma/pledy/pled-bambolay-temnozeleniy-1674890/" , "16748.90 Плед Bambolay, темно-зеленый")</f>
      </c>
      <c r="C23132" s="4" t="n">
        <v>2595.00</v>
      </c>
      <c r="D23132" s="4"/>
    </row>
    <row collapsed="" customFormat="false" customHeight="1" hidden="" ht="14" outlineLevel="0" r="23133">
      <c r="A23133" s="3" t="inlineStr">
        <is>
          <t>23057</t>
        </is>
      </c>
      <c r="B23133" s="4" t="s">
        <f>=HYPERLINK("http://anyluxury.ru/shop/podarki-dlya-doma/pledy/pled-bambolay-temnoseriy-melanzh-1674811/" , "16748.11 Плед Bambolay, темно-серый меланж")</f>
      </c>
      <c r="C23133" s="4" t="n">
        <v>2595.00</v>
      </c>
      <c r="D23133" s="4"/>
    </row>
    <row collapsed="" customFormat="false" customHeight="1" hidden="" ht="14" outlineLevel="0" r="23134">
      <c r="A23134" s="3" t="inlineStr">
        <is>
          <t>23058</t>
        </is>
      </c>
      <c r="B23134" s="4" t="s">
        <f>=HYPERLINK("http://anyluxury.ru/shop/podarki-dlya-doma/pledy/pled-ornato-seriy-dimchatiy-1674111/" , "16741.11 Плед Ornato, серый (дымчатый)")</f>
      </c>
      <c r="C23134" s="4" t="n">
        <v>5594.00</v>
      </c>
      <c r="D23134" s="4"/>
    </row>
    <row collapsed="" customFormat="false" customHeight="1" hidden="" ht="14" outlineLevel="0" r="23135">
      <c r="A23135" s="3" t="inlineStr">
        <is>
          <t>23059</t>
        </is>
      </c>
      <c r="B23135" s="4" t="s">
        <f>=HYPERLINK("http://anyluxury.ru/shop/podarki-dlya-doma/pledy/pled-ornato-molochnobeliy-vanilniy-1674116/" , "16741.16 Плед Ornato, молочно-белый (ванильный)")</f>
      </c>
      <c r="C23135" s="4" t="n">
        <v>5594.00</v>
      </c>
      <c r="D23135" s="4"/>
    </row>
    <row collapsed="" customFormat="false" customHeight="1" hidden="" ht="14" outlineLevel="0" r="23136">
      <c r="A23136" s="3" t="inlineStr">
        <is>
          <t>23060</t>
        </is>
      </c>
      <c r="B23136" s="4" t="s">
        <f>=HYPERLINK("http://anyluxury.ru/shop/podarki-dlya-doma/pledy/pled-ornato-rozoviy-pilnaya-roza-1674115/" , "16741.15 Плед Ornato, розовый (пыльная роза)")</f>
      </c>
      <c r="C23136" s="4" t="n">
        <v>5594.00</v>
      </c>
      <c r="D23136" s="4"/>
    </row>
    <row collapsed="" customFormat="false" customHeight="1" hidden="" ht="14" outlineLevel="0" r="23137">
      <c r="A23137" s="3" t="inlineStr">
        <is>
          <t>23061</t>
        </is>
      </c>
      <c r="B23137" s="4" t="s">
        <f>=HYPERLINK("http://anyluxury.ru/shop/podarki-dlya-doma/pledy/pled-ornato-bezheviy-mindalniy-melanzh-1674112/" , "16741.12 Плед Ornato, бежевый (миндальный меланж)")</f>
      </c>
      <c r="C23137" s="4" t="n">
        <v>5594.00</v>
      </c>
      <c r="D23137" s="4"/>
    </row>
    <row collapsed="" customFormat="false" customHeight="1" hidden="" ht="14" outlineLevel="0" r="23138">
      <c r="A23138" s="3" t="inlineStr">
        <is>
          <t>23062</t>
        </is>
      </c>
      <c r="B23138" s="4" t="s">
        <f>=HYPERLINK("http://anyluxury.ru/shop/podarki-dlya-doma/pledy/pled-ornato-temnoseriy-kvarceviy-melanzh-1674113/" , "16741.13 Плед Ornato, темно-серый (кварцевый меланж)")</f>
      </c>
      <c r="C23138" s="4" t="n">
        <v>5594.00</v>
      </c>
      <c r="D23138" s="4"/>
    </row>
    <row collapsed="" customFormat="false" customHeight="1" hidden="" ht="14" outlineLevel="0" r="23139">
      <c r="A23139" s="3" t="inlineStr">
        <is>
          <t>23063</t>
        </is>
      </c>
      <c r="B23139" s="4" t="s">
        <f>=HYPERLINK("http://anyluxury.ru/shop/podarki-dlya-doma/pledy/pled-dreamshades-zheltiy-s-korichnevim-1675185/" , "16751.85 Плед Dreamshades, желтый с коричневым")</f>
      </c>
      <c r="C23139" s="4" t="n">
        <v>4330.00</v>
      </c>
      <c r="D23139" s="4"/>
    </row>
    <row collapsed="" customFormat="false" customHeight="1" hidden="" ht="14" outlineLevel="0" r="23140">
      <c r="A23140" s="3" t="inlineStr">
        <is>
          <t>23064</t>
        </is>
      </c>
      <c r="B23140" s="4" t="s">
        <f>=HYPERLINK("http://anyluxury.ru/shop/podarki-dlya-doma/pledy/pled-dreamshades-siniy-s-zelenim-1675144/" , "16751.44 Плед Dreamshades, синий с зеленым")</f>
      </c>
      <c r="C23140" s="4" t="n">
        <v>4330.00</v>
      </c>
      <c r="D23140" s="4"/>
    </row>
    <row collapsed="" customFormat="false" customHeight="1" hidden="" ht="14" outlineLevel="0" r="23141">
      <c r="A23141" s="3" t="inlineStr">
        <is>
          <t>23065</t>
        </is>
      </c>
      <c r="B23141" s="4" t="s">
        <f>=HYPERLINK("http://anyluxury.ru/shop/podarki-dlya-doma/pledy/pled-dreamshades-fioletoviy-s-chernim-1675178/" , "16751.78 Плед Dreamshades, фиолетовый с черным")</f>
      </c>
      <c r="C23141" s="4" t="n">
        <v>4330.00</v>
      </c>
      <c r="D23141" s="4"/>
    </row>
    <row collapsed="" customFormat="false" customHeight="1" hidden="" ht="14" outlineLevel="0" r="23142">
      <c r="A23142" s="3" t="inlineStr">
        <is>
          <t>23066</t>
        </is>
      </c>
      <c r="B23142" s="4" t="s">
        <f>=HYPERLINK("http://anyluxury.ru/shop/podarki-dlya-doma/pledy/pled-elnik-krasnim-s-molochnobelim-1674065/" , "16740.65 Плед Elnik, красный с молочно-белым")</f>
      </c>
      <c r="C23142" s="4" t="n">
        <v>2729.00</v>
      </c>
      <c r="D23142" s="4"/>
    </row>
    <row collapsed="" customFormat="false" customHeight="1" hidden="" ht="14" outlineLevel="0" r="23143">
      <c r="A23143" s="3" t="inlineStr">
        <is>
          <t>23067</t>
        </is>
      </c>
      <c r="B23143" s="4" t="s">
        <f>=HYPERLINK("http://anyluxury.ru/shop/podarki-dlya-doma/pledy/pled-elnik-zeleniy-s-molochnobelim-1674069/" , "16740.69 Плед Elnik, зеленый с молочно-белым")</f>
      </c>
      <c r="C23143" s="4" t="n">
        <v>2729.00</v>
      </c>
      <c r="D23143" s="4"/>
    </row>
    <row collapsed="" customFormat="false" customHeight="1" hidden="" ht="14" outlineLevel="0" r="23144">
      <c r="A23144" s="3" t="inlineStr">
        <is>
          <t>23068</t>
        </is>
      </c>
      <c r="B23144" s="4" t="s">
        <f>=HYPERLINK("http://anyluxury.ru/shop/podarki-dlya-doma/pledy/pled-elnik-seriy-s-molochnobelim-1674063/" , "16740.63 Плед Elnik, серый с молочно-белым")</f>
      </c>
      <c r="C23144" s="4" t="n">
        <v>2729.00</v>
      </c>
      <c r="D23144" s="4"/>
    </row>
    <row collapsed="" customFormat="false" customHeight="1" hidden="" ht="14" outlineLevel="0" r="23145">
      <c r="A23145" s="3" t="inlineStr">
        <is>
          <t>23069</t>
        </is>
      </c>
      <c r="B23145" s="4" t="s">
        <f>=HYPERLINK("http://anyluxury.ru/shop/podarki-dlya-doma/pledy/pled-friolenta-zheltiy-s-rozovim-1568753/" , "15687.53 Плед Friolenta, желтый с розовым")</f>
      </c>
      <c r="C23145" s="4" t="n">
        <v>4900.00</v>
      </c>
      <c r="D23145" s="4"/>
    </row>
    <row collapsed="" customFormat="false" customHeight="1" hidden="" ht="14" outlineLevel="0" r="23146">
      <c r="A23146" s="3" t="inlineStr">
        <is>
          <t>23070</t>
        </is>
      </c>
      <c r="B23146" s="4" t="s">
        <f>=HYPERLINK("http://anyluxury.ru/shop/podarki-dlya-doma/pledy/pled-friolenta-molochniy-1568760/" , "15687.60 Плед Friolenta, молочный")</f>
      </c>
      <c r="C23146" s="4" t="n">
        <v>4900.00</v>
      </c>
      <c r="D23146" s="4"/>
    </row>
    <row collapsed="" customFormat="false" customHeight="1" hidden="" ht="14" outlineLevel="0" r="23147">
      <c r="A23147" s="3" t="inlineStr">
        <is>
          <t>23071</t>
        </is>
      </c>
      <c r="B23147" s="4" t="s">
        <f>=HYPERLINK("http://anyluxury.ru/shop/podarki-dlya-doma/pledy/pled-senezh-bezheviy-1625800/" , "16258.00 Плед «Сенеж», бежевый")</f>
      </c>
      <c r="C23147" s="4" t="n">
        <v>1690.00</v>
      </c>
      <c r="D23147" s="4"/>
    </row>
    <row collapsed="" customFormat="false" customHeight="1" hidden="" ht="14" outlineLevel="0" r="23148">
      <c r="A23148" s="3" t="inlineStr">
        <is>
          <t>23072</t>
        </is>
      </c>
      <c r="B23148" s="4" t="s">
        <f>=HYPERLINK("http://anyluxury.ru/shop/podarki-dlya-doma/pledy/pled-senezh-seriy-1625810/" , "16258.10 Плед «Сенеж», серый")</f>
      </c>
      <c r="C23148" s="4" t="n">
        <v>1690.00</v>
      </c>
      <c r="D23148" s="4"/>
    </row>
    <row collapsed="" customFormat="false" customHeight="1" hidden="" ht="14" outlineLevel="0" r="23149">
      <c r="A23149" s="3" t="inlineStr">
        <is>
          <t>23073</t>
        </is>
      </c>
      <c r="B23149" s="4" t="s">
        <f>=HYPERLINK("http://anyluxury.ru/shop/podarki-dlya-doma/pledy/pled-slumberland-plus-na-zakaz-s-akril-1824901/" , "18249.01 Плед Slumberland Plus на заказ, S, акрил")</f>
      </c>
      <c r="C23149" s="4" t="n">
        <v>2544.00</v>
      </c>
      <c r="D23149" s="4"/>
    </row>
    <row collapsed="" customFormat="false" customHeight="1" hidden="" ht="14" outlineLevel="0" r="23150">
      <c r="A23150" s="3" t="inlineStr">
        <is>
          <t>23074</t>
        </is>
      </c>
      <c r="B23150" s="4" t="s">
        <f>=HYPERLINK("http://anyluxury.ru/shop/podarki-dlya-doma/pledy/pled-slumberland-plus-na-zakaz-s-polusherst-1824902/" , "18249.02 Плед Slumberland Plus на заказ, S, полушерсть")</f>
      </c>
      <c r="C23150" s="4" t="n">
        <v>3652.00</v>
      </c>
      <c r="D23150" s="4"/>
    </row>
    <row collapsed="" customFormat="false" customHeight="1" hidden="" ht="14" outlineLevel="0" r="23151">
      <c r="A23151" s="3" t="inlineStr">
        <is>
          <t>23075</t>
        </is>
      </c>
      <c r="B23151" s="4" t="s">
        <f>=HYPERLINK("http://anyluxury.ru/shop/podarki-dlya-doma/pledy/pled-slumberland-plus-na-zakaz-m-akril-1825001/" , "18250.01 Плед Slumberland Plus на заказ, M, акрил")</f>
      </c>
      <c r="C23151" s="4" t="n">
        <v>3169.00</v>
      </c>
      <c r="D23151" s="4"/>
    </row>
    <row collapsed="" customFormat="false" customHeight="1" hidden="" ht="14" outlineLevel="0" r="23152">
      <c r="A23152" s="3" t="inlineStr">
        <is>
          <t>23076</t>
        </is>
      </c>
      <c r="B23152" s="4" t="s">
        <f>=HYPERLINK("http://anyluxury.ru/shop/podarki-dlya-doma/pledy/pled-slumberland-plus-na-zakaz-m-polusherst-1825002/" , "18250.02 Плед Slumberland Plus на заказ, M, полушерсть")</f>
      </c>
      <c r="C23152" s="4" t="n">
        <v>4510.00</v>
      </c>
      <c r="D23152" s="4"/>
    </row>
    <row collapsed="" customFormat="false" customHeight="1" hidden="" ht="14" outlineLevel="0" r="23153">
      <c r="A23153" s="3" t="inlineStr">
        <is>
          <t>23077</t>
        </is>
      </c>
      <c r="B23153" s="4" t="s">
        <f>=HYPERLINK("http://anyluxury.ru/shop/podarki-dlya-doma/pledy/pled-friolenta-siniy-s-golubim-1568714/" , "15687.14 Плед Friolenta, синий с голубым")</f>
      </c>
      <c r="C23153" s="4" t="n">
        <v>4900.00</v>
      </c>
      <c r="D23153" s="4"/>
    </row>
    <row collapsed="" customFormat="false" customHeight="1" hidden="" ht="14" outlineLevel="0" r="23154">
      <c r="A23154" s="3" t="inlineStr">
        <is>
          <t>23078</t>
        </is>
      </c>
      <c r="B23154" s="4" t="s">
        <f>=HYPERLINK("http://anyluxury.ru/shop/podarki-dlya-doma/pledy/pled-trento-bezheviy-1631900/" , "16319.00 Плед «Тренто», бежевый")</f>
      </c>
      <c r="C23154" s="4" t="n">
        <v>6990.00</v>
      </c>
      <c r="D23154" s="4"/>
    </row>
    <row collapsed="" customFormat="false" customHeight="1" hidden="" ht="14" outlineLevel="0" r="23155">
      <c r="A23155" s="3" t="inlineStr">
        <is>
          <t>23079</t>
        </is>
      </c>
      <c r="B23155" s="4" t="s">
        <f>=HYPERLINK("http://anyluxury.ru/shop/podarki-dlya-doma/pledy/pled-shamoni-seriy-1631710/" , "16317.10 Плед «Шамони», серый")</f>
      </c>
      <c r="C23155" s="4" t="n">
        <v>5790.00</v>
      </c>
      <c r="D23155" s="4"/>
    </row>
    <row collapsed="" customFormat="false" customHeight="1" hidden="" ht="14" outlineLevel="0" r="23156">
      <c r="A23156" s="3" t="inlineStr">
        <is>
          <t>23080</t>
        </is>
      </c>
      <c r="B23156" s="4" t="s">
        <f>=HYPERLINK("http://anyluxury.ru/shop/podarki-dlya-doma/pledy/pled-garda-bezheviy-1631800/" , "16318.00 Плед «Гарда», бежевый")</f>
      </c>
      <c r="C23156" s="4" t="n">
        <v>12990.00</v>
      </c>
      <c r="D23156" s="4"/>
    </row>
    <row collapsed="" customFormat="false" customHeight="1" hidden="" ht="14" outlineLevel="0" r="23157">
      <c r="A23157" s="3" t="inlineStr">
        <is>
          <t>23081</t>
        </is>
      </c>
      <c r="B23157" s="4" t="s">
        <f>=HYPERLINK("http://anyluxury.ru/shop/podarki-dlya-doma/pledy/pledpodushka-dreamscape-siniy-1676140/" , "16761.40 Плед-подушка Dreamscape, синий")</f>
      </c>
      <c r="C23157" s="4" t="n">
        <v>1675.00</v>
      </c>
      <c r="D23157" s="4"/>
    </row>
    <row collapsed="" customFormat="false" customHeight="1" hidden="" ht="14" outlineLevel="0" r="23158">
      <c r="A23158" s="3" t="inlineStr">
        <is>
          <t>23082</t>
        </is>
      </c>
      <c r="B23158" s="4" t="s">
        <f>=HYPERLINK("http://anyluxury.ru/shop/podarki-dlya-doma/pledy/pledpodushka-dreamscape-seriy-1676110/" , "16761.10 Плед-подушка Dreamscape, серый")</f>
      </c>
      <c r="C23158" s="4" t="n">
        <v>1675.00</v>
      </c>
      <c r="D23158" s="4"/>
    </row>
    <row collapsed="" customFormat="false" customHeight="1" hidden="" ht="14" outlineLevel="0" r="23159">
      <c r="A23159" s="3" t="inlineStr">
        <is>
          <t>23083</t>
        </is>
      </c>
      <c r="B23159" s="4" t="s">
        <f>=HYPERLINK("http://anyluxury.ru/shop/podarki-dlya-doma/pledy/pledpodushka-dreamscape-bezheviy-1676111/" , "16761.11 Плед-подушка Dreamscape, бежевый")</f>
      </c>
      <c r="C23159" s="4" t="n">
        <v>1675.00</v>
      </c>
      <c r="D23159" s="4"/>
    </row>
    <row collapsed="" customFormat="false" customHeight="1" hidden="" ht="14" outlineLevel="0" r="23160">
      <c r="A23160" s="3" t="inlineStr">
        <is>
          <t>23084</t>
        </is>
      </c>
      <c r="B23160" s="4" t="s">
        <f>=HYPERLINK("http://anyluxury.ru/shop/podarki-dlya-doma/pledy/pled-baltimora-siniy-s-serim-1001941/" , "10019.41 Плед Baltimora, синий с серым")</f>
      </c>
      <c r="C23160" s="4" t="n">
        <v>32900.00</v>
      </c>
      <c r="D23160" s="4"/>
    </row>
    <row collapsed="" customFormat="false" customHeight="1" hidden="" ht="14" outlineLevel="0" r="23161">
      <c r="A23161" s="3" t="inlineStr">
        <is>
          <t>23085</t>
        </is>
      </c>
      <c r="B23161" s="4" t="s">
        <f>=HYPERLINK("http://anyluxury.ru/shop/podarki-dlya-doma/pledy/pled-baltimora-krasniy-s-zelenim-1001954/" , "10019.54 Плед Baltimora, красный с зеленым")</f>
      </c>
      <c r="C23161" s="4" t="n">
        <v>32900.00</v>
      </c>
      <c r="D23161" s="4"/>
    </row>
    <row collapsed="" customFormat="false" customHeight="1" hidden="" ht="14" outlineLevel="0" r="23162">
      <c r="A23162" s="3" t="inlineStr">
        <is>
          <t>23086</t>
        </is>
      </c>
      <c r="B23162" s="4" t="s">
        <f>=HYPERLINK("http://anyluxury.ru/shop/podarki-dlya-doma/pledy/pled-magnolia-seriy-s-bezhevim-1914816/" , "19148.16 Плед Magnolia, серый с бежевым")</f>
      </c>
      <c r="C23162" s="4" t="n">
        <v>20900.00</v>
      </c>
      <c r="D23162" s="4"/>
    </row>
    <row collapsed="" customFormat="false" customHeight="1" hidden="" ht="14" outlineLevel="0" r="23163">
      <c r="A23163" s="3" t="inlineStr">
        <is>
          <t>23087</t>
        </is>
      </c>
      <c r="B23163" s="4" t="s">
        <f>=HYPERLINK("http://anyluxury.ru/shop/podarki-dlya-doma/pledy/pled-zig-zag-krasniy-s-korichnevim-1914959/" , "19149.59 Плед Zig Zag, красный с коричневым")</f>
      </c>
      <c r="C23163" s="4" t="n">
        <v>16900.00</v>
      </c>
      <c r="D23163" s="4"/>
    </row>
    <row collapsed="" customFormat="false" customHeight="1" hidden="" ht="14" outlineLevel="0" r="23164">
      <c r="A23164" s="3" t="inlineStr">
        <is>
          <t>23088</t>
        </is>
      </c>
      <c r="B23164" s="4" t="s">
        <f>=HYPERLINK("http://anyluxury.ru/shop/podarki-dlya-doma/pledy/pled-ermes-svetloseriy-1002301/" , "10023.01 Плед Ermes, светло-серый")</f>
      </c>
      <c r="C23164" s="4" t="n">
        <v>29900.00</v>
      </c>
      <c r="D23164" s="4"/>
    </row>
    <row collapsed="" customFormat="false" customHeight="1" hidden="" ht="14" outlineLevel="0" r="23165">
      <c r="A23165" s="3" t="inlineStr">
        <is>
          <t>23089</t>
        </is>
      </c>
      <c r="B23165" s="4" t="s">
        <f>=HYPERLINK("http://anyluxury.ru/shop/podarki-dlya-doma/pledy/pled-ermes-molochniy-1002300/" , "10023.00 Плед Ermes, молочный")</f>
      </c>
      <c r="C23165" s="4" t="n">
        <v>29900.00</v>
      </c>
      <c r="D23165" s="4"/>
    </row>
    <row collapsed="" customFormat="false" customHeight="1" hidden="" ht="14" outlineLevel="0" r="23166">
      <c r="A23166" s="3" t="inlineStr">
        <is>
          <t>23090</t>
        </is>
      </c>
      <c r="B23166" s="4" t="s">
        <f>=HYPERLINK("http://anyluxury.ru/shop/podarki-dlya-doma/pledy/pled-arequipa-bordoviy-s-bezhevim-1902056/" , "19020.56 Плед Аrequipa, бордовый с бежевым")</f>
      </c>
      <c r="C23166" s="4" t="n">
        <v>16900.00</v>
      </c>
      <c r="D23166" s="4"/>
    </row>
    <row collapsed="" customFormat="false" customHeight="1" hidden="" ht="14" outlineLevel="0" r="23167">
      <c r="A23167" s="3" t="inlineStr">
        <is>
          <t>23091</t>
        </is>
      </c>
      <c r="B23167" s="4" t="s">
        <f>=HYPERLINK("http://anyluxury.ru/shop/podarki-dlya-doma/pledy/pled-arequipa-siniy-s-serim-1902045/" , "19020.45 Плед Аrequipa, синий с серым")</f>
      </c>
      <c r="C23167" s="4" t="n">
        <v>16900.00</v>
      </c>
      <c r="D23167" s="4"/>
    </row>
    <row collapsed="" customFormat="false" customHeight="1" hidden="" ht="14" outlineLevel="0" r="23168">
      <c r="A23168" s="3" t="inlineStr">
        <is>
          <t>23092</t>
        </is>
      </c>
      <c r="B23168" s="4" t="s">
        <f>=HYPERLINK("http://anyluxury.ru/shop/podarki-dlya-doma/pledy/pled-mumbai-fioletoviy-s-biryuzovim-1634174/" , "16341.74 Плед Mumbai, фиолетовый с бирюзовым")</f>
      </c>
      <c r="C23168" s="4" t="n">
        <v>10900.00</v>
      </c>
      <c r="D23168" s="4"/>
    </row>
    <row collapsed="" customFormat="false" customHeight="1" hidden="" ht="14" outlineLevel="0" r="23169">
      <c r="A23169" s="3" t="inlineStr">
        <is>
          <t>23093</t>
        </is>
      </c>
      <c r="B23169" s="4" t="s">
        <f>=HYPERLINK("http://anyluxury.ru/shop/podarki-dlya-doma/pledy/pled-mumbai-oranzheviy-s-golubim-1634124/" , "16341.24 Плед Mumbai, оранжевый с голубым")</f>
      </c>
      <c r="C23169" s="4" t="n">
        <v>10900.00</v>
      </c>
      <c r="D23169" s="4"/>
    </row>
    <row collapsed="" customFormat="false" customHeight="1" hidden="" ht="14" outlineLevel="0" r="23170">
      <c r="A23170" s="3" t="inlineStr">
        <is>
          <t>23094</t>
        </is>
      </c>
      <c r="B23170" s="4" t="s">
        <f>=HYPERLINK("http://anyluxury.ru/shop/podarki-dlya-doma/pledy/pled-mumbai-seriy-s-bezhevim-1634116/" , "16341.16 Плед Mumbai, серый с бежевым")</f>
      </c>
      <c r="C23170" s="4" t="n">
        <v>10900.00</v>
      </c>
      <c r="D23170" s="4"/>
    </row>
    <row collapsed="" customFormat="false" customHeight="1" hidden="" ht="14" outlineLevel="0" r="23171">
      <c r="A23171" s="3" t="inlineStr">
        <is>
          <t>23095</t>
        </is>
      </c>
      <c r="B23171" s="4" t="s">
        <f>=HYPERLINK("http://anyluxury.ru/shop/podarki-dlya-doma/pledy/pled-mumbai-goluboy-s-oranzhevim-1634142/" , "16341.42 Плед Mumbai, голубой с оранжевым")</f>
      </c>
      <c r="C23171" s="4" t="n">
        <v>10900.00</v>
      </c>
      <c r="D23171" s="4"/>
    </row>
    <row collapsed="" customFormat="false" customHeight="1" hidden="" ht="14" outlineLevel="0" r="23172">
      <c r="A23172" s="3" t="inlineStr">
        <is>
          <t>23096</t>
        </is>
      </c>
      <c r="B23172" s="4" t="s">
        <f>=HYPERLINK("http://anyluxury.ru/shop/podarki-dlya-doma/pledy/pled-mumbai-siniy-s-serim-1634141/" , "16341.41 Плед Mumbai, синий с серым")</f>
      </c>
      <c r="C23172" s="4" t="n">
        <v>10900.00</v>
      </c>
      <c r="D23172" s="4"/>
    </row>
    <row collapsed="" customFormat="false" customHeight="1" hidden="" ht="14" outlineLevel="0" r="23173">
      <c r="A23173" s="3" t="inlineStr">
        <is>
          <t>23097</t>
        </is>
      </c>
      <c r="B23173" s="4" t="s">
        <f>=HYPERLINK("http://anyluxury.ru/shop/podarki-dlya-doma/pledy/pled-mumbai-seriy-1634110/" , "16341.10 Плед Mumbai, серый")</f>
      </c>
      <c r="C23173" s="4" t="n">
        <v>10900.00</v>
      </c>
      <c r="D23173" s="4"/>
    </row>
    <row collapsed="" customFormat="false" customHeight="1" hidden="" ht="14" outlineLevel="0" r="23174">
      <c r="A23174" s="3" t="inlineStr">
        <is>
          <t>23098</t>
        </is>
      </c>
      <c r="B23174" s="4" t="s">
        <f>=HYPERLINK("http://anyluxury.ru/shop/podarki-dlya-doma/pledy/pled-mumbai-duo-siniy-1634240/" , "16342.40 Плед Mumbai Duo, синий")</f>
      </c>
      <c r="C23174" s="4" t="n">
        <v>14900.00</v>
      </c>
      <c r="D23174" s="4"/>
    </row>
    <row collapsed="" customFormat="false" customHeight="1" hidden="" ht="14" outlineLevel="0" r="23175">
      <c r="A23175" s="3" t="inlineStr">
        <is>
          <t>23099</t>
        </is>
      </c>
      <c r="B23175" s="4" t="s">
        <f>=HYPERLINK("http://anyluxury.ru/shop/podarki-dlya-doma/pledy/pled-mumbai-duo-goluboy-1634214/" , "16342.14 Плед Mumbai Duo, голубой")</f>
      </c>
      <c r="C23175" s="4" t="n">
        <v>14900.00</v>
      </c>
      <c r="D23175" s="4"/>
    </row>
    <row collapsed="" customFormat="false" customHeight="1" hidden="" ht="14" outlineLevel="0" r="23176">
      <c r="A23176" s="3" t="inlineStr">
        <is>
          <t>23100</t>
        </is>
      </c>
      <c r="B23176" s="4" t="s">
        <f>=HYPERLINK("http://anyluxury.ru/shop/podarki-dlya-doma/pledy/pled-vermont-zeleniy-1634790/" , "16347.90 Плед Vermont, зеленый")</f>
      </c>
      <c r="C23176" s="4" t="n">
        <v>10900.00</v>
      </c>
      <c r="D23176" s="4"/>
    </row>
    <row collapsed="" customFormat="false" customHeight="1" hidden="" ht="14" outlineLevel="0" r="23177">
      <c r="A23177" s="3" t="inlineStr">
        <is>
          <t>23101</t>
        </is>
      </c>
      <c r="B23177" s="4" t="s">
        <f>=HYPERLINK("http://anyluxury.ru/shop/podarki-dlya-doma/pledy/pled-vermont-fioletoviy-1634770/" , "16347.70 Плед Vermont, фиолетовый")</f>
      </c>
      <c r="C23177" s="4" t="n">
        <v>10900.00</v>
      </c>
      <c r="D23177" s="4"/>
    </row>
    <row collapsed="" customFormat="false" customHeight="1" hidden="" ht="14" outlineLevel="0" r="23178">
      <c r="A23178" s="3" t="inlineStr">
        <is>
          <t>23102</t>
        </is>
      </c>
      <c r="B23178" s="4" t="s">
        <f>=HYPERLINK("http://anyluxury.ru/shop/podarki-dlya-doma/pledy/pled-vermont-bezheviy-1634700/" , "16347.00 Плед Vermont, бежевый")</f>
      </c>
      <c r="C23178" s="4" t="n">
        <v>10900.00</v>
      </c>
      <c r="D23178" s="4"/>
    </row>
    <row collapsed="" customFormat="false" customHeight="1" hidden="" ht="14" outlineLevel="0" r="23179">
      <c r="A23179" s="3" t="inlineStr">
        <is>
          <t>23103</t>
        </is>
      </c>
      <c r="B23179" s="4" t="s">
        <f>=HYPERLINK("http://anyluxury.ru/shop/podarki-dlya-doma/pledy/pled-vermont-seriy-1634710/" , "16347.10 Плед Vermont, серый")</f>
      </c>
      <c r="C23179" s="4" t="n">
        <v>10900.00</v>
      </c>
      <c r="D23179" s="4"/>
    </row>
    <row collapsed="" customFormat="false" customHeight="1" hidden="" ht="14" outlineLevel="0" r="23180">
      <c r="A23180" s="3" t="inlineStr">
        <is>
          <t>23104</t>
        </is>
      </c>
      <c r="B23180" s="4" t="s">
        <f>=HYPERLINK("http://anyluxury.ru/shop/podarki-dlya-doma/pledy/pled-otranto-seriy-1662410/" , "16624.10 Плед «Отранто», серый")</f>
      </c>
      <c r="C23180" s="4" t="n">
        <v>2390.00</v>
      </c>
      <c r="D23180" s="4"/>
    </row>
    <row collapsed="" customFormat="false" customHeight="1" hidden="" ht="14" outlineLevel="0" r="23181">
      <c r="A23181" s="3" t="inlineStr">
        <is>
          <t>23105</t>
        </is>
      </c>
      <c r="B23181" s="4" t="s">
        <f>=HYPERLINK("http://anyluxury.ru/shop/podarki-dlya-doma/pledy/pled-otranto-bezheviy-1662400/" , "16624.00 Плед «Отранто», бежевый")</f>
      </c>
      <c r="C23181" s="4" t="n">
        <v>2390.00</v>
      </c>
      <c r="D23181" s="4"/>
    </row>
    <row collapsed="" customFormat="false" customHeight="1" hidden="" ht="14" outlineLevel="0" r="23182">
      <c r="A23182" s="3" t="inlineStr">
        <is>
          <t>23106</t>
        </is>
      </c>
      <c r="B23182" s="4" t="s">
        <f>=HYPERLINK("http://anyluxury.ru/shop/podarki-dlya-doma/pledy/pled-kapri-seriy-1662510/" , "16625.10 Плед «Капри», серый")</f>
      </c>
      <c r="C23182" s="4" t="n">
        <v>2390.00</v>
      </c>
      <c r="D23182" s="4"/>
    </row>
    <row collapsed="" customFormat="false" customHeight="1" hidden="" ht="14" outlineLevel="0" r="23183">
      <c r="A23183" s="3" t="inlineStr">
        <is>
          <t>23107</t>
        </is>
      </c>
      <c r="B23183" s="4" t="s">
        <f>=HYPERLINK("http://anyluxury.ru/shop/podarki-dlya-doma/pledy/pled-otranto-goluboy-1662414/" , "16624.14 Плед «Отранто», голубой")</f>
      </c>
      <c r="C23183" s="4" t="n">
        <v>2390.00</v>
      </c>
      <c r="D23183" s="4"/>
    </row>
    <row collapsed="" customFormat="false" customHeight="1" hidden="" ht="14" outlineLevel="0" r="23184">
      <c r="A23184" s="3" t="inlineStr">
        <is>
          <t>23108</t>
        </is>
      </c>
      <c r="B23184" s="4" t="s">
        <f>=HYPERLINK("http://anyluxury.ru/shop/podarki-dlya-doma/pledy/pled-kapri-bezheviy-1662500/" , "16625.00 Плед «Капри», бежевый")</f>
      </c>
      <c r="C23184" s="4" t="n">
        <v>2390.00</v>
      </c>
      <c r="D23184" s="4"/>
    </row>
    <row collapsed="" customFormat="false" customHeight="1" hidden="" ht="14" outlineLevel="0" r="23185">
      <c r="A23185" s="3" t="inlineStr">
        <is>
          <t>23109</t>
        </is>
      </c>
      <c r="B23185" s="4" t="s">
        <f>=HYPERLINK("http://anyluxury.ru/shop/podarki-dlya-doma/pledy/pled-london-bezheviy-1308600/" , "13086.00 Плед London, бежевый")</f>
      </c>
      <c r="C23185" s="4" t="n">
        <v>1690.00</v>
      </c>
      <c r="D23185" s="4"/>
    </row>
    <row collapsed="" customFormat="false" customHeight="1" hidden="" ht="14" outlineLevel="0" r="23186">
      <c r="A23186" s="3" t="inlineStr">
        <is>
          <t>23110</t>
        </is>
      </c>
      <c r="B23186" s="4" t="s">
        <f>=HYPERLINK("http://anyluxury.ru/shop/podarki-dlya-doma/pledy/pled-london-biryuzoviy-1308619/" , "13086.19 Плед London, бирюзовый")</f>
      </c>
      <c r="C23186" s="4" t="n">
        <v>1690.00</v>
      </c>
      <c r="D23186" s="4"/>
    </row>
    <row collapsed="" customFormat="false" customHeight="1" hidden="" ht="14" outlineLevel="0" r="23187">
      <c r="A23187" s="3" t="inlineStr">
        <is>
          <t>23111</t>
        </is>
      </c>
      <c r="B23187" s="4" t="s">
        <f>=HYPERLINK("http://anyluxury.ru/shop/podarki-dlya-doma/pledy/pled-senezh-serosiniy-1625841/" , "16258.41 Плед «Сенеж», серо-синий")</f>
      </c>
      <c r="C23187" s="4" t="n">
        <v>1690.00</v>
      </c>
      <c r="D23187" s="4"/>
    </row>
    <row collapsed="" customFormat="false" customHeight="1" hidden="" ht="14" outlineLevel="0" r="23188">
      <c r="A23188" s="3" t="inlineStr">
        <is>
          <t>23112</t>
        </is>
      </c>
      <c r="B23188" s="4" t="s">
        <f>=HYPERLINK("http://anyluxury.ru/shop/podarki-dlya-doma/pledy/pled-dlya-piknika-vinga-volonne-iz-pererabotannogo-kanvasa-i-rpet-aware-70h180-sm-v459105/" , "V459105 Плед для пикника VINGA Volonne из переработанного канваса и rPET AWARE™, 70х180 см")</f>
      </c>
      <c r="C23188" s="4" t="n">
        <v>4438.00</v>
      </c>
      <c r="D23188" s="4"/>
    </row>
    <row collapsed="" customFormat="false" customHeight="1" hidden="" ht="14" outlineLevel="0" r="23189">
      <c r="A23189" s="3" t="inlineStr">
        <is>
          <t>23113</t>
        </is>
      </c>
      <c r="B23189" s="4" t="s">
        <f>=HYPERLINK("http://anyluxury.ru/shop/podarki-dlya-doma/pledy/pled-dlya-piknika-vinga-volonne-iz-pererabotannogo-kanvasa-i-rpet-aware-130h170-sm-v459115/" , "V459115 Плед для пикника VINGA Volonne из переработанного канваса и rPET AWARE™, 130х170 см")</f>
      </c>
      <c r="C23189" s="4" t="n">
        <v>4263.00</v>
      </c>
      <c r="D23189" s="4"/>
    </row>
    <row collapsed="" customFormat="false" customHeight="1" hidden="" ht="14" outlineLevel="0" r="23190">
      <c r="A23190" s="3" t="inlineStr">
        <is>
          <t>23114</t>
        </is>
      </c>
      <c r="B23190" s="4" t="s">
        <f>=HYPERLINK("http://anyluxury.ru/shop/podarki-dlya-doma/pledy/pled-fado-vyazaniy-16090-sm-siniy-bez-podarochnoy-korobki-206310303/" , "20631.030.3 Плед Fado вязаный, синий (без подарочной коробки)")</f>
      </c>
      <c r="C23190" s="4" t="n">
        <v>2173.00</v>
      </c>
      <c r="D23190" s="4"/>
    </row>
    <row collapsed="" customFormat="false" customHeight="" hidden="" ht="12.1" outlineLevel="0" r="23191">
      <c r="A23191" s="5" t="inlineStr">
        <is>
          <t> -  - Подушки</t>
        </is>
      </c>
      <c r="B23191" s="6"/>
      <c r="C23191" s="6"/>
      <c r="D23191" s="6"/>
    </row>
    <row collapsed="" customFormat="false" customHeight="1" hidden="" ht="14" outlineLevel="0" r="23192">
      <c r="A23192" s="3" t="inlineStr">
        <is>
          <t>23115</t>
        </is>
      </c>
      <c r="B23192" s="4" t="s">
        <f>=HYPERLINK("http://anyluxury.ru/shop/podarki-dlya-doma/podushki/pled-russkie-skazki-krasniy-15102/" , "15102 Плед «Русские сказки», красный")</f>
      </c>
      <c r="C23192" s="4" t="n">
        <v>2288.00</v>
      </c>
      <c r="D23192" s="4"/>
    </row>
    <row collapsed="" customFormat="false" customHeight="1" hidden="" ht="14" outlineLevel="0" r="23193">
      <c r="A23193" s="3" t="inlineStr">
        <is>
          <t>23116</t>
        </is>
      </c>
      <c r="B23193" s="4" t="s">
        <f>=HYPERLINK("http://anyluxury.ru/shop/podarki-dlya-doma/podushki/podushka-na-zakaz-stille-plus-akril-1887401/" , "18874.01 Подушка на заказ Stille Plus, акрил")</f>
      </c>
      <c r="C23193" s="4" t="n">
        <v>1958.00</v>
      </c>
      <c r="D23193" s="4"/>
    </row>
    <row collapsed="" customFormat="false" customHeight="1" hidden="" ht="14" outlineLevel="0" r="23194">
      <c r="A23194" s="3" t="inlineStr">
        <is>
          <t>23117</t>
        </is>
      </c>
      <c r="B23194" s="4" t="s">
        <f>=HYPERLINK("http://anyluxury.ru/shop/podarki-dlya-doma/podushki/podushka-na-zakaz-stille-plus-polusherst-1887402/" , "18874.02 Подушка на заказ Stille Plus, полушерсть")</f>
      </c>
      <c r="C23194" s="4" t="n">
        <v>2254.00</v>
      </c>
      <c r="D23194" s="4"/>
    </row>
    <row collapsed="" customFormat="false" customHeight="1" hidden="" ht="14" outlineLevel="0" r="23195">
      <c r="A23195" s="3" t="inlineStr">
        <is>
          <t>23118</t>
        </is>
      </c>
      <c r="B23195" s="4" t="s">
        <f>=HYPERLINK("http://anyluxury.ru/shop/podarki-dlya-doma/podushki/pled-stereo-bunny-krasniy-3013650/" , "30136.50 Плед Stereo Bunny, красный")</f>
      </c>
      <c r="C23195" s="4" t="n">
        <v>2396.00</v>
      </c>
      <c r="D23195" s="4"/>
    </row>
    <row collapsed="" customFormat="false" customHeight="1" hidden="" ht="14" outlineLevel="0" r="23196">
      <c r="A23196" s="3" t="inlineStr">
        <is>
          <t>23119</t>
        </is>
      </c>
      <c r="B23196" s="4" t="s">
        <f>=HYPERLINK("http://anyluxury.ru/shop/podarki-dlya-doma/podushki/pled-ornamental-siniy-1523340/" , "15233.40 Плед Ornamental, синий")</f>
      </c>
      <c r="C23196" s="4" t="n">
        <v>3830.00</v>
      </c>
      <c r="D23196" s="4"/>
    </row>
    <row collapsed="" customFormat="false" customHeight="1" hidden="" ht="14" outlineLevel="0" r="23197">
      <c r="A23197" s="3" t="inlineStr">
        <is>
          <t>23120</t>
        </is>
      </c>
      <c r="B23197" s="4" t="s">
        <f>=HYPERLINK("http://anyluxury.ru/shop/podarki-dlya-doma/podushki/pled-ornamental-bordoviy-1523355/" , "15233.55 Плед Ornamental, бордовый")</f>
      </c>
      <c r="C23197" s="4" t="n">
        <v>3830.00</v>
      </c>
      <c r="D23197" s="4"/>
    </row>
    <row collapsed="" customFormat="false" customHeight="1" hidden="" ht="14" outlineLevel="0" r="23198">
      <c r="A23198" s="3" t="inlineStr">
        <is>
          <t>23121</t>
        </is>
      </c>
      <c r="B23198" s="4" t="s">
        <f>=HYPERLINK("http://anyluxury.ru/shop/podarki-dlya-doma/podushki/pled-tancuyushhiy-les-beliy-s-zolotom-1624600/" , "16246.00 Плед «Танцующий лес», белый с золотистым")</f>
      </c>
      <c r="C23198" s="4" t="n">
        <v>2563.00</v>
      </c>
      <c r="D23198" s="4"/>
    </row>
    <row collapsed="" customFormat="false" customHeight="1" hidden="" ht="14" outlineLevel="0" r="23199">
      <c r="A23199" s="3" t="inlineStr">
        <is>
          <t>23122</t>
        </is>
      </c>
      <c r="B23199" s="4" t="s">
        <f>=HYPERLINK("http://anyluxury.ru/shop/podarki-dlya-doma/podushki/pled-tancuyushhiy-les-beliy-s-serebrom-1624610/" , "16246.10 Плед «Танцующий лес», белый с серебром")</f>
      </c>
      <c r="C23199" s="4" t="n">
        <v>2563.00</v>
      </c>
      <c r="D23199" s="4"/>
    </row>
    <row collapsed="" customFormat="false" customHeight="1" hidden="" ht="14" outlineLevel="0" r="23200">
      <c r="A23200" s="3" t="inlineStr">
        <is>
          <t>23123</t>
        </is>
      </c>
      <c r="B23200" s="4" t="s">
        <f>=HYPERLINK("http://anyluxury.ru/shop/podarki-dlya-doma/podushki/pled-metamorpho-v-podarochnoy-korobke-19331/" , "19331 Плед Metamorpho в подарочной коробке")</f>
      </c>
      <c r="C23200" s="4" t="n">
        <v>6429.00</v>
      </c>
      <c r="D23200" s="4"/>
    </row>
    <row collapsed="" customFormat="false" customHeight="" hidden="" ht="12.1" outlineLevel="0" r="23201">
      <c r="A23201" s="5" t="inlineStr">
        <is>
          <t> -  - Полотенца</t>
        </is>
      </c>
      <c r="B23201" s="6"/>
      <c r="C23201" s="6"/>
      <c r="D23201" s="6"/>
    </row>
    <row collapsed="" customFormat="false" customHeight="1" hidden="" ht="14" outlineLevel="0" r="23202">
      <c r="A23202" s="3" t="inlineStr">
        <is>
          <t>23124</t>
        </is>
      </c>
      <c r="B23202" s="4" t="s">
        <f>=HYPERLINK("http://anyluxury.ru/shop/podarki-dlya-doma/polotentsa/polotence-mahrovoe-island-large-bezhevoe-459310/" , "4593.10 Полотенце махровое Island Large, бежевое")</f>
      </c>
      <c r="C23202" s="4" t="n">
        <v>1926.00</v>
      </c>
      <c r="D23202" s="4"/>
    </row>
    <row collapsed="" customFormat="false" customHeight="1" hidden="" ht="14" outlineLevel="0" r="23203">
      <c r="A23203" s="3" t="inlineStr">
        <is>
          <t>23125</t>
        </is>
      </c>
      <c r="B23203" s="4" t="s">
        <f>=HYPERLINK("http://anyluxury.ru/shop/podarki-dlya-doma/polotentsa/polotence-mahrovoe-island-medium-limonnozheltoe-459280/" , "4592.80 Полотенце махровое Island Medium, лимонно-желтое")</f>
      </c>
      <c r="C23203" s="4" t="n">
        <v>1000.00</v>
      </c>
      <c r="D23203" s="4"/>
    </row>
    <row collapsed="" customFormat="false" customHeight="1" hidden="" ht="14" outlineLevel="0" r="23204">
      <c r="A23204" s="3" t="inlineStr">
        <is>
          <t>23126</t>
        </is>
      </c>
      <c r="B23204" s="4" t="s">
        <f>=HYPERLINK("http://anyluxury.ru/shop/podarki-dlya-doma/polotentsa/polotence-mahrovoe-island-small-beloe-459160/" , "4591.60 Полотенце махровое Island Small, белое")</f>
      </c>
      <c r="C23204" s="4" t="n">
        <v>418.00</v>
      </c>
      <c r="D23204" s="4"/>
    </row>
    <row collapsed="" customFormat="false" customHeight="1" hidden="" ht="14" outlineLevel="0" r="23205">
      <c r="A23205" s="3" t="inlineStr">
        <is>
          <t>23127</t>
        </is>
      </c>
      <c r="B23205" s="4" t="s">
        <f>=HYPERLINK("http://anyluxury.ru/shop/podarki-dlya-doma/polotentsa/polotence-mahrovoe-island-small-krasnoe-459150/" , "4591.50 Полотенце махровое Island Small, красное")</f>
      </c>
      <c r="C23205" s="4" t="n">
        <v>416.00</v>
      </c>
      <c r="D23205" s="4"/>
    </row>
    <row collapsed="" customFormat="false" customHeight="1" hidden="" ht="14" outlineLevel="0" r="23206">
      <c r="A23206" s="3" t="inlineStr">
        <is>
          <t>23128</t>
        </is>
      </c>
      <c r="B23206" s="4" t="s">
        <f>=HYPERLINK("http://anyluxury.ru/shop/podarki-dlya-doma/polotentsa/polotence-mahrovoe-island-small-temnozelenoe-459190/" , "4591.90 Полотенце махровое Island Small, темно-зеленое")</f>
      </c>
      <c r="C23206" s="4" t="n">
        <v>416.00</v>
      </c>
      <c r="D23206" s="4"/>
    </row>
    <row collapsed="" customFormat="false" customHeight="1" hidden="" ht="14" outlineLevel="0" r="23207">
      <c r="A23207" s="3" t="inlineStr">
        <is>
          <t>23129</t>
        </is>
      </c>
      <c r="B23207" s="4" t="s">
        <f>=HYPERLINK("http://anyluxury.ru/shop/podarki-dlya-doma/polotentsa/polotence-mahrovoe-island-small-limonnozheltoe-459180/" , "4591.80 Полотенце махровое Island Small, лимонно-желтое")</f>
      </c>
      <c r="C23207" s="4" t="n">
        <v>416.00</v>
      </c>
      <c r="D23207" s="4"/>
    </row>
    <row collapsed="" customFormat="false" customHeight="1" hidden="" ht="14" outlineLevel="0" r="23208">
      <c r="A23208" s="3" t="inlineStr">
        <is>
          <t>23130</t>
        </is>
      </c>
      <c r="B23208" s="4" t="s">
        <f>=HYPERLINK("http://anyluxury.ru/shop/podarki-dlya-doma/polotentsa/polotence-mahrovoe-island-small-chernoe-459130/" , "4591.30 Полотенце махровое Island Small, черное")</f>
      </c>
      <c r="C23208" s="4" t="n">
        <v>416.00</v>
      </c>
      <c r="D23208" s="4"/>
    </row>
    <row collapsed="" customFormat="false" customHeight="1" hidden="" ht="14" outlineLevel="0" r="23209">
      <c r="A23209" s="3" t="inlineStr">
        <is>
          <t>23131</t>
        </is>
      </c>
      <c r="B23209" s="4" t="s">
        <f>=HYPERLINK("http://anyluxury.ru/shop/podarki-dlya-doma/polotentsa/polotence-mahrovoe-island-small-temnosinee-459140/" , "4591.40 Полотенце махровое Island Small, темно-синее")</f>
      </c>
      <c r="C23209" s="4" t="n">
        <v>416.00</v>
      </c>
      <c r="D23209" s="4"/>
    </row>
    <row collapsed="" customFormat="false" customHeight="1" hidden="" ht="14" outlineLevel="0" r="23210">
      <c r="A23210" s="3" t="inlineStr">
        <is>
          <t>23132</t>
        </is>
      </c>
      <c r="B23210" s="4" t="s">
        <f>=HYPERLINK("http://anyluxury.ru/shop/podarki-dlya-doma/polotentsa/polotence-mahrovoe-island-small-biryuzovoe-459142/" , "4591.42 Полотенце махровое Island Small, бирюзовое")</f>
      </c>
      <c r="C23210" s="4" t="n">
        <v>416.00</v>
      </c>
      <c r="D23210" s="4"/>
    </row>
    <row collapsed="" customFormat="false" customHeight="1" hidden="" ht="14" outlineLevel="0" r="23211">
      <c r="A23211" s="3" t="inlineStr">
        <is>
          <t>23133</t>
        </is>
      </c>
      <c r="B23211" s="4" t="s">
        <f>=HYPERLINK("http://anyluxury.ru/shop/podarki-dlya-doma/polotentsa/polotence-mahrovoe-island-small-oranzhevoe-459120/" , "4591.20 Полотенце махровое Island Small, оранжевое")</f>
      </c>
      <c r="C23211" s="4" t="n">
        <v>416.00</v>
      </c>
      <c r="D23211" s="4"/>
    </row>
    <row collapsed="" customFormat="false" customHeight="1" hidden="" ht="14" outlineLevel="0" r="23212">
      <c r="A23212" s="3" t="inlineStr">
        <is>
          <t>23134</t>
        </is>
      </c>
      <c r="B23212" s="4" t="s">
        <f>=HYPERLINK("http://anyluxury.ru/shop/podarki-dlya-doma/polotentsa/polotence-mahrovoe-island-medium-beloe-459260/" , "4592.60 Полотенце махровое Island Medium, белое")</f>
      </c>
      <c r="C23212" s="4" t="n">
        <v>1000.00</v>
      </c>
      <c r="D23212" s="4"/>
    </row>
    <row collapsed="" customFormat="false" customHeight="1" hidden="" ht="14" outlineLevel="0" r="23213">
      <c r="A23213" s="3" t="inlineStr">
        <is>
          <t>23135</t>
        </is>
      </c>
      <c r="B23213" s="4" t="s">
        <f>=HYPERLINK("http://anyluxury.ru/shop/podarki-dlya-doma/polotentsa/polotence-mahrovoe-island-medium-bezhevoe-459210/" , "4592.10 Полотенце махровое Island Medium, бежевое")</f>
      </c>
      <c r="C23213" s="4" t="n">
        <v>1000.00</v>
      </c>
      <c r="D23213" s="4"/>
    </row>
    <row collapsed="" customFormat="false" customHeight="1" hidden="" ht="14" outlineLevel="0" r="23214">
      <c r="A23214" s="3" t="inlineStr">
        <is>
          <t>23136</t>
        </is>
      </c>
      <c r="B23214" s="4" t="s">
        <f>=HYPERLINK("http://anyluxury.ru/shop/podarki-dlya-doma/polotentsa/polotence-mahrovoe-island-medium-krasnoe-459250/" , "4592.50 Полотенце махровое Island Medium, красное")</f>
      </c>
      <c r="C23214" s="4" t="n">
        <v>1000.00</v>
      </c>
      <c r="D23214" s="4"/>
    </row>
    <row collapsed="" customFormat="false" customHeight="1" hidden="" ht="14" outlineLevel="0" r="23215">
      <c r="A23215" s="3" t="inlineStr">
        <is>
          <t>23137</t>
        </is>
      </c>
      <c r="B23215" s="4" t="s">
        <f>=HYPERLINK("http://anyluxury.ru/shop/podarki-dlya-doma/polotentsa/polotence-mahrovoe-island-medium-temnozelenoe-459290/" , "4592.90 Полотенце махровое Island Medium, темно-зеленое")</f>
      </c>
      <c r="C23215" s="4" t="n">
        <v>1000.00</v>
      </c>
      <c r="D23215" s="4"/>
    </row>
    <row collapsed="" customFormat="false" customHeight="1" hidden="" ht="14" outlineLevel="0" r="23216">
      <c r="A23216" s="3" t="inlineStr">
        <is>
          <t>23138</t>
        </is>
      </c>
      <c r="B23216" s="4" t="s">
        <f>=HYPERLINK("http://anyluxury.ru/shop/podarki-dlya-doma/polotentsa/polotence-mahrovoe-island-medium-chernoe-459230/" , "4592.30 Полотенце махровое Island Medium, черное")</f>
      </c>
      <c r="C23216" s="4" t="n">
        <v>1000.00</v>
      </c>
      <c r="D23216" s="4"/>
    </row>
    <row collapsed="" customFormat="false" customHeight="1" hidden="" ht="14" outlineLevel="0" r="23217">
      <c r="A23217" s="3" t="inlineStr">
        <is>
          <t>23139</t>
        </is>
      </c>
      <c r="B23217" s="4" t="s">
        <f>=HYPERLINK("http://anyluxury.ru/shop/podarki-dlya-doma/polotentsa/polotence-mahrovoe-island-medium-temnoseroe-459211/" , "4592.11 Полотенце махровое Island Medium, темно-серое")</f>
      </c>
      <c r="C23217" s="4" t="n">
        <v>1000.00</v>
      </c>
      <c r="D23217" s="4"/>
    </row>
    <row collapsed="" customFormat="false" customHeight="1" hidden="" ht="14" outlineLevel="0" r="23218">
      <c r="A23218" s="3" t="inlineStr">
        <is>
          <t>23140</t>
        </is>
      </c>
      <c r="B23218" s="4" t="s">
        <f>=HYPERLINK("http://anyluxury.ru/shop/podarki-dlya-doma/polotentsa/polotence-mahrovoe-island-medium-oranzhevoe-459220/" , "4592.20 Полотенце махровое Island Medium, оранжевое")</f>
      </c>
      <c r="C23218" s="4" t="n">
        <v>1000.00</v>
      </c>
      <c r="D23218" s="4"/>
    </row>
    <row collapsed="" customFormat="false" customHeight="1" hidden="" ht="14" outlineLevel="0" r="23219">
      <c r="A23219" s="3" t="inlineStr">
        <is>
          <t>23141</t>
        </is>
      </c>
      <c r="B23219" s="4" t="s">
        <f>=HYPERLINK("http://anyluxury.ru/shop/podarki-dlya-doma/polotentsa/polotence-mahrovoe-island-large-beloe-459360/" , "4593.60 Полотенце махровое Island Large, белое")</f>
      </c>
      <c r="C23219" s="4" t="n">
        <v>1935.00</v>
      </c>
      <c r="D23219" s="4"/>
    </row>
    <row collapsed="" customFormat="false" customHeight="1" hidden="" ht="14" outlineLevel="0" r="23220">
      <c r="A23220" s="3" t="inlineStr">
        <is>
          <t>23142</t>
        </is>
      </c>
      <c r="B23220" s="4" t="s">
        <f>=HYPERLINK("http://anyluxury.ru/shop/podarki-dlya-doma/polotentsa/polotence-mahrovoe-island-large-krasnoe-459350/" , "4593.50 Полотенце махровое Island Large, красное")</f>
      </c>
      <c r="C23220" s="4" t="n">
        <v>1926.00</v>
      </c>
      <c r="D23220" s="4"/>
    </row>
    <row collapsed="" customFormat="false" customHeight="1" hidden="" ht="14" outlineLevel="0" r="23221">
      <c r="A23221" s="3" t="inlineStr">
        <is>
          <t>23143</t>
        </is>
      </c>
      <c r="B23221" s="4" t="s">
        <f>=HYPERLINK("http://anyluxury.ru/shop/podarki-dlya-doma/polotentsa/polotence-mahrovoe-island-large-limonnozheltoe-459380/" , "4593.80 Полотенце махровое Island Large, лимонно-желтое")</f>
      </c>
      <c r="C23221" s="4" t="n">
        <v>1926.00</v>
      </c>
      <c r="D23221" s="4"/>
    </row>
    <row collapsed="" customFormat="false" customHeight="1" hidden="" ht="14" outlineLevel="0" r="23222">
      <c r="A23222" s="3" t="inlineStr">
        <is>
          <t>23144</t>
        </is>
      </c>
      <c r="B23222" s="4" t="s">
        <f>=HYPERLINK("http://anyluxury.ru/shop/podarki-dlya-doma/polotentsa/polotence-mahrovoe-island-large-chernoe-459330/" , "4593.30 Полотенце махровое Island Large, черное")</f>
      </c>
      <c r="C23222" s="4" t="n">
        <v>1926.00</v>
      </c>
      <c r="D23222" s="4"/>
    </row>
    <row collapsed="" customFormat="false" customHeight="1" hidden="" ht="14" outlineLevel="0" r="23223">
      <c r="A23223" s="3" t="inlineStr">
        <is>
          <t>23145</t>
        </is>
      </c>
      <c r="B23223" s="4" t="s">
        <f>=HYPERLINK("http://anyluxury.ru/shop/podarki-dlya-doma/polotentsa/polotence-mahrovoe-island-large-temnosinee-459340/" , "4593.40 Полотенце махровое Island Large, темно-синее")</f>
      </c>
      <c r="C23223" s="4" t="n">
        <v>1926.00</v>
      </c>
      <c r="D23223" s="4"/>
    </row>
    <row collapsed="" customFormat="false" customHeight="1" hidden="" ht="14" outlineLevel="0" r="23224">
      <c r="A23224" s="3" t="inlineStr">
        <is>
          <t>23146</t>
        </is>
      </c>
      <c r="B23224" s="4" t="s">
        <f>=HYPERLINK("http://anyluxury.ru/shop/podarki-dlya-doma/polotentsa/polotence-mahrovoe-island-large-biryuzovoe-459342/" , "4593.42 Полотенце махровое Island Large, бирюзовое")</f>
      </c>
      <c r="C23224" s="4" t="n">
        <v>1926.00</v>
      </c>
      <c r="D23224" s="4"/>
    </row>
    <row collapsed="" customFormat="false" customHeight="1" hidden="" ht="14" outlineLevel="0" r="23225">
      <c r="A23225" s="3" t="inlineStr">
        <is>
          <t>23147</t>
        </is>
      </c>
      <c r="B23225" s="4" t="s">
        <f>=HYPERLINK("http://anyluxury.ru/shop/podarki-dlya-doma/polotentsa/polotence-mahrovoe-island-large-temnoseroe-459311/" , "4593.11 Полотенце махровое Island Large, темно-серое")</f>
      </c>
      <c r="C23225" s="4" t="n">
        <v>1926.00</v>
      </c>
      <c r="D23225" s="4"/>
    </row>
    <row collapsed="" customFormat="false" customHeight="1" hidden="" ht="14" outlineLevel="0" r="23226">
      <c r="A23226" s="3" t="inlineStr">
        <is>
          <t>23148</t>
        </is>
      </c>
      <c r="B23226" s="4" t="s">
        <f>=HYPERLINK("http://anyluxury.ru/shop/podarki-dlya-doma/polotentsa/polotence-mahrovoe-island-large-oranzhevoe-459320/" , "4593.20 Полотенце махровое Island Large, оранжевое")</f>
      </c>
      <c r="C23226" s="4" t="n">
        <v>1926.00</v>
      </c>
      <c r="D23226" s="4"/>
    </row>
    <row collapsed="" customFormat="false" customHeight="1" hidden="" ht="14" outlineLevel="0" r="23227">
      <c r="A23227" s="3" t="inlineStr">
        <is>
          <t>23149</t>
        </is>
      </c>
      <c r="B23227" s="4" t="s">
        <f>=HYPERLINK("http://anyluxury.ru/shop/podarki-dlya-doma/polotentsa/ohlazhdayushhee-polotence-weddell-goluboe-596542/" , "5965.42 Охлаждающее полотенце Weddell, голубое")</f>
      </c>
      <c r="C23227" s="4" t="n">
        <v>707.00</v>
      </c>
      <c r="D23227" s="4"/>
    </row>
    <row collapsed="" customFormat="false" customHeight="1" hidden="" ht="14" outlineLevel="0" r="23228">
      <c r="A23228" s="3" t="inlineStr">
        <is>
          <t>23150</t>
        </is>
      </c>
      <c r="B23228" s="4" t="s">
        <f>=HYPERLINK("http://anyluxury.ru/shop/podarki-dlya-doma/polotentsa/ohlazhdayushhee-polotence-weddell-zelenoe-596592/" , "5965.92 Охлаждающее полотенце Weddell, зеленое")</f>
      </c>
      <c r="C23228" s="4" t="n">
        <v>707.00</v>
      </c>
      <c r="D23228" s="4"/>
    </row>
    <row collapsed="" customFormat="false" customHeight="1" hidden="" ht="14" outlineLevel="0" r="23229">
      <c r="A23229" s="3" t="inlineStr">
        <is>
          <t>23151</t>
        </is>
      </c>
      <c r="B23229" s="4" t="s">
        <f>=HYPERLINK("http://anyluxury.ru/shop/podarki-dlya-doma/polotentsa/ohlazhdayushhee-polotence-weddell-seroe-596512/" , "5965.12 Охлаждающее полотенце Weddell, серое")</f>
      </c>
      <c r="C23229" s="4" t="n">
        <v>707.00</v>
      </c>
      <c r="D23229" s="4"/>
    </row>
    <row collapsed="" customFormat="false" customHeight="1" hidden="" ht="14" outlineLevel="0" r="23230">
      <c r="A23230" s="3" t="inlineStr">
        <is>
          <t>23152</t>
        </is>
      </c>
      <c r="B23230" s="4" t="s">
        <f>=HYPERLINK("http://anyluxury.ru/shop/podarki-dlya-doma/polotentsa/polotence-loft-maloe-sinee-708340/" , "7083.40 Полотенце Loft, малое, синее")</f>
      </c>
      <c r="C23230" s="4" t="n">
        <v>710.00</v>
      </c>
      <c r="D23230" s="4"/>
    </row>
    <row collapsed="" customFormat="false" customHeight="1" hidden="" ht="14" outlineLevel="0" r="23231">
      <c r="A23231" s="3" t="inlineStr">
        <is>
          <t>23153</t>
        </is>
      </c>
      <c r="B23231" s="4" t="s">
        <f>=HYPERLINK("http://anyluxury.ru/shop/podarki-dlya-doma/polotentsa/polotence-vafelnoe-piquee-bolshoe-beloe-708760/" , "7087.60 Полотенце вафельное Piquee, большое, белое")</f>
      </c>
      <c r="C23231" s="4" t="n">
        <v>1920.00</v>
      </c>
      <c r="D23231" s="4"/>
    </row>
    <row collapsed="" customFormat="false" customHeight="1" hidden="" ht="14" outlineLevel="0" r="23232">
      <c r="A23232" s="3" t="inlineStr">
        <is>
          <t>23154</t>
        </is>
      </c>
      <c r="B23232" s="4" t="s">
        <f>=HYPERLINK("http://anyluxury.ru/shop/podarki-dlya-doma/polotentsa/nabor-kuhonnih-polotenec-keep-palms-bezheviy-1117211/" , "11172.11 Набор кухонных полотенец Keep Palms, бежевый")</f>
      </c>
      <c r="C23232" s="4" t="n">
        <v>490.00</v>
      </c>
      <c r="D23232" s="4"/>
    </row>
    <row collapsed="" customFormat="false" customHeight="1" hidden="" ht="14" outlineLevel="0" r="23233">
      <c r="A23233" s="3" t="inlineStr">
        <is>
          <t>23155</t>
        </is>
      </c>
      <c r="B23233" s="4" t="s">
        <f>=HYPERLINK("http://anyluxury.ru/shop/podarki-dlya-doma/polotentsa/nabor-kuhonnih-polotenec-keep-palms-serogoluboy-1117210/" , "11172.10 Набор кухонных полотенец Keep Palms, серо-голубой")</f>
      </c>
      <c r="C23233" s="4" t="n">
        <v>490.00</v>
      </c>
      <c r="D23233" s="4"/>
    </row>
    <row collapsed="" customFormat="false" customHeight="1" hidden="" ht="14" outlineLevel="0" r="23234">
      <c r="A23234" s="3" t="inlineStr">
        <is>
          <t>23156</t>
        </is>
      </c>
      <c r="B23234" s="4" t="s">
        <f>=HYPERLINK("http://anyluxury.ru/shop/podarki-dlya-doma/polotentsa/nabor-kuhonnih-polotenec-keep-palms-gorchichniy-1117280/" , "11172.80 Набор кухонных полотенец Keep Palms, горчичный")</f>
      </c>
      <c r="C23234" s="4" t="n">
        <v>490.00</v>
      </c>
      <c r="D23234" s="4"/>
    </row>
    <row collapsed="" customFormat="false" customHeight="1" hidden="" ht="14" outlineLevel="0" r="23235">
      <c r="A23235" s="3" t="inlineStr">
        <is>
          <t>23157</t>
        </is>
      </c>
      <c r="B23235" s="4" t="s">
        <f>=HYPERLINK("http://anyluxury.ru/shop/podarki-dlya-doma/polotentsa/nabor-kuhonnih-polotenec-good-wipe-beliy-s-serim-1117661/" , "11176.61 Набор кухонных полотенец Good Wipe, белый с серо-голубым")</f>
      </c>
      <c r="C23235" s="4" t="n">
        <v>450.00</v>
      </c>
      <c r="D23235" s="4"/>
    </row>
    <row collapsed="" customFormat="false" customHeight="1" hidden="" ht="14" outlineLevel="0" r="23236">
      <c r="A23236" s="3" t="inlineStr">
        <is>
          <t>23158</t>
        </is>
      </c>
      <c r="B23236" s="4" t="s">
        <f>=HYPERLINK("http://anyluxury.ru/shop/podarki-dlya-doma/polotentsa/nabor-kuhonnih-polotenec-good-wipe-beliy-s-zheltim-1117668/" , "11176.68 Набор кухонных полотенец Good Wipe, белый с желтым")</f>
      </c>
      <c r="C23236" s="4" t="n">
        <v>450.00</v>
      </c>
      <c r="D23236" s="4"/>
    </row>
    <row collapsed="" customFormat="false" customHeight="1" hidden="" ht="14" outlineLevel="0" r="23237">
      <c r="A23237" s="3" t="inlineStr">
        <is>
          <t>23159</t>
        </is>
      </c>
      <c r="B23237" s="4" t="s">
        <f>=HYPERLINK("http://anyluxury.ru/shop/podarki-dlya-doma/polotentsa/nabor-kuhonnih-polotenec-good-wipe-beliy-s-zelenim-1117669/" , "11176.69 Набор кухонных полотенец Good Wipe, белый с зеленым")</f>
      </c>
      <c r="C23237" s="4" t="n">
        <v>450.00</v>
      </c>
      <c r="D23237" s="4"/>
    </row>
    <row collapsed="" customFormat="false" customHeight="1" hidden="" ht="14" outlineLevel="0" r="23238">
      <c r="A23238" s="3" t="inlineStr">
        <is>
          <t>23160</t>
        </is>
      </c>
      <c r="B23238" s="4" t="s">
        <f>=HYPERLINK("http://anyluxury.ru/shop/podarki-dlya-doma/polotentsa/polotence-essential-s-bahromoy-bezhevoe-1059211/" , "10592.11 Полотенце Essential с бахромой, бежевое")</f>
      </c>
      <c r="C23238" s="4" t="n">
        <v>1900.00</v>
      </c>
      <c r="D23238" s="4"/>
    </row>
    <row collapsed="" customFormat="false" customHeight="1" hidden="" ht="14" outlineLevel="0" r="23239">
      <c r="A23239" s="3" t="inlineStr">
        <is>
          <t>23161</t>
        </is>
      </c>
      <c r="B23239" s="4" t="s">
        <f>=HYPERLINK("http://anyluxury.ru/shop/podarki-dlya-doma/polotentsa/polotence-essential-s-bahromoy-olivkovozelenoe-1059290/" , "10592.90 Полотенце Essential с бахромой, оливково-зеленое")</f>
      </c>
      <c r="C23239" s="4" t="n">
        <v>1900.00</v>
      </c>
      <c r="D23239" s="4"/>
    </row>
    <row collapsed="" customFormat="false" customHeight="1" hidden="" ht="14" outlineLevel="0" r="23240">
      <c r="A23240" s="3" t="inlineStr">
        <is>
          <t>23162</t>
        </is>
      </c>
      <c r="B23240" s="4" t="s">
        <f>=HYPERLINK("http://anyluxury.ru/shop/podarki-dlya-doma/polotentsa/polotence-essential-s-bahromoy-seroe-1059210/" , "10592.10 Полотенце Essential с бахромой, серое")</f>
      </c>
      <c r="C23240" s="4" t="n">
        <v>1900.00</v>
      </c>
      <c r="D23240" s="4"/>
    </row>
    <row collapsed="" customFormat="false" customHeight="1" hidden="" ht="14" outlineLevel="0" r="23241">
      <c r="A23241" s="3" t="inlineStr">
        <is>
          <t>23163</t>
        </is>
      </c>
      <c r="B23241" s="4" t="s">
        <f>=HYPERLINK("http://anyluxury.ru/shop/podarki-dlya-doma/polotentsa/polotence-gravity-gorchichnoe-1059880/" , "10598.80 Полотенце Gravity, горчичное")</f>
      </c>
      <c r="C23241" s="4" t="n">
        <v>2500.00</v>
      </c>
      <c r="D23241" s="4"/>
    </row>
    <row collapsed="" customFormat="false" customHeight="1" hidden="" ht="14" outlineLevel="0" r="23242">
      <c r="A23242" s="3" t="inlineStr">
        <is>
          <t>23164</t>
        </is>
      </c>
      <c r="B23242" s="4" t="s">
        <f>=HYPERLINK("http://anyluxury.ru/shop/podarki-dlya-doma/polotentsa/kuhonnoe-polotence-twist-bordovoe-1063355/" , "10633.55 Кухонное полотенце Twist, бордовое")</f>
      </c>
      <c r="C23242" s="4" t="n">
        <v>490.00</v>
      </c>
      <c r="D23242" s="4"/>
    </row>
    <row collapsed="" customFormat="false" customHeight="1" hidden="" ht="14" outlineLevel="0" r="23243">
      <c r="A23243" s="3" t="inlineStr">
        <is>
          <t>23165</t>
        </is>
      </c>
      <c r="B23243" s="4" t="s">
        <f>=HYPERLINK("http://anyluxury.ru/shop/podarki-dlya-doma/polotentsa/nabor-kuhonnih-polotenec-russian-north-s-printom-kolosya-1063420/" , "10634.20 Набор кухонных полотенец Russian North, с принтом «Колосья»")</f>
      </c>
      <c r="C23243" s="4" t="n">
        <v>990.00</v>
      </c>
      <c r="D23243" s="4"/>
    </row>
    <row collapsed="" customFormat="false" customHeight="1" hidden="" ht="14" outlineLevel="0" r="23244">
      <c r="A23244" s="3" t="inlineStr">
        <is>
          <t>23166</t>
        </is>
      </c>
      <c r="B23244" s="4" t="s">
        <f>=HYPERLINK("http://anyluxury.ru/shop/podarki-dlya-doma/polotentsa/nabor-kuhonnih-polotenec-russian-north-s-printom-paporotnik-1063490/" , "10634.90 Набор кухонных полотенец Russian North, с принтом «Папоротник»")</f>
      </c>
      <c r="C23244" s="4" t="n">
        <v>990.00</v>
      </c>
      <c r="D23244" s="4"/>
    </row>
    <row collapsed="" customFormat="false" customHeight="1" hidden="" ht="14" outlineLevel="0" r="23245">
      <c r="A23245" s="3" t="inlineStr">
        <is>
          <t>23167</t>
        </is>
      </c>
      <c r="B23245" s="4" t="s">
        <f>=HYPERLINK("http://anyluxury.ru/shop/podarki-dlya-doma/polotentsa/polotence-waves-bezhevoe-1064211/" , "10642.11 Полотенце Waves, бежевое")</f>
      </c>
      <c r="C23245" s="4" t="n">
        <v>2100.00</v>
      </c>
      <c r="D23245" s="4"/>
    </row>
    <row collapsed="" customFormat="false" customHeight="1" hidden="" ht="14" outlineLevel="0" r="23246">
      <c r="A23246" s="3" t="inlineStr">
        <is>
          <t>23168</t>
        </is>
      </c>
      <c r="B23246" s="4" t="s">
        <f>=HYPERLINK("http://anyluxury.ru/shop/podarki-dlya-doma/polotentsa/polotence-waves-seroe-1064210/" , "10642.10 Полотенце Waves, серое")</f>
      </c>
      <c r="C23246" s="4" t="n">
        <v>2100.00</v>
      </c>
      <c r="D23246" s="4"/>
    </row>
    <row collapsed="" customFormat="false" customHeight="1" hidden="" ht="14" outlineLevel="0" r="23247">
      <c r="A23247" s="3" t="inlineStr">
        <is>
          <t>23169</t>
        </is>
      </c>
      <c r="B23247" s="4" t="s">
        <f>=HYPERLINK("http://anyluxury.ru/shop/podarki-dlya-doma/polotentsa/polotence-waves-rozovoe-1064215/" , "10642.15 Полотенце Waves, розовое")</f>
      </c>
      <c r="C23247" s="4" t="n">
        <v>2100.00</v>
      </c>
      <c r="D23247" s="4"/>
    </row>
    <row collapsed="" customFormat="false" customHeight="1" hidden="" ht="14" outlineLevel="0" r="23248">
      <c r="A23248" s="3" t="inlineStr">
        <is>
          <t>23170</t>
        </is>
      </c>
      <c r="B23248" s="4" t="s">
        <f>=HYPERLINK("http://anyluxury.ru/shop/podarki-dlya-doma/polotentsa/polotence-essential-bolshoe-beloe-1064360/" , "10643.60 Полотенце Essential, большое, белое")</f>
      </c>
      <c r="C23248" s="4" t="n">
        <v>2900.00</v>
      </c>
      <c r="D23248" s="4"/>
    </row>
    <row collapsed="" customFormat="false" customHeight="1" hidden="" ht="14" outlineLevel="0" r="23249">
      <c r="A23249" s="3" t="inlineStr">
        <is>
          <t>23171</t>
        </is>
      </c>
      <c r="B23249" s="4" t="s">
        <f>=HYPERLINK("http://anyluxury.ru/shop/podarki-dlya-doma/polotentsa/polotence-essential-bolshoe-bordovoe-1064350/" , "10643.50 Полотенце Essential, большое, бордовое")</f>
      </c>
      <c r="C23249" s="4" t="n">
        <v>2900.00</v>
      </c>
      <c r="D23249" s="4"/>
    </row>
    <row collapsed="" customFormat="false" customHeight="1" hidden="" ht="14" outlineLevel="0" r="23250">
      <c r="A23250" s="3" t="inlineStr">
        <is>
          <t>23172</t>
        </is>
      </c>
      <c r="B23250" s="4" t="s">
        <f>=HYPERLINK("http://anyluxury.ru/shop/podarki-dlya-doma/polotentsa/polotence-essential-bolshoe-temnoseroe-1064310/" , "10643.10 Полотенце Essential, большое, темно-серое")</f>
      </c>
      <c r="C23250" s="4" t="n">
        <v>2900.00</v>
      </c>
      <c r="D23250" s="4"/>
    </row>
    <row collapsed="" customFormat="false" customHeight="1" hidden="" ht="14" outlineLevel="0" r="23251">
      <c r="A23251" s="3" t="inlineStr">
        <is>
          <t>23173</t>
        </is>
      </c>
      <c r="B23251" s="4" t="s">
        <f>=HYPERLINK("http://anyluxury.ru/shop/podarki-dlya-doma/polotentsa/polotence-essential-bolshoe-gorchichnoe-1064380/" , "10643.80 Полотенце Essential, большое, горчичное")</f>
      </c>
      <c r="C23251" s="4" t="n">
        <v>2900.00</v>
      </c>
      <c r="D23251" s="4"/>
    </row>
    <row collapsed="" customFormat="false" customHeight="1" hidden="" ht="14" outlineLevel="0" r="23252">
      <c r="A23252" s="3" t="inlineStr">
        <is>
          <t>23174</t>
        </is>
      </c>
      <c r="B23252" s="4" t="s">
        <f>=HYPERLINK("http://anyluxury.ru/shop/podarki-dlya-doma/polotentsa/polotence-essential-srednee-beloe-1064460/" , "10644.60 Полотенце Essential, среднее, белое")</f>
      </c>
      <c r="C23252" s="4" t="n">
        <v>1990.00</v>
      </c>
      <c r="D23252" s="4"/>
    </row>
    <row collapsed="" customFormat="false" customHeight="1" hidden="" ht="14" outlineLevel="0" r="23253">
      <c r="A23253" s="3" t="inlineStr">
        <is>
          <t>23175</t>
        </is>
      </c>
      <c r="B23253" s="4" t="s">
        <f>=HYPERLINK("http://anyluxury.ru/shop/podarki-dlya-doma/polotentsa/polotence-essential-srednee-bordovoe-1064450/" , "10644.50 Полотенце Essential, среднее, бордовое")</f>
      </c>
      <c r="C23253" s="4" t="n">
        <v>1990.00</v>
      </c>
      <c r="D23253" s="4"/>
    </row>
    <row collapsed="" customFormat="false" customHeight="1" hidden="" ht="14" outlineLevel="0" r="23254">
      <c r="A23254" s="3" t="inlineStr">
        <is>
          <t>23176</t>
        </is>
      </c>
      <c r="B23254" s="4" t="s">
        <f>=HYPERLINK("http://anyluxury.ru/shop/podarki-dlya-doma/polotentsa/polotence-essential-srednee-temnoseroe-1064410/" , "10644.10 Полотенце Essential, среднее, темно-серое")</f>
      </c>
      <c r="C23254" s="4" t="n">
        <v>1990.00</v>
      </c>
      <c r="D23254" s="4"/>
    </row>
    <row collapsed="" customFormat="false" customHeight="1" hidden="" ht="14" outlineLevel="0" r="23255">
      <c r="A23255" s="3" t="inlineStr">
        <is>
          <t>23177</t>
        </is>
      </c>
      <c r="B23255" s="4" t="s">
        <f>=HYPERLINK("http://anyluxury.ru/shop/podarki-dlya-doma/polotentsa/polotence-essential-srednee-temnosinee-1064440/" , "10644.40 Полотенце Essential, среднее, темно-синее")</f>
      </c>
      <c r="C23255" s="4" t="n">
        <v>1990.00</v>
      </c>
      <c r="D23255" s="4"/>
    </row>
    <row collapsed="" customFormat="false" customHeight="1" hidden="" ht="14" outlineLevel="0" r="23256">
      <c r="A23256" s="3" t="inlineStr">
        <is>
          <t>23178</t>
        </is>
      </c>
      <c r="B23256" s="4" t="s">
        <f>=HYPERLINK("http://anyluxury.ru/shop/podarki-dlya-doma/polotentsa/polotence-essential-maloe-beloe-1064560/" , "10645.60 Полотенце Essential, малое, белое")</f>
      </c>
      <c r="C23256" s="4" t="n">
        <v>390.00</v>
      </c>
      <c r="D23256" s="4"/>
    </row>
    <row collapsed="" customFormat="false" customHeight="1" hidden="" ht="14" outlineLevel="0" r="23257">
      <c r="A23257" s="3" t="inlineStr">
        <is>
          <t>23179</t>
        </is>
      </c>
      <c r="B23257" s="4" t="s">
        <f>=HYPERLINK("http://anyluxury.ru/shop/podarki-dlya-doma/polotentsa/polotence-essential-maloe-bordovoe-1064550/" , "10645.50 Полотенце Essential, малое, бордовое")</f>
      </c>
      <c r="C23257" s="4" t="n">
        <v>390.00</v>
      </c>
      <c r="D23257" s="4"/>
    </row>
    <row collapsed="" customFormat="false" customHeight="1" hidden="" ht="14" outlineLevel="0" r="23258">
      <c r="A23258" s="3" t="inlineStr">
        <is>
          <t>23180</t>
        </is>
      </c>
      <c r="B23258" s="4" t="s">
        <f>=HYPERLINK("http://anyluxury.ru/shop/podarki-dlya-doma/polotentsa/polotence-essential-maloe-gorchichnoe-1064580/" , "10645.80 Полотенце Essential, малое, горчичное")</f>
      </c>
      <c r="C23258" s="4" t="n">
        <v>390.00</v>
      </c>
      <c r="D23258" s="4"/>
    </row>
    <row collapsed="" customFormat="false" customHeight="1" hidden="" ht="14" outlineLevel="0" r="23259">
      <c r="A23259" s="3" t="inlineStr">
        <is>
          <t>23181</t>
        </is>
      </c>
      <c r="B23259" s="4" t="s">
        <f>=HYPERLINK("http://anyluxury.ru/shop/podarki-dlya-doma/polotentsa/polotence-essential-maloe-temnoseroe-1064510/" , "10645.10 Полотенце Essential, малое, темно-серое")</f>
      </c>
      <c r="C23259" s="4" t="n">
        <v>390.00</v>
      </c>
      <c r="D23259" s="4"/>
    </row>
    <row collapsed="" customFormat="false" customHeight="1" hidden="" ht="14" outlineLevel="0" r="23260">
      <c r="A23260" s="3" t="inlineStr">
        <is>
          <t>23182</t>
        </is>
      </c>
      <c r="B23260" s="4" t="s">
        <f>=HYPERLINK("http://anyluxury.ru/shop/podarki-dlya-doma/polotentsa/polotence-essential-maloe-temnosinee-1064540/" , "10645.40 Полотенце Essential, малое, темно-синее")</f>
      </c>
      <c r="C23260" s="4" t="n">
        <v>390.00</v>
      </c>
      <c r="D23260" s="4"/>
    </row>
    <row collapsed="" customFormat="false" customHeight="1" hidden="" ht="14" outlineLevel="0" r="23261">
      <c r="A23261" s="3" t="inlineStr">
        <is>
          <t>23183</t>
        </is>
      </c>
      <c r="B23261" s="4" t="s">
        <f>=HYPERLINK("http://anyluxury.ru/shop/podarki-dlya-doma/polotentsa/polotence-dlya-ruk-essential-beloe-1064660/" , "10646.60 Полотенце для рук Essential, белое")</f>
      </c>
      <c r="C23261" s="4" t="n">
        <v>950.00</v>
      </c>
      <c r="D23261" s="4"/>
    </row>
    <row collapsed="" customFormat="false" customHeight="1" hidden="" ht="14" outlineLevel="0" r="23262">
      <c r="A23262" s="3" t="inlineStr">
        <is>
          <t>23184</t>
        </is>
      </c>
      <c r="B23262" s="4" t="s">
        <f>=HYPERLINK("http://anyluxury.ru/shop/podarki-dlya-doma/polotentsa/polotence-dlya-ruk-essential-bordovoe-1064650/" , "10646.50 Полотенце для рук Essential, бордовое")</f>
      </c>
      <c r="C23262" s="4" t="n">
        <v>950.00</v>
      </c>
      <c r="D23262" s="4"/>
    </row>
    <row collapsed="" customFormat="false" customHeight="1" hidden="" ht="14" outlineLevel="0" r="23263">
      <c r="A23263" s="3" t="inlineStr">
        <is>
          <t>23185</t>
        </is>
      </c>
      <c r="B23263" s="4" t="s">
        <f>=HYPERLINK("http://anyluxury.ru/shop/podarki-dlya-doma/polotentsa/polotence-dlya-ruk-essential-gorchichnoe-1064680/" , "10646.80 Полотенце для рук Essential, горчичное")</f>
      </c>
      <c r="C23263" s="4" t="n">
        <v>950.00</v>
      </c>
      <c r="D23263" s="4"/>
    </row>
    <row collapsed="" customFormat="false" customHeight="1" hidden="" ht="14" outlineLevel="0" r="23264">
      <c r="A23264" s="3" t="inlineStr">
        <is>
          <t>23186</t>
        </is>
      </c>
      <c r="B23264" s="4" t="s">
        <f>=HYPERLINK("http://anyluxury.ru/shop/podarki-dlya-doma/polotentsa/polotence-dlya-ruk-essential-temnoseroe-1064610/" , "10646.10 Полотенце для рук Essential, темно-серое")</f>
      </c>
      <c r="C23264" s="4" t="n">
        <v>950.00</v>
      </c>
      <c r="D23264" s="4"/>
    </row>
    <row collapsed="" customFormat="false" customHeight="1" hidden="" ht="14" outlineLevel="0" r="23265">
      <c r="A23265" s="3" t="inlineStr">
        <is>
          <t>23187</t>
        </is>
      </c>
      <c r="B23265" s="4" t="s">
        <f>=HYPERLINK("http://anyluxury.ru/shop/podarki-dlya-doma/polotentsa/polotence-dlya-ruk-essential-temnosinee-1064640/" , "10646.40 Полотенце для рук Essential, темно-синее")</f>
      </c>
      <c r="C23265" s="4" t="n">
        <v>950.00</v>
      </c>
      <c r="D23265" s="4"/>
    </row>
    <row collapsed="" customFormat="false" customHeight="1" hidden="" ht="14" outlineLevel="0" r="23266">
      <c r="A23266" s="3" t="inlineStr">
        <is>
          <t>23188</t>
        </is>
      </c>
      <c r="B23266" s="4" t="s">
        <f>=HYPERLINK("http://anyluxury.ru/shop/podarki-dlya-doma/polotentsa/polotence-dlya-ruk-essential-s-bahromoy-bordovoe-1064750/" , "10647.50 Полотенце для рук Essential с бахромой, бордовое")</f>
      </c>
      <c r="C23266" s="4" t="n">
        <v>900.00</v>
      </c>
      <c r="D23266" s="4"/>
    </row>
    <row collapsed="" customFormat="false" customHeight="1" hidden="" ht="14" outlineLevel="0" r="23267">
      <c r="A23267" s="3" t="inlineStr">
        <is>
          <t>23189</t>
        </is>
      </c>
      <c r="B23267" s="4" t="s">
        <f>=HYPERLINK("http://anyluxury.ru/shop/podarki-dlya-doma/polotentsa/polotence-dlya-ruk-essential-s-bahromoy-seroe-1064710/" , "10647.10 Полотенце для рук Essential с бахромой, серое")</f>
      </c>
      <c r="C23267" s="4" t="n">
        <v>900.00</v>
      </c>
      <c r="D23267" s="4"/>
    </row>
    <row collapsed="" customFormat="false" customHeight="1" hidden="" ht="14" outlineLevel="0" r="23268">
      <c r="A23268" s="3" t="inlineStr">
        <is>
          <t>23190</t>
        </is>
      </c>
      <c r="B23268" s="4" t="s">
        <f>=HYPERLINK("http://anyluxury.ru/shop/podarki-dlya-doma/polotentsa/polotence-dlya-ruk-essential-s-bahromoy-bezhevoe-1064711/" , "10647.11 Полотенце для рук Essential с бахромой, бежевое")</f>
      </c>
      <c r="C23268" s="4" t="n">
        <v>900.00</v>
      </c>
      <c r="D23268" s="4"/>
    </row>
    <row collapsed="" customFormat="false" customHeight="1" hidden="" ht="14" outlineLevel="0" r="23269">
      <c r="A23269" s="3" t="inlineStr">
        <is>
          <t>23191</t>
        </is>
      </c>
      <c r="B23269" s="4" t="s">
        <f>=HYPERLINK("http://anyluxury.ru/shop/podarki-dlya-doma/polotentsa/polotence-soft-me-light-srednee-krasnoe-1511255/" , "15112.55 Полотенце Soft Me Light, среднее, красное")</f>
      </c>
      <c r="C23269" s="4" t="n">
        <v>490.00</v>
      </c>
      <c r="D23269" s="4"/>
    </row>
    <row collapsed="" customFormat="false" customHeight="1" hidden="" ht="14" outlineLevel="0" r="23270">
      <c r="A23270" s="3" t="inlineStr">
        <is>
          <t>23192</t>
        </is>
      </c>
      <c r="B23270" s="4" t="s">
        <f>=HYPERLINK("http://anyluxury.ru/shop/podarki-dlya-doma/polotentsa/polotence-soft-me-light-bolshoe-krasnoe-1510455/" , "15104.55 Полотенце Soft Me Light, большое, красное")</f>
      </c>
      <c r="C23270" s="4" t="n">
        <v>850.00</v>
      </c>
      <c r="D23270" s="4"/>
    </row>
    <row collapsed="" customFormat="false" customHeight="1" hidden="" ht="14" outlineLevel="0" r="23271">
      <c r="A23271" s="3" t="inlineStr">
        <is>
          <t>23193</t>
        </is>
      </c>
      <c r="B23271" s="4" t="s">
        <f>=HYPERLINK("http://anyluxury.ru/shop/podarki-dlya-doma/polotentsa/polotence-soft-me-light-bolshoe-zelenoe-yabloko-1510494/" , "15104.94 Полотенце Soft Me Light, большое, зеленое яблоко")</f>
      </c>
      <c r="C23271" s="4" t="n">
        <v>750.00</v>
      </c>
      <c r="D23271" s="4"/>
    </row>
    <row collapsed="" customFormat="false" customHeight="1" hidden="" ht="14" outlineLevel="0" r="23272">
      <c r="A23272" s="3" t="inlineStr">
        <is>
          <t>23194</t>
        </is>
      </c>
      <c r="B23272" s="4" t="s">
        <f>=HYPERLINK("http://anyluxury.ru/shop/podarki-dlya-doma/polotentsa/polotence-soft-me-light-bolshoe-sinee-1510440/" , "15104.40 Полотенце Soft Me Light, большое, синее")</f>
      </c>
      <c r="C23272" s="4" t="n">
        <v>850.00</v>
      </c>
      <c r="D23272" s="4"/>
    </row>
    <row collapsed="" customFormat="false" customHeight="1" hidden="" ht="14" outlineLevel="0" r="23273">
      <c r="A23273" s="3" t="inlineStr">
        <is>
          <t>23195</t>
        </is>
      </c>
      <c r="B23273" s="4" t="s">
        <f>=HYPERLINK("http://anyluxury.ru/shop/podarki-dlya-doma/polotentsa/polotence-soft-me-light-maloe-beloe-1511660/" , "15116.60 Полотенце Soft Me Light, малое, белое")</f>
      </c>
      <c r="C23273" s="4" t="n">
        <v>240.00</v>
      </c>
      <c r="D23273" s="4"/>
    </row>
    <row collapsed="" customFormat="false" customHeight="1" hidden="" ht="14" outlineLevel="0" r="23274">
      <c r="A23274" s="3" t="inlineStr">
        <is>
          <t>23196</t>
        </is>
      </c>
      <c r="B23274" s="4" t="s">
        <f>=HYPERLINK("http://anyluxury.ru/shop/podarki-dlya-doma/polotentsa/polotence-soft-me-light-srednee-beloe-1511260/" , "15112.60 Полотенце Soft Me Light, среднее, белое")</f>
      </c>
      <c r="C23274" s="4" t="n">
        <v>490.00</v>
      </c>
      <c r="D23274" s="4"/>
    </row>
    <row collapsed="" customFormat="false" customHeight="1" hidden="" ht="14" outlineLevel="0" r="23275">
      <c r="A23275" s="3" t="inlineStr">
        <is>
          <t>23197</t>
        </is>
      </c>
      <c r="B23275" s="4" t="s">
        <f>=HYPERLINK("http://anyluxury.ru/shop/podarki-dlya-doma/polotentsa/polotence-soft-me-light-bolshoe-beloe-1510460/" , "15104.60 Полотенце Soft Me Light, большое, белое")</f>
      </c>
      <c r="C23275" s="4" t="n">
        <v>850.00</v>
      </c>
      <c r="D23275" s="4"/>
    </row>
    <row collapsed="" customFormat="false" customHeight="1" hidden="" ht="14" outlineLevel="0" r="23276">
      <c r="A23276" s="3" t="inlineStr">
        <is>
          <t>23198</t>
        </is>
      </c>
      <c r="B23276" s="4" t="s">
        <f>=HYPERLINK("http://anyluxury.ru/shop/podarki-dlya-doma/polotentsa/polotence-otelnoe-for-rooms-srednee-chernoe-1045530/" , "10455.30 Полотенце отельное For Rooms, среднее, черное")</f>
      </c>
      <c r="C23276" s="4" t="n">
        <v>590.00</v>
      </c>
      <c r="D23276" s="4"/>
    </row>
    <row collapsed="" customFormat="false" customHeight="1" hidden="" ht="14" outlineLevel="0" r="23277">
      <c r="A23277" s="3" t="inlineStr">
        <is>
          <t>23199</t>
        </is>
      </c>
      <c r="B23277" s="4" t="s">
        <f>=HYPERLINK("http://anyluxury.ru/shop/podarki-dlya-doma/polotentsa/polotence-otelnoe-for-rooms-srednee-beloe-1045560/" , "10455.60 Полотенце отельное For Rooms, среднее, белое")</f>
      </c>
      <c r="C23277" s="4" t="n">
        <v>590.00</v>
      </c>
      <c r="D23277" s="4"/>
    </row>
    <row collapsed="" customFormat="false" customHeight="1" hidden="" ht="14" outlineLevel="0" r="23278">
      <c r="A23278" s="3" t="inlineStr">
        <is>
          <t>23200</t>
        </is>
      </c>
      <c r="B23278" s="4" t="s">
        <f>=HYPERLINK("http://anyluxury.ru/shop/podarki-dlya-doma/polotentsa/nabor-polotenec-fine-line-krasniy-1078850/" , "10788.50 Набор полотенец Fine Line, красный")</f>
      </c>
      <c r="C23278" s="4" t="n">
        <v>561.00</v>
      </c>
      <c r="D23278" s="4"/>
    </row>
    <row collapsed="" customFormat="false" customHeight="1" hidden="" ht="14" outlineLevel="0" r="23279">
      <c r="A23279" s="3" t="inlineStr">
        <is>
          <t>23201</t>
        </is>
      </c>
      <c r="B23279" s="4" t="s">
        <f>=HYPERLINK("http://anyluxury.ru/shop/podarki-dlya-doma/polotentsa/nabor-polotenec-fine-line-siniy-1078840/" , "10788.40 Набор полотенец Fine Line, синий")</f>
      </c>
      <c r="C23279" s="4" t="n">
        <v>561.00</v>
      </c>
      <c r="D23279" s="4"/>
    </row>
    <row collapsed="" customFormat="false" customHeight="1" hidden="" ht="14" outlineLevel="0" r="23280">
      <c r="A23280" s="3" t="inlineStr">
        <is>
          <t>23202</t>
        </is>
      </c>
      <c r="B23280" s="4" t="s">
        <f>=HYPERLINK("http://anyluxury.ru/shop/podarki-dlya-doma/polotentsa/nabor-polotenec-fine-line-seriy-1078810/" , "10788.10 Набор полотенец Fine Line, серый")</f>
      </c>
      <c r="C23280" s="4" t="n">
        <v>561.00</v>
      </c>
      <c r="D23280" s="4"/>
    </row>
    <row collapsed="" customFormat="false" customHeight="1" hidden="" ht="14" outlineLevel="0" r="23281">
      <c r="A23281" s="3" t="inlineStr">
        <is>
          <t>23203</t>
        </is>
      </c>
      <c r="B23281" s="4" t="s">
        <f>=HYPERLINK("http://anyluxury.ru/shop/podarki-dlya-doma/polotentsa/nabor-polotenec-fine-line-zheltiy-1078880/" , "10788.80 Набор полотенец Fine Line, желтый")</f>
      </c>
      <c r="C23281" s="4" t="n">
        <v>561.00</v>
      </c>
      <c r="D23281" s="4"/>
    </row>
    <row collapsed="" customFormat="false" customHeight="1" hidden="" ht="14" outlineLevel="0" r="23282">
      <c r="A23282" s="3" t="inlineStr">
        <is>
          <t>23204</t>
        </is>
      </c>
      <c r="B23282" s="4" t="s">
        <f>=HYPERLINK("http://anyluxury.ru/shop/podarki-dlya-doma/polotentsa/nabor-polotenec-fine-line-zeleniy-1078890/" , "10788.90 Набор полотенец Fine Line, зеленый")</f>
      </c>
      <c r="C23282" s="4" t="n">
        <v>561.00</v>
      </c>
      <c r="D23282" s="4"/>
    </row>
    <row collapsed="" customFormat="false" customHeight="1" hidden="" ht="14" outlineLevel="0" r="23283">
      <c r="A23283" s="3" t="inlineStr">
        <is>
          <t>23205</t>
        </is>
      </c>
      <c r="B23283" s="4" t="s">
        <f>=HYPERLINK("http://anyluxury.ru/shop/podarki-dlya-doma/polotentsa/polotence-in-leaf-maloe-sinee-s-bordovim-3010045/" , "30100.45 Полотенце In Leaf, малое, синее с бордовым")</f>
      </c>
      <c r="C23283" s="4" t="n">
        <v>590.00</v>
      </c>
      <c r="D23283" s="4"/>
    </row>
    <row collapsed="" customFormat="false" customHeight="1" hidden="" ht="14" outlineLevel="0" r="23284">
      <c r="A23284" s="3" t="inlineStr">
        <is>
          <t>23206</t>
        </is>
      </c>
      <c r="B23284" s="4" t="s">
        <f>=HYPERLINK("http://anyluxury.ru/shop/podarki-dlya-doma/polotentsa/polotence-in-leaf-bolshoe-sinee-s-bordovim-3010145/" , "30101.45 Полотенце In Leaf, большое, синее с бордовым")</f>
      </c>
      <c r="C23284" s="4" t="n">
        <v>1690.00</v>
      </c>
      <c r="D23284" s="4"/>
    </row>
    <row collapsed="" customFormat="false" customHeight="1" hidden="" ht="14" outlineLevel="0" r="23285">
      <c r="A23285" s="3" t="inlineStr">
        <is>
          <t>23207</t>
        </is>
      </c>
      <c r="B23285" s="4" t="s">
        <f>=HYPERLINK("http://anyluxury.ru/shop/podarki-dlya-doma/polotentsa/polotence-giraffe-maloe-bezhevoe-s-sinim-3010214/" , "30102.14 Полотенце Giraffe, малое, бежевое с синим")</f>
      </c>
      <c r="C23285" s="4" t="n">
        <v>590.00</v>
      </c>
      <c r="D23285" s="4"/>
    </row>
    <row collapsed="" customFormat="false" customHeight="1" hidden="" ht="14" outlineLevel="0" r="23286">
      <c r="A23286" s="3" t="inlineStr">
        <is>
          <t>23208</t>
        </is>
      </c>
      <c r="B23286" s="4" t="s">
        <f>=HYPERLINK("http://anyluxury.ru/shop/podarki-dlya-doma/polotentsa/polotence-giraffe-maloe-bezhevoe-s-bordovim-3010215/" , "30102.15 Полотенце Giraffe, малое, бежевое с бордовым")</f>
      </c>
      <c r="C23286" s="4" t="n">
        <v>590.00</v>
      </c>
      <c r="D23286" s="4"/>
    </row>
    <row collapsed="" customFormat="false" customHeight="1" hidden="" ht="14" outlineLevel="0" r="23287">
      <c r="A23287" s="3" t="inlineStr">
        <is>
          <t>23209</t>
        </is>
      </c>
      <c r="B23287" s="4" t="s">
        <f>=HYPERLINK("http://anyluxury.ru/shop/podarki-dlya-doma/polotentsa/polotence-giraffe-bolshoe-bezhevoe-s-bordovim-3010315/" , "30103.15 Полотенце Giraffe, большое, бежевое с бордовым")</f>
      </c>
      <c r="C23287" s="4" t="n">
        <v>1690.00</v>
      </c>
      <c r="D23287" s="4"/>
    </row>
    <row collapsed="" customFormat="false" customHeight="1" hidden="" ht="14" outlineLevel="0" r="23288">
      <c r="A23288" s="3" t="inlineStr">
        <is>
          <t>23210</t>
        </is>
      </c>
      <c r="B23288" s="4" t="s">
        <f>=HYPERLINK("http://anyluxury.ru/shop/podarki-dlya-doma/polotentsa/nabor-kuhonnih-polotenec-keep-palms-persikoviy-1117251/" , "11172.51 Набор кухонных полотенец Keep Palms, персиковый")</f>
      </c>
      <c r="C23288" s="4" t="n">
        <v>490.00</v>
      </c>
      <c r="D23288" s="4"/>
    </row>
    <row collapsed="" customFormat="false" customHeight="1" hidden="" ht="14" outlineLevel="0" r="23289">
      <c r="A23289" s="3" t="inlineStr">
        <is>
          <t>23211</t>
        </is>
      </c>
      <c r="B23289" s="4" t="s">
        <f>=HYPERLINK("http://anyluxury.ru/shop/podarki-dlya-doma/polotentsa/nabor-kuhonnih-polotenec-good-wipe-beliy-s-belim-1117666/" , "11176.66 Набор кухонных полотенец Good Wipe, белый с белым")</f>
      </c>
      <c r="C23289" s="4" t="n">
        <v>450.00</v>
      </c>
      <c r="D23289" s="4"/>
    </row>
    <row collapsed="" customFormat="false" customHeight="1" hidden="" ht="14" outlineLevel="0" r="23290">
      <c r="A23290" s="3" t="inlineStr">
        <is>
          <t>23212</t>
        </is>
      </c>
      <c r="B23290" s="4" t="s">
        <f>=HYPERLINK("http://anyluxury.ru/shop/podarki-dlya-doma/polotentsa/polotence-peninsula-xlarge-bezhevoe-03097101tun/" , "03097101TUN Полотенце Peninsula X-Large, бежевое")</f>
      </c>
      <c r="C23290" s="4" t="n">
        <v>3750.00</v>
      </c>
      <c r="D23290" s="4"/>
    </row>
    <row collapsed="" customFormat="false" customHeight="1" hidden="" ht="14" outlineLevel="0" r="23291">
      <c r="A23291" s="3" t="inlineStr">
        <is>
          <t>23213</t>
        </is>
      </c>
      <c r="B23291" s="4" t="s">
        <f>=HYPERLINK("http://anyluxury.ru/shop/podarki-dlya-doma/polotentsa/polotence-peninsula-xlarge-rozovoe-03097143tun/" , "03097143TUN Полотенце Peninsula X-Large, розовое")</f>
      </c>
      <c r="C23291" s="4" t="n">
        <v>3750.00</v>
      </c>
      <c r="D23291" s="4"/>
    </row>
    <row collapsed="" customFormat="false" customHeight="1" hidden="" ht="14" outlineLevel="0" r="23292">
      <c r="A23292" s="3" t="inlineStr">
        <is>
          <t>23214</t>
        </is>
      </c>
      <c r="B23292" s="4" t="s">
        <f>=HYPERLINK("http://anyluxury.ru/shop/podarki-dlya-doma/polotentsa/polotence-peninsula-xlarge-goluboe-03097251tun/" , "03097251TUN Полотенце Peninsula X-Large, голубое")</f>
      </c>
      <c r="C23292" s="4" t="n">
        <v>3750.00</v>
      </c>
      <c r="D23292" s="4"/>
    </row>
    <row collapsed="" customFormat="false" customHeight="1" hidden="" ht="14" outlineLevel="0" r="23293">
      <c r="A23293" s="3" t="inlineStr">
        <is>
          <t>23215</t>
        </is>
      </c>
      <c r="B23293" s="4" t="s">
        <f>=HYPERLINK("http://anyluxury.ru/shop/podarki-dlya-doma/polotentsa/polotence-peninsula-xlarge-temnoseroe-03097384tun/" , "03097384TUN Полотенце Peninsula X-Large, темно-серое")</f>
      </c>
      <c r="C23293" s="4" t="n">
        <v>3750.00</v>
      </c>
      <c r="D23293" s="4"/>
    </row>
    <row collapsed="" customFormat="false" customHeight="1" hidden="" ht="14" outlineLevel="0" r="23294">
      <c r="A23294" s="3" t="inlineStr">
        <is>
          <t>23216</t>
        </is>
      </c>
      <c r="B23294" s="4" t="s">
        <f>=HYPERLINK("http://anyluxury.ru/shop/podarki-dlya-doma/polotentsa/polotence-peninsula-medium-bezhevoe-03095101tun/" , "03095101TUN Полотенце Peninsula Medium, бежевое")</f>
      </c>
      <c r="C23294" s="4" t="n">
        <v>890.00</v>
      </c>
      <c r="D23294" s="4"/>
    </row>
    <row collapsed="" customFormat="false" customHeight="1" hidden="" ht="14" outlineLevel="0" r="23295">
      <c r="A23295" s="3" t="inlineStr">
        <is>
          <t>23217</t>
        </is>
      </c>
      <c r="B23295" s="4" t="s">
        <f>=HYPERLINK("http://anyluxury.ru/shop/podarki-dlya-doma/polotentsa/polotence-peninsula-medium-beloe-03095102tun/" , "03095102TUN Полотенце Peninsula Medium, белое")</f>
      </c>
      <c r="C23295" s="4" t="n">
        <v>890.00</v>
      </c>
      <c r="D23295" s="4"/>
    </row>
    <row collapsed="" customFormat="false" customHeight="1" hidden="" ht="14" outlineLevel="0" r="23296">
      <c r="A23296" s="3" t="inlineStr">
        <is>
          <t>23218</t>
        </is>
      </c>
      <c r="B23296" s="4" t="s">
        <f>=HYPERLINK("http://anyluxury.ru/shop/podarki-dlya-doma/polotentsa/polotence-peninsula-medium-rozovoe-03095143tun/" , "03095143TUN Полотенце Peninsula Medium, розовое")</f>
      </c>
      <c r="C23296" s="4" t="n">
        <v>890.00</v>
      </c>
      <c r="D23296" s="4"/>
    </row>
    <row collapsed="" customFormat="false" customHeight="1" hidden="" ht="14" outlineLevel="0" r="23297">
      <c r="A23297" s="3" t="inlineStr">
        <is>
          <t>23219</t>
        </is>
      </c>
      <c r="B23297" s="4" t="s">
        <f>=HYPERLINK("http://anyluxury.ru/shop/podarki-dlya-doma/polotentsa/polotence-peninsula-medium-goluboe-03095251tun/" , "03095251TUN Полотенце Peninsula Medium, голубое")</f>
      </c>
      <c r="C23297" s="4" t="n">
        <v>890.00</v>
      </c>
      <c r="D23297" s="4"/>
    </row>
    <row collapsed="" customFormat="false" customHeight="1" hidden="" ht="14" outlineLevel="0" r="23298">
      <c r="A23298" s="3" t="inlineStr">
        <is>
          <t>23220</t>
        </is>
      </c>
      <c r="B23298" s="4" t="s">
        <f>=HYPERLINK("http://anyluxury.ru/shop/podarki-dlya-doma/polotentsa/polotence-peninsula-medium-temnoseroe-03095384tun/" , "03095384TUN Полотенце Peninsula Medium, темно-серое")</f>
      </c>
      <c r="C23298" s="4" t="n">
        <v>890.00</v>
      </c>
      <c r="D23298" s="4"/>
    </row>
    <row collapsed="" customFormat="false" customHeight="1" hidden="" ht="14" outlineLevel="0" r="23299">
      <c r="A23299" s="3" t="inlineStr">
        <is>
          <t>23221</t>
        </is>
      </c>
      <c r="B23299" s="4" t="s">
        <f>=HYPERLINK("http://anyluxury.ru/shop/podarki-dlya-doma/polotentsa/polotence-peninsula-large-bezhevoe-03096101tun/" , "03096101TUN Полотенце Peninsula Large, бежевое")</f>
      </c>
      <c r="C23299" s="4" t="n">
        <v>2490.00</v>
      </c>
      <c r="D23299" s="4"/>
    </row>
    <row collapsed="" customFormat="false" customHeight="1" hidden="" ht="14" outlineLevel="0" r="23300">
      <c r="A23300" s="3" t="inlineStr">
        <is>
          <t>23222</t>
        </is>
      </c>
      <c r="B23300" s="4" t="s">
        <f>=HYPERLINK("http://anyluxury.ru/shop/podarki-dlya-doma/polotentsa/polotence-ermes-maloe-temnosinee-1206640/" , "12066.40 Полотенце Ermes, малое, темно-синее")</f>
      </c>
      <c r="C23300" s="4" t="n">
        <v>1089.00</v>
      </c>
      <c r="D23300" s="4"/>
    </row>
    <row collapsed="" customFormat="false" customHeight="1" hidden="" ht="14" outlineLevel="0" r="23301">
      <c r="A23301" s="3" t="inlineStr">
        <is>
          <t>23223</t>
        </is>
      </c>
      <c r="B23301" s="4" t="s">
        <f>=HYPERLINK("http://anyluxury.ru/shop/podarki-dlya-doma/polotentsa/polotence-ermes-maloe-antracit-1206610/" , "12066.10 Полотенце Ermes, малое, антрацит")</f>
      </c>
      <c r="C23301" s="4" t="n">
        <v>1089.00</v>
      </c>
      <c r="D23301" s="4"/>
    </row>
    <row collapsed="" customFormat="false" customHeight="1" hidden="" ht="14" outlineLevel="0" r="23302">
      <c r="A23302" s="3" t="inlineStr">
        <is>
          <t>23224</t>
        </is>
      </c>
      <c r="B23302" s="4" t="s">
        <f>=HYPERLINK("http://anyluxury.ru/shop/podarki-dlya-doma/polotentsa/polotence-ermes-bolshoe-temnosinee-1206740/" , "12067.40 Полотенце Ermes, большое, темно-синее")</f>
      </c>
      <c r="C23302" s="4" t="n">
        <v>2189.00</v>
      </c>
      <c r="D23302" s="4"/>
    </row>
    <row collapsed="" customFormat="false" customHeight="1" hidden="" ht="14" outlineLevel="0" r="23303">
      <c r="A23303" s="3" t="inlineStr">
        <is>
          <t>23225</t>
        </is>
      </c>
      <c r="B23303" s="4" t="s">
        <f>=HYPERLINK("http://anyluxury.ru/shop/podarki-dlya-doma/polotentsa/polotence-ermes-bolshoe-antracit-1206710/" , "12067.10 Полотенце Ermes, большое, антрацит")</f>
      </c>
      <c r="C23303" s="4" t="n">
        <v>2189.00</v>
      </c>
      <c r="D23303" s="4"/>
    </row>
    <row collapsed="" customFormat="false" customHeight="1" hidden="" ht="14" outlineLevel="0" r="23304">
      <c r="A23304" s="3" t="inlineStr">
        <is>
          <t>23226</t>
        </is>
      </c>
      <c r="B23304" s="4" t="s">
        <f>=HYPERLINK("http://anyluxury.ru/shop/podarki-dlya-doma/polotentsa/polotence-felice-maloe-gorchichnoe-1206880/" , "12068.80 Полотенце Felice, малое, горчичное")</f>
      </c>
      <c r="C23304" s="4" t="n">
        <v>1089.00</v>
      </c>
      <c r="D23304" s="4"/>
    </row>
    <row collapsed="" customFormat="false" customHeight="1" hidden="" ht="14" outlineLevel="0" r="23305">
      <c r="A23305" s="3" t="inlineStr">
        <is>
          <t>23227</t>
        </is>
      </c>
      <c r="B23305" s="4" t="s">
        <f>=HYPERLINK("http://anyluxury.ru/shop/podarki-dlya-doma/polotentsa/polotence-felice-maloe-beloe-1206860/" , "12068.60 Полотенце Felice, малое, белое")</f>
      </c>
      <c r="C23305" s="4" t="n">
        <v>1089.00</v>
      </c>
      <c r="D23305" s="4"/>
    </row>
    <row collapsed="" customFormat="false" customHeight="1" hidden="" ht="14" outlineLevel="0" r="23306">
      <c r="A23306" s="3" t="inlineStr">
        <is>
          <t>23228</t>
        </is>
      </c>
      <c r="B23306" s="4" t="s">
        <f>=HYPERLINK("http://anyluxury.ru/shop/podarki-dlya-doma/polotentsa/polotence-felice-maloe-zelenaya-myata-1206814/" , "12068.14 Полотенце Felice, малое, зеленая мята")</f>
      </c>
      <c r="C23306" s="4" t="n">
        <v>1089.00</v>
      </c>
      <c r="D23306" s="4"/>
    </row>
    <row collapsed="" customFormat="false" customHeight="1" hidden="" ht="14" outlineLevel="0" r="23307">
      <c r="A23307" s="3" t="inlineStr">
        <is>
          <t>23229</t>
        </is>
      </c>
      <c r="B23307" s="4" t="s">
        <f>=HYPERLINK("http://anyluxury.ru/shop/podarki-dlya-doma/polotentsa/polotence-felice-maloe-bezhevoe-1206816/" , "12068.16 Полотенце Felice, малое, бежевое")</f>
      </c>
      <c r="C23307" s="4" t="n">
        <v>1089.00</v>
      </c>
      <c r="D23307" s="4"/>
    </row>
    <row collapsed="" customFormat="false" customHeight="1" hidden="" ht="14" outlineLevel="0" r="23308">
      <c r="A23308" s="3" t="inlineStr">
        <is>
          <t>23230</t>
        </is>
      </c>
      <c r="B23308" s="4" t="s">
        <f>=HYPERLINK("http://anyluxury.ru/shop/podarki-dlya-doma/polotentsa/polotence-felice-maloe-antracit-1206810/" , "12068.10 Полотенце Felice, малое, антрацит")</f>
      </c>
      <c r="C23308" s="4" t="n">
        <v>1089.00</v>
      </c>
      <c r="D23308" s="4"/>
    </row>
    <row collapsed="" customFormat="false" customHeight="1" hidden="" ht="14" outlineLevel="0" r="23309">
      <c r="A23309" s="3" t="inlineStr">
        <is>
          <t>23231</t>
        </is>
      </c>
      <c r="B23309" s="4" t="s">
        <f>=HYPERLINK("http://anyluxury.ru/shop/podarki-dlya-doma/polotentsa/polotence-felice-bolshoe-gorchichnoe-1206980/" , "12069.80 Полотенце Felice, большое, горчичное")</f>
      </c>
      <c r="C23309" s="4" t="n">
        <v>2950.00</v>
      </c>
      <c r="D23309" s="4"/>
    </row>
    <row collapsed="" customFormat="false" customHeight="1" hidden="" ht="14" outlineLevel="0" r="23310">
      <c r="A23310" s="3" t="inlineStr">
        <is>
          <t>23232</t>
        </is>
      </c>
      <c r="B23310" s="4" t="s">
        <f>=HYPERLINK("http://anyluxury.ru/shop/podarki-dlya-doma/polotentsa/polotence-felice-bolshoe-beloe-1206960/" , "12069.60 Полотенце Felice, большое, белое")</f>
      </c>
      <c r="C23310" s="4" t="n">
        <v>2950.00</v>
      </c>
      <c r="D23310" s="4"/>
    </row>
    <row collapsed="" customFormat="false" customHeight="1" hidden="" ht="14" outlineLevel="0" r="23311">
      <c r="A23311" s="3" t="inlineStr">
        <is>
          <t>23233</t>
        </is>
      </c>
      <c r="B23311" s="4" t="s">
        <f>=HYPERLINK("http://anyluxury.ru/shop/podarki-dlya-doma/polotentsa/polotence-felice-bolshoe-zelenaya-myata-1206914/" , "12069.14 Полотенце Felice, большое, зеленая мята")</f>
      </c>
      <c r="C23311" s="4" t="n">
        <v>2189.00</v>
      </c>
      <c r="D23311" s="4"/>
    </row>
    <row collapsed="" customFormat="false" customHeight="1" hidden="" ht="14" outlineLevel="0" r="23312">
      <c r="A23312" s="3" t="inlineStr">
        <is>
          <t>23234</t>
        </is>
      </c>
      <c r="B23312" s="4" t="s">
        <f>=HYPERLINK("http://anyluxury.ru/shop/podarki-dlya-doma/polotentsa/polotence-felice-bolshoe-bezhevoe-1206916/" , "12069.16 Полотенце Felice, большое, бежевое")</f>
      </c>
      <c r="C23312" s="4" t="n">
        <v>2950.00</v>
      </c>
      <c r="D23312" s="4"/>
    </row>
    <row collapsed="" customFormat="false" customHeight="1" hidden="" ht="14" outlineLevel="0" r="23313">
      <c r="A23313" s="3" t="inlineStr">
        <is>
          <t>23235</t>
        </is>
      </c>
      <c r="B23313" s="4" t="s">
        <f>=HYPERLINK("http://anyluxury.ru/shop/podarki-dlya-doma/polotentsa/polotence-felice-bolshoe-antracit-1206910/" , "12069.10 Полотенце Felice, большое, антрацит")</f>
      </c>
      <c r="C23313" s="4" t="n">
        <v>2950.00</v>
      </c>
      <c r="D23313" s="4"/>
    </row>
    <row collapsed="" customFormat="false" customHeight="1" hidden="" ht="14" outlineLevel="0" r="23314">
      <c r="A23314" s="3" t="inlineStr">
        <is>
          <t>23236</t>
        </is>
      </c>
      <c r="B23314" s="4" t="s">
        <f>=HYPERLINK("http://anyluxury.ru/shop/podarki-dlya-doma/polotentsa/polotence-leon-70499/" , "70499 Полотенце «Леон»")</f>
      </c>
      <c r="C23314" s="4" t="n">
        <v>1354.00</v>
      </c>
      <c r="D23314" s="4"/>
    </row>
    <row collapsed="" customFormat="false" customHeight="1" hidden="" ht="14" outlineLevel="0" r="23315">
      <c r="A23315" s="3" t="inlineStr">
        <is>
          <t>23237</t>
        </is>
      </c>
      <c r="B23315" s="4" t="s">
        <f>=HYPERLINK("http://anyluxury.ru/shop/podarki-dlya-doma/polotentsa/polotence-artrokstar-kiss-me-70850/" , "70850 Полотенце «Арт-рокстар. Kiss Me»")</f>
      </c>
      <c r="C23315" s="4" t="n">
        <v>1151.00</v>
      </c>
      <c r="D23315" s="4"/>
    </row>
    <row collapsed="" customFormat="false" customHeight="1" hidden="" ht="14" outlineLevel="0" r="23316">
      <c r="A23316" s="3" t="inlineStr">
        <is>
          <t>23238</t>
        </is>
      </c>
      <c r="B23316" s="4" t="s">
        <f>=HYPERLINK("http://anyluxury.ru/shop/podarki-dlya-doma/polotentsa/polotence-hatelove-70851/" , "70851 Полотенце Hate-Love")</f>
      </c>
      <c r="C23316" s="4" t="n">
        <v>1127.00</v>
      </c>
      <c r="D23316" s="4"/>
    </row>
    <row collapsed="" customFormat="false" customHeight="1" hidden="" ht="14" outlineLevel="0" r="23317">
      <c r="A23317" s="3" t="inlineStr">
        <is>
          <t>23239</t>
        </is>
      </c>
      <c r="B23317" s="4" t="s">
        <f>=HYPERLINK("http://anyluxury.ru/shop/podarki-dlya-doma/polotentsa/polotence-mahrovoe-vintage-medium-serogoluboe-1570913/" , "15709.13 Полотенце махровое Vintage Medium, серо-голубое")</f>
      </c>
      <c r="C23317" s="4" t="n">
        <v>750.00</v>
      </c>
      <c r="D23317" s="4"/>
    </row>
    <row collapsed="" customFormat="false" customHeight="1" hidden="" ht="14" outlineLevel="0" r="23318">
      <c r="A23318" s="3" t="inlineStr">
        <is>
          <t>23240</t>
        </is>
      </c>
      <c r="B23318" s="4" t="s">
        <f>=HYPERLINK("http://anyluxury.ru/shop/podarki-dlya-doma/polotentsa/polotence-mahrovoe-vintage-medium-rozovoe-1570915/" , "15709.15 Полотенце махровое Vintage Medium, розовое")</f>
      </c>
      <c r="C23318" s="4" t="n">
        <v>750.00</v>
      </c>
      <c r="D23318" s="4"/>
    </row>
    <row collapsed="" customFormat="false" customHeight="1" hidden="" ht="14" outlineLevel="0" r="23319">
      <c r="A23319" s="3" t="inlineStr">
        <is>
          <t>23241</t>
        </is>
      </c>
      <c r="B23319" s="4" t="s">
        <f>=HYPERLINK("http://anyluxury.ru/shop/podarki-dlya-doma/polotentsa/polotence-mahrovoe-vintage-medium-sirenevoe-1570917/" , "15709.17 Полотенце махровое Vintage Medium, сиреневое")</f>
      </c>
      <c r="C23319" s="4" t="n">
        <v>750.00</v>
      </c>
      <c r="D23319" s="4"/>
    </row>
    <row collapsed="" customFormat="false" customHeight="1" hidden="" ht="14" outlineLevel="0" r="23320">
      <c r="A23320" s="3" t="inlineStr">
        <is>
          <t>23242</t>
        </is>
      </c>
      <c r="B23320" s="4" t="s">
        <f>=HYPERLINK("http://anyluxury.ru/shop/podarki-dlya-doma/polotentsa/polotence-mahrovoe-vintage-medium-zelenoe-1570919/" , "15709.19 Полотенце махровое Vintage Medium, зеленое")</f>
      </c>
      <c r="C23320" s="4" t="n">
        <v>750.00</v>
      </c>
      <c r="D23320" s="4"/>
    </row>
    <row collapsed="" customFormat="false" customHeight="1" hidden="" ht="14" outlineLevel="0" r="23321">
      <c r="A23321" s="3" t="inlineStr">
        <is>
          <t>23243</t>
        </is>
      </c>
      <c r="B23321" s="4" t="s">
        <f>=HYPERLINK("http://anyluxury.ru/shop/podarki-dlya-doma/polotentsa/polotence-mahrovoe-vintage-large-serogoluboe-1571013/" , "15710.13 Полотенце махровое Vintage Large, серо-голубое")</f>
      </c>
      <c r="C23321" s="4" t="n">
        <v>1555.00</v>
      </c>
      <c r="D23321" s="4"/>
    </row>
    <row collapsed="" customFormat="false" customHeight="1" hidden="" ht="14" outlineLevel="0" r="23322">
      <c r="A23322" s="3" t="inlineStr">
        <is>
          <t>23244</t>
        </is>
      </c>
      <c r="B23322" s="4" t="s">
        <f>=HYPERLINK("http://anyluxury.ru/shop/podarki-dlya-doma/polotentsa/polotence-mahrovoe-vintage-large-rozovoe-1571015/" , "15710.15 Полотенце махровое Vintage Large, розовое")</f>
      </c>
      <c r="C23322" s="4" t="n">
        <v>1555.00</v>
      </c>
      <c r="D23322" s="4"/>
    </row>
    <row collapsed="" customFormat="false" customHeight="1" hidden="" ht="14" outlineLevel="0" r="23323">
      <c r="A23323" s="3" t="inlineStr">
        <is>
          <t>23245</t>
        </is>
      </c>
      <c r="B23323" s="4" t="s">
        <f>=HYPERLINK("http://anyluxury.ru/shop/podarki-dlya-doma/polotentsa/polotence-mahrovoe-vintage-large-sirenevoe-1571017/" , "15710.17 Полотенце махровое Vintage Large, сиреневое")</f>
      </c>
      <c r="C23323" s="4" t="n">
        <v>1555.00</v>
      </c>
      <c r="D23323" s="4"/>
    </row>
    <row collapsed="" customFormat="false" customHeight="1" hidden="" ht="14" outlineLevel="0" r="23324">
      <c r="A23324" s="3" t="inlineStr">
        <is>
          <t>23246</t>
        </is>
      </c>
      <c r="B23324" s="4" t="s">
        <f>=HYPERLINK("http://anyluxury.ru/shop/podarki-dlya-doma/polotentsa/polotence-mahrovoe-vintage-large-zelenoe-1571019/" , "15710.19 Полотенце махровое Vintage Large, зеленое")</f>
      </c>
      <c r="C23324" s="4" t="n">
        <v>1555.00</v>
      </c>
      <c r="D23324" s="4"/>
    </row>
    <row collapsed="" customFormat="false" customHeight="1" hidden="" ht="14" outlineLevel="0" r="23325">
      <c r="A23325" s="3" t="inlineStr">
        <is>
          <t>23247</t>
        </is>
      </c>
      <c r="B23325" s="4" t="s">
        <f>=HYPERLINK("http://anyluxury.ru/shop/podarki-dlya-doma/polotentsa/polotence-mahrovoe-tiler-medium-serogoluboe-1571113/" , "15711.13 Полотенце махровое Tiler Medium, серо-голубое")</f>
      </c>
      <c r="C23325" s="4" t="n">
        <v>750.00</v>
      </c>
      <c r="D23325" s="4"/>
    </row>
    <row collapsed="" customFormat="false" customHeight="1" hidden="" ht="14" outlineLevel="0" r="23326">
      <c r="A23326" s="3" t="inlineStr">
        <is>
          <t>23248</t>
        </is>
      </c>
      <c r="B23326" s="4" t="s">
        <f>=HYPERLINK("http://anyluxury.ru/shop/podarki-dlya-doma/polotentsa/polotence-mahrovoe-tiler-medium-rozovoe-1571115/" , "15711.15 Полотенце махровое Tiler Medium, розовое")</f>
      </c>
      <c r="C23326" s="4" t="n">
        <v>750.00</v>
      </c>
      <c r="D23326" s="4"/>
    </row>
    <row collapsed="" customFormat="false" customHeight="1" hidden="" ht="14" outlineLevel="0" r="23327">
      <c r="A23327" s="3" t="inlineStr">
        <is>
          <t>23249</t>
        </is>
      </c>
      <c r="B23327" s="4" t="s">
        <f>=HYPERLINK("http://anyluxury.ru/shop/podarki-dlya-doma/polotentsa/polotence-mahrovoe-tiler-medium-sirenevoe-1571117/" , "15711.17 Полотенце махровое Tiler Medium, сиреневое")</f>
      </c>
      <c r="C23327" s="4" t="n">
        <v>750.00</v>
      </c>
      <c r="D23327" s="4"/>
    </row>
    <row collapsed="" customFormat="false" customHeight="1" hidden="" ht="14" outlineLevel="0" r="23328">
      <c r="A23328" s="3" t="inlineStr">
        <is>
          <t>23250</t>
        </is>
      </c>
      <c r="B23328" s="4" t="s">
        <f>=HYPERLINK("http://anyluxury.ru/shop/podarki-dlya-doma/polotentsa/polotence-mahrovoe-tiler-medium-zelenoe-1571119/" , "15711.19 Полотенце махровое Tiler Medium, зеленое")</f>
      </c>
      <c r="C23328" s="4" t="n">
        <v>750.00</v>
      </c>
      <c r="D23328" s="4"/>
    </row>
    <row collapsed="" customFormat="false" customHeight="1" hidden="" ht="14" outlineLevel="0" r="23329">
      <c r="A23329" s="3" t="inlineStr">
        <is>
          <t>23251</t>
        </is>
      </c>
      <c r="B23329" s="4" t="s">
        <f>=HYPERLINK("http://anyluxury.ru/shop/podarki-dlya-doma/polotentsa/polotence-mahrovoe-tiler-large-serogoluboe-1571213/" , "15712.13 Полотенце махровое Tiler Large, серо-голубое")</f>
      </c>
      <c r="C23329" s="4" t="n">
        <v>1555.00</v>
      </c>
      <c r="D23329" s="4"/>
    </row>
    <row collapsed="" customFormat="false" customHeight="1" hidden="" ht="14" outlineLevel="0" r="23330">
      <c r="A23330" s="3" t="inlineStr">
        <is>
          <t>23252</t>
        </is>
      </c>
      <c r="B23330" s="4" t="s">
        <f>=HYPERLINK("http://anyluxury.ru/shop/podarki-dlya-doma/polotentsa/polotence-mahrovoe-tiler-large-rozovoe-1571215/" , "15712.15 Полотенце махровое Tiler Large, розовое")</f>
      </c>
      <c r="C23330" s="4" t="n">
        <v>1555.00</v>
      </c>
      <c r="D23330" s="4"/>
    </row>
    <row collapsed="" customFormat="false" customHeight="1" hidden="" ht="14" outlineLevel="0" r="23331">
      <c r="A23331" s="3" t="inlineStr">
        <is>
          <t>23253</t>
        </is>
      </c>
      <c r="B23331" s="4" t="s">
        <f>=HYPERLINK("http://anyluxury.ru/shop/podarki-dlya-doma/polotentsa/polotence-mahrovoe-tiler-large-sirenevoe-1571217/" , "15712.17 Полотенце махровое Tiler Large, сиреневое")</f>
      </c>
      <c r="C23331" s="4" t="n">
        <v>1555.00</v>
      </c>
      <c r="D23331" s="4"/>
    </row>
    <row collapsed="" customFormat="false" customHeight="1" hidden="" ht="14" outlineLevel="0" r="23332">
      <c r="A23332" s="3" t="inlineStr">
        <is>
          <t>23254</t>
        </is>
      </c>
      <c r="B23332" s="4" t="s">
        <f>=HYPERLINK("http://anyluxury.ru/shop/podarki-dlya-doma/polotentsa/polotence-mahrovoe-tiler-large-zelenoe-1571219/" , "15712.19 Полотенце махровое Tiler Large, зеленое")</f>
      </c>
      <c r="C23332" s="4" t="n">
        <v>1555.00</v>
      </c>
      <c r="D23332" s="4"/>
    </row>
    <row collapsed="" customFormat="false" customHeight="1" hidden="" ht="14" outlineLevel="0" r="23333">
      <c r="A23333" s="3" t="inlineStr">
        <is>
          <t>23255</t>
        </is>
      </c>
      <c r="B23333" s="4" t="s">
        <f>=HYPERLINK("http://anyluxury.ru/shop/podarki-dlya-doma/polotentsa/polotence-embrace-maloe-sinee-2009840/" , "20098.40 Полотенце Embrace, малое, синее")</f>
      </c>
      <c r="C23333" s="4" t="n">
        <v>180.00</v>
      </c>
      <c r="D23333" s="4"/>
    </row>
    <row collapsed="" customFormat="false" customHeight="1" hidden="" ht="14" outlineLevel="0" r="23334">
      <c r="A23334" s="3" t="inlineStr">
        <is>
          <t>23256</t>
        </is>
      </c>
      <c r="B23334" s="4" t="s">
        <f>=HYPERLINK("http://anyluxury.ru/shop/podarki-dlya-doma/polotentsa/polotence-embrace-maloe-krasnoe-2009850/" , "20098.50 Полотенце Embrace, малое, красное")</f>
      </c>
      <c r="C23334" s="4" t="n">
        <v>180.00</v>
      </c>
      <c r="D23334" s="4"/>
    </row>
    <row collapsed="" customFormat="false" customHeight="1" hidden="" ht="14" outlineLevel="0" r="23335">
      <c r="A23335" s="3" t="inlineStr">
        <is>
          <t>23257</t>
        </is>
      </c>
      <c r="B23335" s="4" t="s">
        <f>=HYPERLINK("http://anyluxury.ru/shop/podarki-dlya-doma/polotentsa/polotence-new-wave-maloe-seroe-2010111/" , "20101.11 Полотенце New Wave, малое, серое")</f>
      </c>
      <c r="C23335" s="4" t="n">
        <v>290.00</v>
      </c>
      <c r="D23335" s="4"/>
    </row>
    <row collapsed="" customFormat="false" customHeight="1" hidden="" ht="14" outlineLevel="0" r="23336">
      <c r="A23336" s="3" t="inlineStr">
        <is>
          <t>23258</t>
        </is>
      </c>
      <c r="B23336" s="4" t="s">
        <f>=HYPERLINK("http://anyluxury.ru/shop/podarki-dlya-doma/polotentsa/polotence-new-wave-maloe-rozovoe-2010115/" , "20101.15 Полотенце New Wave, малое, розовое")</f>
      </c>
      <c r="C23336" s="4" t="n">
        <v>290.00</v>
      </c>
      <c r="D23336" s="4"/>
    </row>
    <row collapsed="" customFormat="false" customHeight="1" hidden="" ht="14" outlineLevel="0" r="23337">
      <c r="A23337" s="3" t="inlineStr">
        <is>
          <t>23259</t>
        </is>
      </c>
      <c r="B23337" s="4" t="s">
        <f>=HYPERLINK("http://anyluxury.ru/shop/podarki-dlya-doma/polotentsa/polotence-new-wave-maloe-zelenoe-2010190/" , "20101.90 Полотенце New Wave, малое, зеленое")</f>
      </c>
      <c r="C23337" s="4" t="n">
        <v>290.00</v>
      </c>
      <c r="D23337" s="4"/>
    </row>
    <row collapsed="" customFormat="false" customHeight="1" hidden="" ht="14" outlineLevel="0" r="23338">
      <c r="A23338" s="3" t="inlineStr">
        <is>
          <t>23260</t>
        </is>
      </c>
      <c r="B23338" s="4" t="s">
        <f>=HYPERLINK("http://anyluxury.ru/shop/podarki-dlya-doma/polotentsa/polotence-new-wave-srednee-rozovoe-2010215/" , "20102.15 Полотенце New Wave, среднее, розовое")</f>
      </c>
      <c r="C23338" s="4" t="n">
        <v>590.00</v>
      </c>
      <c r="D23338" s="4"/>
    </row>
    <row collapsed="" customFormat="false" customHeight="1" hidden="" ht="14" outlineLevel="0" r="23339">
      <c r="A23339" s="3" t="inlineStr">
        <is>
          <t>23261</t>
        </is>
      </c>
      <c r="B23339" s="4" t="s">
        <f>=HYPERLINK("http://anyluxury.ru/shop/podarki-dlya-doma/polotentsa/polotence-new-wave-srednee-sinee-2010240/" , "20102.40 Полотенце New Wave, среднее, синее")</f>
      </c>
      <c r="C23339" s="4" t="n">
        <v>590.00</v>
      </c>
      <c r="D23339" s="4"/>
    </row>
    <row collapsed="" customFormat="false" customHeight="1" hidden="" ht="14" outlineLevel="0" r="23340">
      <c r="A23340" s="3" t="inlineStr">
        <is>
          <t>23262</t>
        </is>
      </c>
      <c r="B23340" s="4" t="s">
        <f>=HYPERLINK("http://anyluxury.ru/shop/podarki-dlya-doma/polotentsa/polotence-new-wave-srednee-beloe-2010260/" , "20102.60 Полотенце New Wave, среднее, белое")</f>
      </c>
      <c r="C23340" s="4" t="n">
        <v>590.00</v>
      </c>
      <c r="D23340" s="4"/>
    </row>
    <row collapsed="" customFormat="false" customHeight="1" hidden="" ht="14" outlineLevel="0" r="23341">
      <c r="A23341" s="3" t="inlineStr">
        <is>
          <t>23263</t>
        </is>
      </c>
      <c r="B23341" s="4" t="s">
        <f>=HYPERLINK("http://anyluxury.ru/shop/podarki-dlya-doma/polotentsa/polotence-new-wave-bolshoe-beloe-2010360/" , "20103.60 Полотенце New Wave, большое, белое")</f>
      </c>
      <c r="C23341" s="4" t="n">
        <v>1250.00</v>
      </c>
      <c r="D23341" s="4"/>
    </row>
    <row collapsed="" customFormat="false" customHeight="1" hidden="" ht="14" outlineLevel="0" r="23342">
      <c r="A23342" s="3" t="inlineStr">
        <is>
          <t>23264</t>
        </is>
      </c>
      <c r="B23342" s="4" t="s">
        <f>=HYPERLINK("http://anyluxury.ru/shop/podarki-dlya-doma/polotentsa/polotence-morena-srednee-seroe-2000511/" , "20005.11 Полотенце Morena, среднее, серое")</f>
      </c>
      <c r="C23342" s="4" t="n">
        <v>590.00</v>
      </c>
      <c r="D23342" s="4"/>
    </row>
    <row collapsed="" customFormat="false" customHeight="1" hidden="" ht="14" outlineLevel="0" r="23343">
      <c r="A23343" s="3" t="inlineStr">
        <is>
          <t>23265</t>
        </is>
      </c>
      <c r="B23343" s="4" t="s">
        <f>=HYPERLINK("http://anyluxury.ru/shop/podarki-dlya-doma/polotentsa/polotence-morena-srednee-beloe-2000560/" , "20005.60 Полотенце Morena, среднее, белое")</f>
      </c>
      <c r="C23343" s="4" t="n">
        <v>590.00</v>
      </c>
      <c r="D23343" s="4"/>
    </row>
    <row collapsed="" customFormat="false" customHeight="1" hidden="" ht="14" outlineLevel="0" r="23344">
      <c r="A23344" s="3" t="inlineStr">
        <is>
          <t>23266</t>
        </is>
      </c>
      <c r="B23344" s="4" t="s">
        <f>=HYPERLINK("http://anyluxury.ru/shop/podarki-dlya-doma/polotentsa/polotence-farbe-srednee-sinee-2000740/" , "20007.40 Полотенце Farbe, среднее, синее")</f>
      </c>
      <c r="C23344" s="4" t="n">
        <v>750.00</v>
      </c>
      <c r="D23344" s="4"/>
    </row>
    <row collapsed="" customFormat="false" customHeight="1" hidden="" ht="14" outlineLevel="0" r="23345">
      <c r="A23345" s="3" t="inlineStr">
        <is>
          <t>23267</t>
        </is>
      </c>
      <c r="B23345" s="4" t="s">
        <f>=HYPERLINK("http://anyluxury.ru/shop/podarki-dlya-doma/polotentsa/polotence-farbe-srednee-beloe-2000760/" , "20007.60 Полотенце Farbe, среднее, белое")</f>
      </c>
      <c r="C23345" s="4" t="n">
        <v>750.00</v>
      </c>
      <c r="D23345" s="4"/>
    </row>
    <row collapsed="" customFormat="false" customHeight="1" hidden="" ht="14" outlineLevel="0" r="23346">
      <c r="A23346" s="3" t="inlineStr">
        <is>
          <t>23268</t>
        </is>
      </c>
      <c r="B23346" s="4" t="s">
        <f>=HYPERLINK("http://anyluxury.ru/shop/podarki-dlya-doma/polotentsa/polotence-farbe-bolshoe-sinee-2000840/" , "20008.40 Полотенце Farbe, большое, синее")</f>
      </c>
      <c r="C23346" s="4" t="n">
        <v>1390.00</v>
      </c>
      <c r="D23346" s="4"/>
    </row>
    <row collapsed="" customFormat="false" customHeight="1" hidden="" ht="14" outlineLevel="0" r="23347">
      <c r="A23347" s="3" t="inlineStr">
        <is>
          <t>23269</t>
        </is>
      </c>
      <c r="B23347" s="4" t="s">
        <f>=HYPERLINK("http://anyluxury.ru/shop/podarki-dlya-doma/polotentsa/polotence-farbe-bolshoe-beloe-2000860/" , "20008.60 Полотенце Farbe, большое, белое")</f>
      </c>
      <c r="C23347" s="4" t="n">
        <v>1390.00</v>
      </c>
      <c r="D23347" s="4"/>
    </row>
    <row collapsed="" customFormat="false" customHeight="1" hidden="" ht="14" outlineLevel="0" r="23348">
      <c r="A23348" s="3" t="inlineStr">
        <is>
          <t>23270</t>
        </is>
      </c>
      <c r="B23348" s="4" t="s">
        <f>=HYPERLINK("http://anyluxury.ru/shop/podarki-dlya-doma/polotentsa/polotence-farbe-bolshoe-zelenoe-2000890/" , "20008.90 Полотенце Farbe, большое, зеленое")</f>
      </c>
      <c r="C23348" s="4" t="n">
        <v>1290.00</v>
      </c>
      <c r="D23348" s="4"/>
    </row>
    <row collapsed="" customFormat="false" customHeight="1" hidden="" ht="14" outlineLevel="0" r="23349">
      <c r="A23349" s="3" t="inlineStr">
        <is>
          <t>23271</t>
        </is>
      </c>
      <c r="B23349" s="4" t="s">
        <f>=HYPERLINK("http://anyluxury.ru/shop/podarki-dlya-doma/polotentsa/nabor-kuhonnih-polotenec-good-wipe-beliy-s-krasnim-1117650/" , "11176.50 Набор кухонных полотенец Good Wipe, белый с красным")</f>
      </c>
      <c r="C23349" s="4" t="n">
        <v>450.00</v>
      </c>
      <c r="D23349" s="4"/>
    </row>
    <row collapsed="" customFormat="false" customHeight="1" hidden="" ht="14" outlineLevel="0" r="23350">
      <c r="A23350" s="3" t="inlineStr">
        <is>
          <t>23272</t>
        </is>
      </c>
      <c r="B23350" s="4" t="s">
        <f>=HYPERLINK("http://anyluxury.ru/shop/podarki-dlya-doma/polotentsa/polotence-iz-mikrofibri-vigo-s-krasnoe-1500150/" , "15001.50 Спортивное полотенце Vigo Small, красное")</f>
      </c>
      <c r="C23350" s="4" t="n">
        <v>673.00</v>
      </c>
      <c r="D23350" s="4"/>
    </row>
    <row collapsed="" customFormat="false" customHeight="1" hidden="" ht="14" outlineLevel="0" r="23351">
      <c r="A23351" s="3" t="inlineStr">
        <is>
          <t>23273</t>
        </is>
      </c>
      <c r="B23351" s="4" t="s">
        <f>=HYPERLINK("http://anyluxury.ru/shop/podarki-dlya-doma/polotentsa/polotence-iz-mikrofibri-vigo-m-sinee-1500240/" , "15002.40 Спортивное полотенце Vigo Medium, синее")</f>
      </c>
      <c r="C23351" s="4" t="n">
        <v>1042.00</v>
      </c>
      <c r="D23351" s="4"/>
    </row>
    <row collapsed="" customFormat="false" customHeight="1" hidden="" ht="14" outlineLevel="0" r="23352">
      <c r="A23352" s="3" t="inlineStr">
        <is>
          <t>23274</t>
        </is>
      </c>
      <c r="B23352" s="4" t="s">
        <f>=HYPERLINK("http://anyluxury.ru/shop/podarki-dlya-doma/polotentsa/polotence-odelle-srednee-krasnoe-2009550/" , "20095.50 Полотенце Odelle, среднее, красное")</f>
      </c>
      <c r="C23352" s="4" t="n">
        <v>590.00</v>
      </c>
      <c r="D23352" s="4"/>
    </row>
    <row collapsed="" customFormat="false" customHeight="1" hidden="" ht="14" outlineLevel="0" r="23353">
      <c r="A23353" s="3" t="inlineStr">
        <is>
          <t>23275</t>
        </is>
      </c>
      <c r="B23353" s="4" t="s">
        <f>=HYPERLINK("http://anyluxury.ru/shop/podarki-dlya-doma/polotentsa/polotence-odelle-srednee-beloe-2009560/" , "20095.60 Полотенце Odelle, среднее, белое")</f>
      </c>
      <c r="C23353" s="4" t="n">
        <v>590.00</v>
      </c>
      <c r="D23353" s="4"/>
    </row>
    <row collapsed="" customFormat="false" customHeight="1" hidden="" ht="14" outlineLevel="0" r="23354">
      <c r="A23354" s="3" t="inlineStr">
        <is>
          <t>23276</t>
        </is>
      </c>
      <c r="B23354" s="4" t="s">
        <f>=HYPERLINK("http://anyluxury.ru/shop/podarki-dlya-doma/polotentsa/polotence-odelle-srednee-zheltoe-2009580/" , "20095.80 Полотенце Odelle, среднее, желтое")</f>
      </c>
      <c r="C23354" s="4" t="n">
        <v>590.00</v>
      </c>
      <c r="D23354" s="4"/>
    </row>
    <row collapsed="" customFormat="false" customHeight="1" hidden="" ht="14" outlineLevel="0" r="23355">
      <c r="A23355" s="3" t="inlineStr">
        <is>
          <t>23277</t>
        </is>
      </c>
      <c r="B23355" s="4" t="s">
        <f>=HYPERLINK("http://anyluxury.ru/shop/podarki-dlya-doma/polotentsa/polotence-odelle-bolshoe-oranzhevoe-2009620/" , "20096.20 Полотенце Odelle, большое, оранжевое")</f>
      </c>
      <c r="C23355" s="4" t="n">
        <v>1090.00</v>
      </c>
      <c r="D23355" s="4"/>
    </row>
    <row collapsed="" customFormat="false" customHeight="1" hidden="" ht="14" outlineLevel="0" r="23356">
      <c r="A23356" s="3" t="inlineStr">
        <is>
          <t>23278</t>
        </is>
      </c>
      <c r="B23356" s="4" t="s">
        <f>=HYPERLINK("http://anyluxury.ru/shop/podarki-dlya-doma/polotentsa/polotence-odelle-bolshoe-bordovoe-2009655/" , "20096.55 Полотенце Odelle, большое, бордовое")</f>
      </c>
      <c r="C23356" s="4" t="n">
        <v>990.00</v>
      </c>
      <c r="D23356" s="4"/>
    </row>
    <row collapsed="" customFormat="false" customHeight="1" hidden="" ht="14" outlineLevel="0" r="23357">
      <c r="A23357" s="3" t="inlineStr">
        <is>
          <t>23279</t>
        </is>
      </c>
      <c r="B23357" s="4" t="s">
        <f>=HYPERLINK("http://anyluxury.ru/shop/podarki-dlya-doma/polotentsa/polotence-odelle-bolshoe-zheltoe-2009680/" , "20096.80 Полотенце Odelle, большое, желтое")</f>
      </c>
      <c r="C23357" s="4" t="n">
        <v>990.00</v>
      </c>
      <c r="D23357" s="4"/>
    </row>
    <row collapsed="" customFormat="false" customHeight="1" hidden="" ht="14" outlineLevel="0" r="23358">
      <c r="A23358" s="3" t="inlineStr">
        <is>
          <t>23280</t>
        </is>
      </c>
      <c r="B23358" s="4" t="s">
        <f>=HYPERLINK("http://anyluxury.ru/shop/podarki-dlya-doma/polotentsa/polotence-etude-maloe-beloe-2009160/" , "20091.60 Полотенце Etude, малое, белое")</f>
      </c>
      <c r="C23358" s="4" t="n">
        <v>230.00</v>
      </c>
      <c r="D23358" s="4"/>
    </row>
    <row collapsed="" customFormat="false" customHeight="1" hidden="" ht="14" outlineLevel="0" r="23359">
      <c r="A23359" s="3" t="inlineStr">
        <is>
          <t>23281</t>
        </is>
      </c>
      <c r="B23359" s="4" t="s">
        <f>=HYPERLINK("http://anyluxury.ru/shop/podarki-dlya-doma/polotentsa/polotence-etude-bolshoe-beloe-2009360/" , "20093.60 Полотенце Etude, большое, белое")</f>
      </c>
      <c r="C23359" s="4" t="n">
        <v>890.00</v>
      </c>
      <c r="D23359" s="4"/>
    </row>
    <row collapsed="" customFormat="false" customHeight="1" hidden="" ht="14" outlineLevel="0" r="23360">
      <c r="A23360" s="3" t="inlineStr">
        <is>
          <t>23282</t>
        </is>
      </c>
      <c r="B23360" s="4" t="s">
        <f>=HYPERLINK("http://anyluxury.ru/shop/podarki-dlya-doma/polotentsa/sportivnoe-polotence-vigo-small-chernoe-1500130/" , "15001.30 Спортивное полотенце Vigo Small, черное")</f>
      </c>
      <c r="C23360" s="4" t="n">
        <v>673.00</v>
      </c>
      <c r="D23360" s="4"/>
    </row>
    <row collapsed="" customFormat="false" customHeight="1" hidden="" ht="14" outlineLevel="0" r="23361">
      <c r="A23361" s="3" t="inlineStr">
        <is>
          <t>23283</t>
        </is>
      </c>
      <c r="B23361" s="4" t="s">
        <f>=HYPERLINK("http://anyluxury.ru/shop/podarki-dlya-doma/polotentsa/sportivnoe-polotence-atoll-large-zelenoe-yabloko-664794/" , "6647.94 Спортивное полотенце Atoll Large, зеленое яблоко")</f>
      </c>
      <c r="C23361" s="4" t="n">
        <v>1742.00</v>
      </c>
      <c r="D23361" s="4"/>
    </row>
    <row collapsed="" customFormat="false" customHeight="1" hidden="" ht="14" outlineLevel="0" r="23362">
      <c r="A23362" s="3" t="inlineStr">
        <is>
          <t>23284</t>
        </is>
      </c>
      <c r="B23362" s="4" t="s">
        <f>=HYPERLINK("http://anyluxury.ru/shop/podarki-dlya-doma/polotentsa/polotence-soft-me-light-ver2-maloe-chernoe-1514330/" , "15143.30 Полотенце Soft Me Light, ver.2, малое, черное")</f>
      </c>
      <c r="C23362" s="4" t="n">
        <v>195.00</v>
      </c>
      <c r="D23362" s="4"/>
    </row>
    <row collapsed="" customFormat="false" customHeight="1" hidden="" ht="14" outlineLevel="0" r="23363">
      <c r="A23363" s="3" t="inlineStr">
        <is>
          <t>23285</t>
        </is>
      </c>
      <c r="B23363" s="4" t="s">
        <f>=HYPERLINK("http://anyluxury.ru/shop/podarki-dlya-doma/polotentsa/polotence-soft-me-light-ver2-maloe-sinee-1514340/" , "15143.40 Полотенце Soft Me Light ver.2, малое, синее")</f>
      </c>
      <c r="C23363" s="4" t="n">
        <v>195.00</v>
      </c>
      <c r="D23363" s="4"/>
    </row>
    <row collapsed="" customFormat="false" customHeight="1" hidden="" ht="14" outlineLevel="0" r="23364">
      <c r="A23364" s="3" t="inlineStr">
        <is>
          <t>23286</t>
        </is>
      </c>
      <c r="B23364" s="4" t="s">
        <f>=HYPERLINK("http://anyluxury.ru/shop/podarki-dlya-doma/polotentsa/polotence-soft-me-light-ver2-maloe-krasnoe-1514355/" , "15143.55 Полотенце Soft Me Light, ver.2, малое, красное")</f>
      </c>
      <c r="C23364" s="4" t="n">
        <v>195.00</v>
      </c>
      <c r="D23364" s="4"/>
    </row>
    <row collapsed="" customFormat="false" customHeight="1" hidden="" ht="14" outlineLevel="0" r="23365">
      <c r="A23365" s="3" t="inlineStr">
        <is>
          <t>23287</t>
        </is>
      </c>
      <c r="B23365" s="4" t="s">
        <f>=HYPERLINK("http://anyluxury.ru/shop/podarki-dlya-doma/polotentsa/polotence-soft-me-light-ver2-maloe-beloe-1514360/" , "15143.60 Полотенце Soft Me Light, ver.2, малое, белое")</f>
      </c>
      <c r="C23365" s="4" t="n">
        <v>195.00</v>
      </c>
      <c r="D23365" s="4"/>
    </row>
    <row collapsed="" customFormat="false" customHeight="1" hidden="" ht="14" outlineLevel="0" r="23366">
      <c r="A23366" s="3" t="inlineStr">
        <is>
          <t>23288</t>
        </is>
      </c>
      <c r="B23366" s="4" t="s">
        <f>=HYPERLINK("http://anyluxury.ru/shop/podarki-dlya-doma/polotentsa/polotence-morena-srednee-seroe-2000510/" , "20005.10 Полотенце Morena, среднее, темно-серое")</f>
      </c>
      <c r="C23366" s="4" t="n">
        <v>590.00</v>
      </c>
      <c r="D23366" s="4"/>
    </row>
    <row collapsed="" customFormat="false" customHeight="1" hidden="" ht="14" outlineLevel="0" r="23367">
      <c r="A23367" s="3" t="inlineStr">
        <is>
          <t>23289</t>
        </is>
      </c>
      <c r="B23367" s="4" t="s">
        <f>=HYPERLINK("http://anyluxury.ru/shop/podarki-dlya-doma/polotentsa/sportivnoe-polotence-atoll-medium-krasnoe-664650/" , "6646.50 Спортивное полотенце Atoll Medium, красное")</f>
      </c>
      <c r="C23367" s="4" t="n">
        <v>1140.00</v>
      </c>
      <c r="D23367" s="4"/>
    </row>
    <row collapsed="" customFormat="false" customHeight="1" hidden="" ht="14" outlineLevel="0" r="23368">
      <c r="A23368" s="3" t="inlineStr">
        <is>
          <t>23290</t>
        </is>
      </c>
      <c r="B23368" s="4" t="s">
        <f>=HYPERLINK("http://anyluxury.ru/shop/podarki-dlya-doma/polotentsa/polotence-mahrovoe-kronos-bolshoe-svetloseroe-1632110/" , "16321.10 Полотенце махровое «Кронос», большое, светло-серое")</f>
      </c>
      <c r="C23368" s="4" t="n">
        <v>1190.00</v>
      </c>
      <c r="D23368" s="4"/>
    </row>
    <row collapsed="" customFormat="false" customHeight="1" hidden="" ht="14" outlineLevel="0" r="23369">
      <c r="A23369" s="3" t="inlineStr">
        <is>
          <t>23291</t>
        </is>
      </c>
      <c r="B23369" s="4" t="s">
        <f>=HYPERLINK("http://anyluxury.ru/shop/podarki-dlya-doma/polotentsa/polotence-mahrovoe-kronos-bolshoe-temnoseroe-marengo-1632131/" , "16321.31 Полотенце махровое «Кронос», большое, темно-серое (маренго)")</f>
      </c>
      <c r="C23369" s="4" t="n">
        <v>1190.00</v>
      </c>
      <c r="D23369" s="4"/>
    </row>
    <row collapsed="" customFormat="false" customHeight="1" hidden="" ht="14" outlineLevel="0" r="23370">
      <c r="A23370" s="3" t="inlineStr">
        <is>
          <t>23292</t>
        </is>
      </c>
      <c r="B23370" s="4" t="s">
        <f>=HYPERLINK("http://anyluxury.ru/shop/podarki-dlya-doma/polotentsa/polotence-mahrovoe-kronos-bolshoe-sinee-delfinnoe-1632140/" , "16321.40 Полотенце махровое «Кронос», большое, синее (дельфинное)")</f>
      </c>
      <c r="C23370" s="4" t="n">
        <v>1190.00</v>
      </c>
      <c r="D23370" s="4"/>
    </row>
    <row collapsed="" customFormat="false" customHeight="1" hidden="" ht="14" outlineLevel="0" r="23371">
      <c r="A23371" s="3" t="inlineStr">
        <is>
          <t>23293</t>
        </is>
      </c>
      <c r="B23371" s="4" t="s">
        <f>=HYPERLINK("http://anyluxury.ru/shop/podarki-dlya-doma/polotentsa/polotence-mahrovoe-kronos-bolshoe-fioletovoe-blagorodniy-tuman-1632170/" , "16321.70 Полотенце махровое «Кронос», большое, фиолетовое (благородный туман)")</f>
      </c>
      <c r="C23371" s="4" t="n">
        <v>1190.00</v>
      </c>
      <c r="D23371" s="4"/>
    </row>
    <row collapsed="" customFormat="false" customHeight="1" hidden="" ht="14" outlineLevel="0" r="23372">
      <c r="A23372" s="3" t="inlineStr">
        <is>
          <t>23294</t>
        </is>
      </c>
      <c r="B23372" s="4" t="s">
        <f>=HYPERLINK("http://anyluxury.ru/shop/podarki-dlya-doma/polotentsa/polotence-mahrovoe-kronos-srednee-svetloseroe-1632210/" , "16322.10 Полотенце махровое «Кронос», среднее, светло-серое")</f>
      </c>
      <c r="C23372" s="4" t="n">
        <v>590.00</v>
      </c>
      <c r="D23372" s="4"/>
    </row>
    <row collapsed="" customFormat="false" customHeight="1" hidden="" ht="14" outlineLevel="0" r="23373">
      <c r="A23373" s="3" t="inlineStr">
        <is>
          <t>23295</t>
        </is>
      </c>
      <c r="B23373" s="4" t="s">
        <f>=HYPERLINK("http://anyluxury.ru/shop/podarki-dlya-doma/polotentsa/polotence-mahrovoe-kronos-srednee-temnoseroe-marengo-1632231/" , "16322.31 Полотенце махровое «Кронос», среднее, темно-серое (маренго)")</f>
      </c>
      <c r="C23373" s="4" t="n">
        <v>590.00</v>
      </c>
      <c r="D23373" s="4"/>
    </row>
    <row collapsed="" customFormat="false" customHeight="1" hidden="" ht="14" outlineLevel="0" r="23374">
      <c r="A23374" s="3" t="inlineStr">
        <is>
          <t>23296</t>
        </is>
      </c>
      <c r="B23374" s="4" t="s">
        <f>=HYPERLINK("http://anyluxury.ru/shop/podarki-dlya-doma/polotentsa/polotence-mahrovoe-kronos-srednee-sinee-delfinnoe-1632240/" , "16322.40 Полотенце махровое «Кронос», среднее, синее (дельфинное)")</f>
      </c>
      <c r="C23374" s="4" t="n">
        <v>590.00</v>
      </c>
      <c r="D23374" s="4"/>
    </row>
    <row collapsed="" customFormat="false" customHeight="1" hidden="" ht="14" outlineLevel="0" r="23375">
      <c r="A23375" s="3" t="inlineStr">
        <is>
          <t>23297</t>
        </is>
      </c>
      <c r="B23375" s="4" t="s">
        <f>=HYPERLINK("http://anyluxury.ru/shop/podarki-dlya-doma/polotentsa/polotence-mahrovoe-otel-maloe-beloe-1652760/" , "16527.60 Полотенце махровое «Отель», малое, белое")</f>
      </c>
      <c r="C23375" s="4" t="n">
        <v>349.00</v>
      </c>
      <c r="D23375" s="4"/>
    </row>
    <row collapsed="" customFormat="false" customHeight="1" hidden="" ht="14" outlineLevel="0" r="23376">
      <c r="A23376" s="3" t="inlineStr">
        <is>
          <t>23298</t>
        </is>
      </c>
      <c r="B23376" s="4" t="s">
        <f>=HYPERLINK("http://anyluxury.ru/shop/podarki-dlya-doma/polotentsa/polotence-mahrovoe-otel-srednee-beloe-1652960/" , "16529.60 Полотенце махровое «Отель», среднее, белое")</f>
      </c>
      <c r="C23376" s="4" t="n">
        <v>580.00</v>
      </c>
      <c r="D23376" s="4"/>
    </row>
    <row collapsed="" customFormat="false" customHeight="1" hidden="" ht="14" outlineLevel="0" r="23377">
      <c r="A23377" s="3" t="inlineStr">
        <is>
          <t>23299</t>
        </is>
      </c>
      <c r="B23377" s="4" t="s">
        <f>=HYPERLINK("http://anyluxury.ru/shop/podarki-dlya-doma/polotentsa/polotence-mahrovoe-otel-bolshoe-beloe-1642960/" , "16429.60 Полотенце махровое «Отель», большое, белое")</f>
      </c>
      <c r="C23377" s="4" t="n">
        <v>1190.00</v>
      </c>
      <c r="D23377" s="4"/>
    </row>
    <row collapsed="" customFormat="false" customHeight="1" hidden="" ht="14" outlineLevel="0" r="23378">
      <c r="A23378" s="3" t="inlineStr">
        <is>
          <t>23300</t>
        </is>
      </c>
      <c r="B23378" s="4" t="s">
        <f>=HYPERLINK("http://anyluxury.ru/shop/podarki-dlya-doma/polotentsa/polotence-etude-ver2-maloe-sinee-2002540/" , "20025.40 Полотенце Etude ver.2, малое, синее")</f>
      </c>
      <c r="C23378" s="4" t="n">
        <v>220.00</v>
      </c>
      <c r="D23378" s="4"/>
    </row>
    <row collapsed="" customFormat="false" customHeight="1" hidden="" ht="14" outlineLevel="0" r="23379">
      <c r="A23379" s="3" t="inlineStr">
        <is>
          <t>23301</t>
        </is>
      </c>
      <c r="B23379" s="4" t="s">
        <f>=HYPERLINK("http://anyluxury.ru/shop/podarki-dlya-doma/polotentsa/polotence-odelle-ver2-maloe-krasnoe-2007450/" , "20074.50 Полотенце Odelle ver.2, малое, красное")</f>
      </c>
      <c r="C23379" s="4" t="n">
        <v>290.00</v>
      </c>
      <c r="D23379" s="4"/>
    </row>
    <row collapsed="" customFormat="false" customHeight="1" hidden="" ht="14" outlineLevel="0" r="23380">
      <c r="A23380" s="3" t="inlineStr">
        <is>
          <t>23302</t>
        </is>
      </c>
      <c r="B23380" s="4" t="s">
        <f>=HYPERLINK("http://anyluxury.ru/shop/podarki-dlya-doma/polotentsa/polotence-odelle-ver2-maloe-zelenoe-2007490/" , "20074.90 Полотенце Odelle ver.2, малое, зеленое")</f>
      </c>
      <c r="C23380" s="4" t="n">
        <v>290.00</v>
      </c>
      <c r="D23380" s="4"/>
    </row>
    <row collapsed="" customFormat="false" customHeight="1" hidden="" ht="14" outlineLevel="0" r="23381">
      <c r="A23381" s="3" t="inlineStr">
        <is>
          <t>23303</t>
        </is>
      </c>
      <c r="B23381" s="4" t="s">
        <f>=HYPERLINK("http://anyluxury.ru/shop/podarki-dlya-doma/polotentsa/polotence-etude-ver2-maloe-chernoe-2002530/" , "20025.30 Полотенце Etude ver.2, малое, черное")</f>
      </c>
      <c r="C23381" s="4" t="n">
        <v>220.00</v>
      </c>
      <c r="D23381" s="4"/>
    </row>
    <row collapsed="" customFormat="false" customHeight="1" hidden="" ht="14" outlineLevel="0" r="23382">
      <c r="A23382" s="3" t="inlineStr">
        <is>
          <t>23304</t>
        </is>
      </c>
      <c r="B23382" s="4" t="s">
        <f>=HYPERLINK("http://anyluxury.ru/shop/podarki-dlya-doma/polotentsa/polotence-vafelnoe-demetra-maloe-oranzhevoe-greypfrut-1649120/" , "16491.20 Полотенце вафельное «Деметра», малое, оранжевое (грейпфрут)")</f>
      </c>
      <c r="C23382" s="4" t="n">
        <v>220.00</v>
      </c>
      <c r="D23382" s="4"/>
    </row>
    <row collapsed="" customFormat="false" customHeight="1" hidden="" ht="14" outlineLevel="0" r="23383">
      <c r="A23383" s="3" t="inlineStr">
        <is>
          <t>23305</t>
        </is>
      </c>
      <c r="B23383" s="4" t="s">
        <f>=HYPERLINK("http://anyluxury.ru/shop/podarki-dlya-doma/polotentsa/polotence-vafelnoe-demetra-maloe-goluboe-golubaya-myata-1649114/" , "16491.14 Полотенце вафельное «Деметра», малое, голубое (голубая мята)")</f>
      </c>
      <c r="C23383" s="4" t="n">
        <v>220.00</v>
      </c>
      <c r="D23383" s="4"/>
    </row>
    <row collapsed="" customFormat="false" customHeight="1" hidden="" ht="14" outlineLevel="0" r="23384">
      <c r="A23384" s="3" t="inlineStr">
        <is>
          <t>23306</t>
        </is>
      </c>
      <c r="B23384" s="4" t="s">
        <f>=HYPERLINK("http://anyluxury.ru/shop/podarki-dlya-doma/polotentsa/polotence-vafelnoe-demetra-maloe-zelenoe-zelenaya-myata-1649119/" , "16491.19 Полотенце вафельное «Деметра», малое, зеленое (зеленая мята)")</f>
      </c>
      <c r="C23384" s="4" t="n">
        <v>220.00</v>
      </c>
      <c r="D23384" s="4"/>
    </row>
    <row collapsed="" customFormat="false" customHeight="1" hidden="" ht="14" outlineLevel="0" r="23385">
      <c r="A23385" s="3" t="inlineStr">
        <is>
          <t>23307</t>
        </is>
      </c>
      <c r="B23385" s="4" t="s">
        <f>=HYPERLINK("http://anyluxury.ru/shop/podarki-dlya-doma/polotentsa/polotence-vafelnoe-demetra-maloe-temnoseroe-1649131/" , "16491.31 Полотенце вафельное «Деметра», малое, темно-серое")</f>
      </c>
      <c r="C23385" s="4" t="n">
        <v>220.00</v>
      </c>
      <c r="D23385" s="4"/>
    </row>
    <row collapsed="" customFormat="false" customHeight="1" hidden="" ht="14" outlineLevel="0" r="23386">
      <c r="A23386" s="3" t="inlineStr">
        <is>
          <t>23308</t>
        </is>
      </c>
      <c r="B23386" s="4" t="s">
        <f>=HYPERLINK("http://anyluxury.ru/shop/podarki-dlya-doma/polotentsa/polotence-vafelnoe-demetra-srednee-oranzhevoe-greypfrut-1649220/" , "16492.20 Полотенце вафельное «Деметра», среднее, оранжевое (грейпфрут)")</f>
      </c>
      <c r="C23386" s="4" t="n">
        <v>320.00</v>
      </c>
      <c r="D23386" s="4"/>
    </row>
    <row collapsed="" customFormat="false" customHeight="1" hidden="" ht="14" outlineLevel="0" r="23387">
      <c r="A23387" s="3" t="inlineStr">
        <is>
          <t>23309</t>
        </is>
      </c>
      <c r="B23387" s="4" t="s">
        <f>=HYPERLINK("http://anyluxury.ru/shop/podarki-dlya-doma/polotentsa/polotence-vafelnoe-demetra-srednee-goluboe-golubaya-myata-1649214/" , "16492.14 Полотенце вафельное «Деметра», среднее, голубое (голубая мята)")</f>
      </c>
      <c r="C23387" s="4" t="n">
        <v>320.00</v>
      </c>
      <c r="D23387" s="4"/>
    </row>
    <row collapsed="" customFormat="false" customHeight="1" hidden="" ht="14" outlineLevel="0" r="23388">
      <c r="A23388" s="3" t="inlineStr">
        <is>
          <t>23310</t>
        </is>
      </c>
      <c r="B23388" s="4" t="s">
        <f>=HYPERLINK("http://anyluxury.ru/shop/podarki-dlya-doma/polotentsa/polotence-vafelnoe-demetra-srednee-zelenoe-zelenaya-myata-1649219/" , "16492.19 Полотенце вафельное «Деметра», среднее, зеленое (зеленая мята)")</f>
      </c>
      <c r="C23388" s="4" t="n">
        <v>320.00</v>
      </c>
      <c r="D23388" s="4"/>
    </row>
    <row collapsed="" customFormat="false" customHeight="1" hidden="" ht="14" outlineLevel="0" r="23389">
      <c r="A23389" s="3" t="inlineStr">
        <is>
          <t>23311</t>
        </is>
      </c>
      <c r="B23389" s="4" t="s">
        <f>=HYPERLINK("http://anyluxury.ru/shop/podarki-dlya-doma/polotentsa/polotence-vafelnoe-demetra-srednee-temnoseroe-1649231/" , "16492.31 Полотенце вафельное «Деметра», среднее, темно-серое")</f>
      </c>
      <c r="C23389" s="4" t="n">
        <v>320.00</v>
      </c>
      <c r="D23389" s="4"/>
    </row>
    <row collapsed="" customFormat="false" customHeight="1" hidden="" ht="14" outlineLevel="0" r="23390">
      <c r="A23390" s="3" t="inlineStr">
        <is>
          <t>23312</t>
        </is>
      </c>
      <c r="B23390" s="4" t="s">
        <f>=HYPERLINK("http://anyluxury.ru/shop/podarki-dlya-doma/polotentsa/polotence-vafelnoe-demetra-bolshoe-oranzhevoe-greypfrut-1649320/" , "16493.20 Полотенце вафельное «Деметра», большое, оранжевое (грейпфрут)")</f>
      </c>
      <c r="C23390" s="4" t="n">
        <v>690.00</v>
      </c>
      <c r="D23390" s="4"/>
    </row>
    <row collapsed="" customFormat="false" customHeight="1" hidden="" ht="14" outlineLevel="0" r="23391">
      <c r="A23391" s="3" t="inlineStr">
        <is>
          <t>23313</t>
        </is>
      </c>
      <c r="B23391" s="4" t="s">
        <f>=HYPERLINK("http://anyluxury.ru/shop/podarki-dlya-doma/polotentsa/polotence-vafelnoe-demetra-bolshoe-goluboe-golubaya-myata-1649314/" , "16493.14 Полотенце вафельное «Деметра», большое, голубое (голубая мята)")</f>
      </c>
      <c r="C23391" s="4" t="n">
        <v>690.00</v>
      </c>
      <c r="D23391" s="4"/>
    </row>
    <row collapsed="" customFormat="false" customHeight="1" hidden="" ht="14" outlineLevel="0" r="23392">
      <c r="A23392" s="3" t="inlineStr">
        <is>
          <t>23314</t>
        </is>
      </c>
      <c r="B23392" s="4" t="s">
        <f>=HYPERLINK("http://anyluxury.ru/shop/podarki-dlya-doma/polotentsa/polotence-vafelnoe-demetra-bolshoe-zelenoe-zelenaya-myata-1649319/" , "16493.19 Полотенце вафельное «Деметра», большое, зеленое (зеленая мята)")</f>
      </c>
      <c r="C23392" s="4" t="n">
        <v>690.00</v>
      </c>
      <c r="D23392" s="4"/>
    </row>
    <row collapsed="" customFormat="false" customHeight="1" hidden="" ht="14" outlineLevel="0" r="23393">
      <c r="A23393" s="3" t="inlineStr">
        <is>
          <t>23315</t>
        </is>
      </c>
      <c r="B23393" s="4" t="s">
        <f>=HYPERLINK("http://anyluxury.ru/shop/podarki-dlya-doma/polotentsa/polotence-vafelnoe-demetra-bolshoe-temnoseroe-1649331/" , "16493.31 Полотенце вафельное «Деметра», большое, темно-серое")</f>
      </c>
      <c r="C23393" s="4" t="n">
        <v>690.00</v>
      </c>
      <c r="D23393" s="4"/>
    </row>
    <row collapsed="" customFormat="false" customHeight="1" hidden="" ht="14" outlineLevel="0" r="23394">
      <c r="A23394" s="3" t="inlineStr">
        <is>
          <t>23316</t>
        </is>
      </c>
      <c r="B23394" s="4" t="s">
        <f>=HYPERLINK("http://anyluxury.ru/shop/podarki-dlya-doma/polotentsa/polotence-mahrovoe-tiffani-maloe-sinee-spelaya-chernika-1649540/" , "16495.40 Полотенце махровое «Тиффани», малое, синее (спелая черника)")</f>
      </c>
      <c r="C23394" s="4" t="n">
        <v>330.00</v>
      </c>
      <c r="D23394" s="4"/>
    </row>
    <row collapsed="" customFormat="false" customHeight="1" hidden="" ht="14" outlineLevel="0" r="23395">
      <c r="A23395" s="3" t="inlineStr">
        <is>
          <t>23317</t>
        </is>
      </c>
      <c r="B23395" s="4" t="s">
        <f>=HYPERLINK("http://anyluxury.ru/shop/podarki-dlya-doma/polotentsa/polotence-mahrovoe-tiffani-maloe-chernoe-1649530/" , "16495.30 Полотенце махровое «Тиффани», малое, черное")</f>
      </c>
      <c r="C23395" s="4" t="n">
        <v>330.00</v>
      </c>
      <c r="D23395" s="4"/>
    </row>
    <row collapsed="" customFormat="false" customHeight="1" hidden="" ht="14" outlineLevel="0" r="23396">
      <c r="A23396" s="3" t="inlineStr">
        <is>
          <t>23318</t>
        </is>
      </c>
      <c r="B23396" s="4" t="s">
        <f>=HYPERLINK("http://anyluxury.ru/shop/podarki-dlya-doma/polotentsa/polotence-mahrovoe-tiffani-maloe-zelenoe-fistashkoviy-1649590/" , "16495.90 Полотенце махровое «Тиффани», малое, зеленое, (фисташковый)")</f>
      </c>
      <c r="C23396" s="4" t="n">
        <v>330.00</v>
      </c>
      <c r="D23396" s="4"/>
    </row>
    <row collapsed="" customFormat="false" customHeight="1" hidden="" ht="14" outlineLevel="0" r="23397">
      <c r="A23397" s="3" t="inlineStr">
        <is>
          <t>23319</t>
        </is>
      </c>
      <c r="B23397" s="4" t="s">
        <f>=HYPERLINK("http://anyluxury.ru/shop/podarki-dlya-doma/polotentsa/polotence-mahrovoe-tiffani-srednee-zelenoe-fistashkoviy-1649690/" , "16496.90 Полотенце махровое «Тиффани», среднее, зеленое, (фисташковый)")</f>
      </c>
      <c r="C23397" s="4" t="n">
        <v>470.00</v>
      </c>
      <c r="D23397" s="4"/>
    </row>
    <row collapsed="" customFormat="false" customHeight="1" hidden="" ht="14" outlineLevel="0" r="23398">
      <c r="A23398" s="3" t="inlineStr">
        <is>
          <t>23320</t>
        </is>
      </c>
      <c r="B23398" s="4" t="s">
        <f>=HYPERLINK("http://anyluxury.ru/shop/podarki-dlya-doma/polotentsa/polotence-mahrovoe-tiffani-srednee-svetloseroe-lunniy-rok-1649613/" , "16496.13 Полотенце махровое «Тиффани», среднее, светло-серое (лунный рок)")</f>
      </c>
      <c r="C23398" s="4" t="n">
        <v>470.00</v>
      </c>
      <c r="D23398" s="4"/>
    </row>
    <row collapsed="" customFormat="false" customHeight="1" hidden="" ht="14" outlineLevel="0" r="23399">
      <c r="A23399" s="3" t="inlineStr">
        <is>
          <t>23321</t>
        </is>
      </c>
      <c r="B23399" s="4" t="s">
        <f>=HYPERLINK("http://anyluxury.ru/shop/podarki-dlya-doma/polotentsa/polotence-mahrovoe-tiffani-bolshoe-seroe-1649731/" , "16497.31 Полотенце махровое «Тиффани», большое, серое")</f>
      </c>
      <c r="C23399" s="4" t="n">
        <v>990.00</v>
      </c>
      <c r="D23399" s="4"/>
    </row>
    <row collapsed="" customFormat="false" customHeight="1" hidden="" ht="14" outlineLevel="0" r="23400">
      <c r="A23400" s="3" t="inlineStr">
        <is>
          <t>23322</t>
        </is>
      </c>
      <c r="B23400" s="4" t="s">
        <f>=HYPERLINK("http://anyluxury.ru/shop/podarki-dlya-doma/polotentsa/polotence-mahrovoe-tiffani-bolshoe-sinee-spelaya-chernika-1649740/" , "16497.40 Полотенце махровое «Тиффани», большое, синее (спелая черника)")</f>
      </c>
      <c r="C23400" s="4" t="n">
        <v>990.00</v>
      </c>
      <c r="D23400" s="4"/>
    </row>
    <row collapsed="" customFormat="false" customHeight="1" hidden="" ht="14" outlineLevel="0" r="23401">
      <c r="A23401" s="3" t="inlineStr">
        <is>
          <t>23323</t>
        </is>
      </c>
      <c r="B23401" s="4" t="s">
        <f>=HYPERLINK("http://anyluxury.ru/shop/podarki-dlya-doma/polotentsa/polotence-mahrovoe-tiffani-bolshoe-chernoe-1649730/" , "16497.30 Полотенце махровое «Тиффани», большое, черное")</f>
      </c>
      <c r="C23401" s="4" t="n">
        <v>990.00</v>
      </c>
      <c r="D23401" s="4"/>
    </row>
    <row collapsed="" customFormat="false" customHeight="1" hidden="" ht="14" outlineLevel="0" r="23402">
      <c r="A23402" s="3" t="inlineStr">
        <is>
          <t>23324</t>
        </is>
      </c>
      <c r="B23402" s="4" t="s">
        <f>=HYPERLINK("http://anyluxury.ru/shop/podarki-dlya-doma/polotentsa/polotence-mahrovoe-tiffani-bolshoe-zelenoe-fistashkoviy-1649790/" , "16497.90 Полотенце махровое «Тиффани», большое, зеленое, (фисташковый)")</f>
      </c>
      <c r="C23402" s="4" t="n">
        <v>990.00</v>
      </c>
      <c r="D23402" s="4"/>
    </row>
    <row collapsed="" customFormat="false" customHeight="1" hidden="" ht="14" outlineLevel="0" r="23403">
      <c r="A23403" s="3" t="inlineStr">
        <is>
          <t>23325</t>
        </is>
      </c>
      <c r="B23403" s="4" t="s">
        <f>=HYPERLINK("http://anyluxury.ru/shop/podarki-dlya-doma/polotentsa/polotence-mahrovoe-tiffani-bolshoe-svetloseroe-lunniy-rok-1649713/" , "16497.13 Полотенце махровое «Тиффани», большое, светло-серое (лунный рок)")</f>
      </c>
      <c r="C23403" s="4" t="n">
        <v>990.00</v>
      </c>
      <c r="D23403" s="4"/>
    </row>
    <row collapsed="" customFormat="false" customHeight="1" hidden="" ht="14" outlineLevel="0" r="23404">
      <c r="A23404" s="3" t="inlineStr">
        <is>
          <t>23326</t>
        </is>
      </c>
      <c r="B23404" s="4" t="s">
        <f>=HYPERLINK("http://anyluxury.ru/shop/podarki-dlya-doma/polotentsa/sportivnoe-polotence-sorff-na-zakaz-s-dostavka-avia-1853601avi/" , "18536.01.avi Спортивное полотенце Сorff на заказ, S, доставка авиа")</f>
      </c>
      <c r="C23404" s="4" t="n">
        <v>11.03</v>
      </c>
      <c r="D23404" s="4"/>
    </row>
    <row collapsed="" customFormat="false" customHeight="1" hidden="" ht="14" outlineLevel="0" r="23405">
      <c r="A23405" s="3" t="inlineStr">
        <is>
          <t>23327</t>
        </is>
      </c>
      <c r="B23405" s="4" t="s">
        <f>=HYPERLINK("http://anyluxury.ru/shop/podarki-dlya-doma/polotentsa/sportivnoe-polotence-sorff-na-zakaz-s-dostavka-zhd-1853601rail/" , "18536.01.rail Спортивное полотенце Сorff на заказ, S, доставка ж/д")</f>
      </c>
      <c r="C23405" s="4" t="n">
        <v>7.61</v>
      </c>
      <c r="D23405" s="4"/>
    </row>
    <row collapsed="" customFormat="false" customHeight="1" hidden="" ht="14" outlineLevel="0" r="23406">
      <c r="A23406" s="3" t="inlineStr">
        <is>
          <t>23328</t>
        </is>
      </c>
      <c r="B23406" s="4" t="s">
        <f>=HYPERLINK("http://anyluxury.ru/shop/podarki-dlya-doma/polotentsa/sportivnoe-polotence-sorff-na-zakaz-m-dostavka-avia-1853501avi/" , "18535.01.avi Спортивное полотенце Сorff на заказ, M, доставка авиа")</f>
      </c>
      <c r="C23406" s="4" t="n">
        <v>20.40</v>
      </c>
      <c r="D23406" s="4"/>
    </row>
    <row collapsed="" customFormat="false" customHeight="1" hidden="" ht="14" outlineLevel="0" r="23407">
      <c r="A23407" s="3" t="inlineStr">
        <is>
          <t>23329</t>
        </is>
      </c>
      <c r="B23407" s="4" t="s">
        <f>=HYPERLINK("http://anyluxury.ru/shop/podarki-dlya-doma/polotentsa/sportivnoe-polotence-sorff-na-zakaz-m-dostavka-zhd-1853501rail/" , "18535.01.rail Спортивное полотенце Сorff на заказ, M, доставка ж/д")</f>
      </c>
      <c r="C23407" s="4" t="n">
        <v>13.40</v>
      </c>
      <c r="D23407" s="4"/>
    </row>
    <row collapsed="" customFormat="false" customHeight="1" hidden="" ht="14" outlineLevel="0" r="23408">
      <c r="A23408" s="3" t="inlineStr">
        <is>
          <t>23330</t>
        </is>
      </c>
      <c r="B23408" s="4" t="s">
        <f>=HYPERLINK("http://anyluxury.ru/shop/podarki-dlya-doma/polotentsa/polotence-etude-ver2-maloe-krasnoe-2002550/" , "20025.50 Полотенце Etude ver.2, малое, красное")</f>
      </c>
      <c r="C23408" s="4" t="n">
        <v>220.00</v>
      </c>
      <c r="D23408" s="4"/>
    </row>
    <row collapsed="" customFormat="false" customHeight="1" hidden="" ht="14" outlineLevel="0" r="23409">
      <c r="A23409" s="3" t="inlineStr">
        <is>
          <t>23331</t>
        </is>
      </c>
      <c r="B23409" s="4" t="s">
        <f>=HYPERLINK("http://anyluxury.ru/shop/podarki-dlya-doma/polotentsa/polotence-mahrovoe-yunona-maloe-chernoe-1649430/" , "16494.30 Полотенце махровое «Юнона», малое, черное")</f>
      </c>
      <c r="C23409" s="4" t="n">
        <v>140.00</v>
      </c>
      <c r="D23409" s="4"/>
    </row>
    <row collapsed="" customFormat="false" customHeight="" hidden="" ht="12.1" outlineLevel="0" r="23410">
      <c r="A23410" s="5" t="inlineStr">
        <is>
          <t>Подарочные наборы</t>
        </is>
      </c>
      <c r="B23410" s="6"/>
      <c r="C23410" s="6"/>
      <c r="D23410" s="6"/>
    </row>
    <row collapsed="" customFormat="false" customHeight="1" hidden="" ht="14" outlineLevel="0" r="23411">
      <c r="A23411" s="3" t="inlineStr">
        <is>
          <t>23332</t>
        </is>
      </c>
      <c r="B23411" s="4" t="s">
        <f>=HYPERLINK("http://anyluxury.ru/shop/podarochnye-nabory/podarochnyy-nabor-v-trende/" , "AB2020042 Подарочный набор 'В тренде'")</f>
      </c>
      <c r="C23411" s="4" t="n">
        <v>1045.00</v>
      </c>
      <c r="D23411" s="4"/>
    </row>
    <row collapsed="" customFormat="false" customHeight="" hidden="" ht="12.1" outlineLevel="0" r="23412">
      <c r="A23412" s="5" t="inlineStr">
        <is>
          <t> -  - Бизнес наборы</t>
        </is>
      </c>
      <c r="B23412" s="6"/>
      <c r="C23412" s="6"/>
      <c r="D23412" s="6"/>
    </row>
    <row collapsed="" customFormat="false" customHeight="1" hidden="" ht="14" outlineLevel="0" r="23413">
      <c r="A23413" s="3" t="inlineStr">
        <is>
          <t>23333</t>
        </is>
      </c>
      <c r="B23413" s="4" t="s">
        <f>=HYPERLINK("http://anyluxury.ru/shop/podarochnye-nabory/biznes-nabory/podarochniy-nabor-portobellogrand-krasniy-power-bankruchka-gs29559greygrand/" , "GS-295-59-GREY-GRAND Подарочный набор Grand, Bello, красный (аккумулятор, ручка)")</f>
      </c>
      <c r="C23413" s="4" t="n">
        <v>4626.00</v>
      </c>
      <c r="D23413" s="4"/>
    </row>
    <row collapsed="" customFormat="false" customHeight="1" hidden="" ht="14" outlineLevel="0" r="23414">
      <c r="A23414" s="3" t="inlineStr">
        <is>
          <t>23334</t>
        </is>
      </c>
      <c r="B23414" s="4" t="s">
        <f>=HYPERLINK("http://anyluxury.ru/shop/podarochnye-nabory/biznes-nabory/nabor-dualist-maliy-beliy-1150560/" , "11505.60 Набор Dualist, малый, белый")</f>
      </c>
      <c r="C23414" s="4" t="n">
        <v>2168.00</v>
      </c>
      <c r="D23414" s="4"/>
    </row>
    <row collapsed="" customFormat="false" customHeight="1" hidden="" ht="14" outlineLevel="0" r="23415">
      <c r="A23415" s="3" t="inlineStr">
        <is>
          <t>23335</t>
        </is>
      </c>
      <c r="B23415" s="4" t="s">
        <f>=HYPERLINK("http://anyluxury.ru/shop/podarochnye-nabory/biznes-nabory/nabor-dualist-bolshoy-beliy-1151060/" , "11510.60 Набор Dualist, большой, белый")</f>
      </c>
      <c r="C23415" s="4" t="n">
        <v>2468.00</v>
      </c>
      <c r="D23415" s="4"/>
    </row>
    <row collapsed="" customFormat="false" customHeight="1" hidden="" ht="14" outlineLevel="0" r="23416">
      <c r="A23416" s="3" t="inlineStr">
        <is>
          <t>23336</t>
        </is>
      </c>
      <c r="B23416" s="4" t="s">
        <f>=HYPERLINK("http://anyluxury.ru/shop/podarochnye-nabory/biznes-nabory/nabor-dualist-memo-maliy-beliy-8-gb-1250560/" , "12505.60 Набор Dualist Memo, малый, белый, 8 Гб")</f>
      </c>
      <c r="C23416" s="4" t="n">
        <v>2630.00</v>
      </c>
      <c r="D23416" s="4"/>
    </row>
    <row collapsed="" customFormat="false" customHeight="1" hidden="" ht="14" outlineLevel="0" r="23417">
      <c r="A23417" s="3" t="inlineStr">
        <is>
          <t>23337</t>
        </is>
      </c>
      <c r="B23417" s="4" t="s">
        <f>=HYPERLINK("http://anyluxury.ru/shop/podarochnye-nabory/biznes-nabory/podarochnyy-nabor-pavloposadskiy-platok-mufta/" , "74782 Подарочный набор: Павлопосадский платок, муфта")</f>
      </c>
      <c r="C23417" s="4" t="n">
        <v>8000.00</v>
      </c>
      <c r="D23417" s="4"/>
    </row>
    <row collapsed="" customFormat="false" customHeight="1" hidden="" ht="14" outlineLevel="0" r="23418">
      <c r="A23418" s="3" t="inlineStr">
        <is>
          <t>23338</t>
        </is>
      </c>
      <c r="B23418" s="4" t="s">
        <f>=HYPERLINK("http://anyluxury.ru/shop/podarochnye-nabory/biznes-nabory/podarochnyy-nabor-pavloposadskiy-platok-mufta-1/" , "74771 Подарочный набор: Павлопосадский платок, муфта")</f>
      </c>
      <c r="C23418" s="4" t="n">
        <v>8000.00</v>
      </c>
      <c r="D23418" s="4"/>
    </row>
    <row collapsed="" customFormat="false" customHeight="1" hidden="" ht="14" outlineLevel="0" r="23419">
      <c r="A23419" s="3" t="inlineStr">
        <is>
          <t>23339</t>
        </is>
      </c>
      <c r="B23419" s="4" t="s">
        <f>=HYPERLINK("http://anyluxury.ru/shop/podarochnye-nabory/biznes-nabory/nabor-favor-energy-cherniy-1075430/" , "10754.30 Набор Favor Energy, черный")</f>
      </c>
      <c r="C23419" s="4" t="n">
        <v>3434.00</v>
      </c>
      <c r="D23419" s="4"/>
    </row>
    <row collapsed="" customFormat="false" customHeight="1" hidden="" ht="14" outlineLevel="0" r="23420">
      <c r="A23420" s="3" t="inlineStr">
        <is>
          <t>23340</t>
        </is>
      </c>
      <c r="B23420" s="4" t="s">
        <f>=HYPERLINK("http://anyluxury.ru/shop/podarochnye-nabory/biznes-nabory/nabor-favor-energy-siniy-1075440/" , "10754.40 Набор Favor Energy, синий")</f>
      </c>
      <c r="C23420" s="4" t="n">
        <v>3444.00</v>
      </c>
      <c r="D23420" s="4"/>
    </row>
    <row collapsed="" customFormat="false" customHeight="1" hidden="" ht="14" outlineLevel="0" r="23421">
      <c r="A23421" s="3" t="inlineStr">
        <is>
          <t>23341</t>
        </is>
      </c>
      <c r="B23421" s="4" t="s">
        <f>=HYPERLINK("http://anyluxury.ru/shop/podarochnye-nabory/biznes-nabory/nabor-favor-energy-oranzheviy-1075420/" , "10754.20 Набор Favor Energy, оранжевый")</f>
      </c>
      <c r="C23421" s="4" t="n">
        <v>3434.00</v>
      </c>
      <c r="D23421" s="4"/>
    </row>
    <row collapsed="" customFormat="false" customHeight="1" hidden="" ht="14" outlineLevel="0" r="23422">
      <c r="A23422" s="3" t="inlineStr">
        <is>
          <t>23342</t>
        </is>
      </c>
      <c r="B23422" s="4" t="s">
        <f>=HYPERLINK("http://anyluxury.ru/shop/podarochnye-nabory/biznes-nabory/podarochniy-nabor-portobello-krasniy-v-maloy-universalnoy-podarochnoy-korobke-sportbutilka-ezhednevnik-nedat-a5-ruchka-gsun1000601/" , "GS-UN-100-060.1 Подарочный набор в малой универсальной коробке, красный (спортбутылка, ежедневник, ручка)")</f>
      </c>
      <c r="C23422" s="4" t="n">
        <v>1479.00</v>
      </c>
      <c r="D23422" s="4"/>
    </row>
    <row collapsed="" customFormat="false" customHeight="1" hidden="" ht="14" outlineLevel="0" r="23423">
      <c r="A23423" s="3" t="inlineStr">
        <is>
          <t>23343</t>
        </is>
      </c>
      <c r="B23423" s="4" t="s">
        <f>=HYPERLINK("http://anyluxury.ru/shop/podarochnye-nabory/biznes-nabory/podarochniy-nabor-portobellotermokruzhka-baleozu-stone-island-pb-seriy-gs-2-un2/" , "GS_2_UN-2 Подарочный набор Baleo, Stone Island, серый (термокружка, аккумулятор)")</f>
      </c>
      <c r="C23423" s="4" t="n">
        <v>2805.00</v>
      </c>
      <c r="D23423" s="4"/>
    </row>
    <row collapsed="" customFormat="false" customHeight="1" hidden="" ht="14" outlineLevel="0" r="23424">
      <c r="A23424" s="3" t="inlineStr">
        <is>
          <t>23344</t>
        </is>
      </c>
      <c r="B23424" s="4" t="s">
        <f>=HYPERLINK("http://anyluxury.ru/shop/podarochnye-nabory/biznes-nabory/nabor-beach-writer-siniy-1209140/" , "12091.40 Набор Beach Writer, синий")</f>
      </c>
      <c r="C23424" s="4" t="n">
        <v>1972.00</v>
      </c>
      <c r="D23424" s="4"/>
    </row>
    <row collapsed="" customFormat="false" customHeight="1" hidden="" ht="14" outlineLevel="0" r="23425">
      <c r="A23425" s="3" t="inlineStr">
        <is>
          <t>23345</t>
        </is>
      </c>
      <c r="B23425" s="4" t="s">
        <f>=HYPERLINK("http://anyluxury.ru/shop/podarochnye-nabory/biznes-nabory/nabor-happy-new-beliy-1289960/" , "12899.60 Набор Happy New, белый")</f>
      </c>
      <c r="C23425" s="4" t="n">
        <v>814.50</v>
      </c>
      <c r="D23425" s="4"/>
    </row>
    <row collapsed="" customFormat="false" customHeight="1" hidden="" ht="14" outlineLevel="0" r="23426">
      <c r="A23426" s="3" t="inlineStr">
        <is>
          <t>23346</t>
        </is>
      </c>
      <c r="B23426" s="4" t="s">
        <f>=HYPERLINK("http://anyluxury.ru/shop/podarochnye-nabory/biznes-nabory/nabor-hugo-boss-papka-brelok-i-ruchka-cherniy-hpakr804a/" , "HPAKR804A Набор Hugo Boss: папка, брелок и ручка, черный")</f>
      </c>
      <c r="C23426" s="4" t="n">
        <v>38978.00</v>
      </c>
      <c r="D23426" s="4"/>
    </row>
    <row collapsed="" customFormat="false" customHeight="1" hidden="" ht="14" outlineLevel="0" r="23427">
      <c r="A23427" s="3" t="inlineStr">
        <is>
          <t>23347</t>
        </is>
      </c>
      <c r="B23427" s="4" t="s">
        <f>=HYPERLINK("http://anyluxury.ru/shop/podarochnye-nabory/biznes-nabory/nabor-need-deed-seriy-1275610/" , "12756.10 Набор Need Deed, серый")</f>
      </c>
      <c r="C23427" s="4" t="n">
        <v>2740.00</v>
      </c>
      <c r="D23427" s="4"/>
    </row>
    <row collapsed="" customFormat="false" customHeight="1" hidden="" ht="14" outlineLevel="0" r="23428">
      <c r="A23428" s="3" t="inlineStr">
        <is>
          <t>23348</t>
        </is>
      </c>
      <c r="B23428" s="4" t="s">
        <f>=HYPERLINK("http://anyluxury.ru/shop/podarochnye-nabory/biznes-nabory/nabor-hop-in-oranzheviy-1717020/" , "17170.20 Набор Hop In, оранжевый")</f>
      </c>
      <c r="C23428" s="4" t="n">
        <v>1295.80</v>
      </c>
      <c r="D23428" s="4"/>
    </row>
    <row collapsed="" customFormat="false" customHeight="1" hidden="" ht="14" outlineLevel="0" r="23429">
      <c r="A23429" s="3" t="inlineStr">
        <is>
          <t>23349</t>
        </is>
      </c>
      <c r="B23429" s="4" t="s">
        <f>=HYPERLINK("http://anyluxury.ru/shop/podarochnye-nabory/biznes-nabory/nabor-hop-in-cherniy-1717030/" , "17170.30 Набор Hop In, черный")</f>
      </c>
      <c r="C23429" s="4" t="n">
        <v>1429.40</v>
      </c>
      <c r="D23429" s="4"/>
    </row>
    <row collapsed="" customFormat="false" customHeight="1" hidden="" ht="14" outlineLevel="0" r="23430">
      <c r="A23430" s="3" t="inlineStr">
        <is>
          <t>23350</t>
        </is>
      </c>
      <c r="B23430" s="4" t="s">
        <f>=HYPERLINK("http://anyluxury.ru/shop/podarochnye-nabory/biznes-nabory/nabor-hop-in-siniy-1717040/" , "17170.40 Набор Hop In, синий")</f>
      </c>
      <c r="C23430" s="4" t="n">
        <v>1429.40</v>
      </c>
      <c r="D23430" s="4"/>
    </row>
    <row collapsed="" customFormat="false" customHeight="1" hidden="" ht="14" outlineLevel="0" r="23431">
      <c r="A23431" s="3" t="inlineStr">
        <is>
          <t>23351</t>
        </is>
      </c>
      <c r="B23431" s="4" t="s">
        <f>=HYPERLINK("http://anyluxury.ru/shop/podarochnye-nabory/biznes-nabory/nabor-eco-citizen-siniy-1706540/" , "17065.40 Набор Eco Citizen, синий")</f>
      </c>
      <c r="C23431" s="4" t="n">
        <v>1041.00</v>
      </c>
      <c r="D23431" s="4"/>
    </row>
    <row collapsed="" customFormat="false" customHeight="1" hidden="" ht="14" outlineLevel="0" r="23432">
      <c r="A23432" s="3" t="inlineStr">
        <is>
          <t>23352</t>
        </is>
      </c>
      <c r="B23432" s="4" t="s">
        <f>=HYPERLINK("http://anyluxury.ru/shop/podarochnye-nabory/biznes-nabory/nabor-dlya-konferenciiforum-siniy-1391140/" , "13911.40 Набор для конференции Forum, синий")</f>
      </c>
      <c r="C23432" s="4" t="n">
        <v>764.20</v>
      </c>
      <c r="D23432" s="4"/>
    </row>
    <row collapsed="" customFormat="false" customHeight="1" hidden="" ht="14" outlineLevel="0" r="23433">
      <c r="A23433" s="3" t="inlineStr">
        <is>
          <t>23353</t>
        </is>
      </c>
      <c r="B23433" s="4" t="s">
        <f>=HYPERLINK("http://anyluxury.ru/shop/podarochnye-nabory/biznes-nabory/nabor-dlya-konferencii-forum-krasniy-1391150/" , "13911.50 Набор для конференции Forum, красный")</f>
      </c>
      <c r="C23433" s="4" t="n">
        <v>764.20</v>
      </c>
      <c r="D23433" s="4"/>
    </row>
    <row collapsed="" customFormat="false" customHeight="1" hidden="" ht="14" outlineLevel="0" r="23434">
      <c r="A23434" s="3" t="inlineStr">
        <is>
          <t>23354</t>
        </is>
      </c>
      <c r="B23434" s="4" t="s">
        <f>=HYPERLINK("http://anyluxury.ru/shop/podarochnye-nabory/biznes-nabory/nabor-mozgovoy-shturm-1424530/" , "14245.30 Набор «Мозговой штурм»")</f>
      </c>
      <c r="C23434" s="4" t="n">
        <v>4763.00</v>
      </c>
      <c r="D23434" s="4"/>
    </row>
    <row collapsed="" customFormat="false" customHeight="1" hidden="" ht="14" outlineLevel="0" r="23435">
      <c r="A23435" s="3" t="inlineStr">
        <is>
          <t>23355</t>
        </is>
      </c>
      <c r="B23435" s="4" t="s">
        <f>=HYPERLINK("http://anyluxury.ru/shop/podarochnye-nabory/biznes-nabory/podarochniy-nabor-portobellolatte-new-cherniy-ezhednevnik-nedat-a5-ruchka-2207010/" , "2207.010 Подарочный набор Latte NEW, черный (ежедневник, ручка)")</f>
      </c>
      <c r="C23435" s="4" t="n">
        <v>1570.00</v>
      </c>
      <c r="D23435" s="4"/>
    </row>
    <row collapsed="" customFormat="false" customHeight="1" hidden="" ht="14" outlineLevel="0" r="23436">
      <c r="A23436" s="3" t="inlineStr">
        <is>
          <t>23356</t>
        </is>
      </c>
      <c r="B23436" s="4" t="s">
        <f>=HYPERLINK("http://anyluxury.ru/shop/podarochnye-nabory/biznes-nabory/podarochniy-nabor-portobellovoyage-btobook-cherniy-ezhednevnik-nedat-a5-ruchka-2208010/" , "2208.010 Подарочный набор Voyage BtoBook, черный (ежедневник, ручка)")</f>
      </c>
      <c r="C23436" s="4" t="n">
        <v>1920.00</v>
      </c>
      <c r="D23436" s="4"/>
    </row>
    <row collapsed="" customFormat="false" customHeight="1" hidden="" ht="14" outlineLevel="0" r="23437">
      <c r="A23437" s="3" t="inlineStr">
        <is>
          <t>23357</t>
        </is>
      </c>
      <c r="B23437" s="4" t="s">
        <f>=HYPERLINK("http://anyluxury.ru/shop/podarochnye-nabory/biznes-nabory/podarochniy-nabor-portobellonuba-btobook-siniy-ezhednevnik-nedat-a5-ruchka-2219030/" , "2219.030 Подарочный набор Nuba BtoBook, синий (ежедневник, ручка)")</f>
      </c>
      <c r="C23437" s="4" t="n">
        <v>1920.00</v>
      </c>
      <c r="D23437" s="4"/>
    </row>
    <row collapsed="" customFormat="false" customHeight="1" hidden="" ht="14" outlineLevel="0" r="23438">
      <c r="A23438" s="3" t="inlineStr">
        <is>
          <t>23358</t>
        </is>
      </c>
      <c r="B23438" s="4" t="s">
        <f>=HYPERLINK("http://anyluxury.ru/shop/podarochnye-nabory/biznes-nabory/nabor-devon-mini-seriy-1722610/" , "17226.10 Набор Devon Mini, серый")</f>
      </c>
      <c r="C23438" s="4" t="n">
        <v>1642.00</v>
      </c>
      <c r="D23438" s="4"/>
    </row>
    <row collapsed="" customFormat="false" customHeight="1" hidden="" ht="14" outlineLevel="0" r="23439">
      <c r="A23439" s="3" t="inlineStr">
        <is>
          <t>23359</t>
        </is>
      </c>
      <c r="B23439" s="4" t="s">
        <f>=HYPERLINK("http://anyluxury.ru/shop/podarochnye-nabory/biznes-nabory/nabor-devon-mini-cherniy-1722630/" , "17226.30 Набор Devon Mini, черный")</f>
      </c>
      <c r="C23439" s="4" t="n">
        <v>1642.00</v>
      </c>
      <c r="D23439" s="4"/>
    </row>
    <row collapsed="" customFormat="false" customHeight="1" hidden="" ht="14" outlineLevel="0" r="23440">
      <c r="A23440" s="3" t="inlineStr">
        <is>
          <t>23360</t>
        </is>
      </c>
      <c r="B23440" s="4" t="s">
        <f>=HYPERLINK("http://anyluxury.ru/shop/podarochnye-nabory/biznes-nabory/nabor-devon-mini-siniy-1722640/" , "17226.40 Набор Devon Mini, синий")</f>
      </c>
      <c r="C23440" s="4" t="n">
        <v>1642.00</v>
      </c>
      <c r="D23440" s="4"/>
    </row>
    <row collapsed="" customFormat="false" customHeight="1" hidden="" ht="14" outlineLevel="0" r="23441">
      <c r="A23441" s="3" t="inlineStr">
        <is>
          <t>23361</t>
        </is>
      </c>
      <c r="B23441" s="4" t="s">
        <f>=HYPERLINK("http://anyluxury.ru/shop/podarochnye-nabory/biznes-nabory/nabor-devon-mini-krasniy-1722650/" , "17226.50 Набор Devon Mini, красный")</f>
      </c>
      <c r="C23441" s="4" t="n">
        <v>1642.00</v>
      </c>
      <c r="D23441" s="4"/>
    </row>
    <row collapsed="" customFormat="false" customHeight="1" hidden="" ht="14" outlineLevel="0" r="23442">
      <c r="A23442" s="3" t="inlineStr">
        <is>
          <t>23362</t>
        </is>
      </c>
      <c r="B23442" s="4" t="s">
        <f>=HYPERLINK("http://anyluxury.ru/shop/podarochnye-nabory/biznes-nabory/nabor-welcome-pack-cherniy-1622930/" , "16229.30 Набор Welcome Pack, черный")</f>
      </c>
      <c r="C23442" s="4" t="n">
        <v>2129.00</v>
      </c>
      <c r="D23442" s="4"/>
    </row>
    <row collapsed="" customFormat="false" customHeight="1" hidden="" ht="14" outlineLevel="0" r="23443">
      <c r="A23443" s="3" t="inlineStr">
        <is>
          <t>23363</t>
        </is>
      </c>
      <c r="B23443" s="4" t="s">
        <f>=HYPERLINK("http://anyluxury.ru/shop/podarochnye-nabory/biznes-nabory/nabor-welcome-pack-krasniy-1622950/" , "16229.50 Набор Welcome Pack, красный")</f>
      </c>
      <c r="C23443" s="4" t="n">
        <v>2326.30</v>
      </c>
      <c r="D23443" s="4"/>
    </row>
    <row collapsed="" customFormat="false" customHeight="1" hidden="" ht="14" outlineLevel="0" r="23444">
      <c r="A23444" s="3" t="inlineStr">
        <is>
          <t>23364</t>
        </is>
      </c>
      <c r="B23444" s="4" t="s">
        <f>=HYPERLINK("http://anyluxury.ru/shop/podarochnye-nabory/biznes-nabory/nabor-welcome-pack-oranzheviy-1622920/" , "16229.20 Набор Welcome Pack, оранжевый")</f>
      </c>
      <c r="C23444" s="4" t="n">
        <v>2212.40</v>
      </c>
      <c r="D23444" s="4"/>
    </row>
    <row collapsed="" customFormat="false" customHeight="1" hidden="" ht="14" outlineLevel="0" r="23445">
      <c r="A23445" s="3" t="inlineStr">
        <is>
          <t>23365</t>
        </is>
      </c>
      <c r="B23445" s="4" t="s">
        <f>=HYPERLINK("http://anyluxury.ru/shop/podarochnye-nabory/biznes-nabory/nabor-workaday-seriy-1524811/" , "15248.11 Набор Workaday, серый")</f>
      </c>
      <c r="C23445" s="4" t="n">
        <v>3675.00</v>
      </c>
      <c r="D23445" s="4"/>
    </row>
    <row collapsed="" customFormat="false" customHeight="1" hidden="" ht="14" outlineLevel="0" r="23446">
      <c r="A23446" s="3" t="inlineStr">
        <is>
          <t>23366</t>
        </is>
      </c>
      <c r="B23446" s="4" t="s">
        <f>=HYPERLINK("http://anyluxury.ru/shop/podarochnye-nabory/biznes-nabory/nabor-workaday-cherniy-1524830/" , "15248.30 Набор Workaday, черный")</f>
      </c>
      <c r="C23446" s="4" t="n">
        <v>3675.00</v>
      </c>
      <c r="D23446" s="4"/>
    </row>
    <row collapsed="" customFormat="false" customHeight="1" hidden="" ht="14" outlineLevel="0" r="23447">
      <c r="A23447" s="3" t="inlineStr">
        <is>
          <t>23367</t>
        </is>
      </c>
      <c r="B23447" s="4" t="s">
        <f>=HYPERLINK("http://anyluxury.ru/shop/podarochnye-nabory/biznes-nabory/nabor-devon-mini-oranzheviy-1722620/" , "17226.20 Набор Devon Mini, оранжевый")</f>
      </c>
      <c r="C23447" s="4" t="n">
        <v>1642.00</v>
      </c>
      <c r="D23447" s="4"/>
    </row>
    <row collapsed="" customFormat="false" customHeight="1" hidden="" ht="14" outlineLevel="0" r="23448">
      <c r="A23448" s="3" t="inlineStr">
        <is>
          <t>23368</t>
        </is>
      </c>
      <c r="B23448" s="4" t="s">
        <f>=HYPERLINK("http://anyluxury.ru/shop/podarochnye-nabory/biznes-nabory/nabor-devon-mini-temnozeleniy-1722699/" , "17226.99 Набор Devon Mini, темно-зеленый")</f>
      </c>
      <c r="C23448" s="4" t="n">
        <v>1642.00</v>
      </c>
      <c r="D23448" s="4"/>
    </row>
    <row collapsed="" customFormat="false" customHeight="1" hidden="" ht="14" outlineLevel="0" r="23449">
      <c r="A23449" s="3" t="inlineStr">
        <is>
          <t>23369</t>
        </is>
      </c>
      <c r="B23449" s="4" t="s">
        <f>=HYPERLINK("http://anyluxury.ru/shop/podarochnye-nabory/biznes-nabory/nabor-scribidi-krasniy-1541050/" , "15410.50 Набор Scribidi, красный")</f>
      </c>
      <c r="C23449" s="4" t="n">
        <v>4909.40</v>
      </c>
      <c r="D23449" s="4"/>
    </row>
    <row collapsed="" customFormat="false" customHeight="1" hidden="" ht="14" outlineLevel="0" r="23450">
      <c r="A23450" s="3" t="inlineStr">
        <is>
          <t>23370</t>
        </is>
      </c>
      <c r="B23450" s="4" t="s">
        <f>=HYPERLINK("http://anyluxury.ru/shop/podarochnye-nabory/biznes-nabory/nabor-scribidi-siniy-1541040/" , "15410.40 Набор Scribidi, синий")</f>
      </c>
      <c r="C23450" s="4" t="n">
        <v>5365.20</v>
      </c>
      <c r="D23450" s="4"/>
    </row>
    <row collapsed="" customFormat="false" customHeight="1" hidden="" ht="14" outlineLevel="0" r="23451">
      <c r="A23451" s="3" t="inlineStr">
        <is>
          <t>23371</t>
        </is>
      </c>
      <c r="B23451" s="4" t="s">
        <f>=HYPERLINK("http://anyluxury.ru/shop/podarochnye-nabory/biznes-nabory/nabor-devon-mini-zheltiy-1722680/" , "17226.80 Набор Devon Mini, желтый")</f>
      </c>
      <c r="C23451" s="4" t="n">
        <v>1642.00</v>
      </c>
      <c r="D23451" s="4"/>
    </row>
    <row collapsed="" customFormat="false" customHeight="1" hidden="" ht="14" outlineLevel="0" r="23452">
      <c r="A23452" s="3" t="inlineStr">
        <is>
          <t>23372</t>
        </is>
      </c>
      <c r="B23452" s="4" t="s">
        <f>=HYPERLINK("http://anyluxury.ru/shop/podarochnye-nabory/biznes-nabory/nabor-c-gorkim-shokoladom-industry-neft-i-gaz-1569901/" , "15699.01 Набор c горьким шоколадом Industry, нефть и газ")</f>
      </c>
      <c r="C23452" s="4" t="n">
        <v>940.00</v>
      </c>
      <c r="D23452" s="4"/>
    </row>
    <row collapsed="" customFormat="false" customHeight="1" hidden="" ht="14" outlineLevel="0" r="23453">
      <c r="A23453" s="3" t="inlineStr">
        <is>
          <t>23373</t>
        </is>
      </c>
      <c r="B23453" s="4" t="s">
        <f>=HYPERLINK("http://anyluxury.ru/shop/podarochnye-nabory/biznes-nabory/nabor-c-gorkim-shokoladom-industry-energetika-1569902/" , "15699.02 Набор c горьким шоколадом Industry, энергетика")</f>
      </c>
      <c r="C23453" s="4" t="n">
        <v>940.00</v>
      </c>
      <c r="D23453" s="4"/>
    </row>
    <row collapsed="" customFormat="false" customHeight="1" hidden="" ht="14" outlineLevel="0" r="23454">
      <c r="A23454" s="3" t="inlineStr">
        <is>
          <t>23374</t>
        </is>
      </c>
      <c r="B23454" s="4" t="s">
        <f>=HYPERLINK("http://anyluxury.ru/shop/podarochnye-nabory/biznes-nabory/nabor-c-gorkim-shokoladom-industry-morskaya-1569903/" , "15699.03 Набор c горьким шоколадом Industry, морская")</f>
      </c>
      <c r="C23454" s="4" t="n">
        <v>940.00</v>
      </c>
      <c r="D23454" s="4"/>
    </row>
    <row collapsed="" customFormat="false" customHeight="1" hidden="" ht="14" outlineLevel="0" r="23455">
      <c r="A23455" s="3" t="inlineStr">
        <is>
          <t>23375</t>
        </is>
      </c>
      <c r="B23455" s="4" t="s">
        <f>=HYPERLINK("http://anyluxury.ru/shop/podarochnye-nabory/biznes-nabory/nabor-c-gorkim-shokoladom-industry-zdravoohranenie-1569904/" , "15699.04 Набор c горьким шоколадом Industry, здравоохранение")</f>
      </c>
      <c r="C23455" s="4" t="n">
        <v>940.00</v>
      </c>
      <c r="D23455" s="4"/>
    </row>
    <row collapsed="" customFormat="false" customHeight="1" hidden="" ht="14" outlineLevel="0" r="23456">
      <c r="A23456" s="3" t="inlineStr">
        <is>
          <t>23376</t>
        </is>
      </c>
      <c r="B23456" s="4" t="s">
        <f>=HYPERLINK("http://anyluxury.ru/shop/podarochnye-nabory/biznes-nabory/nabor-c-gorkim-shokoladom-industry-selskoe-hozyaystvo-1569905/" , "15699.05 Набор c горьким шоколадом Industry, сельское хозяйство")</f>
      </c>
      <c r="C23456" s="4" t="n">
        <v>940.00</v>
      </c>
      <c r="D23456" s="4"/>
    </row>
    <row collapsed="" customFormat="false" customHeight="1" hidden="" ht="14" outlineLevel="0" r="23457">
      <c r="A23457" s="3" t="inlineStr">
        <is>
          <t>23377</t>
        </is>
      </c>
      <c r="B23457" s="4" t="s">
        <f>=HYPERLINK("http://anyluxury.ru/shop/podarochnye-nabory/biznes-nabory/nabor-c-gorkim-shokoladom-industry-metallurgiya-1569906/" , "15699.06 Набор c горьким шоколадом Industry, металлургия")</f>
      </c>
      <c r="C23457" s="4" t="n">
        <v>940.00</v>
      </c>
      <c r="D23457" s="4"/>
    </row>
    <row collapsed="" customFormat="false" customHeight="1" hidden="" ht="14" outlineLevel="0" r="23458">
      <c r="A23458" s="3" t="inlineStr">
        <is>
          <t>23378</t>
        </is>
      </c>
      <c r="B23458" s="4" t="s">
        <f>=HYPERLINK("http://anyluxury.ru/shop/podarochnye-nabory/biznes-nabory/nabor-c-gorkim-shokoladom-industry-stroitelstvo-1569907/" , "15699.07 Набор c горьким шоколадом Industry, строительство")</f>
      </c>
      <c r="C23458" s="4" t="n">
        <v>940.00</v>
      </c>
      <c r="D23458" s="4"/>
    </row>
    <row collapsed="" customFormat="false" customHeight="1" hidden="" ht="14" outlineLevel="0" r="23459">
      <c r="A23459" s="3" t="inlineStr">
        <is>
          <t>23379</t>
        </is>
      </c>
      <c r="B23459" s="4" t="s">
        <f>=HYPERLINK("http://anyluxury.ru/shop/podarochnye-nabory/biznes-nabory/podarochniy-nabor-bianca-fado-krasniy-pled-termobutilka-23593060/" , "23593.060 Подарочный набор Bianca, Fado, красный (плед, термобутылка)")</f>
      </c>
      <c r="C23459" s="4" t="n">
        <v>3515.00</v>
      </c>
      <c r="D23459" s="4"/>
    </row>
    <row collapsed="" customFormat="false" customHeight="1" hidden="" ht="14" outlineLevel="0" r="23460">
      <c r="A23460" s="3" t="inlineStr">
        <is>
          <t>23380</t>
        </is>
      </c>
      <c r="B23460" s="4" t="s">
        <f>=HYPERLINK("http://anyluxury.ru/shop/podarochnye-nabory/biznes-nabory/podarochniy-nabor-terso-fado-bezheviy-pled-termobutilka-23590525/" , "23590.525 Подарочный набор Terso, Fado, бежевый (плед, термобутылка)")</f>
      </c>
      <c r="C23460" s="4" t="n">
        <v>3675.00</v>
      </c>
      <c r="D23460" s="4"/>
    </row>
    <row collapsed="" customFormat="false" customHeight="1" hidden="" ht="14" outlineLevel="0" r="23461">
      <c r="A23461" s="3" t="inlineStr">
        <is>
          <t>23381</t>
        </is>
      </c>
      <c r="B23461" s="4" t="s">
        <f>=HYPERLINK("http://anyluxury.ru/shop/podarochnye-nabory/biznes-nabory/podarochniy-nabor-portobellospark-siniy-ezhednevnik-nedat-a5-ruchka-2303030/" , "2303.030 Подарочный набор Spark, синий (ежедневник, ручка)")</f>
      </c>
      <c r="C23461" s="4" t="n">
        <v>1895.00</v>
      </c>
      <c r="D23461" s="4"/>
    </row>
    <row collapsed="" customFormat="false" customHeight="1" hidden="" ht="14" outlineLevel="0" r="23462">
      <c r="A23462" s="3" t="inlineStr">
        <is>
          <t>23382</t>
        </is>
      </c>
      <c r="B23462" s="4" t="s">
        <f>=HYPERLINK("http://anyluxury.ru/shop/podarochnye-nabory/biznes-nabory/podarochniy-nabor-portobellospark-cherniy-ezhednevnik-nedat-a5-ruchka-2302010/" , "2302.010 Подарочный набор Spark, черный (ежедневник, ручка)")</f>
      </c>
      <c r="C23462" s="4" t="n">
        <v>1844.00</v>
      </c>
      <c r="D23462" s="4"/>
    </row>
    <row collapsed="" customFormat="false" customHeight="1" hidden="" ht="14" outlineLevel="0" r="23463">
      <c r="A23463" s="3" t="inlineStr">
        <is>
          <t>23383</t>
        </is>
      </c>
      <c r="B23463" s="4" t="s">
        <f>=HYPERLINK("http://anyluxury.ru/shop/podarochnye-nabory/biznes-nabory/nabor-enjoy-oranzheviy-1792220/" , "17922.20 Набор Enjoy, оранжевый")</f>
      </c>
      <c r="C23463" s="4" t="n">
        <v>800.10</v>
      </c>
      <c r="D23463" s="4"/>
    </row>
    <row collapsed="" customFormat="false" customHeight="1" hidden="" ht="14" outlineLevel="0" r="23464">
      <c r="A23464" s="3" t="inlineStr">
        <is>
          <t>23384</t>
        </is>
      </c>
      <c r="B23464" s="4" t="s">
        <f>=HYPERLINK("http://anyluxury.ru/shop/podarochnye-nabory/biznes-nabory/nabor-enjoy-krasniy-1792250/" , "17922.50 Набор Enjoy, красный")</f>
      </c>
      <c r="C23464" s="4" t="n">
        <v>800.10</v>
      </c>
      <c r="D23464" s="4"/>
    </row>
    <row collapsed="" customFormat="false" customHeight="1" hidden="" ht="14" outlineLevel="0" r="23465">
      <c r="A23465" s="3" t="inlineStr">
        <is>
          <t>23385</t>
        </is>
      </c>
      <c r="B23465" s="4" t="s">
        <f>=HYPERLINK("http://anyluxury.ru/shop/podarochnye-nabory/biznes-nabory/nabor-enjoy-fioletoviy-1792270/" , "17922.70 Набор Enjoy, фиолетовый")</f>
      </c>
      <c r="C23465" s="4" t="n">
        <v>816.10</v>
      </c>
      <c r="D23465" s="4"/>
    </row>
    <row collapsed="" customFormat="false" customHeight="1" hidden="" ht="14" outlineLevel="0" r="23466">
      <c r="A23466" s="3" t="inlineStr">
        <is>
          <t>23386</t>
        </is>
      </c>
      <c r="B23466" s="4" t="s">
        <f>=HYPERLINK("http://anyluxury.ru/shop/podarochnye-nabory/biznes-nabory/nabor-favor-memory-krasniy-1075450/" , "10754.50 Набор Favor Energy, красный")</f>
      </c>
      <c r="C23466" s="4" t="n">
        <v>3448.00</v>
      </c>
      <c r="D23466" s="4"/>
    </row>
    <row collapsed="" customFormat="false" customHeight="1" hidden="" ht="14" outlineLevel="0" r="23467">
      <c r="A23467" s="3" t="inlineStr">
        <is>
          <t>23387</t>
        </is>
      </c>
      <c r="B23467" s="4" t="s">
        <f>=HYPERLINK("http://anyluxury.ru/shop/podarochnye-nabory/biznes-nabory/nabor-flexpen-shall-energy-biryuzoviy-1988949/" , "19889.49 Набор Flexpen Shall Energy, бирюзовый")</f>
      </c>
      <c r="C23467" s="4" t="n">
        <v>3519.00</v>
      </c>
      <c r="D23467" s="4"/>
    </row>
    <row collapsed="" customFormat="false" customHeight="1" hidden="" ht="14" outlineLevel="0" r="23468">
      <c r="A23468" s="3" t="inlineStr">
        <is>
          <t>23388</t>
        </is>
      </c>
      <c r="B23468" s="4" t="s">
        <f>=HYPERLINK("http://anyluxury.ru/shop/podarochnye-nabory/biznes-nabory/nabor-nice-twice-underway-cherniy-s-oranzhevim-1989032/" , "19890.32 Набор Nice Twice Underway, черный с оранжевым")</f>
      </c>
      <c r="C23468" s="4" t="n">
        <v>3438.00</v>
      </c>
      <c r="D23468" s="4"/>
    </row>
    <row collapsed="" customFormat="false" customHeight="1" hidden="" ht="14" outlineLevel="0" r="23469">
      <c r="A23469" s="3" t="inlineStr">
        <is>
          <t>23389</t>
        </is>
      </c>
      <c r="B23469" s="4" t="s">
        <f>=HYPERLINK("http://anyluxury.ru/shop/podarochnye-nabory/biznes-nabory/nabor-nice-twice-underway-cherniy-s-serim-1989031/" , "19890.31 Набор Nice Twice Underway, черный с серым")</f>
      </c>
      <c r="C23469" s="4" t="n">
        <v>3438.00</v>
      </c>
      <c r="D23469" s="4"/>
    </row>
    <row collapsed="" customFormat="false" customHeight="1" hidden="" ht="14" outlineLevel="0" r="23470">
      <c r="A23470" s="3" t="inlineStr">
        <is>
          <t>23390</t>
        </is>
      </c>
      <c r="B23470" s="4" t="s">
        <f>=HYPERLINK("http://anyluxury.ru/shop/podarochnye-nabory/biznes-nabory/nabor-high-grade-seriy-1835910/" , "18359.10 Набор High Grade, серый")</f>
      </c>
      <c r="C23470" s="4" t="n">
        <v>1687.80</v>
      </c>
      <c r="D23470" s="4"/>
    </row>
    <row collapsed="" customFormat="false" customHeight="1" hidden="" ht="14" outlineLevel="0" r="23471">
      <c r="A23471" s="3" t="inlineStr">
        <is>
          <t>23391</t>
        </is>
      </c>
      <c r="B23471" s="4" t="s">
        <f>=HYPERLINK("http://anyluxury.ru/shop/podarochnye-nabory/biznes-nabory/nabor-high-grade-oranzheviy-1835920/" , "18359.20 Набор High Grade, оранжевый")</f>
      </c>
      <c r="C23471" s="4" t="n">
        <v>1687.80</v>
      </c>
      <c r="D23471" s="4"/>
    </row>
    <row collapsed="" customFormat="false" customHeight="1" hidden="" ht="14" outlineLevel="0" r="23472">
      <c r="A23472" s="3" t="inlineStr">
        <is>
          <t>23392</t>
        </is>
      </c>
      <c r="B23472" s="4" t="s">
        <f>=HYPERLINK("http://anyluxury.ru/shop/podarochnye-nabory/biznes-nabory/nabor-high-grade-cherniy-1835930/" , "18359.30 Набор High Grade, черный")</f>
      </c>
      <c r="C23472" s="4" t="n">
        <v>1687.80</v>
      </c>
      <c r="D23472" s="4"/>
    </row>
    <row collapsed="" customFormat="false" customHeight="1" hidden="" ht="14" outlineLevel="0" r="23473">
      <c r="A23473" s="3" t="inlineStr">
        <is>
          <t>23393</t>
        </is>
      </c>
      <c r="B23473" s="4" t="s">
        <f>=HYPERLINK("http://anyluxury.ru/shop/podarochnye-nabory/biznes-nabory/nabor-take-part-cherniy-s-sinim-1915634/" , "19156.34 Набор Take Part, черный с синим")</f>
      </c>
      <c r="C23473" s="4" t="n">
        <v>1086.70</v>
      </c>
      <c r="D23473" s="4"/>
    </row>
    <row collapsed="" customFormat="false" customHeight="1" hidden="" ht="14" outlineLevel="0" r="23474">
      <c r="A23474" s="3" t="inlineStr">
        <is>
          <t>23394</t>
        </is>
      </c>
      <c r="B23474" s="4" t="s">
        <f>=HYPERLINK("http://anyluxury.ru/shop/podarochnye-nabory/biznes-nabory/nabor-take-part-cherniy-s-zelenim-1915639/" , "19156.39 Набор Take Part, черный с зеленым")</f>
      </c>
      <c r="C23474" s="4" t="n">
        <v>1086.70</v>
      </c>
      <c r="D23474" s="4"/>
    </row>
    <row collapsed="" customFormat="false" customHeight="1" hidden="" ht="14" outlineLevel="0" r="23475">
      <c r="A23475" s="3" t="inlineStr">
        <is>
          <t>23395</t>
        </is>
      </c>
      <c r="B23475" s="4" t="s">
        <f>=HYPERLINK("http://anyluxury.ru/shop/podarochnye-nabory/biznes-nabory/nabor-take-part-cherniy-s-krasnim-1915635/" , "19156.35 Набор Take Part, черный с красным")</f>
      </c>
      <c r="C23475" s="4" t="n">
        <v>1086.70</v>
      </c>
      <c r="D23475" s="4"/>
    </row>
    <row collapsed="" customFormat="false" customHeight="1" hidden="" ht="14" outlineLevel="0" r="23476">
      <c r="A23476" s="3" t="inlineStr">
        <is>
          <t>23396</t>
        </is>
      </c>
      <c r="B23476" s="4" t="s">
        <f>=HYPERLINK("http://anyluxury.ru/shop/podarochnye-nabory/biznes-nabory/nabor-eto-baza-beliy-s-krasnim-1916065/" , "19160.65 Набор «Это база», белый с красным")</f>
      </c>
      <c r="C23476" s="4" t="n">
        <v>581.70</v>
      </c>
      <c r="D23476" s="4"/>
    </row>
    <row collapsed="" customFormat="false" customHeight="1" hidden="" ht="14" outlineLevel="0" r="23477">
      <c r="A23477" s="3" t="inlineStr">
        <is>
          <t>23397</t>
        </is>
      </c>
      <c r="B23477" s="4" t="s">
        <f>=HYPERLINK("http://anyluxury.ru/shop/podarochnye-nabory/biznes-nabory/nabor-eto-baza-beliy-s-sinim-1916064/" , "19160.64 Набор «Это база», белый с синим")</f>
      </c>
      <c r="C23477" s="4" t="n">
        <v>581.70</v>
      </c>
      <c r="D23477" s="4"/>
    </row>
    <row collapsed="" customFormat="false" customHeight="1" hidden="" ht="14" outlineLevel="0" r="23478">
      <c r="A23478" s="3" t="inlineStr">
        <is>
          <t>23398</t>
        </is>
      </c>
      <c r="B23478" s="4" t="s">
        <f>=HYPERLINK("http://anyluxury.ru/shop/podarochnye-nabory/biznes-nabory/nabor-eto-baza-beliy-1916060/" , "19160.60 Набор «Это база», белый")</f>
      </c>
      <c r="C23478" s="4" t="n">
        <v>581.70</v>
      </c>
      <c r="D23478" s="4"/>
    </row>
    <row collapsed="" customFormat="false" customHeight="1" hidden="" ht="14" outlineLevel="0" r="23479">
      <c r="A23479" s="3" t="inlineStr">
        <is>
          <t>23399</t>
        </is>
      </c>
      <c r="B23479" s="4" t="s">
        <f>=HYPERLINK("http://anyluxury.ru/shop/podarochnye-nabory/biznes-nabory/nabor-eto-baza-beliy-s-chernim-1916063/" , "19160.63 Набор «Это база», белый с черным")</f>
      </c>
      <c r="C23479" s="4" t="n">
        <v>581.70</v>
      </c>
      <c r="D23479" s="4"/>
    </row>
    <row collapsed="" customFormat="false" customHeight="1" hidden="" ht="14" outlineLevel="0" r="23480">
      <c r="A23480" s="3" t="inlineStr">
        <is>
          <t>23400</t>
        </is>
      </c>
      <c r="B23480" s="4" t="s">
        <f>=HYPERLINK("http://anyluxury.ru/shop/podarochnye-nabory/biznes-nabory/nabor-pastels-cherniy-2054630/" , "20546.30 Набор Pastels, черный")</f>
      </c>
      <c r="C23480" s="4" t="n">
        <v>2644.00</v>
      </c>
      <c r="D23480" s="4"/>
    </row>
    <row collapsed="" customFormat="false" customHeight="1" hidden="" ht="14" outlineLevel="0" r="23481">
      <c r="A23481" s="3" t="inlineStr">
        <is>
          <t>23401</t>
        </is>
      </c>
      <c r="B23481" s="4" t="s">
        <f>=HYPERLINK("http://anyluxury.ru/shop/podarochnye-nabory/biznes-nabory/nabor-write-tools-s-kruglim-lastikom-1572301/" , "15723.01 Набор Write Tools, с круглым ластиком")</f>
      </c>
      <c r="C23481" s="4" t="n">
        <v>496.20</v>
      </c>
      <c r="D23481" s="4"/>
    </row>
    <row collapsed="" customFormat="false" customHeight="1" hidden="" ht="14" outlineLevel="0" r="23482">
      <c r="A23482" s="3" t="inlineStr">
        <is>
          <t>23402</t>
        </is>
      </c>
      <c r="B23482" s="4" t="s">
        <f>=HYPERLINK("http://anyluxury.ru/shop/podarochnye-nabory/biznes-nabory/nabor-nubuk-grey-seriy-s-chernim-1653313/" , "16533.13 Набор Nubuk Grey, серый с черным")</f>
      </c>
      <c r="C23482" s="4" t="n">
        <v>3335.00</v>
      </c>
      <c r="D23482" s="4"/>
    </row>
    <row collapsed="" customFormat="false" customHeight="1" hidden="" ht="14" outlineLevel="0" r="23483">
      <c r="A23483" s="3" t="inlineStr">
        <is>
          <t>23403</t>
        </is>
      </c>
      <c r="B23483" s="4" t="s">
        <f>=HYPERLINK("http://anyluxury.ru/shop/podarochnye-nabory/biznes-nabory/nabor-nubuk-grey-seriy-s-sinim-1653314/" , "16533.14 Набор Nubuk Grey, серый с синим")</f>
      </c>
      <c r="C23483" s="4" t="n">
        <v>3335.00</v>
      </c>
      <c r="D23483" s="4"/>
    </row>
    <row collapsed="" customFormat="false" customHeight="1" hidden="" ht="14" outlineLevel="0" r="23484">
      <c r="A23484" s="3" t="inlineStr">
        <is>
          <t>23404</t>
        </is>
      </c>
      <c r="B23484" s="4" t="s">
        <f>=HYPERLINK("http://anyluxury.ru/shop/podarochnye-nabory/biznes-nabory/nabor-nubuk-grey-seriy-s-krasnim-1653315/" , "16533.15 Набор Nubuk Grey, серый с красным")</f>
      </c>
      <c r="C23484" s="4" t="n">
        <v>3335.00</v>
      </c>
      <c r="D23484" s="4"/>
    </row>
    <row collapsed="" customFormat="false" customHeight="1" hidden="" ht="14" outlineLevel="0" r="23485">
      <c r="A23485" s="3" t="inlineStr">
        <is>
          <t>23405</t>
        </is>
      </c>
      <c r="B23485" s="4" t="s">
        <f>=HYPERLINK("http://anyluxury.ru/shop/podarochnye-nabory/biznes-nabory/nabor-nubuk-grey-seriy-s-zelenim-1653319/" , "16533.19 Набор Nubuk Grey, серый с зеленым")</f>
      </c>
      <c r="C23485" s="4" t="n">
        <v>3335.00</v>
      </c>
      <c r="D23485" s="4"/>
    </row>
    <row collapsed="" customFormat="false" customHeight="1" hidden="" ht="14" outlineLevel="0" r="23486">
      <c r="A23486" s="3" t="inlineStr">
        <is>
          <t>23406</t>
        </is>
      </c>
      <c r="B23486" s="4" t="s">
        <f>=HYPERLINK("http://anyluxury.ru/shop/podarochnye-nabory/biznes-nabory/nabor-petrus-flap-oranzheviy-1663720/" , "16637.20 Набор Petrus Flap, оранжевый")</f>
      </c>
      <c r="C23486" s="4" t="n">
        <v>4160.00</v>
      </c>
      <c r="D23486" s="4"/>
    </row>
    <row collapsed="" customFormat="false" customHeight="1" hidden="" ht="14" outlineLevel="0" r="23487">
      <c r="A23487" s="3" t="inlineStr">
        <is>
          <t>23407</t>
        </is>
      </c>
      <c r="B23487" s="4" t="s">
        <f>=HYPERLINK("http://anyluxury.ru/shop/podarochnye-nabory/biznes-nabory/nabor-petrus-flap-cherniy-1663730/" , "16637.30 Набор Petrus Flap, черный")</f>
      </c>
      <c r="C23487" s="4" t="n">
        <v>4160.00</v>
      </c>
      <c r="D23487" s="4"/>
    </row>
    <row collapsed="" customFormat="false" customHeight="1" hidden="" ht="14" outlineLevel="0" r="23488">
      <c r="A23488" s="3" t="inlineStr">
        <is>
          <t>23408</t>
        </is>
      </c>
      <c r="B23488" s="4" t="s">
        <f>=HYPERLINK("http://anyluxury.ru/shop/podarochnye-nabory/biznes-nabory/nabor-petrus-flap-siniy-1663740/" , "16637.40 Набор Petrus Flap, синий")</f>
      </c>
      <c r="C23488" s="4" t="n">
        <v>4160.00</v>
      </c>
      <c r="D23488" s="4"/>
    </row>
    <row collapsed="" customFormat="false" customHeight="1" hidden="" ht="14" outlineLevel="0" r="23489">
      <c r="A23489" s="3" t="inlineStr">
        <is>
          <t>23409</t>
        </is>
      </c>
      <c r="B23489" s="4" t="s">
        <f>=HYPERLINK("http://anyluxury.ru/shop/podarochnye-nabory/biznes-nabory/nabor-petrus-flap-krasniy-1663750/" , "16637.50 Набор Petrus Flap, красный")</f>
      </c>
      <c r="C23489" s="4" t="n">
        <v>4160.00</v>
      </c>
      <c r="D23489" s="4"/>
    </row>
    <row collapsed="" customFormat="false" customHeight="1" hidden="" ht="14" outlineLevel="0" r="23490">
      <c r="A23490" s="3" t="inlineStr">
        <is>
          <t>23410</t>
        </is>
      </c>
      <c r="B23490" s="4" t="s">
        <f>=HYPERLINK("http://anyluxury.ru/shop/podarochnye-nabory/biznes-nabory/podarochniy-nabor-starip-cherniy-ezhednevnik-nedat-a5-ruchka-2500070101/" , "250007.010.1 Подарочный набор Star/iP, черный (ежедневник недат А5, ручка)")</f>
      </c>
      <c r="C23490" s="4" t="n">
        <v>1687.00</v>
      </c>
      <c r="D23490" s="4"/>
    </row>
    <row collapsed="" customFormat="false" customHeight="1" hidden="" ht="14" outlineLevel="0" r="23491">
      <c r="A23491" s="3" t="inlineStr">
        <is>
          <t>23411</t>
        </is>
      </c>
      <c r="B23491" s="4" t="s">
        <f>=HYPERLINK("http://anyluxury.ru/shop/podarochnye-nabory/biznes-nabory/podarochniy-nabor-skyalpha-oranzheviy-ezhednevnik-nedat-a5-ruchka-2500090701/" , "250009.070.1 Подарочный набор Sky/Alpha, оранжевый (ежедневник недат А5, ручка)")</f>
      </c>
      <c r="C23491" s="4" t="n">
        <v>1421.00</v>
      </c>
      <c r="D23491" s="4"/>
    </row>
    <row collapsed="" customFormat="false" customHeight="1" hidden="" ht="14" outlineLevel="0" r="23492">
      <c r="A23492" s="3" t="inlineStr">
        <is>
          <t>23412</t>
        </is>
      </c>
      <c r="B23492" s="4" t="s">
        <f>=HYPERLINK("http://anyluxury.ru/shop/podarochnye-nabory/biznes-nabory/podarochniy-nabor-rainpyramid-neo-krasniy-ezhednevnik-nedat-a5-ruchka-250011601/" , "250011.60.1 Подарочный набор Rain/Pyramid Neo, красный (ежедневник недат А5, ручка)")</f>
      </c>
      <c r="C23492" s="4" t="n">
        <v>1564.00</v>
      </c>
      <c r="D23492" s="4"/>
    </row>
    <row collapsed="" customFormat="false" customHeight="1" hidden="" ht="14" outlineLevel="0" r="23493">
      <c r="A23493" s="3" t="inlineStr">
        <is>
          <t>23413</t>
        </is>
      </c>
      <c r="B23493" s="4" t="s">
        <f>=HYPERLINK("http://anyluxury.ru/shop/podarochnye-nabory/biznes-nabory/podarochniy-nabor-city-flaxip-cherniy-ezhednevnik-nedat-a5-ruchka-250029010/" , "250029.010 Подарочный набор City Flax/iP, черный (ежедневник недат А5, ручка)")</f>
      </c>
      <c r="C23493" s="4" t="n">
        <v>1702.00</v>
      </c>
      <c r="D23493" s="4"/>
    </row>
    <row collapsed="" customFormat="false" customHeight="1" hidden="" ht="14" outlineLevel="0" r="23494">
      <c r="A23494" s="3" t="inlineStr">
        <is>
          <t>23414</t>
        </is>
      </c>
      <c r="B23494" s="4" t="s">
        <f>=HYPERLINK("http://anyluxury.ru/shop/podarochnye-nabory/biznes-nabory/podarochniy-nabor-starip-cherniy-ezhednevnik-nedat-a5-ruchka-250040101/" , "250040.10.1 Подарочный набор Star/iP, черный (ежедневник недат А5, ручка)")</f>
      </c>
      <c r="C23494" s="4" t="n">
        <v>1527.00</v>
      </c>
      <c r="D23494" s="4"/>
    </row>
    <row collapsed="" customFormat="false" customHeight="1" hidden="" ht="14" outlineLevel="0" r="23495">
      <c r="A23495" s="3" t="inlineStr">
        <is>
          <t>23415</t>
        </is>
      </c>
      <c r="B23495" s="4" t="s">
        <f>=HYPERLINK("http://anyluxury.ru/shop/podarochnye-nabory/biznes-nabory/podarochniy-nabor-alphalevi-biryuzoviy-ezhednevnik-nedat-a5-ruchka-250015600/" , "250015.600 Подарочный набор Alpha/Levi, бирюзовый (ежедневник недат А5, ручка)")</f>
      </c>
      <c r="C23495" s="4" t="n">
        <v>1873.00</v>
      </c>
      <c r="D23495" s="4"/>
    </row>
    <row collapsed="" customFormat="false" customHeight="1" hidden="" ht="14" outlineLevel="0" r="23496">
      <c r="A23496" s="3" t="inlineStr">
        <is>
          <t>23416</t>
        </is>
      </c>
      <c r="B23496" s="4" t="s">
        <f>=HYPERLINK("http://anyluxury.ru/shop/podarochnye-nabory/biznes-nabory/podarochniy-nabor-rainalpha-fioletoviy-ezhednevnik-nedat-a5-ruchka-250012341/" , "250012.34.1 Подарочный набор Rain/Alpha, фиолетовый (ежедневник недат А5, ручка)")</f>
      </c>
      <c r="C23496" s="4" t="n">
        <v>1606.00</v>
      </c>
      <c r="D23496" s="4"/>
    </row>
    <row collapsed="" customFormat="false" customHeight="1" hidden="" ht="14" outlineLevel="0" r="23497">
      <c r="A23497" s="3" t="inlineStr">
        <is>
          <t>23417</t>
        </is>
      </c>
      <c r="B23497" s="4" t="s">
        <f>=HYPERLINK("http://anyluxury.ru/shop/podarochnye-nabory/biznes-nabory/podarochniy-nabor-voyagecrocus-siniy-ezhednevnik-nedat-a5-ruchka-250028030/" , "250028.030 Подарочный набор Voyage BtoBook/Crocus, синий (ежедневник недат А5, ручка)")</f>
      </c>
      <c r="C23497" s="4" t="n">
        <v>1841.00</v>
      </c>
      <c r="D23497" s="4"/>
    </row>
    <row collapsed="" customFormat="false" customHeight="1" hidden="" ht="14" outlineLevel="0" r="23498">
      <c r="A23498" s="3" t="inlineStr">
        <is>
          <t>23418</t>
        </is>
      </c>
      <c r="B23498" s="4" t="s">
        <f>=HYPERLINK("http://anyluxury.ru/shop/podarochnye-nabory/biznes-nabory/podarochniy-nabor-starconsul-siniy-ezhednevnik-nedat-a5-ruchka-250041301/" , "250041.30.1 Подарочный набор Star/Consul, синий (ежедневник недат А5, ручка)")</f>
      </c>
      <c r="C23498" s="4" t="n">
        <v>1551.00</v>
      </c>
      <c r="D23498" s="4"/>
    </row>
    <row collapsed="" customFormat="false" customHeight="1" hidden="" ht="14" outlineLevel="0" r="23499">
      <c r="A23499" s="3" t="inlineStr">
        <is>
          <t>23419</t>
        </is>
      </c>
      <c r="B23499" s="4" t="s">
        <f>=HYPERLINK("http://anyluxury.ru/shop/podarochnye-nabory/biznes-nabory/podarochniy-nabor-tweedarctic-siniy-ezhednevnik-nedat-a5-ruchka-250044030/" , "250044.030 Подарочный набор Tweed/Arctic, синий (ежедневник недат А5, ручка)")</f>
      </c>
      <c r="C23499" s="4" t="n">
        <v>1807.00</v>
      </c>
      <c r="D23499" s="4"/>
    </row>
    <row collapsed="" customFormat="false" customHeight="1" hidden="" ht="14" outlineLevel="0" r="23500">
      <c r="A23500" s="3" t="inlineStr">
        <is>
          <t>23420</t>
        </is>
      </c>
      <c r="B23500" s="4" t="s">
        <f>=HYPERLINK("http://anyluxury.ru/shop/podarochnye-nabory/biznes-nabory/podarochniy-nabor-flax-citycrystalgalaxy-ezhednevnik-nedat-a5-ruchka-power-bank-13082012334/" , "1308201.23.34 Подарочный набор Flax City/Crystal/Galaxy (Ежедневник недат А5, Ручка, Power Bank)")</f>
      </c>
      <c r="C23500" s="4" t="n">
        <v>2549.00</v>
      </c>
      <c r="D23500" s="4"/>
    </row>
    <row collapsed="" customFormat="false" customHeight="1" hidden="" ht="14" outlineLevel="0" r="23501">
      <c r="A23501" s="3" t="inlineStr">
        <is>
          <t>23421</t>
        </is>
      </c>
      <c r="B23501" s="4" t="s">
        <f>=HYPERLINK("http://anyluxury.ru/shop/podarochnye-nabory/biznes-nabory/podarochniy-nabor-velvetsoulgalaxy-ezhednevnik-nedat-a5-ruchka-power-bank-130820103121/" , "1308201.03.121 Подарочный набор Velvet/Soul/Galaxy (Ежедневник недат А5, Ручка, Power Bank)")</f>
      </c>
      <c r="C23501" s="4" t="n">
        <v>2916.00</v>
      </c>
      <c r="D23501" s="4"/>
    </row>
    <row collapsed="" customFormat="false" customHeight="1" hidden="" ht="14" outlineLevel="0" r="23502">
      <c r="A23502" s="3" t="inlineStr">
        <is>
          <t>23422</t>
        </is>
      </c>
      <c r="B23502" s="4" t="s">
        <f>=HYPERLINK("http://anyluxury.ru/shop/podarochnye-nabory/biznes-nabory/podarochniy-nabor-starip-ezhednevnik-nedat-a5-ruchka-130820133/" , "1308201.33 Подарочный набор Star/iP (Ежедневник недат А5, Ручка)")</f>
      </c>
      <c r="C23502" s="4" t="n">
        <v>1468.00</v>
      </c>
      <c r="D23502" s="4"/>
    </row>
    <row collapsed="" customFormat="false" customHeight="1" hidden="" ht="14" outlineLevel="0" r="23503">
      <c r="A23503" s="3" t="inlineStr">
        <is>
          <t>23423</t>
        </is>
      </c>
      <c r="B23503" s="4" t="s">
        <f>=HYPERLINK("http://anyluxury.ru/shop/podarochnye-nabory/biznes-nabory/podarochniy-nabor-alphaip-siniy-ezhednevnik-nedat-a5-ruchka-25001604/" , "250016.04 Подарочный набор Alpha/iP, синий (ежедневник недат А5, ручка)")</f>
      </c>
      <c r="C23503" s="4" t="n">
        <v>1841.00</v>
      </c>
      <c r="D23503" s="4"/>
    </row>
    <row collapsed="" customFormat="false" customHeight="1" hidden="" ht="14" outlineLevel="0" r="23504">
      <c r="A23504" s="3" t="inlineStr">
        <is>
          <t>23424</t>
        </is>
      </c>
      <c r="B23504" s="4" t="s">
        <f>=HYPERLINK("http://anyluxury.ru/shop/podarochnye-nabory/biznes-nabory/podarochniy-nabor-flax-citycrocus-cherniy-ezhednevnik-nedat-a5-ruchka-25001608/" , "250016.08 Подарочный набор Flax City/Crocus, черный (ежедневник недат А5, ручка)")</f>
      </c>
      <c r="C23504" s="4" t="n">
        <v>1699.00</v>
      </c>
      <c r="D23504" s="4"/>
    </row>
    <row collapsed="" customFormat="false" customHeight="1" hidden="" ht="14" outlineLevel="0" r="23505">
      <c r="A23505" s="3" t="inlineStr">
        <is>
          <t>23425</t>
        </is>
      </c>
      <c r="B23505" s="4" t="s">
        <f>=HYPERLINK("http://anyluxury.ru/shop/podarochnye-nabory/biznes-nabory/podarochniy-nabor-latte-soft-touchcrocus-siniy-ezhednevnik-nedat-a5-ruchka-25001612/" , "250016.12 Подарочный набор Latte soft touch/Crocus, синий (ежедневник недат А5, ручка)")</f>
      </c>
      <c r="C23505" s="4" t="n">
        <v>1841.00</v>
      </c>
      <c r="D23505" s="4"/>
    </row>
    <row collapsed="" customFormat="false" customHeight="1" hidden="" ht="14" outlineLevel="0" r="23506">
      <c r="A23506" s="3" t="inlineStr">
        <is>
          <t>23426</t>
        </is>
      </c>
      <c r="B23506" s="4" t="s">
        <f>=HYPERLINK("http://anyluxury.ru/shop/podarochnye-nabory/biznes-nabory/podarochniy-nabor-marseille-soft-touchip-siniy-ezhednevnik-nedat-a5-ruchka-25001613/" , "250016.13 Подарочный набор Marseille soft touch/iP, синий (ежедневник недат А5, ручка)")</f>
      </c>
      <c r="C23506" s="4" t="n">
        <v>1841.00</v>
      </c>
      <c r="D23506" s="4"/>
    </row>
    <row collapsed="" customFormat="false" customHeight="1" hidden="" ht="14" outlineLevel="0" r="23507">
      <c r="A23507" s="3" t="inlineStr">
        <is>
          <t>23427</t>
        </is>
      </c>
      <c r="B23507" s="4" t="s">
        <f>=HYPERLINK("http://anyluxury.ru/shop/podarochnye-nabory/biznes-nabory/podarochniy-nabor-marseillealpha-siniy-ezhednevnik-nedat-a5-ruchka-25001603/" , "250016.03 Подарочный набор Marseille Btobook/Alpha, синий (ежедневник недат А5, ручка)")</f>
      </c>
      <c r="C23507" s="4" t="n">
        <v>1843.00</v>
      </c>
      <c r="D23507" s="4"/>
    </row>
    <row collapsed="" customFormat="false" customHeight="1" hidden="" ht="14" outlineLevel="0" r="23508">
      <c r="A23508" s="3" t="inlineStr">
        <is>
          <t>23428</t>
        </is>
      </c>
      <c r="B23508" s="4" t="s">
        <f>=HYPERLINK("http://anyluxury.ru/shop/podarochnye-nabory/biznes-nabory/podarochniy-nabor-marseillecrocus-cherniy-ezhednevnik-nedat-a5-ruchka-25001605/" , "250016.05 Подарочный набор Marseille/Crocus, черный (ежедневник недат А5, ручка)")</f>
      </c>
      <c r="C23508" s="4" t="n">
        <v>1708.00</v>
      </c>
      <c r="D23508" s="4"/>
    </row>
    <row collapsed="" customFormat="false" customHeight="1" hidden="" ht="14" outlineLevel="0" r="23509">
      <c r="A23509" s="3" t="inlineStr">
        <is>
          <t>23429</t>
        </is>
      </c>
      <c r="B23509" s="4" t="s">
        <f>=HYPERLINK("http://anyluxury.ru/shop/podarochnye-nabory/biznes-nabory/podarochniy-nabor-raincrocus-siniy-ezhednevnik-nedat-a5-ruchka-25001609/" , "250016.09 Подарочный набор Rain/Crocus, синий (ежедневник недат А5, ручка)")</f>
      </c>
      <c r="C23509" s="4" t="n">
        <v>1951.00</v>
      </c>
      <c r="D23509" s="4"/>
    </row>
    <row collapsed="" customFormat="false" customHeight="1" hidden="" ht="14" outlineLevel="0" r="23510">
      <c r="A23510" s="3" t="inlineStr">
        <is>
          <t>23430</t>
        </is>
      </c>
      <c r="B23510" s="4" t="s">
        <f>=HYPERLINK("http://anyluxury.ru/shop/podarochnye-nabory/biznes-nabory/podarochniy-nabor-rainip-seriy-ezhednevnik-nedat-a5-ruchka-25001602/" , "250016.02 Подарочный набор Rain/iP, серый (ежедневник недат А5, ручка)")</f>
      </c>
      <c r="C23510" s="4" t="n">
        <v>1803.00</v>
      </c>
      <c r="D23510" s="4"/>
    </row>
    <row collapsed="" customFormat="false" customHeight="1" hidden="" ht="14" outlineLevel="0" r="23511">
      <c r="A23511" s="3" t="inlineStr">
        <is>
          <t>23431</t>
        </is>
      </c>
      <c r="B23511" s="4" t="s">
        <f>=HYPERLINK("http://anyluxury.ru/shop/podarochnye-nabory/biznes-nabory/podarochniy-nabor-rainip-cherniy-ezhednevnik-nedat-a5-ruchka-25001617/" , "250016.17 Подарочный набор Rain/iP, черный (ежедневник недат А5, ручка)")</f>
      </c>
      <c r="C23511" s="4" t="n">
        <v>1803.00</v>
      </c>
      <c r="D23511" s="4"/>
    </row>
    <row collapsed="" customFormat="false" customHeight="1" hidden="" ht="14" outlineLevel="0" r="23512">
      <c r="A23512" s="3" t="inlineStr">
        <is>
          <t>23432</t>
        </is>
      </c>
      <c r="B23512" s="4" t="s">
        <f>=HYPERLINK("http://anyluxury.ru/shop/podarochnye-nabory/biznes-nabory/podarochniy-nabor-rainurban-fioletoviy-ezhednevnik-nedat-a5-ruchka-25001601/" , "250016.01 Подарочный набор Rain/Urban, фиолетовый (ежедневник недат А5, ручка)")</f>
      </c>
      <c r="C23512" s="4" t="n">
        <v>1929.00</v>
      </c>
      <c r="D23512" s="4"/>
    </row>
    <row collapsed="" customFormat="false" customHeight="1" hidden="" ht="14" outlineLevel="0" r="23513">
      <c r="A23513" s="3" t="inlineStr">
        <is>
          <t>23433</t>
        </is>
      </c>
      <c r="B23513" s="4" t="s">
        <f>=HYPERLINK("http://anyluxury.ru/shop/podarochnye-nabory/biznes-nabory/podarochniy-nabor-sparkcity-seriy-ezhednevnik-nedat-a5-ruchka-25001615/" , "250016.15 Подарочный набор Spark/City, серый (ежедневник недат А5, ручка)")</f>
      </c>
      <c r="C23513" s="4" t="n">
        <v>1689.00</v>
      </c>
      <c r="D23513" s="4"/>
    </row>
    <row collapsed="" customFormat="false" customHeight="1" hidden="" ht="14" outlineLevel="0" r="23514">
      <c r="A23514" s="3" t="inlineStr">
        <is>
          <t>23434</t>
        </is>
      </c>
      <c r="B23514" s="4" t="s">
        <f>=HYPERLINK("http://anyluxury.ru/shop/podarochnye-nabory/biznes-nabory/podarochniy-nabor-sparkregatta-seriy-ezhednevnik-nedat-a5-ruchka-25001606/" , "250016.06 Подарочный набор Spark/Regatta, серый (ежедневник недат А5, ручка)")</f>
      </c>
      <c r="C23514" s="4" t="n">
        <v>1741.00</v>
      </c>
      <c r="D23514" s="4"/>
    </row>
    <row collapsed="" customFormat="false" customHeight="1" hidden="" ht="14" outlineLevel="0" r="23515">
      <c r="A23515" s="3" t="inlineStr">
        <is>
          <t>23435</t>
        </is>
      </c>
      <c r="B23515" s="4" t="s">
        <f>=HYPERLINK("http://anyluxury.ru/shop/podarochnye-nabory/biznes-nabory/podarochniy-nabor-velvetip-siniy-ezhednevnik-nedat-a5-ruchka-25001610/" , "250016.10 Подарочный набор Velvet/iP, синий (ежедневник датир А5, ручка)")</f>
      </c>
      <c r="C23515" s="4" t="n">
        <v>1526.00</v>
      </c>
      <c r="D23515" s="4"/>
    </row>
    <row collapsed="" customFormat="false" customHeight="1" hidden="" ht="14" outlineLevel="0" r="23516">
      <c r="A23516" s="3" t="inlineStr">
        <is>
          <t>23436</t>
        </is>
      </c>
      <c r="B23516" s="4" t="s">
        <f>=HYPERLINK("http://anyluxury.ru/shop/podarochnye-nabory/biznes-nabory/podarochniy-nabor-winner-cityalpha-siniy-ezhednevnik-nedat-a5-ruchka-25001616/" , "250016.16 Подарочный набор Winner City/Alpha, синий (ежедневник недат А5, ручка)")</f>
      </c>
      <c r="C23516" s="4" t="n">
        <v>1519.00</v>
      </c>
      <c r="D23516" s="4"/>
    </row>
    <row collapsed="" customFormat="false" customHeight="1" hidden="" ht="14" outlineLevel="0" r="23517">
      <c r="A23517" s="3" t="inlineStr">
        <is>
          <t>23437</t>
        </is>
      </c>
      <c r="B23517" s="4" t="s">
        <f>=HYPERLINK("http://anyluxury.ru/shop/podarochnye-nabory/biznes-nabory/podarochniy-nabor-winner-citycrocus-bordoviy-ezhednevnik-nedat-a5-ruchka-25001607/" , "250016.07 Подарочный набор Winner City/Crocus, бордовый (ежедневник недат А5, ручка)")</f>
      </c>
      <c r="C23517" s="4" t="n">
        <v>1675.00</v>
      </c>
      <c r="D23517" s="4"/>
    </row>
    <row collapsed="" customFormat="false" customHeight="1" hidden="" ht="14" outlineLevel="0" r="23518">
      <c r="A23518" s="3" t="inlineStr">
        <is>
          <t>23438</t>
        </is>
      </c>
      <c r="B23518" s="4" t="s">
        <f>=HYPERLINK("http://anyluxury.ru/shop/podarochnye-nabory/biznes-nabory/podarochniy-nabor-portobellospark-siniy-ezhednevnik-nedat-a5-ruchka-2305030/" , "2305.030 Подарочный набор Spark, синий (ежедневник, ручка)")</f>
      </c>
      <c r="C23518" s="4" t="n">
        <v>1920.00</v>
      </c>
      <c r="D23518" s="4"/>
    </row>
    <row collapsed="" customFormat="false" customHeight="1" hidden="" ht="14" outlineLevel="0" r="23519">
      <c r="A23519" s="3" t="inlineStr">
        <is>
          <t>23439</t>
        </is>
      </c>
      <c r="B23519" s="4" t="s">
        <f>=HYPERLINK("http://anyluxury.ru/shop/podarochnye-nabory/biznes-nabory/podarochniy-nabor-portobellospark-cherniy-ezhednevnik-nedat-a5-ruchka-2305010/" , "2305.010 Подарочный набор Spark, черный (ежедневник, ручка)")</f>
      </c>
      <c r="C23519" s="4" t="n">
        <v>1920.00</v>
      </c>
      <c r="D23519" s="4"/>
    </row>
    <row collapsed="" customFormat="false" customHeight="1" hidden="" ht="14" outlineLevel="0" r="23520">
      <c r="A23520" s="3" t="inlineStr">
        <is>
          <t>23440</t>
        </is>
      </c>
      <c r="B23520" s="4" t="s">
        <f>=HYPERLINK("http://anyluxury.ru/shop/podarochnye-nabory/biznes-nabory/podarochniy-nabor-portobellostar-skyline-plus-siniy-ezhednevnik-nedat-a5-ruchka-power-bank-23308030/" , "23308.030 Подарочный набор Star, синий (ежедневник, ручка, аккумулятор)")</f>
      </c>
      <c r="C23520" s="4" t="n">
        <v>4768.00</v>
      </c>
      <c r="D23520" s="4"/>
    </row>
    <row collapsed="" customFormat="false" customHeight="1" hidden="" ht="14" outlineLevel="0" r="23521">
      <c r="A23521" s="3" t="inlineStr">
        <is>
          <t>23441</t>
        </is>
      </c>
      <c r="B23521" s="4" t="s">
        <f>=HYPERLINK("http://anyluxury.ru/shop/podarochnye-nabory/biznes-nabory/podarochniy-nabor-portobellostar-velutto-seriy-ezhednevnik-nedat-a5-ruchka-power-bank-23306080/" , "23306.080 Подарочный набор Star, серый (ежедневник, ручка, аккумулятор)")</f>
      </c>
      <c r="C23521" s="4" t="n">
        <v>3605.00</v>
      </c>
      <c r="D23521" s="4"/>
    </row>
    <row collapsed="" customFormat="false" customHeight="1" hidden="" ht="14" outlineLevel="0" r="23522">
      <c r="A23522" s="3" t="inlineStr">
        <is>
          <t>23442</t>
        </is>
      </c>
      <c r="B23522" s="4" t="s">
        <f>=HYPERLINK("http://anyluxury.ru/shop/podarochnye-nabory/biznes-nabory/podarochniy-nabor-baladek-yarkosiniy-ezhednevnik-ruchka-akkumulyator-2320030/" , "2320.030 Подарочный набор Baladek ярко-синий (ежедневник, ручка, аккумулятор)")</f>
      </c>
      <c r="C23522" s="4" t="n">
        <v>3984.00</v>
      </c>
      <c r="D23522" s="4"/>
    </row>
    <row collapsed="" customFormat="false" customHeight="1" hidden="" ht="14" outlineLevel="0" r="23523">
      <c r="A23523" s="3" t="inlineStr">
        <is>
          <t>23443</t>
        </is>
      </c>
      <c r="B23523" s="4" t="s">
        <f>=HYPERLINK("http://anyluxury.ru/shop/podarochnye-nabory/biznes-nabory/podarochniy-nabor-bianca-cella-cherniy-pled-termobutilka-23593010/" , "23593.010 Подарочный набор Bianca, Cella, черный (плед, термобутылка)")</f>
      </c>
      <c r="C23523" s="4" t="n">
        <v>3626.00</v>
      </c>
      <c r="D23523" s="4"/>
    </row>
    <row collapsed="" customFormat="false" customHeight="1" hidden="" ht="14" outlineLevel="0" r="23524">
      <c r="A23524" s="3" t="inlineStr">
        <is>
          <t>23444</t>
        </is>
      </c>
      <c r="B23524" s="4" t="s">
        <f>=HYPERLINK("http://anyluxury.ru/shop/podarochnye-nabory/biznes-nabory/podarochniy-nabor-portland-btobook-zeleniy-ezhednevnik-ruchka-23309040/" , "23309.040 Подарочный набор Portland Btobook, зеленый (ежедневник, ручка)")</f>
      </c>
      <c r="C23524" s="4" t="n">
        <v>1799.00</v>
      </c>
      <c r="D23524" s="4"/>
    </row>
    <row collapsed="" customFormat="false" customHeight="1" hidden="" ht="14" outlineLevel="0" r="23525">
      <c r="A23525" s="3" t="inlineStr">
        <is>
          <t>23445</t>
        </is>
      </c>
      <c r="B23525" s="4" t="s">
        <f>=HYPERLINK("http://anyluxury.ru/shop/podarochnye-nabory/biznes-nabory/podarochniy-nabor-rain-krasniy-ezhednevnik-ruchka-23314060/" , "23314.060 Подарочный набор Rain, красный (ежедневник, ручка)")</f>
      </c>
      <c r="C23525" s="4" t="n">
        <v>2055.00</v>
      </c>
      <c r="D23525" s="4"/>
    </row>
    <row collapsed="" customFormat="false" customHeight="1" hidden="" ht="14" outlineLevel="0" r="23526">
      <c r="A23526" s="3" t="inlineStr">
        <is>
          <t>23446</t>
        </is>
      </c>
      <c r="B23526" s="4" t="s">
        <f>=HYPERLINK("http://anyluxury.ru/shop/podarochnye-nabory/biznes-nabory/podarochniy-nabor-rain-siniy-ezhednevnik-ruchka-23314030/" , "23314.030 Подарочный набор Rain, синий (ежедневник, ручка)")</f>
      </c>
      <c r="C23526" s="4" t="n">
        <v>2055.00</v>
      </c>
      <c r="D23526" s="4"/>
    </row>
    <row collapsed="" customFormat="false" customHeight="1" hidden="" ht="14" outlineLevel="0" r="23527">
      <c r="A23527" s="3" t="inlineStr">
        <is>
          <t>23447</t>
        </is>
      </c>
      <c r="B23527" s="4" t="s">
        <f>=HYPERLINK("http://anyluxury.ru/shop/podarochnye-nabory/biznes-nabory/podarochniy-nabor-reina-btobook-siniy-ezhednevnik-ruchka-akkumulyator-23307030/" , "23307.030 Подарочный набор Reina BtoBook, синий (ежедневник, ручка, аккумулятор)")</f>
      </c>
      <c r="C23527" s="4" t="n">
        <v>3600.00</v>
      </c>
      <c r="D23527" s="4"/>
    </row>
    <row collapsed="" customFormat="false" customHeight="1" hidden="" ht="14" outlineLevel="0" r="23528">
      <c r="A23528" s="3" t="inlineStr">
        <is>
          <t>23448</t>
        </is>
      </c>
      <c r="B23528" s="4" t="s">
        <f>=HYPERLINK("http://anyluxury.ru/shop/podarochnye-nabory/biznes-nabory/podarochniy-nabor-sky-zheltiy-ezhednevnik-ruchka-akkumulyator-23311075/" , "23311.075 Подарочный набор Sky, желтый (ежедневник, ручка, аккумулятор)")</f>
      </c>
      <c r="C23528" s="4" t="n">
        <v>4850.00</v>
      </c>
      <c r="D23528" s="4"/>
    </row>
    <row collapsed="" customFormat="false" customHeight="1" hidden="" ht="14" outlineLevel="0" r="23529">
      <c r="A23529" s="3" t="inlineStr">
        <is>
          <t>23449</t>
        </is>
      </c>
      <c r="B23529" s="4" t="s">
        <f>=HYPERLINK("http://anyluxury.ru/shop/podarochnye-nabory/biznes-nabory/podarochniy-nabor-spark-siniy-ezhednevnik-ruchka-1233030/" , "1233.030 Подарочный набор Spark, синий (ежедневник, ручка)")</f>
      </c>
      <c r="C23529" s="4" t="n">
        <v>2150.00</v>
      </c>
      <c r="D23529" s="4"/>
    </row>
    <row collapsed="" customFormat="false" customHeight="1" hidden="" ht="14" outlineLevel="0" r="23530">
      <c r="A23530" s="3" t="inlineStr">
        <is>
          <t>23450</t>
        </is>
      </c>
      <c r="B23530" s="4" t="s">
        <f>=HYPERLINK("http://anyluxury.ru/shop/podarochnye-nabory/biznes-nabory/podarochniy-nabor-spark-fioletoviy-ezhednevnik-ruchka-akkumulyator-23313034/" , "23313.034 Подарочный набор Spark, фиолетовый (ежедневник, ручка, аккумулятор)")</f>
      </c>
      <c r="C23530" s="4" t="n">
        <v>3730.00</v>
      </c>
      <c r="D23530" s="4"/>
    </row>
    <row collapsed="" customFormat="false" customHeight="1" hidden="" ht="14" outlineLevel="0" r="23531">
      <c r="A23531" s="3" t="inlineStr">
        <is>
          <t>23451</t>
        </is>
      </c>
      <c r="B23531" s="4" t="s">
        <f>=HYPERLINK("http://anyluxury.ru/shop/podarochnye-nabory/biznes-nabory/podarochniy-nabor-tweed-zeleniy-ezhednevnik-ruchka-akkumulyator-23312040/" , "23312.040 Подарочный набор Tweed, зеленый (ежедневник, ручка, аккумулятор)")</f>
      </c>
      <c r="C23531" s="4" t="n">
        <v>5435.00</v>
      </c>
      <c r="D23531" s="4"/>
    </row>
    <row collapsed="" customFormat="false" customHeight="1" hidden="" ht="14" outlineLevel="0" r="23532">
      <c r="A23532" s="3" t="inlineStr">
        <is>
          <t>23452</t>
        </is>
      </c>
      <c r="B23532" s="4" t="s">
        <f>=HYPERLINK("http://anyluxury.ru/shop/podarochnye-nabory/biznes-nabory/podarochniy-nabor-dekanter-2-bokala-sapphire-siniy-23730030/" , "23730.030 Подарочный набор декантер + 2 бокала, Sapphire синий")</f>
      </c>
      <c r="C23532" s="4" t="n">
        <v>3300.00</v>
      </c>
      <c r="D23532" s="4"/>
    </row>
    <row collapsed="" customFormat="false" customHeight="1" hidden="" ht="14" outlineLevel="0" r="23533">
      <c r="A23533" s="3" t="inlineStr">
        <is>
          <t>23453</t>
        </is>
      </c>
      <c r="B23533" s="4" t="s">
        <f>=HYPERLINK("http://anyluxury.ru/shop/podarochnye-nabory/biznes-nabory/podarochniy-nabor-dekanter-2-visokih-stakana-emerald-zeleniy-23731040/" , "23731.040 Подарочный набор декантер + 2 высоких стакана, Emerald зеленый")</f>
      </c>
      <c r="C23533" s="4" t="n">
        <v>2885.00</v>
      </c>
      <c r="D23533" s="4"/>
    </row>
    <row collapsed="" customFormat="false" customHeight="" hidden="" ht="12.1" outlineLevel="0" r="23534">
      <c r="A23534" s="5" t="inlineStr">
        <is>
          <t> -  - Для дома</t>
        </is>
      </c>
      <c r="B23534" s="6"/>
      <c r="C23534" s="6"/>
      <c r="D23534" s="6"/>
    </row>
    <row collapsed="" customFormat="false" customHeight="1" hidden="" ht="14" outlineLevel="0" r="23535">
      <c r="A23535" s="3" t="inlineStr">
        <is>
          <t>23454</t>
        </is>
      </c>
      <c r="B23535" s="4" t="s">
        <f>=HYPERLINK("http://anyluxury.ru/shop/podarochnye-nabory/dlya-doma/pled-vaflya-iz-naturalnogo-khlopka-ottenok-krem-150-220-sm-new/" , "AB202318 Плед вафля из натурального хлопка, оттенок 'Крем', 150*220 см   New")</f>
      </c>
      <c r="C23535" s="4" t="n">
        <v>2910.00</v>
      </c>
      <c r="D23535" s="4"/>
    </row>
    <row collapsed="" customFormat="false" customHeight="1" hidden="" ht="14" outlineLevel="0" r="23536">
      <c r="A23536" s="3" t="inlineStr">
        <is>
          <t>23455</t>
        </is>
      </c>
      <c r="B23536" s="4" t="s">
        <f>=HYPERLINK("http://anyluxury.ru/shop/podarochnye-nabory/dlya-doma/pled-kosichka-iz-naturalnogo-khlopka-ottenok-mentol-150-220-sm-new/" , "AB202317 Плед косичка из натурального хлопка, оттенок 'Ментол', 150*220 см  New")</f>
      </c>
      <c r="C23536" s="4" t="n">
        <v>3104.00</v>
      </c>
      <c r="D23536" s="4"/>
    </row>
    <row collapsed="" customFormat="false" customHeight="" hidden="" ht="12.1" outlineLevel="0" r="23537">
      <c r="A23537" s="5" t="inlineStr">
        <is>
          <t> -  - Дорожные наборы</t>
        </is>
      </c>
      <c r="B23537" s="6"/>
      <c r="C23537" s="6"/>
      <c r="D23537" s="6"/>
    </row>
    <row collapsed="" customFormat="false" customHeight="1" hidden="" ht="14" outlineLevel="0" r="23538">
      <c r="A23538" s="3" t="inlineStr">
        <is>
          <t>23456</t>
        </is>
      </c>
      <c r="B23538" s="4" t="s">
        <f>=HYPERLINK("http://anyluxury.ru/shop/podarochnye-nabory/dorozhnye-nabory/nabor-dlya-puteshestviy-essential-temnosiniy-512640/" , "5126.40 Набор для путешествий Essential, темно-синий")</f>
      </c>
      <c r="C23538" s="4" t="n">
        <v>392.00</v>
      </c>
      <c r="D23538" s="4"/>
    </row>
    <row collapsed="" customFormat="false" customHeight="1" hidden="" ht="14" outlineLevel="0" r="23539">
      <c r="A23539" s="3" t="inlineStr">
        <is>
          <t>23457</t>
        </is>
      </c>
      <c r="B23539" s="4" t="s">
        <f>=HYPERLINK("http://anyluxury.ru/shop/podarochnye-nabory/dorozhnye-nabory/nabor-dlya-puteshestviy-essential-seriy-512610/" , "5126.10 Набор для путешествий Essential, серый")</f>
      </c>
      <c r="C23539" s="4" t="n">
        <v>392.00</v>
      </c>
      <c r="D23539" s="4"/>
    </row>
    <row collapsed="" customFormat="false" customHeight="1" hidden="" ht="14" outlineLevel="0" r="23540">
      <c r="A23540" s="3" t="inlineStr">
        <is>
          <t>23458</t>
        </is>
      </c>
      <c r="B23540" s="4" t="s">
        <f>=HYPERLINK("http://anyluxury.ru/shop/podarochnye-nabory/dorozhnye-nabory/dorozhniy-nabor-palermo-siniy-5267/" , "5267 Дорожный набор Palermo, синий")</f>
      </c>
      <c r="C23540" s="4" t="n">
        <v>9903.00</v>
      </c>
      <c r="D23540" s="4"/>
    </row>
    <row collapsed="" customFormat="false" customHeight="1" hidden="" ht="14" outlineLevel="0" r="23541">
      <c r="A23541" s="3" t="inlineStr">
        <is>
          <t>23459</t>
        </is>
      </c>
      <c r="B23541" s="4" t="s">
        <f>=HYPERLINK("http://anyluxury.ru/shop/podarochnye-nabory/dorozhnye-nabory/dorozhniy-nabor-sumok-nojumble-4-v-1-cherniy-350330/" , "3503.30 Дорожный набор сумок noJumble 4 в 1, черный")</f>
      </c>
      <c r="C23541" s="4" t="n">
        <v>1003.00</v>
      </c>
      <c r="D23541" s="4"/>
    </row>
    <row collapsed="" customFormat="false" customHeight="1" hidden="" ht="14" outlineLevel="0" r="23542">
      <c r="A23542" s="3" t="inlineStr">
        <is>
          <t>23460</t>
        </is>
      </c>
      <c r="B23542" s="4" t="s">
        <f>=HYPERLINK("http://anyluxury.ru/shop/podarochnye-nabory/dorozhnye-nabory/nabor-devon-krasniy-1062050/" , "10620.50 Набор Devon, красный")</f>
      </c>
      <c r="C23542" s="4" t="n">
        <v>1775.00</v>
      </c>
      <c r="D23542" s="4"/>
    </row>
    <row collapsed="" customFormat="false" customHeight="1" hidden="" ht="14" outlineLevel="0" r="23543">
      <c r="A23543" s="3" t="inlineStr">
        <is>
          <t>23461</t>
        </is>
      </c>
      <c r="B23543" s="4" t="s">
        <f>=HYPERLINK("http://anyluxury.ru/shop/podarochnye-nabory/dorozhnye-nabory/nabor-devon-siniy-1062040/" , "10620.40 Набор Devon, синий")</f>
      </c>
      <c r="C23543" s="4" t="n">
        <v>1775.00</v>
      </c>
      <c r="D23543" s="4"/>
    </row>
    <row collapsed="" customFormat="false" customHeight="1" hidden="" ht="14" outlineLevel="0" r="23544">
      <c r="A23544" s="3" t="inlineStr">
        <is>
          <t>23462</t>
        </is>
      </c>
      <c r="B23544" s="4" t="s">
        <f>=HYPERLINK("http://anyluxury.ru/shop/podarochnye-nabory/dorozhnye-nabory/nabor-devon-cherniy-1062030/" , "10620.30 Набор Devon, черный")</f>
      </c>
      <c r="C23544" s="4" t="n">
        <v>1775.00</v>
      </c>
      <c r="D23544" s="4"/>
    </row>
    <row collapsed="" customFormat="false" customHeight="1" hidden="" ht="14" outlineLevel="0" r="23545">
      <c r="A23545" s="3" t="inlineStr">
        <is>
          <t>23463</t>
        </is>
      </c>
      <c r="B23545" s="4" t="s">
        <f>=HYPERLINK("http://anyluxury.ru/shop/podarochnye-nabory/dorozhnye-nabory/nabor-layback-oranzheviy-1172420/" , "11724.20 Набор Layback, оранжевый")</f>
      </c>
      <c r="C23545" s="4" t="n">
        <v>1057.00</v>
      </c>
      <c r="D23545" s="4"/>
    </row>
    <row collapsed="" customFormat="false" customHeight="1" hidden="" ht="14" outlineLevel="0" r="23546">
      <c r="A23546" s="3" t="inlineStr">
        <is>
          <t>23464</t>
        </is>
      </c>
      <c r="B23546" s="4" t="s">
        <f>=HYPERLINK("http://anyluxury.ru/shop/podarochnye-nabory/dorozhnye-nabory/nabor-layback-cherniy-1172430/" , "11724.30 Набор Layback, черный")</f>
      </c>
      <c r="C23546" s="4" t="n">
        <v>1057.00</v>
      </c>
      <c r="D23546" s="4"/>
    </row>
    <row collapsed="" customFormat="false" customHeight="1" hidden="" ht="14" outlineLevel="0" r="23547">
      <c r="A23547" s="3" t="inlineStr">
        <is>
          <t>23465</t>
        </is>
      </c>
      <c r="B23547" s="4" t="s">
        <f>=HYPERLINK("http://anyluxury.ru/shop/podarochnye-nabory/dorozhnye-nabory/nabor-layback-siniy-1172440/" , "11724.40 Набор Layback, синий")</f>
      </c>
      <c r="C23547" s="4" t="n">
        <v>1057.00</v>
      </c>
      <c r="D23547" s="4"/>
    </row>
    <row collapsed="" customFormat="false" customHeight="1" hidden="" ht="14" outlineLevel="0" r="23548">
      <c r="A23548" s="3" t="inlineStr">
        <is>
          <t>23466</t>
        </is>
      </c>
      <c r="B23548" s="4" t="s">
        <f>=HYPERLINK("http://anyluxury.ru/shop/podarochnye-nabory/dorozhnye-nabory/nabor-layback-krasniy-1172450/" , "11724.50 Набор Layback, красный")</f>
      </c>
      <c r="C23548" s="4" t="n">
        <v>1057.00</v>
      </c>
      <c r="D23548" s="4"/>
    </row>
    <row collapsed="" customFormat="false" customHeight="1" hidden="" ht="14" outlineLevel="0" r="23549">
      <c r="A23549" s="3" t="inlineStr">
        <is>
          <t>23467</t>
        </is>
      </c>
      <c r="B23549" s="4" t="s">
        <f>=HYPERLINK("http://anyluxury.ru/shop/podarochnye-nabory/dorozhnye-nabory/nabor-layback-seriy-1172410/" , "11724.10 Набор Layback, серый")</f>
      </c>
      <c r="C23549" s="4" t="n">
        <v>1057.00</v>
      </c>
      <c r="D23549" s="4"/>
    </row>
    <row collapsed="" customFormat="false" customHeight="1" hidden="" ht="14" outlineLevel="0" r="23550">
      <c r="A23550" s="3" t="inlineStr">
        <is>
          <t>23468</t>
        </is>
      </c>
      <c r="B23550" s="4" t="s">
        <f>=HYPERLINK("http://anyluxury.ru/shop/podarochnye-nabory/dorozhnye-nabory/nabor-alaska-seriy-2106910/" , "21069.10 Набор Alaska, серый")</f>
      </c>
      <c r="C23550" s="4" t="n">
        <v>2840.00</v>
      </c>
      <c r="D23550" s="4"/>
    </row>
    <row collapsed="" customFormat="false" customHeight="1" hidden="" ht="14" outlineLevel="0" r="23551">
      <c r="A23551" s="3" t="inlineStr">
        <is>
          <t>23469</t>
        </is>
      </c>
      <c r="B23551" s="4" t="s">
        <f>=HYPERLINK("http://anyluxury.ru/shop/podarochnye-nabory/dorozhnye-nabory/nabor-alaska-cherniy-2106930/" , "21069.30 Набор Alaska, черный")</f>
      </c>
      <c r="C23551" s="4" t="n">
        <v>2840.00</v>
      </c>
      <c r="D23551" s="4"/>
    </row>
    <row collapsed="" customFormat="false" customHeight="1" hidden="" ht="14" outlineLevel="0" r="23552">
      <c r="A23552" s="3" t="inlineStr">
        <is>
          <t>23470</t>
        </is>
      </c>
      <c r="B23552" s="4" t="s">
        <f>=HYPERLINK("http://anyluxury.ru/shop/podarochnye-nabory/dorozhnye-nabory/nabor-devon-seriy-1062010/" , "10620.10 Набор Devon, серый")</f>
      </c>
      <c r="C23552" s="4" t="n">
        <v>1775.00</v>
      </c>
      <c r="D23552" s="4"/>
    </row>
    <row collapsed="" customFormat="false" customHeight="1" hidden="" ht="14" outlineLevel="0" r="23553">
      <c r="A23553" s="3" t="inlineStr">
        <is>
          <t>23471</t>
        </is>
      </c>
      <c r="B23553" s="4" t="s">
        <f>=HYPERLINK("http://anyluxury.ru/shop/podarochnye-nabory/dorozhnye-nabory/nabor-campani-cherniy-1524630/" , "15246.30 Набор Campani, черный")</f>
      </c>
      <c r="C23553" s="4" t="n">
        <v>5173.00</v>
      </c>
      <c r="D23553" s="4"/>
    </row>
    <row collapsed="" customFormat="false" customHeight="1" hidden="" ht="14" outlineLevel="0" r="23554">
      <c r="A23554" s="3" t="inlineStr">
        <is>
          <t>23472</t>
        </is>
      </c>
      <c r="B23554" s="4" t="s">
        <f>=HYPERLINK("http://anyluxury.ru/shop/podarochnye-nabory/dorozhnye-nabory/nabor-campani-yarkosiniy-1524644/" , "15246.44 Набор Campani, ярко-синий")</f>
      </c>
      <c r="C23554" s="4" t="n">
        <v>5173.00</v>
      </c>
      <c r="D23554" s="4"/>
    </row>
    <row collapsed="" customFormat="false" customHeight="1" hidden="" ht="14" outlineLevel="0" r="23555">
      <c r="A23555" s="3" t="inlineStr">
        <is>
          <t>23473</t>
        </is>
      </c>
      <c r="B23555" s="4" t="s">
        <f>=HYPERLINK("http://anyluxury.ru/shop/podarochnye-nabory/dorozhnye-nabory/nabor-campani-krasniy-1524650/" , "15246.50 Набор Campani, красный")</f>
      </c>
      <c r="C23555" s="4" t="n">
        <v>5173.00</v>
      </c>
      <c r="D23555" s="4"/>
    </row>
    <row collapsed="" customFormat="false" customHeight="1" hidden="" ht="14" outlineLevel="0" r="23556">
      <c r="A23556" s="3" t="inlineStr">
        <is>
          <t>23474</t>
        </is>
      </c>
      <c r="B23556" s="4" t="s">
        <f>=HYPERLINK("http://anyluxury.ru/shop/podarochnye-nabory/dorozhnye-nabory/nabor-campani-beliy-1524660/" , "15246.60 Набор Campani, белый")</f>
      </c>
      <c r="C23556" s="4" t="n">
        <v>5173.00</v>
      </c>
      <c r="D23556" s="4"/>
    </row>
    <row collapsed="" customFormat="false" customHeight="1" hidden="" ht="14" outlineLevel="0" r="23557">
      <c r="A23557" s="3" t="inlineStr">
        <is>
          <t>23475</t>
        </is>
      </c>
      <c r="B23557" s="4" t="s">
        <f>=HYPERLINK("http://anyluxury.ru/shop/podarochnye-nabory/dorozhnye-nabory/nabor-campani-oranzheviy-1524620/" , "15246.20 Набор Campani, оранжевый")</f>
      </c>
      <c r="C23557" s="4" t="n">
        <v>5173.00</v>
      </c>
      <c r="D23557" s="4"/>
    </row>
    <row collapsed="" customFormat="false" customHeight="1" hidden="" ht="14" outlineLevel="0" r="23558">
      <c r="A23558" s="3" t="inlineStr">
        <is>
          <t>23476</t>
        </is>
      </c>
      <c r="B23558" s="4" t="s">
        <f>=HYPERLINK("http://anyluxury.ru/shop/podarochnye-nabory/dorozhnye-nabory/nabor-apache-travel-temnokrasniy-1747805/" , "17478.05 Набор Apache Travel, темно-красный")</f>
      </c>
      <c r="C23558" s="4" t="n">
        <v>4420.00</v>
      </c>
      <c r="D23558" s="4"/>
    </row>
    <row collapsed="" customFormat="false" customHeight="1" hidden="" ht="14" outlineLevel="0" r="23559">
      <c r="A23559" s="3" t="inlineStr">
        <is>
          <t>23477</t>
        </is>
      </c>
      <c r="B23559" s="4" t="s">
        <f>=HYPERLINK("http://anyluxury.ru/shop/podarochnye-nabory/dorozhnye-nabory/nabor-apache-travel-seriy-1747810/" , "17478.10 Набор Apache Travel, серый")</f>
      </c>
      <c r="C23559" s="4" t="n">
        <v>4420.00</v>
      </c>
      <c r="D23559" s="4"/>
    </row>
    <row collapsed="" customFormat="false" customHeight="1" hidden="" ht="14" outlineLevel="0" r="23560">
      <c r="A23560" s="3" t="inlineStr">
        <is>
          <t>23478</t>
        </is>
      </c>
      <c r="B23560" s="4" t="s">
        <f>=HYPERLINK("http://anyluxury.ru/shop/podarochnye-nabory/dorozhnye-nabory/nabor-apache-travel-biryuzoviy-1747849/" , "17478.49 Набор Apache Travel, бирюзовый")</f>
      </c>
      <c r="C23560" s="4" t="n">
        <v>4420.00</v>
      </c>
      <c r="D23560" s="4"/>
    </row>
    <row collapsed="" customFormat="false" customHeight="1" hidden="" ht="14" outlineLevel="0" r="23561">
      <c r="A23561" s="3" t="inlineStr">
        <is>
          <t>23479</t>
        </is>
      </c>
      <c r="B23561" s="4" t="s">
        <f>=HYPERLINK("http://anyluxury.ru/shop/podarochnye-nabory/dorozhnye-nabory/nabor-apache-travel-temnokorichneviy-1747851/" , "17478.51 Набор Apache Travel, темно-коричневый")</f>
      </c>
      <c r="C23561" s="4" t="n">
        <v>4420.00</v>
      </c>
      <c r="D23561" s="4"/>
    </row>
    <row collapsed="" customFormat="false" customHeight="1" hidden="" ht="14" outlineLevel="0" r="23562">
      <c r="A23562" s="3" t="inlineStr">
        <is>
          <t>23480</t>
        </is>
      </c>
      <c r="B23562" s="4" t="s">
        <f>=HYPERLINK("http://anyluxury.ru/shop/podarochnye-nabory/dorozhnye-nabory/nabor-apache-travel-temnozeleniy-1747899/" , "17478.99 Набор Apache Travel, темно-зеленый")</f>
      </c>
      <c r="C23562" s="4" t="n">
        <v>4420.00</v>
      </c>
      <c r="D23562" s="4"/>
    </row>
    <row collapsed="" customFormat="false" customHeight="1" hidden="" ht="14" outlineLevel="0" r="23563">
      <c r="A23563" s="3" t="inlineStr">
        <is>
          <t>23481</t>
        </is>
      </c>
      <c r="B23563" s="4" t="s">
        <f>=HYPERLINK("http://anyluxury.ru/shop/podarochnye-nabory/dorozhnye-nabory/nabor-city-therm-cherniy-1675830/" , "16758.30 Набор City Therm, черный")</f>
      </c>
      <c r="C23563" s="4" t="n">
        <v>4674.00</v>
      </c>
      <c r="D23563" s="4"/>
    </row>
    <row collapsed="" customFormat="false" customHeight="1" hidden="" ht="14" outlineLevel="0" r="23564">
      <c r="A23564" s="3" t="inlineStr">
        <is>
          <t>23482</t>
        </is>
      </c>
      <c r="B23564" s="4" t="s">
        <f>=HYPERLINK("http://anyluxury.ru/shop/podarochnye-nabory/dorozhnye-nabory/nabor-city-therm-siniy-1675840/" , "16758.40 Набор City Therm, синий")</f>
      </c>
      <c r="C23564" s="4" t="n">
        <v>4674.00</v>
      </c>
      <c r="D23564" s="4"/>
    </row>
    <row collapsed="" customFormat="false" customHeight="1" hidden="" ht="14" outlineLevel="0" r="23565">
      <c r="A23565" s="3" t="inlineStr">
        <is>
          <t>23483</t>
        </is>
      </c>
      <c r="B23565" s="4" t="s">
        <f>=HYPERLINK("http://anyluxury.ru/shop/podarochnye-nabory/dorozhnye-nabory/nabor-city-therm-krasniy-1675850/" , "16758.50 Набор City Therm, красный")</f>
      </c>
      <c r="C23565" s="4" t="n">
        <v>4674.00</v>
      </c>
      <c r="D23565" s="4"/>
    </row>
    <row collapsed="" customFormat="false" customHeight="1" hidden="" ht="14" outlineLevel="0" r="23566">
      <c r="A23566" s="3" t="inlineStr">
        <is>
          <t>23484</t>
        </is>
      </c>
      <c r="B23566" s="4" t="s">
        <f>=HYPERLINK("http://anyluxury.ru/shop/podarochnye-nabory/dorozhnye-nabory/nabor-apache-travel-cherniy-1747830/" , "17478.30 Набор Apache Travel, черный")</f>
      </c>
      <c r="C23566" s="4" t="n">
        <v>4420.00</v>
      </c>
      <c r="D23566" s="4"/>
    </row>
    <row collapsed="" customFormat="false" customHeight="1" hidden="" ht="14" outlineLevel="0" r="23567">
      <c r="A23567" s="3" t="inlineStr">
        <is>
          <t>23485</t>
        </is>
      </c>
      <c r="B23567" s="4" t="s">
        <f>=HYPERLINK("http://anyluxury.ru/shop/podarochnye-nabory/dorozhnye-nabory/nabor-apache-travel-siniy-1747840/" , "17478.40 Набор Apache Travel, синий")</f>
      </c>
      <c r="C23567" s="4" t="n">
        <v>4420.00</v>
      </c>
      <c r="D23567" s="4"/>
    </row>
    <row collapsed="" customFormat="false" customHeight="1" hidden="" ht="14" outlineLevel="0" r="23568">
      <c r="A23568" s="3" t="inlineStr">
        <is>
          <t>23486</t>
        </is>
      </c>
      <c r="B23568" s="4" t="s">
        <f>=HYPERLINK("http://anyluxury.ru/shop/podarochnye-nabory/dorozhnye-nabory/nabor-alfresco-cherniy-1648330/" , "16483.30 Набор Alfresco, черный")</f>
      </c>
      <c r="C23568" s="4" t="n">
        <v>1853.00</v>
      </c>
      <c r="D23568" s="4"/>
    </row>
    <row collapsed="" customFormat="false" customHeight="" hidden="" ht="12.1" outlineLevel="0" r="23569">
      <c r="A23569" s="5" t="inlineStr">
        <is>
          <t> -  - Наборы для вина и крепких напитков</t>
        </is>
      </c>
      <c r="B23569" s="6"/>
      <c r="C23569" s="6"/>
      <c r="D23569" s="6"/>
    </row>
    <row collapsed="" customFormat="false" customHeight="1" hidden="" ht="14" outlineLevel="0" r="23570">
      <c r="A23570" s="3" t="inlineStr">
        <is>
          <t>23487</t>
        </is>
      </c>
      <c r="B23570" s="4" t="s">
        <f>=HYPERLINK("http://anyluxury.ru/shop/podarochnye-nabory/nabory-dlya-vina-i-krepkikh-napitkov/nabor-dlya-vina-i-sira-edam-5910/" , "5910 Набор для вина и сыра «Эдам»")</f>
      </c>
      <c r="C23570" s="4" t="n">
        <v>3312.00</v>
      </c>
      <c r="D23570" s="4"/>
    </row>
    <row collapsed="" customFormat="false" customHeight="1" hidden="" ht="14" outlineLevel="0" r="23571">
      <c r="A23571" s="3" t="inlineStr">
        <is>
          <t>23488</t>
        </is>
      </c>
      <c r="B23571" s="4" t="s">
        <f>=HYPERLINK("http://anyluxury.ru/shop/podarochnye-nabory/nabory-dlya-vina-i-krepkikh-napitkov/nabor-ego-6682/" , "6682 Набор Ego")</f>
      </c>
      <c r="C23571" s="4" t="n">
        <v>518.00</v>
      </c>
      <c r="D23571" s="4"/>
    </row>
    <row collapsed="" customFormat="false" customHeight="1" hidden="" ht="14" outlineLevel="0" r="23572">
      <c r="A23572" s="3" t="inlineStr">
        <is>
          <t>23489</t>
        </is>
      </c>
      <c r="B23572" s="4" t="s">
        <f>=HYPERLINK("http://anyluxury.ru/shop/podarochnye-nabory/nabory-dlya-vina-i-krepkikh-napitkov/nabor-vrashhayushhihsya-stopok-shtox-6685/" , "6685 Набор вращающихся стопок Shtox")</f>
      </c>
      <c r="C23572" s="4" t="n">
        <v>13680.00</v>
      </c>
      <c r="D23572" s="4"/>
    </row>
    <row collapsed="" customFormat="false" customHeight="1" hidden="" ht="14" outlineLevel="0" r="23573">
      <c r="A23573" s="3" t="inlineStr">
        <is>
          <t>23490</t>
        </is>
      </c>
      <c r="B23573" s="4" t="s">
        <f>=HYPERLINK("http://anyluxury.ru/shop/podarochnye-nabory/nabory-dlya-vina-i-krepkikh-napitkov/kamni-dlya-ohlazhdeniya-napitkov-black-rocks-7124/" , "7124 Камни для охлаждения напитков Black Rocks")</f>
      </c>
      <c r="C23573" s="4" t="n">
        <v>984.00</v>
      </c>
      <c r="D23573" s="4"/>
    </row>
    <row collapsed="" customFormat="false" customHeight="1" hidden="" ht="14" outlineLevel="0" r="23574">
      <c r="A23574" s="3" t="inlineStr">
        <is>
          <t>23491</t>
        </is>
      </c>
      <c r="B23574" s="4" t="s">
        <f>=HYPERLINK("http://anyluxury.ru/shop/podarochnye-nabory/nabory-dlya-vina-i-krepkikh-napitkov/kamni-dlya-ohlazhdeniya-napitkov-crystal-rocks-7125/" , "7125 Камни для охлаждения напитков Crystal Rocks")</f>
      </c>
      <c r="C23574" s="4" t="n">
        <v>1262.00</v>
      </c>
      <c r="D23574" s="4"/>
    </row>
    <row collapsed="" customFormat="false" customHeight="1" hidden="" ht="14" outlineLevel="0" r="23575">
      <c r="A23575" s="3" t="inlineStr">
        <is>
          <t>23492</t>
        </is>
      </c>
      <c r="B23575" s="4" t="s">
        <f>=HYPERLINK("http://anyluxury.ru/shop/podarochnye-nabory/nabory-dlya-vina-i-krepkikh-napitkov/kamni-dlya-viski-hardy-794530/" , "7945.30 Камни для виски Hardy")</f>
      </c>
      <c r="C23575" s="4" t="n">
        <v>374.00</v>
      </c>
      <c r="D23575" s="4"/>
    </row>
    <row collapsed="" customFormat="false" customHeight="1" hidden="" ht="14" outlineLevel="0" r="23576">
      <c r="A23576" s="3" t="inlineStr">
        <is>
          <t>23493</t>
        </is>
      </c>
      <c r="B23576" s="4" t="s">
        <f>=HYPERLINK("http://anyluxury.ru/shop/podarochnye-nabory/nabory-dlya-vina-i-krepkikh-napitkov/vinniy-nabor-ambrosia-10170/" , "10170 Винный набор Ambrosia")</f>
      </c>
      <c r="C23576" s="4" t="n">
        <v>730.00</v>
      </c>
      <c r="D23576" s="4"/>
    </row>
    <row collapsed="" customFormat="false" customHeight="1" hidden="" ht="14" outlineLevel="0" r="23577">
      <c r="A23577" s="3" t="inlineStr">
        <is>
          <t>23494</t>
        </is>
      </c>
      <c r="B23577" s="4" t="s">
        <f>=HYPERLINK("http://anyluxury.ru/shop/podarochnye-nabory/nabory-dlya-vina-i-krepkikh-napitkov/nabor-premudriy-viskar-12021/" , "12021 Набор «Премудрый вискарь», большой")</f>
      </c>
      <c r="C23577" s="4" t="n">
        <v>2456.00</v>
      </c>
      <c r="D23577" s="4"/>
    </row>
    <row collapsed="" customFormat="false" customHeight="1" hidden="" ht="14" outlineLevel="0" r="23578">
      <c r="A23578" s="3" t="inlineStr">
        <is>
          <t>23495</t>
        </is>
      </c>
      <c r="B23578" s="4" t="s">
        <f>=HYPERLINK("http://anyluxury.ru/shop/podarochnye-nabory/nabory-dlya-vina-i-krepkikh-napitkov/nabor-stakanov-dlya-viski-queen-of-scots-1140630/" , "11406.30 Набор стаканов для виски Queen of Scots")</f>
      </c>
      <c r="C23578" s="4" t="n">
        <v>931.00</v>
      </c>
      <c r="D23578" s="4"/>
    </row>
    <row collapsed="" customFormat="false" customHeight="1" hidden="" ht="14" outlineLevel="0" r="23579">
      <c r="A23579" s="3" t="inlineStr">
        <is>
          <t>23496</t>
        </is>
      </c>
      <c r="B23579" s="4" t="s">
        <f>=HYPERLINK("http://anyluxury.ru/shop/podarochnye-nabory/nabory-dlya-vina-i-krepkikh-napitkov/nabor-dlya-vina-burgundy-11812/" , "11812 Набор для вина Burgundy")</f>
      </c>
      <c r="C23579" s="4" t="n">
        <v>1670.00</v>
      </c>
      <c r="D23579" s="4"/>
    </row>
    <row collapsed="" customFormat="false" customHeight="1" hidden="" ht="14" outlineLevel="0" r="23580">
      <c r="A23580" s="3" t="inlineStr">
        <is>
          <t>23497</t>
        </is>
      </c>
      <c r="B23580" s="4" t="s">
        <f>=HYPERLINK("http://anyluxury.ru/shop/podarochnye-nabory/nabory-dlya-vina-i-krepkikh-napitkov/nabor-dlya-viski-whisky-club-korichneviy-1444800/" , "14448.00 Набор для виски Whisky Club, коричневый")</f>
      </c>
      <c r="C23580" s="4" t="n">
        <v>18300.00</v>
      </c>
      <c r="D23580" s="4"/>
    </row>
    <row collapsed="" customFormat="false" customHeight="1" hidden="" ht="14" outlineLevel="0" r="23581">
      <c r="A23581" s="3" t="inlineStr">
        <is>
          <t>23498</t>
        </is>
      </c>
      <c r="B23581" s="4" t="s">
        <f>=HYPERLINK("http://anyluxury.ru/shop/podarochnye-nabory/nabory-dlya-vina-i-krepkikh-napitkov/nabor-dlya-shampanskogo-moya-rozoviy-1444915/" , "14449.15 Набор для шампанского Moya, розовый")</f>
      </c>
      <c r="C23581" s="4" t="n">
        <v>30800.00</v>
      </c>
      <c r="D23581" s="4"/>
    </row>
    <row collapsed="" customFormat="false" customHeight="1" hidden="" ht="14" outlineLevel="0" r="23582">
      <c r="A23582" s="3" t="inlineStr">
        <is>
          <t>23499</t>
        </is>
      </c>
      <c r="B23582" s="4" t="s">
        <f>=HYPERLINK("http://anyluxury.ru/shop/podarochnye-nabory/nabory-dlya-vina-i-krepkikh-napitkov/nabor-dlya-shampanskogo-moya-prozrachniy-1444900/" , "14449.00 Набор для шампанского Moya, прозрачный")</f>
      </c>
      <c r="C23582" s="4" t="n">
        <v>22700.00</v>
      </c>
      <c r="D23582" s="4"/>
    </row>
    <row collapsed="" customFormat="false" customHeight="1" hidden="" ht="14" outlineLevel="0" r="23583">
      <c r="A23583" s="3" t="inlineStr">
        <is>
          <t>23500</t>
        </is>
      </c>
      <c r="B23583" s="4" t="s">
        <f>=HYPERLINK("http://anyluxury.ru/shop/podarochnye-nabory/nabory-dlya-vina-i-krepkikh-napitkov/nabor-dlya-viski-whisky-club-s-podnosom-1445000/" , "14450.00 Набор для виски Whisky Club с подносом")</f>
      </c>
      <c r="C23583" s="4" t="n">
        <v>49500.00</v>
      </c>
      <c r="D23583" s="4"/>
    </row>
    <row collapsed="" customFormat="false" customHeight="1" hidden="" ht="14" outlineLevel="0" r="23584">
      <c r="A23584" s="3" t="inlineStr">
        <is>
          <t>23501</t>
        </is>
      </c>
      <c r="B23584" s="4" t="s">
        <f>=HYPERLINK("http://anyluxury.ru/shop/podarochnye-nabory/nabory-dlya-vina-i-krepkikh-napitkov/nabor-bokalov-islay-whisky-s-derevyannimi-podstavkami-1447700/" , "14477.00 Набор из 2 бокалов Islay Whisky с деревянными подставками")</f>
      </c>
      <c r="C23584" s="4" t="n">
        <v>6400.00</v>
      </c>
      <c r="D23584" s="4"/>
    </row>
    <row collapsed="" customFormat="false" customHeight="1" hidden="" ht="14" outlineLevel="0" r="23585">
      <c r="A23585" s="3" t="inlineStr">
        <is>
          <t>23502</t>
        </is>
      </c>
      <c r="B23585" s="4" t="s">
        <f>=HYPERLINK("http://anyluxury.ru/shop/podarochnye-nabory/nabory-dlya-vina-i-krepkikh-napitkov/nabor-stakanov-arran-whisky-s-derevyannimi-podstavkami-1449500/" , "14495.00 Набор из 2 стаканов Arran Whisky с деревянными подставками")</f>
      </c>
      <c r="C23585" s="4" t="n">
        <v>6800.00</v>
      </c>
      <c r="D23585" s="4"/>
    </row>
    <row collapsed="" customFormat="false" customHeight="1" hidden="" ht="14" outlineLevel="0" r="23586">
      <c r="A23586" s="3" t="inlineStr">
        <is>
          <t>23503</t>
        </is>
      </c>
      <c r="B23586" s="4" t="s">
        <f>=HYPERLINK("http://anyluxury.ru/shop/podarochnye-nabory/nabory-dlya-vina-i-krepkikh-napitkov/nabor-stakanov-islay-whisky-s-derevyannimi-podstavkami-1449700/" , "14497.00 Набор из 2 стаканов Islay Whisky с деревянными подставками")</f>
      </c>
      <c r="C23586" s="4" t="n">
        <v>6800.00</v>
      </c>
      <c r="D23586" s="4"/>
    </row>
    <row collapsed="" customFormat="false" customHeight="1" hidden="" ht="14" outlineLevel="0" r="23587">
      <c r="A23587" s="3" t="inlineStr">
        <is>
          <t>23504</t>
        </is>
      </c>
      <c r="B23587" s="4" t="s">
        <f>=HYPERLINK("http://anyluxury.ru/shop/podarochnye-nabory/nabory-dlya-vina-i-krepkikh-napitkov/nabor-stakanov-dlya-viski-madrid-1449800/" , "14498.00 Набор из 2 стаканов для виски Madrid")</f>
      </c>
      <c r="C23587" s="4" t="n">
        <v>5630.00</v>
      </c>
      <c r="D23587" s="4"/>
    </row>
    <row collapsed="" customFormat="false" customHeight="1" hidden="" ht="14" outlineLevel="0" r="23588">
      <c r="A23588" s="3" t="inlineStr">
        <is>
          <t>23505</t>
        </is>
      </c>
      <c r="B23588" s="4" t="s">
        <f>=HYPERLINK("http://anyluxury.ru/shop/podarochnye-nabory/nabory-dlya-vina-i-krepkikh-napitkov/nabor-stakanov-renfrew-whisky-s-derevyannimi-podstavkami-1449900/" , "14499.00 Набор из 2 стаканов Renfrew Whisky с деревянными подставками")</f>
      </c>
      <c r="C23588" s="4" t="n">
        <v>6800.00</v>
      </c>
      <c r="D23588" s="4"/>
    </row>
    <row collapsed="" customFormat="false" customHeight="1" hidden="" ht="14" outlineLevel="0" r="23589">
      <c r="A23589" s="3" t="inlineStr">
        <is>
          <t>23506</t>
        </is>
      </c>
      <c r="B23589" s="4" t="s">
        <f>=HYPERLINK("http://anyluxury.ru/shop/podarochnye-nabory/nabory-dlya-vina-i-krepkikh-napitkov/nabor-bokalov-whisky-club-korichneviy-1450755/" , "14507.55 Набор из 2 бокалов Whisky Club, коричневый")</f>
      </c>
      <c r="C23589" s="4" t="n">
        <v>8300.00</v>
      </c>
      <c r="D23589" s="4"/>
    </row>
    <row collapsed="" customFormat="false" customHeight="1" hidden="" ht="14" outlineLevel="0" r="23590">
      <c r="A23590" s="3" t="inlineStr">
        <is>
          <t>23507</t>
        </is>
      </c>
      <c r="B23590" s="4" t="s">
        <f>=HYPERLINK("http://anyluxury.ru/shop/podarochnye-nabory/nabory-dlya-vina-i-krepkikh-napitkov/nabor-stopok-whisky-s-derevyannimi-podstavkami-1451400/" , "14514.00 Набор из 2 стопок Whisky с деревянными подставками")</f>
      </c>
      <c r="C23590" s="4" t="n">
        <v>4990.00</v>
      </c>
      <c r="D23590" s="4"/>
    </row>
    <row collapsed="" customFormat="false" customHeight="1" hidden="" ht="14" outlineLevel="0" r="23591">
      <c r="A23591" s="3" t="inlineStr">
        <is>
          <t>23508</t>
        </is>
      </c>
      <c r="B23591" s="4" t="s">
        <f>=HYPERLINK("http://anyluxury.ru/shop/podarochnye-nabory/nabory-dlya-vina-i-krepkikh-napitkov/nabor-stakanov-dlya-viski-bar-1457200/" , "14572.00 Набор из 2 стаканов для виски Bar")</f>
      </c>
      <c r="C23591" s="4" t="n">
        <v>3700.00</v>
      </c>
      <c r="D23591" s="4"/>
    </row>
    <row collapsed="" customFormat="false" customHeight="1" hidden="" ht="14" outlineLevel="0" r="23592">
      <c r="A23592" s="3" t="inlineStr">
        <is>
          <t>23509</t>
        </is>
      </c>
      <c r="B23592" s="4" t="s">
        <f>=HYPERLINK("http://anyluxury.ru/shop/podarochnye-nabory/nabory-dlya-vina-i-krepkikh-napitkov/nabor-s-elektricheskim-shtoporom-lugano-cherniy-s-krasnim-1312935/" , "13129.35 Набор с электрическим штопором Lugano, черный с красным")</f>
      </c>
      <c r="C23592" s="4" t="n">
        <v>6163.00</v>
      </c>
      <c r="D23592" s="4"/>
    </row>
    <row collapsed="" customFormat="false" customHeight="1" hidden="" ht="14" outlineLevel="0" r="23593">
      <c r="A23593" s="3" t="inlineStr">
        <is>
          <t>23510</t>
        </is>
      </c>
      <c r="B23593" s="4" t="s">
        <f>=HYPERLINK("http://anyluxury.ru/shop/podarochnye-nabory/nabory-dlya-vina-i-krepkikh-napitkov/vinniy-nabor-s-elektricheskim-shtoporom-garda-serebristiy-1313010/" , "13130.10 Винный набор с электрическим штопором Garda, серебристый")</f>
      </c>
      <c r="C23593" s="4" t="n">
        <v>7590.00</v>
      </c>
      <c r="D23593" s="4"/>
    </row>
    <row collapsed="" customFormat="false" customHeight="1" hidden="" ht="14" outlineLevel="0" r="23594">
      <c r="A23594" s="3" t="inlineStr">
        <is>
          <t>23511</t>
        </is>
      </c>
      <c r="B23594" s="4" t="s">
        <f>=HYPERLINK("http://anyluxury.ru/shop/podarochnye-nabory/nabory-dlya-vina-i-krepkikh-napitkov/vinniy-nabor-s-elektricheskim-shtoporom-bolsena-cherniy-1570830/" , "15708.30 Винный набор с электрическим штопором Bolsena, черный")</f>
      </c>
      <c r="C23594" s="4" t="n">
        <v>4159.00</v>
      </c>
      <c r="D23594" s="4"/>
    </row>
    <row collapsed="" customFormat="false" customHeight="1" hidden="" ht="14" outlineLevel="0" r="23595">
      <c r="A23595" s="3" t="inlineStr">
        <is>
          <t>23512</t>
        </is>
      </c>
      <c r="B23595" s="4" t="s">
        <f>=HYPERLINK("http://anyluxury.ru/shop/podarochnye-nabory/nabory-dlya-vina-i-krepkikh-napitkov/nabor-dlya-viski-elision-1777030/" , "17770.30 Набор для виски Elision")</f>
      </c>
      <c r="C23595" s="4" t="n">
        <v>1253.00</v>
      </c>
      <c r="D23595" s="4"/>
    </row>
    <row collapsed="" customFormat="false" customHeight="1" hidden="" ht="14" outlineLevel="0" r="23596">
      <c r="A23596" s="3" t="inlineStr">
        <is>
          <t>23513</t>
        </is>
      </c>
      <c r="B23596" s="4" t="s">
        <f>=HYPERLINK("http://anyluxury.ru/shop/podarochnye-nabory/nabory-dlya-vina-i-krepkikh-napitkov/termobokal-rocks-dlya-krepkih-napitkov-cherniy-1581730/" , "15817.30 Термобокал Rocks для крепких напитков, черный")</f>
      </c>
      <c r="C23596" s="4" t="n">
        <v>2475.00</v>
      </c>
      <c r="D23596" s="4"/>
    </row>
    <row collapsed="" customFormat="false" customHeight="1" hidden="" ht="14" outlineLevel="0" r="23597">
      <c r="A23597" s="3" t="inlineStr">
        <is>
          <t>23514</t>
        </is>
      </c>
      <c r="B23597" s="4" t="s">
        <f>=HYPERLINK("http://anyluxury.ru/shop/podarochnye-nabory/nabory-dlya-vina-i-krepkikh-napitkov/termobokal-rocks-dlya-krepkih-napitkov-stalnoy-1581711/" , "15817.11 Термобокал Rocks для крепких напитков, стальной")</f>
      </c>
      <c r="C23597" s="4" t="n">
        <v>2475.00</v>
      </c>
      <c r="D23597" s="4"/>
    </row>
    <row collapsed="" customFormat="false" customHeight="1" hidden="" ht="14" outlineLevel="0" r="23598">
      <c r="A23598" s="3" t="inlineStr">
        <is>
          <t>23515</t>
        </is>
      </c>
      <c r="B23598" s="4" t="s">
        <f>=HYPERLINK("http://anyluxury.ru/shop/podarochnye-nabory/nabory-dlya-vina-i-krepkikh-napitkov/vinniy-nabor-so-shtoporom-huo-hou-electric-wine-bottle-opener-cherniy-1313530/" , "13135.30 Винный набор сo штопором HuoHou Electric Wine Bottle Opener, черный")</f>
      </c>
      <c r="C23598" s="4" t="n">
        <v>5172.00</v>
      </c>
      <c r="D23598" s="4"/>
    </row>
    <row collapsed="" customFormat="false" customHeight="1" hidden="" ht="14" outlineLevel="0" r="23599">
      <c r="A23599" s="3" t="inlineStr">
        <is>
          <t>23516</t>
        </is>
      </c>
      <c r="B23599" s="4" t="s">
        <f>=HYPERLINK("http://anyluxury.ru/shop/podarochnye-nabory/nabory-dlya-vina-i-krepkikh-napitkov/nabor-dlya-vina-malena-7419850/" , "74198.50 Набор для вина Malena")</f>
      </c>
      <c r="C23599" s="4" t="n">
        <v>1442.00</v>
      </c>
      <c r="D23599" s="4"/>
    </row>
    <row collapsed="" customFormat="false" customHeight="1" hidden="" ht="14" outlineLevel="0" r="23600">
      <c r="A23600" s="3" t="inlineStr">
        <is>
          <t>23517</t>
        </is>
      </c>
      <c r="B23600" s="4" t="s">
        <f>=HYPERLINK("http://anyluxury.ru/shop/podarochnye-nabory/nabory-dlya-vina-i-krepkikh-napitkov/nabor-dlya-vina-barrel-7419130/" , "74191.30 Набор для вина Barrel")</f>
      </c>
      <c r="C23600" s="4" t="n">
        <v>727.00</v>
      </c>
      <c r="D23600" s="4"/>
    </row>
    <row collapsed="" customFormat="false" customHeight="1" hidden="" ht="14" outlineLevel="0" r="23601">
      <c r="A23601" s="3" t="inlineStr">
        <is>
          <t>23518</t>
        </is>
      </c>
      <c r="B23601" s="4" t="s">
        <f>=HYPERLINK("http://anyluxury.ru/shop/podarochnye-nabory/nabory-dlya-vina-i-krepkikh-napitkov/nabor-kamney-dlya-viski-rock-bar-1270700/" , "12707.00 Набор камней для виски Rock Bar")</f>
      </c>
      <c r="C23601" s="4" t="n">
        <v>2075.00</v>
      </c>
      <c r="D23601" s="4"/>
    </row>
    <row collapsed="" customFormat="false" customHeight="1" hidden="" ht="14" outlineLevel="0" r="23602">
      <c r="A23602" s="3" t="inlineStr">
        <is>
          <t>23519</t>
        </is>
      </c>
      <c r="B23602" s="4" t="s">
        <f>=HYPERLINK("http://anyluxury.ru/shop/podarochnye-nabory/nabory-dlya-vina-i-krepkikh-napitkov/vinniy-nabor-wineprobe-15093/" , "15093 Винный набор Wineprobe: нож сомелье и пробка")</f>
      </c>
      <c r="C23602" s="4" t="n">
        <v>2200.00</v>
      </c>
      <c r="D23602" s="4"/>
    </row>
    <row collapsed="" customFormat="false" customHeight="1" hidden="" ht="14" outlineLevel="0" r="23603">
      <c r="A23603" s="3" t="inlineStr">
        <is>
          <t>23520</t>
        </is>
      </c>
      <c r="B23603" s="4" t="s">
        <f>=HYPERLINK("http://anyluxury.ru/shop/podarochnye-nabory/nabory-dlya-vina-i-krepkikh-napitkov/nabor-iz-dvuh-bokalov-diamond-cut-7914200/" , "79142.00 Набор из двух бокалов Diamond Cut")</f>
      </c>
      <c r="C23603" s="4" t="n">
        <v>2441.00</v>
      </c>
      <c r="D23603" s="4"/>
    </row>
    <row collapsed="" customFormat="false" customHeight="1" hidden="" ht="14" outlineLevel="0" r="23604">
      <c r="A23604" s="3" t="inlineStr">
        <is>
          <t>23521</t>
        </is>
      </c>
      <c r="B23604" s="4" t="s">
        <f>=HYPERLINK("http://anyluxury.ru/shop/podarochnye-nabory/nabory-dlya-vina-i-krepkikh-napitkov/nabor-dlya-hraneniya-vina-prestigio-cherniy-1424330/" , "14243.30 Набор для хранения вина Prestigio, черный")</f>
      </c>
      <c r="C23604" s="4" t="n">
        <v>6805.00</v>
      </c>
      <c r="D23604" s="4"/>
    </row>
    <row collapsed="" customFormat="false" customHeight="1" hidden="" ht="14" outlineLevel="0" r="23605">
      <c r="A23605" s="3" t="inlineStr">
        <is>
          <t>23522</t>
        </is>
      </c>
      <c r="B23605" s="4" t="s">
        <f>=HYPERLINK("http://anyluxury.ru/shop/podarochnye-nabory/nabory-dlya-vina-i-krepkikh-napitkov/nabor-premudriy-viskar-maliy-1202102/" , "12021.02 Набор «Премудрый вискарь», малый")</f>
      </c>
      <c r="C23605" s="4" t="n">
        <v>2307.00</v>
      </c>
      <c r="D23605" s="4"/>
    </row>
    <row collapsed="" customFormat="false" customHeight="1" hidden="" ht="14" outlineLevel="0" r="23606">
      <c r="A23606" s="3" t="inlineStr">
        <is>
          <t>23523</t>
        </is>
      </c>
      <c r="B23606" s="4" t="s">
        <f>=HYPERLINK("http://anyluxury.ru/shop/podarochnye-nabory/nabory-dlya-vina-i-krepkikh-napitkov/nabor-dlya-vina-fiano-ver2-1557800/" , "15578.00 Набор для вина Fiano, ver.2")</f>
      </c>
      <c r="C23606" s="4" t="n">
        <v>1586.00</v>
      </c>
      <c r="D23606" s="4"/>
    </row>
    <row collapsed="" customFormat="false" customHeight="1" hidden="" ht="14" outlineLevel="0" r="23607">
      <c r="A23607" s="3" t="inlineStr">
        <is>
          <t>23524</t>
        </is>
      </c>
      <c r="B23607" s="4" t="s">
        <f>=HYPERLINK("http://anyluxury.ru/shop/podarochnye-nabory/nabory-dlya-vina-i-krepkikh-napitkov/nabor-dlya-vina-s-dekanterom-golden-days-1750980/" , "17509.80 Набор для вина с декантером Golden Days")</f>
      </c>
      <c r="C23607" s="4" t="n">
        <v>2888.00</v>
      </c>
      <c r="D23607" s="4"/>
    </row>
    <row collapsed="" customFormat="false" customHeight="1" hidden="" ht="14" outlineLevel="0" r="23608">
      <c r="A23608" s="3" t="inlineStr">
        <is>
          <t>23525</t>
        </is>
      </c>
      <c r="B23608" s="4" t="s">
        <f>=HYPERLINK("http://anyluxury.ru/shop/podarochnye-nabory/nabory-dlya-vina-i-krepkikh-napitkov/vinniy-nabor-huohou-electric-wine-bottle-opener-4-in-1-cherniy-1676730/" , "16767.30 Винный набор HuoHou Electric Wine Bottle Opener 4 in 1, черный")</f>
      </c>
      <c r="C23608" s="4" t="n">
        <v>2820.00</v>
      </c>
      <c r="D23608" s="4"/>
    </row>
    <row collapsed="" customFormat="false" customHeight="1" hidden="" ht="14" outlineLevel="0" r="23609">
      <c r="A23609" s="3" t="inlineStr">
        <is>
          <t>23526</t>
        </is>
      </c>
      <c r="B23609" s="4" t="s">
        <f>=HYPERLINK("http://anyluxury.ru/shop/podarochnye-nabory/nabory-dlya-vina-i-krepkikh-napitkov/vinniy-nabor-huohou-electric-wine-bottle-opener-5-in-1-cherniy-1676830/" , "16768.30 Винный набор HuoHou Electric Wine Bottle Opener 5 in 1, черный")</f>
      </c>
      <c r="C23609" s="4" t="n">
        <v>2699.00</v>
      </c>
      <c r="D23609" s="4"/>
    </row>
    <row collapsed="" customFormat="false" customHeight="" hidden="" ht="12.1" outlineLevel="0" r="23610">
      <c r="A23610" s="5" t="inlineStr">
        <is>
          <t> -  - Наборы для выращивания</t>
        </is>
      </c>
      <c r="B23610" s="6"/>
      <c r="C23610" s="6"/>
      <c r="D23610" s="6"/>
    </row>
    <row collapsed="" customFormat="false" customHeight="1" hidden="" ht="14" outlineLevel="0" r="23611">
      <c r="A23611" s="3" t="inlineStr">
        <is>
          <t>23527</t>
        </is>
      </c>
      <c r="B23611" s="4" t="s">
        <f>=HYPERLINK("http://anyluxury.ru/shop/podarochnye-nabory/nabory-dlya-vyrashchivaniya/nabor-dlya-virashhivaniya-ekokub-lavanda-3416/" , "3416 Набор для выращивания «Экокуб», лаванда")</f>
      </c>
      <c r="C23611" s="4" t="n">
        <v>590.00</v>
      </c>
      <c r="D23611" s="4"/>
    </row>
    <row collapsed="" customFormat="false" customHeight="1" hidden="" ht="14" outlineLevel="0" r="23612">
      <c r="A23612" s="3" t="inlineStr">
        <is>
          <t>23528</t>
        </is>
      </c>
      <c r="B23612" s="4" t="s">
        <f>=HYPERLINK("http://anyluxury.ru/shop/podarochnye-nabory/nabory-dlya-vyrashchivaniya/nabor-dlya-virashhivaniya-ekokub-melissa-3432/" , "3432 Набор для выращивания «Экокуб», мелисса")</f>
      </c>
      <c r="C23612" s="4" t="n">
        <v>590.00</v>
      </c>
      <c r="D23612" s="4"/>
    </row>
    <row collapsed="" customFormat="false" customHeight="1" hidden="" ht="14" outlineLevel="0" r="23613">
      <c r="A23613" s="3" t="inlineStr">
        <is>
          <t>23529</t>
        </is>
      </c>
      <c r="B23613" s="4" t="s">
        <f>=HYPERLINK("http://anyluxury.ru/shop/podarochnye-nabory/nabory-dlya-vyrashchivaniya/nabor-dlya-virashhivaniya-s-organayzerom-ekokub-burn-el-golubaya-1060805/" , "10608.05 Набор для выращивания с органайзером «Экокуб Burn», ель голубая")</f>
      </c>
      <c r="C23613" s="4" t="n">
        <v>690.00</v>
      </c>
      <c r="D23613" s="4"/>
    </row>
    <row collapsed="" customFormat="false" customHeight="1" hidden="" ht="14" outlineLevel="0" r="23614">
      <c r="A23614" s="3" t="inlineStr">
        <is>
          <t>23530</t>
        </is>
      </c>
      <c r="B23614" s="4" t="s">
        <f>=HYPERLINK("http://anyluxury.ru/shop/podarochnye-nabory/nabory-dlya-vyrashchivaniya/nabor-dlya-virashhivaniya-s-organayzerom-ekokub-burn-lavanda-1060806/" , "10608.06 Набор для выращивания с органайзером «Экокуб Burn», лаванда")</f>
      </c>
      <c r="C23614" s="4" t="n">
        <v>690.00</v>
      </c>
      <c r="D23614" s="4"/>
    </row>
    <row collapsed="" customFormat="false" customHeight="1" hidden="" ht="14" outlineLevel="0" r="23615">
      <c r="A23615" s="3" t="inlineStr">
        <is>
          <t>23531</t>
        </is>
      </c>
      <c r="B23615" s="4" t="s">
        <f>=HYPERLINK("http://anyluxury.ru/shop/podarochnye-nabory/nabory-dlya-vyrashchivaniya/nabor-dlya-virashhivaniya-s-organayzerom-ekokub-burn-siren-1060809/" , "10608.09 Набор для выращивания с органайзером «Экокуб Burn», сирень")</f>
      </c>
      <c r="C23615" s="4" t="n">
        <v>690.00</v>
      </c>
      <c r="D23615" s="4"/>
    </row>
    <row collapsed="" customFormat="false" customHeight="1" hidden="" ht="14" outlineLevel="0" r="23616">
      <c r="A23616" s="3" t="inlineStr">
        <is>
          <t>23532</t>
        </is>
      </c>
      <c r="B23616" s="4" t="s">
        <f>=HYPERLINK("http://anyluxury.ru/shop/podarochnye-nabory/nabory-dlya-vyrashchivaniya/nabor-dlya-virashhivaniya-s-organayzerom-ekokub-burn-sosna-1060810/" , "10608.10 Набор для выращивания с органайзером «Экокуб Burn», сосна")</f>
      </c>
      <c r="C23616" s="4" t="n">
        <v>690.00</v>
      </c>
      <c r="D23616" s="4"/>
    </row>
    <row collapsed="" customFormat="false" customHeight="1" hidden="" ht="14" outlineLevel="0" r="23617">
      <c r="A23617" s="3" t="inlineStr">
        <is>
          <t>23533</t>
        </is>
      </c>
      <c r="B23617" s="4" t="s">
        <f>=HYPERLINK("http://anyluxury.ru/shop/podarochnye-nabory/nabory-dlya-vyrashchivaniya/nabor-spicemaker-1427100/" , "14271.00 Набор SpiceMaker")</f>
      </c>
      <c r="C23617" s="4" t="n">
        <v>1593.00</v>
      </c>
      <c r="D23617" s="4"/>
    </row>
    <row collapsed="" customFormat="false" customHeight="" hidden="" ht="12.1" outlineLevel="0" r="23618">
      <c r="A23618" s="5" t="inlineStr">
        <is>
          <t> -  - Наборы с аккумуляторами</t>
        </is>
      </c>
      <c r="B23618" s="6"/>
      <c r="C23618" s="6"/>
      <c r="D23618" s="6"/>
    </row>
    <row collapsed="" customFormat="false" customHeight="1" hidden="" ht="14" outlineLevel="0" r="23619">
      <c r="A23619" s="3" t="inlineStr">
        <is>
          <t>23534</t>
        </is>
      </c>
      <c r="B23619" s="4" t="s">
        <f>=HYPERLINK("http://anyluxury.ru/shop/podarochnye-nabory/nabory-s-akkumulyatorami/nabor-takeover-black-chernozheltiy-705338/" , "7053.38 Набор Takeover Black, черно-желтый")</f>
      </c>
      <c r="C23619" s="4" t="n">
        <v>985.10</v>
      </c>
      <c r="D23619" s="4"/>
    </row>
    <row collapsed="" customFormat="false" customHeight="1" hidden="" ht="14" outlineLevel="0" r="23620">
      <c r="A23620" s="3" t="inlineStr">
        <is>
          <t>23535</t>
        </is>
      </c>
      <c r="B23620" s="4" t="s">
        <f>=HYPERLINK("http://anyluxury.ru/shop/podarochnye-nabory/nabory-s-akkumulyatorami/nabor-lets-get-loud-ver2-serebristiy-342711/" , "3427.11 Набор Let's Get Loud, ver.2, серебристый")</f>
      </c>
      <c r="C23620" s="4" t="n">
        <v>2086.00</v>
      </c>
      <c r="D23620" s="4"/>
    </row>
    <row collapsed="" customFormat="false" customHeight="1" hidden="" ht="14" outlineLevel="0" r="23621">
      <c r="A23621" s="3" t="inlineStr">
        <is>
          <t>23536</t>
        </is>
      </c>
      <c r="B23621" s="4" t="s">
        <f>=HYPERLINK("http://anyluxury.ru/shop/podarochnye-nabory/nabory-s-akkumulyatorami/nabor-powerhouse-krasniy-1014950/" , "10149.50 Набор Powerhouse, красный")</f>
      </c>
      <c r="C23621" s="4" t="n">
        <v>2099.00</v>
      </c>
      <c r="D23621" s="4"/>
    </row>
    <row collapsed="" customFormat="false" customHeight="1" hidden="" ht="14" outlineLevel="0" r="23622">
      <c r="A23622" s="3" t="inlineStr">
        <is>
          <t>23537</t>
        </is>
      </c>
      <c r="B23622" s="4" t="s">
        <f>=HYPERLINK("http://anyluxury.ru/shop/podarochnye-nabory/nabory-s-akkumulyatorami/nabor-formation-oranzheviy-1038020/" , "10380.20 Набор Formation, оранжевый")</f>
      </c>
      <c r="C23622" s="4" t="n">
        <v>3117.00</v>
      </c>
      <c r="D23622" s="4"/>
    </row>
    <row collapsed="" customFormat="false" customHeight="1" hidden="" ht="14" outlineLevel="0" r="23623">
      <c r="A23623" s="3" t="inlineStr">
        <is>
          <t>23538</t>
        </is>
      </c>
      <c r="B23623" s="4" t="s">
        <f>=HYPERLINK("http://anyluxury.ru/shop/podarochnye-nabory/nabory-s-akkumulyatorami/nabor-formation-siniy-1038040/" , "10380.40 Набор Formation, синий")</f>
      </c>
      <c r="C23623" s="4" t="n">
        <v>3117.00</v>
      </c>
      <c r="D23623" s="4"/>
    </row>
    <row collapsed="" customFormat="false" customHeight="1" hidden="" ht="14" outlineLevel="0" r="23624">
      <c r="A23624" s="3" t="inlineStr">
        <is>
          <t>23539</t>
        </is>
      </c>
      <c r="B23624" s="4" t="s">
        <f>=HYPERLINK("http://anyluxury.ru/shop/podarochnye-nabory/nabory-s-akkumulyatorami/podarochniy-nabor-portobellosummer-time-zelyoniy-ezhednevnik-nedat-a5-ruchka-power-bank-gs05434greysummer/" , "GS-054-34-GREY-SUMMER Подарочный набор Portobello/Summer time зелёный (Ежедневник недат А5, Ручка, Power Bank)")</f>
      </c>
      <c r="C23624" s="4" t="n">
        <v>1758.00</v>
      </c>
      <c r="D23624" s="4"/>
    </row>
    <row collapsed="" customFormat="false" customHeight="1" hidden="" ht="14" outlineLevel="0" r="23625">
      <c r="A23625" s="3" t="inlineStr">
        <is>
          <t>23540</t>
        </is>
      </c>
      <c r="B23625" s="4" t="s">
        <f>=HYPERLINK("http://anyluxury.ru/shop/podarochnye-nabory/nabory-s-akkumulyatorami/podarochniy-nabor-portobellosky-siniy7-ezhednevnik-nedat-a5-ruchka-power-bank-gs25434bluesky/" , "GS-254-34-BLUE-SKY Подарочный набор Portobello/Sky синий-7 (Ежедневник недат А5, Ручка, Power Bank)")</f>
      </c>
      <c r="C23625" s="4" t="n">
        <v>1639.00</v>
      </c>
      <c r="D23625" s="4"/>
    </row>
    <row collapsed="" customFormat="false" customHeight="1" hidden="" ht="14" outlineLevel="0" r="23626">
      <c r="A23626" s="3" t="inlineStr">
        <is>
          <t>23541</t>
        </is>
      </c>
      <c r="B23626" s="4" t="s">
        <f>=HYPERLINK("http://anyluxury.ru/shop/podarochnye-nabory/nabory-s-akkumulyatorami/podarochniy-nabor-portobello-seriy-v-bolshoy-universalnoy-podarochnoy-korobke-ezhednevnik-nedat-a5-zont-power-bank-gsun1000802/" , "GS-UN-100-080.2 Подарочный набор Portobello серый в большой универсальной подарочной коробке (Ежедневник недат А5, Зонт, Power bank)")</f>
      </c>
      <c r="C23626" s="4" t="n">
        <v>2809.00</v>
      </c>
      <c r="D23626" s="4"/>
    </row>
    <row collapsed="" customFormat="false" customHeight="1" hidden="" ht="14" outlineLevel="0" r="23627">
      <c r="A23627" s="3" t="inlineStr">
        <is>
          <t>23542</t>
        </is>
      </c>
      <c r="B23627" s="4" t="s">
        <f>=HYPERLINK("http://anyluxury.ru/shop/podarochnye-nabory/nabory-s-akkumulyatorami/podarochniy-nabor-portobello-winner-city-siniy-ezhednevnik-nedat-a5-ruchka-power-bank-gs35634bluewinner/" , "GS-356-34-BLUE-WINNER Подарочный набор Portobello/ Winner City синий (Ежедневник недат А5, Ручка, Power Bank серый/белый)")</f>
      </c>
      <c r="C23627" s="4" t="n">
        <v>3085.00</v>
      </c>
      <c r="D23627" s="4"/>
    </row>
    <row collapsed="" customFormat="false" customHeight="1" hidden="" ht="14" outlineLevel="0" r="23628">
      <c r="A23628" s="3" t="inlineStr">
        <is>
          <t>23543</t>
        </is>
      </c>
      <c r="B23628" s="4" t="s">
        <f>=HYPERLINK("http://anyluxury.ru/shop/podarochnye-nabory/nabory-s-akkumulyatorami/podarochniy-nabor-portobellovegas-city-siniy-ezhednevnik-nedat-a5-ruchka-power-bank-gs34834bluevegas/" , "GS-348-34-BLUE-VEGAS Подарочный набор Portobello/Vegas City синий (Ежедневник недат А5, Ручка, Power Bank)")</f>
      </c>
      <c r="C23628" s="4" t="n">
        <v>1335.00</v>
      </c>
      <c r="D23628" s="4"/>
    </row>
    <row collapsed="" customFormat="false" customHeight="1" hidden="" ht="14" outlineLevel="0" r="23629">
      <c r="A23629" s="3" t="inlineStr">
        <is>
          <t>23544</t>
        </is>
      </c>
      <c r="B23629" s="4" t="s">
        <f>=HYPERLINK("http://anyluxury.ru/shop/podarochnye-nabory/nabory-s-akkumulyatorami/nabor-office-fuel-cherniy-1213130/" , "12131.30 Набор Office Fuel, черный")</f>
      </c>
      <c r="C23629" s="4" t="n">
        <v>2848.50</v>
      </c>
      <c r="D23629" s="4"/>
    </row>
    <row collapsed="" customFormat="false" customHeight="1" hidden="" ht="14" outlineLevel="0" r="23630">
      <c r="A23630" s="3" t="inlineStr">
        <is>
          <t>23545</t>
        </is>
      </c>
      <c r="B23630" s="4" t="s">
        <f>=HYPERLINK("http://anyluxury.ru/shop/podarochnye-nabory/nabory-s-akkumulyatorami/nabor-office-fuel-krasniy-1213150/" , "12131.50 Набор Office Fuel, красный")</f>
      </c>
      <c r="C23630" s="4" t="n">
        <v>2848.50</v>
      </c>
      <c r="D23630" s="4"/>
    </row>
    <row collapsed="" customFormat="false" customHeight="1" hidden="" ht="14" outlineLevel="0" r="23631">
      <c r="A23631" s="3" t="inlineStr">
        <is>
          <t>23546</t>
        </is>
      </c>
      <c r="B23631" s="4" t="s">
        <f>=HYPERLINK("http://anyluxury.ru/shop/podarochnye-nabory/nabory-s-akkumulyatorami/nabor-suite-energy-maliy-siniy-1170540/" , "11705.40 Набор Suite Energy, малый, синий")</f>
      </c>
      <c r="C23631" s="4" t="n">
        <v>2152.50</v>
      </c>
      <c r="D23631" s="4"/>
    </row>
    <row collapsed="" customFormat="false" customHeight="1" hidden="" ht="14" outlineLevel="0" r="23632">
      <c r="A23632" s="3" t="inlineStr">
        <is>
          <t>23547</t>
        </is>
      </c>
      <c r="B23632" s="4" t="s">
        <f>=HYPERLINK("http://anyluxury.ru/shop/podarochnye-nabory/nabory-s-akkumulyatorami/nabor-suite-energy-maliy-krasniy-1170550/" , "11705.50 Набор Suite Energy, малый, красный")</f>
      </c>
      <c r="C23632" s="4" t="n">
        <v>2152.50</v>
      </c>
      <c r="D23632" s="4"/>
    </row>
    <row collapsed="" customFormat="false" customHeight="1" hidden="" ht="14" outlineLevel="0" r="23633">
      <c r="A23633" s="3" t="inlineStr">
        <is>
          <t>23548</t>
        </is>
      </c>
      <c r="B23633" s="4" t="s">
        <f>=HYPERLINK("http://anyluxury.ru/shop/podarochnye-nabory/nabory-s-akkumulyatorami/nabor-suite-energy-bolshoy-siniy-1171040/" , "11710.40 Набор Suite Energy, большой, синий")</f>
      </c>
      <c r="C23633" s="4" t="n">
        <v>2652.50</v>
      </c>
      <c r="D23633" s="4"/>
    </row>
    <row collapsed="" customFormat="false" customHeight="1" hidden="" ht="14" outlineLevel="0" r="23634">
      <c r="A23634" s="3" t="inlineStr">
        <is>
          <t>23549</t>
        </is>
      </c>
      <c r="B23634" s="4" t="s">
        <f>=HYPERLINK("http://anyluxury.ru/shop/podarochnye-nabory/nabory-s-akkumulyatorami/nabor-flexpen-energy-serebristofioletoviy-1182717/" , "11827.17 Набор Flexpen Energy, серебристо-фиолетовый")</f>
      </c>
      <c r="C23634" s="4" t="n">
        <v>2378.00</v>
      </c>
      <c r="D23634" s="4"/>
    </row>
    <row collapsed="" customFormat="false" customHeight="1" hidden="" ht="14" outlineLevel="0" r="23635">
      <c r="A23635" s="3" t="inlineStr">
        <is>
          <t>23550</t>
        </is>
      </c>
      <c r="B23635" s="4" t="s">
        <f>=HYPERLINK("http://anyluxury.ru/shop/podarochnye-nabory/nabory-s-akkumulyatorami/nabor-flexpen-energy-serebristobiryuzoviy-1182749/" , "11827.49 Набор Flexpen Energy, серебристо-бирюзовый")</f>
      </c>
      <c r="C23635" s="4" t="n">
        <v>2520.30</v>
      </c>
      <c r="D23635" s="4"/>
    </row>
    <row collapsed="" customFormat="false" customHeight="1" hidden="" ht="14" outlineLevel="0" r="23636">
      <c r="A23636" s="3" t="inlineStr">
        <is>
          <t>23551</t>
        </is>
      </c>
      <c r="B23636" s="4" t="s">
        <f>=HYPERLINK("http://anyluxury.ru/shop/podarochnye-nabory/nabory-s-akkumulyatorami/nabor-apache-energy-siniy-1804040/" , "18040.40 Набор Apache Energy, синий")</f>
      </c>
      <c r="C23636" s="4" t="n">
        <v>3416.00</v>
      </c>
      <c r="D23636" s="4"/>
    </row>
    <row collapsed="" customFormat="false" customHeight="1" hidden="" ht="14" outlineLevel="0" r="23637">
      <c r="A23637" s="3" t="inlineStr">
        <is>
          <t>23552</t>
        </is>
      </c>
      <c r="B23637" s="4" t="s">
        <f>=HYPERLINK("http://anyluxury.ru/shop/podarochnye-nabory/nabory-s-akkumulyatorami/nabor-apache-energy-krasniy-1804050/" , "18040.50 Набор Apache Energy, красный")</f>
      </c>
      <c r="C23637" s="4" t="n">
        <v>3416.00</v>
      </c>
      <c r="D23637" s="4"/>
    </row>
    <row collapsed="" customFormat="false" customHeight="1" hidden="" ht="14" outlineLevel="0" r="23638">
      <c r="A23638" s="3" t="inlineStr">
        <is>
          <t>23553</t>
        </is>
      </c>
      <c r="B23638" s="4" t="s">
        <f>=HYPERLINK("http://anyluxury.ru/shop/podarochnye-nabory/nabory-s-akkumulyatorami/nabor-apache-energy-korichneviy-kakao-1804059/" , "18040.59 Набор Apache Energy, коричневый (какао)")</f>
      </c>
      <c r="C23638" s="4" t="n">
        <v>3416.00</v>
      </c>
      <c r="D23638" s="4"/>
    </row>
    <row collapsed="" customFormat="false" customHeight="1" hidden="" ht="14" outlineLevel="0" r="23639">
      <c r="A23639" s="3" t="inlineStr">
        <is>
          <t>23554</t>
        </is>
      </c>
      <c r="B23639" s="4" t="s">
        <f>=HYPERLINK("http://anyluxury.ru/shop/podarochnye-nabory/nabory-s-akkumulyatorami/nabor-apache-energy-zeleniy-1804090/" , "18040.90 Набор Apache Energy, зеленый")</f>
      </c>
      <c r="C23639" s="4" t="n">
        <v>3416.00</v>
      </c>
      <c r="D23639" s="4"/>
    </row>
    <row collapsed="" customFormat="false" customHeight="1" hidden="" ht="14" outlineLevel="0" r="23640">
      <c r="A23640" s="3" t="inlineStr">
        <is>
          <t>23555</t>
        </is>
      </c>
      <c r="B23640" s="4" t="s">
        <f>=HYPERLINK("http://anyluxury.ru/shop/podarochnye-nabory/nabory-s-akkumulyatorami/podarochniy-nabor-portobello-winner-city-siniy-ezhednevnik-nedat-a5-ruchka-power-bank-siniybeliy-gs35634bluewinner1/" , "GS-356-34-BLUE-WINNER/1 Подарочный набор Portobello/ Winner City синий (Ежедневник недат А5, Ручка, Power Bank синий/белый)")</f>
      </c>
      <c r="C23640" s="4" t="n">
        <v>3085.00</v>
      </c>
      <c r="D23640" s="4"/>
    </row>
    <row collapsed="" customFormat="false" customHeight="1" hidden="" ht="14" outlineLevel="0" r="23641">
      <c r="A23641" s="3" t="inlineStr">
        <is>
          <t>23556</t>
        </is>
      </c>
      <c r="B23641" s="4" t="s">
        <f>=HYPERLINK("http://anyluxury.ru/shop/podarochnye-nabory/nabory-s-akkumulyatorami/nabor-reversal-cherniy-1306830/" , "13068.30 Набор Reversal, черный")</f>
      </c>
      <c r="C23641" s="4" t="n">
        <v>2904.00</v>
      </c>
      <c r="D23641" s="4"/>
    </row>
    <row collapsed="" customFormat="false" customHeight="1" hidden="" ht="14" outlineLevel="0" r="23642">
      <c r="A23642" s="3" t="inlineStr">
        <is>
          <t>23557</t>
        </is>
      </c>
      <c r="B23642" s="4" t="s">
        <f>=HYPERLINK("http://anyluxury.ru/shop/podarochnye-nabory/nabory-s-akkumulyatorami/nabor-orbis-serebristiy-1308910/" , "13089.10 Набор Orbis, серебристый")</f>
      </c>
      <c r="C23642" s="4" t="n">
        <v>2090.00</v>
      </c>
      <c r="D23642" s="4"/>
    </row>
    <row collapsed="" customFormat="false" customHeight="1" hidden="" ht="14" outlineLevel="0" r="23643">
      <c r="A23643" s="3" t="inlineStr">
        <is>
          <t>23558</t>
        </is>
      </c>
      <c r="B23643" s="4" t="s">
        <f>=HYPERLINK("http://anyluxury.ru/shop/podarochnye-nabory/nabory-s-akkumulyatorami/nabor-riverside-siniy-349644/" , "3496.44 Набор Riverside, синий")</f>
      </c>
      <c r="C23643" s="4" t="n">
        <v>3634.00</v>
      </c>
      <c r="D23643" s="4"/>
    </row>
    <row collapsed="" customFormat="false" customHeight="1" hidden="" ht="14" outlineLevel="0" r="23644">
      <c r="A23644" s="3" t="inlineStr">
        <is>
          <t>23559</t>
        </is>
      </c>
      <c r="B23644" s="4" t="s">
        <f>=HYPERLINK("http://anyluxury.ru/shop/podarochnye-nabory/nabory-s-akkumulyatorami/nabor-flex-shall-recharge-beliy-1704460/" , "17044.60 Набор Flex Shall Recharge, белый")</f>
      </c>
      <c r="C23644" s="4" t="n">
        <v>3291.00</v>
      </c>
      <c r="D23644" s="4"/>
    </row>
    <row collapsed="" customFormat="false" customHeight="1" hidden="" ht="14" outlineLevel="0" r="23645">
      <c r="A23645" s="3" t="inlineStr">
        <is>
          <t>23560</t>
        </is>
      </c>
      <c r="B23645" s="4" t="s">
        <f>=HYPERLINK("http://anyluxury.ru/shop/podarochnye-nabory/nabory-s-akkumulyatorami/nabor-shall-energy-oranzheviy-1704520/" , "17045.20 Набор Shall Energy, оранжевый")</f>
      </c>
      <c r="C23645" s="4" t="n">
        <v>2951.00</v>
      </c>
      <c r="D23645" s="4"/>
    </row>
    <row collapsed="" customFormat="false" customHeight="1" hidden="" ht="14" outlineLevel="0" r="23646">
      <c r="A23646" s="3" t="inlineStr">
        <is>
          <t>23561</t>
        </is>
      </c>
      <c r="B23646" s="4" t="s">
        <f>=HYPERLINK("http://anyluxury.ru/shop/podarochnye-nabory/nabory-s-akkumulyatorami/nabor-shall-energy-cherniy-1704530/" , "17045.30 Набор Shall Energy, черный")</f>
      </c>
      <c r="C23646" s="4" t="n">
        <v>2951.00</v>
      </c>
      <c r="D23646" s="4"/>
    </row>
    <row collapsed="" customFormat="false" customHeight="1" hidden="" ht="14" outlineLevel="0" r="23647">
      <c r="A23647" s="3" t="inlineStr">
        <is>
          <t>23562</t>
        </is>
      </c>
      <c r="B23647" s="4" t="s">
        <f>=HYPERLINK("http://anyluxury.ru/shop/podarochnye-nabory/nabory-s-akkumulyatorami/nabor-impression-oranzheviy-1385520/" , "13855.20 Набор Impression, оранжевый")</f>
      </c>
      <c r="C23647" s="4" t="n">
        <v>2870.00</v>
      </c>
      <c r="D23647" s="4"/>
    </row>
    <row collapsed="" customFormat="false" customHeight="1" hidden="" ht="14" outlineLevel="0" r="23648">
      <c r="A23648" s="3" t="inlineStr">
        <is>
          <t>23563</t>
        </is>
      </c>
      <c r="B23648" s="4" t="s">
        <f>=HYPERLINK("http://anyluxury.ru/shop/podarochnye-nabory/nabory-s-akkumulyatorami/nabor-impression-krasniy-1385550/" , "13855.50 Набор Impression, красный")</f>
      </c>
      <c r="C23648" s="4" t="n">
        <v>2870.00</v>
      </c>
      <c r="D23648" s="4"/>
    </row>
    <row collapsed="" customFormat="false" customHeight="1" hidden="" ht="14" outlineLevel="0" r="23649">
      <c r="A23649" s="3" t="inlineStr">
        <is>
          <t>23564</t>
        </is>
      </c>
      <c r="B23649" s="4" t="s">
        <f>=HYPERLINK("http://anyluxury.ru/shop/podarochnye-nabory/nabory-s-akkumulyatorami/nabor-impression-siniy-1385540/" , "13855.40 Набор Impression, синий")</f>
      </c>
      <c r="C23649" s="4" t="n">
        <v>2870.00</v>
      </c>
      <c r="D23649" s="4"/>
    </row>
    <row collapsed="" customFormat="false" customHeight="1" hidden="" ht="14" outlineLevel="0" r="23650">
      <c r="A23650" s="3" t="inlineStr">
        <is>
          <t>23565</t>
        </is>
      </c>
      <c r="B23650" s="4" t="s">
        <f>=HYPERLINK("http://anyluxury.ru/shop/podarochnye-nabory/nabory-s-akkumulyatorami/nabor-impression-zheltiy-s-chernim-1385583/" , "13855.83 Набор Impression, желтый с черным")</f>
      </c>
      <c r="C23650" s="4" t="n">
        <v>2870.00</v>
      </c>
      <c r="D23650" s="4"/>
    </row>
    <row collapsed="" customFormat="false" customHeight="1" hidden="" ht="14" outlineLevel="0" r="23651">
      <c r="A23651" s="3" t="inlineStr">
        <is>
          <t>23566</t>
        </is>
      </c>
      <c r="B23651" s="4" t="s">
        <f>=HYPERLINK("http://anyluxury.ru/shop/podarochnye-nabory/nabory-s-akkumulyatorami/nabor-impression-zeleniy-s-chernim-1385593/" , "13855.93 Набор Impression, зеленый с черным")</f>
      </c>
      <c r="C23651" s="4" t="n">
        <v>2870.00</v>
      </c>
      <c r="D23651" s="4"/>
    </row>
    <row collapsed="" customFormat="false" customHeight="1" hidden="" ht="14" outlineLevel="0" r="23652">
      <c r="A23652" s="3" t="inlineStr">
        <is>
          <t>23567</t>
        </is>
      </c>
      <c r="B23652" s="4" t="s">
        <f>=HYPERLINK("http://anyluxury.ru/shop/podarochnye-nabory/nabory-s-akkumulyatorami/nabor-kroom-energy-oranzheviy-1790920/" , "17909.20 Набор Kroom Energy, оранжевый")</f>
      </c>
      <c r="C23652" s="4" t="n">
        <v>1997.00</v>
      </c>
      <c r="D23652" s="4"/>
    </row>
    <row collapsed="" customFormat="false" customHeight="1" hidden="" ht="14" outlineLevel="0" r="23653">
      <c r="A23653" s="3" t="inlineStr">
        <is>
          <t>23568</t>
        </is>
      </c>
      <c r="B23653" s="4" t="s">
        <f>=HYPERLINK("http://anyluxury.ru/shop/podarochnye-nabory/nabory-s-akkumulyatorami/nabor-kroom-energy-biryuzoviy-1790949/" , "17909.49 Набор Kroom Energy, бирюзовый")</f>
      </c>
      <c r="C23653" s="4" t="n">
        <v>1997.00</v>
      </c>
      <c r="D23653" s="4"/>
    </row>
    <row collapsed="" customFormat="false" customHeight="1" hidden="" ht="14" outlineLevel="0" r="23654">
      <c r="A23654" s="3" t="inlineStr">
        <is>
          <t>23569</t>
        </is>
      </c>
      <c r="B23654" s="4" t="s">
        <f>=HYPERLINK("http://anyluxury.ru/shop/podarochnye-nabory/nabory-s-akkumulyatorami/nabor-kroom-memory-biryuzoviy-1789949/" , "17899.49 Набор Kroom Memory, бирюзовый")</f>
      </c>
      <c r="C23654" s="4" t="n">
        <v>2331.00</v>
      </c>
      <c r="D23654" s="4"/>
    </row>
    <row collapsed="" customFormat="false" customHeight="1" hidden="" ht="14" outlineLevel="0" r="23655">
      <c r="A23655" s="3" t="inlineStr">
        <is>
          <t>23570</t>
        </is>
      </c>
      <c r="B23655" s="4" t="s">
        <f>=HYPERLINK("http://anyluxury.ru/shop/podarochnye-nabory/nabory-s-akkumulyatorami/nabor-kroom-memory-seriy-1789910/" , "17899.10 Набор Kroom Memory, серый")</f>
      </c>
      <c r="C23655" s="4" t="n">
        <v>2620.00</v>
      </c>
      <c r="D23655" s="4"/>
    </row>
    <row collapsed="" customFormat="false" customHeight="1" hidden="" ht="14" outlineLevel="0" r="23656">
      <c r="A23656" s="3" t="inlineStr">
        <is>
          <t>23571</t>
        </is>
      </c>
      <c r="B23656" s="4" t="s">
        <f>=HYPERLINK("http://anyluxury.ru/shop/podarochnye-nabory/nabory-s-akkumulyatorami/nabor-kroom-memory-oranzheviy-1789920/" , "17899.20 Набор Kroom Memory, оранжевый")</f>
      </c>
      <c r="C23656" s="4" t="n">
        <v>2332.00</v>
      </c>
      <c r="D23656" s="4"/>
    </row>
    <row collapsed="" customFormat="false" customHeight="1" hidden="" ht="14" outlineLevel="0" r="23657">
      <c r="A23657" s="3" t="inlineStr">
        <is>
          <t>23572</t>
        </is>
      </c>
      <c r="B23657" s="4" t="s">
        <f>=HYPERLINK("http://anyluxury.ru/shop/podarochnye-nabory/nabory-s-akkumulyatorami/nabor-flex-shall-recharge-seriy-1704410/" , "17044.10 Набор Flex Shall Recharge, серый")</f>
      </c>
      <c r="C23657" s="4" t="n">
        <v>3291.00</v>
      </c>
      <c r="D23657" s="4"/>
    </row>
    <row collapsed="" customFormat="false" customHeight="1" hidden="" ht="14" outlineLevel="0" r="23658">
      <c r="A23658" s="3" t="inlineStr">
        <is>
          <t>23573</t>
        </is>
      </c>
      <c r="B23658" s="4" t="s">
        <f>=HYPERLINK("http://anyluxury.ru/shop/podarochnye-nabory/nabory-s-akkumulyatorami/nabor-flex-shall-recharge-goluboy-1704414/" , "17044.14 Набор Flex Shall Recharge, голубой")</f>
      </c>
      <c r="C23658" s="4" t="n">
        <v>3291.00</v>
      </c>
      <c r="D23658" s="4"/>
    </row>
    <row collapsed="" customFormat="false" customHeight="1" hidden="" ht="14" outlineLevel="0" r="23659">
      <c r="A23659" s="3" t="inlineStr">
        <is>
          <t>23574</t>
        </is>
      </c>
      <c r="B23659" s="4" t="s">
        <f>=HYPERLINK("http://anyluxury.ru/shop/podarochnye-nabory/nabory-s-akkumulyatorami/nabor-flex-shall-recharge-fioletoviy-1704470/" , "17044.70 Набор Flex Shall Recharge, фиолетовый")</f>
      </c>
      <c r="C23659" s="4" t="n">
        <v>3369.00</v>
      </c>
      <c r="D23659" s="4"/>
    </row>
    <row collapsed="" customFormat="false" customHeight="1" hidden="" ht="14" outlineLevel="0" r="23660">
      <c r="A23660" s="3" t="inlineStr">
        <is>
          <t>23575</t>
        </is>
      </c>
      <c r="B23660" s="4" t="s">
        <f>=HYPERLINK("http://anyluxury.ru/shop/podarochnye-nabory/nabory-s-akkumulyatorami/nabor-flex-shall-recharge-svetlozeleniy-1704490/" , "17044.90 Набор Flex Shall Recharge, светло-зеленый")</f>
      </c>
      <c r="C23660" s="4" t="n">
        <v>3291.00</v>
      </c>
      <c r="D23660" s="4"/>
    </row>
    <row collapsed="" customFormat="false" customHeight="1" hidden="" ht="14" outlineLevel="0" r="23661">
      <c r="A23661" s="3" t="inlineStr">
        <is>
          <t>23576</t>
        </is>
      </c>
      <c r="B23661" s="4" t="s">
        <f>=HYPERLINK("http://anyluxury.ru/shop/podarochnye-nabory/nabory-s-akkumulyatorami/nabor-flex-shall-recharge-zeleniy-1704499/" , "17044.99 Набор Flex Shall Recharge, зеленый")</f>
      </c>
      <c r="C23661" s="4" t="n">
        <v>3369.00</v>
      </c>
      <c r="D23661" s="4"/>
    </row>
    <row collapsed="" customFormat="false" customHeight="1" hidden="" ht="14" outlineLevel="0" r="23662">
      <c r="A23662" s="3" t="inlineStr">
        <is>
          <t>23577</t>
        </is>
      </c>
      <c r="B23662" s="4" t="s">
        <f>=HYPERLINK("http://anyluxury.ru/shop/podarochnye-nabory/nabory-s-akkumulyatorami/nabor-flexpen-shall-energy-oranzheviy-1988920/" , "19889.20 Набор Flexpen Shall Energy, оранжевый")</f>
      </c>
      <c r="C23662" s="4" t="n">
        <v>3519.00</v>
      </c>
      <c r="D23662" s="4"/>
    </row>
    <row collapsed="" customFormat="false" customHeight="" hidden="" ht="12.1" outlineLevel="0" r="23663">
      <c r="A23663" s="5" t="inlineStr">
        <is>
          <t> -  - Наборы с ежедневниками и блокнотами</t>
        </is>
      </c>
      <c r="B23663" s="6"/>
      <c r="C23663" s="6"/>
      <c r="D23663" s="6"/>
    </row>
    <row collapsed="" customFormat="false" customHeight="1" hidden="" ht="14" outlineLevel="0" r="23664">
      <c r="A23664" s="3" t="inlineStr">
        <is>
          <t>23578</t>
        </is>
      </c>
      <c r="B23664" s="4" t="s">
        <f>=HYPERLINK("http://anyluxury.ru/shop/podarochnye-nabory/nabory-s-ezhednevnikami-i-bloknotami/podarochniy-nabor-portobelloalpha-krasniy-ezhednevnik-nedat-a5-ruchka-power-bank-gs32634greyalpha/" , "GS-326-34-GREY-ALPHA Подарочный набор Portobello/Alpha красный (Ежедневник недат А5, Ручка, Power Bank)")</f>
      </c>
      <c r="C23664" s="4" t="n">
        <v>2522.00</v>
      </c>
      <c r="D23664" s="4"/>
    </row>
    <row collapsed="" customFormat="false" customHeight="1" hidden="" ht="14" outlineLevel="0" r="23665">
      <c r="A23665" s="3" t="inlineStr">
        <is>
          <t>23579</t>
        </is>
      </c>
      <c r="B23665" s="4" t="s">
        <f>=HYPERLINK("http://anyluxury.ru/shop/podarochnye-nabory/nabory-s-ezhednevnikami-i-bloknotami/podarochniy-nabor-portobelloarctic-belozeleniy-ezhednevnik-nedat-a5-ruchka-power-bank-gs32134greyarctic/" , "GS-321-34-GREY-ARCTIC Подарочный набор Portobello/Arctic бело-зеленый (Ежедневник недат А5, Ручка, Power Bank)")</f>
      </c>
      <c r="C23665" s="4" t="n">
        <v>1914.00</v>
      </c>
      <c r="D23665" s="4"/>
    </row>
    <row collapsed="" customFormat="false" customHeight="1" hidden="" ht="14" outlineLevel="0" r="23666">
      <c r="A23666" s="3" t="inlineStr">
        <is>
          <t>23580</t>
        </is>
      </c>
      <c r="B23666" s="4" t="s">
        <f>=HYPERLINK("http://anyluxury.ru/shop/podarochnye-nabory/nabory-s-ezhednevnikami-i-bloknotami/podarochniy-nabor-portobellolatte-zeleniy-ezhednevnik-nedat-a5-ruchka-power-bank-gs32734greylatte/" , "GS-327-34-GREY-LATTE Подарочный набор Portobello/Latte зеленый (Ежедневник недат А5, Ручка, Power Bank)")</f>
      </c>
      <c r="C23666" s="4" t="n">
        <v>1909.00</v>
      </c>
      <c r="D23666" s="4"/>
    </row>
    <row collapsed="" customFormat="false" customHeight="1" hidden="" ht="14" outlineLevel="0" r="23667">
      <c r="A23667" s="3" t="inlineStr">
        <is>
          <t>23581</t>
        </is>
      </c>
      <c r="B23667" s="4" t="s">
        <f>=HYPERLINK("http://anyluxury.ru/shop/podarochnye-nabory/nabory-s-ezhednevnikami-i-bloknotami/podarochniy-nabor-portobellolatte-siniy-goluboy-ezhednevnik-nedat-a5-ruchka-power-bank-gs32334bluelatte/" , "GS-323-34-BLUE-LATTE Подарочный набор Portobello/Latte синий/ голубой (Ежедневник недат А5, Ручка, Power Bank)")</f>
      </c>
      <c r="C23667" s="4" t="n">
        <v>1824.00</v>
      </c>
      <c r="D23667" s="4"/>
    </row>
    <row collapsed="" customFormat="false" customHeight="1" hidden="" ht="14" outlineLevel="0" r="23668">
      <c r="A23668" s="3" t="inlineStr">
        <is>
          <t>23582</t>
        </is>
      </c>
      <c r="B23668" s="4" t="s">
        <f>=HYPERLINK("http://anyluxury.ru/shop/podarochnye-nabory/nabory-s-ezhednevnikami-i-bloknotami/podarochniy-nabor-portobellolatte-siniygoluboy-2-ezhednevnik-nedat-a5-ruchka-power-bank-gs21334bluelatte/" , "GS-213-34-BLUE-LATTE Подарочный набор Portobello/Latte синий/голубой- 2 (Ежедневник недат А5, Ручка, Power Bank)")</f>
      </c>
      <c r="C23668" s="4" t="n">
        <v>1742.00</v>
      </c>
      <c r="D23668" s="4"/>
    </row>
    <row collapsed="" customFormat="false" customHeight="1" hidden="" ht="14" outlineLevel="0" r="23669">
      <c r="A23669" s="3" t="inlineStr">
        <is>
          <t>23583</t>
        </is>
      </c>
      <c r="B23669" s="4" t="s">
        <f>=HYPERLINK("http://anyluxury.ru/shop/podarochnye-nabory/nabory-s-ezhednevnikami-i-bloknotami/podarochniy-nabor-portobellomonte-cherniy-ezhednevnik-nedat-a5-ruchka-power-bank-gs33134greymonte/" , "GS-331-34-GREY-MONTE Подарочный набор Portobello/Monte черный (Ежедневник недат А5, Ручка, Power Bank)")</f>
      </c>
      <c r="C23669" s="4" t="n">
        <v>1592.00</v>
      </c>
      <c r="D23669" s="4"/>
    </row>
    <row collapsed="" customFormat="false" customHeight="1" hidden="" ht="14" outlineLevel="0" r="23670">
      <c r="A23670" s="3" t="inlineStr">
        <is>
          <t>23584</t>
        </is>
      </c>
      <c r="B23670" s="4" t="s">
        <f>=HYPERLINK("http://anyluxury.ru/shop/podarochnye-nabory/nabory-s-ezhednevnikami-i-bloknotami/podarochniy-nabor-portobellorain-krasniy-ezhednevnik-nedat-a5-ruchka-power-bank-gs33434greyrain/" , "GS-334-34-GREY-RAIN Подарочный набор Portobello/Rain красный (Ежедневник недат А5, Ручка, Power Bank)")</f>
      </c>
      <c r="C23670" s="4" t="n">
        <v>3043.00</v>
      </c>
      <c r="D23670" s="4"/>
    </row>
    <row collapsed="" customFormat="false" customHeight="1" hidden="" ht="14" outlineLevel="0" r="23671">
      <c r="A23671" s="3" t="inlineStr">
        <is>
          <t>23585</t>
        </is>
      </c>
      <c r="B23671" s="4" t="s">
        <f>=HYPERLINK("http://anyluxury.ru/shop/podarochnye-nabory/nabory-s-ezhednevnikami-i-bloknotami/podarochniy-nabor-portobellosummer-time-siniy-ezhednevnik-nedat-a5-ruchka-bezh-lozhement-gs21224bluebsummer/" , "GS-212-24-BLUE-B-Summer Подарочный набор Portobello/Summer time синий (Ежедневник недат А5, Ручка) беж. ложемент")</f>
      </c>
      <c r="C23671" s="4" t="n">
        <v>1198.00</v>
      </c>
      <c r="D23671" s="4"/>
    </row>
    <row collapsed="" customFormat="false" customHeight="1" hidden="" ht="14" outlineLevel="0" r="23672">
      <c r="A23672" s="3" t="inlineStr">
        <is>
          <t>23586</t>
        </is>
      </c>
      <c r="B23672" s="4" t="s">
        <f>=HYPERLINK("http://anyluxury.ru/shop/podarochnye-nabory/nabory-s-ezhednevnikami-i-bloknotami/nabor-idea-cherniy-331636/" , "3316.36 Набор Idea, черный")</f>
      </c>
      <c r="C23672" s="4" t="n">
        <v>1056.00</v>
      </c>
      <c r="D23672" s="4"/>
    </row>
    <row collapsed="" customFormat="false" customHeight="1" hidden="" ht="14" outlineLevel="0" r="23673">
      <c r="A23673" s="3" t="inlineStr">
        <is>
          <t>23587</t>
        </is>
      </c>
      <c r="B23673" s="4" t="s">
        <f>=HYPERLINK("http://anyluxury.ru/shop/podarochnye-nabory/nabory-s-ezhednevnikami-i-bloknotami/nabor-ofisniy-6723/" , "6723 Набор «Офисный»")</f>
      </c>
      <c r="C23673" s="4" t="n">
        <v>1490.00</v>
      </c>
      <c r="D23673" s="4"/>
    </row>
    <row collapsed="" customFormat="false" customHeight="1" hidden="" ht="14" outlineLevel="0" r="23674">
      <c r="A23674" s="3" t="inlineStr">
        <is>
          <t>23588</t>
        </is>
      </c>
      <c r="B23674" s="4" t="s">
        <f>=HYPERLINK("http://anyluxury.ru/shop/podarochnye-nabory/nabory-s-ezhednevnikami-i-bloknotami/nabor-riverside-bordoviy-349655/" , "3496.55 Набор Riverside, бордовый")</f>
      </c>
      <c r="C23674" s="4" t="n">
        <v>2018.00</v>
      </c>
      <c r="D23674" s="4"/>
    </row>
    <row collapsed="" customFormat="false" customHeight="1" hidden="" ht="14" outlineLevel="0" r="23675">
      <c r="A23675" s="3" t="inlineStr">
        <is>
          <t>23589</t>
        </is>
      </c>
      <c r="B23675" s="4" t="s">
        <f>=HYPERLINK("http://anyluxury.ru/shop/podarochnye-nabory/nabory-s-ezhednevnikami-i-bloknotami/nabor-horizon-krasniy-748550/" , "7485.50 Набор Horizon, красный")</f>
      </c>
      <c r="C23675" s="4" t="n">
        <v>2188.00</v>
      </c>
      <c r="D23675" s="4"/>
    </row>
    <row collapsed="" customFormat="false" customHeight="1" hidden="" ht="14" outlineLevel="0" r="23676">
      <c r="A23676" s="3" t="inlineStr">
        <is>
          <t>23590</t>
        </is>
      </c>
      <c r="B23676" s="4" t="s">
        <f>=HYPERLINK("http://anyluxury.ru/shop/podarochnye-nabory/nabory-s-ezhednevnikami-i-bloknotami/nabor-charme-fioletoviy-748770/" , "7487.70 Набор Charme, фиолетовый")</f>
      </c>
      <c r="C23676" s="4" t="n">
        <v>849.00</v>
      </c>
      <c r="D23676" s="4"/>
    </row>
    <row collapsed="" customFormat="false" customHeight="1" hidden="" ht="14" outlineLevel="0" r="23677">
      <c r="A23677" s="3" t="inlineStr">
        <is>
          <t>23591</t>
        </is>
      </c>
      <c r="B23677" s="4" t="s">
        <f>=HYPERLINK("http://anyluxury.ru/shop/podarochnye-nabory/nabory-s-ezhednevnikami-i-bloknotami/nabor-gems-siniy-748840/" , "7488.40 Набор Gems: ежедневник и ручка, синий")</f>
      </c>
      <c r="C23677" s="4" t="n">
        <v>1946.00</v>
      </c>
      <c r="D23677" s="4"/>
    </row>
    <row collapsed="" customFormat="false" customHeight="1" hidden="" ht="14" outlineLevel="0" r="23678">
      <c r="A23678" s="3" t="inlineStr">
        <is>
          <t>23592</t>
        </is>
      </c>
      <c r="B23678" s="4" t="s">
        <f>=HYPERLINK("http://anyluxury.ru/shop/podarochnye-nabory/nabory-s-ezhednevnikami-i-bloknotami/nabor-addendum-krasniy-1788650/" , "17886.50 Набор Addendum, красный")</f>
      </c>
      <c r="C23678" s="4" t="n">
        <v>1045.00</v>
      </c>
      <c r="D23678" s="4"/>
    </row>
    <row collapsed="" customFormat="false" customHeight="1" hidden="" ht="14" outlineLevel="0" r="23679">
      <c r="A23679" s="3" t="inlineStr">
        <is>
          <t>23593</t>
        </is>
      </c>
      <c r="B23679" s="4" t="s">
        <f>=HYPERLINK("http://anyluxury.ru/shop/podarochnye-nabory/nabory-s-ezhednevnikami-i-bloknotami/nabor-shall-cherniy-749730/" , "7497.30 Набор Shall, черный")</f>
      </c>
      <c r="C23679" s="4" t="n">
        <v>1957.00</v>
      </c>
      <c r="D23679" s="4"/>
    </row>
    <row collapsed="" customFormat="false" customHeight="1" hidden="" ht="14" outlineLevel="0" r="23680">
      <c r="A23680" s="3" t="inlineStr">
        <is>
          <t>23594</t>
        </is>
      </c>
      <c r="B23680" s="4" t="s">
        <f>=HYPERLINK("http://anyluxury.ru/shop/podarochnye-nabory/nabory-s-ezhednevnikami-i-bloknotami/nabor-shall-zeleniy-749790/" , "7497.90 Набор Shall, зеленый")</f>
      </c>
      <c r="C23680" s="4" t="n">
        <v>1957.00</v>
      </c>
      <c r="D23680" s="4"/>
    </row>
    <row collapsed="" customFormat="false" customHeight="1" hidden="" ht="14" outlineLevel="0" r="23681">
      <c r="A23681" s="3" t="inlineStr">
        <is>
          <t>23595</t>
        </is>
      </c>
      <c r="B23681" s="4" t="s">
        <f>=HYPERLINK("http://anyluxury.ru/shop/podarochnye-nabory/nabory-s-ezhednevnikami-i-bloknotami/nabor-shall-oranzheviy-749720/" , "7497.20 Набор Shall, оранжевый")</f>
      </c>
      <c r="C23681" s="4" t="n">
        <v>1936.00</v>
      </c>
      <c r="D23681" s="4"/>
    </row>
    <row collapsed="" customFormat="false" customHeight="1" hidden="" ht="14" outlineLevel="0" r="23682">
      <c r="A23682" s="3" t="inlineStr">
        <is>
          <t>23596</t>
        </is>
      </c>
      <c r="B23682" s="4" t="s">
        <f>=HYPERLINK("http://anyluxury.ru/shop/podarochnye-nabory/nabory-s-ezhednevnikami-i-bloknotami/podarochniy-nabor-portobellorain-krasniy4-ezhednevnik-nedat-a5-ruchka-power-bank-gs32634greyrain/" , "GS-326-34-GREY-RAIN Подарочный набор Portobello/Rain красный-4 (Ежедневник недат А5, Ручка, Power Bank)")</f>
      </c>
      <c r="C23682" s="4" t="n">
        <v>1737.00</v>
      </c>
      <c r="D23682" s="4"/>
    </row>
    <row collapsed="" customFormat="false" customHeight="1" hidden="" ht="14" outlineLevel="0" r="23683">
      <c r="A23683" s="3" t="inlineStr">
        <is>
          <t>23597</t>
        </is>
      </c>
      <c r="B23683" s="4" t="s">
        <f>=HYPERLINK("http://anyluxury.ru/shop/podarochnye-nabory/nabory-s-ezhednevnikami-i-bloknotami/podarochniy-nabor-portobellosky-siniy-ezhednevnik-nedat-a5-ruchka-virub-lozhement-gs28224bluebsky2/" , "GS-282-24-BLUE-B-SKY/2 Подарочный набор Portobello/Sky синий (Ежедневник недат А5, Ручка) выруб. ложемент")</f>
      </c>
      <c r="C23683" s="4" t="n">
        <v>1180.00</v>
      </c>
      <c r="D23683" s="4"/>
    </row>
    <row collapsed="" customFormat="false" customHeight="1" hidden="" ht="14" outlineLevel="0" r="23684">
      <c r="A23684" s="3" t="inlineStr">
        <is>
          <t>23598</t>
        </is>
      </c>
      <c r="B23684" s="4" t="s">
        <f>=HYPERLINK("http://anyluxury.ru/shop/podarochnye-nabory/nabory-s-ezhednevnikami-i-bloknotami/podarochniy-nabor-portobellosky-siniyseriy-ezhednevnik-nedat-a5-ruchka-virubn-lozhement-gs18224bluesky2/" , "GS-182-24-BLUE-SKY/2 Подарочный набор Portobello/Sky синий-серый (Ежедневник недат А5, Ручка) вырубн. ложемент")</f>
      </c>
      <c r="C23684" s="4" t="n">
        <v>1184.00</v>
      </c>
      <c r="D23684" s="4"/>
    </row>
    <row collapsed="" customFormat="false" customHeight="1" hidden="" ht="14" outlineLevel="0" r="23685">
      <c r="A23685" s="3" t="inlineStr">
        <is>
          <t>23599</t>
        </is>
      </c>
      <c r="B23685" s="4" t="s">
        <f>=HYPERLINK("http://anyluxury.ru/shop/podarochnye-nabory/nabory-s-ezhednevnikami-i-bloknotami/podarochnyy-nabor-moleskine-indiana-s-bloknotom-a5-soft-i-ruchkoy/" , "700373.01 Подарочный набор Moleskine Indiana с блокнотом А5 Soft и ручкой")</f>
      </c>
      <c r="C23685" s="4" t="n">
        <v>2349.00</v>
      </c>
      <c r="D23685" s="4"/>
    </row>
    <row collapsed="" customFormat="false" customHeight="1" hidden="" ht="14" outlineLevel="0" r="23686">
      <c r="A23686" s="3" t="inlineStr">
        <is>
          <t>23600</t>
        </is>
      </c>
      <c r="B23686" s="4" t="s">
        <f>=HYPERLINK("http://anyluxury.ru/shop/podarochnye-nabory/nabory-s-ezhednevnikami-i-bloknotami/podarochnyy-nabor-moleskine-indiana-s-bloknotom-a5-soft-i-ruchkoy-1/" , "700373.02 Подарочный набор Moleskine Indiana с блокнотом А5 Soft и ручкой")</f>
      </c>
      <c r="C23686" s="4" t="n">
        <v>2349.00</v>
      </c>
      <c r="D23686" s="4"/>
    </row>
    <row collapsed="" customFormat="false" customHeight="1" hidden="" ht="14" outlineLevel="0" r="23687">
      <c r="A23687" s="3" t="inlineStr">
        <is>
          <t>23601</t>
        </is>
      </c>
      <c r="B23687" s="4" t="s">
        <f>=HYPERLINK("http://anyluxury.ru/shop/podarochnye-nabory/nabory-s-ezhednevnikami-i-bloknotami/nabor-brand-tone-goluboy-1068814/" , "10688.14 Набор Brand Tone, голубой")</f>
      </c>
      <c r="C23687" s="4" t="n">
        <v>1359.00</v>
      </c>
      <c r="D23687" s="4"/>
    </row>
    <row collapsed="" customFormat="false" customHeight="1" hidden="" ht="14" outlineLevel="0" r="23688">
      <c r="A23688" s="3" t="inlineStr">
        <is>
          <t>23602</t>
        </is>
      </c>
      <c r="B23688" s="4" t="s">
        <f>=HYPERLINK("http://anyluxury.ru/shop/podarochnye-nabory/nabory-s-ezhednevnikami-i-bloknotami/nabor-brand-tone-krasniy-1068850/" , "10688.50 Набор Brand Tone, красный")</f>
      </c>
      <c r="C23688" s="4" t="n">
        <v>1557.00</v>
      </c>
      <c r="D23688" s="4"/>
    </row>
    <row collapsed="" customFormat="false" customHeight="1" hidden="" ht="14" outlineLevel="0" r="23689">
      <c r="A23689" s="3" t="inlineStr">
        <is>
          <t>23603</t>
        </is>
      </c>
      <c r="B23689" s="4" t="s">
        <f>=HYPERLINK("http://anyluxury.ru/shop/podarochnye-nabory/nabory-s-ezhednevnikami-i-bloknotami/podarochniy-nabor-portobellolatte-siniy-ezhednevnik-nedat-a5-ruchka-bezh-lozhement-gs29424bluelatte/" , "GS-294-24-BLUE-LATTE Подарочный набор Portobello/Latte синий (Ежедневник недат А5, Ручка) беж. ложемент")</f>
      </c>
      <c r="C23689" s="4" t="n">
        <v>1189.00</v>
      </c>
      <c r="D23689" s="4"/>
    </row>
    <row collapsed="" customFormat="false" customHeight="1" hidden="" ht="14" outlineLevel="0" r="23690">
      <c r="A23690" s="3" t="inlineStr">
        <is>
          <t>23604</t>
        </is>
      </c>
      <c r="B23690" s="4" t="s">
        <f>=HYPERLINK("http://anyluxury.ru/shop/podarochnye-nabory/nabory-s-ezhednevnikami-i-bloknotami/podarochniy-nabor-portobellorain-siniy-ezhednevnik-nedat-a5-ruchka-bezh-lozhement-gs29824bluerain/" , "GS-298-24-BLUE-RAIN Подарочный набор Portobello/Rain синий (Ежедневник недат А5, Ручка) беж. ложемент")</f>
      </c>
      <c r="C23690" s="4" t="n">
        <v>1070.00</v>
      </c>
      <c r="D23690" s="4"/>
    </row>
    <row collapsed="" customFormat="false" customHeight="1" hidden="" ht="14" outlineLevel="0" r="23691">
      <c r="A23691" s="3" t="inlineStr">
        <is>
          <t>23605</t>
        </is>
      </c>
      <c r="B23691" s="4" t="s">
        <f>=HYPERLINK("http://anyluxury.ru/shop/podarochnye-nabory/nabory-s-ezhednevnikami-i-bloknotami/podarochniy-nabor-portobellorain-siniy2-ezhednevnik-nedat-a5-ruchka-bezh-lozhement-gs29924bluerain/" , "GS-299-24-BLUE-RAIN Подарочный набор Portobello/Rain синий-2 (Ежедневник недат А5, Ручка) беж. ложемент")</f>
      </c>
      <c r="C23691" s="4" t="n">
        <v>1121.00</v>
      </c>
      <c r="D23691" s="4"/>
    </row>
    <row collapsed="" customFormat="false" customHeight="1" hidden="" ht="14" outlineLevel="0" r="23692">
      <c r="A23692" s="3" t="inlineStr">
        <is>
          <t>23606</t>
        </is>
      </c>
      <c r="B23692" s="4" t="s">
        <f>=HYPERLINK("http://anyluxury.ru/shop/podarochnye-nabory/nabory-s-ezhednevnikami-i-bloknotami/podarochniy-nabor-portobellosky-siniy3-ezhednevnik-nedat-a5-ruchka-bezh-lozhement-gs30224bluesky/" , "GS-302-24-BLUE-SKY Подарочный набор Portobello/Sky синий-3 (Ежедневник недат А5, Ручка) беж. ложемент")</f>
      </c>
      <c r="C23692" s="4" t="n">
        <v>1018.00</v>
      </c>
      <c r="D23692" s="4"/>
    </row>
    <row collapsed="" customFormat="false" customHeight="1" hidden="" ht="14" outlineLevel="0" r="23693">
      <c r="A23693" s="3" t="inlineStr">
        <is>
          <t>23607</t>
        </is>
      </c>
      <c r="B23693" s="4" t="s">
        <f>=HYPERLINK("http://anyluxury.ru/shop/podarochnye-nabory/nabory-s-ezhednevnikami-i-bloknotami/podarochniy-nabor-portobellosky-cherniy-ezhednevnik-nedat-a5-ruchka-bezh-lozhement-gs30524greysky/" , "GS-305-24-GREY-SKY Подарочный набор Portobello/Sky черный (Ежедневник недат А5, Ручка) беж. ложемент")</f>
      </c>
      <c r="C23693" s="4" t="n">
        <v>1038.00</v>
      </c>
      <c r="D23693" s="4"/>
    </row>
    <row collapsed="" customFormat="false" customHeight="1" hidden="" ht="14" outlineLevel="0" r="23694">
      <c r="A23694" s="3" t="inlineStr">
        <is>
          <t>23608</t>
        </is>
      </c>
      <c r="B23694" s="4" t="s">
        <f>=HYPERLINK("http://anyluxury.ru/shop/podarochnye-nabory/nabory-s-ezhednevnikami-i-bloknotami/podarochniy-nabor-portobello-canyon-city-yarkosiniy-ezhednevnik-nedat-a5-ruchka-power-bank-gs35034bluecanyon/" , "GS-350-34-BLUE-CANYON Подарочный набор Portobello/ Canyon City ярко-синий (Ежедневник недат А5, Ручка, Power Bank)")</f>
      </c>
      <c r="C23694" s="4" t="n">
        <v>1335.00</v>
      </c>
      <c r="D23694" s="4"/>
    </row>
    <row collapsed="" customFormat="false" customHeight="1" hidden="" ht="14" outlineLevel="0" r="23695">
      <c r="A23695" s="3" t="inlineStr">
        <is>
          <t>23609</t>
        </is>
      </c>
      <c r="B23695" s="4" t="s">
        <f>=HYPERLINK("http://anyluxury.ru/shop/podarochnye-nabory/nabory-s-ezhednevnikami-i-bloknotami/nabor-bright-idea-oranzheviy-1212920/" , "12129.20 Набор Bright Idea, оранжевый")</f>
      </c>
      <c r="C23695" s="4" t="n">
        <v>1044.50</v>
      </c>
      <c r="D23695" s="4"/>
    </row>
    <row collapsed="" customFormat="false" customHeight="1" hidden="" ht="14" outlineLevel="0" r="23696">
      <c r="A23696" s="3" t="inlineStr">
        <is>
          <t>23610</t>
        </is>
      </c>
      <c r="B23696" s="4" t="s">
        <f>=HYPERLINK("http://anyluxury.ru/shop/podarochnye-nabory/nabory-s-ezhednevnikami-i-bloknotami/nabor-bright-idea-zheltiy-1212980/" , "12129.80 Набор Bright Idea, желтый")</f>
      </c>
      <c r="C23696" s="4" t="n">
        <v>1044.50</v>
      </c>
      <c r="D23696" s="4"/>
    </row>
    <row collapsed="" customFormat="false" customHeight="1" hidden="" ht="14" outlineLevel="0" r="23697">
      <c r="A23697" s="3" t="inlineStr">
        <is>
          <t>23611</t>
        </is>
      </c>
      <c r="B23697" s="4" t="s">
        <f>=HYPERLINK("http://anyluxury.ru/shop/podarochnye-nabory/nabory-s-ezhednevnikami-i-bloknotami/nabor-bright-idea-fioletoviy-1212970/" , "12129.70 Набор Bright Idea, фиолетовый")</f>
      </c>
      <c r="C23697" s="4" t="n">
        <v>756.00</v>
      </c>
      <c r="D23697" s="4"/>
    </row>
    <row collapsed="" customFormat="false" customHeight="1" hidden="" ht="14" outlineLevel="0" r="23698">
      <c r="A23698" s="3" t="inlineStr">
        <is>
          <t>23612</t>
        </is>
      </c>
      <c r="B23698" s="4" t="s">
        <f>=HYPERLINK("http://anyluxury.ru/shop/podarochnye-nabory/nabory-s-ezhednevnikami-i-bloknotami/nabor-bright-idea-zeleniy-1212990/" , "12129.90 Набор Bright Idea, зеленый")</f>
      </c>
      <c r="C23698" s="4" t="n">
        <v>779.00</v>
      </c>
      <c r="D23698" s="4"/>
    </row>
    <row collapsed="" customFormat="false" customHeight="1" hidden="" ht="14" outlineLevel="0" r="23699">
      <c r="A23699" s="3" t="inlineStr">
        <is>
          <t>23613</t>
        </is>
      </c>
      <c r="B23699" s="4" t="s">
        <f>=HYPERLINK("http://anyluxury.ru/shop/podarochnye-nabory/nabory-s-ezhednevnikami-i-bloknotami/nabor-office-helper-cherniy-1213030/" , "12130.30 Набор Office Helper, черный")</f>
      </c>
      <c r="C23699" s="4" t="n">
        <v>1095.00</v>
      </c>
      <c r="D23699" s="4"/>
    </row>
    <row collapsed="" customFormat="false" customHeight="1" hidden="" ht="14" outlineLevel="0" r="23700">
      <c r="A23700" s="3" t="inlineStr">
        <is>
          <t>23614</t>
        </is>
      </c>
      <c r="B23700" s="4" t="s">
        <f>=HYPERLINK("http://anyluxury.ru/shop/podarochnye-nabory/nabory-s-ezhednevnikami-i-bloknotami/nabor-office-helper-krasniy-1213050/" , "12130.50 Набор Office Helper, красный")</f>
      </c>
      <c r="C23700" s="4" t="n">
        <v>1095.00</v>
      </c>
      <c r="D23700" s="4"/>
    </row>
    <row collapsed="" customFormat="false" customHeight="1" hidden="" ht="14" outlineLevel="0" r="23701">
      <c r="A23701" s="3" t="inlineStr">
        <is>
          <t>23615</t>
        </is>
      </c>
      <c r="B23701" s="4" t="s">
        <f>=HYPERLINK("http://anyluxury.ru/shop/podarochnye-nabory/nabory-s-ezhednevnikami-i-bloknotami/nabor-workout-zeleniy-1209390/" , "12093.90 Набор Workout, зеленый")</f>
      </c>
      <c r="C23701" s="4" t="n">
        <v>2504.00</v>
      </c>
      <c r="D23701" s="4"/>
    </row>
    <row collapsed="" customFormat="false" customHeight="1" hidden="" ht="14" outlineLevel="0" r="23702">
      <c r="A23702" s="3" t="inlineStr">
        <is>
          <t>23616</t>
        </is>
      </c>
      <c r="B23702" s="4" t="s">
        <f>=HYPERLINK("http://anyluxury.ru/shop/podarochnye-nabory/nabory-s-ezhednevnikami-i-bloknotami/nabor-chillout-siniy-1699740/" , "16997.40 Набор Chillout, синий")</f>
      </c>
      <c r="C23702" s="4" t="n">
        <v>2134.00</v>
      </c>
      <c r="D23702" s="4"/>
    </row>
    <row collapsed="" customFormat="false" customHeight="1" hidden="" ht="14" outlineLevel="0" r="23703">
      <c r="A23703" s="3" t="inlineStr">
        <is>
          <t>23617</t>
        </is>
      </c>
      <c r="B23703" s="4" t="s">
        <f>=HYPERLINK("http://anyluxury.ru/shop/podarochnye-nabory/nabory-s-ezhednevnikami-i-bloknotami/nabor-chillout-krasniy-1699750/" , "16997.50 Набор Chillout, красный")</f>
      </c>
      <c r="C23703" s="4" t="n">
        <v>2124.00</v>
      </c>
      <c r="D23703" s="4"/>
    </row>
    <row collapsed="" customFormat="false" customHeight="1" hidden="" ht="14" outlineLevel="0" r="23704">
      <c r="A23704" s="3" t="inlineStr">
        <is>
          <t>23618</t>
        </is>
      </c>
      <c r="B23704" s="4" t="s">
        <f>=HYPERLINK("http://anyluxury.ru/shop/podarochnye-nabory/nabory-s-ezhednevnikami-i-bloknotami/nabor-chillout-cherniy-1699730/" , "16997.30 Набор Chillout, черный")</f>
      </c>
      <c r="C23704" s="4" t="n">
        <v>2124.00</v>
      </c>
      <c r="D23704" s="4"/>
    </row>
    <row collapsed="" customFormat="false" customHeight="1" hidden="" ht="14" outlineLevel="0" r="23705">
      <c r="A23705" s="3" t="inlineStr">
        <is>
          <t>23619</t>
        </is>
      </c>
      <c r="B23705" s="4" t="s">
        <f>=HYPERLINK("http://anyluxury.ru/shop/podarochnye-nabory/nabory-s-ezhednevnikami-i-bloknotami/nabor-goroda-ekaterinburg-zeleniy-2000990/" , "20009.90 Набор «Города. Екатеринбург», зеленый")</f>
      </c>
      <c r="C23705" s="4" t="n">
        <v>1299.00</v>
      </c>
      <c r="D23705" s="4"/>
    </row>
    <row collapsed="" customFormat="false" customHeight="1" hidden="" ht="14" outlineLevel="0" r="23706">
      <c r="A23706" s="3" t="inlineStr">
        <is>
          <t>23620</t>
        </is>
      </c>
      <c r="B23706" s="4" t="s">
        <f>=HYPERLINK("http://anyluxury.ru/shop/podarochnye-nabory/nabory-s-ezhednevnikami-i-bloknotami/nabor-shall-color-oranzheviy-1604320/" , "16043.20 Набор Shall Color, оранжевый")</f>
      </c>
      <c r="C23706" s="4" t="n">
        <v>832.00</v>
      </c>
      <c r="D23706" s="4"/>
    </row>
    <row collapsed="" customFormat="false" customHeight="1" hidden="" ht="14" outlineLevel="0" r="23707">
      <c r="A23707" s="3" t="inlineStr">
        <is>
          <t>23621</t>
        </is>
      </c>
      <c r="B23707" s="4" t="s">
        <f>=HYPERLINK("http://anyluxury.ru/shop/podarochnye-nabory/nabory-s-ezhednevnikami-i-bloknotami/nabor-shall-color-cherniy-1604330/" , "16043.30 Набор Shall Color, черный")</f>
      </c>
      <c r="C23707" s="4" t="n">
        <v>832.00</v>
      </c>
      <c r="D23707" s="4"/>
    </row>
    <row collapsed="" customFormat="false" customHeight="1" hidden="" ht="14" outlineLevel="0" r="23708">
      <c r="A23708" s="3" t="inlineStr">
        <is>
          <t>23622</t>
        </is>
      </c>
      <c r="B23708" s="4" t="s">
        <f>=HYPERLINK("http://anyluxury.ru/shop/podarochnye-nabory/nabory-s-ezhednevnikami-i-bloknotami/nabor-shall-color-biryuzoviy-1604349/" , "16043.49 Набор Shall Color, бирюзовый")</f>
      </c>
      <c r="C23708" s="4" t="n">
        <v>878.00</v>
      </c>
      <c r="D23708" s="4"/>
    </row>
    <row collapsed="" customFormat="false" customHeight="1" hidden="" ht="14" outlineLevel="0" r="23709">
      <c r="A23709" s="3" t="inlineStr">
        <is>
          <t>23623</t>
        </is>
      </c>
      <c r="B23709" s="4" t="s">
        <f>=HYPERLINK("http://anyluxury.ru/shop/podarochnye-nabory/nabory-s-ezhednevnikami-i-bloknotami/nabor-shall-color-fioletoviy-1604370/" , "16043.70 Набор Shall Color, фиолетовый")</f>
      </c>
      <c r="C23709" s="4" t="n">
        <v>800.50</v>
      </c>
      <c r="D23709" s="4"/>
    </row>
    <row collapsed="" customFormat="false" customHeight="1" hidden="" ht="14" outlineLevel="0" r="23710">
      <c r="A23710" s="3" t="inlineStr">
        <is>
          <t>23624</t>
        </is>
      </c>
      <c r="B23710" s="4" t="s">
        <f>=HYPERLINK("http://anyluxury.ru/shop/podarochnye-nabory/nabory-s-ezhednevnikami-i-bloknotami/nabor-tenax-color-zheltiy-1604480/" , "16044.80 Набор Tenax Color, желтый")</f>
      </c>
      <c r="C23710" s="4" t="n">
        <v>1322.00</v>
      </c>
      <c r="D23710" s="4"/>
    </row>
    <row collapsed="" customFormat="false" customHeight="1" hidden="" ht="14" outlineLevel="0" r="23711">
      <c r="A23711" s="3" t="inlineStr">
        <is>
          <t>23625</t>
        </is>
      </c>
      <c r="B23711" s="4" t="s">
        <f>=HYPERLINK("http://anyluxury.ru/shop/podarochnye-nabory/nabory-s-ezhednevnikami-i-bloknotami/nabor-daypack-cherniy-1604630/" , "16046.30 Набор Daypack, черный")</f>
      </c>
      <c r="C23711" s="4" t="n">
        <v>2283.00</v>
      </c>
      <c r="D23711" s="4"/>
    </row>
    <row collapsed="" customFormat="false" customHeight="1" hidden="" ht="14" outlineLevel="0" r="23712">
      <c r="A23712" s="3" t="inlineStr">
        <is>
          <t>23626</t>
        </is>
      </c>
      <c r="B23712" s="4" t="s">
        <f>=HYPERLINK("http://anyluxury.ru/shop/podarochnye-nabory/nabory-s-ezhednevnikami-i-bloknotami/nabor-daypack-krasniy-1604650/" , "16046.50 Набор Daypack, красный")</f>
      </c>
      <c r="C23712" s="4" t="n">
        <v>2283.00</v>
      </c>
      <c r="D23712" s="4"/>
    </row>
    <row collapsed="" customFormat="false" customHeight="1" hidden="" ht="14" outlineLevel="0" r="23713">
      <c r="A23713" s="3" t="inlineStr">
        <is>
          <t>23627</t>
        </is>
      </c>
      <c r="B23713" s="4" t="s">
        <f>=HYPERLINK("http://anyluxury.ru/shop/podarochnye-nabory/nabory-s-ezhednevnikami-i-bloknotami/nabor-daypack-zeleniy-1604690/" , "16046.90 Набор Daypack, зеленый")</f>
      </c>
      <c r="C23713" s="4" t="n">
        <v>2283.00</v>
      </c>
      <c r="D23713" s="4"/>
    </row>
    <row collapsed="" customFormat="false" customHeight="1" hidden="" ht="14" outlineLevel="0" r="23714">
      <c r="A23714" s="3" t="inlineStr">
        <is>
          <t>23628</t>
        </is>
      </c>
      <c r="B23714" s="4" t="s">
        <f>=HYPERLINK("http://anyluxury.ru/shop/podarochnye-nabory/nabory-s-ezhednevnikami-i-bloknotami/nabor-gems-ezhednevnik-i-termostakan-temnosiniy-1293144/" , "12931.44 Набор Gems: ежедневник и термостакан, темно-синий")</f>
      </c>
      <c r="C23714" s="4" t="n">
        <v>3069.00</v>
      </c>
      <c r="D23714" s="4"/>
    </row>
    <row collapsed="" customFormat="false" customHeight="1" hidden="" ht="14" outlineLevel="0" r="23715">
      <c r="A23715" s="3" t="inlineStr">
        <is>
          <t>23629</t>
        </is>
      </c>
      <c r="B23715" s="4" t="s">
        <f>=HYPERLINK("http://anyluxury.ru/shop/podarochnye-nabory/nabory-s-ezhednevnikami-i-bloknotami/nabor-gems-ezhednevnik-i-termostakan-biryuzoviy-1293149/" , "12931.49 Набор Gems: ежедневник и термостакан, бирюзовый")</f>
      </c>
      <c r="C23715" s="4" t="n">
        <v>3069.00</v>
      </c>
      <c r="D23715" s="4"/>
    </row>
    <row collapsed="" customFormat="false" customHeight="1" hidden="" ht="14" outlineLevel="0" r="23716">
      <c r="A23716" s="3" t="inlineStr">
        <is>
          <t>23630</t>
        </is>
      </c>
      <c r="B23716" s="4" t="s">
        <f>=HYPERLINK("http://anyluxury.ru/shop/podarochnye-nabory/nabory-s-ezhednevnikami-i-bloknotami/nabor-trait-chernokrasniy-1359235/" , "13592.35 Набор Trait, черно-красный")</f>
      </c>
      <c r="C23716" s="4" t="n">
        <v>1021.00</v>
      </c>
      <c r="D23716" s="4"/>
    </row>
    <row collapsed="" customFormat="false" customHeight="1" hidden="" ht="14" outlineLevel="0" r="23717">
      <c r="A23717" s="3" t="inlineStr">
        <is>
          <t>23631</t>
        </is>
      </c>
      <c r="B23717" s="4" t="s">
        <f>=HYPERLINK("http://anyluxury.ru/shop/podarochnye-nabory/nabory-s-ezhednevnikami-i-bloknotami/nabor-trait-chernozheltiy-1359238/" , "13592.38 Набор Trait, черно-желтый")</f>
      </c>
      <c r="C23717" s="4" t="n">
        <v>1021.00</v>
      </c>
      <c r="D23717" s="4"/>
    </row>
    <row collapsed="" customFormat="false" customHeight="1" hidden="" ht="14" outlineLevel="0" r="23718">
      <c r="A23718" s="3" t="inlineStr">
        <is>
          <t>23632</t>
        </is>
      </c>
      <c r="B23718" s="4" t="s">
        <f>=HYPERLINK("http://anyluxury.ru/shop/podarochnye-nabory/nabory-s-ezhednevnikami-i-bloknotami/nabor-pastels-krasniy-koralloviy-2054651/" , "20546.51 Набор Pastels, красный")</f>
      </c>
      <c r="C23718" s="4" t="n">
        <v>2815.00</v>
      </c>
      <c r="D23718" s="4"/>
    </row>
    <row collapsed="" customFormat="false" customHeight="1" hidden="" ht="14" outlineLevel="0" r="23719">
      <c r="A23719" s="3" t="inlineStr">
        <is>
          <t>23633</t>
        </is>
      </c>
      <c r="B23719" s="4" t="s">
        <f>=HYPERLINK("http://anyluxury.ru/shop/podarochnye-nabory/nabory-s-ezhednevnikami-i-bloknotami/nabor-pastels-zheltiy-2054680/" , "20546.80 Набор Pastels, желтый")</f>
      </c>
      <c r="C23719" s="4" t="n">
        <v>2445.00</v>
      </c>
      <c r="D23719" s="4"/>
    </row>
    <row collapsed="" customFormat="false" customHeight="1" hidden="" ht="14" outlineLevel="0" r="23720">
      <c r="A23720" s="3" t="inlineStr">
        <is>
          <t>23634</t>
        </is>
      </c>
      <c r="B23720" s="4" t="s">
        <f>=HYPERLINK("http://anyluxury.ru/shop/podarochnye-nabory/nabory-s-ezhednevnikami-i-bloknotami/nabor-chillout-mini-rozoviy-1690715/" , "16907.15 Набор Chillout Mini, розовый")</f>
      </c>
      <c r="C23720" s="4" t="n">
        <v>890.00</v>
      </c>
      <c r="D23720" s="4"/>
    </row>
    <row collapsed="" customFormat="false" customHeight="1" hidden="" ht="14" outlineLevel="0" r="23721">
      <c r="A23721" s="3" t="inlineStr">
        <is>
          <t>23635</t>
        </is>
      </c>
      <c r="B23721" s="4" t="s">
        <f>=HYPERLINK("http://anyluxury.ru/shop/podarochnye-nabory/nabory-s-ezhednevnikami-i-bloknotami/nabor-chillout-mini-cherniy-1690730/" , "16907.30 Набор Chillout Mini, черный")</f>
      </c>
      <c r="C23721" s="4" t="n">
        <v>1221.00</v>
      </c>
      <c r="D23721" s="4"/>
    </row>
    <row collapsed="" customFormat="false" customHeight="1" hidden="" ht="14" outlineLevel="0" r="23722">
      <c r="A23722" s="3" t="inlineStr">
        <is>
          <t>23636</t>
        </is>
      </c>
      <c r="B23722" s="4" t="s">
        <f>=HYPERLINK("http://anyluxury.ru/shop/podarochnye-nabory/nabory-s-ezhednevnikami-i-bloknotami/nabor-chillout-mini-siniy-1690740/" , "16907.40 Набор Chillout Mini, синий")</f>
      </c>
      <c r="C23722" s="4" t="n">
        <v>1231.00</v>
      </c>
      <c r="D23722" s="4"/>
    </row>
    <row collapsed="" customFormat="false" customHeight="1" hidden="" ht="14" outlineLevel="0" r="23723">
      <c r="A23723" s="3" t="inlineStr">
        <is>
          <t>23637</t>
        </is>
      </c>
      <c r="B23723" s="4" t="s">
        <f>=HYPERLINK("http://anyluxury.ru/shop/podarochnye-nabory/nabory-s-ezhednevnikami-i-bloknotami/nabor-business-diary-mini-seriy-1706110/" , "17061.10 Набор Business Diary Mini, серый")</f>
      </c>
      <c r="C23723" s="4" t="n">
        <v>1314.00</v>
      </c>
      <c r="D23723" s="4"/>
    </row>
    <row collapsed="" customFormat="false" customHeight="1" hidden="" ht="14" outlineLevel="0" r="23724">
      <c r="A23724" s="3" t="inlineStr">
        <is>
          <t>23638</t>
        </is>
      </c>
      <c r="B23724" s="4" t="s">
        <f>=HYPERLINK("http://anyluxury.ru/shop/podarochnye-nabory/nabory-s-ezhednevnikami-i-bloknotami/nabor-magnet-shall-siniy-1506840/" , "15068.40 Набор Magnet Shall, синий")</f>
      </c>
      <c r="C23724" s="4" t="n">
        <v>1017.80</v>
      </c>
      <c r="D23724" s="4"/>
    </row>
    <row collapsed="" customFormat="false" customHeight="1" hidden="" ht="14" outlineLevel="0" r="23725">
      <c r="A23725" s="3" t="inlineStr">
        <is>
          <t>23639</t>
        </is>
      </c>
      <c r="B23725" s="4" t="s">
        <f>=HYPERLINK("http://anyluxury.ru/shop/podarochnye-nabory/nabory-s-ezhednevnikami-i-bloknotami/nabor-magnet-shall-krasniy-1506850/" , "15068.50 Набор Magnet Shall, красный")</f>
      </c>
      <c r="C23725" s="4" t="n">
        <v>1017.80</v>
      </c>
      <c r="D23725" s="4"/>
    </row>
    <row collapsed="" customFormat="false" customHeight="1" hidden="" ht="14" outlineLevel="0" r="23726">
      <c r="A23726" s="3" t="inlineStr">
        <is>
          <t>23640</t>
        </is>
      </c>
      <c r="B23726" s="4" t="s">
        <f>=HYPERLINK("http://anyluxury.ru/shop/podarochnye-nabory/nabory-s-ezhednevnikami-i-bloknotami/nabor-shall-light-oranzheviy-1704320/" , "17043.20 Набор Shall Light, оранжевый")</f>
      </c>
      <c r="C23726" s="4" t="n">
        <v>2098.00</v>
      </c>
      <c r="D23726" s="4"/>
    </row>
    <row collapsed="" customFormat="false" customHeight="1" hidden="" ht="14" outlineLevel="0" r="23727">
      <c r="A23727" s="3" t="inlineStr">
        <is>
          <t>23641</t>
        </is>
      </c>
      <c r="B23727" s="4" t="s">
        <f>=HYPERLINK("http://anyluxury.ru/shop/podarochnye-nabory/nabory-s-ezhednevnikami-i-bloknotami/nabor-flex-shall-energy-zeleniy-1705890/" , "17058.90 Набор Flex Shall Energy, зеленый")</f>
      </c>
      <c r="C23727" s="4" t="n">
        <v>2046.00</v>
      </c>
      <c r="D23727" s="4"/>
    </row>
    <row collapsed="" customFormat="false" customHeight="1" hidden="" ht="14" outlineLevel="0" r="23728">
      <c r="A23728" s="3" t="inlineStr">
        <is>
          <t>23642</t>
        </is>
      </c>
      <c r="B23728" s="4" t="s">
        <f>=HYPERLINK("http://anyluxury.ru/shop/podarochnye-nabory/nabory-s-ezhednevnikami-i-bloknotami/nabor-neat-cherniy-1706630/" , "17066.30 Набор Neat, черный")</f>
      </c>
      <c r="C23728" s="4" t="n">
        <v>901.00</v>
      </c>
      <c r="D23728" s="4"/>
    </row>
    <row collapsed="" customFormat="false" customHeight="1" hidden="" ht="14" outlineLevel="0" r="23729">
      <c r="A23729" s="3" t="inlineStr">
        <is>
          <t>23643</t>
        </is>
      </c>
      <c r="B23729" s="4" t="s">
        <f>=HYPERLINK("http://anyluxury.ru/shop/podarochnye-nabory/nabory-s-ezhednevnikami-i-bloknotami/nabor-neat-siniy-1706640/" , "17066.40 Набор Neat, синий")</f>
      </c>
      <c r="C23729" s="4" t="n">
        <v>901.00</v>
      </c>
      <c r="D23729" s="4"/>
    </row>
    <row collapsed="" customFormat="false" customHeight="1" hidden="" ht="14" outlineLevel="0" r="23730">
      <c r="A23730" s="3" t="inlineStr">
        <is>
          <t>23644</t>
        </is>
      </c>
      <c r="B23730" s="4" t="s">
        <f>=HYPERLINK("http://anyluxury.ru/shop/podarochnye-nabory/nabory-s-ezhednevnikami-i-bloknotami/nabor-neat-krasniy-1706650/" , "17066.50 Набор Neat, красный")</f>
      </c>
      <c r="C23730" s="4" t="n">
        <v>901.00</v>
      </c>
      <c r="D23730" s="4"/>
    </row>
    <row collapsed="" customFormat="false" customHeight="1" hidden="" ht="14" outlineLevel="0" r="23731">
      <c r="A23731" s="3" t="inlineStr">
        <is>
          <t>23645</t>
        </is>
      </c>
      <c r="B23731" s="4" t="s">
        <f>=HYPERLINK("http://anyluxury.ru/shop/podarochnye-nabory/nabory-s-ezhednevnikami-i-bloknotami/nabor-neat-biryuzoviy-1706649/" , "17066.49 Набор Neat, бирюзовый")</f>
      </c>
      <c r="C23731" s="4" t="n">
        <v>901.00</v>
      </c>
      <c r="D23731" s="4"/>
    </row>
    <row collapsed="" customFormat="false" customHeight="1" hidden="" ht="14" outlineLevel="0" r="23732">
      <c r="A23732" s="3" t="inlineStr">
        <is>
          <t>23646</t>
        </is>
      </c>
      <c r="B23732" s="4" t="s">
        <f>=HYPERLINK("http://anyluxury.ru/shop/podarochnye-nabory/nabory-s-ezhednevnikami-i-bloknotami/nabor-neat-zheltiy-1706680/" , "17066.80 Набор Neat, желтый")</f>
      </c>
      <c r="C23732" s="4" t="n">
        <v>859.00</v>
      </c>
      <c r="D23732" s="4"/>
    </row>
    <row collapsed="" customFormat="false" customHeight="1" hidden="" ht="14" outlineLevel="0" r="23733">
      <c r="A23733" s="3" t="inlineStr">
        <is>
          <t>23647</t>
        </is>
      </c>
      <c r="B23733" s="4" t="s">
        <f>=HYPERLINK("http://anyluxury.ru/shop/podarochnye-nabory/nabory-s-ezhednevnikami-i-bloknotami/nabor-industry-energetika-7136810/" , "71368.10 Набор Industry, энергетика")</f>
      </c>
      <c r="C23733" s="4" t="n">
        <v>993.30</v>
      </c>
      <c r="D23733" s="4"/>
    </row>
    <row collapsed="" customFormat="false" customHeight="1" hidden="" ht="14" outlineLevel="0" r="23734">
      <c r="A23734" s="3" t="inlineStr">
        <is>
          <t>23648</t>
        </is>
      </c>
      <c r="B23734" s="4" t="s">
        <f>=HYPERLINK("http://anyluxury.ru/shop/podarochnye-nabory/nabory-s-ezhednevnikami-i-bloknotami/nabor-industry-neft-i-gaz-7136830/" , "71368.30 Набор Industry, нефть и газ")</f>
      </c>
      <c r="C23734" s="4" t="n">
        <v>993.30</v>
      </c>
      <c r="D23734" s="4"/>
    </row>
    <row collapsed="" customFormat="false" customHeight="1" hidden="" ht="14" outlineLevel="0" r="23735">
      <c r="A23735" s="3" t="inlineStr">
        <is>
          <t>23649</t>
        </is>
      </c>
      <c r="B23735" s="4" t="s">
        <f>=HYPERLINK("http://anyluxury.ru/shop/podarochnye-nabory/nabory-s-ezhednevnikami-i-bloknotami/nabor-industry-morskoy-7136840/" , "71368.40 Набор Industry, морской")</f>
      </c>
      <c r="C23735" s="4" t="n">
        <v>993.30</v>
      </c>
      <c r="D23735" s="4"/>
    </row>
    <row collapsed="" customFormat="false" customHeight="1" hidden="" ht="14" outlineLevel="0" r="23736">
      <c r="A23736" s="3" t="inlineStr">
        <is>
          <t>23650</t>
        </is>
      </c>
      <c r="B23736" s="4" t="s">
        <f>=HYPERLINK("http://anyluxury.ru/shop/podarochnye-nabory/nabory-s-ezhednevnikami-i-bloknotami/nabor-industry-zdravoohranenie-7136850/" , "71368.50 Набор Industry, здравоохранение")</f>
      </c>
      <c r="C23736" s="4" t="n">
        <v>954.30</v>
      </c>
      <c r="D23736" s="4"/>
    </row>
    <row collapsed="" customFormat="false" customHeight="1" hidden="" ht="14" outlineLevel="0" r="23737">
      <c r="A23737" s="3" t="inlineStr">
        <is>
          <t>23651</t>
        </is>
      </c>
      <c r="B23737" s="4" t="s">
        <f>=HYPERLINK("http://anyluxury.ru/shop/podarochnye-nabory/nabory-s-ezhednevnikami-i-bloknotami/nabor-industry-metallurgiya-7136851/" , "71368.51 Набор Industry, металлургия")</f>
      </c>
      <c r="C23737" s="4" t="n">
        <v>954.30</v>
      </c>
      <c r="D23737" s="4"/>
    </row>
    <row collapsed="" customFormat="false" customHeight="1" hidden="" ht="14" outlineLevel="0" r="23738">
      <c r="A23738" s="3" t="inlineStr">
        <is>
          <t>23652</t>
        </is>
      </c>
      <c r="B23738" s="4" t="s">
        <f>=HYPERLINK("http://anyluxury.ru/shop/podarochnye-nabory/nabory-s-ezhednevnikami-i-bloknotami/nabor-cluster-mini-zeleniy-1592090/" , "15920.90 Набор Cluster Mini, зеленый")</f>
      </c>
      <c r="C23738" s="4" t="n">
        <v>713.50</v>
      </c>
      <c r="D23738" s="4"/>
    </row>
    <row collapsed="" customFormat="false" customHeight="1" hidden="" ht="14" outlineLevel="0" r="23739">
      <c r="A23739" s="3" t="inlineStr">
        <is>
          <t>23653</t>
        </is>
      </c>
      <c r="B23739" s="4" t="s">
        <f>=HYPERLINK("http://anyluxury.ru/shop/podarochnye-nabory/nabory-s-ezhednevnikami-i-bloknotami/nabor-cluster-mini-oranzheviy-1592020/" , "15920.20 Набор Cluster Mini, оранжевый")</f>
      </c>
      <c r="C23739" s="4" t="n">
        <v>713.50</v>
      </c>
      <c r="D23739" s="4"/>
    </row>
    <row collapsed="" customFormat="false" customHeight="1" hidden="" ht="14" outlineLevel="0" r="23740">
      <c r="A23740" s="3" t="inlineStr">
        <is>
          <t>23654</t>
        </is>
      </c>
      <c r="B23740" s="4" t="s">
        <f>=HYPERLINK("http://anyluxury.ru/shop/podarochnye-nabory/nabory-s-ezhednevnikami-i-bloknotami/nabor-ton-cherniy-s-zheltim-1760038/" , "17600.38 Набор Ton, черный с желтым")</f>
      </c>
      <c r="C23740" s="4" t="n">
        <v>1815.00</v>
      </c>
      <c r="D23740" s="4"/>
    </row>
    <row collapsed="" customFormat="false" customHeight="1" hidden="" ht="14" outlineLevel="0" r="23741">
      <c r="A23741" s="3" t="inlineStr">
        <is>
          <t>23655</t>
        </is>
      </c>
      <c r="B23741" s="4" t="s">
        <f>=HYPERLINK("http://anyluxury.ru/shop/podarochnye-nabory/nabory-s-ezhednevnikami-i-bloknotami/nabor-horizon-beliy-748560/" , "7485.60 Набор Horizon, белый")</f>
      </c>
      <c r="C23741" s="4" t="n">
        <v>2188.00</v>
      </c>
      <c r="D23741" s="4"/>
    </row>
    <row collapsed="" customFormat="false" customHeight="1" hidden="" ht="14" outlineLevel="0" r="23742">
      <c r="A23742" s="3" t="inlineStr">
        <is>
          <t>23656</t>
        </is>
      </c>
      <c r="B23742" s="4" t="s">
        <f>=HYPERLINK("http://anyluxury.ru/shop/podarochnye-nabory/nabory-s-ezhednevnikami-i-bloknotami/nabor-cluster-energy-oranzheviy-1539020/" , "15390.20 Набор Cluster Energy, оранжевый")</f>
      </c>
      <c r="C23742" s="4" t="n">
        <v>2452.50</v>
      </c>
      <c r="D23742" s="4"/>
    </row>
    <row collapsed="" customFormat="false" customHeight="1" hidden="" ht="14" outlineLevel="0" r="23743">
      <c r="A23743" s="3" t="inlineStr">
        <is>
          <t>23657</t>
        </is>
      </c>
      <c r="B23743" s="4" t="s">
        <f>=HYPERLINK("http://anyluxury.ru/shop/podarochnye-nabory/nabory-s-ezhednevnikami-i-bloknotami/nabor-industry-nauka-i-iskusstvo-7136811/" , "71368.11 Набор Industry, наука и искусство")</f>
      </c>
      <c r="C23743" s="4" t="n">
        <v>993.30</v>
      </c>
      <c r="D23743" s="4"/>
    </row>
    <row collapsed="" customFormat="false" customHeight="1" hidden="" ht="14" outlineLevel="0" r="23744">
      <c r="A23744" s="3" t="inlineStr">
        <is>
          <t>23658</t>
        </is>
      </c>
      <c r="B23744" s="4" t="s">
        <f>=HYPERLINK("http://anyluxury.ru/shop/podarochnye-nabory/nabory-s-ezhednevnikami-i-bloknotami/nabor-industry-stroitelstvo-7136812/" , "71368.12 Набор Industry, строительство")</f>
      </c>
      <c r="C23744" s="4" t="n">
        <v>993.30</v>
      </c>
      <c r="D23744" s="4"/>
    </row>
    <row collapsed="" customFormat="false" customHeight="1" hidden="" ht="14" outlineLevel="0" r="23745">
      <c r="A23745" s="3" t="inlineStr">
        <is>
          <t>23659</t>
        </is>
      </c>
      <c r="B23745" s="4" t="s">
        <f>=HYPERLINK("http://anyluxury.ru/shop/podarochnye-nabory/nabory-s-ezhednevnikami-i-bloknotami/nabor-magnet-s-ezhednevnikom-seriy-s-korichnevim-1506512/" , "15065.12 Набор Magnet с ежедневником, серый с коричневым")</f>
      </c>
      <c r="C23745" s="4" t="n">
        <v>1002.00</v>
      </c>
      <c r="D23745" s="4"/>
    </row>
    <row collapsed="" customFormat="false" customHeight="1" hidden="" ht="14" outlineLevel="0" r="23746">
      <c r="A23746" s="3" t="inlineStr">
        <is>
          <t>23660</t>
        </is>
      </c>
      <c r="B23746" s="4" t="s">
        <f>=HYPERLINK("http://anyluxury.ru/shop/podarochnye-nabory/nabory-s-ezhednevnikami-i-bloknotami/nabor-magnet-s-ezhednevnikom-seriy-s-golubim-1506511/" , "15065.11 Набор Magnet с ежедневником, серый с голубым")</f>
      </c>
      <c r="C23746" s="4" t="n">
        <v>1002.00</v>
      </c>
      <c r="D23746" s="4"/>
    </row>
    <row collapsed="" customFormat="false" customHeight="1" hidden="" ht="14" outlineLevel="0" r="23747">
      <c r="A23747" s="3" t="inlineStr">
        <is>
          <t>23661</t>
        </is>
      </c>
      <c r="B23747" s="4" t="s">
        <f>=HYPERLINK("http://anyluxury.ru/shop/podarochnye-nabory/nabory-s-ezhednevnikami-i-bloknotami/nabor-industry-logistika-7136841/" , "71368.41 Набор Industry, логистика")</f>
      </c>
      <c r="C23747" s="4" t="n">
        <v>993.30</v>
      </c>
      <c r="D23747" s="4"/>
    </row>
    <row collapsed="" customFormat="false" customHeight="1" hidden="" ht="14" outlineLevel="0" r="23748">
      <c r="A23748" s="3" t="inlineStr">
        <is>
          <t>23662</t>
        </is>
      </c>
      <c r="B23748" s="4" t="s">
        <f>=HYPERLINK("http://anyluxury.ru/shop/podarochnye-nabory/nabory-s-ezhednevnikami-i-bloknotami/nabor-industry-kafe-i-restorani-7136852/" , "71368.52 Набор Industry, кафе и рестораны")</f>
      </c>
      <c r="C23748" s="4" t="n">
        <v>954.30</v>
      </c>
      <c r="D23748" s="4"/>
    </row>
    <row collapsed="" customFormat="false" customHeight="1" hidden="" ht="14" outlineLevel="0" r="23749">
      <c r="A23749" s="3" t="inlineStr">
        <is>
          <t>23663</t>
        </is>
      </c>
      <c r="B23749" s="4" t="s">
        <f>=HYPERLINK("http://anyluxury.ru/shop/podarochnye-nabory/nabory-s-ezhednevnikami-i-bloknotami/nabor-velours-bag-cherniy-s-sinim-1520534/" , "15205.34 Набор Velours Bag, черный с синим")</f>
      </c>
      <c r="C23749" s="4" t="n">
        <v>1784.00</v>
      </c>
      <c r="D23749" s="4"/>
    </row>
    <row collapsed="" customFormat="false" customHeight="1" hidden="" ht="14" outlineLevel="0" r="23750">
      <c r="A23750" s="3" t="inlineStr">
        <is>
          <t>23664</t>
        </is>
      </c>
      <c r="B23750" s="4" t="s">
        <f>=HYPERLINK("http://anyluxury.ru/shop/podarochnye-nabory/nabory-s-ezhednevnikami-i-bloknotami/nabor-shall-light-goluboy-1704314/" , "17043.14 Набор Shall Light, голубой")</f>
      </c>
      <c r="C23750" s="4" t="n">
        <v>1623.80</v>
      </c>
      <c r="D23750" s="4"/>
    </row>
    <row collapsed="" customFormat="false" customHeight="1" hidden="" ht="14" outlineLevel="0" r="23751">
      <c r="A23751" s="3" t="inlineStr">
        <is>
          <t>23665</t>
        </is>
      </c>
      <c r="B23751" s="4" t="s">
        <f>=HYPERLINK("http://anyluxury.ru/shop/podarochnye-nabory/nabory-s-ezhednevnikami-i-bloknotami/nabor-flexpen-mini-cherniy-1809730/" , "18097.30 Набор Flexpen Mini, черный")</f>
      </c>
      <c r="C23751" s="4" t="n">
        <v>907.80</v>
      </c>
      <c r="D23751" s="4"/>
    </row>
    <row collapsed="" customFormat="false" customHeight="1" hidden="" ht="14" outlineLevel="0" r="23752">
      <c r="A23752" s="3" t="inlineStr">
        <is>
          <t>23666</t>
        </is>
      </c>
      <c r="B23752" s="4" t="s">
        <f>=HYPERLINK("http://anyluxury.ru/shop/podarochnye-nabory/nabory-s-ezhednevnikami-i-bloknotami/nabor-flexpen-mini-krasniy-1809750/" , "18097.50 Набор Flexpen Mini, красный")</f>
      </c>
      <c r="C23752" s="4" t="n">
        <v>907.80</v>
      </c>
      <c r="D23752" s="4"/>
    </row>
    <row collapsed="" customFormat="false" customHeight="1" hidden="" ht="14" outlineLevel="0" r="23753">
      <c r="A23753" s="3" t="inlineStr">
        <is>
          <t>23667</t>
        </is>
      </c>
      <c r="B23753" s="4" t="s">
        <f>=HYPERLINK("http://anyluxury.ru/shop/podarochnye-nabory/nabory-s-ezhednevnikami-i-bloknotami/nabor-flexpen-mini-goluboy-1809714/" , "18097.14 Набор Flexpen Mini, ярко-голубой")</f>
      </c>
      <c r="C23753" s="4" t="n">
        <v>907.80</v>
      </c>
      <c r="D23753" s="4"/>
    </row>
    <row collapsed="" customFormat="false" customHeight="1" hidden="" ht="14" outlineLevel="0" r="23754">
      <c r="A23754" s="3" t="inlineStr">
        <is>
          <t>23668</t>
        </is>
      </c>
      <c r="B23754" s="4" t="s">
        <f>=HYPERLINK("http://anyluxury.ru/shop/podarochnye-nabory/nabory-s-ezhednevnikami-i-bloknotami/nabor-shall-travel-seriy-1767310/" , "17673.10 Набор Shall Travel, серый")</f>
      </c>
      <c r="C23754" s="4" t="n">
        <v>1538.00</v>
      </c>
      <c r="D23754" s="4"/>
    </row>
    <row collapsed="" customFormat="false" customHeight="1" hidden="" ht="14" outlineLevel="0" r="23755">
      <c r="A23755" s="3" t="inlineStr">
        <is>
          <t>23669</t>
        </is>
      </c>
      <c r="B23755" s="4" t="s">
        <f>=HYPERLINK("http://anyluxury.ru/shop/podarochnye-nabory/nabory-s-ezhednevnikami-i-bloknotami/nabor-shall-travel-oranzheviy-1767320/" , "17673.20 Набор Shall Travel, оранжевый")</f>
      </c>
      <c r="C23755" s="4" t="n">
        <v>1538.00</v>
      </c>
      <c r="D23755" s="4"/>
    </row>
    <row collapsed="" customFormat="false" customHeight="1" hidden="" ht="14" outlineLevel="0" r="23756">
      <c r="A23756" s="3" t="inlineStr">
        <is>
          <t>23670</t>
        </is>
      </c>
      <c r="B23756" s="4" t="s">
        <f>=HYPERLINK("http://anyluxury.ru/shop/podarochnye-nabory/nabory-s-ezhednevnikami-i-bloknotami/nabor-shall-travel-krasniy-1767350/" , "17673.50 Набор Shall Travel, красный")</f>
      </c>
      <c r="C23756" s="4" t="n">
        <v>1538.00</v>
      </c>
      <c r="D23756" s="4"/>
    </row>
    <row collapsed="" customFormat="false" customHeight="1" hidden="" ht="14" outlineLevel="0" r="23757">
      <c r="A23757" s="3" t="inlineStr">
        <is>
          <t>23671</t>
        </is>
      </c>
      <c r="B23757" s="4" t="s">
        <f>=HYPERLINK("http://anyluxury.ru/shop/podarochnye-nabory/nabory-s-ezhednevnikami-i-bloknotami/nabor-shall-travel-fioletoviy-1767370/" , "17673.70 Набор Shall Travel, фиолетовый")</f>
      </c>
      <c r="C23757" s="4" t="n">
        <v>1538.00</v>
      </c>
      <c r="D23757" s="4"/>
    </row>
    <row collapsed="" customFormat="false" customHeight="1" hidden="" ht="14" outlineLevel="0" r="23758">
      <c r="A23758" s="3" t="inlineStr">
        <is>
          <t>23672</t>
        </is>
      </c>
      <c r="B23758" s="4" t="s">
        <f>=HYPERLINK("http://anyluxury.ru/shop/podarochnye-nabory/nabory-s-ezhednevnikami-i-bloknotami/nabor-nebraska-flex-bordoviy-2012855/" , "20128.55 Набор Nebraska Flex, бордовый")</f>
      </c>
      <c r="C23758" s="4" t="n">
        <v>1311.50</v>
      </c>
      <c r="D23758" s="4"/>
    </row>
    <row collapsed="" customFormat="false" customHeight="1" hidden="" ht="14" outlineLevel="0" r="23759">
      <c r="A23759" s="3" t="inlineStr">
        <is>
          <t>23673</t>
        </is>
      </c>
      <c r="B23759" s="4" t="s">
        <f>=HYPERLINK("http://anyluxury.ru/shop/podarochnye-nabory/nabory-s-ezhednevnikami-i-bloknotami/nabor-nebraska-flex-cherniy-2012830/" , "20128.30 Набор Nebraska Flex, черный")</f>
      </c>
      <c r="C23759" s="4" t="n">
        <v>1311.50</v>
      </c>
      <c r="D23759" s="4"/>
    </row>
    <row collapsed="" customFormat="false" customHeight="1" hidden="" ht="14" outlineLevel="0" r="23760">
      <c r="A23760" s="3" t="inlineStr">
        <is>
          <t>23674</t>
        </is>
      </c>
      <c r="B23760" s="4" t="s">
        <f>=HYPERLINK("http://anyluxury.ru/shop/podarochnye-nabory/nabory-s-ezhednevnikami-i-bloknotami/nabor-eco-citizen-bezheviy-1706500/" , "17065.00 Набор Eco Citizen, бежевый")</f>
      </c>
      <c r="C23760" s="4" t="n">
        <v>1031.00</v>
      </c>
      <c r="D23760" s="4"/>
    </row>
    <row collapsed="" customFormat="false" customHeight="1" hidden="" ht="14" outlineLevel="0" r="23761">
      <c r="A23761" s="3" t="inlineStr">
        <is>
          <t>23675</t>
        </is>
      </c>
      <c r="B23761" s="4" t="s">
        <f>=HYPERLINK("http://anyluxury.ru/shop/podarochnye-nabory/nabory-s-ezhednevnikami-i-bloknotami/nabor-lafite-siniy-1648040/" , "16480.40 Набор Lafite, синий")</f>
      </c>
      <c r="C23761" s="4" t="n">
        <v>901.00</v>
      </c>
      <c r="D23761" s="4"/>
    </row>
    <row collapsed="" customFormat="false" customHeight="1" hidden="" ht="14" outlineLevel="0" r="23762">
      <c r="A23762" s="3" t="inlineStr">
        <is>
          <t>23676</t>
        </is>
      </c>
      <c r="B23762" s="4" t="s">
        <f>=HYPERLINK("http://anyluxury.ru/shop/podarochnye-nabory/nabory-s-ezhednevnikami-i-bloknotami/nabor-lafite-goluboy-1648014/" , "16480.14 Набор Lafite, голубой")</f>
      </c>
      <c r="C23762" s="4" t="n">
        <v>880.00</v>
      </c>
      <c r="D23762" s="4"/>
    </row>
    <row collapsed="" customFormat="false" customHeight="1" hidden="" ht="14" outlineLevel="0" r="23763">
      <c r="A23763" s="3" t="inlineStr">
        <is>
          <t>23677</t>
        </is>
      </c>
      <c r="B23763" s="4" t="s">
        <f>=HYPERLINK("http://anyluxury.ru/shop/podarochnye-nabory/nabory-s-ezhednevnikami-i-bloknotami/nabor-lafite-cherniy-1648030/" , "16480.30 Набор Lafite, черный")</f>
      </c>
      <c r="C23763" s="4" t="n">
        <v>901.00</v>
      </c>
      <c r="D23763" s="4"/>
    </row>
    <row collapsed="" customFormat="false" customHeight="1" hidden="" ht="14" outlineLevel="0" r="23764">
      <c r="A23764" s="3" t="inlineStr">
        <is>
          <t>23678</t>
        </is>
      </c>
      <c r="B23764" s="4" t="s">
        <f>=HYPERLINK("http://anyluxury.ru/shop/podarochnye-nabory/nabory-s-ezhednevnikami-i-bloknotami/nabor-lafite-biryuzoviy-1648049/" , "16480.49 Набор Lafite, бирюзовый")</f>
      </c>
      <c r="C23764" s="4" t="n">
        <v>901.00</v>
      </c>
      <c r="D23764" s="4"/>
    </row>
    <row collapsed="" customFormat="false" customHeight="1" hidden="" ht="14" outlineLevel="0" r="23765">
      <c r="A23765" s="3" t="inlineStr">
        <is>
          <t>23679</t>
        </is>
      </c>
      <c r="B23765" s="4" t="s">
        <f>=HYPERLINK("http://anyluxury.ru/shop/podarochnye-nabory/nabory-s-ezhednevnikami-i-bloknotami/nabor-spring-shall-goluboy-s-chernim-1521814/" , "15218.14 Набор Spring Shall, голубой с черным")</f>
      </c>
      <c r="C23765" s="4" t="n">
        <v>1377.00</v>
      </c>
      <c r="D23765" s="4"/>
    </row>
    <row collapsed="" customFormat="false" customHeight="1" hidden="" ht="14" outlineLevel="0" r="23766">
      <c r="A23766" s="3" t="inlineStr">
        <is>
          <t>23680</t>
        </is>
      </c>
      <c r="B23766" s="4" t="s">
        <f>=HYPERLINK("http://anyluxury.ru/shop/podarochnye-nabory/nabory-s-ezhednevnikami-i-bloknotami/nabor-kroom-memory-fioletoviy-1789970/" , "17899.70 Набор Kroom Memory, фиолетовый")</f>
      </c>
      <c r="C23766" s="4" t="n">
        <v>2111.00</v>
      </c>
      <c r="D23766" s="4"/>
    </row>
    <row collapsed="" customFormat="false" customHeight="1" hidden="" ht="14" outlineLevel="0" r="23767">
      <c r="A23767" s="3" t="inlineStr">
        <is>
          <t>23681</t>
        </is>
      </c>
      <c r="B23767" s="4" t="s">
        <f>=HYPERLINK("http://anyluxury.ru/shop/podarochnye-nabory/nabory-s-ezhednevnikami-i-bloknotami/nabor-spring-shall-oranzheviy-s-sinim-1521820/" , "15218.20 Набор Spring Shall, оранжевый с синим")</f>
      </c>
      <c r="C23767" s="4" t="n">
        <v>1592.00</v>
      </c>
      <c r="D23767" s="4"/>
    </row>
    <row collapsed="" customFormat="false" customHeight="1" hidden="" ht="14" outlineLevel="0" r="23768">
      <c r="A23768" s="3" t="inlineStr">
        <is>
          <t>23682</t>
        </is>
      </c>
      <c r="B23768" s="4" t="s">
        <f>=HYPERLINK("http://anyluxury.ru/shop/podarochnye-nabory/nabory-s-ezhednevnikami-i-bloknotami/nabor-loop-cherniy-2205430/" , "22054.30 Набор Loop, черный")</f>
      </c>
      <c r="C23768" s="4" t="n">
        <v>631.80</v>
      </c>
      <c r="D23768" s="4"/>
    </row>
    <row collapsed="" customFormat="false" customHeight="1" hidden="" ht="14" outlineLevel="0" r="23769">
      <c r="A23769" s="3" t="inlineStr">
        <is>
          <t>23683</t>
        </is>
      </c>
      <c r="B23769" s="4" t="s">
        <f>=HYPERLINK("http://anyluxury.ru/shop/podarochnye-nabory/nabory-s-ezhednevnikami-i-bloknotami/nabor-loop-siniy-2205440/" , "22054.40 Набор Loop, синий")</f>
      </c>
      <c r="C23769" s="4" t="n">
        <v>631.80</v>
      </c>
      <c r="D23769" s="4"/>
    </row>
    <row collapsed="" customFormat="false" customHeight="1" hidden="" ht="14" outlineLevel="0" r="23770">
      <c r="A23770" s="3" t="inlineStr">
        <is>
          <t>23684</t>
        </is>
      </c>
      <c r="B23770" s="4" t="s">
        <f>=HYPERLINK("http://anyluxury.ru/shop/podarochnye-nabory/nabory-s-ezhednevnikami-i-bloknotami/nabor-loop-krasniy-2205450/" , "22054.50 Набор Loop, красный")</f>
      </c>
      <c r="C23770" s="4" t="n">
        <v>631.80</v>
      </c>
      <c r="D23770" s="4"/>
    </row>
    <row collapsed="" customFormat="false" customHeight="1" hidden="" ht="14" outlineLevel="0" r="23771">
      <c r="A23771" s="3" t="inlineStr">
        <is>
          <t>23685</t>
        </is>
      </c>
      <c r="B23771" s="4" t="s">
        <f>=HYPERLINK("http://anyluxury.ru/shop/podarochnye-nabory/nabory-s-ezhednevnikami-i-bloknotami/nabor-kroom-energy-fioletoviy-1790970/" , "17909.70 Набор Kroom Energy, фиолетовый")</f>
      </c>
      <c r="C23771" s="4" t="n">
        <v>1997.00</v>
      </c>
      <c r="D23771" s="4"/>
    </row>
    <row collapsed="" customFormat="false" customHeight="1" hidden="" ht="14" outlineLevel="0" r="23772">
      <c r="A23772" s="3" t="inlineStr">
        <is>
          <t>23686</t>
        </is>
      </c>
      <c r="B23772" s="4" t="s">
        <f>=HYPERLINK("http://anyluxury.ru/shop/podarochnye-nabory/nabory-s-ezhednevnikami-i-bloknotami/nabor-business-pleasure-krasniy-1517050/" , "15170.50 Набор Business Pleasure, красный")</f>
      </c>
      <c r="C23772" s="4" t="n">
        <v>5807.90</v>
      </c>
      <c r="D23772" s="4"/>
    </row>
    <row collapsed="" customFormat="false" customHeight="1" hidden="" ht="14" outlineLevel="0" r="23773">
      <c r="A23773" s="3" t="inlineStr">
        <is>
          <t>23687</t>
        </is>
      </c>
      <c r="B23773" s="4" t="s">
        <f>=HYPERLINK("http://anyluxury.ru/shop/podarochnye-nabory/nabory-s-ezhednevnikami-i-bloknotami/nabor-best-lafite-krasniy-1692050/" , "16920.50 Набор Best Lafite, красный")</f>
      </c>
      <c r="C23773" s="4" t="n">
        <v>1615.40</v>
      </c>
      <c r="D23773" s="4"/>
    </row>
    <row collapsed="" customFormat="false" customHeight="1" hidden="" ht="14" outlineLevel="0" r="23774">
      <c r="A23774" s="3" t="inlineStr">
        <is>
          <t>23688</t>
        </is>
      </c>
      <c r="B23774" s="4" t="s">
        <f>=HYPERLINK("http://anyluxury.ru/shop/podarochnye-nabory/nabory-s-ezhednevnikami-i-bloknotami/nabor-flat-mini-siniy-1798040/" , "17980.40 Набор Flat Mini, синий")</f>
      </c>
      <c r="C23774" s="4" t="n">
        <v>680.50</v>
      </c>
      <c r="D23774" s="4"/>
    </row>
    <row collapsed="" customFormat="false" customHeight="1" hidden="" ht="14" outlineLevel="0" r="23775">
      <c r="A23775" s="3" t="inlineStr">
        <is>
          <t>23689</t>
        </is>
      </c>
      <c r="B23775" s="4" t="s">
        <f>=HYPERLINK("http://anyluxury.ru/shop/podarochnye-nabory/nabory-s-ezhednevnikami-i-bloknotami/nabor-loop-oranzheviy-2205420/" , "22054.20 Набор Loop, оранжевый")</f>
      </c>
      <c r="C23775" s="4" t="n">
        <v>631.80</v>
      </c>
      <c r="D23775" s="4"/>
    </row>
    <row collapsed="" customFormat="false" customHeight="1" hidden="" ht="14" outlineLevel="0" r="23776">
      <c r="A23776" s="3" t="inlineStr">
        <is>
          <t>23690</t>
        </is>
      </c>
      <c r="B23776" s="4" t="s">
        <f>=HYPERLINK("http://anyluxury.ru/shop/podarochnye-nabory/nabory-s-ezhednevnikami-i-bloknotami/nabor-loop-biryuzoviy-2205449/" , "22054.49 Набор Loop, бирюзовый")</f>
      </c>
      <c r="C23776" s="4" t="n">
        <v>650.80</v>
      </c>
      <c r="D23776" s="4"/>
    </row>
    <row collapsed="" customFormat="false" customHeight="1" hidden="" ht="14" outlineLevel="0" r="23777">
      <c r="A23777" s="3" t="inlineStr">
        <is>
          <t>23691</t>
        </is>
      </c>
      <c r="B23777" s="4" t="s">
        <f>=HYPERLINK("http://anyluxury.ru/shop/podarochnye-nabory/nabory-s-ezhednevnikami-i-bloknotami/nabor-eco-write-mini-cherniy-1794403/" , "17944.03 Набор Eco Write Mini, черный")</f>
      </c>
      <c r="C23777" s="4" t="n">
        <v>846.00</v>
      </c>
      <c r="D23777" s="4"/>
    </row>
    <row collapsed="" customFormat="false" customHeight="1" hidden="" ht="14" outlineLevel="0" r="23778">
      <c r="A23778" s="3" t="inlineStr">
        <is>
          <t>23692</t>
        </is>
      </c>
      <c r="B23778" s="4" t="s">
        <f>=HYPERLINK("http://anyluxury.ru/shop/podarochnye-nabory/nabory-s-ezhednevnikami-i-bloknotami/nabor-eco-write-mini-krasniy-1794405/" , "17944.05 Набор Eco Write Mini, красный")</f>
      </c>
      <c r="C23778" s="4" t="n">
        <v>846.00</v>
      </c>
      <c r="D23778" s="4"/>
    </row>
    <row collapsed="" customFormat="false" customHeight="1" hidden="" ht="14" outlineLevel="0" r="23779">
      <c r="A23779" s="3" t="inlineStr">
        <is>
          <t>23693</t>
        </is>
      </c>
      <c r="B23779" s="4" t="s">
        <f>=HYPERLINK("http://anyluxury.ru/shop/podarochnye-nabory/nabory-s-ezhednevnikami-i-bloknotami/nabor-loop-goluboy-2205414/" , "22054.14 Набор Loop, голубой")</f>
      </c>
      <c r="C23779" s="4" t="n">
        <v>650.80</v>
      </c>
      <c r="D23779" s="4"/>
    </row>
    <row collapsed="" customFormat="false" customHeight="1" hidden="" ht="14" outlineLevel="0" r="23780">
      <c r="A23780" s="3" t="inlineStr">
        <is>
          <t>23694</t>
        </is>
      </c>
      <c r="B23780" s="4" t="s">
        <f>=HYPERLINK("http://anyluxury.ru/shop/podarochnye-nabory/nabory-s-ezhednevnikami-i-bloknotami/nabor-flat-seriy-1790810/" , "17908.10 Набор Flat, серый")</f>
      </c>
      <c r="C23780" s="4" t="n">
        <v>609.20</v>
      </c>
      <c r="D23780" s="4"/>
    </row>
    <row collapsed="" customFormat="false" customHeight="1" hidden="" ht="14" outlineLevel="0" r="23781">
      <c r="A23781" s="3" t="inlineStr">
        <is>
          <t>23695</t>
        </is>
      </c>
      <c r="B23781" s="4" t="s">
        <f>=HYPERLINK("http://anyluxury.ru/shop/podarochnye-nabory/nabory-s-ezhednevnikami-i-bloknotami/nabor-flat-krasniy-1790850/" , "17908.50 Набор Flat, красный")</f>
      </c>
      <c r="C23781" s="4" t="n">
        <v>612.60</v>
      </c>
      <c r="D23781" s="4"/>
    </row>
    <row collapsed="" customFormat="false" customHeight="1" hidden="" ht="14" outlineLevel="0" r="23782">
      <c r="A23782" s="3" t="inlineStr">
        <is>
          <t>23696</t>
        </is>
      </c>
      <c r="B23782" s="4" t="s">
        <f>=HYPERLINK("http://anyluxury.ru/shop/podarochnye-nabory/nabory-s-ezhednevnikami-i-bloknotami/nabor-flat-fioletoviy-1790870/" , "17908.70 Набор Flat, фиолетовый")</f>
      </c>
      <c r="C23782" s="4" t="n">
        <v>609.20</v>
      </c>
      <c r="D23782" s="4"/>
    </row>
    <row collapsed="" customFormat="false" customHeight="1" hidden="" ht="14" outlineLevel="0" r="23783">
      <c r="A23783" s="3" t="inlineStr">
        <is>
          <t>23697</t>
        </is>
      </c>
      <c r="B23783" s="4" t="s">
        <f>=HYPERLINK("http://anyluxury.ru/shop/podarochnye-nabory/nabory-s-ezhednevnikami-i-bloknotami/nabor-duplex-beliy-s-zheltim-1794386/" , "17943.86 Набор Duplex, белый с желтым")</f>
      </c>
      <c r="C23783" s="4" t="n">
        <v>905.00</v>
      </c>
      <c r="D23783" s="4"/>
    </row>
    <row collapsed="" customFormat="false" customHeight="1" hidden="" ht="14" outlineLevel="0" r="23784">
      <c r="A23784" s="3" t="inlineStr">
        <is>
          <t>23698</t>
        </is>
      </c>
      <c r="B23784" s="4" t="s">
        <f>=HYPERLINK("http://anyluxury.ru/shop/podarochnye-nabory/nabory-s-ezhednevnikami-i-bloknotami/nabor-duplex-beliy-s-oranzhevim-1794326/" , "17943.26 Набор Duplex, белый с оранжевым")</f>
      </c>
      <c r="C23784" s="4" t="n">
        <v>900.60</v>
      </c>
      <c r="D23784" s="4"/>
    </row>
    <row collapsed="" customFormat="false" customHeight="1" hidden="" ht="14" outlineLevel="0" r="23785">
      <c r="A23785" s="3" t="inlineStr">
        <is>
          <t>23699</t>
        </is>
      </c>
      <c r="B23785" s="4" t="s">
        <f>=HYPERLINK("http://anyluxury.ru/shop/podarochnye-nabory/nabory-s-ezhednevnikami-i-bloknotami/nabor-duplex-beliy-s-chernim-1794336/" , "17943.36 Набор Duplex, белый с черным")</f>
      </c>
      <c r="C23785" s="4" t="n">
        <v>905.00</v>
      </c>
      <c r="D23785" s="4"/>
    </row>
    <row collapsed="" customFormat="false" customHeight="1" hidden="" ht="14" outlineLevel="0" r="23786">
      <c r="A23786" s="3" t="inlineStr">
        <is>
          <t>23700</t>
        </is>
      </c>
      <c r="B23786" s="4" t="s">
        <f>=HYPERLINK("http://anyluxury.ru/shop/podarochnye-nabory/nabory-s-ezhednevnikami-i-bloknotami/nabor-duplex-beliy-s-zelenim-1794396/" , "17943.96 Набор Duplex, белый с зеленым")</f>
      </c>
      <c r="C23786" s="4" t="n">
        <v>1117.00</v>
      </c>
      <c r="D23786" s="4"/>
    </row>
    <row collapsed="" customFormat="false" customHeight="1" hidden="" ht="14" outlineLevel="0" r="23787">
      <c r="A23787" s="3" t="inlineStr">
        <is>
          <t>23701</t>
        </is>
      </c>
      <c r="B23787" s="4" t="s">
        <f>=HYPERLINK("http://anyluxury.ru/shop/podarochnye-nabory/nabory-s-ezhednevnikami-i-bloknotami/nabor-romano-krasniy-1663250/" , "16632.50 Набор Romano, красный")</f>
      </c>
      <c r="C23787" s="4" t="n">
        <v>655.80</v>
      </c>
      <c r="D23787" s="4"/>
    </row>
    <row collapsed="" customFormat="false" customHeight="1" hidden="" ht="14" outlineLevel="0" r="23788">
      <c r="A23788" s="3" t="inlineStr">
        <is>
          <t>23702</t>
        </is>
      </c>
      <c r="B23788" s="4" t="s">
        <f>=HYPERLINK("http://anyluxury.ru/shop/podarochnye-nabory/nabory-s-ezhednevnikami-i-bloknotami/nabor-romano-biryuzoviy-1663249/" , "16632.49 Набор Romano, бирюзовый")</f>
      </c>
      <c r="C23788" s="4" t="n">
        <v>691.80</v>
      </c>
      <c r="D23788" s="4"/>
    </row>
    <row collapsed="" customFormat="false" customHeight="1" hidden="" ht="14" outlineLevel="0" r="23789">
      <c r="A23789" s="3" t="inlineStr">
        <is>
          <t>23703</t>
        </is>
      </c>
      <c r="B23789" s="4" t="s">
        <f>=HYPERLINK("http://anyluxury.ru/shop/podarochnye-nabory/nabory-s-ezhednevnikami-i-bloknotami/nabor-romano-siniy-1663240/" , "16632.40 Набор Romano, синий")</f>
      </c>
      <c r="C23789" s="4" t="n">
        <v>691.80</v>
      </c>
      <c r="D23789" s="4"/>
    </row>
    <row collapsed="" customFormat="false" customHeight="1" hidden="" ht="14" outlineLevel="0" r="23790">
      <c r="A23790" s="3" t="inlineStr">
        <is>
          <t>23704</t>
        </is>
      </c>
      <c r="B23790" s="4" t="s">
        <f>=HYPERLINK("http://anyluxury.ru/shop/podarochnye-nabory/nabory-s-ezhednevnikami-i-bloknotami/nabor-romano-yarkosiniy-1663244/" , "16632.44 Набор Romano, ярко-синий")</f>
      </c>
      <c r="C23790" s="4" t="n">
        <v>691.80</v>
      </c>
      <c r="D23790" s="4"/>
    </row>
    <row collapsed="" customFormat="false" customHeight="1" hidden="" ht="14" outlineLevel="0" r="23791">
      <c r="A23791" s="3" t="inlineStr">
        <is>
          <t>23705</t>
        </is>
      </c>
      <c r="B23791" s="4" t="s">
        <f>=HYPERLINK("http://anyluxury.ru/shop/podarochnye-nabory/nabory-s-ezhednevnikami-i-bloknotami/nabor-romano-fioletoviy-1663270/" , "16632.70 Набор Romano, фиолетовый")</f>
      </c>
      <c r="C23791" s="4" t="n">
        <v>691.80</v>
      </c>
      <c r="D23791" s="4"/>
    </row>
    <row collapsed="" customFormat="false" customHeight="1" hidden="" ht="14" outlineLevel="0" r="23792">
      <c r="A23792" s="3" t="inlineStr">
        <is>
          <t>23706</t>
        </is>
      </c>
      <c r="B23792" s="4" t="s">
        <f>=HYPERLINK("http://anyluxury.ru/shop/podarochnye-nabory/nabory-s-ezhednevnikami-i-bloknotami/nabor-romano-bordoviy-1663255/" , "16632.55 Набор Romano, бордовый")</f>
      </c>
      <c r="C23792" s="4" t="n">
        <v>691.80</v>
      </c>
      <c r="D23792" s="4"/>
    </row>
    <row collapsed="" customFormat="false" customHeight="1" hidden="" ht="14" outlineLevel="0" r="23793">
      <c r="A23793" s="3" t="inlineStr">
        <is>
          <t>23707</t>
        </is>
      </c>
      <c r="B23793" s="4" t="s">
        <f>=HYPERLINK("http://anyluxury.ru/shop/podarochnye-nabory/nabory-s-ezhednevnikami-i-bloknotami/nabor-brand-tone-biryuzoviy-1068849/" , "10688.49 Набор Brand Tone, бирюзовый")</f>
      </c>
      <c r="C23793" s="4" t="n">
        <v>1392.00</v>
      </c>
      <c r="D23793" s="4"/>
    </row>
    <row collapsed="" customFormat="false" customHeight="1" hidden="" ht="14" outlineLevel="0" r="23794">
      <c r="A23794" s="3" t="inlineStr">
        <is>
          <t>23708</t>
        </is>
      </c>
      <c r="B23794" s="4" t="s">
        <f>=HYPERLINK("http://anyluxury.ru/shop/podarochnye-nabory/nabory-s-ezhednevnikami-i-bloknotami/nabor-brand-tone-bordoviy-1068855/" , "10688.55 Набор Brand Tone, бордовый")</f>
      </c>
      <c r="C23794" s="4" t="n">
        <v>1354.00</v>
      </c>
      <c r="D23794" s="4"/>
    </row>
    <row collapsed="" customFormat="false" customHeight="1" hidden="" ht="14" outlineLevel="0" r="23795">
      <c r="A23795" s="3" t="inlineStr">
        <is>
          <t>23709</t>
        </is>
      </c>
      <c r="B23795" s="4" t="s">
        <f>=HYPERLINK("http://anyluxury.ru/shop/podarochnye-nabory/nabory-s-ezhednevnikami-i-bloknotami/nabor-brand-tone-zeleniy-1068899/" , "10688.99 Набор Brand Tone, зеленый")</f>
      </c>
      <c r="C23795" s="4" t="n">
        <v>1515.00</v>
      </c>
      <c r="D23795" s="4"/>
    </row>
    <row collapsed="" customFormat="false" customHeight="1" hidden="" ht="14" outlineLevel="0" r="23796">
      <c r="A23796" s="3" t="inlineStr">
        <is>
          <t>23710</t>
        </is>
      </c>
      <c r="B23796" s="4" t="s">
        <f>=HYPERLINK("http://anyluxury.ru/shop/podarochnye-nabory/nabory-s-ezhednevnikami-i-bloknotami/nabor-object-siniy-1669040/" , "16690.40 Набор Object, синий")</f>
      </c>
      <c r="C23796" s="4" t="n">
        <v>3210.00</v>
      </c>
      <c r="D23796" s="4"/>
    </row>
    <row collapsed="" customFormat="false" customHeight="1" hidden="" ht="14" outlineLevel="0" r="23797">
      <c r="A23797" s="3" t="inlineStr">
        <is>
          <t>23711</t>
        </is>
      </c>
      <c r="B23797" s="4" t="s">
        <f>=HYPERLINK("http://anyluxury.ru/shop/podarochnye-nabory/nabory-s-ezhednevnikami-i-bloknotami/nabor-vivian-cherniy-1677530/" , "16775.30 Набор Vivian, черный")</f>
      </c>
      <c r="C23797" s="4" t="n">
        <v>2357.00</v>
      </c>
      <c r="D23797" s="4"/>
    </row>
    <row collapsed="" customFormat="false" customHeight="1" hidden="" ht="14" outlineLevel="0" r="23798">
      <c r="A23798" s="3" t="inlineStr">
        <is>
          <t>23712</t>
        </is>
      </c>
      <c r="B23798" s="4" t="s">
        <f>=HYPERLINK("http://anyluxury.ru/shop/podarochnye-nabory/nabory-s-ezhednevnikami-i-bloknotami/nabor-vivian-oranzheviy-1677520/" , "16775.20 Набор Vivian, оранжевый")</f>
      </c>
      <c r="C23798" s="4" t="n">
        <v>2034.00</v>
      </c>
      <c r="D23798" s="4"/>
    </row>
    <row collapsed="" customFormat="false" customHeight="1" hidden="" ht="14" outlineLevel="0" r="23799">
      <c r="A23799" s="3" t="inlineStr">
        <is>
          <t>23713</t>
        </is>
      </c>
      <c r="B23799" s="4" t="s">
        <f>=HYPERLINK("http://anyluxury.ru/shop/podarochnye-nabory/nabory-s-ezhednevnikami-i-bloknotami/nabor-new-latte-goluboy-1666814/" , "16668.14 Набор New Latte, голубой")</f>
      </c>
      <c r="C23799" s="4" t="n">
        <v>656.50</v>
      </c>
      <c r="D23799" s="4"/>
    </row>
    <row collapsed="" customFormat="false" customHeight="1" hidden="" ht="14" outlineLevel="0" r="23800">
      <c r="A23800" s="3" t="inlineStr">
        <is>
          <t>23714</t>
        </is>
      </c>
      <c r="B23800" s="4" t="s">
        <f>=HYPERLINK("http://anyluxury.ru/shop/podarochnye-nabory/nabory-s-ezhednevnikami-i-bloknotami/nabor-new-latte-oranzheviy-1666820/" , "16668.20 Набор New Latte, оранжевый")</f>
      </c>
      <c r="C23800" s="4" t="n">
        <v>657.10</v>
      </c>
      <c r="D23800" s="4"/>
    </row>
    <row collapsed="" customFormat="false" customHeight="1" hidden="" ht="14" outlineLevel="0" r="23801">
      <c r="A23801" s="3" t="inlineStr">
        <is>
          <t>23715</t>
        </is>
      </c>
      <c r="B23801" s="4" t="s">
        <f>=HYPERLINK("http://anyluxury.ru/shop/podarochnye-nabory/nabory-s-ezhednevnikami-i-bloknotami/nabor-new-latte-cherniy-1666830/" , "16668.30 Набор New Latte, черный")</f>
      </c>
      <c r="C23801" s="4" t="n">
        <v>656.50</v>
      </c>
      <c r="D23801" s="4"/>
    </row>
    <row collapsed="" customFormat="false" customHeight="1" hidden="" ht="14" outlineLevel="0" r="23802">
      <c r="A23802" s="3" t="inlineStr">
        <is>
          <t>23716</t>
        </is>
      </c>
      <c r="B23802" s="4" t="s">
        <f>=HYPERLINK("http://anyluxury.ru/shop/podarochnye-nabory/nabory-s-ezhednevnikami-i-bloknotami/nabor-new-latte-temnosiniy-1666840/" , "16668.40 Набор New Latte, темно-синий")</f>
      </c>
      <c r="C23802" s="4" t="n">
        <v>657.10</v>
      </c>
      <c r="D23802" s="4"/>
    </row>
    <row collapsed="" customFormat="false" customHeight="1" hidden="" ht="14" outlineLevel="0" r="23803">
      <c r="A23803" s="3" t="inlineStr">
        <is>
          <t>23717</t>
        </is>
      </c>
      <c r="B23803" s="4" t="s">
        <f>=HYPERLINK("http://anyluxury.ru/shop/podarochnye-nabory/nabory-s-ezhednevnikami-i-bloknotami/nabor-new-latte-yarkosiniy-1666844/" , "16668.44 Набор New Latte, ярко-синий")</f>
      </c>
      <c r="C23803" s="4" t="n">
        <v>656.00</v>
      </c>
      <c r="D23803" s="4"/>
    </row>
    <row collapsed="" customFormat="false" customHeight="1" hidden="" ht="14" outlineLevel="0" r="23804">
      <c r="A23804" s="3" t="inlineStr">
        <is>
          <t>23718</t>
        </is>
      </c>
      <c r="B23804" s="4" t="s">
        <f>=HYPERLINK("http://anyluxury.ru/shop/podarochnye-nabory/nabory-s-ezhednevnikami-i-bloknotami/nabor-new-latte-biryuzoviy-1666849/" , "16668.49 Набор New Latte, бирюзовый")</f>
      </c>
      <c r="C23804" s="4" t="n">
        <v>656.00</v>
      </c>
      <c r="D23804" s="4"/>
    </row>
    <row collapsed="" customFormat="false" customHeight="1" hidden="" ht="14" outlineLevel="0" r="23805">
      <c r="A23805" s="3" t="inlineStr">
        <is>
          <t>23719</t>
        </is>
      </c>
      <c r="B23805" s="4" t="s">
        <f>=HYPERLINK("http://anyluxury.ru/shop/podarochnye-nabory/nabory-s-ezhednevnikami-i-bloknotami/nabor-new-latte-krasniy-1666850/" , "16668.50 Набор New Latte, красный")</f>
      </c>
      <c r="C23805" s="4" t="n">
        <v>656.50</v>
      </c>
      <c r="D23805" s="4"/>
    </row>
    <row collapsed="" customFormat="false" customHeight="1" hidden="" ht="14" outlineLevel="0" r="23806">
      <c r="A23806" s="3" t="inlineStr">
        <is>
          <t>23720</t>
        </is>
      </c>
      <c r="B23806" s="4" t="s">
        <f>=HYPERLINK("http://anyluxury.ru/shop/podarochnye-nabory/nabory-s-ezhednevnikami-i-bloknotami/nabor-new-latte-fioletoviy-1666870/" , "16668.70 Набор New Latte, фиолетовый")</f>
      </c>
      <c r="C23806" s="4" t="n">
        <v>657.10</v>
      </c>
      <c r="D23806" s="4"/>
    </row>
    <row collapsed="" customFormat="false" customHeight="1" hidden="" ht="14" outlineLevel="0" r="23807">
      <c r="A23807" s="3" t="inlineStr">
        <is>
          <t>23721</t>
        </is>
      </c>
      <c r="B23807" s="4" t="s">
        <f>=HYPERLINK("http://anyluxury.ru/shop/podarochnye-nabory/nabory-s-ezhednevnikami-i-bloknotami/nabor-new-latte-zheltiy-1666880/" , "16668.80 Набор New Latte, желтый")</f>
      </c>
      <c r="C23807" s="4" t="n">
        <v>656.50</v>
      </c>
      <c r="D23807" s="4"/>
    </row>
    <row collapsed="" customFormat="false" customHeight="1" hidden="" ht="14" outlineLevel="0" r="23808">
      <c r="A23808" s="3" t="inlineStr">
        <is>
          <t>23722</t>
        </is>
      </c>
      <c r="B23808" s="4" t="s">
        <f>=HYPERLINK("http://anyluxury.ru/shop/podarochnye-nabory/nabory-s-ezhednevnikami-i-bloknotami/nabor-favor-seriy-1653210/" , "16532.10 Набор Favor, серый")</f>
      </c>
      <c r="C23808" s="4" t="n">
        <v>1527.00</v>
      </c>
      <c r="D23808" s="4"/>
    </row>
    <row collapsed="" customFormat="false" customHeight="1" hidden="" ht="14" outlineLevel="0" r="23809">
      <c r="A23809" s="3" t="inlineStr">
        <is>
          <t>23723</t>
        </is>
      </c>
      <c r="B23809" s="4" t="s">
        <f>=HYPERLINK("http://anyluxury.ru/shop/podarochnye-nabory/nabory-s-ezhednevnikami-i-bloknotami/nabor-favor-oranzheviy-1653220/" , "16532.20 Набор Favor, оранжевый")</f>
      </c>
      <c r="C23809" s="4" t="n">
        <v>1527.00</v>
      </c>
      <c r="D23809" s="4"/>
    </row>
    <row collapsed="" customFormat="false" customHeight="1" hidden="" ht="14" outlineLevel="0" r="23810">
      <c r="A23810" s="3" t="inlineStr">
        <is>
          <t>23724</t>
        </is>
      </c>
      <c r="B23810" s="4" t="s">
        <f>=HYPERLINK("http://anyluxury.ru/shop/podarochnye-nabory/nabory-s-ezhednevnikami-i-bloknotami/nabor-favor-cherniy-1653230/" , "16532.30 Набор Favor, черный")</f>
      </c>
      <c r="C23810" s="4" t="n">
        <v>1527.00</v>
      </c>
      <c r="D23810" s="4"/>
    </row>
    <row collapsed="" customFormat="false" customHeight="1" hidden="" ht="14" outlineLevel="0" r="23811">
      <c r="A23811" s="3" t="inlineStr">
        <is>
          <t>23725</t>
        </is>
      </c>
      <c r="B23811" s="4" t="s">
        <f>=HYPERLINK("http://anyluxury.ru/shop/podarochnye-nabory/nabory-s-ezhednevnikami-i-bloknotami/nabor-favor-goluboy-1653244/" , "16532.44 Набор Favor, голубой")</f>
      </c>
      <c r="C23811" s="4" t="n">
        <v>1527.00</v>
      </c>
      <c r="D23811" s="4"/>
    </row>
    <row collapsed="" customFormat="false" customHeight="1" hidden="" ht="14" outlineLevel="0" r="23812">
      <c r="A23812" s="3" t="inlineStr">
        <is>
          <t>23726</t>
        </is>
      </c>
      <c r="B23812" s="4" t="s">
        <f>=HYPERLINK("http://anyluxury.ru/shop/podarochnye-nabory/nabory-s-ezhednevnikami-i-bloknotami/nabor-favor-biryuzoviy-1653249/" , "16532.49 Набор Favor, бирюзовый")</f>
      </c>
      <c r="C23812" s="4" t="n">
        <v>1541.00</v>
      </c>
      <c r="D23812" s="4"/>
    </row>
    <row collapsed="" customFormat="false" customHeight="1" hidden="" ht="14" outlineLevel="0" r="23813">
      <c r="A23813" s="3" t="inlineStr">
        <is>
          <t>23727</t>
        </is>
      </c>
      <c r="B23813" s="4" t="s">
        <f>=HYPERLINK("http://anyluxury.ru/shop/podarochnye-nabory/nabory-s-ezhednevnikami-i-bloknotami/nabor-favor-krasniy-1653250/" , "16532.50 Набор Favor, красный")</f>
      </c>
      <c r="C23813" s="4" t="n">
        <v>1502.00</v>
      </c>
      <c r="D23813" s="4"/>
    </row>
    <row collapsed="" customFormat="false" customHeight="1" hidden="" ht="14" outlineLevel="0" r="23814">
      <c r="A23814" s="3" t="inlineStr">
        <is>
          <t>23728</t>
        </is>
      </c>
      <c r="B23814" s="4" t="s">
        <f>=HYPERLINK("http://anyluxury.ru/shop/podarochnye-nabory/nabory-s-ezhednevnikami-i-bloknotami/nabor-favor-fioletoviy-1653270/" , "16532.70 Набор Favor, фиолетовый")</f>
      </c>
      <c r="C23814" s="4" t="n">
        <v>1406.00</v>
      </c>
      <c r="D23814" s="4"/>
    </row>
    <row collapsed="" customFormat="false" customHeight="1" hidden="" ht="14" outlineLevel="0" r="23815">
      <c r="A23815" s="3" t="inlineStr">
        <is>
          <t>23729</t>
        </is>
      </c>
      <c r="B23815" s="4" t="s">
        <f>=HYPERLINK("http://anyluxury.ru/shop/podarochnye-nabory/nabory-s-ezhednevnikami-i-bloknotami/nabor-favor-zeleniy-1653299/" , "16532.99 Набор Favor, зеленый")</f>
      </c>
      <c r="C23815" s="4" t="n">
        <v>1406.00</v>
      </c>
      <c r="D23815" s="4"/>
    </row>
    <row collapsed="" customFormat="false" customHeight="1" hidden="" ht="14" outlineLevel="0" r="23816">
      <c r="A23816" s="3" t="inlineStr">
        <is>
          <t>23730</t>
        </is>
      </c>
      <c r="B23816" s="4" t="s">
        <f>=HYPERLINK("http://anyluxury.ru/shop/podarochnye-nabory/nabory-s-ezhednevnikami-i-bloknotami/nabor-vivian-zeleniy-1677590/" , "16775.90 Набор Vivian, зеленый")</f>
      </c>
      <c r="C23816" s="4" t="n">
        <v>2432.00</v>
      </c>
      <c r="D23816" s="4"/>
    </row>
    <row collapsed="" customFormat="false" customHeight="1" hidden="" ht="14" outlineLevel="0" r="23817">
      <c r="A23817" s="3" t="inlineStr">
        <is>
          <t>23731</t>
        </is>
      </c>
      <c r="B23817" s="4" t="s">
        <f>=HYPERLINK("http://anyluxury.ru/shop/podarochnye-nabory/nabory-s-ezhednevnikami-i-bloknotami/nabor-vivian-biryuzoviy-1677549/" , "16775.49 Набор Vivian, бирюзовый")</f>
      </c>
      <c r="C23817" s="4" t="n">
        <v>2781.00</v>
      </c>
      <c r="D23817" s="4"/>
    </row>
    <row collapsed="" customFormat="false" customHeight="1" hidden="" ht="14" outlineLevel="0" r="23818">
      <c r="A23818" s="3" t="inlineStr">
        <is>
          <t>23732</t>
        </is>
      </c>
      <c r="B23818" s="4" t="s">
        <f>=HYPERLINK("http://anyluxury.ru/shop/podarochnye-nabory/nabory-s-ezhednevnikami-i-bloknotami/nabor-grade-krasniy-1767450/" , "17674.50 Набор Grade, красный")</f>
      </c>
      <c r="C23818" s="4" t="n">
        <v>694.50</v>
      </c>
      <c r="D23818" s="4"/>
    </row>
    <row collapsed="" customFormat="false" customHeight="1" hidden="" ht="14" outlineLevel="0" r="23819">
      <c r="A23819" s="3" t="inlineStr">
        <is>
          <t>23733</t>
        </is>
      </c>
      <c r="B23819" s="4" t="s">
        <f>=HYPERLINK("http://anyluxury.ru/shop/podarochnye-nabory/nabory-s-ezhednevnikami-i-bloknotami/nabor-grade-oranzheviy-1767420/" , "17674.20 Набор Grade, оранжевый")</f>
      </c>
      <c r="C23819" s="4" t="n">
        <v>745.00</v>
      </c>
      <c r="D23819" s="4"/>
    </row>
    <row collapsed="" customFormat="false" customHeight="1" hidden="" ht="14" outlineLevel="0" r="23820">
      <c r="A23820" s="3" t="inlineStr">
        <is>
          <t>23734</t>
        </is>
      </c>
      <c r="B23820" s="4" t="s">
        <f>=HYPERLINK("http://anyluxury.ru/shop/podarochnye-nabory/nabory-s-ezhednevnikami-i-bloknotami/nabor-grade-zheltiy-1767480/" , "17674.80 Набор Grade, желтый")</f>
      </c>
      <c r="C23820" s="4" t="n">
        <v>694.50</v>
      </c>
      <c r="D23820" s="4"/>
    </row>
    <row collapsed="" customFormat="false" customHeight="1" hidden="" ht="14" outlineLevel="0" r="23821">
      <c r="A23821" s="3" t="inlineStr">
        <is>
          <t>23735</t>
        </is>
      </c>
      <c r="B23821" s="4" t="s">
        <f>=HYPERLINK("http://anyluxury.ru/shop/podarochnye-nabory/nabory-s-ezhednevnikami-i-bloknotami/nabor-grade-cherniy-1767430/" , "17674.30 Набор Grade, черный")</f>
      </c>
      <c r="C23821" s="4" t="n">
        <v>694.50</v>
      </c>
      <c r="D23821" s="4"/>
    </row>
    <row collapsed="" customFormat="false" customHeight="1" hidden="" ht="14" outlineLevel="0" r="23822">
      <c r="A23822" s="3" t="inlineStr">
        <is>
          <t>23736</t>
        </is>
      </c>
      <c r="B23822" s="4" t="s">
        <f>=HYPERLINK("http://anyluxury.ru/shop/podarochnye-nabory/nabory-s-ezhednevnikami-i-bloknotami/nabor-flexpen-shall-simple-seriy-s-sinim-1660414/" , "16604.14 Набор Flexpen Shall Simple, серый с синим")</f>
      </c>
      <c r="C23822" s="4" t="n">
        <v>1558.00</v>
      </c>
      <c r="D23822" s="4"/>
    </row>
    <row collapsed="" customFormat="false" customHeight="1" hidden="" ht="14" outlineLevel="0" r="23823">
      <c r="A23823" s="3" t="inlineStr">
        <is>
          <t>23737</t>
        </is>
      </c>
      <c r="B23823" s="4" t="s">
        <f>=HYPERLINK("http://anyluxury.ru/shop/podarochnye-nabory/nabory-s-ezhednevnikami-i-bloknotami/nabor-flexpen-shall-simple-seriy-s-zheltim-1660481/" , "16604.81 Набор Flexpen Shall Simple, серый с желтым")</f>
      </c>
      <c r="C23823" s="4" t="n">
        <v>1558.00</v>
      </c>
      <c r="D23823" s="4"/>
    </row>
    <row collapsed="" customFormat="false" customHeight="1" hidden="" ht="14" outlineLevel="0" r="23824">
      <c r="A23824" s="3" t="inlineStr">
        <is>
          <t>23738</t>
        </is>
      </c>
      <c r="B23824" s="4" t="s">
        <f>=HYPERLINK("http://anyluxury.ru/shop/podarochnye-nabory/nabory-s-ezhednevnikami-i-bloknotami/nabor-tact-cherniy-1762433/" , "17624.33 Набор Tact, черный")</f>
      </c>
      <c r="C23824" s="4" t="n">
        <v>2091.00</v>
      </c>
      <c r="D23824" s="4"/>
    </row>
    <row collapsed="" customFormat="false" customHeight="1" hidden="" ht="14" outlineLevel="0" r="23825">
      <c r="A23825" s="3" t="inlineStr">
        <is>
          <t>23739</t>
        </is>
      </c>
      <c r="B23825" s="4" t="s">
        <f>=HYPERLINK("http://anyluxury.ru/shop/podarochnye-nabory/nabory-s-ezhednevnikami-i-bloknotami/nabor-tact-siniy-1762444/" , "17624.44 Набор Tact, синий")</f>
      </c>
      <c r="C23825" s="4" t="n">
        <v>2091.00</v>
      </c>
      <c r="D23825" s="4"/>
    </row>
    <row collapsed="" customFormat="false" customHeight="1" hidden="" ht="14" outlineLevel="0" r="23826">
      <c r="A23826" s="3" t="inlineStr">
        <is>
          <t>23740</t>
        </is>
      </c>
      <c r="B23826" s="4" t="s">
        <f>=HYPERLINK("http://anyluxury.ru/shop/podarochnye-nabory/nabory-s-ezhednevnikami-i-bloknotami/nabor-tact-biryuzoviy-1762449/" , "17624.49 Набор Tact, бирюзовый")</f>
      </c>
      <c r="C23826" s="4" t="n">
        <v>2091.00</v>
      </c>
      <c r="D23826" s="4"/>
    </row>
    <row collapsed="" customFormat="false" customHeight="1" hidden="" ht="14" outlineLevel="0" r="23827">
      <c r="A23827" s="3" t="inlineStr">
        <is>
          <t>23741</t>
        </is>
      </c>
      <c r="B23827" s="4" t="s">
        <f>=HYPERLINK("http://anyluxury.ru/shop/podarochnye-nabory/nabory-s-ezhednevnikami-i-bloknotami/nabor-tact-krasniy-1762455/" , "17624.55 Набор Tact, красный")</f>
      </c>
      <c r="C23827" s="4" t="n">
        <v>2091.00</v>
      </c>
      <c r="D23827" s="4"/>
    </row>
    <row collapsed="" customFormat="false" customHeight="1" hidden="" ht="14" outlineLevel="0" r="23828">
      <c r="A23828" s="3" t="inlineStr">
        <is>
          <t>23742</t>
        </is>
      </c>
      <c r="B23828" s="4" t="s">
        <f>=HYPERLINK("http://anyluxury.ru/shop/podarochnye-nabory/nabory-s-ezhednevnikami-i-bloknotami/nabor-tact-seriy-1762411/" , "17624.11 Набор Tact, серый")</f>
      </c>
      <c r="C23828" s="4" t="n">
        <v>2091.00</v>
      </c>
      <c r="D23828" s="4"/>
    </row>
    <row collapsed="" customFormat="false" customHeight="1" hidden="" ht="14" outlineLevel="0" r="23829">
      <c r="A23829" s="3" t="inlineStr">
        <is>
          <t>23743</t>
        </is>
      </c>
      <c r="B23829" s="4" t="s">
        <f>=HYPERLINK("http://anyluxury.ru/shop/podarochnye-nabory/nabory-s-ezhednevnikami-i-bloknotami/nabor-flex-shall-simple-goluboy-1914214/" , "19142.14 Набор Flex Shall Simple, голубой")</f>
      </c>
      <c r="C23829" s="4" t="n">
        <v>1320.00</v>
      </c>
      <c r="D23829" s="4"/>
    </row>
    <row collapsed="" customFormat="false" customHeight="1" hidden="" ht="14" outlineLevel="0" r="23830">
      <c r="A23830" s="3" t="inlineStr">
        <is>
          <t>23744</t>
        </is>
      </c>
      <c r="B23830" s="4" t="s">
        <f>=HYPERLINK("http://anyluxury.ru/shop/podarochnye-nabory/nabory-s-ezhednevnikami-i-bloknotami/nabor-flex-shall-simple-beliy-1914260/" , "19142.60 Набор Flex Shall Simple, белый")</f>
      </c>
      <c r="C23830" s="4" t="n">
        <v>1320.00</v>
      </c>
      <c r="D23830" s="4"/>
    </row>
    <row collapsed="" customFormat="false" customHeight="1" hidden="" ht="14" outlineLevel="0" r="23831">
      <c r="A23831" s="3" t="inlineStr">
        <is>
          <t>23745</t>
        </is>
      </c>
      <c r="B23831" s="4" t="s">
        <f>=HYPERLINK("http://anyluxury.ru/shop/podarochnye-nabory/nabory-s-ezhednevnikami-i-bloknotami/nabor-flex-shall-simple-fioletoviy-1914270/" , "19142.70 Набор Flex Shall Simple, фиолетовый")</f>
      </c>
      <c r="C23831" s="4" t="n">
        <v>1320.00</v>
      </c>
      <c r="D23831" s="4"/>
    </row>
    <row collapsed="" customFormat="false" customHeight="1" hidden="" ht="14" outlineLevel="0" r="23832">
      <c r="A23832" s="3" t="inlineStr">
        <is>
          <t>23746</t>
        </is>
      </c>
      <c r="B23832" s="4" t="s">
        <f>=HYPERLINK("http://anyluxury.ru/shop/podarochnye-nabory/nabory-s-ezhednevnikami-i-bloknotami/nabor-flex-shall-simple-cherniy-1914230/" , "19142.30 Набор Flex Shall Simple, черный")</f>
      </c>
      <c r="C23832" s="4" t="n">
        <v>1320.00</v>
      </c>
      <c r="D23832" s="4"/>
    </row>
    <row collapsed="" customFormat="false" customHeight="1" hidden="" ht="14" outlineLevel="0" r="23833">
      <c r="A23833" s="3" t="inlineStr">
        <is>
          <t>23747</t>
        </is>
      </c>
      <c r="B23833" s="4" t="s">
        <f>=HYPERLINK("http://anyluxury.ru/shop/podarochnye-nabory/nabory-s-ezhednevnikami-i-bloknotami/nabor-flex-shall-simple-krasniy-1914250/" , "19142.50 Набор Flex Shall Simple, красный")</f>
      </c>
      <c r="C23833" s="4" t="n">
        <v>1320.00</v>
      </c>
      <c r="D23833" s="4"/>
    </row>
    <row collapsed="" customFormat="false" customHeight="1" hidden="" ht="14" outlineLevel="0" r="23834">
      <c r="A23834" s="3" t="inlineStr">
        <is>
          <t>23748</t>
        </is>
      </c>
      <c r="B23834" s="4" t="s">
        <f>=HYPERLINK("http://anyluxury.ru/shop/podarochnye-nabory/nabory-s-ezhednevnikami-i-bloknotami/nabor-flex-shall-simple-oranzheviy-1914220/" , "19142.20 Набор Flex Shall Simple, оранжевый")</f>
      </c>
      <c r="C23834" s="4" t="n">
        <v>1297.00</v>
      </c>
      <c r="D23834" s="4"/>
    </row>
    <row collapsed="" customFormat="false" customHeight="1" hidden="" ht="14" outlineLevel="0" r="23835">
      <c r="A23835" s="3" t="inlineStr">
        <is>
          <t>23749</t>
        </is>
      </c>
      <c r="B23835" s="4" t="s">
        <f>=HYPERLINK("http://anyluxury.ru/shop/podarochnye-nabory/nabory-s-ezhednevnikami-i-bloknotami/nabor-brand-duo-oranzheviy-1856620/" , "18566.20 Набор Brand Duo, оранжевый")</f>
      </c>
      <c r="C23835" s="4" t="n">
        <v>1402.00</v>
      </c>
      <c r="D23835" s="4"/>
    </row>
    <row collapsed="" customFormat="false" customHeight="1" hidden="" ht="14" outlineLevel="0" r="23836">
      <c r="A23836" s="3" t="inlineStr">
        <is>
          <t>23750</t>
        </is>
      </c>
      <c r="B23836" s="4" t="s">
        <f>=HYPERLINK("http://anyluxury.ru/shop/podarochnye-nabory/nabory-s-ezhednevnikami-i-bloknotami/nabor-corner-seriy-s-krasnim-1835615/" , "18356.15 Набор Corner, серый с красным")</f>
      </c>
      <c r="C23836" s="4" t="n">
        <v>1664.00</v>
      </c>
      <c r="D23836" s="4"/>
    </row>
    <row collapsed="" customFormat="false" customHeight="1" hidden="" ht="14" outlineLevel="0" r="23837">
      <c r="A23837" s="3" t="inlineStr">
        <is>
          <t>23751</t>
        </is>
      </c>
      <c r="B23837" s="4" t="s">
        <f>=HYPERLINK("http://anyluxury.ru/shop/podarochnye-nabory/nabory-s-ezhednevnikami-i-bloknotami/nabor-corner-seriy-s-chernim-1835613/" , "18356.13 Набор Corner, серый с черным")</f>
      </c>
      <c r="C23837" s="4" t="n">
        <v>1664.00</v>
      </c>
      <c r="D23837" s="4"/>
    </row>
    <row collapsed="" customFormat="false" customHeight="1" hidden="" ht="14" outlineLevel="0" r="23838">
      <c r="A23838" s="3" t="inlineStr">
        <is>
          <t>23752</t>
        </is>
      </c>
      <c r="B23838" s="4" t="s">
        <f>=HYPERLINK("http://anyluxury.ru/shop/podarochnye-nabory/nabory-s-ezhednevnikami-i-bloknotami/nabor-corner-seriy-s-golubim-1835614/" , "18356.14 Набор Corner, серый с голубым")</f>
      </c>
      <c r="C23838" s="4" t="n">
        <v>1664.00</v>
      </c>
      <c r="D23838" s="4"/>
    </row>
    <row collapsed="" customFormat="false" customHeight="1" hidden="" ht="14" outlineLevel="0" r="23839">
      <c r="A23839" s="3" t="inlineStr">
        <is>
          <t>23753</t>
        </is>
      </c>
      <c r="B23839" s="4" t="s">
        <f>=HYPERLINK("http://anyluxury.ru/shop/podarochnye-nabory/nabory-s-ezhednevnikami-i-bloknotami/nabor-corner-seriy-s-zelenim-1835619/" , "18356.19 Набор Corner, серый с зеленым")</f>
      </c>
      <c r="C23839" s="4" t="n">
        <v>1664.00</v>
      </c>
      <c r="D23839" s="4"/>
    </row>
    <row collapsed="" customFormat="false" customHeight="1" hidden="" ht="14" outlineLevel="0" r="23840">
      <c r="A23840" s="3" t="inlineStr">
        <is>
          <t>23754</t>
        </is>
      </c>
      <c r="B23840" s="4" t="s">
        <f>=HYPERLINK("http://anyluxury.ru/shop/podarochnye-nabory/nabory-s-ezhednevnikami-i-bloknotami/nabor-nebraska-duo-bordoviy-1941553/" , "19415.53 Набор Nebraska Duo, бордовый")</f>
      </c>
      <c r="C23840" s="4" t="n">
        <v>1380.00</v>
      </c>
      <c r="D23840" s="4"/>
    </row>
    <row collapsed="" customFormat="false" customHeight="1" hidden="" ht="14" outlineLevel="0" r="23841">
      <c r="A23841" s="3" t="inlineStr">
        <is>
          <t>23755</t>
        </is>
      </c>
      <c r="B23841" s="4" t="s">
        <f>=HYPERLINK("http://anyluxury.ru/shop/podarochnye-nabory/nabory-s-ezhednevnikami-i-bloknotami/nabor-nebraska-duo-cherniy-1941533/" , "19415.33 Набор Nebraska Duo, черный")</f>
      </c>
      <c r="C23841" s="4" t="n">
        <v>1418.00</v>
      </c>
      <c r="D23841" s="4"/>
    </row>
    <row collapsed="" customFormat="false" customHeight="1" hidden="" ht="14" outlineLevel="0" r="23842">
      <c r="A23842" s="3" t="inlineStr">
        <is>
          <t>23756</t>
        </is>
      </c>
      <c r="B23842" s="4" t="s">
        <f>=HYPERLINK("http://anyluxury.ru/shop/podarochnye-nabory/nabory-s-ezhednevnikami-i-bloknotami/nabor-nebraska-dou-zeleniy-1941590/" , "19415.90 Набор Nebraska Dou, зеленый")</f>
      </c>
      <c r="C23842" s="4" t="n">
        <v>1418.00</v>
      </c>
      <c r="D23842" s="4"/>
    </row>
    <row collapsed="" customFormat="false" customHeight="1" hidden="" ht="14" outlineLevel="0" r="23843">
      <c r="A23843" s="3" t="inlineStr">
        <is>
          <t>23757</t>
        </is>
      </c>
      <c r="B23843" s="4" t="s">
        <f>=HYPERLINK("http://anyluxury.ru/shop/podarochnye-nabory/nabory-s-ezhednevnikami-i-bloknotami/nabor-nebraska-duo-korichneviy-1941555/" , "19415.55 Набор Nebraska Duo, коричневый")</f>
      </c>
      <c r="C23843" s="4" t="n">
        <v>1418.00</v>
      </c>
      <c r="D23843" s="4"/>
    </row>
    <row collapsed="" customFormat="false" customHeight="1" hidden="" ht="14" outlineLevel="0" r="23844">
      <c r="A23844" s="3" t="inlineStr">
        <is>
          <t>23758</t>
        </is>
      </c>
      <c r="B23844" s="4" t="s">
        <f>=HYPERLINK("http://anyluxury.ru/shop/podarochnye-nabory/nabory-s-ezhednevnikami-i-bloknotami/nabor-nebraska-duo-krasniy-1941550/" , "19415.50 Набор Nebraska Duo, красный")</f>
      </c>
      <c r="C23844" s="4" t="n">
        <v>1418.00</v>
      </c>
      <c r="D23844" s="4"/>
    </row>
    <row collapsed="" customFormat="false" customHeight="1" hidden="" ht="14" outlineLevel="0" r="23845">
      <c r="A23845" s="3" t="inlineStr">
        <is>
          <t>23759</t>
        </is>
      </c>
      <c r="B23845" s="4" t="s">
        <f>=HYPERLINK("http://anyluxury.ru/shop/podarochnye-nabory/nabory-s-ezhednevnikami-i-bloknotami/nabor-business-diary-krasniy-1700250/" , "17002.50 Набор Business Diary, красный")</f>
      </c>
      <c r="C23845" s="4" t="n">
        <v>1281.00</v>
      </c>
      <c r="D23845" s="4"/>
    </row>
    <row collapsed="" customFormat="false" customHeight="1" hidden="" ht="14" outlineLevel="0" r="23846">
      <c r="A23846" s="3" t="inlineStr">
        <is>
          <t>23760</t>
        </is>
      </c>
      <c r="B23846" s="4" t="s">
        <f>=HYPERLINK("http://anyluxury.ru/shop/podarochnye-nabory/nabory-s-ezhednevnikami-i-bloknotami/nabor-business-diary-fioletoviy-1700270/" , "17002.70 Набор Business Diary, фиолетовый")</f>
      </c>
      <c r="C23846" s="4" t="n">
        <v>1281.00</v>
      </c>
      <c r="D23846" s="4"/>
    </row>
    <row collapsed="" customFormat="false" customHeight="1" hidden="" ht="14" outlineLevel="0" r="23847">
      <c r="A23847" s="3" t="inlineStr">
        <is>
          <t>23761</t>
        </is>
      </c>
      <c r="B23847" s="4" t="s">
        <f>=HYPERLINK("http://anyluxury.ru/shop/podarochnye-nabory/nabory-s-ezhednevnikami-i-bloknotami/nabor-cluster-mini-siniy-1592040/" , "15920.40 Набор Cluster Mini, синий")</f>
      </c>
      <c r="C23847" s="4" t="n">
        <v>668.50</v>
      </c>
      <c r="D23847" s="4"/>
    </row>
    <row collapsed="" customFormat="false" customHeight="1" hidden="" ht="14" outlineLevel="0" r="23848">
      <c r="A23848" s="3" t="inlineStr">
        <is>
          <t>23762</t>
        </is>
      </c>
      <c r="B23848" s="4" t="s">
        <f>=HYPERLINK("http://anyluxury.ru/shop/podarochnye-nabory/nabory-s-ezhednevnikami-i-bloknotami/nabor-cluster-mini-zheltiy-1592080/" , "15920.80 Набор Cluster Mini, желтый")</f>
      </c>
      <c r="C23848" s="4" t="n">
        <v>668.50</v>
      </c>
      <c r="D23848" s="4"/>
    </row>
    <row collapsed="" customFormat="false" customHeight="1" hidden="" ht="14" outlineLevel="0" r="23849">
      <c r="A23849" s="3" t="inlineStr">
        <is>
          <t>23763</t>
        </is>
      </c>
      <c r="B23849" s="4" t="s">
        <f>=HYPERLINK("http://anyluxury.ru/shop/podarochnye-nabory/nabory-s-ezhednevnikami-i-bloknotami/nabor-cluster-mini-seriy-1592010/" , "15920.10 Набор Cluster Mini, серый")</f>
      </c>
      <c r="C23849" s="4" t="n">
        <v>668.00</v>
      </c>
      <c r="D23849" s="4"/>
    </row>
    <row collapsed="" customFormat="false" customHeight="1" hidden="" ht="14" outlineLevel="0" r="23850">
      <c r="A23850" s="3" t="inlineStr">
        <is>
          <t>23764</t>
        </is>
      </c>
      <c r="B23850" s="4" t="s">
        <f>=HYPERLINK("http://anyluxury.ru/shop/podarochnye-nabory/nabory-s-ezhednevnikami-i-bloknotami/nabor-shall-light-simple-seriy-1835810/" , "18358.10 Набор Shall Light Simple, серый")</f>
      </c>
      <c r="C23850" s="4" t="n">
        <v>991.00</v>
      </c>
      <c r="D23850" s="4"/>
    </row>
    <row collapsed="" customFormat="false" customHeight="1" hidden="" ht="14" outlineLevel="0" r="23851">
      <c r="A23851" s="3" t="inlineStr">
        <is>
          <t>23765</t>
        </is>
      </c>
      <c r="B23851" s="4" t="s">
        <f>=HYPERLINK("http://anyluxury.ru/shop/podarochnye-nabory/nabory-s-ezhednevnikami-i-bloknotami/nabor-shall-light-simple-goluboy-1835814/" , "18358.14 Набор Shall Light Simple, голубой")</f>
      </c>
      <c r="C23851" s="4" t="n">
        <v>991.00</v>
      </c>
      <c r="D23851" s="4"/>
    </row>
    <row collapsed="" customFormat="false" customHeight="1" hidden="" ht="14" outlineLevel="0" r="23852">
      <c r="A23852" s="3" t="inlineStr">
        <is>
          <t>23766</t>
        </is>
      </c>
      <c r="B23852" s="4" t="s">
        <f>=HYPERLINK("http://anyluxury.ru/shop/podarochnye-nabory/nabory-s-ezhednevnikami-i-bloknotami/nabor-shall-light-simple-oranzheviy-1835820/" , "18358.20 Набор Shall Light Simple, оранжевый")</f>
      </c>
      <c r="C23852" s="4" t="n">
        <v>991.00</v>
      </c>
      <c r="D23852" s="4"/>
    </row>
    <row collapsed="" customFormat="false" customHeight="1" hidden="" ht="14" outlineLevel="0" r="23853">
      <c r="A23853" s="3" t="inlineStr">
        <is>
          <t>23767</t>
        </is>
      </c>
      <c r="B23853" s="4" t="s">
        <f>=HYPERLINK("http://anyluxury.ru/shop/podarochnye-nabory/nabory-s-ezhednevnikami-i-bloknotami/nabor-shall-light-simple-biryuzoviy-1835849/" , "18358.49 Набор Shall Light Simple, бирюзовый")</f>
      </c>
      <c r="C23853" s="4" t="n">
        <v>991.00</v>
      </c>
      <c r="D23853" s="4"/>
    </row>
    <row collapsed="" customFormat="false" customHeight="1" hidden="" ht="14" outlineLevel="0" r="23854">
      <c r="A23854" s="3" t="inlineStr">
        <is>
          <t>23768</t>
        </is>
      </c>
      <c r="B23854" s="4" t="s">
        <f>=HYPERLINK("http://anyluxury.ru/shop/podarochnye-nabory/nabory-s-ezhednevnikami-i-bloknotami/nabor-flat-light-seriy-1676210/" , "16762.10 Набор Flat Light, серый")</f>
      </c>
      <c r="C23854" s="4" t="n">
        <v>490.80</v>
      </c>
      <c r="D23854" s="4"/>
    </row>
    <row collapsed="" customFormat="false" customHeight="1" hidden="" ht="14" outlineLevel="0" r="23855">
      <c r="A23855" s="3" t="inlineStr">
        <is>
          <t>23769</t>
        </is>
      </c>
      <c r="B23855" s="4" t="s">
        <f>=HYPERLINK("http://anyluxury.ru/shop/podarochnye-nabory/nabory-s-ezhednevnikami-i-bloknotami/nabor-flat-light-krasniy-1676250/" , "16762.50 Набор Flat Light, красный")</f>
      </c>
      <c r="C23855" s="4" t="n">
        <v>490.80</v>
      </c>
      <c r="D23855" s="4"/>
    </row>
    <row collapsed="" customFormat="false" customHeight="1" hidden="" ht="14" outlineLevel="0" r="23856">
      <c r="A23856" s="3" t="inlineStr">
        <is>
          <t>23770</t>
        </is>
      </c>
      <c r="B23856" s="4" t="s">
        <f>=HYPERLINK("http://anyluxury.ru/shop/podarochnye-nabory/nabory-s-ezhednevnikami-i-bloknotami/nabor-flat-light-oranzheviy-1676220/" , "16762.20 Набор Flat Light, оранжевый")</f>
      </c>
      <c r="C23856" s="4" t="n">
        <v>490.80</v>
      </c>
      <c r="D23856" s="4"/>
    </row>
    <row collapsed="" customFormat="false" customHeight="1" hidden="" ht="14" outlineLevel="0" r="23857">
      <c r="A23857" s="3" t="inlineStr">
        <is>
          <t>23771</t>
        </is>
      </c>
      <c r="B23857" s="4" t="s">
        <f>=HYPERLINK("http://anyluxury.ru/shop/podarochnye-nabory/nabory-s-ezhednevnikami-i-bloknotami/nabor-flat-light-siniy-1676240/" , "16762.40 Набор Flat Light, синий")</f>
      </c>
      <c r="C23857" s="4" t="n">
        <v>490.80</v>
      </c>
      <c r="D23857" s="4"/>
    </row>
    <row collapsed="" customFormat="false" customHeight="1" hidden="" ht="14" outlineLevel="0" r="23858">
      <c r="A23858" s="3" t="inlineStr">
        <is>
          <t>23772</t>
        </is>
      </c>
      <c r="B23858" s="4" t="s">
        <f>=HYPERLINK("http://anyluxury.ru/shop/podarochnye-nabory/nabory-s-ezhednevnikami-i-bloknotami/nabor-flat-light-cherniy-1676230/" , "16762.30 Набор Flat Light, черный")</f>
      </c>
      <c r="C23858" s="4" t="n">
        <v>490.80</v>
      </c>
      <c r="D23858" s="4"/>
    </row>
    <row collapsed="" customFormat="false" customHeight="1" hidden="" ht="14" outlineLevel="0" r="23859">
      <c r="A23859" s="3" t="inlineStr">
        <is>
          <t>23773</t>
        </is>
      </c>
      <c r="B23859" s="4" t="s">
        <f>=HYPERLINK("http://anyluxury.ru/shop/podarochnye-nabory/nabory-s-ezhednevnikami-i-bloknotami/nabor-devon-span-cherniy-1663330/" , "16633.30 Набор Devon Span, черный")</f>
      </c>
      <c r="C23859" s="4" t="n">
        <v>1663.20</v>
      </c>
      <c r="D23859" s="4"/>
    </row>
    <row collapsed="" customFormat="false" customHeight="1" hidden="" ht="14" outlineLevel="0" r="23860">
      <c r="A23860" s="3" t="inlineStr">
        <is>
          <t>23774</t>
        </is>
      </c>
      <c r="B23860" s="4" t="s">
        <f>=HYPERLINK("http://anyluxury.ru/shop/podarochnye-nabory/nabory-s-ezhednevnikami-i-bloknotami/nabor-chillout-seriy-1699710/" , "16997.10 Набор Chillout, серый")</f>
      </c>
      <c r="C23860" s="4" t="n">
        <v>2124.00</v>
      </c>
      <c r="D23860" s="4"/>
    </row>
    <row collapsed="" customFormat="false" customHeight="1" hidden="" ht="14" outlineLevel="0" r="23861">
      <c r="A23861" s="3" t="inlineStr">
        <is>
          <t>23775</t>
        </is>
      </c>
      <c r="B23861" s="4" t="s">
        <f>=HYPERLINK("http://anyluxury.ru/shop/podarochnye-nabory/nabory-s-ezhednevnikami-i-bloknotami/nabor-cluster-energy-krasniy-1539050/" , "15390.50 Набор Cluster Energy, красный")</f>
      </c>
      <c r="C23861" s="4" t="n">
        <v>2452.50</v>
      </c>
      <c r="D23861" s="4"/>
    </row>
    <row collapsed="" customFormat="false" customHeight="1" hidden="" ht="14" outlineLevel="0" r="23862">
      <c r="A23862" s="3" t="inlineStr">
        <is>
          <t>23776</t>
        </is>
      </c>
      <c r="B23862" s="4" t="s">
        <f>=HYPERLINK("http://anyluxury.ru/shop/podarochnye-nabory/nabory-s-ezhednevnikami-i-bloknotami/nabor-base-mini-oranzheviy-1648420/" , "16484.20 Набор Base Mini, оранжевый")</f>
      </c>
      <c r="C23862" s="4" t="n">
        <v>657.80</v>
      </c>
      <c r="D23862" s="4"/>
    </row>
    <row collapsed="" customFormat="false" customHeight="1" hidden="" ht="14" outlineLevel="0" r="23863">
      <c r="A23863" s="3" t="inlineStr">
        <is>
          <t>23777</t>
        </is>
      </c>
      <c r="B23863" s="4" t="s">
        <f>=HYPERLINK("http://anyluxury.ru/shop/podarochnye-nabory/nabory-s-ezhednevnikami-i-bloknotami/nabor-base-mini-biryuzoviy-1648449/" , "16484.49 Набор Base Mini, бирюзовый")</f>
      </c>
      <c r="C23863" s="4" t="n">
        <v>749.00</v>
      </c>
      <c r="D23863" s="4"/>
    </row>
    <row collapsed="" customFormat="false" customHeight="1" hidden="" ht="14" outlineLevel="0" r="23864">
      <c r="A23864" s="3" t="inlineStr">
        <is>
          <t>23778</t>
        </is>
      </c>
      <c r="B23864" s="4" t="s">
        <f>=HYPERLINK("http://anyluxury.ru/shop/podarochnye-nabory/nabory-s-ezhednevnikami-i-bloknotami/nabor-base-mini-beliy-1648460/" , "16484.60 Набор Base Mini, белый")</f>
      </c>
      <c r="C23864" s="4" t="n">
        <v>657.80</v>
      </c>
      <c r="D23864" s="4"/>
    </row>
    <row collapsed="" customFormat="false" customHeight="1" hidden="" ht="14" outlineLevel="0" r="23865">
      <c r="A23865" s="3" t="inlineStr">
        <is>
          <t>23779</t>
        </is>
      </c>
      <c r="B23865" s="4" t="s">
        <f>=HYPERLINK("http://anyluxury.ru/shop/podarochnye-nabory/nabory-s-ezhednevnikami-i-bloknotami/nabor-grid-oranzheviy-1680820/" , "16808.20 Набор Grid, оранжевый")</f>
      </c>
      <c r="C23865" s="4" t="n">
        <v>683.00</v>
      </c>
      <c r="D23865" s="4"/>
    </row>
    <row collapsed="" customFormat="false" customHeight="1" hidden="" ht="14" outlineLevel="0" r="23866">
      <c r="A23866" s="3" t="inlineStr">
        <is>
          <t>23780</t>
        </is>
      </c>
      <c r="B23866" s="4" t="s">
        <f>=HYPERLINK("http://anyluxury.ru/shop/podarochnye-nabory/nabory-s-ezhednevnikami-i-bloknotami/nabor-grid-cherniy-1680830/" , "16808.30 Набор Grid, черный")</f>
      </c>
      <c r="C23866" s="4" t="n">
        <v>676.00</v>
      </c>
      <c r="D23866" s="4"/>
    </row>
    <row collapsed="" customFormat="false" customHeight="1" hidden="" ht="14" outlineLevel="0" r="23867">
      <c r="A23867" s="3" t="inlineStr">
        <is>
          <t>23781</t>
        </is>
      </c>
      <c r="B23867" s="4" t="s">
        <f>=HYPERLINK("http://anyluxury.ru/shop/podarochnye-nabory/nabory-s-ezhednevnikami-i-bloknotami/nabor-grid-siniy-1680840/" , "16808.40 Набор Grid, синий")</f>
      </c>
      <c r="C23867" s="4" t="n">
        <v>683.00</v>
      </c>
      <c r="D23867" s="4"/>
    </row>
    <row collapsed="" customFormat="false" customHeight="1" hidden="" ht="14" outlineLevel="0" r="23868">
      <c r="A23868" s="3" t="inlineStr">
        <is>
          <t>23782</t>
        </is>
      </c>
      <c r="B23868" s="4" t="s">
        <f>=HYPERLINK("http://anyluxury.ru/shop/podarochnye-nabory/nabory-s-ezhednevnikami-i-bloknotami/nabor-lotus-siniy-1634640/" , "16346.40 Набор Lotus, синий")</f>
      </c>
      <c r="C23868" s="4" t="n">
        <v>781.00</v>
      </c>
      <c r="D23868" s="4"/>
    </row>
    <row collapsed="" customFormat="false" customHeight="1" hidden="" ht="14" outlineLevel="0" r="23869">
      <c r="A23869" s="3" t="inlineStr">
        <is>
          <t>23783</t>
        </is>
      </c>
      <c r="B23869" s="4" t="s">
        <f>=HYPERLINK("http://anyluxury.ru/shop/podarochnye-nabory/nabory-s-ezhednevnikami-i-bloknotami/nabor-lotus-bordoviy-1634655/" , "16346.55 Набор Lotus, бордовый")</f>
      </c>
      <c r="C23869" s="4" t="n">
        <v>778.10</v>
      </c>
      <c r="D23869" s="4"/>
    </row>
    <row collapsed="" customFormat="false" customHeight="1" hidden="" ht="14" outlineLevel="0" r="23870">
      <c r="A23870" s="3" t="inlineStr">
        <is>
          <t>23784</t>
        </is>
      </c>
      <c r="B23870" s="4" t="s">
        <f>=HYPERLINK("http://anyluxury.ru/shop/podarochnye-nabory/nabory-s-ezhednevnikami-i-bloknotami/nabor-lucky-seriy-1795810/" , "17958.10 Набор Lucky, серый")</f>
      </c>
      <c r="C23870" s="4" t="n">
        <v>1154.10</v>
      </c>
      <c r="D23870" s="4"/>
    </row>
    <row collapsed="" customFormat="false" customHeight="1" hidden="" ht="14" outlineLevel="0" r="23871">
      <c r="A23871" s="3" t="inlineStr">
        <is>
          <t>23785</t>
        </is>
      </c>
      <c r="B23871" s="4" t="s">
        <f>=HYPERLINK("http://anyluxury.ru/shop/podarochnye-nabory/nabory-s-ezhednevnikami-i-bloknotami/nabor-lucky-oranzheviy-1795820/" , "17958.20 Набор Lucky, оранжевый")</f>
      </c>
      <c r="C23871" s="4" t="n">
        <v>1051.00</v>
      </c>
      <c r="D23871" s="4"/>
    </row>
    <row collapsed="" customFormat="false" customHeight="1" hidden="" ht="14" outlineLevel="0" r="23872">
      <c r="A23872" s="3" t="inlineStr">
        <is>
          <t>23786</t>
        </is>
      </c>
      <c r="B23872" s="4" t="s">
        <f>=HYPERLINK("http://anyluxury.ru/shop/podarochnye-nabory/nabory-s-ezhednevnikami-i-bloknotami/nabor-lucky-krasniy-1795850/" , "17958.50 Набор Lucky, красный")</f>
      </c>
      <c r="C23872" s="4" t="n">
        <v>1154.10</v>
      </c>
      <c r="D23872" s="4"/>
    </row>
    <row collapsed="" customFormat="false" customHeight="1" hidden="" ht="14" outlineLevel="0" r="23873">
      <c r="A23873" s="3" t="inlineStr">
        <is>
          <t>23787</t>
        </is>
      </c>
      <c r="B23873" s="4" t="s">
        <f>=HYPERLINK("http://anyluxury.ru/shop/podarochnye-nabory/nabory-s-ezhednevnikami-i-bloknotami/nabor-lucky-zeleniy-1795890/" , "17958.90 Набор Lucky, зеленый")</f>
      </c>
      <c r="C23873" s="4" t="n">
        <v>1051.00</v>
      </c>
      <c r="D23873" s="4"/>
    </row>
    <row collapsed="" customFormat="false" customHeight="1" hidden="" ht="14" outlineLevel="0" r="23874">
      <c r="A23874" s="3" t="inlineStr">
        <is>
          <t>23788</t>
        </is>
      </c>
      <c r="B23874" s="4" t="s">
        <f>=HYPERLINK("http://anyluxury.ru/shop/podarochnye-nabory/nabory-s-ezhednevnikami-i-bloknotami/nabor-saffian-mini-cherniy-1723130/" , "17231.30 Набор Saffian Mini, черный")</f>
      </c>
      <c r="C23874" s="4" t="n">
        <v>965.00</v>
      </c>
      <c r="D23874" s="4"/>
    </row>
    <row collapsed="" customFormat="false" customHeight="1" hidden="" ht="14" outlineLevel="0" r="23875">
      <c r="A23875" s="3" t="inlineStr">
        <is>
          <t>23789</t>
        </is>
      </c>
      <c r="B23875" s="4" t="s">
        <f>=HYPERLINK("http://anyluxury.ru/shop/podarochnye-nabory/nabory-s-ezhednevnikami-i-bloknotami/nabor-saffian-mini-siniy-1723140/" , "17231.40 Набор Saffian Mini, синий")</f>
      </c>
      <c r="C23875" s="4" t="n">
        <v>965.00</v>
      </c>
      <c r="D23875" s="4"/>
    </row>
    <row collapsed="" customFormat="false" customHeight="1" hidden="" ht="14" outlineLevel="0" r="23876">
      <c r="A23876" s="3" t="inlineStr">
        <is>
          <t>23790</t>
        </is>
      </c>
      <c r="B23876" s="4" t="s">
        <f>=HYPERLINK("http://anyluxury.ru/shop/podarochnye-nabory/nabory-s-ezhednevnikami-i-bloknotami/nabor-saffian-mini-krasniy-1723150/" , "17231.50 Набор Saffian Mini, красный")</f>
      </c>
      <c r="C23876" s="4" t="n">
        <v>965.00</v>
      </c>
      <c r="D23876" s="4"/>
    </row>
    <row collapsed="" customFormat="false" customHeight="1" hidden="" ht="14" outlineLevel="0" r="23877">
      <c r="A23877" s="3" t="inlineStr">
        <is>
          <t>23791</t>
        </is>
      </c>
      <c r="B23877" s="4" t="s">
        <f>=HYPERLINK("http://anyluxury.ru/shop/podarochnye-nabory/nabory-s-ezhednevnikami-i-bloknotami/nabor-saffian-mini-korichneviy-1723159/" , "17231.59 Набор Saffian Mini, коричневый")</f>
      </c>
      <c r="C23877" s="4" t="n">
        <v>965.00</v>
      </c>
      <c r="D23877" s="4"/>
    </row>
    <row collapsed="" customFormat="false" customHeight="1" hidden="" ht="14" outlineLevel="0" r="23878">
      <c r="A23878" s="3" t="inlineStr">
        <is>
          <t>23792</t>
        </is>
      </c>
      <c r="B23878" s="4" t="s">
        <f>=HYPERLINK("http://anyluxury.ru/shop/podarochnye-nabory/nabory-s-ezhednevnikami-i-bloknotami/nabor-scope-cherniy-1781330/" , "17813.30 Набор Scope, черный")</f>
      </c>
      <c r="C23878" s="4" t="n">
        <v>702.00</v>
      </c>
      <c r="D23878" s="4"/>
    </row>
    <row collapsed="" customFormat="false" customHeight="1" hidden="" ht="14" outlineLevel="0" r="23879">
      <c r="A23879" s="3" t="inlineStr">
        <is>
          <t>23793</t>
        </is>
      </c>
      <c r="B23879" s="4" t="s">
        <f>=HYPERLINK("http://anyluxury.ru/shop/podarochnye-nabory/nabory-s-ezhednevnikami-i-bloknotami/nabor-scope-siniy-1781340/" , "17813.40 Набор Scope, синий")</f>
      </c>
      <c r="C23879" s="4" t="n">
        <v>702.00</v>
      </c>
      <c r="D23879" s="4"/>
    </row>
    <row collapsed="" customFormat="false" customHeight="1" hidden="" ht="14" outlineLevel="0" r="23880">
      <c r="A23880" s="3" t="inlineStr">
        <is>
          <t>23794</t>
        </is>
      </c>
      <c r="B23880" s="4" t="s">
        <f>=HYPERLINK("http://anyluxury.ru/shop/podarochnye-nabory/nabory-s-ezhednevnikami-i-bloknotami/nabor-scope-svetlosiniy-1781344/" , "17813.44 Набор Scope, светло-синий")</f>
      </c>
      <c r="C23880" s="4" t="n">
        <v>702.00</v>
      </c>
      <c r="D23880" s="4"/>
    </row>
    <row collapsed="" customFormat="false" customHeight="1" hidden="" ht="14" outlineLevel="0" r="23881">
      <c r="A23881" s="3" t="inlineStr">
        <is>
          <t>23795</t>
        </is>
      </c>
      <c r="B23881" s="4" t="s">
        <f>=HYPERLINK("http://anyluxury.ru/shop/podarochnye-nabory/nabory-s-ezhednevnikami-i-bloknotami/nabor-scope-krasniy-1781350/" , "17813.50 Набор Scope, красный")</f>
      </c>
      <c r="C23881" s="4" t="n">
        <v>702.00</v>
      </c>
      <c r="D23881" s="4"/>
    </row>
    <row collapsed="" customFormat="false" customHeight="1" hidden="" ht="14" outlineLevel="0" r="23882">
      <c r="A23882" s="3" t="inlineStr">
        <is>
          <t>23796</t>
        </is>
      </c>
      <c r="B23882" s="4" t="s">
        <f>=HYPERLINK("http://anyluxury.ru/shop/podarochnye-nabory/nabory-s-ezhednevnikami-i-bloknotami/nabor-scope-seriy-1781311/" , "17813.11 Набор Scope, серый")</f>
      </c>
      <c r="C23882" s="4" t="n">
        <v>702.00</v>
      </c>
      <c r="D23882" s="4"/>
    </row>
    <row collapsed="" customFormat="false" customHeight="1" hidden="" ht="14" outlineLevel="0" r="23883">
      <c r="A23883" s="3" t="inlineStr">
        <is>
          <t>23797</t>
        </is>
      </c>
      <c r="B23883" s="4" t="s">
        <f>=HYPERLINK("http://anyluxury.ru/shop/podarochnye-nabory/nabory-s-ezhednevnikami-i-bloknotami/nabor-scope-biryuzoviy-1781349/" , "17813.49 Набор Scope, бирюзовый")</f>
      </c>
      <c r="C23883" s="4" t="n">
        <v>702.00</v>
      </c>
      <c r="D23883" s="4"/>
    </row>
    <row collapsed="" customFormat="false" customHeight="1" hidden="" ht="14" outlineLevel="0" r="23884">
      <c r="A23884" s="3" t="inlineStr">
        <is>
          <t>23798</t>
        </is>
      </c>
      <c r="B23884" s="4" t="s">
        <f>=HYPERLINK("http://anyluxury.ru/shop/podarochnye-nabory/nabory-s-ezhednevnikami-i-bloknotami/nabor-neat-seriy-1706610/" , "17066.10 Набор Neat, серый")</f>
      </c>
      <c r="C23884" s="4" t="n">
        <v>856.00</v>
      </c>
      <c r="D23884" s="4"/>
    </row>
    <row collapsed="" customFormat="false" customHeight="1" hidden="" ht="14" outlineLevel="0" r="23885">
      <c r="A23885" s="3" t="inlineStr">
        <is>
          <t>23799</t>
        </is>
      </c>
      <c r="B23885" s="4" t="s">
        <f>=HYPERLINK("http://anyluxury.ru/shop/podarochnye-nabory/nabory-s-ezhednevnikami-i-bloknotami/nabor-pastels-goluboy-2054614/" , "20546.14 Набор Pastels, голубой")</f>
      </c>
      <c r="C23885" s="4" t="n">
        <v>2843.00</v>
      </c>
      <c r="D23885" s="4"/>
    </row>
    <row collapsed="" customFormat="false" customHeight="1" hidden="" ht="14" outlineLevel="0" r="23886">
      <c r="A23886" s="3" t="inlineStr">
        <is>
          <t>23800</t>
        </is>
      </c>
      <c r="B23886" s="4" t="s">
        <f>=HYPERLINK("http://anyluxury.ru/shop/podarochnye-nabory/nabory-s-ezhednevnikami-i-bloknotami/nabor-fredo-cherniy-1745130/" , "17451.30 Набор Fredo, черный")</f>
      </c>
      <c r="C23886" s="4" t="n">
        <v>827.00</v>
      </c>
      <c r="D23886" s="4"/>
    </row>
    <row collapsed="" customFormat="false" customHeight="1" hidden="" ht="14" outlineLevel="0" r="23887">
      <c r="A23887" s="3" t="inlineStr">
        <is>
          <t>23801</t>
        </is>
      </c>
      <c r="B23887" s="4" t="s">
        <f>=HYPERLINK("http://anyluxury.ru/shop/podarochnye-nabory/nabory-s-ezhednevnikami-i-bloknotami/nabor-fredo-siniy-1745140/" , "17451.40 Набор Fredo, синий")</f>
      </c>
      <c r="C23887" s="4" t="n">
        <v>771.00</v>
      </c>
      <c r="D23887" s="4"/>
    </row>
    <row collapsed="" customFormat="false" customHeight="1" hidden="" ht="14" outlineLevel="0" r="23888">
      <c r="A23888" s="3" t="inlineStr">
        <is>
          <t>23802</t>
        </is>
      </c>
      <c r="B23888" s="4" t="s">
        <f>=HYPERLINK("http://anyluxury.ru/shop/podarochnye-nabory/nabory-s-ezhednevnikami-i-bloknotami/nabor-fredo-biryuzoviy-1745149/" , "17451.49 Набор Fredo, бирюзовый")</f>
      </c>
      <c r="C23888" s="4" t="n">
        <v>827.00</v>
      </c>
      <c r="D23888" s="4"/>
    </row>
    <row collapsed="" customFormat="false" customHeight="1" hidden="" ht="14" outlineLevel="0" r="23889">
      <c r="A23889" s="3" t="inlineStr">
        <is>
          <t>23803</t>
        </is>
      </c>
      <c r="B23889" s="4" t="s">
        <f>=HYPERLINK("http://anyluxury.ru/shop/podarochnye-nabory/nabory-s-ezhednevnikami-i-bloknotami/nabor-fredo-krasniy-1745150/" , "17451.50 Набор Fredo, красный")</f>
      </c>
      <c r="C23889" s="4" t="n">
        <v>827.00</v>
      </c>
      <c r="D23889" s="4"/>
    </row>
    <row collapsed="" customFormat="false" customHeight="1" hidden="" ht="14" outlineLevel="0" r="23890">
      <c r="A23890" s="3" t="inlineStr">
        <is>
          <t>23804</t>
        </is>
      </c>
      <c r="B23890" s="4" t="s">
        <f>=HYPERLINK("http://anyluxury.ru/shop/podarochnye-nabory/nabory-s-ezhednevnikami-i-bloknotami/nabor-fredo-fioletoviy-1745170/" , "17451.70 Набор Fredo, фиолетовый")</f>
      </c>
      <c r="C23890" s="4" t="n">
        <v>827.00</v>
      </c>
      <c r="D23890" s="4"/>
    </row>
    <row collapsed="" customFormat="false" customHeight="1" hidden="" ht="14" outlineLevel="0" r="23891">
      <c r="A23891" s="3" t="inlineStr">
        <is>
          <t>23805</t>
        </is>
      </c>
      <c r="B23891" s="4" t="s">
        <f>=HYPERLINK("http://anyluxury.ru/shop/podarochnye-nabory/nabory-s-ezhednevnikami-i-bloknotami/nabor-fredo-zeleniy-1745199/" , "17451.99 Набор Fredo, зеленый")</f>
      </c>
      <c r="C23891" s="4" t="n">
        <v>827.00</v>
      </c>
      <c r="D23891" s="4"/>
    </row>
    <row collapsed="" customFormat="false" customHeight="1" hidden="" ht="14" outlineLevel="0" r="23892">
      <c r="A23892" s="3" t="inlineStr">
        <is>
          <t>23806</t>
        </is>
      </c>
      <c r="B23892" s="4" t="s">
        <f>=HYPERLINK("http://anyluxury.ru/shop/podarochnye-nabory/nabory-s-ezhednevnikami-i-bloknotami/nabor-fredo-seriy-1745110/" , "17451.10 Набор Fredo, серый")</f>
      </c>
      <c r="C23892" s="4" t="n">
        <v>827.00</v>
      </c>
      <c r="D23892" s="4"/>
    </row>
    <row collapsed="" customFormat="false" customHeight="1" hidden="" ht="14" outlineLevel="0" r="23893">
      <c r="A23893" s="3" t="inlineStr">
        <is>
          <t>23807</t>
        </is>
      </c>
      <c r="B23893" s="4" t="s">
        <f>=HYPERLINK("http://anyluxury.ru/shop/podarochnye-nabory/nabory-s-ezhednevnikami-i-bloknotami/nabor-fredo-oranzheviy-1745120/" , "17451.20 Набор Fredo, оранжевый")</f>
      </c>
      <c r="C23893" s="4" t="n">
        <v>827.00</v>
      </c>
      <c r="D23893" s="4"/>
    </row>
    <row collapsed="" customFormat="false" customHeight="1" hidden="" ht="14" outlineLevel="0" r="23894">
      <c r="A23894" s="3" t="inlineStr">
        <is>
          <t>23808</t>
        </is>
      </c>
      <c r="B23894" s="4" t="s">
        <f>=HYPERLINK("http://anyluxury.ru/shop/podarochnye-nabory/nabory-s-ezhednevnikami-i-bloknotami/nabor-fredo-goluboy-1745114/" , "17451.14 Набор Fredo, голубой")</f>
      </c>
      <c r="C23894" s="4" t="n">
        <v>827.00</v>
      </c>
      <c r="D23894" s="4"/>
    </row>
    <row collapsed="" customFormat="false" customHeight="1" hidden="" ht="14" outlineLevel="0" r="23895">
      <c r="A23895" s="3" t="inlineStr">
        <is>
          <t>23809</t>
        </is>
      </c>
      <c r="B23895" s="4" t="s">
        <f>=HYPERLINK("http://anyluxury.ru/shop/podarochnye-nabory/nabory-s-ezhednevnikami-i-bloknotami/nabor-pastels-oranzheviy-2054620/" , "20546.20 Набор Pastels, оранжевый")</f>
      </c>
      <c r="C23895" s="4" t="n">
        <v>2611.00</v>
      </c>
      <c r="D23895" s="4"/>
    </row>
    <row collapsed="" customFormat="false" customHeight="1" hidden="" ht="14" outlineLevel="0" r="23896">
      <c r="A23896" s="3" t="inlineStr">
        <is>
          <t>23810</t>
        </is>
      </c>
      <c r="B23896" s="4" t="s">
        <f>=HYPERLINK("http://anyluxury.ru/shop/podarochnye-nabory/nabory-s-ezhednevnikami-i-bloknotami/nabor-favor-memo-biryuzoviy-1748049/" , "17480.49 Набор Favor Memo, бирюзовый")</f>
      </c>
      <c r="C23896" s="4" t="n">
        <v>2265.00</v>
      </c>
      <c r="D23896" s="4"/>
    </row>
    <row collapsed="" customFormat="false" customHeight="1" hidden="" ht="14" outlineLevel="0" r="23897">
      <c r="A23897" s="3" t="inlineStr">
        <is>
          <t>23811</t>
        </is>
      </c>
      <c r="B23897" s="4" t="s">
        <f>=HYPERLINK("http://anyluxury.ru/shop/podarochnye-nabory/nabory-s-ezhednevnikami-i-bloknotami/nabor-favor-memo-fioletoviy-1748070/" , "17480.70 Набор Favor Memo, фиолетовый")</f>
      </c>
      <c r="C23897" s="4" t="n">
        <v>2107.00</v>
      </c>
      <c r="D23897" s="4"/>
    </row>
    <row collapsed="" customFormat="false" customHeight="1" hidden="" ht="14" outlineLevel="0" r="23898">
      <c r="A23898" s="3" t="inlineStr">
        <is>
          <t>23812</t>
        </is>
      </c>
      <c r="B23898" s="4" t="s">
        <f>=HYPERLINK("http://anyluxury.ru/shop/podarochnye-nabory/nabory-s-ezhednevnikami-i-bloknotami/nabor-warm-vale-seriy-1663410/" , "16634.10 Набор Warm Vale, серый")</f>
      </c>
      <c r="C23898" s="4" t="n">
        <v>2356.00</v>
      </c>
      <c r="D23898" s="4"/>
    </row>
    <row collapsed="" customFormat="false" customHeight="1" hidden="" ht="14" outlineLevel="0" r="23899">
      <c r="A23899" s="3" t="inlineStr">
        <is>
          <t>23813</t>
        </is>
      </c>
      <c r="B23899" s="4" t="s">
        <f>=HYPERLINK("http://anyluxury.ru/shop/podarochnye-nabory/nabory-s-ezhednevnikami-i-bloknotami/nabor-warm-vale-oranzheviy-1663420/" , "16634.20 Набор Warm Vale, оранжевый")</f>
      </c>
      <c r="C23899" s="4" t="n">
        <v>2177.00</v>
      </c>
      <c r="D23899" s="4"/>
    </row>
    <row collapsed="" customFormat="false" customHeight="1" hidden="" ht="14" outlineLevel="0" r="23900">
      <c r="A23900" s="3" t="inlineStr">
        <is>
          <t>23814</t>
        </is>
      </c>
      <c r="B23900" s="4" t="s">
        <f>=HYPERLINK("http://anyluxury.ru/shop/podarochnye-nabory/nabory-s-ezhednevnikami-i-bloknotami/nabor-warm-vale-cherniy-1663430/" , "16634.30 Набор Warm Vale, черный")</f>
      </c>
      <c r="C23900" s="4" t="n">
        <v>2156.00</v>
      </c>
      <c r="D23900" s="4"/>
    </row>
    <row collapsed="" customFormat="false" customHeight="1" hidden="" ht="14" outlineLevel="0" r="23901">
      <c r="A23901" s="3" t="inlineStr">
        <is>
          <t>23815</t>
        </is>
      </c>
      <c r="B23901" s="4" t="s">
        <f>=HYPERLINK("http://anyluxury.ru/shop/podarochnye-nabory/nabory-s-ezhednevnikami-i-bloknotami/nabor-warm-vale-krasniy-1663450/" , "16634.50 Набор Warm Vale, красный")</f>
      </c>
      <c r="C23901" s="4" t="n">
        <v>2156.00</v>
      </c>
      <c r="D23901" s="4"/>
    </row>
    <row collapsed="" customFormat="false" customHeight="1" hidden="" ht="14" outlineLevel="0" r="23902">
      <c r="A23902" s="3" t="inlineStr">
        <is>
          <t>23816</t>
        </is>
      </c>
      <c r="B23902" s="4" t="s">
        <f>=HYPERLINK("http://anyluxury.ru/shop/podarochnye-nabory/nabory-s-ezhednevnikami-i-bloknotami/nabor-welcome-pack-chernobeliy-1622963/" , "16229.63 Набор Welcome Pack, черно-белый")</f>
      </c>
      <c r="C23902" s="4" t="n">
        <v>1752.70</v>
      </c>
      <c r="D23902" s="4"/>
    </row>
    <row collapsed="" customFormat="false" customHeight="" hidden="" ht="12.1" outlineLevel="0" r="23903">
      <c r="A23903" s="5" t="inlineStr">
        <is>
          <t> -  - Наборы с колонками</t>
        </is>
      </c>
      <c r="B23903" s="6"/>
      <c r="C23903" s="6"/>
      <c r="D23903" s="6"/>
    </row>
    <row collapsed="" customFormat="false" customHeight="1" hidden="" ht="14" outlineLevel="0" r="23904">
      <c r="A23904" s="3" t="inlineStr">
        <is>
          <t>23817</t>
        </is>
      </c>
      <c r="B23904" s="4" t="s">
        <f>=HYPERLINK("http://anyluxury.ru/shop/podarochnye-nabory/nabory-s-kolonkami/nabor-somerset-serebristiy-1306210/" , "13062.10 Набор Somerset, серебристый")</f>
      </c>
      <c r="C23904" s="4" t="n">
        <v>2998.00</v>
      </c>
      <c r="D23904" s="4"/>
    </row>
    <row collapsed="" customFormat="false" customHeight="1" hidden="" ht="14" outlineLevel="0" r="23905">
      <c r="A23905" s="3" t="inlineStr">
        <is>
          <t>23818</t>
        </is>
      </c>
      <c r="B23905" s="4" t="s">
        <f>=HYPERLINK("http://anyluxury.ru/shop/podarochnye-nabory/nabory-s-kolonkami/nabor-somerset-cherniy-1306230/" , "13062.30 Набор Somerset, черный")</f>
      </c>
      <c r="C23905" s="4" t="n">
        <v>2998.00</v>
      </c>
      <c r="D23905" s="4"/>
    </row>
    <row collapsed="" customFormat="false" customHeight="1" hidden="" ht="14" outlineLevel="0" r="23906">
      <c r="A23906" s="3" t="inlineStr">
        <is>
          <t>23819</t>
        </is>
      </c>
      <c r="B23906" s="4" t="s">
        <f>=HYPERLINK("http://anyluxury.ru/shop/podarochnye-nabory/nabory-s-kolonkami/nabor-working-energy-siniy-1399340/" , "13993.40 Набор Working Energy, синий")</f>
      </c>
      <c r="C23906" s="4" t="n">
        <v>4222.00</v>
      </c>
      <c r="D23906" s="4"/>
    </row>
    <row collapsed="" customFormat="false" customHeight="1" hidden="" ht="14" outlineLevel="0" r="23907">
      <c r="A23907" s="3" t="inlineStr">
        <is>
          <t>23820</t>
        </is>
      </c>
      <c r="B23907" s="4" t="s">
        <f>=HYPERLINK("http://anyluxury.ru/shop/podarochnye-nabory/nabory-s-kolonkami/nabor-modern-morning-1424460/" , "14244.60 Набор Modern Morning")</f>
      </c>
      <c r="C23907" s="4" t="n">
        <v>6541.00</v>
      </c>
      <c r="D23907" s="4"/>
    </row>
    <row collapsed="" customFormat="false" customHeight="" hidden="" ht="12.1" outlineLevel="0" r="23908">
      <c r="A23908" s="5" t="inlineStr">
        <is>
          <t> -  - Наборы с мультитулами</t>
        </is>
      </c>
      <c r="B23908" s="6"/>
      <c r="C23908" s="6"/>
      <c r="D23908" s="6"/>
    </row>
    <row collapsed="" customFormat="false" customHeight="1" hidden="" ht="14" outlineLevel="0" r="23909">
      <c r="A23909" s="3" t="inlineStr">
        <is>
          <t>23821</t>
        </is>
      </c>
      <c r="B23909" s="4" t="s">
        <f>=HYPERLINK("http://anyluxury.ru/shop/podarochnye-nabory/nabory-s-multitulami/nabor-handmaster-fonarik-i-multitul-serebristiy-349510/" , "3495.10 Набор Handmaster: фонарик и мультитул, серебристый")</f>
      </c>
      <c r="C23909" s="4" t="n">
        <v>1692.00</v>
      </c>
      <c r="D23909" s="4"/>
    </row>
    <row collapsed="" customFormat="false" customHeight="1" hidden="" ht="14" outlineLevel="0" r="23910">
      <c r="A23910" s="3" t="inlineStr">
        <is>
          <t>23822</t>
        </is>
      </c>
      <c r="B23910" s="4" t="s">
        <f>=HYPERLINK("http://anyluxury.ru/shop/podarochnye-nabory/nabory-s-multitulami/nabor-ster-737610/" , "7376.10 Набор Ster")</f>
      </c>
      <c r="C23910" s="4" t="n">
        <v>2890.00</v>
      </c>
      <c r="D23910" s="4"/>
    </row>
    <row collapsed="" customFormat="false" customHeight="1" hidden="" ht="14" outlineLevel="0" r="23911">
      <c r="A23911" s="3" t="inlineStr">
        <is>
          <t>23823</t>
        </is>
      </c>
      <c r="B23911" s="4" t="s">
        <f>=HYPERLINK("http://anyluxury.ru/shop/podarochnye-nabory/nabory-s-multitulami/nabor-forster-multiinstrument-fonarik-ognivo-cherniy-1309130/" , "13091.30 Набор Forster: мультиинструмент, фонарик, огниво, черный")</f>
      </c>
      <c r="C23911" s="4" t="n">
        <v>3750.00</v>
      </c>
      <c r="D23911" s="4"/>
    </row>
    <row collapsed="" customFormat="false" customHeight="1" hidden="" ht="14" outlineLevel="0" r="23912">
      <c r="A23912" s="3" t="inlineStr">
        <is>
          <t>23824</t>
        </is>
      </c>
      <c r="B23912" s="4" t="s">
        <f>=HYPERLINK("http://anyluxury.ru/shop/podarochnye-nabory/nabory-s-multitulami/nabor-gripping-serebristiy-1384710/" , "13847.10 Набор Gripping, серебристый")</f>
      </c>
      <c r="C23912" s="4" t="n">
        <v>2922.00</v>
      </c>
      <c r="D23912" s="4"/>
    </row>
    <row collapsed="" customFormat="false" customHeight="1" hidden="" ht="14" outlineLevel="0" r="23913">
      <c r="A23913" s="3" t="inlineStr">
        <is>
          <t>23825</t>
        </is>
      </c>
      <c r="B23913" s="4" t="s">
        <f>=HYPERLINK("http://anyluxury.ru/shop/podarochnye-nabory/nabory-s-multitulami/nabor-velosipedista-bikekit-maliy-zheltiy-neon-1465180/" , "14651.80 Набор велосипедиста BikeKit, малый, желтый неон")</f>
      </c>
      <c r="C23913" s="4" t="n">
        <v>937.00</v>
      </c>
      <c r="D23913" s="4"/>
    </row>
    <row collapsed="" customFormat="false" customHeight="1" hidden="" ht="14" outlineLevel="0" r="23914">
      <c r="A23914" s="3" t="inlineStr">
        <is>
          <t>23826</t>
        </is>
      </c>
      <c r="B23914" s="4" t="s">
        <f>=HYPERLINK("http://anyluxury.ru/shop/podarochnye-nabory/nabory-s-multitulami/nabor-velosipedista-bikekit-maliy-serebristiy-1465110/" , "14651.10 Набор велосипедиста BikeKit, малый, серебристый")</f>
      </c>
      <c r="C23914" s="4" t="n">
        <v>937.00</v>
      </c>
      <c r="D23914" s="4"/>
    </row>
    <row collapsed="" customFormat="false" customHeight="1" hidden="" ht="14" outlineLevel="0" r="23915">
      <c r="A23915" s="3" t="inlineStr">
        <is>
          <t>23827</t>
        </is>
      </c>
      <c r="B23915" s="4" t="s">
        <f>=HYPERLINK("http://anyluxury.ru/shop/podarochnye-nabory/nabory-s-multitulami/nabor-velosipedista-bikekit-bolshoy-cherniy-1465230/" , "14652.30 Набор велосипедиста BikeKit, большой, черный")</f>
      </c>
      <c r="C23915" s="4" t="n">
        <v>2773.00</v>
      </c>
      <c r="D23915" s="4"/>
    </row>
    <row collapsed="" customFormat="false" customHeight="1" hidden="" ht="14" outlineLevel="0" r="23916">
      <c r="A23916" s="3" t="inlineStr">
        <is>
          <t>23828</t>
        </is>
      </c>
      <c r="B23916" s="4" t="s">
        <f>=HYPERLINK("http://anyluxury.ru/shop/podarochnye-nabory/nabory-s-multitulami/nabor-velosipedista-bikekit-bolshoy-siniy-1465245/" , "14652.45 Набор велосипедиста BikeKit, большой, синий")</f>
      </c>
      <c r="C23916" s="4" t="n">
        <v>2660.00</v>
      </c>
      <c r="D23916" s="4"/>
    </row>
    <row collapsed="" customFormat="false" customHeight="" hidden="" ht="12.1" outlineLevel="0" r="23917">
      <c r="A23917" s="5" t="inlineStr">
        <is>
          <t> -  - Наборы с термокружками</t>
        </is>
      </c>
      <c r="B23917" s="6"/>
      <c r="C23917" s="6"/>
      <c r="D23917" s="6"/>
    </row>
    <row collapsed="" customFormat="false" customHeight="1" hidden="" ht="14" outlineLevel="0" r="23918">
      <c r="A23918" s="3" t="inlineStr">
        <is>
          <t>23829</t>
        </is>
      </c>
      <c r="B23918" s="4" t="s">
        <f>=HYPERLINK("http://anyluxury.ru/shop/podarochnye-nabory/nabory-s-termokruzhkami/nabor-grain-termostakan-i-kofe-beliy-339560/" , "3395.60 Набор Grain: термостакан и кофе, белый")</f>
      </c>
      <c r="C23918" s="4" t="n">
        <v>1784.00</v>
      </c>
      <c r="D23918" s="4"/>
    </row>
    <row collapsed="" customFormat="false" customHeight="1" hidden="" ht="14" outlineLevel="0" r="23919">
      <c r="A23919" s="3" t="inlineStr">
        <is>
          <t>23830</t>
        </is>
      </c>
      <c r="B23919" s="4" t="s">
        <f>=HYPERLINK("http://anyluxury.ru/shop/podarochnye-nabory/nabory-s-termokruzhkami/nabor-grain-termostakan-i-kofe-cherniy-339530/" , "3395.30 Набор Grain: термостакан и кофе, черный")</f>
      </c>
      <c r="C23919" s="4" t="n">
        <v>1784.00</v>
      </c>
      <c r="D23919" s="4"/>
    </row>
    <row collapsed="" customFormat="false" customHeight="1" hidden="" ht="14" outlineLevel="0" r="23920">
      <c r="A23920" s="3" t="inlineStr">
        <is>
          <t>23831</t>
        </is>
      </c>
      <c r="B23920" s="4" t="s">
        <f>=HYPERLINK("http://anyluxury.ru/shop/podarochnye-nabory/nabory-s-termokruzhkami/nabor-grain-termostakan-i-kofe-siniy-339540/" , "3395.40 Набор Grain: термостакан и кофе, синий")</f>
      </c>
      <c r="C23920" s="4" t="n">
        <v>1811.00</v>
      </c>
      <c r="D23920" s="4"/>
    </row>
    <row collapsed="" customFormat="false" customHeight="1" hidden="" ht="14" outlineLevel="0" r="23921">
      <c r="A23921" s="3" t="inlineStr">
        <is>
          <t>23832</t>
        </is>
      </c>
      <c r="B23921" s="4" t="s">
        <f>=HYPERLINK("http://anyluxury.ru/shop/podarochnye-nabory/nabory-s-termokruzhkami/nabor-grain-termostakan-i-kofe-krasniy-339550/" , "3395.50 Набор Grain: термостакан и кофе, красный")</f>
      </c>
      <c r="C23921" s="4" t="n">
        <v>1784.00</v>
      </c>
      <c r="D23921" s="4"/>
    </row>
    <row collapsed="" customFormat="false" customHeight="1" hidden="" ht="14" outlineLevel="0" r="23922">
      <c r="A23922" s="3" t="inlineStr">
        <is>
          <t>23833</t>
        </is>
      </c>
      <c r="B23922" s="4" t="s">
        <f>=HYPERLINK("http://anyluxury.ru/shop/podarochnye-nabory/nabory-s-termokruzhkami/nabor-grain-termostakan-i-kofe-zeleniy-339590/" , "3395.90 Набор Grain: термостакан и кофе, зеленый")</f>
      </c>
      <c r="C23922" s="4" t="n">
        <v>1784.00</v>
      </c>
      <c r="D23922" s="4"/>
    </row>
    <row collapsed="" customFormat="false" customHeight="1" hidden="" ht="14" outlineLevel="0" r="23923">
      <c r="A23923" s="3" t="inlineStr">
        <is>
          <t>23834</t>
        </is>
      </c>
      <c r="B23923" s="4" t="s">
        <f>=HYPERLINK("http://anyluxury.ru/shop/podarochnye-nabory/nabory-s-termokruzhkami/nabor-grain-termostakan-i-kofe-kraft-339500/" , "3395.00 Набор Grain: термостакан и кофе, крафт")</f>
      </c>
      <c r="C23923" s="4" t="n">
        <v>1784.00</v>
      </c>
      <c r="D23923" s="4"/>
    </row>
    <row collapsed="" customFormat="false" customHeight="1" hidden="" ht="14" outlineLevel="0" r="23924">
      <c r="A23924" s="3" t="inlineStr">
        <is>
          <t>23835</t>
        </is>
      </c>
      <c r="B23924" s="4" t="s">
        <f>=HYPERLINK("http://anyluxury.ru/shop/podarochnye-nabory/nabory-s-termokruzhkami/nabor-tonus-termostakan-i-kofe-cherniy-795130/" , "7951.30 Набор Tonus: термостакан и кофе, черный")</f>
      </c>
      <c r="C23924" s="4" t="n">
        <v>2591.00</v>
      </c>
      <c r="D23924" s="4"/>
    </row>
    <row collapsed="" customFormat="false" customHeight="1" hidden="" ht="14" outlineLevel="0" r="23925">
      <c r="A23925" s="3" t="inlineStr">
        <is>
          <t>23836</t>
        </is>
      </c>
      <c r="B23925" s="4" t="s">
        <f>=HYPERLINK("http://anyluxury.ru/shop/podarochnye-nabory/nabory-s-termokruzhkami/nabor-warmer-brothers-krasniy-1012050/" , "10120.50 Набор Warmer Brothers, красный")</f>
      </c>
      <c r="C23925" s="4" t="n">
        <v>3735.00</v>
      </c>
      <c r="D23925" s="4"/>
    </row>
    <row collapsed="" customFormat="false" customHeight="1" hidden="" ht="14" outlineLevel="0" r="23926">
      <c r="A23926" s="3" t="inlineStr">
        <is>
          <t>23837</t>
        </is>
      </c>
      <c r="B23926" s="4" t="s">
        <f>=HYPERLINK("http://anyluxury.ru/shop/podarochnye-nabory/nabory-s-termokruzhkami/nabor-formation-cherniy-1038030/" , "10380.30 Набор Formation, черный")</f>
      </c>
      <c r="C23926" s="4" t="n">
        <v>3117.00</v>
      </c>
      <c r="D23926" s="4"/>
    </row>
    <row collapsed="" customFormat="false" customHeight="1" hidden="" ht="14" outlineLevel="0" r="23927">
      <c r="A23927" s="3" t="inlineStr">
        <is>
          <t>23838</t>
        </is>
      </c>
      <c r="B23927" s="4" t="s">
        <f>=HYPERLINK("http://anyluxury.ru/shop/podarochnye-nabory/nabory-s-termokruzhkami/nabor-taiga-siniy-1088540/" , "10885.40 Набор Taiga, синий")</f>
      </c>
      <c r="C23927" s="4" t="n">
        <v>1055.00</v>
      </c>
      <c r="D23927" s="4"/>
    </row>
    <row collapsed="" customFormat="false" customHeight="1" hidden="" ht="14" outlineLevel="0" r="23928">
      <c r="A23928" s="3" t="inlineStr">
        <is>
          <t>23839</t>
        </is>
      </c>
      <c r="B23928" s="4" t="s">
        <f>=HYPERLINK("http://anyluxury.ru/shop/podarochnye-nabory/nabory-s-termokruzhkami/nabor-taiga-beliy-1088560/" , "10885.60 Набор Taiga, белый")</f>
      </c>
      <c r="C23928" s="4" t="n">
        <v>1028.10</v>
      </c>
      <c r="D23928" s="4"/>
    </row>
    <row collapsed="" customFormat="false" customHeight="1" hidden="" ht="14" outlineLevel="0" r="23929">
      <c r="A23929" s="3" t="inlineStr">
        <is>
          <t>23840</t>
        </is>
      </c>
      <c r="B23929" s="4" t="s">
        <f>=HYPERLINK("http://anyluxury.ru/shop/podarochnye-nabory/nabory-s-termokruzhkami/nabor-foresight-cherniy-1091830/" , "10918.30 Набор Foresight, черный")</f>
      </c>
      <c r="C23929" s="4" t="n">
        <v>1373.00</v>
      </c>
      <c r="D23929" s="4"/>
    </row>
    <row collapsed="" customFormat="false" customHeight="1" hidden="" ht="14" outlineLevel="0" r="23930">
      <c r="A23930" s="3" t="inlineStr">
        <is>
          <t>23841</t>
        </is>
      </c>
      <c r="B23930" s="4" t="s">
        <f>=HYPERLINK("http://anyluxury.ru/shop/podarochnye-nabory/nabory-s-termokruzhkami/nabor-foresight-beliy-1091860/" , "10918.60 Набор Foresight, белый")</f>
      </c>
      <c r="C23930" s="4" t="n">
        <v>1373.00</v>
      </c>
      <c r="D23930" s="4"/>
    </row>
    <row collapsed="" customFormat="false" customHeight="1" hidden="" ht="14" outlineLevel="0" r="23931">
      <c r="A23931" s="3" t="inlineStr">
        <is>
          <t>23842</t>
        </is>
      </c>
      <c r="B23931" s="4" t="s">
        <f>=HYPERLINK("http://anyluxury.ru/shop/podarochnye-nabory/nabory-s-termokruzhkami/nabor-everclear-s-sanitayzerom-cherniy-6803030/" , "68030.30 Набор Everclear с санитайзером, черный, размер М")</f>
      </c>
      <c r="C23931" s="4" t="n">
        <v>1000.00</v>
      </c>
      <c r="D23931" s="4"/>
    </row>
    <row collapsed="" customFormat="false" customHeight="1" hidden="" ht="14" outlineLevel="0" r="23932">
      <c r="A23932" s="3" t="inlineStr">
        <is>
          <t>23843</t>
        </is>
      </c>
      <c r="B23932" s="4" t="s">
        <f>=HYPERLINK("http://anyluxury.ru/shop/podarochnye-nabory/nabory-s-termokruzhkami/nabor-everclear-s-sanitayzerom-cherniy-6803030/" , "68030.30 Набор Everclear с санитайзером, черный, размер L")</f>
      </c>
      <c r="C23932" s="4" t="n">
        <v>1000.00</v>
      </c>
      <c r="D23932" s="4"/>
    </row>
    <row collapsed="" customFormat="false" customHeight="1" hidden="" ht="14" outlineLevel="0" r="23933">
      <c r="A23933" s="3" t="inlineStr">
        <is>
          <t>23844</t>
        </is>
      </c>
      <c r="B23933" s="4" t="s">
        <f>=HYPERLINK("http://anyluxury.ru/shop/podarochnye-nabory/nabory-s-termokruzhkami/nabor-posh-nosh-siniy-1325940/" , "13259.40 Набор Posh Nosh, синий")</f>
      </c>
      <c r="C23933" s="4" t="n">
        <v>2211.00</v>
      </c>
      <c r="D23933" s="4"/>
    </row>
    <row collapsed="" customFormat="false" customHeight="1" hidden="" ht="14" outlineLevel="0" r="23934">
      <c r="A23934" s="3" t="inlineStr">
        <is>
          <t>23845</t>
        </is>
      </c>
      <c r="B23934" s="4" t="s">
        <f>=HYPERLINK("http://anyluxury.ru/shop/podarochnye-nabory/nabory-s-termokruzhkami/nabor-posh-nosh-krasniy-1325950/" , "13259.50 Набор Posh Nosh, красный")</f>
      </c>
      <c r="C23934" s="4" t="n">
        <v>2211.00</v>
      </c>
      <c r="D23934" s="4"/>
    </row>
    <row collapsed="" customFormat="false" customHeight="1" hidden="" ht="14" outlineLevel="0" r="23935">
      <c r="A23935" s="3" t="inlineStr">
        <is>
          <t>23846</t>
        </is>
      </c>
      <c r="B23935" s="4" t="s">
        <f>=HYPERLINK("http://anyluxury.ru/shop/podarochnye-nabory/nabory-s-termokruzhkami/nabor-commute-seriy-1358610/" , "13586.10 Набор Commute, серый")</f>
      </c>
      <c r="C23935" s="4" t="n">
        <v>8783.00</v>
      </c>
      <c r="D23935" s="4"/>
    </row>
    <row collapsed="" customFormat="false" customHeight="1" hidden="" ht="14" outlineLevel="0" r="23936">
      <c r="A23936" s="3" t="inlineStr">
        <is>
          <t>23847</t>
        </is>
      </c>
      <c r="B23936" s="4" t="s">
        <f>=HYPERLINK("http://anyluxury.ru/shop/podarochnye-nabory/nabory-s-termokruzhkami/nabor-forest-hunter-krasniy-1331450/" , "13314.50 Набор Forest Hunter, красный")</f>
      </c>
      <c r="C23936" s="4" t="n">
        <v>2404.00</v>
      </c>
      <c r="D23936" s="4"/>
    </row>
    <row collapsed="" customFormat="false" customHeight="1" hidden="" ht="14" outlineLevel="0" r="23937">
      <c r="A23937" s="3" t="inlineStr">
        <is>
          <t>23848</t>
        </is>
      </c>
      <c r="B23937" s="4" t="s">
        <f>=HYPERLINK("http://anyluxury.ru/shop/podarochnye-nabory/nabory-s-termokruzhkami/nabor-forest-hunter-cherniy-1331430/" , "13314.30 Набор Forest Hunter, черный")</f>
      </c>
      <c r="C23937" s="4" t="n">
        <v>2404.00</v>
      </c>
      <c r="D23937" s="4"/>
    </row>
    <row collapsed="" customFormat="false" customHeight="1" hidden="" ht="14" outlineLevel="0" r="23938">
      <c r="A23938" s="3" t="inlineStr">
        <is>
          <t>23849</t>
        </is>
      </c>
      <c r="B23938" s="4" t="s">
        <f>=HYPERLINK("http://anyluxury.ru/shop/podarochnye-nabory/nabory-s-termokruzhkami/nabor-forest-hunter-siniy-1331440/" , "13314.40 Набор Forest Hunter, синий")</f>
      </c>
      <c r="C23938" s="4" t="n">
        <v>2404.00</v>
      </c>
      <c r="D23938" s="4"/>
    </row>
    <row collapsed="" customFormat="false" customHeight="1" hidden="" ht="14" outlineLevel="0" r="23939">
      <c r="A23939" s="3" t="inlineStr">
        <is>
          <t>23850</t>
        </is>
      </c>
      <c r="B23939" s="4" t="s">
        <f>=HYPERLINK("http://anyluxury.ru/shop/podarochnye-nabory/nabory-s-termokruzhkami/nabor-forest-hunter-cherniy-s-belim-1331436/" , "13314.36 Набор Forest Hunter, черный с белым")</f>
      </c>
      <c r="C23939" s="4" t="n">
        <v>2404.00</v>
      </c>
      <c r="D23939" s="4"/>
    </row>
    <row collapsed="" customFormat="false" customHeight="1" hidden="" ht="14" outlineLevel="0" r="23940">
      <c r="A23940" s="3" t="inlineStr">
        <is>
          <t>23851</t>
        </is>
      </c>
      <c r="B23940" s="4" t="s">
        <f>=HYPERLINK("http://anyluxury.ru/shop/podarochnye-nabory/nabory-s-termokruzhkami/nabor-trackpack-1407310/" , "14073.10 Набор Trackpack")</f>
      </c>
      <c r="C23940" s="4" t="n">
        <v>3945.00</v>
      </c>
      <c r="D23940" s="4"/>
    </row>
    <row collapsed="" customFormat="false" customHeight="1" hidden="" ht="14" outlineLevel="0" r="23941">
      <c r="A23941" s="3" t="inlineStr">
        <is>
          <t>23852</t>
        </is>
      </c>
      <c r="B23941" s="4" t="s">
        <f>=HYPERLINK("http://anyluxury.ru/shop/podarochnye-nabory/nabory-s-termokruzhkami/nabor-working-energy-cherniy-1399330/" , "13993.30 Набор Working Energy, черный")</f>
      </c>
      <c r="C23941" s="4" t="n">
        <v>4222.00</v>
      </c>
      <c r="D23941" s="4"/>
    </row>
    <row collapsed="" customFormat="false" customHeight="1" hidden="" ht="14" outlineLevel="0" r="23942">
      <c r="A23942" s="3" t="inlineStr">
        <is>
          <t>23853</t>
        </is>
      </c>
      <c r="B23942" s="4" t="s">
        <f>=HYPERLINK("http://anyluxury.ru/shop/podarochnye-nabory/nabory-s-termokruzhkami/nabor-season-siniy-1404840/" , "14048.40 Набор Season, синий")</f>
      </c>
      <c r="C23942" s="4" t="n">
        <v>3372.00</v>
      </c>
      <c r="D23942" s="4"/>
    </row>
    <row collapsed="" customFormat="false" customHeight="1" hidden="" ht="14" outlineLevel="0" r="23943">
      <c r="A23943" s="3" t="inlineStr">
        <is>
          <t>23854</t>
        </is>
      </c>
      <c r="B23943" s="4" t="s">
        <f>=HYPERLINK("http://anyluxury.ru/shop/podarochnye-nabory/nabory-s-termokruzhkami/nabor-monsoon-club-seriy-1391010/" , "13910.10 Набор Monsoon Club, серый")</f>
      </c>
      <c r="C23943" s="4" t="n">
        <v>4030.00</v>
      </c>
      <c r="D23943" s="4"/>
    </row>
    <row collapsed="" customFormat="false" customHeight="1" hidden="" ht="14" outlineLevel="0" r="23944">
      <c r="A23944" s="3" t="inlineStr">
        <is>
          <t>23855</t>
        </is>
      </c>
      <c r="B23944" s="4" t="s">
        <f>=HYPERLINK("http://anyluxury.ru/shop/podarochnye-nabory/nabory-s-termokruzhkami/nabor-monsoon-club-cherniy-1391030/" , "13910.30 Набор Monsoon Club, черный")</f>
      </c>
      <c r="C23944" s="4" t="n">
        <v>4030.00</v>
      </c>
      <c r="D23944" s="4"/>
    </row>
    <row collapsed="" customFormat="false" customHeight="1" hidden="" ht="14" outlineLevel="0" r="23945">
      <c r="A23945" s="3" t="inlineStr">
        <is>
          <t>23856</t>
        </is>
      </c>
      <c r="B23945" s="4" t="s">
        <f>=HYPERLINK("http://anyluxury.ru/shop/podarochnye-nabory/nabory-s-termokruzhkami/nabor-monsoon-club-temnosiniy-1391040/" , "13910.40 Набор Monsoon Club, темно-синий")</f>
      </c>
      <c r="C23945" s="4" t="n">
        <v>4030.00</v>
      </c>
      <c r="D23945" s="4"/>
    </row>
    <row collapsed="" customFormat="false" customHeight="1" hidden="" ht="14" outlineLevel="0" r="23946">
      <c r="A23946" s="3" t="inlineStr">
        <is>
          <t>23857</t>
        </is>
      </c>
      <c r="B23946" s="4" t="s">
        <f>=HYPERLINK("http://anyluxury.ru/shop/podarochnye-nabory/nabory-s-termokruzhkami/nabor-formation-light-cherniy-1466630/" , "14666.30 Набор Formation Light, черный")</f>
      </c>
      <c r="C23946" s="4" t="n">
        <v>3517.00</v>
      </c>
      <c r="D23946" s="4"/>
    </row>
    <row collapsed="" customFormat="false" customHeight="1" hidden="" ht="14" outlineLevel="0" r="23947">
      <c r="A23947" s="3" t="inlineStr">
        <is>
          <t>23858</t>
        </is>
      </c>
      <c r="B23947" s="4" t="s">
        <f>=HYPERLINK("http://anyluxury.ru/shop/podarochnye-nabory/nabory-s-termokruzhkami/nabor-formation-krasniy-s-chernim-1038053/" , "10380.53 Набор Formation, красный")</f>
      </c>
      <c r="C23947" s="4" t="n">
        <v>3117.00</v>
      </c>
      <c r="D23947" s="4"/>
    </row>
    <row collapsed="" customFormat="false" customHeight="1" hidden="" ht="14" outlineLevel="0" r="23948">
      <c r="A23948" s="3" t="inlineStr">
        <is>
          <t>23859</t>
        </is>
      </c>
      <c r="B23948" s="4" t="s">
        <f>=HYPERLINK("http://anyluxury.ru/shop/podarochnye-nabory/nabory-s-termokruzhkami/nabor-warm-walk-zeleniy-1404990/" , "14049.90 Набор Warm Walk, зеленый")</f>
      </c>
      <c r="C23948" s="4" t="n">
        <v>4857.00</v>
      </c>
      <c r="D23948" s="4"/>
    </row>
    <row collapsed="" customFormat="false" customHeight="1" hidden="" ht="14" outlineLevel="0" r="23949">
      <c r="A23949" s="3" t="inlineStr">
        <is>
          <t>23860</t>
        </is>
      </c>
      <c r="B23949" s="4" t="s">
        <f>=HYPERLINK("http://anyluxury.ru/shop/podarochnye-nabory/nabory-s-termokruzhkami/nabor-proforma-krasniy-1540450/" , "15404.50 Набор Proforma, красный")</f>
      </c>
      <c r="C23949" s="4" t="n">
        <v>2303.00</v>
      </c>
      <c r="D23949" s="4"/>
    </row>
    <row collapsed="" customFormat="false" customHeight="1" hidden="" ht="14" outlineLevel="0" r="23950">
      <c r="A23950" s="3" t="inlineStr">
        <is>
          <t>23861</t>
        </is>
      </c>
      <c r="B23950" s="4" t="s">
        <f>=HYPERLINK("http://anyluxury.ru/shop/podarochnye-nabory/nabory-s-termokruzhkami/nabor-proforma-oranzheviy-1540420/" , "15404.20 Набор Proforma, оранжевый")</f>
      </c>
      <c r="C23950" s="4" t="n">
        <v>2303.00</v>
      </c>
      <c r="D23950" s="4"/>
    </row>
    <row collapsed="" customFormat="false" customHeight="1" hidden="" ht="14" outlineLevel="0" r="23951">
      <c r="A23951" s="3" t="inlineStr">
        <is>
          <t>23862</t>
        </is>
      </c>
      <c r="B23951" s="4" t="s">
        <f>=HYPERLINK("http://anyluxury.ru/shop/podarochnye-nabory/nabory-s-termokruzhkami/nabor-proforma-temnosiniy-1540444/" , "15404.44 Набор Proforma, темно-синий")</f>
      </c>
      <c r="C23951" s="4" t="n">
        <v>2243.00</v>
      </c>
      <c r="D23951" s="4"/>
    </row>
    <row collapsed="" customFormat="false" customHeight="1" hidden="" ht="14" outlineLevel="0" r="23952">
      <c r="A23952" s="3" t="inlineStr">
        <is>
          <t>23863</t>
        </is>
      </c>
      <c r="B23952" s="4" t="s">
        <f>=HYPERLINK("http://anyluxury.ru/shop/podarochnye-nabory/nabory-s-termokruzhkami/nabor-proforma-cherniy-1540430/" , "15404.30 Набор Proforma, черный")</f>
      </c>
      <c r="C23952" s="4" t="n">
        <v>2303.00</v>
      </c>
      <c r="D23952" s="4"/>
    </row>
    <row collapsed="" customFormat="false" customHeight="1" hidden="" ht="14" outlineLevel="0" r="23953">
      <c r="A23953" s="3" t="inlineStr">
        <is>
          <t>23864</t>
        </is>
      </c>
      <c r="B23953" s="4" t="s">
        <f>=HYPERLINK("http://anyluxury.ru/shop/podarochnye-nabory/nabory-s-termokruzhkami/nabor-polyarnik-19329/" , "19329 Набор «Полярник»")</f>
      </c>
      <c r="C23953" s="4" t="n">
        <v>2951.00</v>
      </c>
      <c r="D23953" s="4"/>
    </row>
    <row collapsed="" customFormat="false" customHeight="1" hidden="" ht="14" outlineLevel="0" r="23954">
      <c r="A23954" s="3" t="inlineStr">
        <is>
          <t>23865</t>
        </is>
      </c>
      <c r="B23954" s="4" t="s">
        <f>=HYPERLINK("http://anyluxury.ru/shop/podarochnye-nabory/nabory-s-termokruzhkami/nabor-zima-v-ladoshke-cherniy-s-krasnim-1916135/" , "19161.35 Набор «Зима в ладошке», черный с красным")</f>
      </c>
      <c r="C23954" s="4" t="n">
        <v>2265.00</v>
      </c>
      <c r="D23954" s="4"/>
    </row>
    <row collapsed="" customFormat="false" customHeight="" hidden="" ht="12.1" outlineLevel="0" r="23955">
      <c r="A23955" s="5" t="inlineStr">
        <is>
          <t> -  - Наборы с флешками</t>
        </is>
      </c>
      <c r="B23955" s="6"/>
      <c r="C23955" s="6"/>
      <c r="D23955" s="6"/>
    </row>
    <row collapsed="" customFormat="false" customHeight="1" hidden="" ht="14" outlineLevel="0" r="23956">
      <c r="A23956" s="3" t="inlineStr">
        <is>
          <t>23866</t>
        </is>
      </c>
      <c r="B23956" s="4" t="s">
        <f>=HYPERLINK("http://anyluxury.ru/shop/podarochnye-nabory/nabory-s-fleshkami/nabor-notes-ruchka-i-fleshka-8-gb-zeleniy-313590/" , "3135.90 Набор Notes: ручка и флешка 8 Гб, зеленый")</f>
      </c>
      <c r="C23956" s="4" t="n">
        <v>781.00</v>
      </c>
      <c r="D23956" s="4"/>
    </row>
    <row collapsed="" customFormat="false" customHeight="1" hidden="" ht="14" outlineLevel="0" r="23957">
      <c r="A23957" s="3" t="inlineStr">
        <is>
          <t>23867</t>
        </is>
      </c>
      <c r="B23957" s="4" t="s">
        <f>=HYPERLINK("http://anyluxury.ru/shop/podarochnye-nabory/nabory-s-fleshkami/nabor-notes-ruchka-i-fleshka-8-gb-krasniy-313550/" , "3135.50 Набор Notes: ручка и флешка 8 Гб, красный")</f>
      </c>
      <c r="C23957" s="4" t="n">
        <v>781.00</v>
      </c>
      <c r="D23957" s="4"/>
    </row>
    <row collapsed="" customFormat="false" customHeight="1" hidden="" ht="14" outlineLevel="0" r="23958">
      <c r="A23958" s="3" t="inlineStr">
        <is>
          <t>23868</t>
        </is>
      </c>
      <c r="B23958" s="4" t="s">
        <f>=HYPERLINK("http://anyluxury.ru/shop/podarochnye-nabory/nabory-s-fleshkami/nabor-notes-ruchka-i-fleshka-16-gb-krasniy-313556/" , "3135.56 Набор Notes: ручка и флешка 16 Гб, красный")</f>
      </c>
      <c r="C23958" s="4" t="n">
        <v>891.00</v>
      </c>
      <c r="D23958" s="4"/>
    </row>
    <row collapsed="" customFormat="false" customHeight="1" hidden="" ht="14" outlineLevel="0" r="23959">
      <c r="A23959" s="3" t="inlineStr">
        <is>
          <t>23869</t>
        </is>
      </c>
      <c r="B23959" s="4" t="s">
        <f>=HYPERLINK("http://anyluxury.ru/shop/podarochnye-nabory/nabory-s-fleshkami/nabor-hand-hunter-give-8-gb-cherniy-722030/" , "7220.30 Набор Hand Hunter Give, 8 Гб, черный")</f>
      </c>
      <c r="C23959" s="4" t="n">
        <v>1133.00</v>
      </c>
      <c r="D23959" s="4"/>
    </row>
    <row collapsed="" customFormat="false" customHeight="1" hidden="" ht="14" outlineLevel="0" r="23960">
      <c r="A23960" s="3" t="inlineStr">
        <is>
          <t>23870</t>
        </is>
      </c>
      <c r="B23960" s="4" t="s">
        <f>=HYPERLINK("http://anyluxury.ru/shop/podarochnye-nabory/nabory-s-fleshkami/nabor-hand-hunter-bring-8-gb-beliy-722260/" , "7222.60 Набор Hand Hunter Bring, 8 Гб, белый")</f>
      </c>
      <c r="C23960" s="4" t="n">
        <v>2603.00</v>
      </c>
      <c r="D23960" s="4"/>
    </row>
    <row collapsed="" customFormat="false" customHeight="1" hidden="" ht="14" outlineLevel="0" r="23961">
      <c r="A23961" s="3" t="inlineStr">
        <is>
          <t>23871</t>
        </is>
      </c>
      <c r="B23961" s="4" t="s">
        <f>=HYPERLINK("http://anyluxury.ru/shop/podarochnye-nabory/nabory-s-fleshkami/nabor-hand-hunter-put-8-gb-beliy-754260/" , "7542.60 Набор Hand Hunter Put, 8 Гб, белый")</f>
      </c>
      <c r="C23961" s="4" t="n">
        <v>2321.00</v>
      </c>
      <c r="D23961" s="4"/>
    </row>
    <row collapsed="" customFormat="false" customHeight="1" hidden="" ht="14" outlineLevel="0" r="23962">
      <c r="A23962" s="3" t="inlineStr">
        <is>
          <t>23872</t>
        </is>
      </c>
      <c r="B23962" s="4" t="s">
        <f>=HYPERLINK("http://anyluxury.ru/shop/podarochnye-nabory/nabory-s-fleshkami/nabor-hand-hunter-give-16-gb-cherniy-722036/" , "7220.36 Набор Hand Hunter Give, 16 Гб, черный")</f>
      </c>
      <c r="C23962" s="4" t="n">
        <v>1203.00</v>
      </c>
      <c r="D23962" s="4"/>
    </row>
    <row collapsed="" customFormat="false" customHeight="1" hidden="" ht="14" outlineLevel="0" r="23963">
      <c r="A23963" s="3" t="inlineStr">
        <is>
          <t>23873</t>
        </is>
      </c>
      <c r="B23963" s="4" t="s">
        <f>=HYPERLINK("http://anyluxury.ru/shop/podarochnye-nabory/nabory-s-fleshkami/nabor-twist-classic-oranzheviy-8-gb-7609208gb/" , "7609.20.8Гб Набор Twist Classic, оранжевый, 8 Гб")</f>
      </c>
      <c r="C23963" s="4" t="n">
        <v>980.50</v>
      </c>
      <c r="D23963" s="4"/>
    </row>
    <row collapsed="" customFormat="false" customHeight="1" hidden="" ht="14" outlineLevel="0" r="23964">
      <c r="A23964" s="3" t="inlineStr">
        <is>
          <t>23874</t>
        </is>
      </c>
      <c r="B23964" s="4" t="s">
        <f>=HYPERLINK("http://anyluxury.ru/shop/podarochnye-nabory/nabory-s-fleshkami/nabor-twist-classic-cherniy-8-gb-7609308gb/" , "7609.30.8Гб Набор Twist Classic, черный, 8 Гб")</f>
      </c>
      <c r="C23964" s="4" t="n">
        <v>980.50</v>
      </c>
      <c r="D23964" s="4"/>
    </row>
    <row collapsed="" customFormat="false" customHeight="1" hidden="" ht="14" outlineLevel="0" r="23965">
      <c r="A23965" s="3" t="inlineStr">
        <is>
          <t>23875</t>
        </is>
      </c>
      <c r="B23965" s="4" t="s">
        <f>=HYPERLINK("http://anyluxury.ru/shop/podarochnye-nabory/nabory-s-fleshkami/nabor-twist-classic-siniy-8-gb-7609408gb/" , "7609.40.8Гб Набор Twist Classic, синий, 8 Гб")</f>
      </c>
      <c r="C23965" s="4" t="n">
        <v>980.50</v>
      </c>
      <c r="D23965" s="4"/>
    </row>
    <row collapsed="" customFormat="false" customHeight="1" hidden="" ht="14" outlineLevel="0" r="23966">
      <c r="A23966" s="3" t="inlineStr">
        <is>
          <t>23876</t>
        </is>
      </c>
      <c r="B23966" s="4" t="s">
        <f>=HYPERLINK("http://anyluxury.ru/shop/podarochnye-nabory/nabory-s-fleshkami/nabor-twist-classic-krasniy-8-gb-7609508gb/" , "7609.50.8Гб Набор Twist Classic, красный, 8 Гб")</f>
      </c>
      <c r="C23966" s="4" t="n">
        <v>980.50</v>
      </c>
      <c r="D23966" s="4"/>
    </row>
    <row collapsed="" customFormat="false" customHeight="1" hidden="" ht="14" outlineLevel="0" r="23967">
      <c r="A23967" s="3" t="inlineStr">
        <is>
          <t>23877</t>
        </is>
      </c>
      <c r="B23967" s="4" t="s">
        <f>=HYPERLINK("http://anyluxury.ru/shop/podarochnye-nabory/nabory-s-fleshkami/nabor-twist-classic-oranzheviy-16-gb-76092016gb/" , "7609.20.16Гб Набор Twist Classic, оранжевый, 16 Гб")</f>
      </c>
      <c r="C23967" s="4" t="n">
        <v>1090.50</v>
      </c>
      <c r="D23967" s="4"/>
    </row>
    <row collapsed="" customFormat="false" customHeight="1" hidden="" ht="14" outlineLevel="0" r="23968">
      <c r="A23968" s="3" t="inlineStr">
        <is>
          <t>23878</t>
        </is>
      </c>
      <c r="B23968" s="4" t="s">
        <f>=HYPERLINK("http://anyluxury.ru/shop/podarochnye-nabory/nabory-s-fleshkami/nabor-twist-classic-cherniy-16-gb-76093016gb/" , "7609.30.16Гб Набор Twist Classic, черный, 16 Гб")</f>
      </c>
      <c r="C23968" s="4" t="n">
        <v>1090.50</v>
      </c>
      <c r="D23968" s="4"/>
    </row>
    <row collapsed="" customFormat="false" customHeight="1" hidden="" ht="14" outlineLevel="0" r="23969">
      <c r="A23969" s="3" t="inlineStr">
        <is>
          <t>23879</t>
        </is>
      </c>
      <c r="B23969" s="4" t="s">
        <f>=HYPERLINK("http://anyluxury.ru/shop/podarochnye-nabory/nabory-s-fleshkami/nabor-twist-classic-siniy-16-gb-76094016gb/" , "7609.40.16Гб Набор Twist Classic, синий, 16 Гб")</f>
      </c>
      <c r="C23969" s="4" t="n">
        <v>1090.50</v>
      </c>
      <c r="D23969" s="4"/>
    </row>
    <row collapsed="" customFormat="false" customHeight="1" hidden="" ht="14" outlineLevel="0" r="23970">
      <c r="A23970" s="3" t="inlineStr">
        <is>
          <t>23880</t>
        </is>
      </c>
      <c r="B23970" s="4" t="s">
        <f>=HYPERLINK("http://anyluxury.ru/shop/podarochnye-nabory/nabory-s-fleshkami/nabor-twist-classic-krasniy-16-gb-76095016gb/" , "7609.50.16Гб Набор Twist Classic, красный, 16 Гб")</f>
      </c>
      <c r="C23970" s="4" t="n">
        <v>1090.50</v>
      </c>
      <c r="D23970" s="4"/>
    </row>
    <row collapsed="" customFormat="false" customHeight="1" hidden="" ht="14" outlineLevel="0" r="23971">
      <c r="A23971" s="3" t="inlineStr">
        <is>
          <t>23881</t>
        </is>
      </c>
      <c r="B23971" s="4" t="s">
        <f>=HYPERLINK("http://anyluxury.ru/shop/podarochnye-nabory/nabory-s-fleshkami/nabor-addendum-zeleniy-1788690/" , "17886.90 Набор Addendum, зеленый")</f>
      </c>
      <c r="C23971" s="4" t="n">
        <v>1238.00</v>
      </c>
      <c r="D23971" s="4"/>
    </row>
    <row collapsed="" customFormat="false" customHeight="1" hidden="" ht="14" outlineLevel="0" r="23972">
      <c r="A23972" s="3" t="inlineStr">
        <is>
          <t>23882</t>
        </is>
      </c>
      <c r="B23972" s="4" t="s">
        <f>=HYPERLINK("http://anyluxury.ru/shop/podarochnye-nabory/nabory-s-fleshkami/nabor-hand-hunter-put-8-gb-siniy-s-belim-754241/" , "7542.41 Набор Hand Hunter Put, 8 Гб, синий с белым")</f>
      </c>
      <c r="C23972" s="4" t="n">
        <v>2321.00</v>
      </c>
      <c r="D23972" s="4"/>
    </row>
    <row collapsed="" customFormat="false" customHeight="1" hidden="" ht="14" outlineLevel="0" r="23973">
      <c r="A23973" s="3" t="inlineStr">
        <is>
          <t>23883</t>
        </is>
      </c>
      <c r="B23973" s="4" t="s">
        <f>=HYPERLINK("http://anyluxury.ru/shop/podarochnye-nabory/nabory-s-fleshkami/nabor-hand-hunter-put-16-gb-siniy-s-belim-754264/" , "7542.64 Набор Hand Hunter Put, 16 Гб, синий с белым")</f>
      </c>
      <c r="C23973" s="4" t="n">
        <v>2391.00</v>
      </c>
      <c r="D23973" s="4"/>
    </row>
    <row collapsed="" customFormat="false" customHeight="1" hidden="" ht="14" outlineLevel="0" r="23974">
      <c r="A23974" s="3" t="inlineStr">
        <is>
          <t>23884</t>
        </is>
      </c>
      <c r="B23974" s="4" t="s">
        <f>=HYPERLINK("http://anyluxury.ru/shop/podarochnye-nabory/nabory-s-fleshkami/nabor-wood-mood-16-gb-1307401/" , "13074.01 Набор Wood Mood, 16 Гб")</f>
      </c>
      <c r="C23974" s="4" t="n">
        <v>834.80</v>
      </c>
      <c r="D23974" s="4"/>
    </row>
    <row collapsed="" customFormat="false" customHeight="1" hidden="" ht="14" outlineLevel="0" r="23975">
      <c r="A23975" s="3" t="inlineStr">
        <is>
          <t>23885</t>
        </is>
      </c>
      <c r="B23975" s="4" t="s">
        <f>=HYPERLINK("http://anyluxury.ru/shop/podarochnye-nabory/nabory-s-fleshkami/nabor-silveren-cherniy-ucenka-1430231/" , "14302.31 Набор Silveren, черный")</f>
      </c>
      <c r="C23975" s="4" t="n">
        <v>1111.00</v>
      </c>
      <c r="D23975" s="4"/>
    </row>
    <row collapsed="" customFormat="false" customHeight="1" hidden="" ht="14" outlineLevel="0" r="23976">
      <c r="A23976" s="3" t="inlineStr">
        <is>
          <t>23886</t>
        </is>
      </c>
      <c r="B23976" s="4" t="s">
        <f>=HYPERLINK("http://anyluxury.ru/shop/podarochnye-nabory/nabory-s-fleshkami/nabor-collab-seriy-1525011/" , "15250.11 Набор Collab, серый")</f>
      </c>
      <c r="C23976" s="4" t="n">
        <v>1246.00</v>
      </c>
      <c r="D23976" s="4"/>
    </row>
    <row collapsed="" customFormat="false" customHeight="1" hidden="" ht="14" outlineLevel="0" r="23977">
      <c r="A23977" s="3" t="inlineStr">
        <is>
          <t>23887</t>
        </is>
      </c>
      <c r="B23977" s="4" t="s">
        <f>=HYPERLINK("http://anyluxury.ru/shop/podarochnye-nabory/nabory-s-fleshkami/nabor-memorable-cherniy-1525130/" , "15251.30 Набор Memorable, черный")</f>
      </c>
      <c r="C23977" s="4" t="n">
        <v>1246.00</v>
      </c>
      <c r="D23977" s="4"/>
    </row>
    <row collapsed="" customFormat="false" customHeight="1" hidden="" ht="14" outlineLevel="0" r="23978">
      <c r="A23978" s="3" t="inlineStr">
        <is>
          <t>23888</t>
        </is>
      </c>
      <c r="B23978" s="4" t="s">
        <f>=HYPERLINK("http://anyluxury.ru/shop/podarochnye-nabory/nabory-s-fleshkami/nabor-memorable-zeleniy-1525190/" , "15251.90 Набор Memorable, зеленый")</f>
      </c>
      <c r="C23978" s="4" t="n">
        <v>1246.00</v>
      </c>
      <c r="D23978" s="4"/>
    </row>
    <row collapsed="" customFormat="false" customHeight="1" hidden="" ht="14" outlineLevel="0" r="23979">
      <c r="A23979" s="3" t="inlineStr">
        <is>
          <t>23889</t>
        </is>
      </c>
      <c r="B23979" s="4" t="s">
        <f>=HYPERLINK("http://anyluxury.ru/shop/podarochnye-nabory/nabory-s-fleshkami/nabor-idea-memory-oranzheviy-1563620/" , "15636.20 Набор Idea Memory, оранжевый")</f>
      </c>
      <c r="C23979" s="4" t="n">
        <v>1410.50</v>
      </c>
      <c r="D23979" s="4"/>
    </row>
    <row collapsed="" customFormat="false" customHeight="1" hidden="" ht="14" outlineLevel="0" r="23980">
      <c r="A23980" s="3" t="inlineStr">
        <is>
          <t>23890</t>
        </is>
      </c>
      <c r="B23980" s="4" t="s">
        <f>=HYPERLINK("http://anyluxury.ru/shop/podarochnye-nabory/nabory-s-fleshkami/nabor-idea-memory-krasniy-1563650/" , "15636.50 Набор Idea Memory, красный")</f>
      </c>
      <c r="C23980" s="4" t="n">
        <v>1410.50</v>
      </c>
      <c r="D23980" s="4"/>
    </row>
    <row collapsed="" customFormat="false" customHeight="1" hidden="" ht="14" outlineLevel="0" r="23981">
      <c r="A23981" s="3" t="inlineStr">
        <is>
          <t>23891</t>
        </is>
      </c>
      <c r="B23981" s="4" t="s">
        <f>=HYPERLINK("http://anyluxury.ru/shop/podarochnye-nabory/nabory-s-fleshkami/nabor-idea-memory-cherniy-1563633/" , "15636.33 Набор Idea Memory, черный")</f>
      </c>
      <c r="C23981" s="4" t="n">
        <v>1410.50</v>
      </c>
      <c r="D23981" s="4"/>
    </row>
    <row collapsed="" customFormat="false" customHeight="1" hidden="" ht="14" outlineLevel="0" r="23982">
      <c r="A23982" s="3" t="inlineStr">
        <is>
          <t>23892</t>
        </is>
      </c>
      <c r="B23982" s="4" t="s">
        <f>=HYPERLINK("http://anyluxury.ru/shop/podarochnye-nabory/nabory-s-fleshkami/nabor-frame-oranzheviy-1779321/" , "17793.21 Набор Frame, оранжевый")</f>
      </c>
      <c r="C23982" s="4" t="n">
        <v>2272.00</v>
      </c>
      <c r="D23982" s="4"/>
    </row>
    <row collapsed="" customFormat="false" customHeight="1" hidden="" ht="14" outlineLevel="0" r="23983">
      <c r="A23983" s="3" t="inlineStr">
        <is>
          <t>23893</t>
        </is>
      </c>
      <c r="B23983" s="4" t="s">
        <f>=HYPERLINK("http://anyluxury.ru/shop/podarochnye-nabory/nabory-s-fleshkami/nabor-frame-biryuzoviy-1779349/" , "17793.49 Набор Frame, бирюзовый")</f>
      </c>
      <c r="C23983" s="4" t="n">
        <v>2202.00</v>
      </c>
      <c r="D23983" s="4"/>
    </row>
    <row collapsed="" customFormat="false" customHeight="1" hidden="" ht="14" outlineLevel="0" r="23984">
      <c r="A23984" s="3" t="inlineStr">
        <is>
          <t>23894</t>
        </is>
      </c>
      <c r="B23984" s="4" t="s">
        <f>=HYPERLINK("http://anyluxury.ru/shop/podarochnye-nabory/nabory-s-fleshkami/nabor-frame-fioletoviy-1779371/" , "17793.71 Набор Frame, фиолетовый")</f>
      </c>
      <c r="C23984" s="4" t="n">
        <v>2202.00</v>
      </c>
      <c r="D23984" s="4"/>
    </row>
    <row collapsed="" customFormat="false" customHeight="1" hidden="" ht="14" outlineLevel="0" r="23985">
      <c r="A23985" s="3" t="inlineStr">
        <is>
          <t>23895</t>
        </is>
      </c>
      <c r="B23985" s="4" t="s">
        <f>=HYPERLINK("http://anyluxury.ru/shop/podarochnye-nabory/nabory-s-fleshkami/nabor-frame-zeleniy-1779391/" , "17793.91 Набор Frame, зеленый")</f>
      </c>
      <c r="C23985" s="4" t="n">
        <v>2202.00</v>
      </c>
      <c r="D23985" s="4"/>
    </row>
    <row collapsed="" customFormat="false" customHeight="" hidden="" ht="12.1" outlineLevel="0" r="23986">
      <c r="A23986" s="5" t="inlineStr">
        <is>
          <t> -  - Новогодние</t>
        </is>
      </c>
      <c r="B23986" s="6"/>
      <c r="C23986" s="6"/>
      <c r="D23986" s="6"/>
    </row>
    <row collapsed="" customFormat="false" customHeight="1" hidden="" ht="14" outlineLevel="0" r="23987">
      <c r="A23987" s="3" t="inlineStr">
        <is>
          <t>23896</t>
        </is>
      </c>
      <c r="B23987" s="4" t="s">
        <f>=HYPERLINK("http://anyluxury.ru/shop/podarochnye-nabory/novogodnie/nabor-sharov-pape-mashe/" , "PM-2-6T Набор шаров 'папье-маше'")</f>
      </c>
      <c r="C23987" s="4" t="n">
        <v>980.00</v>
      </c>
      <c r="D23987" s="4"/>
    </row>
    <row collapsed="" customFormat="false" customHeight="1" hidden="" ht="14" outlineLevel="0" r="23988">
      <c r="A23988" s="3" t="inlineStr">
        <is>
          <t>23897</t>
        </is>
      </c>
      <c r="B23988" s="4" t="s">
        <f>=HYPERLINK("http://anyluxury.ru/shop/podarochnye-nabory/novogodnie/nabor-sharov-pape-mashe-1/" , "PM-2-7 Набор шаров 'папье-маше'")</f>
      </c>
      <c r="C23988" s="4" t="n">
        <v>980.00</v>
      </c>
      <c r="D23988" s="4"/>
    </row>
    <row collapsed="" customFormat="false" customHeight="1" hidden="" ht="14" outlineLevel="0" r="23989">
      <c r="A23989" s="3" t="inlineStr">
        <is>
          <t>23898</t>
        </is>
      </c>
      <c r="B23989" s="4" t="s">
        <f>=HYPERLINK("http://anyluxury.ru/shop/podarochnye-nabory/novogodnie/nabor-sharov-pape-mashe-4/" , "PM-25-6 Набор шаров 'папье-маше'")</f>
      </c>
      <c r="C23989" s="4" t="n">
        <v>820.00</v>
      </c>
      <c r="D23989" s="4"/>
    </row>
    <row collapsed="" customFormat="false" customHeight="1" hidden="" ht="14" outlineLevel="0" r="23990">
      <c r="A23990" s="3" t="inlineStr">
        <is>
          <t>23899</t>
        </is>
      </c>
      <c r="B23990" s="4" t="s">
        <f>=HYPERLINK("http://anyluxury.ru/shop/podarochnye-nabory/novogodnie/nabor-sharov-pape-mashe-6/" , "PM-25-6T Набор шаров 'папье-маше'")</f>
      </c>
      <c r="C23990" s="4" t="n">
        <v>980.00</v>
      </c>
      <c r="D23990" s="4"/>
    </row>
    <row collapsed="" customFormat="false" customHeight="1" hidden="" ht="14" outlineLevel="0" r="23991">
      <c r="A23991" s="3" t="inlineStr">
        <is>
          <t>23900</t>
        </is>
      </c>
      <c r="B23991" s="4" t="s">
        <f>=HYPERLINK("http://anyluxury.ru/shop/podarochnye-nabory/novogodnie/nabor-sharov-pape-mashe-7/" , "PM-25-7 Набор шаров 'папье-маше'")</f>
      </c>
      <c r="C23991" s="4" t="n">
        <v>980.00</v>
      </c>
      <c r="D23991" s="4"/>
    </row>
    <row collapsed="" customFormat="false" customHeight="1" hidden="" ht="14" outlineLevel="0" r="23992">
      <c r="A23992" s="3" t="inlineStr">
        <is>
          <t>23901</t>
        </is>
      </c>
      <c r="B23992" s="4" t="s">
        <f>=HYPERLINK("http://anyluxury.ru/shop/podarochnye-nabory/novogodnie/nabor-sharov-pape-mashe-10/" , "PM-27-6T Набор шаров 'папье-маше'")</f>
      </c>
      <c r="C23992" s="4" t="n">
        <v>980.00</v>
      </c>
      <c r="D23992" s="4"/>
    </row>
    <row collapsed="" customFormat="false" customHeight="1" hidden="" ht="14" outlineLevel="0" r="23993">
      <c r="A23993" s="3" t="inlineStr">
        <is>
          <t>23902</t>
        </is>
      </c>
      <c r="B23993" s="4" t="s">
        <f>=HYPERLINK("http://anyluxury.ru/shop/podarochnye-nabory/novogodnie/nabor-sharov-pape-mashe-12/" , "PM-29-4 Набор шаров 'папье-маше'")</f>
      </c>
      <c r="C23993" s="4" t="n">
        <v>620.00</v>
      </c>
      <c r="D23993" s="4"/>
    </row>
    <row collapsed="" customFormat="false" customHeight="1" hidden="" ht="14" outlineLevel="0" r="23994">
      <c r="A23994" s="3" t="inlineStr">
        <is>
          <t>23903</t>
        </is>
      </c>
      <c r="B23994" s="4" t="s">
        <f>=HYPERLINK("http://anyluxury.ru/shop/podarochnye-nabory/novogodnie/nabor-sharov-pape-mashe-17/" , "PM-3-6 Набор шаров 'папье-маше'")</f>
      </c>
      <c r="C23994" s="4" t="n">
        <v>820.00</v>
      </c>
      <c r="D23994" s="4"/>
    </row>
    <row collapsed="" customFormat="false" customHeight="1" hidden="" ht="14" outlineLevel="0" r="23995">
      <c r="A23995" s="3" t="inlineStr">
        <is>
          <t>23904</t>
        </is>
      </c>
      <c r="B23995" s="4" t="s">
        <f>=HYPERLINK("http://anyluxury.ru/shop/podarochnye-nabory/novogodnie/nabor-sharov-pape-mashe-18/" , "PM-3-7 Набор шаров 'папье-маше'")</f>
      </c>
      <c r="C23995" s="4" t="n">
        <v>980.00</v>
      </c>
      <c r="D23995" s="4"/>
    </row>
    <row collapsed="" customFormat="false" customHeight="1" hidden="" ht="14" outlineLevel="0" r="23996">
      <c r="A23996" s="3" t="inlineStr">
        <is>
          <t>23905</t>
        </is>
      </c>
      <c r="B23996" s="4" t="s">
        <f>=HYPERLINK("http://anyluxury.ru/shop/podarochnye-nabory/novogodnie/nabor-sharov-pape-mashe-19/" , "PM-40-4 Набор шаров 'папье-маше'")</f>
      </c>
      <c r="C23996" s="4" t="n">
        <v>620.00</v>
      </c>
      <c r="D23996" s="4"/>
    </row>
    <row collapsed="" customFormat="false" customHeight="1" hidden="" ht="14" outlineLevel="0" r="23997">
      <c r="A23997" s="3" t="inlineStr">
        <is>
          <t>23906</t>
        </is>
      </c>
      <c r="B23997" s="4" t="s">
        <f>=HYPERLINK("http://anyluxury.ru/shop/podarochnye-nabory/novogodnie/nabor-sharov-pape-mashe-21/" , "PM-40-6T Набор шаров 'папье-маше'")</f>
      </c>
      <c r="C23997" s="4" t="n">
        <v>980.00</v>
      </c>
      <c r="D23997" s="4"/>
    </row>
    <row collapsed="" customFormat="false" customHeight="1" hidden="" ht="14" outlineLevel="0" r="23998">
      <c r="A23998" s="3" t="inlineStr">
        <is>
          <t>23907</t>
        </is>
      </c>
      <c r="B23998" s="4" t="s">
        <f>=HYPERLINK("http://anyluxury.ru/shop/podarochnye-nabory/novogodnie/nabor-sharov-pape-mashe-22/" , "PM-41-6 Набор шаров 'папье-маше'")</f>
      </c>
      <c r="C23998" s="4" t="n">
        <v>980.00</v>
      </c>
      <c r="D23998" s="4"/>
    </row>
    <row collapsed="" customFormat="false" customHeight="1" hidden="" ht="14" outlineLevel="0" r="23999">
      <c r="A23999" s="3" t="inlineStr">
        <is>
          <t>23908</t>
        </is>
      </c>
      <c r="B23999" s="4" t="s">
        <f>=HYPERLINK("http://anyluxury.ru/shop/podarochnye-nabory/novogodnie/nabor-sharov-pape-mashe-23/" , "PM-41-6T Набор шаров 'папье-маше'")</f>
      </c>
      <c r="C23999" s="4" t="n">
        <v>980.00</v>
      </c>
      <c r="D23999" s="4"/>
    </row>
    <row collapsed="" customFormat="false" customHeight="1" hidden="" ht="14" outlineLevel="0" r="24000">
      <c r="A24000" s="3" t="inlineStr">
        <is>
          <t>23909</t>
        </is>
      </c>
      <c r="B24000" s="4" t="s">
        <f>=HYPERLINK("http://anyluxury.ru/shop/podarochnye-nabory/novogodnie/nabor-sharov-pape-mashe-24/" , "PM-41-7 Набор шаров 'папье-маше'")</f>
      </c>
      <c r="C24000" s="4" t="n">
        <v>980.00</v>
      </c>
      <c r="D24000" s="4"/>
    </row>
    <row collapsed="" customFormat="false" customHeight="1" hidden="" ht="14" outlineLevel="0" r="24001">
      <c r="A24001" s="3" t="inlineStr">
        <is>
          <t>23910</t>
        </is>
      </c>
      <c r="B24001" s="4" t="s">
        <f>=HYPERLINK("http://anyluxury.ru/shop/podarochnye-nabory/novogodnie/nabor-sharov-pape-mashe-28/" , "PM-43-6 Набор шаров 'папье-маше'")</f>
      </c>
      <c r="C24001" s="4" t="n">
        <v>820.00</v>
      </c>
      <c r="D24001" s="4"/>
    </row>
    <row collapsed="" customFormat="false" customHeight="1" hidden="" ht="14" outlineLevel="0" r="24002">
      <c r="A24002" s="3" t="inlineStr">
        <is>
          <t>23911</t>
        </is>
      </c>
      <c r="B24002" s="4" t="s">
        <f>=HYPERLINK("http://anyluxury.ru/shop/podarochnye-nabory/novogodnie/nabor-sharov-pape-mashe-29/" , "PM-43-6T Набор шаров 'папье-маше'")</f>
      </c>
      <c r="C24002" s="4" t="n">
        <v>980.00</v>
      </c>
      <c r="D24002" s="4"/>
    </row>
    <row collapsed="" customFormat="false" customHeight="1" hidden="" ht="14" outlineLevel="0" r="24003">
      <c r="A24003" s="3" t="inlineStr">
        <is>
          <t>23912</t>
        </is>
      </c>
      <c r="B24003" s="4" t="s">
        <f>=HYPERLINK("http://anyluxury.ru/shop/podarochnye-nabory/novogodnie/nabor-sharov-pape-mashe-37/" , "PM-71-7 Набор шаров 'папье-маше'")</f>
      </c>
      <c r="C24003" s="4" t="n">
        <v>980.00</v>
      </c>
      <c r="D24003" s="4"/>
    </row>
    <row collapsed="" customFormat="false" customHeight="1" hidden="" ht="14" outlineLevel="0" r="24004">
      <c r="A24004" s="3" t="inlineStr">
        <is>
          <t>23913</t>
        </is>
      </c>
      <c r="B24004" s="4" t="s">
        <f>=HYPERLINK("http://anyluxury.ru/shop/podarochnye-nabory/novogodnie/nabor-sharov-pape-mashe-34/" , "PM-44-6T Набор шаров 'папье-маше'")</f>
      </c>
      <c r="C24004" s="4" t="n">
        <v>980.00</v>
      </c>
      <c r="D24004" s="4"/>
    </row>
    <row collapsed="" customFormat="false" customHeight="1" hidden="" ht="14" outlineLevel="0" r="24005">
      <c r="A24005" s="3" t="inlineStr">
        <is>
          <t>23914</t>
        </is>
      </c>
      <c r="B24005" s="4" t="s">
        <f>=HYPERLINK("http://anyluxury.ru/shop/podarochnye-nabory/novogodnie/nabor-sharov-pape-mashe-41/" , "PM-45-7 Набор шаров 'папье-маше'")</f>
      </c>
      <c r="C24005" s="4" t="n">
        <v>980.00</v>
      </c>
      <c r="D24005" s="4"/>
    </row>
    <row collapsed="" customFormat="false" customHeight="1" hidden="" ht="14" outlineLevel="0" r="24006">
      <c r="A24006" s="3" t="inlineStr">
        <is>
          <t>23915</t>
        </is>
      </c>
      <c r="B24006" s="4" t="s">
        <f>=HYPERLINK("http://anyluxury.ru/shop/podarochnye-nabory/novogodnie/nabor-sharov-pape-mashe-42/" , "PM-4-7 Набор шаров 'папье-маше'")</f>
      </c>
      <c r="C24006" s="4" t="n">
        <v>980.00</v>
      </c>
      <c r="D24006" s="4"/>
    </row>
    <row collapsed="" customFormat="false" customHeight="1" hidden="" ht="14" outlineLevel="0" r="24007">
      <c r="A24007" s="3" t="inlineStr">
        <is>
          <t>23916</t>
        </is>
      </c>
      <c r="B24007" s="4" t="s">
        <f>=HYPERLINK("http://anyluxury.ru/shop/podarochnye-nabory/novogodnie/nabor-sharov-pape-mashe-44/" , "PM-46-6T Набор шаров 'папье-маше'")</f>
      </c>
      <c r="C24007" s="4" t="n">
        <v>980.00</v>
      </c>
      <c r="D24007" s="4"/>
    </row>
    <row collapsed="" customFormat="false" customHeight="1" hidden="" ht="14" outlineLevel="0" r="24008">
      <c r="A24008" s="3" t="inlineStr">
        <is>
          <t>23917</t>
        </is>
      </c>
      <c r="B24008" s="4" t="s">
        <f>=HYPERLINK("http://anyluxury.ru/shop/podarochnye-nabory/novogodnie/nabor-sharov-pape-mashe-45/" , "PM-46-7 Набор шаров 'папье-маше'")</f>
      </c>
      <c r="C24008" s="4" t="n">
        <v>980.00</v>
      </c>
      <c r="D24008" s="4"/>
    </row>
    <row collapsed="" customFormat="false" customHeight="1" hidden="" ht="14" outlineLevel="0" r="24009">
      <c r="A24009" s="3" t="inlineStr">
        <is>
          <t>23918</t>
        </is>
      </c>
      <c r="B24009" s="4" t="s">
        <f>=HYPERLINK("http://anyluxury.ru/shop/podarochnye-nabory/novogodnie/nabor-sharov-pape-mashe-46/" , "PM-47-6T Набор шаров 'папье-маше'")</f>
      </c>
      <c r="C24009" s="4" t="n">
        <v>980.00</v>
      </c>
      <c r="D24009" s="4"/>
    </row>
    <row collapsed="" customFormat="false" customHeight="1" hidden="" ht="14" outlineLevel="0" r="24010">
      <c r="A24010" s="3" t="inlineStr">
        <is>
          <t>23919</t>
        </is>
      </c>
      <c r="B24010" s="4" t="s">
        <f>=HYPERLINK("http://anyluxury.ru/shop/podarochnye-nabory/novogodnie/nabor-sharov-pape-mashe-47/" , "PM-47-7 Набор шаров 'папье-маше'")</f>
      </c>
      <c r="C24010" s="4" t="n">
        <v>980.00</v>
      </c>
      <c r="D24010" s="4"/>
    </row>
    <row collapsed="" customFormat="false" customHeight="1" hidden="" ht="14" outlineLevel="0" r="24011">
      <c r="A24011" s="3" t="inlineStr">
        <is>
          <t>23920</t>
        </is>
      </c>
      <c r="B24011" s="4" t="s">
        <f>=HYPERLINK("http://anyluxury.ru/shop/podarochnye-nabory/novogodnie/nabor-sharov-pape-mashe-48/" , "PM-48-6 Набор шаров 'папье-маше'")</f>
      </c>
      <c r="C24011" s="4" t="n">
        <v>820.00</v>
      </c>
      <c r="D24011" s="4"/>
    </row>
    <row collapsed="" customFormat="false" customHeight="1" hidden="" ht="14" outlineLevel="0" r="24012">
      <c r="A24012" s="3" t="inlineStr">
        <is>
          <t>23921</t>
        </is>
      </c>
      <c r="B24012" s="4" t="s">
        <f>=HYPERLINK("http://anyluxury.ru/shop/podarochnye-nabory/novogodnie/nabor-sharov-pape-mashe-49/" , "PM-48-6T Набор шаров 'папье-маше'")</f>
      </c>
      <c r="C24012" s="4" t="n">
        <v>980.00</v>
      </c>
      <c r="D24012" s="4"/>
    </row>
    <row collapsed="" customFormat="false" customHeight="1" hidden="" ht="14" outlineLevel="0" r="24013">
      <c r="A24013" s="3" t="inlineStr">
        <is>
          <t>23922</t>
        </is>
      </c>
      <c r="B24013" s="4" t="s">
        <f>=HYPERLINK("http://anyluxury.ru/shop/podarochnye-nabory/novogodnie/nabor-sharov-pape-mashe-50/" , "PM-48-7 Набор шаров 'папье-маше'")</f>
      </c>
      <c r="C24013" s="4" t="n">
        <v>980.00</v>
      </c>
      <c r="D24013" s="4"/>
    </row>
    <row collapsed="" customFormat="false" customHeight="1" hidden="" ht="14" outlineLevel="0" r="24014">
      <c r="A24014" s="3" t="inlineStr">
        <is>
          <t>23923</t>
        </is>
      </c>
      <c r="B24014" s="4" t="s">
        <f>=HYPERLINK("http://anyluxury.ru/shop/podarochnye-nabory/novogodnie/nabor-sharov-pape-mashe-51/" , "PM-5-6 Набор шаров 'папье-маше'")</f>
      </c>
      <c r="C24014" s="4" t="n">
        <v>820.00</v>
      </c>
      <c r="D24014" s="4"/>
    </row>
    <row collapsed="" customFormat="false" customHeight="1" hidden="" ht="14" outlineLevel="0" r="24015">
      <c r="A24015" s="3" t="inlineStr">
        <is>
          <t>23924</t>
        </is>
      </c>
      <c r="B24015" s="4" t="s">
        <f>=HYPERLINK("http://anyluxury.ru/shop/podarochnye-nabory/novogodnie/nabor-sharov-pape-mashe-52/" , "PM-5-7 Набор шаров 'папье-маше'")</f>
      </c>
      <c r="C24015" s="4" t="n">
        <v>980.00</v>
      </c>
      <c r="D24015" s="4"/>
    </row>
    <row collapsed="" customFormat="false" customHeight="1" hidden="" ht="14" outlineLevel="0" r="24016">
      <c r="A24016" s="3" t="inlineStr">
        <is>
          <t>23925</t>
        </is>
      </c>
      <c r="B24016" s="4" t="s">
        <f>=HYPERLINK("http://anyluxury.ru/shop/podarochnye-nabory/novogodnie/nabor-sharov-pape-mashe-55/" , "PM-8-6 Набор шаров 'папье-маше'")</f>
      </c>
      <c r="C24016" s="4" t="n">
        <v>820.00</v>
      </c>
      <c r="D24016" s="4"/>
    </row>
    <row collapsed="" customFormat="false" customHeight="1" hidden="" ht="14" outlineLevel="0" r="24017">
      <c r="A24017" s="3" t="inlineStr">
        <is>
          <t>23926</t>
        </is>
      </c>
      <c r="B24017" s="4" t="s">
        <f>=HYPERLINK("http://anyluxury.ru/shop/podarochnye-nabory/novogodnie/nabor-sharov-pape-mashe-56/" , "PM-8-7 Набор шаров 'папье-маше'")</f>
      </c>
      <c r="C24017" s="4" t="n">
        <v>980.00</v>
      </c>
      <c r="D24017" s="4"/>
    </row>
    <row collapsed="" customFormat="false" customHeight="1" hidden="" ht="14" outlineLevel="0" r="24018">
      <c r="A24018" s="3" t="inlineStr">
        <is>
          <t>23927</t>
        </is>
      </c>
      <c r="B24018" s="4" t="s">
        <f>=HYPERLINK("http://anyluxury.ru/shop/podarochnye-nabory/novogodnie/nabor-sharov-pape-mashe-58/" , "DOL-3 Набор шаров 'папье-маше'")</f>
      </c>
      <c r="C24018" s="4" t="n">
        <v>980.00</v>
      </c>
      <c r="D24018" s="4"/>
    </row>
    <row collapsed="" customFormat="false" customHeight="1" hidden="" ht="14" outlineLevel="0" r="24019">
      <c r="A24019" s="3" t="inlineStr">
        <is>
          <t>23928</t>
        </is>
      </c>
      <c r="B24019" s="4" t="s">
        <f>=HYPERLINK("http://anyluxury.ru/shop/podarochnye-nabory/novogodnie/nabor-sharov-pape-mashe-60/" , "PM-1-6 Набор шаров 'папье-маше'")</f>
      </c>
      <c r="C24019" s="4" t="n">
        <v>820.00</v>
      </c>
      <c r="D24019" s="4"/>
    </row>
    <row collapsed="" customFormat="false" customHeight="1" hidden="" ht="14" outlineLevel="0" r="24020">
      <c r="A24020" s="3" t="inlineStr">
        <is>
          <t>23929</t>
        </is>
      </c>
      <c r="B24020" s="4" t="s">
        <f>=HYPERLINK("http://anyluxury.ru/shop/podarochnye-nabory/novogodnie/nabor-sharov-pape-mashe-61/" , "PM-1-6T Набор шаров 'папье-маше'")</f>
      </c>
      <c r="C24020" s="4" t="n">
        <v>980.00</v>
      </c>
      <c r="D24020" s="4"/>
    </row>
    <row collapsed="" customFormat="false" customHeight="1" hidden="" ht="14" outlineLevel="0" r="24021">
      <c r="A24021" s="3" t="inlineStr">
        <is>
          <t>23930</t>
        </is>
      </c>
      <c r="B24021" s="4" t="s">
        <f>=HYPERLINK("http://anyluxury.ru/shop/podarochnye-nabory/novogodnie/nabor-sharov-pape-mashe-62/" , "PM-12-4 Набор шаров 'папье-маше'")</f>
      </c>
      <c r="C24021" s="4" t="n">
        <v>620.00</v>
      </c>
      <c r="D24021" s="4"/>
    </row>
    <row collapsed="" customFormat="false" customHeight="1" hidden="" ht="14" outlineLevel="0" r="24022">
      <c r="A24022" s="3" t="inlineStr">
        <is>
          <t>23931</t>
        </is>
      </c>
      <c r="B24022" s="4" t="s">
        <f>=HYPERLINK("http://anyluxury.ru/shop/podarochnye-nabory/novogodnie/nabor-sharov-pape-mashe-63/" , "PM-12-6 Набор шаров 'папье-маше'")</f>
      </c>
      <c r="C24022" s="4" t="n">
        <v>820.00</v>
      </c>
      <c r="D24022" s="4"/>
    </row>
    <row collapsed="" customFormat="false" customHeight="1" hidden="" ht="14" outlineLevel="0" r="24023">
      <c r="A24023" s="3" t="inlineStr">
        <is>
          <t>23932</t>
        </is>
      </c>
      <c r="B24023" s="4" t="s">
        <f>=HYPERLINK("http://anyluxury.ru/shop/podarochnye-nabory/novogodnie/nabor-sharov-pape-mashe-64/" , "PM-12-6T Набор шаров 'папье-маше'")</f>
      </c>
      <c r="C24023" s="4" t="n">
        <v>980.00</v>
      </c>
      <c r="D24023" s="4"/>
    </row>
    <row collapsed="" customFormat="false" customHeight="1" hidden="" ht="14" outlineLevel="0" r="24024">
      <c r="A24024" s="3" t="inlineStr">
        <is>
          <t>23933</t>
        </is>
      </c>
      <c r="B24024" s="4" t="s">
        <f>=HYPERLINK("http://anyluxury.ru/shop/podarochnye-nabory/novogodnie/nabor-sharov-pape-mashe-66/" , "PM-13-4 Набор шаров 'папье-маше'")</f>
      </c>
      <c r="C24024" s="4" t="n">
        <v>620.00</v>
      </c>
      <c r="D24024" s="4"/>
    </row>
    <row collapsed="" customFormat="false" customHeight="1" hidden="" ht="14" outlineLevel="0" r="24025">
      <c r="A24025" s="3" t="inlineStr">
        <is>
          <t>23934</t>
        </is>
      </c>
      <c r="B24025" s="4" t="s">
        <f>=HYPERLINK("http://anyluxury.ru/shop/podarochnye-nabory/novogodnie/nabor-sharov-pape-mashe-67/" , "PM-13-6 Набор шаров 'папье-маше'")</f>
      </c>
      <c r="C24025" s="4" t="n">
        <v>820.00</v>
      </c>
      <c r="D24025" s="4"/>
    </row>
    <row collapsed="" customFormat="false" customHeight="1" hidden="" ht="14" outlineLevel="0" r="24026">
      <c r="A24026" s="3" t="inlineStr">
        <is>
          <t>23935</t>
        </is>
      </c>
      <c r="B24026" s="4" t="s">
        <f>=HYPERLINK("http://anyluxury.ru/shop/podarochnye-nabory/novogodnie/nabor-sharov-pape-mashe-68/" , "PM-13-6T Набор шаров 'папье-маше'")</f>
      </c>
      <c r="C24026" s="4" t="n">
        <v>980.00</v>
      </c>
      <c r="D24026" s="4"/>
    </row>
    <row collapsed="" customFormat="false" customHeight="1" hidden="" ht="14" outlineLevel="0" r="24027">
      <c r="A24027" s="3" t="inlineStr">
        <is>
          <t>23936</t>
        </is>
      </c>
      <c r="B24027" s="4" t="s">
        <f>=HYPERLINK("http://anyluxury.ru/shop/podarochnye-nabory/novogodnie/nabor-sharov-pape-mashe-72/" , "PM-14-6 Набор шаров 'папье-маше'")</f>
      </c>
      <c r="C24027" s="4" t="n">
        <v>820.00</v>
      </c>
      <c r="D24027" s="4"/>
    </row>
    <row collapsed="" customFormat="false" customHeight="1" hidden="" ht="14" outlineLevel="0" r="24028">
      <c r="A24028" s="3" t="inlineStr">
        <is>
          <t>23937</t>
        </is>
      </c>
      <c r="B24028" s="4" t="s">
        <f>=HYPERLINK("http://anyluxury.ru/shop/podarochnye-nabory/novogodnie/nabor-sharov-pape-mashe-73/" , "PM-14-6T Набор шаров 'папье-маше'")</f>
      </c>
      <c r="C24028" s="4" t="n">
        <v>980.00</v>
      </c>
      <c r="D24028" s="4"/>
    </row>
    <row collapsed="" customFormat="false" customHeight="1" hidden="" ht="14" outlineLevel="0" r="24029">
      <c r="A24029" s="3" t="inlineStr">
        <is>
          <t>23938</t>
        </is>
      </c>
      <c r="B24029" s="4" t="s">
        <f>=HYPERLINK("http://anyluxury.ru/shop/podarochnye-nabory/novogodnie/nabor-sharov-pape-mashe-74/" , "PM-14-7 Набор шаров 'папье-маше'")</f>
      </c>
      <c r="C24029" s="4" t="n">
        <v>980.00</v>
      </c>
      <c r="D24029" s="4"/>
    </row>
    <row collapsed="" customFormat="false" customHeight="1" hidden="" ht="14" outlineLevel="0" r="24030">
      <c r="A24030" s="3" t="inlineStr">
        <is>
          <t>23939</t>
        </is>
      </c>
      <c r="B24030" s="4" t="s">
        <f>=HYPERLINK("http://anyluxury.ru/shop/podarochnye-nabory/novogodnie/nabor-sharov-pape-mashe-76/" , "PM-15-6 Набор шаров 'папье-маше'")</f>
      </c>
      <c r="C24030" s="4" t="n">
        <v>820.00</v>
      </c>
      <c r="D24030" s="4"/>
    </row>
    <row collapsed="" customFormat="false" customHeight="1" hidden="" ht="14" outlineLevel="0" r="24031">
      <c r="A24031" s="3" t="inlineStr">
        <is>
          <t>23940</t>
        </is>
      </c>
      <c r="B24031" s="4" t="s">
        <f>=HYPERLINK("http://anyluxury.ru/shop/podarochnye-nabory/novogodnie/nabor-sharov-pape-mashe-77/" , "PM-15-7 Набор шаров 'папье-маше'")</f>
      </c>
      <c r="C24031" s="4" t="n">
        <v>980.00</v>
      </c>
      <c r="D24031" s="4"/>
    </row>
    <row collapsed="" customFormat="false" customHeight="1" hidden="" ht="14" outlineLevel="0" r="24032">
      <c r="A24032" s="3" t="inlineStr">
        <is>
          <t>23941</t>
        </is>
      </c>
      <c r="B24032" s="4" t="s">
        <f>=HYPERLINK("http://anyluxury.ru/shop/podarochnye-nabory/novogodnie/nabor-sharov-pape-mashe-78/" , "PM-15-6T Набор шаров 'папье-маше'")</f>
      </c>
      <c r="C24032" s="4" t="n">
        <v>980.00</v>
      </c>
      <c r="D24032" s="4"/>
    </row>
    <row collapsed="" customFormat="false" customHeight="1" hidden="" ht="14" outlineLevel="0" r="24033">
      <c r="A24033" s="3" t="inlineStr">
        <is>
          <t>23942</t>
        </is>
      </c>
      <c r="B24033" s="4" t="s">
        <f>=HYPERLINK("http://anyluxury.ru/shop/podarochnye-nabory/novogodnie/nabor-sharov-pape-mashe-81/" , "PM-17-7 Набор шаров 'папье-маше'")</f>
      </c>
      <c r="C24033" s="4" t="n">
        <v>980.00</v>
      </c>
      <c r="D24033" s="4"/>
    </row>
    <row collapsed="" customFormat="false" customHeight="1" hidden="" ht="14" outlineLevel="0" r="24034">
      <c r="A24034" s="3" t="inlineStr">
        <is>
          <t>23943</t>
        </is>
      </c>
      <c r="B24034" s="4" t="s">
        <f>=HYPERLINK("http://anyluxury.ru/shop/podarochnye-nabory/novogodnie/nabor-sharov-pape-mashe-82/" , "PM-18-6T Набор шаров 'папье-маше'")</f>
      </c>
      <c r="C24034" s="4" t="n">
        <v>820.00</v>
      </c>
      <c r="D24034" s="4"/>
    </row>
    <row collapsed="" customFormat="false" customHeight="1" hidden="" ht="14" outlineLevel="0" r="24035">
      <c r="A24035" s="3" t="inlineStr">
        <is>
          <t>23944</t>
        </is>
      </c>
      <c r="B24035" s="4" t="s">
        <f>=HYPERLINK("http://anyluxury.ru/shop/podarochnye-nabory/novogodnie/nabor-sharov-pape-mashe-85/" , "PM-51-7 Набор шаров 'папье-маше'")</f>
      </c>
      <c r="C24035" s="4" t="n">
        <v>980.00</v>
      </c>
      <c r="D24035" s="4"/>
    </row>
    <row collapsed="" customFormat="false" customHeight="1" hidden="" ht="14" outlineLevel="0" r="24036">
      <c r="A24036" s="3" t="inlineStr">
        <is>
          <t>23945</t>
        </is>
      </c>
      <c r="B24036" s="4" t="s">
        <f>=HYPERLINK("http://anyluxury.ru/shop/podarochnye-nabory/novogodnie/nabor-sharov-pape-mashe-88/" , "PM-22-8 Набор шаров 'папье-маше'")</f>
      </c>
      <c r="C24036" s="4" t="n">
        <v>980.00</v>
      </c>
      <c r="D24036" s="4"/>
    </row>
    <row collapsed="" customFormat="false" customHeight="1" hidden="" ht="14" outlineLevel="0" r="24037">
      <c r="A24037" s="3" t="inlineStr">
        <is>
          <t>23946</t>
        </is>
      </c>
      <c r="B24037" s="4" t="s">
        <f>=HYPERLINK("http://anyluxury.ru/shop/podarochnye-nabory/novogodnie/podarochnyy-nabor-zolotaya-kollektsiya-altaya-mini-1/" , "AB2020093 Подарочный набор 'Золотая коллекция Алтая' мини")</f>
      </c>
      <c r="C24037" s="4" t="n">
        <v>4620.00</v>
      </c>
      <c r="D24037" s="4"/>
    </row>
    <row collapsed="" customFormat="false" customHeight="1" hidden="" ht="14" outlineLevel="0" r="24038">
      <c r="A24038" s="3" t="inlineStr">
        <is>
          <t>23947</t>
        </is>
      </c>
      <c r="B24038" s="4" t="s">
        <f>=HYPERLINK("http://anyluxury.ru/shop/podarochnye-nabory/novogodnie/podarochnyy-nabor-zolotaya-kollektsiya-rossii-1/" , "AB2020102 Подарочный набор'Золотая коллекция России'")</f>
      </c>
      <c r="C24038" s="4" t="n">
        <v>15950.00</v>
      </c>
      <c r="D24038" s="4"/>
    </row>
    <row collapsed="" customFormat="false" customHeight="1" hidden="" ht="14" outlineLevel="0" r="24039">
      <c r="A24039" s="3" t="inlineStr">
        <is>
          <t>23948</t>
        </is>
      </c>
      <c r="B24039" s="4" t="s">
        <f>=HYPERLINK("http://anyluxury.ru/shop/podarochnye-nabory/novogodnie/podarochnyy-nabor-zolotaya-kollektsiya-kuzbassa-predzakaz-1/" , "AB2020103 Подарочный набор 'Золотая коллекция Кузбасса' (предзаказ)")</f>
      </c>
      <c r="C24039" s="4" t="n">
        <v>7370.00</v>
      </c>
      <c r="D24039" s="4"/>
    </row>
    <row collapsed="" customFormat="false" customHeight="1" hidden="" ht="14" outlineLevel="0" r="24040">
      <c r="A24040" s="3" t="inlineStr">
        <is>
          <t>23949</t>
        </is>
      </c>
      <c r="B24040" s="4" t="s">
        <f>=HYPERLINK("http://anyluxury.ru/shop/podarochnye-nabory/novogodnie/podarochnyy-nabor-klassika-baleta/" , "AB2020075 Подарочный набор 'Классика балета'")</f>
      </c>
      <c r="C24040" s="4" t="n">
        <v>1485.00</v>
      </c>
      <c r="D24040" s="4"/>
    </row>
    <row collapsed="" customFormat="false" customHeight="1" hidden="" ht="14" outlineLevel="0" r="24041">
      <c r="A24041" s="3" t="inlineStr">
        <is>
          <t>23950</t>
        </is>
      </c>
      <c r="B24041" s="4" t="s">
        <f>=HYPERLINK("http://anyluxury.ru/shop/podarochnye-nabory/novogodnie/podarochnyy-nabor-rozhdestvenskaya-skazka/" , "AB2020001 Подарочный набор 'Рождественская сказка'")</f>
      </c>
      <c r="C24041" s="4" t="n">
        <v>10978.00</v>
      </c>
      <c r="D24041" s="4"/>
    </row>
    <row collapsed="" customFormat="false" customHeight="1" hidden="" ht="14" outlineLevel="0" r="24042">
      <c r="A24042" s="3" t="inlineStr">
        <is>
          <t>23951</t>
        </is>
      </c>
      <c r="B24042" s="4" t="s">
        <f>=HYPERLINK("http://anyluxury.ru/shop/podarochnye-nabory/novogodnie/podarochnyy-nabor-dukh-rozhdestva/" , "AB2020002 Подарочный набор 'Дух Рождества'")</f>
      </c>
      <c r="C24042" s="4" t="n">
        <v>4730.00</v>
      </c>
      <c r="D24042" s="4"/>
    </row>
    <row collapsed="" customFormat="false" customHeight="1" hidden="" ht="14" outlineLevel="0" r="24043">
      <c r="A24043" s="3" t="inlineStr">
        <is>
          <t>23952</t>
        </is>
      </c>
      <c r="B24043" s="4" t="s">
        <f>=HYPERLINK("http://anyluxury.ru/shop/podarochnye-nabory/novogodnie/podarochnyy-nabor-u-kamina/" , "AB2020003 Подарочный набор 'У камина'")</f>
      </c>
      <c r="C24043" s="4" t="n">
        <v>4000.00</v>
      </c>
      <c r="D24043" s="4"/>
    </row>
    <row collapsed="" customFormat="false" customHeight="1" hidden="" ht="14" outlineLevel="0" r="24044">
      <c r="A24044" s="3" t="inlineStr">
        <is>
          <t>23953</t>
        </is>
      </c>
      <c r="B24044" s="4" t="s">
        <f>=HYPERLINK("http://anyluxury.ru/shop/podarochnye-nabory/novogodnie/podarochnyy-nabor-volshebnyy-svet/" , "AB2020004 Подарочный набор 'Волшебный свет'")</f>
      </c>
      <c r="C24044" s="4" t="n">
        <v>2563.00</v>
      </c>
      <c r="D24044" s="4"/>
    </row>
    <row collapsed="" customFormat="false" customHeight="1" hidden="" ht="14" outlineLevel="0" r="24045">
      <c r="A24045" s="3" t="inlineStr">
        <is>
          <t>23954</t>
        </is>
      </c>
      <c r="B24045" s="4" t="s">
        <f>=HYPERLINK("http://anyluxury.ru/shop/podarochnye-nabory/novogodnie/podarochnyy-nabor-elovaya-fantaziya/" , "AB2020005 Подарочный набор 'Еловая фантазия'")</f>
      </c>
      <c r="C24045" s="4" t="n">
        <v>1200.00</v>
      </c>
      <c r="D24045" s="4"/>
    </row>
    <row collapsed="" customFormat="false" customHeight="1" hidden="" ht="14" outlineLevel="0" r="24046">
      <c r="A24046" s="3" t="inlineStr">
        <is>
          <t>23955</t>
        </is>
      </c>
      <c r="B24046" s="4" t="s">
        <f>=HYPERLINK("http://anyluxury.ru/shop/podarochnye-nabory/novogodnie/podarochnyy-nabor-simvol-goda/" , "AB2020008 Подарочный набор 'Символ года'")</f>
      </c>
      <c r="C24046" s="4" t="n">
        <v>12250.00</v>
      </c>
      <c r="D24046" s="4"/>
    </row>
    <row collapsed="" customFormat="false" customHeight="1" hidden="" ht="14" outlineLevel="0" r="24047">
      <c r="A24047" s="3" t="inlineStr">
        <is>
          <t>23956</t>
        </is>
      </c>
      <c r="B24047" s="4" t="s">
        <f>=HYPERLINK("http://anyluxury.ru/shop/podarochnye-nabory/novogodnie/podarochnyy-nabor-iskrennie-pozhelaniya/" , "AB2020012 Подарочный набор 'Искренние пожелания'")</f>
      </c>
      <c r="C24047" s="4" t="n">
        <v>1090.00</v>
      </c>
      <c r="D24047" s="4"/>
    </row>
    <row collapsed="" customFormat="false" customHeight="1" hidden="" ht="14" outlineLevel="0" r="24048">
      <c r="A24048" s="3" t="inlineStr">
        <is>
          <t>23957</t>
        </is>
      </c>
      <c r="B24048" s="4" t="s">
        <f>=HYPERLINK("http://anyluxury.ru/shop/podarochnye-nabory/novogodnie/podarochnyy-nabor-sibirskaya-zimovka/" , "AB2020015 Подарочный набор 'Сибирская зимовка'")</f>
      </c>
      <c r="C24048" s="4" t="n">
        <v>8690.00</v>
      </c>
      <c r="D24048" s="4"/>
    </row>
    <row collapsed="" customFormat="false" customHeight="1" hidden="" ht="14" outlineLevel="0" r="24049">
      <c r="A24049" s="3" t="inlineStr">
        <is>
          <t>23958</t>
        </is>
      </c>
      <c r="B24049" s="4" t="s">
        <f>=HYPERLINK("http://anyluxury.ru/shop/podarochnye-nabory/novogodnie/podarochnyy-nabor-teplye-obyatiya-/" , "AB2020076 Подарочный набор 'Теплые объятия' ")</f>
      </c>
      <c r="C24049" s="4" t="n">
        <v>638.00</v>
      </c>
      <c r="D24049" s="4"/>
    </row>
    <row collapsed="" customFormat="false" customHeight="1" hidden="" ht="14" outlineLevel="0" r="24050">
      <c r="A24050" s="3" t="inlineStr">
        <is>
          <t>23959</t>
        </is>
      </c>
      <c r="B24050" s="4" t="s">
        <f>=HYPERLINK("http://anyluxury.ru/shop/podarochnye-nabory/novogodnie/podarochnyy-nabor-yarmorochnye-traditsii/" , "AB2020016 Подарочный набор 'Ярморочные традиции'")</f>
      </c>
      <c r="C24050" s="4" t="n">
        <v>6038.00</v>
      </c>
      <c r="D24050" s="4"/>
    </row>
    <row collapsed="" customFormat="false" customHeight="1" hidden="" ht="14" outlineLevel="0" r="24051">
      <c r="A24051" s="3" t="inlineStr">
        <is>
          <t>23960</t>
        </is>
      </c>
      <c r="B24051" s="4" t="s">
        <f>=HYPERLINK("http://anyluxury.ru/shop/podarochnye-nabory/novogodnie/podarochnyy-nabor-russkaya-pech/" , "AB2020018 Подарочный набор 'Русская печь'")</f>
      </c>
      <c r="C24051" s="4" t="n">
        <v>2585.00</v>
      </c>
      <c r="D24051" s="4"/>
    </row>
    <row collapsed="" customFormat="false" customHeight="1" hidden="" ht="14" outlineLevel="0" r="24052">
      <c r="A24052" s="3" t="inlineStr">
        <is>
          <t>23961</t>
        </is>
      </c>
      <c r="B24052" s="4" t="s">
        <f>=HYPERLINK("http://anyluxury.ru/shop/podarochnye-nabory/novogodnie/podarochnyy-nabor-kniga-tayn/" , "AB2020021 Подарочный набор 'Книга тайн'")</f>
      </c>
      <c r="C24052" s="4" t="n">
        <v>2063.00</v>
      </c>
      <c r="D24052" s="4"/>
    </row>
    <row collapsed="" customFormat="false" customHeight="1" hidden="" ht="14" outlineLevel="0" r="24053">
      <c r="A24053" s="3" t="inlineStr">
        <is>
          <t>23962</t>
        </is>
      </c>
      <c r="B24053" s="4" t="s">
        <f>=HYPERLINK("http://anyluxury.ru/shop/podarochnye-nabory/novogodnie/podarochnyy-nabor-kofe-breyk/" , "AB2020039 Подарочный набор 'Кофе-брейк'")</f>
      </c>
      <c r="C24053" s="4" t="n">
        <v>2475.00</v>
      </c>
      <c r="D24053" s="4"/>
    </row>
    <row collapsed="" customFormat="false" customHeight="1" hidden="" ht="14" outlineLevel="0" r="24054">
      <c r="A24054" s="3" t="inlineStr">
        <is>
          <t>23963</t>
        </is>
      </c>
      <c r="B24054" s="4" t="s">
        <f>=HYPERLINK("http://anyluxury.ru/shop/podarochnye-nabory/novogodnie/nabor-fairy-tail-siniy-1290040/" , "12900.40 Набор Fairy Tail, синий")</f>
      </c>
      <c r="C24054" s="4" t="n">
        <v>2879.00</v>
      </c>
      <c r="D24054" s="4"/>
    </row>
    <row collapsed="" customFormat="false" customHeight="1" hidden="" ht="14" outlineLevel="0" r="24055">
      <c r="A24055" s="3" t="inlineStr">
        <is>
          <t>23964</t>
        </is>
      </c>
      <c r="B24055" s="4" t="s">
        <f>=HYPERLINK("http://anyluxury.ru/shop/podarochnye-nabory/novogodnie/nabor-heart-of-glass-dlya-vina-1248102/" , "12481.02 Набор Heart of Glass, для вина")</f>
      </c>
      <c r="C24055" s="4" t="n">
        <v>821.10</v>
      </c>
      <c r="D24055" s="4"/>
    </row>
    <row collapsed="" customFormat="false" customHeight="1" hidden="" ht="14" outlineLevel="0" r="24056">
      <c r="A24056" s="3" t="inlineStr">
        <is>
          <t>23965</t>
        </is>
      </c>
      <c r="B24056" s="4" t="s">
        <f>=HYPERLINK("http://anyluxury.ru/shop/podarochnye-nabory/novogodnie/podachnyy-nabor-zolotaya-kollektsiya-altaya-/" , "AB2020092 Подарочный набор 'Золотая коллекция Алтая' ")</f>
      </c>
      <c r="C24056" s="4" t="n">
        <v>11350.00</v>
      </c>
      <c r="D24056" s="4"/>
    </row>
    <row collapsed="" customFormat="false" customHeight="1" hidden="" ht="14" outlineLevel="0" r="24057">
      <c r="A24057" s="3" t="inlineStr">
        <is>
          <t>23966</t>
        </is>
      </c>
      <c r="B24057" s="4" t="s">
        <f>=HYPERLINK("http://anyluxury.ru/shop/podarochnye-nabory/novogodnie/podarochnyy-nabor-lovi-moment_1/" , "AB2020041 Подарочный набор 'Лови момент'")</f>
      </c>
      <c r="C24057" s="4" t="n">
        <v>1890.00</v>
      </c>
      <c r="D24057" s="4"/>
    </row>
    <row collapsed="" customFormat="false" customHeight="1" hidden="" ht="14" outlineLevel="0" r="24058">
      <c r="A24058" s="3" t="inlineStr">
        <is>
          <t>23967</t>
        </is>
      </c>
      <c r="B24058" s="4" t="s">
        <f>=HYPERLINK("http://anyluxury.ru/shop/podarochnye-nabory/novogodnie/podarochnyy-nabor-estet_1/" , "AB2020036 Подарочный набор 'Эстет'")</f>
      </c>
      <c r="C24058" s="4" t="n">
        <v>6270.00</v>
      </c>
      <c r="D24058" s="4"/>
    </row>
    <row collapsed="" customFormat="false" customHeight="1" hidden="" ht="14" outlineLevel="0" r="24059">
      <c r="A24059" s="3" t="inlineStr">
        <is>
          <t>23968</t>
        </is>
      </c>
      <c r="B24059" s="4" t="s">
        <f>=HYPERLINK("http://anyluxury.ru/shop/podarochnye-nabory/novogodnie/podarochnyy-nabor-snezhnyy-vals/" , "AB2020023 Подарочный набор 'Снежный вальс'")</f>
      </c>
      <c r="C24059" s="4" t="n">
        <v>715.00</v>
      </c>
      <c r="D24059" s="4"/>
    </row>
    <row collapsed="" customFormat="false" customHeight="1" hidden="" ht="14" outlineLevel="0" r="24060">
      <c r="A24060" s="3" t="inlineStr">
        <is>
          <t>23969</t>
        </is>
      </c>
      <c r="B24060" s="4" t="s">
        <f>=HYPERLINK("http://anyluxury.ru/shop/podarochnye-nabory/novogodnie/podarochnyy-nabor-dlya-tekh-kto-verit-v-chudesa/" , "AB2020024 Подарочный набор 'Для тех кто верит в чудеса'")</f>
      </c>
      <c r="C24060" s="4" t="n">
        <v>725.00</v>
      </c>
      <c r="D24060" s="4"/>
    </row>
    <row collapsed="" customFormat="false" customHeight="1" hidden="" ht="14" outlineLevel="0" r="24061">
      <c r="A24061" s="3" t="inlineStr">
        <is>
          <t>23970</t>
        </is>
      </c>
      <c r="B24061" s="4" t="s">
        <f>=HYPERLINK("http://anyluxury.ru/shop/podarochnye-nabory/novogodnie/nabor-daily-elegance-rozoviy-1581815/" , "15818.15 Набор Daily Elegance, розовый")</f>
      </c>
      <c r="C24061" s="4" t="n">
        <v>4164.00</v>
      </c>
      <c r="D24061" s="4"/>
    </row>
    <row collapsed="" customFormat="false" customHeight="1" hidden="" ht="14" outlineLevel="0" r="24062">
      <c r="A24062" s="3" t="inlineStr">
        <is>
          <t>23971</t>
        </is>
      </c>
      <c r="B24062" s="4" t="s">
        <f>=HYPERLINK("http://anyluxury.ru/shop/podarochnye-nabory/novogodnie/nabor-daily-elegance-krasniy-1581850/" , "15818.50 Набор Daily Elegance, красный")</f>
      </c>
      <c r="C24062" s="4" t="n">
        <v>4164.00</v>
      </c>
      <c r="D24062" s="4"/>
    </row>
    <row collapsed="" customFormat="false" customHeight="1" hidden="" ht="14" outlineLevel="0" r="24063">
      <c r="A24063" s="3" t="inlineStr">
        <is>
          <t>23972</t>
        </is>
      </c>
      <c r="B24063" s="4" t="s">
        <f>=HYPERLINK("http://anyluxury.ru/shop/podarochnye-nabory/novogodnie/nabor-handmade-evening-beliy-s-krasnim-1888201/" , "18882.01 Набор Handmade Evening, белый с красным")</f>
      </c>
      <c r="C24063" s="4" t="n">
        <v>2158.00</v>
      </c>
      <c r="D24063" s="4"/>
    </row>
    <row collapsed="" customFormat="false" customHeight="1" hidden="" ht="14" outlineLevel="0" r="24064">
      <c r="A24064" s="3" t="inlineStr">
        <is>
          <t>23973</t>
        </is>
      </c>
      <c r="B24064" s="4" t="s">
        <f>=HYPERLINK("http://anyluxury.ru/shop/podarochnye-nabory/novogodnie/nabor-handmade-evening-beliy-s-oranzhevim-1888202/" , "18882.02 Набор Handmade Evening, белый с оранжевым")</f>
      </c>
      <c r="C24064" s="4" t="n">
        <v>2083.00</v>
      </c>
      <c r="D24064" s="4"/>
    </row>
    <row collapsed="" customFormat="false" customHeight="1" hidden="" ht="14" outlineLevel="0" r="24065">
      <c r="A24065" s="3" t="inlineStr">
        <is>
          <t>23974</t>
        </is>
      </c>
      <c r="B24065" s="4" t="s">
        <f>=HYPERLINK("http://anyluxury.ru/shop/podarochnye-nabory/novogodnie/nabor-handmade-evening-krasniy-s-oranzhevim-1888203/" , "18882.03 Набор Handmade Evening, красный с оранжевым")</f>
      </c>
      <c r="C24065" s="4" t="n">
        <v>2158.00</v>
      </c>
      <c r="D24065" s="4"/>
    </row>
    <row collapsed="" customFormat="false" customHeight="1" hidden="" ht="14" outlineLevel="0" r="24066">
      <c r="A24066" s="3" t="inlineStr">
        <is>
          <t>23975</t>
        </is>
      </c>
      <c r="B24066" s="4" t="s">
        <f>=HYPERLINK("http://anyluxury.ru/shop/podarochnye-nabory/novogodnie/nabor-handmade-evening-beliy-1888205/" , "18882.05 Набор Handmade Evening, белый")</f>
      </c>
      <c r="C24066" s="4" t="n">
        <v>2083.00</v>
      </c>
      <c r="D24066" s="4"/>
    </row>
    <row collapsed="" customFormat="false" customHeight="1" hidden="" ht="14" outlineLevel="0" r="24067">
      <c r="A24067" s="3" t="inlineStr">
        <is>
          <t>23976</t>
        </is>
      </c>
      <c r="B24067" s="4" t="s">
        <f>=HYPERLINK("http://anyluxury.ru/shop/podarochnye-nabory/novogodnie/nabor-handmade-evening-oranzheviy-1888206/" , "18882.06 Набор Handmade Evening, оранжевый")</f>
      </c>
      <c r="C24067" s="4" t="n">
        <v>2083.00</v>
      </c>
      <c r="D24067" s="4"/>
    </row>
    <row collapsed="" customFormat="false" customHeight="1" hidden="" ht="14" outlineLevel="0" r="24068">
      <c r="A24068" s="3" t="inlineStr">
        <is>
          <t>23977</t>
        </is>
      </c>
      <c r="B24068" s="4" t="s">
        <f>=HYPERLINK("http://anyluxury.ru/shop/podarochnye-nabory/novogodnie/nabor-big-city-light-3017502/" , "30175.02 Набор Big City Light")</f>
      </c>
      <c r="C24068" s="4" t="n">
        <v>738.50</v>
      </c>
      <c r="D24068" s="4"/>
    </row>
    <row collapsed="" customFormat="false" customHeight="1" hidden="" ht="14" outlineLevel="0" r="24069">
      <c r="A24069" s="3" t="inlineStr">
        <is>
          <t>23978</t>
        </is>
      </c>
      <c r="B24069" s="4" t="s">
        <f>=HYPERLINK("http://anyluxury.ru/shop/podarochnye-nabory/novogodnie/nabor-vse-povzroslomu-siniy-3017844/" , "30178.44 Набор «Все по-взрослому», синий")</f>
      </c>
      <c r="C24069" s="4" t="n">
        <v>2888.00</v>
      </c>
      <c r="D24069" s="4"/>
    </row>
    <row collapsed="" customFormat="false" customHeight="1" hidden="" ht="14" outlineLevel="0" r="24070">
      <c r="A24070" s="3" t="inlineStr">
        <is>
          <t>23979</t>
        </is>
      </c>
      <c r="B24070" s="4" t="s">
        <f>=HYPERLINK("http://anyluxury.ru/shop/podarochnye-nabory/novogodnie/nabor-vse-povzroslomu-oranzheviy-3017820/" , "30178.20 Набор «Все по-взрослому», оранжевый")</f>
      </c>
      <c r="C24070" s="4" t="n">
        <v>2888.00</v>
      </c>
      <c r="D24070" s="4"/>
    </row>
    <row collapsed="" customFormat="false" customHeight="1" hidden="" ht="14" outlineLevel="0" r="24071">
      <c r="A24071" s="3" t="inlineStr">
        <is>
          <t>23980</t>
        </is>
      </c>
      <c r="B24071" s="4" t="s">
        <f>=HYPERLINK("http://anyluxury.ru/shop/podarochnye-nabory/novogodnie/nabor-kak-po-shhelchku-s-orehami-30195/" , "30195 Набор «Как по щелчку» с орехами")</f>
      </c>
      <c r="C24071" s="4" t="n">
        <v>2430.00</v>
      </c>
      <c r="D24071" s="4"/>
    </row>
    <row collapsed="" customFormat="false" customHeight="1" hidden="" ht="14" outlineLevel="0" r="24072">
      <c r="A24072" s="3" t="inlineStr">
        <is>
          <t>23981</t>
        </is>
      </c>
      <c r="B24072" s="4" t="s">
        <f>=HYPERLINK("http://anyluxury.ru/shop/podarochnye-nabory/novogodnie/nabor-zimnie-uzori-s-podveskoy-na-zakaz-30197/" , "30197 Набор «Зимние узоры» с подвеской на заказ")</f>
      </c>
      <c r="C24072" s="4" t="n">
        <v>1262.00</v>
      </c>
      <c r="D24072" s="4"/>
    </row>
    <row collapsed="" customFormat="false" customHeight="1" hidden="" ht="14" outlineLevel="0" r="24073">
      <c r="A24073" s="3" t="inlineStr">
        <is>
          <t>23982</t>
        </is>
      </c>
      <c r="B24073" s="4" t="s">
        <f>=HYPERLINK("http://anyluxury.ru/shop/podarochnye-nabory/novogodnie/chaynaya-para-vremya-chudes-s-dekolyu-zolotistaya-3017000/" , "30170.00 Чайная пара «Время чудес», золотистая")</f>
      </c>
      <c r="C24073" s="4" t="n">
        <v>1503.00</v>
      </c>
      <c r="D24073" s="4"/>
    </row>
    <row collapsed="" customFormat="false" customHeight="1" hidden="" ht="14" outlineLevel="0" r="24074">
      <c r="A24074" s="3" t="inlineStr">
        <is>
          <t>23983</t>
        </is>
      </c>
      <c r="B24074" s="4" t="s">
        <f>=HYPERLINK("http://anyluxury.ru/shop/podarochnye-nabory/novogodnie/nabor-neobichaynoe-chaepitie-s-pustim-tubusom-30105/" , "30105 Набор «Необычайное чаепитие» с пустым тубусом")</f>
      </c>
      <c r="C24074" s="4" t="n">
        <v>2038.00</v>
      </c>
      <c r="D24074" s="4"/>
    </row>
    <row collapsed="" customFormat="false" customHeight="1" hidden="" ht="14" outlineLevel="0" r="24075">
      <c r="A24075" s="3" t="inlineStr">
        <is>
          <t>23984</t>
        </is>
      </c>
      <c r="B24075" s="4" t="s">
        <f>=HYPERLINK("http://anyluxury.ru/shop/podarochnye-nabory/novogodnie/nabor-neobichaynoe-chaepitie-s-shokoladom-i-chaem-30106/" , "30106 Набор «Необычайное чаепитие» с шоколадом и чаем")</f>
      </c>
      <c r="C24075" s="4" t="n">
        <v>2631.00</v>
      </c>
      <c r="D24075" s="4"/>
    </row>
    <row collapsed="" customFormat="false" customHeight="1" hidden="" ht="14" outlineLevel="0" r="24076">
      <c r="A24076" s="3" t="inlineStr">
        <is>
          <t>23985</t>
        </is>
      </c>
      <c r="B24076" s="4" t="s">
        <f>=HYPERLINK("http://anyluxury.ru/shop/podarochnye-nabory/novogodnie/nabor-malenkiy-pomoshhnik-37981/" , "37981 Набор «Маленький помощник»")</f>
      </c>
      <c r="C24076" s="4" t="n">
        <v>486.00</v>
      </c>
      <c r="D24076" s="4"/>
    </row>
    <row collapsed="" customFormat="false" customHeight="1" hidden="" ht="14" outlineLevel="0" r="24077">
      <c r="A24077" s="3" t="inlineStr">
        <is>
          <t>23986</t>
        </is>
      </c>
      <c r="B24077" s="4" t="s">
        <f>=HYPERLINK("http://anyluxury.ru/shop/podarochnye-nabory/novogodnie/nabor-medoviy-mishka-37977/" , "37977 Набор «Медовый мишка»")</f>
      </c>
      <c r="C24077" s="4" t="n">
        <v>1120.00</v>
      </c>
      <c r="D24077" s="4"/>
    </row>
    <row collapsed="" customFormat="false" customHeight="1" hidden="" ht="14" outlineLevel="0" r="24078">
      <c r="A24078" s="3" t="inlineStr">
        <is>
          <t>23987</t>
        </is>
      </c>
      <c r="B24078" s="4" t="s">
        <f>=HYPERLINK("http://anyluxury.ru/shop/podarochnye-nabory/novogodnie/nabor-sparkle-s-podveskoy-domik-1824601/" , "18246.01 Набор Sparkle, с подвеской «Домик»")</f>
      </c>
      <c r="C24078" s="4" t="n">
        <v>1171.00</v>
      </c>
      <c r="D24078" s="4"/>
    </row>
    <row collapsed="" customFormat="false" customHeight="1" hidden="" ht="14" outlineLevel="0" r="24079">
      <c r="A24079" s="3" t="inlineStr">
        <is>
          <t>23988</t>
        </is>
      </c>
      <c r="B24079" s="4" t="s">
        <f>=HYPERLINK("http://anyluxury.ru/shop/podarochnye-nabory/novogodnie/nabor-sparkle-s-podveskoy-ptichka-1824602/" , "18246.02 Набор Sparkle, с подвеской «Птичка»")</f>
      </c>
      <c r="C24079" s="4" t="n">
        <v>1172.00</v>
      </c>
      <c r="D24079" s="4"/>
    </row>
    <row collapsed="" customFormat="false" customHeight="1" hidden="" ht="14" outlineLevel="0" r="24080">
      <c r="A24080" s="3" t="inlineStr">
        <is>
          <t>23989</t>
        </is>
      </c>
      <c r="B24080" s="4" t="s">
        <f>=HYPERLINK("http://anyluxury.ru/shop/podarochnye-nabory/novogodnie/nabor-sparkle-s-podveskoy-elochka-1824603/" , "18246.03 Набор Sparkle, с подвеской «Елочка»")</f>
      </c>
      <c r="C24080" s="4" t="n">
        <v>1172.00</v>
      </c>
      <c r="D24080" s="4"/>
    </row>
    <row collapsed="" customFormat="false" customHeight="1" hidden="" ht="14" outlineLevel="0" r="24081">
      <c r="A24081" s="3" t="inlineStr">
        <is>
          <t>23990</t>
        </is>
      </c>
      <c r="B24081" s="4" t="s">
        <f>=HYPERLINK("http://anyluxury.ru/shop/podarochnye-nabory/novogodnie/nabor-sparkle-s-podveskoy-snezhinka-1824604/" , "18246.04 Набор Sparkle, с подвеской «Снежинка»")</f>
      </c>
      <c r="C24081" s="4" t="n">
        <v>1169.00</v>
      </c>
      <c r="D24081" s="4"/>
    </row>
    <row collapsed="" customFormat="false" customHeight="1" hidden="" ht="14" outlineLevel="0" r="24082">
      <c r="A24082" s="3" t="inlineStr">
        <is>
          <t>23991</t>
        </is>
      </c>
      <c r="B24082" s="4" t="s">
        <f>=HYPERLINK("http://anyluxury.ru/shop/podarochnye-nabory/novogodnie/nabor-sosna-23194/" , "23194 Набор «Сосна»")</f>
      </c>
      <c r="C24082" s="4" t="n">
        <v>1281.90</v>
      </c>
      <c r="D24082" s="4"/>
    </row>
    <row collapsed="" customFormat="false" customHeight="1" hidden="" ht="14" outlineLevel="0" r="24083">
      <c r="A24083" s="3" t="inlineStr">
        <is>
          <t>23992</t>
        </is>
      </c>
      <c r="B24083" s="4" t="s">
        <f>=HYPERLINK("http://anyluxury.ru/shop/podarochnye-nabory/novogodnie/nabor-spicy-winter-19151/" , "19151 Набор Spicy Winter")</f>
      </c>
      <c r="C24083" s="4" t="n">
        <v>1300.00</v>
      </c>
      <c r="D24083" s="4"/>
    </row>
    <row collapsed="" customFormat="false" customHeight="1" hidden="" ht="14" outlineLevel="0" r="24084">
      <c r="A24084" s="3" t="inlineStr">
        <is>
          <t>23993</t>
        </is>
      </c>
      <c r="B24084" s="4" t="s">
        <f>=HYPERLINK("http://anyluxury.ru/shop/podarochnye-nabory/novogodnie/nabor-snezhniy-angel-19153/" , "19153 Набор «Снежный ангел»")</f>
      </c>
      <c r="C24084" s="4" t="n">
        <v>3700.00</v>
      </c>
      <c r="D24084" s="4"/>
    </row>
    <row collapsed="" customFormat="false" customHeight="1" hidden="" ht="14" outlineLevel="0" r="24085">
      <c r="A24085" s="3" t="inlineStr">
        <is>
          <t>23994</t>
        </is>
      </c>
      <c r="B24085" s="4" t="s">
        <f>=HYPERLINK("http://anyluxury.ru/shop/podarochnye-nabory/novogodnie/nabor-new-year-drive-beliy-1931560/" , "19315.60 Набор New Year Drive, белый")</f>
      </c>
      <c r="C24085" s="4" t="n">
        <v>2566.00</v>
      </c>
      <c r="D24085" s="4"/>
    </row>
    <row collapsed="" customFormat="false" customHeight="1" hidden="" ht="14" outlineLevel="0" r="24086">
      <c r="A24086" s="3" t="inlineStr">
        <is>
          <t>23995</t>
        </is>
      </c>
      <c r="B24086" s="4" t="s">
        <f>=HYPERLINK("http://anyluxury.ru/shop/podarochnye-nabory/novogodnie/nabor-rudolph-19316/" , "19316 Набор Rudolph")</f>
      </c>
      <c r="C24086" s="4" t="n">
        <v>2744.00</v>
      </c>
      <c r="D24086" s="4"/>
    </row>
    <row collapsed="" customFormat="false" customHeight="1" hidden="" ht="14" outlineLevel="0" r="24087">
      <c r="A24087" s="3" t="inlineStr">
        <is>
          <t>23996</t>
        </is>
      </c>
      <c r="B24087" s="4" t="s">
        <f>=HYPERLINK("http://anyluxury.ru/shop/podarochnye-nabory/novogodnie/nabor-winter-safe-siniy-1931740/" , "19317.40 Набор Winter Safe, синий")</f>
      </c>
      <c r="C24087" s="4" t="n">
        <v>2421.10</v>
      </c>
      <c r="D24087" s="4"/>
    </row>
    <row collapsed="" customFormat="false" customHeight="1" hidden="" ht="14" outlineLevel="0" r="24088">
      <c r="A24088" s="3" t="inlineStr">
        <is>
          <t>23997</t>
        </is>
      </c>
      <c r="B24088" s="4" t="s">
        <f>=HYPERLINK("http://anyluxury.ru/shop/podarochnye-nabory/novogodnie/nabor-winter-safe-krasniy-1931750/" , "19317.50 Набор Winter Safe, красный")</f>
      </c>
      <c r="C24088" s="4" t="n">
        <v>2421.10</v>
      </c>
      <c r="D24088" s="4"/>
    </row>
    <row collapsed="" customFormat="false" customHeight="1" hidden="" ht="14" outlineLevel="0" r="24089">
      <c r="A24089" s="3" t="inlineStr">
        <is>
          <t>23998</t>
        </is>
      </c>
      <c r="B24089" s="4" t="s">
        <f>=HYPERLINK("http://anyluxury.ru/shop/podarochnye-nabory/novogodnie/nabor-winter-safe-zeleniy-1931790/" , "19317.90 Набор Winter Safe, зеленый")</f>
      </c>
      <c r="C24089" s="4" t="n">
        <v>2469.10</v>
      </c>
      <c r="D24089" s="4"/>
    </row>
    <row collapsed="" customFormat="false" customHeight="1" hidden="" ht="14" outlineLevel="0" r="24090">
      <c r="A24090" s="3" t="inlineStr">
        <is>
          <t>23999</t>
        </is>
      </c>
      <c r="B24090" s="4" t="s">
        <f>=HYPERLINK("http://anyluxury.ru/shop/podarochnye-nabory/novogodnie/nabor-golubaya-el-19320/" , "19320 Набор «Голубая ель»")</f>
      </c>
      <c r="C24090" s="4" t="n">
        <v>1019.90</v>
      </c>
      <c r="D24090" s="4"/>
    </row>
    <row collapsed="" customFormat="false" customHeight="1" hidden="" ht="14" outlineLevel="0" r="24091">
      <c r="A24091" s="3" t="inlineStr">
        <is>
          <t>24000</t>
        </is>
      </c>
      <c r="B24091" s="4" t="s">
        <f>=HYPERLINK("http://anyluxury.ru/shop/podarochnye-nabory/novogodnie/nabor-domik-dlya-ptichki-19321/" , "19321 Набор «Домик для птички»")</f>
      </c>
      <c r="C24091" s="4" t="n">
        <v>1293.00</v>
      </c>
      <c r="D24091" s="4"/>
    </row>
    <row collapsed="" customFormat="false" customHeight="1" hidden="" ht="14" outlineLevel="0" r="24092">
      <c r="A24092" s="3" t="inlineStr">
        <is>
          <t>24001</t>
        </is>
      </c>
      <c r="B24092" s="4" t="s">
        <f>=HYPERLINK("http://anyluxury.ru/shop/podarochnye-nabory/novogodnie/nabor-izvinite-prazdnuyu-19322/" , "19322 Набор «Извините, праздную»")</f>
      </c>
      <c r="C24092" s="4" t="n">
        <v>1799.00</v>
      </c>
      <c r="D24092" s="4"/>
    </row>
    <row collapsed="" customFormat="false" customHeight="1" hidden="" ht="14" outlineLevel="0" r="24093">
      <c r="A24093" s="3" t="inlineStr">
        <is>
          <t>24002</t>
        </is>
      </c>
      <c r="B24093" s="4" t="s">
        <f>=HYPERLINK("http://anyluxury.ru/shop/podarochnye-nabory/novogodnie/nabor-polyarnica-19330/" , "19330 Набор «Полярница»")</f>
      </c>
      <c r="C24093" s="4" t="n">
        <v>2174.70</v>
      </c>
      <c r="D24093" s="4"/>
    </row>
    <row collapsed="" customFormat="false" customHeight="1" hidden="" ht="14" outlineLevel="0" r="24094">
      <c r="A24094" s="3" t="inlineStr">
        <is>
          <t>24003</t>
        </is>
      </c>
      <c r="B24094" s="4" t="s">
        <f>=HYPERLINK("http://anyluxury.ru/shop/podarochnye-nabory/novogodnie/nabor-daily-elegance-siniy-1581840/" , "15818.40 Набор Daily Elegance, синий")</f>
      </c>
      <c r="C24094" s="4" t="n">
        <v>4164.00</v>
      </c>
      <c r="D24094" s="4"/>
    </row>
    <row collapsed="" customFormat="false" customHeight="1" hidden="" ht="14" outlineLevel="0" r="24095">
      <c r="A24095" s="3" t="inlineStr">
        <is>
          <t>24004</t>
        </is>
      </c>
      <c r="B24095" s="4" t="s">
        <f>=HYPERLINK("http://anyluxury.ru/shop/podarochnye-nabory/novogodnie/nabor-dlya-lepki-snegovika-vse-povzroslomu-bez-sharfa-30158/" , "30158 Набор для лепки снеговика «Все по-взрослому», без шарфа")</f>
      </c>
      <c r="C24095" s="4" t="n">
        <v>2618.00</v>
      </c>
      <c r="D24095" s="4"/>
    </row>
    <row collapsed="" customFormat="false" customHeight="1" hidden="" ht="14" outlineLevel="0" r="24096">
      <c r="A24096" s="3" t="inlineStr">
        <is>
          <t>24005</t>
        </is>
      </c>
      <c r="B24096" s="4" t="s">
        <f>=HYPERLINK("http://anyluxury.ru/shop/podarochnye-nabory/novogodnie/nabor-beliybeliy-3797960/" , "37979.60 Набор «Белый-белый»")</f>
      </c>
      <c r="C24096" s="4" t="n">
        <v>3000.00</v>
      </c>
      <c r="D24096" s="4"/>
    </row>
    <row collapsed="" customFormat="false" customHeight="1" hidden="" ht="14" outlineLevel="0" r="24097">
      <c r="A24097" s="3" t="inlineStr">
        <is>
          <t>24006</t>
        </is>
      </c>
      <c r="B24097" s="4" t="s">
        <f>=HYPERLINK("http://anyluxury.ru/shop/podarochnye-nabory/novogodnie/nabor-zima-v-ladoshke-seriy-1916110/" , "19161.10 Набор «Зима в ладошке», серый")</f>
      </c>
      <c r="C24097" s="4" t="n">
        <v>2264.00</v>
      </c>
      <c r="D24097" s="4"/>
    </row>
    <row collapsed="" customFormat="false" customHeight="" hidden="" ht="12.1" outlineLevel="0" r="24098">
      <c r="A24098" s="5" t="inlineStr">
        <is>
          <t> -  - Продуктовые наборы</t>
        </is>
      </c>
      <c r="B24098" s="6"/>
      <c r="C24098" s="6"/>
      <c r="D24098" s="6"/>
    </row>
    <row collapsed="" customFormat="false" customHeight="1" hidden="" ht="14" outlineLevel="0" r="24099">
      <c r="A24099" s="3" t="inlineStr">
        <is>
          <t>24007</t>
        </is>
      </c>
      <c r="B24099" s="4" t="s">
        <f>=HYPERLINK("http://anyluxury.ru/shop/podarochnye-nabory/produktovye-nabory/nabor-sweeting-nuts-796200/" , "7962.00 Набор Sweeting Nuts")</f>
      </c>
      <c r="C24099" s="4" t="n">
        <v>1324.90</v>
      </c>
      <c r="D24099" s="4"/>
    </row>
    <row collapsed="" customFormat="false" customHeight="1" hidden="" ht="14" outlineLevel="0" r="24100">
      <c r="A24100" s="3" t="inlineStr">
        <is>
          <t>24008</t>
        </is>
      </c>
      <c r="B24100" s="4" t="s">
        <f>=HYPERLINK("http://anyluxury.ru/shop/podarochnye-nabory/produktovye-nabory/nabor-sweetea-799300/" , "7993.00 Набор Sweetea")</f>
      </c>
      <c r="C24100" s="4" t="n">
        <v>1378.10</v>
      </c>
      <c r="D24100" s="4"/>
    </row>
    <row collapsed="" customFormat="false" customHeight="1" hidden="" ht="14" outlineLevel="0" r="24101">
      <c r="A24101" s="3" t="inlineStr">
        <is>
          <t>24009</t>
        </is>
      </c>
      <c r="B24101" s="4" t="s">
        <f>=HYPERLINK("http://anyluxury.ru/shop/podarochnye-nabory/produktovye-nabory/nabor-fortune-10157/" , "10157 Набор Fortune")</f>
      </c>
      <c r="C24101" s="4" t="n">
        <v>2559.00</v>
      </c>
      <c r="D24101" s="4"/>
    </row>
    <row collapsed="" customFormat="false" customHeight="1" hidden="" ht="14" outlineLevel="0" r="24102">
      <c r="A24102" s="3" t="inlineStr">
        <is>
          <t>24010</t>
        </is>
      </c>
      <c r="B24102" s="4" t="s">
        <f>=HYPERLINK("http://anyluxury.ru/shop/podarochnye-nabory/produktovye-nabory/nabor-kernel-10158/" , "10158 Набор Kernel")</f>
      </c>
      <c r="C24102" s="4" t="n">
        <v>2628.00</v>
      </c>
      <c r="D24102" s="4"/>
    </row>
    <row collapsed="" customFormat="false" customHeight="1" hidden="" ht="14" outlineLevel="0" r="24103">
      <c r="A24103" s="3" t="inlineStr">
        <is>
          <t>24011</t>
        </is>
      </c>
      <c r="B24103" s="4" t="s">
        <f>=HYPERLINK("http://anyluxury.ru/shop/podarochnye-nabory/produktovye-nabory/nabor-iz-6-pirozhnih-makaron-7501100/" , "75011.00 Набор из 6 пирожных макарон")</f>
      </c>
      <c r="C24103" s="4" t="n">
        <v>529.00</v>
      </c>
      <c r="D24103" s="4"/>
    </row>
    <row collapsed="" customFormat="false" customHeight="1" hidden="" ht="14" outlineLevel="0" r="24104">
      <c r="A24104" s="3" t="inlineStr">
        <is>
          <t>24012</t>
        </is>
      </c>
      <c r="B24104" s="4" t="s">
        <f>=HYPERLINK("http://anyluxury.ru/shop/podarochnye-nabory/produktovye-nabory/nabor-iz-9-pirozhnih-makaron-7501200/" , "75012.00 Набор из 9 пирожных макарон")</f>
      </c>
      <c r="C24104" s="4" t="n">
        <v>809.00</v>
      </c>
      <c r="D24104" s="4"/>
    </row>
    <row collapsed="" customFormat="false" customHeight="1" hidden="" ht="14" outlineLevel="0" r="24105">
      <c r="A24105" s="3" t="inlineStr">
        <is>
          <t>24013</t>
        </is>
      </c>
      <c r="B24105" s="4" t="s">
        <f>=HYPERLINK("http://anyluxury.ru/shop/podarochnye-nabory/produktovye-nabory/nabor-iz-18-pirozhnih-makaron-7501300/" , "75013.00 Набор из 18 пирожных макарон")</f>
      </c>
      <c r="C24105" s="4" t="n">
        <v>1619.00</v>
      </c>
      <c r="D24105" s="4"/>
    </row>
    <row collapsed="" customFormat="false" customHeight="1" hidden="" ht="14" outlineLevel="0" r="24106">
      <c r="A24106" s="3" t="inlineStr">
        <is>
          <t>24014</t>
        </is>
      </c>
      <c r="B24106" s="4" t="s">
        <f>=HYPERLINK("http://anyluxury.ru/shop/podarochnye-nabory/produktovye-nabory/nabor-iz-9-pirozhnih-makaron-v-korobke-s-okoshkom-7501400/" , "75014.00 Набор из 9 пирожных макарон, в коробке с окошком")</f>
      </c>
      <c r="C24106" s="4" t="n">
        <v>1109.00</v>
      </c>
      <c r="D24106" s="4"/>
    </row>
    <row collapsed="" customFormat="false" customHeight="1" hidden="" ht="14" outlineLevel="0" r="24107">
      <c r="A24107" s="3" t="inlineStr">
        <is>
          <t>24015</t>
        </is>
      </c>
      <c r="B24107" s="4" t="s">
        <f>=HYPERLINK("http://anyluxury.ru/shop/podarochnye-nabory/produktovye-nabory/nabor-jammy-taster-zeleniy-1181390/" , "11813.90 Набор Jammy Taster, зеленый")</f>
      </c>
      <c r="C24107" s="4" t="n">
        <v>1211.90</v>
      </c>
      <c r="D24107" s="4"/>
    </row>
    <row collapsed="" customFormat="false" customHeight="1" hidden="" ht="14" outlineLevel="0" r="24108">
      <c r="A24108" s="3" t="inlineStr">
        <is>
          <t>24016</t>
        </is>
      </c>
      <c r="B24108" s="4" t="s">
        <f>=HYPERLINK("http://anyluxury.ru/shop/podarochnye-nabory/produktovye-nabory/podarochnyy-nabor-klassika-baleta-/" , "AB2020075 Подарочный набор 'Классика балета' ")</f>
      </c>
      <c r="C24108" s="4" t="n">
        <v>1485.00</v>
      </c>
      <c r="D24108" s="4"/>
    </row>
    <row collapsed="" customFormat="false" customHeight="1" hidden="" ht="14" outlineLevel="0" r="24109">
      <c r="A24109" s="3" t="inlineStr">
        <is>
          <t>24017</t>
        </is>
      </c>
      <c r="B24109" s="4" t="s">
        <f>=HYPERLINK("http://anyluxury.ru/shop/podarochnye-nabory/produktovye-nabory/nabor-chatter-cherniy-s-belim-1235436/" , "12354.36 Набор Chatter, черный с белым")</f>
      </c>
      <c r="C24109" s="4" t="n">
        <v>4646.00</v>
      </c>
      <c r="D24109" s="4"/>
    </row>
    <row collapsed="" customFormat="false" customHeight="1" hidden="" ht="14" outlineLevel="0" r="24110">
      <c r="A24110" s="3" t="inlineStr">
        <is>
          <t>24018</t>
        </is>
      </c>
      <c r="B24110" s="4" t="s">
        <f>=HYPERLINK("http://anyluxury.ru/shop/podarochnye-nabory/produktovye-nabory/nabor-sweets-tweets-13891/" , "13891 Набор Sweets Tweets")</f>
      </c>
      <c r="C24110" s="4" t="n">
        <v>959.00</v>
      </c>
      <c r="D24110" s="4"/>
    </row>
    <row collapsed="" customFormat="false" customHeight="1" hidden="" ht="14" outlineLevel="0" r="24111">
      <c r="A24111" s="3" t="inlineStr">
        <is>
          <t>24019</t>
        </is>
      </c>
      <c r="B24111" s="4" t="s">
        <f>=HYPERLINK("http://anyluxury.ru/shop/podarochnye-nabory/produktovye-nabory/nabor-marmalade-seriy-1389511/" , "13895.11 Набор Marmalade, серый")</f>
      </c>
      <c r="C24111" s="4" t="n">
        <v>2240.00</v>
      </c>
      <c r="D24111" s="4"/>
    </row>
    <row collapsed="" customFormat="false" customHeight="1" hidden="" ht="14" outlineLevel="0" r="24112">
      <c r="A24112" s="3" t="inlineStr">
        <is>
          <t>24020</t>
        </is>
      </c>
      <c r="B24112" s="4" t="s">
        <f>=HYPERLINK("http://anyluxury.ru/shop/podarochnye-nabory/produktovye-nabory/nabor-sousov-k-myasu-i-sirnoy-tarelke-sweet-aid-12789/" , "12789 Набор соусов к мясу и сырной тарелке Sweet Aid")</f>
      </c>
      <c r="C24112" s="4" t="n">
        <v>1250.00</v>
      </c>
      <c r="D24112" s="4"/>
    </row>
    <row collapsed="" customFormat="false" customHeight="1" hidden="" ht="14" outlineLevel="0" r="24113">
      <c r="A24113" s="3" t="inlineStr">
        <is>
          <t>24021</t>
        </is>
      </c>
      <c r="B24113" s="4" t="s">
        <f>=HYPERLINK("http://anyluxury.ru/shop/podarochnye-nabory/produktovye-nabory/podarochnyy-nabor-tikhiy-bereg/" , "AB2020056 Подарочный набор 'Тихий берег'")</f>
      </c>
      <c r="C24113" s="4" t="n">
        <v>3520.00</v>
      </c>
      <c r="D24113" s="4"/>
    </row>
    <row collapsed="" customFormat="false" customHeight="1" hidden="" ht="14" outlineLevel="0" r="24114">
      <c r="A24114" s="3" t="inlineStr">
        <is>
          <t>24022</t>
        </is>
      </c>
      <c r="B24114" s="4" t="s">
        <f>=HYPERLINK("http://anyluxury.ru/shop/podarochnye-nabory/produktovye-nabory/podarochnyy-nabor-ridikyul/" , "AB2020071 Подарочный набор 'Ридикюль'")</f>
      </c>
      <c r="C24114" s="4" t="n">
        <v>5900.00</v>
      </c>
      <c r="D24114" s="4"/>
    </row>
    <row collapsed="" customFormat="false" customHeight="1" hidden="" ht="14" outlineLevel="0" r="24115">
      <c r="A24115" s="3" t="inlineStr">
        <is>
          <t>24023</t>
        </is>
      </c>
      <c r="B24115" s="4" t="s">
        <f>=HYPERLINK("http://anyluxury.ru/shop/podarochnye-nabory/produktovye-nabory/podarochnyy-nabor-klatch-/" , "AB2020072 Подарочный набор 'Клатч' ")</f>
      </c>
      <c r="C24115" s="4" t="n">
        <v>4600.00</v>
      </c>
      <c r="D24115" s="4"/>
    </row>
    <row collapsed="" customFormat="false" customHeight="1" hidden="" ht="14" outlineLevel="0" r="24116">
      <c r="A24116" s="3" t="inlineStr">
        <is>
          <t>24024</t>
        </is>
      </c>
      <c r="B24116" s="4" t="s">
        <f>=HYPERLINK("http://anyluxury.ru/shop/podarochnye-nabory/produktovye-nabory/podarochnyy-nabor-zolotaya-kollektsiya-altaya-mini/" , "AB2020093 Подарочный набор 'Золотая коллекция Алтая' мини")</f>
      </c>
      <c r="C24116" s="4" t="n">
        <v>5820.00</v>
      </c>
      <c r="D24116" s="4"/>
    </row>
    <row collapsed="" customFormat="false" customHeight="1" hidden="" ht="14" outlineLevel="0" r="24117">
      <c r="A24117" s="3" t="inlineStr">
        <is>
          <t>24025</t>
        </is>
      </c>
      <c r="B24117" s="4" t="s">
        <f>=HYPERLINK("http://anyluxury.ru/shop/podarochnye-nabory/produktovye-nabory/podarochnyy-nabor-zolotaya-kollektsiya-rossii/" , "AB2020102 Подарочный набор'Золотая коллекция России'")</f>
      </c>
      <c r="C24117" s="4" t="n">
        <v>17000.00</v>
      </c>
      <c r="D24117" s="4"/>
    </row>
    <row collapsed="" customFormat="false" customHeight="1" hidden="" ht="14" outlineLevel="0" r="24118">
      <c r="A24118" s="3" t="inlineStr">
        <is>
          <t>24026</t>
        </is>
      </c>
      <c r="B24118" s="4" t="s">
        <f>=HYPERLINK("http://anyluxury.ru/shop/podarochnye-nabory/produktovye-nabory/podarochnyy-nabor-oranzhevoe-zoloto-/" , "AB2020104 Подарочный набор 'Оранжевое золото ' ")</f>
      </c>
      <c r="C24118" s="4" t="n">
        <v>7150.00</v>
      </c>
      <c r="D24118" s="4"/>
    </row>
    <row collapsed="" customFormat="false" customHeight="1" hidden="" ht="14" outlineLevel="0" r="24119">
      <c r="A24119" s="3" t="inlineStr">
        <is>
          <t>24027</t>
        </is>
      </c>
      <c r="B24119" s="4" t="s">
        <f>=HYPERLINK("http://anyluxury.ru/shop/podarochnye-nabory/produktovye-nabory/nabor-bannoe-chaepitie-12958/" , "12958 Набор «Банное чаепитие»")</f>
      </c>
      <c r="C24119" s="4" t="n">
        <v>660.10</v>
      </c>
      <c r="D24119" s="4"/>
    </row>
    <row collapsed="" customFormat="false" customHeight="1" hidden="" ht="14" outlineLevel="0" r="24120">
      <c r="A24120" s="3" t="inlineStr">
        <is>
          <t>24028</t>
        </is>
      </c>
      <c r="B24120" s="4" t="s">
        <f>=HYPERLINK("http://anyluxury.ru/shop/podarochnye-nabory/produktovye-nabory/podarochnyy-nabor-zolotaya-kollektsiya-kuzbassa-predzakaz/" , "AB2020103 Подарочный набор 'Золотая коллекция Кузбасса' (предзаказ)")</f>
      </c>
      <c r="C24120" s="4" t="n">
        <v>10340.00</v>
      </c>
      <c r="D24120" s="4"/>
    </row>
    <row collapsed="" customFormat="false" customHeight="1" hidden="" ht="14" outlineLevel="0" r="24121">
      <c r="A24121" s="3" t="inlineStr">
        <is>
          <t>24029</t>
        </is>
      </c>
      <c r="B24121" s="4" t="s">
        <f>=HYPERLINK("http://anyluxury.ru/shop/podarochnye-nabory/produktovye-nabory/podarochnyy-nabor-klatch/" , "AB01010002 Подарочный набор 'Клатч'")</f>
      </c>
      <c r="C24121" s="4" t="n">
        <v>4070.00</v>
      </c>
      <c r="D24121" s="4"/>
    </row>
    <row collapsed="" customFormat="false" customHeight="1" hidden="" ht="14" outlineLevel="0" r="24122">
      <c r="A24122" s="3" t="inlineStr">
        <is>
          <t>24030</t>
        </is>
      </c>
      <c r="B24122" s="4" t="s">
        <f>=HYPERLINK("http://anyluxury.ru/shop/podarochnye-nabory/produktovye-nabory/podarochnyy-nabor-lovi-moment-/" , "AB01010003 Подарочный набор 'Лови момент' ")</f>
      </c>
      <c r="C24122" s="4" t="n">
        <v>1738.00</v>
      </c>
      <c r="D24122" s="4"/>
    </row>
    <row collapsed="" customFormat="false" customHeight="1" hidden="" ht="14" outlineLevel="0" r="24123">
      <c r="A24123" s="3" t="inlineStr">
        <is>
          <t>24031</t>
        </is>
      </c>
      <c r="B24123" s="4" t="s">
        <f>=HYPERLINK("http://anyluxury.ru/shop/podarochnye-nabory/produktovye-nabory/podarochnyy-nabor-ekogostinets-4-/" , "AB01010007 Подарочный набор 'Экогостинец №4' ")</f>
      </c>
      <c r="C24123" s="4" t="n">
        <v>1815.00</v>
      </c>
      <c r="D24123" s="4"/>
    </row>
    <row collapsed="" customFormat="false" customHeight="1" hidden="" ht="14" outlineLevel="0" r="24124">
      <c r="A24124" s="3" t="inlineStr">
        <is>
          <t>24032</t>
        </is>
      </c>
      <c r="B24124" s="4" t="s">
        <f>=HYPERLINK("http://anyluxury.ru/shop/podarochnye-nabory/produktovye-nabory/nabor-chaynaya-pauza-zeleniy-s-belim-1356990/" , "13569.90 Набор «Чайная пауза», зеленый с белым")</f>
      </c>
      <c r="C24124" s="4" t="n">
        <v>988.10</v>
      </c>
      <c r="D24124" s="4"/>
    </row>
    <row collapsed="" customFormat="false" customHeight="1" hidden="" ht="14" outlineLevel="0" r="24125">
      <c r="A24125" s="3" t="inlineStr">
        <is>
          <t>24033</t>
        </is>
      </c>
      <c r="B24125" s="4" t="s">
        <f>=HYPERLINK("http://anyluxury.ru/shop/podarochnye-nabory/produktovye-nabory/nabor-raggu-1358100/" , "13581.00 Набор Raggu")</f>
      </c>
      <c r="C24125" s="4" t="n">
        <v>2488.00</v>
      </c>
      <c r="D24125" s="4"/>
    </row>
    <row collapsed="" customFormat="false" customHeight="1" hidden="" ht="14" outlineLevel="0" r="24126">
      <c r="A24126" s="3" t="inlineStr">
        <is>
          <t>24034</t>
        </is>
      </c>
      <c r="B24126" s="4" t="s">
        <f>=HYPERLINK("http://anyluxury.ru/shop/podarochnye-nabory/produktovye-nabory/nabor-dzhemov-best-berries-iz-sadovih-yagod-1338701/" , "13387.01 Набор джемов Best Berries из садовых ягод")</f>
      </c>
      <c r="C24126" s="4" t="n">
        <v>382.50</v>
      </c>
      <c r="D24126" s="4"/>
    </row>
    <row collapsed="" customFormat="false" customHeight="1" hidden="" ht="14" outlineLevel="0" r="24127">
      <c r="A24127" s="3" t="inlineStr">
        <is>
          <t>24035</t>
        </is>
      </c>
      <c r="B24127" s="4" t="s">
        <f>=HYPERLINK("http://anyluxury.ru/shop/podarochnye-nabory/produktovye-nabory/nabor-dzhemov-best-berries-iz-lesnih-yagod-1338702/" , "13387.02 Набор джемов Best Berries из лесных ягод")</f>
      </c>
      <c r="C24127" s="4" t="n">
        <v>342.50</v>
      </c>
      <c r="D24127" s="4"/>
    </row>
    <row collapsed="" customFormat="false" customHeight="1" hidden="" ht="14" outlineLevel="0" r="24128">
      <c r="A24128" s="3" t="inlineStr">
        <is>
          <t>24036</t>
        </is>
      </c>
      <c r="B24128" s="4" t="s">
        <f>=HYPERLINK("http://anyluxury.ru/shop/podarochnye-nabory/produktovye-nabory/podarochnyy-nabor-ekogostinets-6-new/" , "AB2020160 Подарочный набор 'Экогостинец №6'")</f>
      </c>
      <c r="C24128" s="4" t="n">
        <v>946.00</v>
      </c>
      <c r="D24128" s="4"/>
    </row>
    <row collapsed="" customFormat="false" customHeight="1" hidden="" ht="14" outlineLevel="0" r="24129">
      <c r="A24129" s="3" t="inlineStr">
        <is>
          <t>24037</t>
        </is>
      </c>
      <c r="B24129" s="4" t="s">
        <f>=HYPERLINK("http://anyluxury.ru/shop/podarochnye-nabory/produktovye-nabory/podarochnyy-nabor-ekogostinets-3-new/" , "AB2020158 Подарочный набор 'Экогостинец №3'")</f>
      </c>
      <c r="C24129" s="4" t="n">
        <v>5507.00</v>
      </c>
      <c r="D24129" s="4"/>
    </row>
    <row collapsed="" customFormat="false" customHeight="1" hidden="" ht="14" outlineLevel="0" r="24130">
      <c r="A24130" s="3" t="inlineStr">
        <is>
          <t>24038</t>
        </is>
      </c>
      <c r="B24130" s="4" t="s">
        <f>=HYPERLINK("http://anyluxury.ru/shop/podarochnye-nabory/produktovye-nabory/nabor-upravgeniy-71514/" , "71514 Набор «Управгений»")</f>
      </c>
      <c r="C24130" s="4" t="n">
        <v>1483.80</v>
      </c>
      <c r="D24130" s="4"/>
    </row>
    <row collapsed="" customFormat="false" customHeight="1" hidden="" ht="14" outlineLevel="0" r="24131">
      <c r="A24131" s="3" t="inlineStr">
        <is>
          <t>24039</t>
        </is>
      </c>
      <c r="B24131" s="4" t="s">
        <f>=HYPERLINK("http://anyluxury.ru/shop/podarochnye-nabory/produktovye-nabory/nabor-freshly-ground-kraft-1358500/" , "13585.00 Набор Freshly Ground, крафт")</f>
      </c>
      <c r="C24131" s="4" t="n">
        <v>1996.40</v>
      </c>
      <c r="D24131" s="4"/>
    </row>
    <row collapsed="" customFormat="false" customHeight="1" hidden="" ht="14" outlineLevel="0" r="24132">
      <c r="A24132" s="3" t="inlineStr">
        <is>
          <t>24040</t>
        </is>
      </c>
      <c r="B24132" s="4" t="s">
        <f>=HYPERLINK("http://anyluxury.ru/shop/podarochnye-nabory/produktovye-nabory/nabor-freshly-ground-cherniy-1358530/" , "13585.30 Набор Freshly Ground, черный")</f>
      </c>
      <c r="C24132" s="4" t="n">
        <v>1996.40</v>
      </c>
      <c r="D24132" s="4"/>
    </row>
    <row collapsed="" customFormat="false" customHeight="1" hidden="" ht="14" outlineLevel="0" r="24133">
      <c r="A24133" s="3" t="inlineStr">
        <is>
          <t>24041</t>
        </is>
      </c>
      <c r="B24133" s="4" t="s">
        <f>=HYPERLINK("http://anyluxury.ru/shop/podarochnye-nabory/produktovye-nabory/nabor-freshly-ground-beliy-1358560/" , "13585.60 Набор Freshly Ground, белый")</f>
      </c>
      <c r="C24133" s="4" t="n">
        <v>1996.40</v>
      </c>
      <c r="D24133" s="4"/>
    </row>
    <row collapsed="" customFormat="false" customHeight="1" hidden="" ht="14" outlineLevel="0" r="24134">
      <c r="A24134" s="3" t="inlineStr">
        <is>
          <t>24042</t>
        </is>
      </c>
      <c r="B24134" s="4" t="s">
        <f>=HYPERLINK("http://anyluxury.ru/shop/podarochnye-nabory/produktovye-nabory/nabor-filter-coffee-kraft-1358400/" , "13584.00 Набор Filter Coffee, крафт")</f>
      </c>
      <c r="C24134" s="4" t="n">
        <v>3324.00</v>
      </c>
      <c r="D24134" s="4"/>
    </row>
    <row collapsed="" customFormat="false" customHeight="1" hidden="" ht="14" outlineLevel="0" r="24135">
      <c r="A24135" s="3" t="inlineStr">
        <is>
          <t>24043</t>
        </is>
      </c>
      <c r="B24135" s="4" t="s">
        <f>=HYPERLINK("http://anyluxury.ru/shop/podarochnye-nabory/produktovye-nabory/nabor-filter-coffee-cherniy-1358430/" , "13584.30 Набор Filter Coffee, черный")</f>
      </c>
      <c r="C24135" s="4" t="n">
        <v>3324.00</v>
      </c>
      <c r="D24135" s="4"/>
    </row>
    <row collapsed="" customFormat="false" customHeight="1" hidden="" ht="14" outlineLevel="0" r="24136">
      <c r="A24136" s="3" t="inlineStr">
        <is>
          <t>24044</t>
        </is>
      </c>
      <c r="B24136" s="4" t="s">
        <f>=HYPERLINK("http://anyluxury.ru/shop/podarochnye-nabory/produktovye-nabory/nabor-filter-coffee-beliy-1358460/" , "13584.60 Набор Filter Coffee, белый")</f>
      </c>
      <c r="C24136" s="4" t="n">
        <v>3324.00</v>
      </c>
      <c r="D24136" s="4"/>
    </row>
    <row collapsed="" customFormat="false" customHeight="1" hidden="" ht="14" outlineLevel="0" r="24137">
      <c r="A24137" s="3" t="inlineStr">
        <is>
          <t>24045</t>
        </is>
      </c>
      <c r="B24137" s="4" t="s">
        <f>=HYPERLINK("http://anyluxury.ru/shop/podarochnye-nabory/produktovye-nabory/podarochnyy-nabor-zolotaya-kollektsiya-sibiri/" , "AB202213 Подарочный набор 'Золотая коллекция Сибири'")</f>
      </c>
      <c r="C24137" s="4" t="n">
        <v>10573.00</v>
      </c>
      <c r="D24137" s="4"/>
    </row>
    <row collapsed="" customFormat="false" customHeight="1" hidden="" ht="14" outlineLevel="0" r="24138">
      <c r="A24138" s="3" t="inlineStr">
        <is>
          <t>24046</t>
        </is>
      </c>
      <c r="B24138" s="4" t="s">
        <f>=HYPERLINK("http://anyluxury.ru/shop/podarochnye-nabory/produktovye-nabory/nabor-chayniy-tea-party-siniy-1889703/" , "18897.03 Набор чайный Tea Party, синий")</f>
      </c>
      <c r="C24138" s="4" t="n">
        <v>1638.00</v>
      </c>
      <c r="D24138" s="4"/>
    </row>
    <row collapsed="" customFormat="false" customHeight="1" hidden="" ht="14" outlineLevel="0" r="24139">
      <c r="A24139" s="3" t="inlineStr">
        <is>
          <t>24047</t>
        </is>
      </c>
      <c r="B24139" s="4" t="s">
        <f>=HYPERLINK("http://anyluxury.ru/shop/podarochnye-nabory/produktovye-nabory/nabor-honey-tasterver2-beliy-1168202/" , "11682.02 Набор Honey Taster, ver.2, белый")</f>
      </c>
      <c r="C24139" s="4" t="n">
        <v>1594.40</v>
      </c>
      <c r="D24139" s="4"/>
    </row>
    <row collapsed="" customFormat="false" customHeight="1" hidden="" ht="14" outlineLevel="0" r="24140">
      <c r="A24140" s="3" t="inlineStr">
        <is>
          <t>24048</t>
        </is>
      </c>
      <c r="B24140" s="4" t="s">
        <f>=HYPERLINK("http://anyluxury.ru/shop/podarochnye-nabory/produktovye-nabory/nabor-vse-medvedi-lyubyat-med-1434701/" , "14347.01 Набор «Все медведи любят мед»")</f>
      </c>
      <c r="C24140" s="4" t="n">
        <v>1712.00</v>
      </c>
      <c r="D24140" s="4"/>
    </row>
    <row collapsed="" customFormat="false" customHeight="1" hidden="" ht="14" outlineLevel="0" r="24141">
      <c r="A24141" s="3" t="inlineStr">
        <is>
          <t>24049</t>
        </is>
      </c>
      <c r="B24141" s="4" t="s">
        <f>=HYPERLINK("http://anyluxury.ru/shop/podarochnye-nabory/produktovye-nabory/nabor-good-smile-myata-1426801/" , "14268.01 Набор Good Smile, мята")</f>
      </c>
      <c r="C24141" s="4" t="n">
        <v>660.50</v>
      </c>
      <c r="D24141" s="4"/>
    </row>
    <row collapsed="" customFormat="false" customHeight="1" hidden="" ht="14" outlineLevel="0" r="24142">
      <c r="A24142" s="3" t="inlineStr">
        <is>
          <t>24050</t>
        </is>
      </c>
      <c r="B24142" s="4" t="s">
        <f>=HYPERLINK("http://anyluxury.ru/shop/podarochnye-nabory/produktovye-nabory/nabor-good-smile-lesnie-yagodi-1426802/" , "14268.02 Набор Good Smile, лесные ягоды")</f>
      </c>
      <c r="C24142" s="4" t="n">
        <v>656.40</v>
      </c>
      <c r="D24142" s="4"/>
    </row>
    <row collapsed="" customFormat="false" customHeight="1" hidden="" ht="14" outlineLevel="0" r="24143">
      <c r="A24143" s="3" t="inlineStr">
        <is>
          <t>24051</t>
        </is>
      </c>
      <c r="B24143" s="4" t="s">
        <f>=HYPERLINK("http://anyluxury.ru/shop/podarochnye-nabory/produktovye-nabory/nabor-good-smile-citrus-1426803/" , "14268.03 Набор Good Smile, цитрус")</f>
      </c>
      <c r="C24143" s="4" t="n">
        <v>656.40</v>
      </c>
      <c r="D24143" s="4"/>
    </row>
    <row collapsed="" customFormat="false" customHeight="1" hidden="" ht="14" outlineLevel="0" r="24144">
      <c r="A24144" s="3" t="inlineStr">
        <is>
          <t>24052</t>
        </is>
      </c>
      <c r="B24144" s="4" t="s">
        <f>=HYPERLINK("http://anyluxury.ru/shop/podarochnye-nabory/produktovye-nabory/nabor-good-smile-yabloko-i-korica-1426804/" , "14268.04 Набор Good Smile, яблоко и корица")</f>
      </c>
      <c r="C24144" s="4" t="n">
        <v>660.50</v>
      </c>
      <c r="D24144" s="4"/>
    </row>
    <row collapsed="" customFormat="false" customHeight="1" hidden="" ht="14" outlineLevel="0" r="24145">
      <c r="A24145" s="3" t="inlineStr">
        <is>
          <t>24053</t>
        </is>
      </c>
      <c r="B24145" s="4" t="s">
        <f>=HYPERLINK("http://anyluxury.ru/shop/podarochnye-nabory/produktovye-nabory/nabor-russian-spa-s-sinim-polotencem-1268540/" , "12685.40 Набор Russian SPA, с синим полотенцем")</f>
      </c>
      <c r="C24145" s="4" t="n">
        <v>2247.00</v>
      </c>
      <c r="D24145" s="4"/>
    </row>
    <row collapsed="" customFormat="false" customHeight="1" hidden="" ht="14" outlineLevel="0" r="24146">
      <c r="A24146" s="3" t="inlineStr">
        <is>
          <t>24054</t>
        </is>
      </c>
      <c r="B24146" s="4" t="s">
        <f>=HYPERLINK("http://anyluxury.ru/shop/podarochnye-nabory/produktovye-nabory/nabor-russian-spa-s-krasnim-polotencem-1268555/" , "12685.55 Набор Russian SPA, с красным полотенцем")</f>
      </c>
      <c r="C24146" s="4" t="n">
        <v>2247.00</v>
      </c>
      <c r="D24146" s="4"/>
    </row>
    <row collapsed="" customFormat="false" customHeight="1" hidden="" ht="14" outlineLevel="0" r="24147">
      <c r="A24147" s="3" t="inlineStr">
        <is>
          <t>24055</t>
        </is>
      </c>
      <c r="B24147" s="4" t="s">
        <f>=HYPERLINK("http://anyluxury.ru/shop/podarochnye-nabory/produktovye-nabory/nabor-russian-spa-s-belim-polotencem-1268560/" , "12685.60 Набор Russian SPA, с белым полотенцем")</f>
      </c>
      <c r="C24147" s="4" t="n">
        <v>2247.00</v>
      </c>
      <c r="D24147" s="4"/>
    </row>
    <row collapsed="" customFormat="false" customHeight="1" hidden="" ht="14" outlineLevel="0" r="24148">
      <c r="A24148" s="3" t="inlineStr">
        <is>
          <t>24056</t>
        </is>
      </c>
      <c r="B24148" s="4" t="s">
        <f>=HYPERLINK("http://anyluxury.ru/shop/podarochnye-nabory/produktovye-nabory/podarochnyy-nabor-23-fevralya-3-new/" , "AB202321 Подарочный набор '23 февраля №3   New")</f>
      </c>
      <c r="C24148" s="4" t="n">
        <v>854.00</v>
      </c>
      <c r="D24148" s="4"/>
    </row>
    <row collapsed="" customFormat="false" customHeight="1" hidden="" ht="14" outlineLevel="0" r="24149">
      <c r="A24149" s="3" t="inlineStr">
        <is>
          <t>24057</t>
        </is>
      </c>
      <c r="B24149" s="4" t="s">
        <f>=HYPERLINK("http://anyluxury.ru/shop/podarochnye-nabory/produktovye-nabory/podarochnyy-nabor-23-fevralya-2-new/" , "AB202320 Подарочный набор '23 февраля №2' New")</f>
      </c>
      <c r="C24149" s="4" t="n">
        <v>2134.00</v>
      </c>
      <c r="D24149" s="4"/>
    </row>
    <row collapsed="" customFormat="false" customHeight="1" hidden="" ht="14" outlineLevel="0" r="24150">
      <c r="A24150" s="3" t="inlineStr">
        <is>
          <t>24058</t>
        </is>
      </c>
      <c r="B24150" s="4" t="s">
        <f>=HYPERLINK("http://anyluxury.ru/shop/podarochnye-nabory/produktovye-nabory/podarochnyy-nabor-23-fevralya-1-new/" , "AB202319 Подарочный набор '23 февраля №1'  New")</f>
      </c>
      <c r="C24150" s="4" t="n">
        <v>11640.00</v>
      </c>
      <c r="D24150" s="4"/>
    </row>
    <row collapsed="" customFormat="false" customHeight="1" hidden="" ht="14" outlineLevel="0" r="24151">
      <c r="A24151" s="3" t="inlineStr">
        <is>
          <t>24059</t>
        </is>
      </c>
      <c r="B24151" s="4" t="s">
        <f>=HYPERLINK("http://anyluxury.ru/shop/podarochnye-nabory/produktovye-nabory/podarochnyy-nabor-uyut-3-new-/" , "AB202316 Подарочный набор 'Уют №3' New  ")</f>
      </c>
      <c r="C24151" s="4" t="n">
        <v>3056.00</v>
      </c>
      <c r="D24151" s="4"/>
    </row>
    <row collapsed="" customFormat="false" customHeight="1" hidden="" ht="14" outlineLevel="0" r="24152">
      <c r="A24152" s="3" t="inlineStr">
        <is>
          <t>24060</t>
        </is>
      </c>
      <c r="B24152" s="4" t="s">
        <f>=HYPERLINK("http://anyluxury.ru/shop/podarochnye-nabory/produktovye-nabory/podarochnyy-nabor-uyut-2-new-/" , "AB202315 Подарочный набор 'Уют №2' New  ")</f>
      </c>
      <c r="C24152" s="4" t="n">
        <v>4297.00</v>
      </c>
      <c r="D24152" s="4"/>
    </row>
    <row collapsed="" customFormat="false" customHeight="1" hidden="" ht="14" outlineLevel="0" r="24153">
      <c r="A24153" s="3" t="inlineStr">
        <is>
          <t>24061</t>
        </is>
      </c>
      <c r="B24153" s="4" t="s">
        <f>=HYPERLINK("http://anyluxury.ru/shop/podarochnye-nabory/produktovye-nabory/podarochnyy-nabor-uyut-1-new-/" , "AB202314 Подарочный набор 'Уют №1' New  ")</f>
      </c>
      <c r="C24153" s="4" t="n">
        <v>4297.00</v>
      </c>
      <c r="D24153" s="4"/>
    </row>
    <row collapsed="" customFormat="false" customHeight="1" hidden="" ht="14" outlineLevel="0" r="24154">
      <c r="A24154" s="3" t="inlineStr">
        <is>
          <t>24062</t>
        </is>
      </c>
      <c r="B24154" s="4" t="s">
        <f>=HYPERLINK("http://anyluxury.ru/shop/podarochnye-nabory/produktovye-nabory/podarochnyy-nabor-eko-4-new-/" , "AB202312 Подарочный набор 'Эко №4' New  ")</f>
      </c>
      <c r="C24154" s="4" t="n">
        <v>2425.00</v>
      </c>
      <c r="D24154" s="4"/>
    </row>
    <row collapsed="" customFormat="false" customHeight="1" hidden="" ht="14" outlineLevel="0" r="24155">
      <c r="A24155" s="3" t="inlineStr">
        <is>
          <t>24063</t>
        </is>
      </c>
      <c r="B24155" s="4" t="s">
        <f>=HYPERLINK("http://anyluxury.ru/shop/podarochnye-nabory/produktovye-nabory/podarochnyy-nabor-eko-3-new-/" , "AB202311 Подарочный набор 'Эко №3' New  ")</f>
      </c>
      <c r="C24155" s="4" t="n">
        <v>3686.00</v>
      </c>
      <c r="D24155" s="4"/>
    </row>
    <row collapsed="" customFormat="false" customHeight="1" hidden="" ht="14" outlineLevel="0" r="24156">
      <c r="A24156" s="3" t="inlineStr">
        <is>
          <t>24064</t>
        </is>
      </c>
      <c r="B24156" s="4" t="s">
        <f>=HYPERLINK("http://anyluxury.ru/shop/podarochnye-nabory/produktovye-nabory/podarochnyy-nabor-eko-2-new-/" , "AB202310 Подарочный набор 'Эко №2' New  ")</f>
      </c>
      <c r="C24156" s="4" t="n">
        <v>3880.00</v>
      </c>
      <c r="D24156" s="4"/>
    </row>
    <row collapsed="" customFormat="false" customHeight="1" hidden="" ht="14" outlineLevel="0" r="24157">
      <c r="A24157" s="3" t="inlineStr">
        <is>
          <t>24065</t>
        </is>
      </c>
      <c r="B24157" s="4" t="s">
        <f>=HYPERLINK("http://anyluxury.ru/shop/podarochnye-nabory/produktovye-nabory/podarochnyy-nabor-eko-1-new-/" , "AB202309 Подарочный набор 'Эко №1' New  ")</f>
      </c>
      <c r="C24157" s="4" t="n">
        <v>9559.00</v>
      </c>
      <c r="D24157" s="4"/>
    </row>
    <row collapsed="" customFormat="false" customHeight="1" hidden="" ht="14" outlineLevel="0" r="24158">
      <c r="A24158" s="3" t="inlineStr">
        <is>
          <t>24066</t>
        </is>
      </c>
      <c r="B24158" s="4" t="s">
        <f>=HYPERLINK("http://anyluxury.ru/shop/podarochnye-nabory/produktovye-nabory/podarochnyy-nabor-iskusstvo-4-new/" , "AB202308 Подарочный набор 'Искусство №4' New")</f>
      </c>
      <c r="C24158" s="4" t="n">
        <v>1043.00</v>
      </c>
      <c r="D24158" s="4"/>
    </row>
    <row collapsed="" customFormat="false" customHeight="1" hidden="" ht="14" outlineLevel="0" r="24159">
      <c r="A24159" s="3" t="inlineStr">
        <is>
          <t>24067</t>
        </is>
      </c>
      <c r="B24159" s="4" t="s">
        <f>=HYPERLINK("http://anyluxury.ru/shop/podarochnye-nabory/produktovye-nabory/podarochnyy-nabor-iskusstvo-3-new/" , "AB202307 Подарочный набор 'Искусство №3' New")</f>
      </c>
      <c r="C24159" s="4" t="n">
        <v>3861.00</v>
      </c>
      <c r="D24159" s="4"/>
    </row>
    <row collapsed="" customFormat="false" customHeight="1" hidden="" ht="14" outlineLevel="0" r="24160">
      <c r="A24160" s="3" t="inlineStr">
        <is>
          <t>24068</t>
        </is>
      </c>
      <c r="B24160" s="4" t="s">
        <f>=HYPERLINK("http://anyluxury.ru/shop/podarochnye-nabory/produktovye-nabory/podarochnyy-nabor-iskusstvo-2-new/" , "AB202306 Подарочный набор 'Искусство №2' New")</f>
      </c>
      <c r="C24160" s="4" t="n">
        <v>6305.00</v>
      </c>
      <c r="D24160" s="4"/>
    </row>
    <row collapsed="" customFormat="false" customHeight="1" hidden="" ht="14" outlineLevel="0" r="24161">
      <c r="A24161" s="3" t="inlineStr">
        <is>
          <t>24069</t>
        </is>
      </c>
      <c r="B24161" s="4" t="s">
        <f>=HYPERLINK("http://anyluxury.ru/shop/podarochnye-nabory/produktovye-nabory/podarochnyy-nabor-iskusstvo-1-new/" , "AB202305 Подарочный набор 'Искусство №1' New")</f>
      </c>
      <c r="C24161" s="4" t="n">
        <v>8924.00</v>
      </c>
      <c r="D24161" s="4"/>
    </row>
    <row collapsed="" customFormat="false" customHeight="1" hidden="" ht="14" outlineLevel="0" r="24162">
      <c r="A24162" s="3" t="inlineStr">
        <is>
          <t>24070</t>
        </is>
      </c>
      <c r="B24162" s="4" t="s">
        <f>=HYPERLINK("http://anyluxury.ru/shop/podarochnye-nabory/produktovye-nabory/podarochnyy-nabor-biznes-4-new-/" , "AB202304 Подарочный набор 'Бизнес №4' New ")</f>
      </c>
      <c r="C24162" s="4" t="n">
        <v>1023.00</v>
      </c>
      <c r="D24162" s="4"/>
    </row>
    <row collapsed="" customFormat="false" customHeight="1" hidden="" ht="14" outlineLevel="0" r="24163">
      <c r="A24163" s="3" t="inlineStr">
        <is>
          <t>24071</t>
        </is>
      </c>
      <c r="B24163" s="4" t="s">
        <f>=HYPERLINK("http://anyluxury.ru/shop/podarochnye-nabory/produktovye-nabory/podarochnyy-nabor-biznes-3-new/" , "AB202303 Подарочный набор 'Бизнес №3   New")</f>
      </c>
      <c r="C24163" s="4" t="n">
        <v>4074.00</v>
      </c>
      <c r="D24163" s="4"/>
    </row>
    <row collapsed="" customFormat="false" customHeight="1" hidden="" ht="14" outlineLevel="0" r="24164">
      <c r="A24164" s="3" t="inlineStr">
        <is>
          <t>24072</t>
        </is>
      </c>
      <c r="B24164" s="4" t="s">
        <f>=HYPERLINK("http://anyluxury.ru/shop/podarochnye-nabory/produktovye-nabory/podarochnyy-nabor-biznes-2-new/" , "AB202302 Подарочный набор 'Бизнес №2' New")</f>
      </c>
      <c r="C24164" s="4" t="n">
        <v>5781.00</v>
      </c>
      <c r="D24164" s="4"/>
    </row>
    <row collapsed="" customFormat="false" customHeight="1" hidden="" ht="14" outlineLevel="0" r="24165">
      <c r="A24165" s="3" t="inlineStr">
        <is>
          <t>24073</t>
        </is>
      </c>
      <c r="B24165" s="4" t="s">
        <f>=HYPERLINK("http://anyluxury.ru/shop/podarochnye-nabory/produktovye-nabory/podarochnyy-nabor-biznes-1-new/" , "AB202301 Подарочный набор 'Бизнес №1'  New")</f>
      </c>
      <c r="C24165" s="4" t="n">
        <v>9749.00</v>
      </c>
      <c r="D24165" s="4"/>
    </row>
    <row collapsed="" customFormat="false" customHeight="1" hidden="" ht="14" outlineLevel="0" r="24166">
      <c r="A24166" s="3" t="inlineStr">
        <is>
          <t>24074</t>
        </is>
      </c>
      <c r="B24166" s="4" t="s">
        <f>=HYPERLINK("http://anyluxury.ru/shop/podarochnye-nabory/produktovye-nabory/nabor-honey-fieldsver2-med-s-raznotravya-1513701/" , "15137.01 Набор Honey Fields, ver.2, мед с разнотравья")</f>
      </c>
      <c r="C24166" s="4" t="n">
        <v>883.60</v>
      </c>
      <c r="D24166" s="4"/>
    </row>
    <row collapsed="" customFormat="false" customHeight="1" hidden="" ht="14" outlineLevel="0" r="24167">
      <c r="A24167" s="3" t="inlineStr">
        <is>
          <t>24075</t>
        </is>
      </c>
      <c r="B24167" s="4" t="s">
        <f>=HYPERLINK("http://anyluxury.ru/shop/podarochnye-nabory/produktovye-nabory/nabor-honey-fieldsver2-med-s-greckimi-orehami-1513702/" , "15137.02 Набор Honey Fields, ver.2, мед с грецкими орехами")</f>
      </c>
      <c r="C24167" s="4" t="n">
        <v>943.60</v>
      </c>
      <c r="D24167" s="4"/>
    </row>
    <row collapsed="" customFormat="false" customHeight="1" hidden="" ht="14" outlineLevel="0" r="24168">
      <c r="A24168" s="3" t="inlineStr">
        <is>
          <t>24076</t>
        </is>
      </c>
      <c r="B24168" s="4" t="s">
        <f>=HYPERLINK("http://anyluxury.ru/shop/podarochnye-nabory/produktovye-nabory/nabor-honey-fieldsver2-med-s-kedrovimi-orehami-1513703/" , "15137.03 Набор Honey Fields, ver.2, мед с кедровыми орехами")</f>
      </c>
      <c r="C24168" s="4" t="n">
        <v>983.60</v>
      </c>
      <c r="D24168" s="4"/>
    </row>
    <row collapsed="" customFormat="false" customHeight="1" hidden="" ht="14" outlineLevel="0" r="24169">
      <c r="A24169" s="3" t="inlineStr">
        <is>
          <t>24077</t>
        </is>
      </c>
      <c r="B24169" s="4" t="s">
        <f>=HYPERLINK("http://anyluxury.ru/shop/podarochnye-nabory/produktovye-nabory/nabor-honey-fieldsver2-med-s-mindalem-1513704/" , "15137.04 Набор Honey Fields, ver.2, мед с миндалем")</f>
      </c>
      <c r="C24169" s="4" t="n">
        <v>923.60</v>
      </c>
      <c r="D24169" s="4"/>
    </row>
    <row collapsed="" customFormat="false" customHeight="1" hidden="" ht="14" outlineLevel="0" r="24170">
      <c r="A24170" s="3" t="inlineStr">
        <is>
          <t>24078</t>
        </is>
      </c>
      <c r="B24170" s="4" t="s">
        <f>=HYPERLINK("http://anyluxury.ru/shop/podarochnye-nabory/produktovye-nabory/nabor-honey-fieldsver2-grechishniy-med-1513705/" , "15137.05 Набор Honey Fields, ver.2, гречишный мед")</f>
      </c>
      <c r="C24170" s="4" t="n">
        <v>883.60</v>
      </c>
      <c r="D24170" s="4"/>
    </row>
    <row collapsed="" customFormat="false" customHeight="1" hidden="" ht="14" outlineLevel="0" r="24171">
      <c r="A24171" s="3" t="inlineStr">
        <is>
          <t>24079</t>
        </is>
      </c>
      <c r="B24171" s="4" t="s">
        <f>=HYPERLINK("http://anyluxury.ru/shop/podarochnye-nabory/produktovye-nabory/nabor-honey-fieldsver2-taezhniy-med-1513706/" , "15137.06 Набор Honey Fields, ver.2, таежный мед")</f>
      </c>
      <c r="C24171" s="4" t="n">
        <v>883.60</v>
      </c>
      <c r="D24171" s="4"/>
    </row>
    <row collapsed="" customFormat="false" customHeight="1" hidden="" ht="14" outlineLevel="0" r="24172">
      <c r="A24172" s="3" t="inlineStr">
        <is>
          <t>24080</t>
        </is>
      </c>
      <c r="B24172" s="4" t="s">
        <f>=HYPERLINK("http://anyluxury.ru/shop/podarochnye-nabory/produktovye-nabory/nabor-honey-fieldsver2-gorniy-med-1513707/" , "15137.07 Набор Honey Fields, ver.2, горный мед")</f>
      </c>
      <c r="C24172" s="4" t="n">
        <v>943.60</v>
      </c>
      <c r="D24172" s="4"/>
    </row>
    <row collapsed="" customFormat="false" customHeight="1" hidden="" ht="14" outlineLevel="0" r="24173">
      <c r="A24173" s="3" t="inlineStr">
        <is>
          <t>24081</t>
        </is>
      </c>
      <c r="B24173" s="4" t="s">
        <f>=HYPERLINK("http://anyluxury.ru/shop/podarochnye-nabory/produktovye-nabory/nabor-welldone-steyk-iz-govyadini-1727401/" , "17274.01 Набор «WellDone. Стейк из говядины»")</f>
      </c>
      <c r="C24173" s="4" t="n">
        <v>5966.00</v>
      </c>
      <c r="D24173" s="4"/>
    </row>
    <row collapsed="" customFormat="false" customHeight="1" hidden="" ht="14" outlineLevel="0" r="24174">
      <c r="A24174" s="3" t="inlineStr">
        <is>
          <t>24082</t>
        </is>
      </c>
      <c r="B24174" s="4" t="s">
        <f>=HYPERLINK("http://anyluxury.ru/shop/podarochnye-nabory/produktovye-nabory/podarochnyy-nabor-tsvetushchiy-altay-new/" , "AB202339 Подарочный набор 'Цветущий Алтай' new")</f>
      </c>
      <c r="C24174" s="4" t="n">
        <v>3492.00</v>
      </c>
      <c r="D24174" s="4"/>
    </row>
    <row collapsed="" customFormat="false" customHeight="1" hidden="" ht="14" outlineLevel="0" r="24175">
      <c r="A24175" s="3" t="inlineStr">
        <is>
          <t>24083</t>
        </is>
      </c>
      <c r="B24175" s="4" t="s">
        <f>=HYPERLINK("http://anyluxury.ru/shop/podarochnye-nabory/produktovye-nabory/podarochnyy-nabor-dar-altaya-new/" , "AB202340 Подарочный набор 'Дар Алтая' new")</f>
      </c>
      <c r="C24175" s="4" t="n">
        <v>2134.00</v>
      </c>
      <c r="D24175" s="4"/>
    </row>
    <row collapsed="" customFormat="false" customHeight="1" hidden="" ht="14" outlineLevel="0" r="24176">
      <c r="A24176" s="3" t="inlineStr">
        <is>
          <t>24084</t>
        </is>
      </c>
      <c r="B24176" s="4" t="s">
        <f>=HYPERLINK("http://anyluxury.ru/shop/podarochnye-nabory/produktovye-nabory/podarochnyy-nabor-altay-mnogogrannyy-new/" , "AB202342 Подарочный набор 'Алтай многогранный' new")</f>
      </c>
      <c r="C24176" s="4" t="n">
        <v>1150.00</v>
      </c>
      <c r="D24176" s="4"/>
    </row>
    <row collapsed="" customFormat="false" customHeight="1" hidden="" ht="14" outlineLevel="0" r="24177">
      <c r="A24177" s="3" t="inlineStr">
        <is>
          <t>24085</t>
        </is>
      </c>
      <c r="B24177" s="4" t="s">
        <f>=HYPERLINK("http://anyluxury.ru/shop/podarochnye-nabory/produktovye-nabory/podarochnyy-nabor-yarkiy-altay-new/" , "AB202343 Подарочный набор 'Яркий Алтай' new")</f>
      </c>
      <c r="C24177" s="4" t="n">
        <v>597.00</v>
      </c>
      <c r="D24177" s="4"/>
    </row>
    <row collapsed="" customFormat="false" customHeight="1" hidden="" ht="14" outlineLevel="0" r="24178">
      <c r="A24178" s="3" t="inlineStr">
        <is>
          <t>24086</t>
        </is>
      </c>
      <c r="B24178" s="4" t="s">
        <f>=HYPERLINK("http://anyluxury.ru/shop/podarochnye-nabory/produktovye-nabory/nabor-descanso-cherniy-1629230/" , "16292.30 Набор Descanso, черный")</f>
      </c>
      <c r="C24178" s="4" t="n">
        <v>4339.00</v>
      </c>
      <c r="D24178" s="4"/>
    </row>
    <row collapsed="" customFormat="false" customHeight="1" hidden="" ht="14" outlineLevel="0" r="24179">
      <c r="A24179" s="3" t="inlineStr">
        <is>
          <t>24087</t>
        </is>
      </c>
      <c r="B24179" s="4" t="s">
        <f>=HYPERLINK("http://anyluxury.ru/shop/podarochnye-nabory/produktovye-nabory/nabor-metelitsa-19326/" , "19326 Набор Metelitsa")</f>
      </c>
      <c r="C24179" s="4" t="n">
        <v>1783.10</v>
      </c>
      <c r="D24179" s="4"/>
    </row>
    <row collapsed="" customFormat="false" customHeight="1" hidden="" ht="14" outlineLevel="0" r="24180">
      <c r="A24180" s="3" t="inlineStr">
        <is>
          <t>24088</t>
        </is>
      </c>
      <c r="B24180" s="4" t="s">
        <f>=HYPERLINK("http://anyluxury.ru/shop/podarochnye-nabory/produktovye-nabory/nabor-sweetshine-goluboy-1915814/" , "19158.14 Набор Sweetshine, голубой")</f>
      </c>
      <c r="C24180" s="4" t="n">
        <v>2279.00</v>
      </c>
      <c r="D24180" s="4"/>
    </row>
    <row collapsed="" customFormat="false" customHeight="1" hidden="" ht="14" outlineLevel="0" r="24181">
      <c r="A24181" s="3" t="inlineStr">
        <is>
          <t>24089</t>
        </is>
      </c>
      <c r="B24181" s="4" t="s">
        <f>=HYPERLINK("http://anyluxury.ru/shop/podarochnye-nabory/produktovye-nabory/nabor-sweetshine-oranzheviy-1915820/" , "19158.20 Набор Sweetshine, оранжевый")</f>
      </c>
      <c r="C24181" s="4" t="n">
        <v>2279.00</v>
      </c>
      <c r="D24181" s="4"/>
    </row>
    <row collapsed="" customFormat="false" customHeight="1" hidden="" ht="14" outlineLevel="0" r="24182">
      <c r="A24182" s="3" t="inlineStr">
        <is>
          <t>24090</t>
        </is>
      </c>
      <c r="B24182" s="4" t="s">
        <f>=HYPERLINK("http://anyluxury.ru/shop/podarochnye-nabory/produktovye-nabory/nabor-sweetshine-siniy-1915840/" , "19158.40 Набор Sweetshine, синий")</f>
      </c>
      <c r="C24182" s="4" t="n">
        <v>2279.00</v>
      </c>
      <c r="D24182" s="4"/>
    </row>
    <row collapsed="" customFormat="false" customHeight="1" hidden="" ht="14" outlineLevel="0" r="24183">
      <c r="A24183" s="3" t="inlineStr">
        <is>
          <t>24091</t>
        </is>
      </c>
      <c r="B24183" s="4" t="s">
        <f>=HYPERLINK("http://anyluxury.ru/shop/podarochnye-nabory/produktovye-nabory/nabor-sweetshine-krasniy-1915850/" , "19158.50 Набор Sweetshine, красный")</f>
      </c>
      <c r="C24183" s="4" t="n">
        <v>2279.00</v>
      </c>
      <c r="D24183" s="4"/>
    </row>
    <row collapsed="" customFormat="false" customHeight="1" hidden="" ht="14" outlineLevel="0" r="24184">
      <c r="A24184" s="3" t="inlineStr">
        <is>
          <t>24092</t>
        </is>
      </c>
      <c r="B24184" s="4" t="s">
        <f>=HYPERLINK("http://anyluxury.ru/shop/podarochnye-nabory/produktovye-nabory/nabor-sweetshine-svetlozheltiy-1915881/" , "19158.81 Набор Sweetshine, светло-желтый")</f>
      </c>
      <c r="C24184" s="4" t="n">
        <v>2279.00</v>
      </c>
      <c r="D24184" s="4"/>
    </row>
    <row collapsed="" customFormat="false" customHeight="1" hidden="" ht="14" outlineLevel="0" r="24185">
      <c r="A24185" s="3" t="inlineStr">
        <is>
          <t>24093</t>
        </is>
      </c>
      <c r="B24185" s="4" t="s">
        <f>=HYPERLINK("http://anyluxury.ru/shop/podarochnye-nabory/produktovye-nabory/nabor-sweetshine-goluboy-s-chernim-1915813/" , "19158.13 Набор Sweetshine, голубой с черным")</f>
      </c>
      <c r="C24185" s="4" t="n">
        <v>2279.00</v>
      </c>
      <c r="D24185" s="4"/>
    </row>
    <row collapsed="" customFormat="false" customHeight="1" hidden="" ht="14" outlineLevel="0" r="24186">
      <c r="A24186" s="3" t="inlineStr">
        <is>
          <t>24094</t>
        </is>
      </c>
      <c r="B24186" s="4" t="s">
        <f>=HYPERLINK("http://anyluxury.ru/shop/podarochnye-nabory/produktovye-nabory/nabor-sweetshine-oranzheviy-s-chernim-1915823/" , "19158.23 Набор Sweetshine, оранжевый с черным")</f>
      </c>
      <c r="C24186" s="4" t="n">
        <v>2279.00</v>
      </c>
      <c r="D24186" s="4"/>
    </row>
    <row collapsed="" customFormat="false" customHeight="1" hidden="" ht="14" outlineLevel="0" r="24187">
      <c r="A24187" s="3" t="inlineStr">
        <is>
          <t>24095</t>
        </is>
      </c>
      <c r="B24187" s="4" t="s">
        <f>=HYPERLINK("http://anyluxury.ru/shop/podarochnye-nabory/produktovye-nabory/nabor-sweetshine-siniy-s-chernim-1915843/" , "19158.43 Набор Sweetshine, синий с черным")</f>
      </c>
      <c r="C24187" s="4" t="n">
        <v>2279.00</v>
      </c>
      <c r="D24187" s="4"/>
    </row>
    <row collapsed="" customFormat="false" customHeight="1" hidden="" ht="14" outlineLevel="0" r="24188">
      <c r="A24188" s="3" t="inlineStr">
        <is>
          <t>24096</t>
        </is>
      </c>
      <c r="B24188" s="4" t="s">
        <f>=HYPERLINK("http://anyluxury.ru/shop/podarochnye-nabory/produktovye-nabory/nabor-sweetshine-krasniy-s-chernim-1915853/" , "19158.53 Набор Sweetshine, красный с черным")</f>
      </c>
      <c r="C24188" s="4" t="n">
        <v>2279.00</v>
      </c>
      <c r="D24188" s="4"/>
    </row>
    <row collapsed="" customFormat="false" customHeight="1" hidden="" ht="14" outlineLevel="0" r="24189">
      <c r="A24189" s="3" t="inlineStr">
        <is>
          <t>24097</t>
        </is>
      </c>
      <c r="B24189" s="4" t="s">
        <f>=HYPERLINK("http://anyluxury.ru/shop/podarochnye-nabory/produktovye-nabory/nabor-sweetshine-svetlozheltiy-s-chernim-1915883/" , "19158.83 Набор Sweetshine, светло-желтый с черным")</f>
      </c>
      <c r="C24189" s="4" t="n">
        <v>2279.00</v>
      </c>
      <c r="D24189" s="4"/>
    </row>
    <row collapsed="" customFormat="false" customHeight="1" hidden="" ht="14" outlineLevel="0" r="24190">
      <c r="A24190" s="3" t="inlineStr">
        <is>
          <t>24098</t>
        </is>
      </c>
      <c r="B24190" s="4" t="s">
        <f>=HYPERLINK("http://anyluxury.ru/shop/podarochnye-nabory/produktovye-nabory/nabor-sweet-crunch-s-sokochaem-i-popkornom-v-karamelnoy-glazuri-so-vkusom-yogura-i-malini-1915903/" , "19159.03 Набор Sweet Crunch с «Сокочаем» и попкорном в карамельной глазури со вкусом йогурта и малины")</f>
      </c>
      <c r="C24190" s="4" t="n">
        <v>1381.00</v>
      </c>
      <c r="D24190" s="4"/>
    </row>
    <row collapsed="" customFormat="false" customHeight="1" hidden="" ht="14" outlineLevel="0" r="24191">
      <c r="A24191" s="3" t="inlineStr">
        <is>
          <t>24099</t>
        </is>
      </c>
      <c r="B24191" s="4" t="s">
        <f>=HYPERLINK("http://anyluxury.ru/shop/podarochnye-nabory/produktovye-nabory/nabor-dlya-sira-gusteria-1795701/" , "17957.01 Набор для сыра Gusteria")</f>
      </c>
      <c r="C24191" s="4" t="n">
        <v>3522.00</v>
      </c>
      <c r="D24191" s="4"/>
    </row>
    <row collapsed="" customFormat="false" customHeight="1" hidden="" ht="14" outlineLevel="0" r="24192">
      <c r="A24192" s="3" t="inlineStr">
        <is>
          <t>24100</t>
        </is>
      </c>
      <c r="B24192" s="4" t="s">
        <f>=HYPERLINK("http://anyluxury.ru/shop/podarochnye-nabory/produktovye-nabory/nabor-chaya-flowers-story-18400/" , "18400 Набор чая Flowers Story")</f>
      </c>
      <c r="C24192" s="4" t="n">
        <v>1300.00</v>
      </c>
      <c r="D24192" s="4"/>
    </row>
    <row collapsed="" customFormat="false" customHeight="" hidden="" ht="12.1" outlineLevel="0" r="24193">
      <c r="A24193" s="5" t="inlineStr">
        <is>
          <t> -  - Наборы с пледами</t>
        </is>
      </c>
      <c r="B24193" s="6"/>
      <c r="C24193" s="6"/>
      <c r="D24193" s="6"/>
    </row>
    <row collapsed="" customFormat="false" customHeight="1" hidden="" ht="14" outlineLevel="0" r="24194">
      <c r="A24194" s="3" t="inlineStr">
        <is>
          <t>24101</t>
        </is>
      </c>
      <c r="B24194" s="4" t="s">
        <f>=HYPERLINK("http://anyluxury.ru/shop/podarochnye-nabory/nabory-s-pledami/nabor-lagom-1178560/" , "11785.60 Набор «Лагом»")</f>
      </c>
      <c r="C24194" s="4" t="n">
        <v>4564.20</v>
      </c>
      <c r="D24194" s="4"/>
    </row>
    <row collapsed="" customFormat="false" customHeight="1" hidden="" ht="14" outlineLevel="0" r="24195">
      <c r="A24195" s="3" t="inlineStr">
        <is>
          <t>24102</t>
        </is>
      </c>
      <c r="B24195" s="4" t="s">
        <f>=HYPERLINK("http://anyluxury.ru/shop/podarochnye-nabory/nabory-s-pledami/nabor-hard-armor-7132710/" , "71327.10 Набор Hard Armor")</f>
      </c>
      <c r="C24195" s="4" t="n">
        <v>5424.00</v>
      </c>
      <c r="D24195" s="4"/>
    </row>
    <row collapsed="" customFormat="false" customHeight="1" hidden="" ht="14" outlineLevel="0" r="24196">
      <c r="A24196" s="3" t="inlineStr">
        <is>
          <t>24103</t>
        </is>
      </c>
      <c r="B24196" s="4" t="s">
        <f>=HYPERLINK("http://anyluxury.ru/shop/podarochnye-nabory/nabory-s-pledami/nabor-nest-rest-oranzheviy-1306720/" , "13067.20 Набор Nest Rest, оранжевый")</f>
      </c>
      <c r="C24196" s="4" t="n">
        <v>3214.00</v>
      </c>
      <c r="D24196" s="4"/>
    </row>
    <row collapsed="" customFormat="false" customHeight="1" hidden="" ht="14" outlineLevel="0" r="24197">
      <c r="A24197" s="3" t="inlineStr">
        <is>
          <t>24104</t>
        </is>
      </c>
      <c r="B24197" s="4" t="s">
        <f>=HYPERLINK("http://anyluxury.ru/shop/podarochnye-nabory/nabory-s-pledami/nabor-detskiy-s-zaykami-beastie-toys-rozoviy-1888610/" , "18886.10 Набор детский с зайками Beastie Toys, розовый")</f>
      </c>
      <c r="C24197" s="4" t="n">
        <v>2694.00</v>
      </c>
      <c r="D24197" s="4"/>
    </row>
    <row collapsed="" customFormat="false" customHeight="1" hidden="" ht="14" outlineLevel="0" r="24198">
      <c r="A24198" s="3" t="inlineStr">
        <is>
          <t>24105</t>
        </is>
      </c>
      <c r="B24198" s="4" t="s">
        <f>=HYPERLINK("http://anyluxury.ru/shop/podarochnye-nabory/nabory-s-pledami/nabor-sleep-sugar-1435360/" , "14353.60 Набор Sleep Sugar, белый")</f>
      </c>
      <c r="C24198" s="4" t="n">
        <v>5761.00</v>
      </c>
      <c r="D24198" s="4"/>
    </row>
    <row collapsed="" customFormat="false" customHeight="1" hidden="" ht="14" outlineLevel="0" r="24199">
      <c r="A24199" s="3" t="inlineStr">
        <is>
          <t>24106</t>
        </is>
      </c>
      <c r="B24199" s="4" t="s">
        <f>=HYPERLINK("http://anyluxury.ru/shop/podarochnye-nabory/nabory-s-pledami/nabor-sleep-sugar-rozoviy-1435315/" , "14353.15 Набор Sleep Sugar, розовый")</f>
      </c>
      <c r="C24199" s="4" t="n">
        <v>5761.00</v>
      </c>
      <c r="D24199" s="4"/>
    </row>
    <row collapsed="" customFormat="false" customHeight="1" hidden="" ht="14" outlineLevel="0" r="24200">
      <c r="A24200" s="3" t="inlineStr">
        <is>
          <t>24107</t>
        </is>
      </c>
      <c r="B24200" s="4" t="s">
        <f>=HYPERLINK("http://anyluxury.ru/shop/podarochnye-nabory/nabory-s-pledami/nabor-warmheart-zeleniy-1540590/" , "15405.90 Набор Warmheart, зеленый")</f>
      </c>
      <c r="C24200" s="4" t="n">
        <v>2678.00</v>
      </c>
      <c r="D24200" s="4"/>
    </row>
    <row collapsed="" customFormat="false" customHeight="1" hidden="" ht="14" outlineLevel="0" r="24201">
      <c r="A24201" s="3" t="inlineStr">
        <is>
          <t>24108</t>
        </is>
      </c>
      <c r="B24201" s="4" t="s">
        <f>=HYPERLINK("http://anyluxury.ru/shop/podarochnye-nabory/nabory-s-pledami/nabor-warmheart-cherniy-1540530/" , "15405.30 Набор Warmheart, черный")</f>
      </c>
      <c r="C24201" s="4" t="n">
        <v>2678.00</v>
      </c>
      <c r="D24201" s="4"/>
    </row>
    <row collapsed="" customFormat="false" customHeight="1" hidden="" ht="14" outlineLevel="0" r="24202">
      <c r="A24202" s="3" t="inlineStr">
        <is>
          <t>24109</t>
        </is>
      </c>
      <c r="B24202" s="4" t="s">
        <f>=HYPERLINK("http://anyluxury.ru/shop/podarochnye-nabory/nabory-s-pledami/nabor-flush-times-siniy-1540740/" , "15407.40 Набор Flush Times, синий")</f>
      </c>
      <c r="C24202" s="4" t="n">
        <v>3536.00</v>
      </c>
      <c r="D24202" s="4"/>
    </row>
    <row collapsed="" customFormat="false" customHeight="1" hidden="" ht="14" outlineLevel="0" r="24203">
      <c r="A24203" s="3" t="inlineStr">
        <is>
          <t>24110</t>
        </is>
      </c>
      <c r="B24203" s="4" t="s">
        <f>=HYPERLINK("http://anyluxury.ru/shop/podarochnye-nabory/nabory-s-pledami/nabor-flush-times-beliy-1540760/" , "15407.60 Набор Flush Times, белый")</f>
      </c>
      <c r="C24203" s="4" t="n">
        <v>3536.00</v>
      </c>
      <c r="D24203" s="4"/>
    </row>
    <row collapsed="" customFormat="false" customHeight="1" hidden="" ht="14" outlineLevel="0" r="24204">
      <c r="A24204" s="3" t="inlineStr">
        <is>
          <t>24111</t>
        </is>
      </c>
      <c r="B24204" s="4" t="s">
        <f>=HYPERLINK("http://anyluxury.ru/shop/podarochnye-nabory/nabory-s-pledami/nabor-flush-times-krasniy-1540750/" , "15407.50 Набор Flush Times, красный")</f>
      </c>
      <c r="C24204" s="4" t="n">
        <v>3536.00</v>
      </c>
      <c r="D24204" s="4"/>
    </row>
    <row collapsed="" customFormat="false" customHeight="1" hidden="" ht="14" outlineLevel="0" r="24205">
      <c r="A24205" s="3" t="inlineStr">
        <is>
          <t>24112</t>
        </is>
      </c>
      <c r="B24205" s="4" t="s">
        <f>=HYPERLINK("http://anyluxury.ru/shop/podarochnye-nabory/nabory-s-pledami/nabor-rest-right-siniy-1540840/" , "15408.40 Набор Rest Right, синий")</f>
      </c>
      <c r="C24205" s="4" t="n">
        <v>2849.00</v>
      </c>
      <c r="D24205" s="4"/>
    </row>
    <row collapsed="" customFormat="false" customHeight="1" hidden="" ht="14" outlineLevel="0" r="24206">
      <c r="A24206" s="3" t="inlineStr">
        <is>
          <t>24113</t>
        </is>
      </c>
      <c r="B24206" s="4" t="s">
        <f>=HYPERLINK("http://anyluxury.ru/shop/podarochnye-nabory/nabory-s-pledami/nabor-rest-right-zeleniy-1540890/" , "15408.90 Набор Rest Right, зеленый")</f>
      </c>
      <c r="C24206" s="4" t="n">
        <v>2849.00</v>
      </c>
      <c r="D24206" s="4"/>
    </row>
    <row collapsed="" customFormat="false" customHeight="1" hidden="" ht="14" outlineLevel="0" r="24207">
      <c r="A24207" s="3" t="inlineStr">
        <is>
          <t>24114</t>
        </is>
      </c>
      <c r="B24207" s="4" t="s">
        <f>=HYPERLINK("http://anyluxury.ru/shop/podarochnye-nabory/nabory-s-pledami/nabor-rest-right-seriy-1540810/" , "15408.10 Набор Rest Right, серый")</f>
      </c>
      <c r="C24207" s="4" t="n">
        <v>2849.00</v>
      </c>
      <c r="D24207" s="4"/>
    </row>
    <row collapsed="" customFormat="false" customHeight="1" hidden="" ht="14" outlineLevel="0" r="24208">
      <c r="A24208" s="3" t="inlineStr">
        <is>
          <t>24115</t>
        </is>
      </c>
      <c r="B24208" s="4" t="s">
        <f>=HYPERLINK("http://anyluxury.ru/shop/podarochnye-nabory/nabory-s-pledami/nabor-rest-right-krasniy-1540850/" , "15408.50 Набор Rest Right, красный")</f>
      </c>
      <c r="C24208" s="4" t="n">
        <v>2849.00</v>
      </c>
      <c r="D24208" s="4"/>
    </row>
    <row collapsed="" customFormat="false" customHeight="" hidden="" ht="12.1" outlineLevel="0" r="24209">
      <c r="A24209" s="5" t="inlineStr">
        <is>
          <t> -  - Наборы с медом</t>
        </is>
      </c>
      <c r="B24209" s="6"/>
      <c r="C24209" s="6"/>
      <c r="D24209" s="6"/>
    </row>
    <row collapsed="" customFormat="false" customHeight="1" hidden="" ht="14" outlineLevel="0" r="24210">
      <c r="A24210" s="3" t="inlineStr">
        <is>
          <t>24116</t>
        </is>
      </c>
      <c r="B24210" s="4" t="s">
        <f>=HYPERLINK("http://anyluxury.ru/shop/podarochnye-nabory/nabory-s-medom/nabor-flattery-serebristiy-795810/" , "7958.10 Набор Flattery, серебристый")</f>
      </c>
      <c r="C24210" s="4" t="n">
        <v>1765.00</v>
      </c>
      <c r="D24210" s="4"/>
    </row>
    <row collapsed="" customFormat="false" customHeight="1" hidden="" ht="14" outlineLevel="0" r="24211">
      <c r="A24211" s="3" t="inlineStr">
        <is>
          <t>24117</t>
        </is>
      </c>
      <c r="B24211" s="4" t="s">
        <f>=HYPERLINK("http://anyluxury.ru/shop/podarochnye-nabory/nabory-s-medom/kremmed-bee-in-love-s-fistashkami-i-morskoy-solyu-750609/" , "7506.09 Крем-мед Bee in Love, с фисташками и морской солью")</f>
      </c>
      <c r="C24211" s="4" t="n">
        <v>275.00</v>
      </c>
      <c r="D24211" s="4"/>
    </row>
    <row collapsed="" customFormat="false" customHeight="1" hidden="" ht="14" outlineLevel="0" r="24212">
      <c r="A24212" s="3" t="inlineStr">
        <is>
          <t>24118</t>
        </is>
      </c>
      <c r="B24212" s="4" t="s">
        <f>=HYPERLINK("http://anyluxury.ru/shop/podarochnye-nabory/nabory-s-medom/med-bee-to-bear-grechishniy-750506/" , "7505.06 Мед Bee To Bear, гречишный")</f>
      </c>
      <c r="C24212" s="4" t="n">
        <v>360.00</v>
      </c>
      <c r="D24212" s="4"/>
    </row>
    <row collapsed="" customFormat="false" customHeight="1" hidden="" ht="14" outlineLevel="0" r="24213">
      <c r="A24213" s="3" t="inlineStr">
        <is>
          <t>24119</t>
        </is>
      </c>
      <c r="B24213" s="4" t="s">
        <f>=HYPERLINK("http://anyluxury.ru/shop/podarochnye-nabory/nabory-s-medom/med-bee-to-bear-taezhniy-750507/" , "7505.07 Мед Bee To Bear, таежный")</f>
      </c>
      <c r="C24213" s="4" t="n">
        <v>360.00</v>
      </c>
      <c r="D24213" s="4"/>
    </row>
    <row collapsed="" customFormat="false" customHeight="1" hidden="" ht="14" outlineLevel="0" r="24214">
      <c r="A24214" s="3" t="inlineStr">
        <is>
          <t>24120</t>
        </is>
      </c>
      <c r="B24214" s="4" t="s">
        <f>=HYPERLINK("http://anyluxury.ru/shop/podarochnye-nabory/nabory-s-medom/med-bee-to-bear-gorniy-750508/" , "7505.08 Мед Bee To Bear, горный")</f>
      </c>
      <c r="C24214" s="4" t="n">
        <v>420.00</v>
      </c>
      <c r="D24214" s="4"/>
    </row>
    <row collapsed="" customFormat="false" customHeight="1" hidden="" ht="14" outlineLevel="0" r="24215">
      <c r="A24215" s="3" t="inlineStr">
        <is>
          <t>24121</t>
        </is>
      </c>
      <c r="B24215" s="4" t="s">
        <f>=HYPERLINK("http://anyluxury.ru/shop/podarochnye-nabory/nabory-s-medom/kremmed-bee-in-love-s-kedrovimi-orehami-750606/" , "7506.06 Крем-мед Bee in Love, с кедровыми орехами")</f>
      </c>
      <c r="C24215" s="4" t="n">
        <v>275.00</v>
      </c>
      <c r="D24215" s="4"/>
    </row>
    <row collapsed="" customFormat="false" customHeight="1" hidden="" ht="14" outlineLevel="0" r="24216">
      <c r="A24216" s="3" t="inlineStr">
        <is>
          <t>24122</t>
        </is>
      </c>
      <c r="B24216" s="4" t="s">
        <f>=HYPERLINK("http://anyluxury.ru/shop/podarochnye-nabory/nabory-s-medom/med-winnie-joy-v-bochonke-bolshoy-14178/" , "14178 Мед Winnie Joy в бочонке, большой")</f>
      </c>
      <c r="C24216" s="4" t="n">
        <v>1234.00</v>
      </c>
      <c r="D24216" s="4"/>
    </row>
    <row collapsed="" customFormat="false" customHeight="1" hidden="" ht="14" outlineLevel="0" r="24217">
      <c r="A24217" s="3" t="inlineStr">
        <is>
          <t>24123</t>
        </is>
      </c>
      <c r="B24217" s="4" t="s">
        <f>=HYPERLINK("http://anyluxury.ru/shop/podarochnye-nabory/nabory-s-medom/med-winnie-joy-v-bochonke-maliy-14179/" , "14179 Мед Winnie Joy в бочонке, малый")</f>
      </c>
      <c r="C24217" s="4" t="n">
        <v>818.00</v>
      </c>
      <c r="D24217" s="4"/>
    </row>
    <row collapsed="" customFormat="false" customHeight="1" hidden="" ht="14" outlineLevel="0" r="24218">
      <c r="A24218" s="3" t="inlineStr">
        <is>
          <t>24124</t>
        </is>
      </c>
      <c r="B24218" s="4" t="s">
        <f>=HYPERLINK("http://anyluxury.ru/shop/podarochnye-nabory/nabory-s-medom/med-seeds-and-honey-s-semechkami-podsolnechnika-14181/" , "14181 Мед Seeds And Honey, с семечками подсолнечника")</f>
      </c>
      <c r="C24218" s="4" t="n">
        <v>220.00</v>
      </c>
      <c r="D24218" s="4"/>
    </row>
    <row collapsed="" customFormat="false" customHeight="1" hidden="" ht="14" outlineLevel="0" r="24219">
      <c r="A24219" s="3" t="inlineStr">
        <is>
          <t>24125</t>
        </is>
      </c>
      <c r="B24219" s="4" t="s">
        <f>=HYPERLINK("http://anyluxury.ru/shop/podarochnye-nabory/nabory-s-medom/med-seeds-and-honey-s-tikvennimi-semechkami-14182/" , "14182 Мед Seeds And Honey, с тыквенными семечками")</f>
      </c>
      <c r="C24219" s="4" t="n">
        <v>390.00</v>
      </c>
      <c r="D24219" s="4"/>
    </row>
    <row collapsed="" customFormat="false" customHeight="1" hidden="" ht="14" outlineLevel="0" r="24220">
      <c r="A24220" s="3" t="inlineStr">
        <is>
          <t>24126</t>
        </is>
      </c>
      <c r="B24220" s="4" t="s">
        <f>=HYPERLINK("http://anyluxury.ru/shop/podarochnye-nabory/nabory-s-medom/kremmed-bee-in-love-s-imbirem-i-limonom-750612/" , "7506.12 Крем-мед Bee in Love, с имбирем и лимоном")</f>
      </c>
      <c r="C24220" s="4" t="n">
        <v>275.00</v>
      </c>
      <c r="D24220" s="4"/>
    </row>
    <row collapsed="" customFormat="false" customHeight="" hidden="" ht="12.1" outlineLevel="0" r="24221">
      <c r="A24221" s="5" t="inlineStr">
        <is>
          <t> -  - Наборы с вареньем</t>
        </is>
      </c>
      <c r="B24221" s="6"/>
      <c r="C24221" s="6"/>
      <c r="D24221" s="6"/>
    </row>
    <row collapsed="" customFormat="false" customHeight="1" hidden="" ht="14" outlineLevel="0" r="24222">
      <c r="A24222" s="3" t="inlineStr">
        <is>
          <t>24127</t>
        </is>
      </c>
      <c r="B24222" s="4" t="s">
        <f>=HYPERLINK("http://anyluxury.ru/shop/podarochnye-nabory/nabory-s-varenem/vinniy-konfityur-groggy-malinoviy-liker-1317001/" , "13170.01 Винный конфитюр Groggy, малиновый ликер")</f>
      </c>
      <c r="C24222" s="4" t="n">
        <v>230.00</v>
      </c>
      <c r="D24222" s="4"/>
    </row>
    <row collapsed="" customFormat="false" customHeight="1" hidden="" ht="14" outlineLevel="0" r="24223">
      <c r="A24223" s="3" t="inlineStr">
        <is>
          <t>24128</t>
        </is>
      </c>
      <c r="B24223" s="4" t="s">
        <f>=HYPERLINK("http://anyluxury.ru/shop/podarochnye-nabory/nabory-s-varenem/dzhem-na-vinogradnom-soke-best-berries-brusnika-1309601/" , "13096.01 Джем на виноградном соке Best Berries, брусника")</f>
      </c>
      <c r="C24223" s="4" t="n">
        <v>80.00</v>
      </c>
      <c r="D24223" s="4"/>
    </row>
    <row collapsed="" customFormat="false" customHeight="1" hidden="" ht="14" outlineLevel="0" r="24224">
      <c r="A24224" s="3" t="inlineStr">
        <is>
          <t>24129</t>
        </is>
      </c>
      <c r="B24224" s="4" t="s">
        <f>=HYPERLINK("http://anyluxury.ru/shop/podarochnye-nabory/nabory-s-varenem/dzhem-na-vinogradnom-soke-best-berries-chernika-1309602/" , "13096.02 Джем на виноградном соке Best Berries, черника")</f>
      </c>
      <c r="C24224" s="4" t="n">
        <v>80.00</v>
      </c>
      <c r="D24224" s="4"/>
    </row>
    <row collapsed="" customFormat="false" customHeight="1" hidden="" ht="14" outlineLevel="0" r="24225">
      <c r="A24225" s="3" t="inlineStr">
        <is>
          <t>24130</t>
        </is>
      </c>
      <c r="B24225" s="4" t="s">
        <f>=HYPERLINK("http://anyluxury.ru/shop/podarochnye-nabory/nabory-s-varenem/dzhem-na-vinogradnom-soke-best-berries-klyukvachernika-1309604/" , "13096.04 Джем на виноградном соке Best Berries, клюква-черника")</f>
      </c>
      <c r="C24225" s="4" t="n">
        <v>80.00</v>
      </c>
      <c r="D24225" s="4"/>
    </row>
    <row collapsed="" customFormat="false" customHeight="1" hidden="" ht="14" outlineLevel="0" r="24226">
      <c r="A24226" s="3" t="inlineStr">
        <is>
          <t>24131</t>
        </is>
      </c>
      <c r="B24226" s="4" t="s">
        <f>=HYPERLINK("http://anyluxury.ru/shop/podarochnye-nabory/nabory-s-varenem/dzhem-na-vinogradnom-soke-best-berries-malinabrusnika-1309605/" , "13096.05 Джем на виноградном соке Best Berries, малина-брусника")</f>
      </c>
      <c r="C24226" s="4" t="n">
        <v>80.00</v>
      </c>
      <c r="D24226" s="4"/>
    </row>
    <row collapsed="" customFormat="false" customHeight="1" hidden="" ht="14" outlineLevel="0" r="24227">
      <c r="A24227" s="3" t="inlineStr">
        <is>
          <t>24132</t>
        </is>
      </c>
      <c r="B24227" s="4" t="s">
        <f>=HYPERLINK("http://anyluxury.ru/shop/podarochnye-nabory/nabory-s-varenem/dzhem-na-vinogradnom-soke-best-berries-oblepiha-1309606/" , "13096.06 Джем на виноградном соке Best Berries, облепиха")</f>
      </c>
      <c r="C24227" s="4" t="n">
        <v>80.00</v>
      </c>
      <c r="D24227" s="4"/>
    </row>
    <row collapsed="" customFormat="false" customHeight="1" hidden="" ht="14" outlineLevel="0" r="24228">
      <c r="A24228" s="3" t="inlineStr">
        <is>
          <t>24133</t>
        </is>
      </c>
      <c r="B24228" s="4" t="s">
        <f>=HYPERLINK("http://anyluxury.ru/shop/podarochnye-nabory/nabory-s-varenem/dzhem-crushy-chernikalavanda-1520602/" , "15206.02 Джем Crushy, черника с лавандой")</f>
      </c>
      <c r="C24228" s="4" t="n">
        <v>430.00</v>
      </c>
      <c r="D24228" s="4"/>
    </row>
    <row collapsed="" customFormat="false" customHeight="1" hidden="" ht="14" outlineLevel="0" r="24229">
      <c r="A24229" s="3" t="inlineStr">
        <is>
          <t>24134</t>
        </is>
      </c>
      <c r="B24229" s="4" t="s">
        <f>=HYPERLINK("http://anyluxury.ru/shop/podarochnye-nabory/nabory-s-varenem/dzhem-crushy-ananacchili-1520604/" , "15206.04 Джем Crushy, ананаcовый с чили")</f>
      </c>
      <c r="C24229" s="4" t="n">
        <v>430.00</v>
      </c>
      <c r="D24229" s="4"/>
    </row>
    <row collapsed="" customFormat="false" customHeight="1" hidden="" ht="14" outlineLevel="0" r="24230">
      <c r="A24230" s="3" t="inlineStr">
        <is>
          <t>24135</t>
        </is>
      </c>
      <c r="B24230" s="4" t="s">
        <f>=HYPERLINK("http://anyluxury.ru/shop/podarochnye-nabory/nabory-s-varenem/dzhem-crushy-vishnyakonyakshokolad-1520605/" , "15206.05 Джем Crushy, вишня-шоколад с коньяком")</f>
      </c>
      <c r="C24230" s="4" t="n">
        <v>400.00</v>
      </c>
      <c r="D24230" s="4"/>
    </row>
    <row collapsed="" customFormat="false" customHeight="1" hidden="" ht="14" outlineLevel="0" r="24231">
      <c r="A24231" s="3" t="inlineStr">
        <is>
          <t>24136</t>
        </is>
      </c>
      <c r="B24231" s="4" t="s">
        <f>=HYPERLINK("http://anyluxury.ru/shop/podarochnye-nabory/nabory-s-varenem/dzhem-crushy-mini-mangomarakuyya-1520701/" , "15207.01 Джем Crushy Mini, манго-маракуйя")</f>
      </c>
      <c r="C24231" s="4" t="n">
        <v>200.00</v>
      </c>
      <c r="D24231" s="4"/>
    </row>
    <row collapsed="" customFormat="false" customHeight="1" hidden="" ht="14" outlineLevel="0" r="24232">
      <c r="A24232" s="3" t="inlineStr">
        <is>
          <t>24137</t>
        </is>
      </c>
      <c r="B24232" s="4" t="s">
        <f>=HYPERLINK("http://anyluxury.ru/shop/podarochnye-nabory/nabory-s-varenem/dzhem-crushy-mini-golubika-1520702/" , "15207.02 Джем Crushy Mini, голубика")</f>
      </c>
      <c r="C24232" s="4" t="n">
        <v>200.00</v>
      </c>
      <c r="D24232" s="4"/>
    </row>
    <row collapsed="" customFormat="false" customHeight="1" hidden="" ht="14" outlineLevel="0" r="24233">
      <c r="A24233" s="3" t="inlineStr">
        <is>
          <t>24138</t>
        </is>
      </c>
      <c r="B24233" s="4" t="s">
        <f>=HYPERLINK("http://anyluxury.ru/shop/podarochnye-nabory/nabory-s-varenem/dzhem-crushy-mini-imbirniy-limon-1520703/" , "15207.03 Джем Crushy Mini, имбирный лимон")</f>
      </c>
      <c r="C24233" s="4" t="n">
        <v>200.00</v>
      </c>
      <c r="D24233" s="4"/>
    </row>
    <row collapsed="" customFormat="false" customHeight="1" hidden="" ht="14" outlineLevel="0" r="24234">
      <c r="A24234" s="3" t="inlineStr">
        <is>
          <t>24139</t>
        </is>
      </c>
      <c r="B24234" s="4" t="s">
        <f>=HYPERLINK("http://anyluxury.ru/shop/podarochnye-nabory/nabory-s-varenem/dzhem-crushy-mini-clivabazilik-1520704/" , "15207.04 Джем Crushy Mini, cлива с базиликом")</f>
      </c>
      <c r="C24234" s="4" t="n">
        <v>200.00</v>
      </c>
      <c r="D24234" s="4"/>
    </row>
    <row collapsed="" customFormat="false" customHeight="1" hidden="" ht="14" outlineLevel="0" r="24235">
      <c r="A24235" s="3" t="inlineStr">
        <is>
          <t>24140</t>
        </is>
      </c>
      <c r="B24235" s="4" t="s">
        <f>=HYPERLINK("http://anyluxury.ru/shop/podarochnye-nabory/nabory-s-varenem/vinniy-konfityur-groggy-brusnichniy-glintveyn-1317004/" , "13170.04 Винный конфитюр Groggy, брусничный глинтвейн")</f>
      </c>
      <c r="C24235" s="4" t="n">
        <v>230.00</v>
      </c>
      <c r="D24235" s="4"/>
    </row>
    <row collapsed="" customFormat="false" customHeight="1" hidden="" ht="14" outlineLevel="0" r="24236">
      <c r="A24236" s="3" t="inlineStr">
        <is>
          <t>24141</t>
        </is>
      </c>
      <c r="B24236" s="4" t="s">
        <f>=HYPERLINK("http://anyluxury.ru/shop/podarochnye-nabory/nabory-s-varenem/dzhem-tipsy-vishnya-s-konyakom-1309907/" , "13099.07 Джем Tipsy, вишня с коньяком")</f>
      </c>
      <c r="C24236" s="4" t="n">
        <v>295.00</v>
      </c>
      <c r="D24236" s="4"/>
    </row>
    <row collapsed="" customFormat="false" customHeight="1" hidden="" ht="14" outlineLevel="0" r="24237">
      <c r="A24237" s="3" t="inlineStr">
        <is>
          <t>24142</t>
        </is>
      </c>
      <c r="B24237" s="4" t="s">
        <f>=HYPERLINK("http://anyluxury.ru/shop/podarochnye-nabory/nabory-s-varenem/varene-iz-sosnovih-shishek-foresta-1667000/" , "16670.00 Варенье из сосновых шишек Foresta")</f>
      </c>
      <c r="C24237" s="4" t="n">
        <v>450.00</v>
      </c>
      <c r="D24237" s="4"/>
    </row>
    <row collapsed="" customFormat="false" customHeight="1" hidden="" ht="14" outlineLevel="0" r="24238">
      <c r="A24238" s="3" t="inlineStr">
        <is>
          <t>24143</t>
        </is>
      </c>
      <c r="B24238" s="4" t="s">
        <f>=HYPERLINK("http://anyluxury.ru/shop/podarochnye-nabory/nabory-s-varenem/varene-iz-sosnovih-shishek-foresta-mini-1667100/" , "16671.00 Варенье из сосновых шишек Foresta Mini")</f>
      </c>
      <c r="C24238" s="4" t="n">
        <v>95.00</v>
      </c>
      <c r="D24238" s="4"/>
    </row>
    <row collapsed="" customFormat="false" customHeight="1" hidden="" ht="14" outlineLevel="0" r="24239">
      <c r="A24239" s="3" t="inlineStr">
        <is>
          <t>24144</t>
        </is>
      </c>
      <c r="B24239" s="4" t="s">
        <f>=HYPERLINK("http://anyluxury.ru/shop/podarochnye-nabory/nabory-s-varenem/greckiy-oreh-nutree-v-sosnovom-sirope-1667200/" , "16672.00 Грецкий орех Nutree в сосновом сиропе")</f>
      </c>
      <c r="C24239" s="4" t="n">
        <v>95.00</v>
      </c>
      <c r="D24239" s="4"/>
    </row>
    <row collapsed="" customFormat="false" customHeight="1" hidden="" ht="14" outlineLevel="0" r="24240">
      <c r="A24240" s="3" t="inlineStr">
        <is>
          <t>24145</t>
        </is>
      </c>
      <c r="B24240" s="4" t="s">
        <f>=HYPERLINK("http://anyluxury.ru/shop/podarochnye-nabory/nabory-s-varenem/mindal-nutree-v-sirope-shipovnika-1667300/" , "16673.00 Миндаль Nutree в сиропе шиповника")</f>
      </c>
      <c r="C24240" s="4" t="n">
        <v>95.00</v>
      </c>
      <c r="D24240" s="4"/>
    </row>
    <row collapsed="" customFormat="false" customHeight="1" hidden="" ht="14" outlineLevel="0" r="24241">
      <c r="A24241" s="3" t="inlineStr">
        <is>
          <t>24146</t>
        </is>
      </c>
      <c r="B24241" s="4" t="s">
        <f>=HYPERLINK("http://anyluxury.ru/shop/podarochnye-nabory/nabory-s-varenem/lesnie-orehi-nutree-v-sirope-shipovnika-1667400/" , "16674.00 Лесные орехи Nutree в сиропе шиповника")</f>
      </c>
      <c r="C24241" s="4" t="n">
        <v>95.00</v>
      </c>
      <c r="D24241" s="4"/>
    </row>
    <row collapsed="" customFormat="false" customHeight="1" hidden="" ht="14" outlineLevel="0" r="24242">
      <c r="A24242" s="3" t="inlineStr">
        <is>
          <t>24147</t>
        </is>
      </c>
      <c r="B24242" s="4" t="s">
        <f>=HYPERLINK("http://anyluxury.ru/shop/podarochnye-nabory/nabory-s-varenem/kedrovie-orehi-nutree-v-sosnovom-sirope-1667500/" , "16675.00 Кедровые орехи Nutree в сосновом сиропе")</f>
      </c>
      <c r="C24242" s="4" t="n">
        <v>110.00</v>
      </c>
      <c r="D24242" s="4"/>
    </row>
    <row collapsed="" customFormat="false" customHeight="1" hidden="" ht="14" outlineLevel="0" r="24243">
      <c r="A24243" s="3" t="inlineStr">
        <is>
          <t>24148</t>
        </is>
      </c>
      <c r="B24243" s="4" t="s">
        <f>=HYPERLINK("http://anyluxury.ru/shop/podarochnye-nabory/nabory-s-varenem/dzhem-tipsy-sliva-s-viski-1309909/" , "13099.09 Джем Tipsy, слива с виски")</f>
      </c>
      <c r="C24243" s="4" t="n">
        <v>295.00</v>
      </c>
      <c r="D24243" s="4"/>
    </row>
    <row collapsed="" customFormat="false" customHeight="1" hidden="" ht="14" outlineLevel="0" r="24244">
      <c r="A24244" s="3" t="inlineStr">
        <is>
          <t>24149</t>
        </is>
      </c>
      <c r="B24244" s="4" t="s">
        <f>=HYPERLINK("http://anyluxury.ru/shop/podarochnye-nabory/nabory-s-varenem/nabor-dolce-eater-s-varenem-i-orehami-v-sirope-1915701/" , "19157.01 Набор Dolce Eater, с вареньем и орехами в сиропе")</f>
      </c>
      <c r="C24244" s="4" t="n">
        <v>367.50</v>
      </c>
      <c r="D24244" s="4"/>
    </row>
    <row collapsed="" customFormat="false" customHeight="1" hidden="" ht="14" outlineLevel="0" r="24245">
      <c r="A24245" s="3" t="inlineStr">
        <is>
          <t>24150</t>
        </is>
      </c>
      <c r="B24245" s="4" t="s">
        <f>=HYPERLINK("http://anyluxury.ru/shop/podarochnye-nabory/nabory-s-varenem/nabor-dolce-eater-s-orehami-v-sirope-1915702/" , "19157.02 Набор Dolce Eater, с орехами в сиропе")</f>
      </c>
      <c r="C24245" s="4" t="n">
        <v>382.50</v>
      </c>
      <c r="D24245" s="4"/>
    </row>
    <row collapsed="" customFormat="false" customHeight="" hidden="" ht="12.1" outlineLevel="0" r="24246">
      <c r="A24246" s="5" t="inlineStr">
        <is>
          <t> -  - Наборы с чаем</t>
        </is>
      </c>
      <c r="B24246" s="6"/>
      <c r="C24246" s="6"/>
      <c r="D24246" s="6"/>
    </row>
    <row collapsed="" customFormat="false" customHeight="1" hidden="" ht="14" outlineLevel="0" r="24247">
      <c r="A24247" s="3" t="inlineStr">
        <is>
          <t>24151</t>
        </is>
      </c>
      <c r="B24247" s="4" t="s">
        <f>=HYPERLINK("http://anyluxury.ru/shop/podarochnye-nabory/nabory-s-chaem/nabor-grainy-na-1-personu-2101101/" , "21011.01 Набор Grainy на 1 персону")</f>
      </c>
      <c r="C24247" s="4" t="n">
        <v>1497.00</v>
      </c>
      <c r="D24247" s="4"/>
    </row>
    <row collapsed="" customFormat="false" customHeight="1" hidden="" ht="14" outlineLevel="0" r="24248">
      <c r="A24248" s="3" t="inlineStr">
        <is>
          <t>24152</t>
        </is>
      </c>
      <c r="B24248" s="4" t="s">
        <f>=HYPERLINK("http://anyluxury.ru/shop/podarochnye-nabory/nabory-s-chaem/chay-thyme-time-s-chabrecom-1246400/" , "12464.00 Чай Thyme Time с чабрецом")</f>
      </c>
      <c r="C24248" s="4" t="n">
        <v>160.00</v>
      </c>
      <c r="D24248" s="4"/>
    </row>
    <row collapsed="" customFormat="false" customHeight="1" hidden="" ht="14" outlineLevel="0" r="24249">
      <c r="A24249" s="3" t="inlineStr">
        <is>
          <t>24153</t>
        </is>
      </c>
      <c r="B24249" s="4" t="s">
        <f>=HYPERLINK("http://anyluxury.ru/shop/podarochnye-nabory/nabory-s-chaem/chay-ulun-da-hun-pao-12730/" , "12730 Чай улун «Да Хун Пао»")</f>
      </c>
      <c r="C24249" s="4" t="n">
        <v>219.00</v>
      </c>
      <c r="D24249" s="4"/>
    </row>
    <row collapsed="" customFormat="false" customHeight="1" hidden="" ht="14" outlineLevel="0" r="24250">
      <c r="A24250" s="3" t="inlineStr">
        <is>
          <t>24154</t>
        </is>
      </c>
      <c r="B24250" s="4" t="s">
        <f>=HYPERLINK("http://anyluxury.ru/shop/podarochnye-nabory/nabory-s-chaem/chay-ulun-chernaya-smorodina-12731/" , "12731 Чай улун «Черная смородина»")</f>
      </c>
      <c r="C24250" s="4" t="n">
        <v>140.00</v>
      </c>
      <c r="D24250" s="4"/>
    </row>
    <row collapsed="" customFormat="false" customHeight="1" hidden="" ht="14" outlineLevel="0" r="24251">
      <c r="A24251" s="3" t="inlineStr">
        <is>
          <t>24155</t>
        </is>
      </c>
      <c r="B24251" s="4" t="s">
        <f>=HYPERLINK("http://anyluxury.ru/shop/podarochnye-nabory/nabory-s-chaem/grechishniy-chay-ku-cyao-12734/" , "12734 Гречишный чай «Ку Цяо»")</f>
      </c>
      <c r="C24251" s="4" t="n">
        <v>99.00</v>
      </c>
      <c r="D24251" s="4"/>
    </row>
    <row collapsed="" customFormat="false" customHeight="1" hidden="" ht="14" outlineLevel="0" r="24252">
      <c r="A24252" s="3" t="inlineStr">
        <is>
          <t>24156</t>
        </is>
      </c>
      <c r="B24252" s="4" t="s">
        <f>=HYPERLINK("http://anyluxury.ru/shop/podarochnye-nabory/nabory-s-chaem/chay-malinoviy-kokteyl-12735/" , "12735 Чай «Малиновый коктейль»")</f>
      </c>
      <c r="C24252" s="4" t="n">
        <v>215.00</v>
      </c>
      <c r="D24252" s="4"/>
    </row>
    <row collapsed="" customFormat="false" customHeight="1" hidden="" ht="14" outlineLevel="0" r="24253">
      <c r="A24253" s="3" t="inlineStr">
        <is>
          <t>24157</t>
        </is>
      </c>
      <c r="B24253" s="4" t="s">
        <f>=HYPERLINK("http://anyluxury.ru/shop/podarochnye-nabory/nabory-s-chaem/chay-molochniy-ulun-12736/" , "12736 Чай «Молочный улун»")</f>
      </c>
      <c r="C24253" s="4" t="n">
        <v>215.00</v>
      </c>
      <c r="D24253" s="4"/>
    </row>
    <row collapsed="" customFormat="false" customHeight="1" hidden="" ht="14" outlineLevel="0" r="24254">
      <c r="A24254" s="3" t="inlineStr">
        <is>
          <t>24158</t>
        </is>
      </c>
      <c r="B24254" s="4" t="s">
        <f>=HYPERLINK("http://anyluxury.ru/shop/podarochnye-nabory/nabory-s-chaem/zeleniy-chay-s-zhasminom-12737/" , "12737 Зеленый чай с жасмином")</f>
      </c>
      <c r="C24254" s="4" t="n">
        <v>170.00</v>
      </c>
      <c r="D24254" s="4"/>
    </row>
    <row collapsed="" customFormat="false" customHeight="1" hidden="" ht="14" outlineLevel="0" r="24255">
      <c r="A24255" s="3" t="inlineStr">
        <is>
          <t>24159</t>
        </is>
      </c>
      <c r="B24255" s="4" t="s">
        <f>=HYPERLINK("http://anyluxury.ru/shop/podarochnye-nabory/nabory-s-chaem/cherniy-chay-s-bergamotom-12738/" , "12738 Черный чай с бергамотом")</f>
      </c>
      <c r="C24255" s="4" t="n">
        <v>180.00</v>
      </c>
      <c r="D24255" s="4"/>
    </row>
    <row collapsed="" customFormat="false" customHeight="1" hidden="" ht="14" outlineLevel="0" r="24256">
      <c r="A24256" s="3" t="inlineStr">
        <is>
          <t>24160</t>
        </is>
      </c>
      <c r="B24256" s="4" t="s">
        <f>=HYPERLINK("http://anyluxury.ru/shop/podarochnye-nabory/nabory-s-chaem/chay-cherniy-s-myatoy-1364400/" , "13644.00 Чай черный с мятой")</f>
      </c>
      <c r="C24256" s="4" t="n">
        <v>150.00</v>
      </c>
      <c r="D24256" s="4"/>
    </row>
    <row collapsed="" customFormat="false" customHeight="1" hidden="" ht="14" outlineLevel="0" r="24257">
      <c r="A24257" s="3" t="inlineStr">
        <is>
          <t>24161</t>
        </is>
      </c>
      <c r="B24257" s="4" t="s">
        <f>=HYPERLINK("http://anyluxury.ru/shop/podarochnye-nabory/nabory-s-chaem/chay-brizgi-shampanskogo-1364500/" , "13645.00 Чай «Брызги шампанского»")</f>
      </c>
      <c r="C24257" s="4" t="n">
        <v>150.00</v>
      </c>
      <c r="D24257" s="4"/>
    </row>
    <row collapsed="" customFormat="false" customHeight="1" hidden="" ht="14" outlineLevel="0" r="24258">
      <c r="A24258" s="3" t="inlineStr">
        <is>
          <t>24162</t>
        </is>
      </c>
      <c r="B24258" s="4" t="s">
        <f>=HYPERLINK("http://anyluxury.ru/shop/podarochnye-nabory/nabory-s-chaem/nabor-poka-vse-doma-1426900/" , "14269.00 Набор «Пока все дома»")</f>
      </c>
      <c r="C24258" s="4" t="n">
        <v>1949.00</v>
      </c>
      <c r="D24258" s="4"/>
    </row>
    <row collapsed="" customFormat="false" customHeight="1" hidden="" ht="14" outlineLevel="0" r="24259">
      <c r="A24259" s="3" t="inlineStr">
        <is>
          <t>24163</t>
        </is>
      </c>
      <c r="B24259" s="4" t="s">
        <f>=HYPERLINK("http://anyluxury.ru/shop/podarochnye-nabory/nabory-s-chaem/chay-cherniy-assam-709500/" , "7095.00 Чай черный «Ассам»")</f>
      </c>
      <c r="C24259" s="4" t="n">
        <v>170.00</v>
      </c>
      <c r="D24259" s="4"/>
    </row>
    <row collapsed="" customFormat="false" customHeight="1" hidden="" ht="14" outlineLevel="0" r="24260">
      <c r="A24260" s="3" t="inlineStr">
        <is>
          <t>24164</t>
        </is>
      </c>
      <c r="B24260" s="4" t="s">
        <f>=HYPERLINK("http://anyluxury.ru/shop/podarochnye-nabory/nabory-s-chaem/chay-sokochay-cherniy-s-imbirem-koricey-i-medom-1622201/" , "16222.01 Чай «Сокочай», черный с имбирем, корицей и медом")</f>
      </c>
      <c r="C24260" s="4" t="n">
        <v>810.00</v>
      </c>
      <c r="D24260" s="4"/>
    </row>
    <row collapsed="" customFormat="false" customHeight="1" hidden="" ht="14" outlineLevel="0" r="24261">
      <c r="A24261" s="3" t="inlineStr">
        <is>
          <t>24165</t>
        </is>
      </c>
      <c r="B24261" s="4" t="s">
        <f>=HYPERLINK("http://anyluxury.ru/shop/podarochnye-nabory/nabory-s-chaem/chay-sokochay-cherniy-s-ananasom-klubnikoy-i-myatoy-1622202/" , "16222.02 Чай «Сокочай», черный с ананасом, клубникой и мятой")</f>
      </c>
      <c r="C24261" s="4" t="n">
        <v>810.00</v>
      </c>
      <c r="D24261" s="4"/>
    </row>
    <row collapsed="" customFormat="false" customHeight="1" hidden="" ht="14" outlineLevel="0" r="24262">
      <c r="A24262" s="3" t="inlineStr">
        <is>
          <t>24166</t>
        </is>
      </c>
      <c r="B24262" s="4" t="s">
        <f>=HYPERLINK("http://anyluxury.ru/shop/podarochnye-nabory/nabory-s-chaem/chay-sokochay-zeleniy-s-imbirem-i-lemongrassom-1622203/" , "16222.03 Чай «Сокочай», зеленый с имбирем и лемонграссом")</f>
      </c>
      <c r="C24262" s="4" t="n">
        <v>810.00</v>
      </c>
      <c r="D24262" s="4"/>
    </row>
    <row collapsed="" customFormat="false" customHeight="1" hidden="" ht="14" outlineLevel="0" r="24263">
      <c r="A24263" s="3" t="inlineStr">
        <is>
          <t>24167</t>
        </is>
      </c>
      <c r="B24263" s="4" t="s">
        <f>=HYPERLINK("http://anyluxury.ru/shop/podarochnye-nabory/nabory-s-chaem/ivanchay-antivirus-19030/" , "19030 Иван-чай «Антивирус»")</f>
      </c>
      <c r="C24263" s="4" t="n">
        <v>460.00</v>
      </c>
      <c r="D24263" s="4"/>
    </row>
    <row collapsed="" customFormat="false" customHeight="1" hidden="" ht="14" outlineLevel="0" r="24264">
      <c r="A24264" s="3" t="inlineStr">
        <is>
          <t>24168</t>
        </is>
      </c>
      <c r="B24264" s="4" t="s">
        <f>=HYPERLINK("http://anyluxury.ru/shop/podarochnye-nabory/nabory-s-chaem/nabor-chaynoe-puteshestvie-ver2-1638000/" , "16380.00 Набор «Чайное путешествие», ver.2")</f>
      </c>
      <c r="C24264" s="4" t="n">
        <v>1200.00</v>
      </c>
      <c r="D24264" s="4"/>
    </row>
    <row collapsed="" customFormat="false" customHeight="1" hidden="" ht="14" outlineLevel="0" r="24265">
      <c r="A24265" s="3" t="inlineStr">
        <is>
          <t>24169</t>
        </is>
      </c>
      <c r="B24265" s="4" t="s">
        <f>=HYPERLINK("http://anyluxury.ru/shop/podarochnye-nabory/nabory-s-chaem/nabor-bolshoe-chaynoe-puteshestvie-1639030/" , "16390.30 Набор «Большое чайное путешествие»")</f>
      </c>
      <c r="C24265" s="4" t="n">
        <v>2000.00</v>
      </c>
      <c r="D24265" s="4"/>
    </row>
    <row collapsed="" customFormat="false" customHeight="1" hidden="" ht="14" outlineLevel="0" r="24266">
      <c r="A24266" s="3" t="inlineStr">
        <is>
          <t>24170</t>
        </is>
      </c>
      <c r="B24266" s="4" t="s">
        <f>=HYPERLINK("http://anyluxury.ru/shop/podarochnye-nabory/nabory-s-chaem/nabor-sweet-crunch-s-sokochaem-i-popkornom-v-karamelnoy-glazuri-1915901/" , "19159.01 Набор Sweet Crunch с «Сокочаем» и попкорном в карамельной глазури")</f>
      </c>
      <c r="C24266" s="4" t="n">
        <v>1251.00</v>
      </c>
      <c r="D24266" s="4"/>
    </row>
    <row collapsed="" customFormat="false" customHeight="1" hidden="" ht="14" outlineLevel="0" r="24267">
      <c r="A24267" s="3" t="inlineStr">
        <is>
          <t>24171</t>
        </is>
      </c>
      <c r="B24267" s="4" t="s">
        <f>=HYPERLINK("http://anyluxury.ru/shop/podarochnye-nabory/nabory-s-chaem/nabor-heatwave-rozoviy-1916215/" , "19162.15 Набор Heatwave, розовый")</f>
      </c>
      <c r="C24267" s="4" t="n">
        <v>2592.00</v>
      </c>
      <c r="D24267" s="4"/>
    </row>
    <row collapsed="" customFormat="false" customHeight="1" hidden="" ht="14" outlineLevel="0" r="24268">
      <c r="A24268" s="3" t="inlineStr">
        <is>
          <t>24172</t>
        </is>
      </c>
      <c r="B24268" s="4" t="s">
        <f>=HYPERLINK("http://anyluxury.ru/shop/podarochnye-nabory/nabory-s-chaem/nabor-heatwave-beliy-1916260/" , "19162.60 Набор Heatwave, белый")</f>
      </c>
      <c r="C24268" s="4" t="n">
        <v>2592.00</v>
      </c>
      <c r="D24268" s="4"/>
    </row>
    <row collapsed="" customFormat="false" customHeight="1" hidden="" ht="14" outlineLevel="0" r="24269">
      <c r="A24269" s="3" t="inlineStr">
        <is>
          <t>24173</t>
        </is>
      </c>
      <c r="B24269" s="4" t="s">
        <f>=HYPERLINK("http://anyluxury.ru/shop/podarochnye-nabory/nabory-s-chaem/chay-sokochay-mini-cherniy-s-imbirem-apelsinom-i-malinoy-1644001/" , "16440.01 Чай «Сокочай», мини, черный с имбирем, апельсином и малиной")</f>
      </c>
      <c r="C24269" s="4" t="n">
        <v>450.00</v>
      </c>
      <c r="D24269" s="4"/>
    </row>
    <row collapsed="" customFormat="false" customHeight="1" hidden="" ht="14" outlineLevel="0" r="24270">
      <c r="A24270" s="3" t="inlineStr">
        <is>
          <t>24174</t>
        </is>
      </c>
      <c r="B24270" s="4" t="s">
        <f>=HYPERLINK("http://anyluxury.ru/shop/podarochnye-nabory/nabory-s-chaem/chay-sokochay-mini-cherniy-s-imbirem-karamelyu-i-aromatom-greckogo-oreha-1644002/" , "16440.02 Чай «Сокочай», мини, черный с имбирем, карамелью и ароматом грецкого ореха")</f>
      </c>
      <c r="C24270" s="4" t="n">
        <v>450.00</v>
      </c>
      <c r="D24270" s="4"/>
    </row>
    <row collapsed="" customFormat="false" customHeight="1" hidden="" ht="14" outlineLevel="0" r="24271">
      <c r="A24271" s="3" t="inlineStr">
        <is>
          <t>24175</t>
        </is>
      </c>
      <c r="B24271" s="4" t="s">
        <f>=HYPERLINK("http://anyluxury.ru/shop/podarochnye-nabory/nabory-s-chaem/nabor-yum-yum-1794801/" , "17948.01 Набор Yum Yum")</f>
      </c>
      <c r="C24271" s="4" t="n">
        <v>1835.00</v>
      </c>
      <c r="D24271" s="4"/>
    </row>
    <row collapsed="" customFormat="false" customHeight="1" hidden="" ht="14" outlineLevel="0" r="24272">
      <c r="A24272" s="3" t="inlineStr">
        <is>
          <t>24176</t>
        </is>
      </c>
      <c r="B24272" s="4" t="s">
        <f>=HYPERLINK("http://anyluxury.ru/shop/podarochnye-nabory/nabory-s-chaem/nabor-immuni-med-s-kedrovimi-orehami-1795401/" , "17954.01 Набор Immuni, мед с кедровыми орехами")</f>
      </c>
      <c r="C24272" s="4" t="n">
        <v>1200.90</v>
      </c>
      <c r="D24272" s="4"/>
    </row>
    <row collapsed="" customFormat="false" customHeight="1" hidden="" ht="14" outlineLevel="0" r="24273">
      <c r="A24273" s="3" t="inlineStr">
        <is>
          <t>24177</t>
        </is>
      </c>
      <c r="B24273" s="4" t="s">
        <f>=HYPERLINK("http://anyluxury.ru/shop/podarochnye-nabory/nabory-s-chaem/nabor-immuni-med-s-fistashkami-i-morskoy-solyu-1795402/" , "17954.02 Набор Immuni, мед с фисташками и морской солью")</f>
      </c>
      <c r="C24273" s="4" t="n">
        <v>1200.90</v>
      </c>
      <c r="D24273" s="4"/>
    </row>
    <row collapsed="" customFormat="false" customHeight="1" hidden="" ht="14" outlineLevel="0" r="24274">
      <c r="A24274" s="3" t="inlineStr">
        <is>
          <t>24178</t>
        </is>
      </c>
      <c r="B24274" s="4" t="s">
        <f>=HYPERLINK("http://anyluxury.ru/shop/podarochnye-nabory/nabory-s-chaem/nabor-immuni-med-s-laymom-i-myatoy-1795403/" , "17954.03 Набор Immuni, мед с лаймом и мятой")</f>
      </c>
      <c r="C24274" s="4" t="n">
        <v>1200.90</v>
      </c>
      <c r="D24274" s="4"/>
    </row>
    <row collapsed="" customFormat="false" customHeight="1" hidden="" ht="14" outlineLevel="0" r="24275">
      <c r="A24275" s="3" t="inlineStr">
        <is>
          <t>24179</t>
        </is>
      </c>
      <c r="B24275" s="4" t="s">
        <f>=HYPERLINK("http://anyluxury.ru/shop/podarochnye-nabory/nabory-s-chaem/nabor-teacode-1795001/" , "17950.01 Набор Teacode")</f>
      </c>
      <c r="C24275" s="4" t="n">
        <v>2439.00</v>
      </c>
      <c r="D24275" s="4"/>
    </row>
    <row collapsed="" customFormat="false" customHeight="" hidden="" ht="12.1" outlineLevel="0" r="24276">
      <c r="A24276" s="5" t="inlineStr">
        <is>
          <t> -  - Наборы с кофе</t>
        </is>
      </c>
      <c r="B24276" s="6"/>
      <c r="C24276" s="6"/>
      <c r="D24276" s="6"/>
    </row>
    <row collapsed="" customFormat="false" customHeight="1" hidden="" ht="14" outlineLevel="0" r="24277">
      <c r="A24277" s="3" t="inlineStr">
        <is>
          <t>24180</t>
        </is>
      </c>
      <c r="B24277" s="4" t="s">
        <f>=HYPERLINK("http://anyluxury.ru/shop/podarochnye-nabory/nabory-s-kofe/kofe-molotiy-brazil-fenix-v-chernoy-upakovke-1274230/" , "12742.30 Кофе молотый Brazil Fenix, в черной упаковке")</f>
      </c>
      <c r="C24277" s="4" t="n">
        <v>450.00</v>
      </c>
      <c r="D24277" s="4"/>
    </row>
    <row collapsed="" customFormat="false" customHeight="1" hidden="" ht="14" outlineLevel="0" r="24278">
      <c r="A24278" s="3" t="inlineStr">
        <is>
          <t>24181</t>
        </is>
      </c>
      <c r="B24278" s="4" t="s">
        <f>=HYPERLINK("http://anyluxury.ru/shop/podarochnye-nabory/nabory-s-kofe/kofe-molotiy-brazil-fenix-v-beloy-upakovke-1274260/" , "12742.60 Кофе молотый Brazil Fenix, в белой упаковке")</f>
      </c>
      <c r="C24278" s="4" t="n">
        <v>450.00</v>
      </c>
      <c r="D24278" s="4"/>
    </row>
    <row collapsed="" customFormat="false" customHeight="1" hidden="" ht="14" outlineLevel="0" r="24279">
      <c r="A24279" s="3" t="inlineStr">
        <is>
          <t>24182</t>
        </is>
      </c>
      <c r="B24279" s="4" t="s">
        <f>=HYPERLINK("http://anyluxury.ru/shop/podarochnye-nabory/nabory-s-kofe/kofe-v-zernah-jambo-14619/" , "14619 Кофе в зернах Jambo")</f>
      </c>
      <c r="C24279" s="4" t="n">
        <v>400.00</v>
      </c>
      <c r="D24279" s="4"/>
    </row>
    <row collapsed="" customFormat="false" customHeight="1" hidden="" ht="14" outlineLevel="0" r="24280">
      <c r="A24280" s="3" t="inlineStr">
        <is>
          <t>24183</t>
        </is>
      </c>
      <c r="B24280" s="4" t="s">
        <f>=HYPERLINK("http://anyluxury.ru/shop/podarochnye-nabory/nabory-s-kofe/nabor-adorno-s-kofe-1494300/" , "14943.00 Набор Adorno с кофе")</f>
      </c>
      <c r="C24280" s="4" t="n">
        <v>1172.00</v>
      </c>
      <c r="D24280" s="4"/>
    </row>
    <row collapsed="" customFormat="false" customHeight="1" hidden="" ht="14" outlineLevel="0" r="24281">
      <c r="A24281" s="3" t="inlineStr">
        <is>
          <t>24184</t>
        </is>
      </c>
      <c r="B24281" s="4" t="s">
        <f>=HYPERLINK("http://anyluxury.ru/shop/podarochnye-nabory/nabory-s-kofe/kofe-v-zernah-kokos-1651001/" , "16510.01 Кофе в зернах «Кокос»")</f>
      </c>
      <c r="C24281" s="4" t="n">
        <v>740.00</v>
      </c>
      <c r="D24281" s="4"/>
    </row>
    <row collapsed="" customFormat="false" customHeight="1" hidden="" ht="14" outlineLevel="0" r="24282">
      <c r="A24282" s="3" t="inlineStr">
        <is>
          <t>24185</t>
        </is>
      </c>
      <c r="B24282" s="4" t="s">
        <f>=HYPERLINK("http://anyluxury.ru/shop/podarochnye-nabory/nabory-s-kofe/kofe-v-drippakete-drip-tip-braziliya-modzhiana-6811331/" , "68113.31 Кофе в дрип-пакете Drip Tip, Бразилия Моджиана")</f>
      </c>
      <c r="C24282" s="4" t="n">
        <v>80.00</v>
      </c>
      <c r="D24282" s="4"/>
    </row>
    <row collapsed="" customFormat="false" customHeight="1" hidden="" ht="14" outlineLevel="0" r="24283">
      <c r="A24283" s="3" t="inlineStr">
        <is>
          <t>24186</t>
        </is>
      </c>
      <c r="B24283" s="4" t="s">
        <f>=HYPERLINK("http://anyluxury.ru/shop/podarochnye-nabory/nabory-s-kofe/kofe-v-drippakete-drip-tip-braziliya-santos-6811361/" , "68113.61 Кофе в дрип-пакете Drip Tip, Бразилия Сантос")</f>
      </c>
      <c r="C24283" s="4" t="n">
        <v>80.00</v>
      </c>
      <c r="D24283" s="4"/>
    </row>
    <row collapsed="" customFormat="false" customHeight="" hidden="" ht="12.1" outlineLevel="0" r="24284">
      <c r="A24284" s="5" t="inlineStr">
        <is>
          <t> -  - Наборы для сыра</t>
        </is>
      </c>
      <c r="B24284" s="6"/>
      <c r="C24284" s="6"/>
      <c r="D24284" s="6"/>
    </row>
    <row collapsed="" customFormat="false" customHeight="1" hidden="" ht="14" outlineLevel="0" r="24285">
      <c r="A24285" s="3" t="inlineStr">
        <is>
          <t>24187</t>
        </is>
      </c>
      <c r="B24285" s="4" t="s">
        <f>=HYPERLINK("http://anyluxury.ru/shop/podarochnye-nabory/nabory-dlya-syra/nabor-dlya-sira-gryuyer-7571/" , "7571 Набор для сыра «Грюйер»")</f>
      </c>
      <c r="C24285" s="4" t="n">
        <v>2100.00</v>
      </c>
      <c r="D24285" s="4"/>
    </row>
    <row collapsed="" customFormat="false" customHeight="1" hidden="" ht="14" outlineLevel="0" r="24286">
      <c r="A24286" s="3" t="inlineStr">
        <is>
          <t>24188</t>
        </is>
      </c>
      <c r="B24286" s="4" t="s">
        <f>=HYPERLINK("http://anyluxury.ru/shop/podarochnye-nabory/nabory-dlya-syra/nabor-dlya-sira-morbe-7108/" , "7108 Набор для сыра «Морбье»")</f>
      </c>
      <c r="C24286" s="4" t="n">
        <v>2085.00</v>
      </c>
      <c r="D24286" s="4"/>
    </row>
    <row collapsed="" customFormat="false" customHeight="1" hidden="" ht="14" outlineLevel="0" r="24287">
      <c r="A24287" s="3" t="inlineStr">
        <is>
          <t>24189</t>
        </is>
      </c>
      <c r="B24287" s="4" t="s">
        <f>=HYPERLINK("http://anyluxury.ru/shop/podarochnye-nabory/nabory-dlya-syra/nabor-dlya-sira-emmental-7197/" , "7197 Набор для сыра «Эмменталь»")</f>
      </c>
      <c r="C24287" s="4" t="n">
        <v>2104.00</v>
      </c>
      <c r="D24287" s="4"/>
    </row>
    <row collapsed="" customFormat="false" customHeight="1" hidden="" ht="14" outlineLevel="0" r="24288">
      <c r="A24288" s="3" t="inlineStr">
        <is>
          <t>24190</t>
        </is>
      </c>
      <c r="B24288" s="4" t="s">
        <f>=HYPERLINK("http://anyluxury.ru/shop/podarochnye-nabory/nabory-dlya-syra/nabor-dlya-sira-tilziter-10604/" , "10604 Набор для сыра «Тильзитер»")</f>
      </c>
      <c r="C24288" s="4" t="n">
        <v>2123.00</v>
      </c>
      <c r="D24288" s="4"/>
    </row>
    <row collapsed="" customFormat="false" customHeight="1" hidden="" ht="14" outlineLevel="0" r="24289">
      <c r="A24289" s="3" t="inlineStr">
        <is>
          <t>24191</t>
        </is>
      </c>
      <c r="B24289" s="4" t="s">
        <f>=HYPERLINK("http://anyluxury.ru/shop/podarochnye-nabory/nabory-dlya-syra/nabor-dlya-sira-leerdam-10603/" , "10603 Набор для сыра «Леердам»")</f>
      </c>
      <c r="C24289" s="4" t="n">
        <v>1350.00</v>
      </c>
      <c r="D24289" s="4"/>
    </row>
    <row collapsed="" customFormat="false" customHeight="1" hidden="" ht="14" outlineLevel="0" r="24290">
      <c r="A24290" s="3" t="inlineStr">
        <is>
          <t>24192</t>
        </is>
      </c>
      <c r="B24290" s="4" t="s">
        <f>=HYPERLINK("http://anyluxury.ru/shop/podarochnye-nabory/nabory-dlya-syra/nabor-dlya-sira-kavale-1320800/" , "13208.00 Набор для сыра «Кавалье»")</f>
      </c>
      <c r="C24290" s="4" t="n">
        <v>2048.00</v>
      </c>
      <c r="D24290" s="4"/>
    </row>
    <row collapsed="" customFormat="false" customHeight="1" hidden="" ht="14" outlineLevel="0" r="24291">
      <c r="A24291" s="3" t="inlineStr">
        <is>
          <t>24193</t>
        </is>
      </c>
      <c r="B24291" s="4" t="s">
        <f>=HYPERLINK("http://anyluxury.ru/shop/podarochnye-nabory/nabory-dlya-syra/sirniy-nabor-creamery-1437400/" , "14374.00 Сырный набор Creamery")</f>
      </c>
      <c r="C24291" s="4" t="n">
        <v>2172.00</v>
      </c>
      <c r="D24291" s="4"/>
    </row>
    <row collapsed="" customFormat="false" customHeight="1" hidden="" ht="14" outlineLevel="0" r="24292">
      <c r="A24292" s="3" t="inlineStr">
        <is>
          <t>24194</t>
        </is>
      </c>
      <c r="B24292" s="4" t="s">
        <f>=HYPERLINK("http://anyluxury.ru/shop/podarochnye-nabory/nabory-dlya-syra/sirniy-nabor-tyros-1731000/" , "17310.00 Сырный набор Tyros")</f>
      </c>
      <c r="C24292" s="4" t="n">
        <v>2506.00</v>
      </c>
      <c r="D24292" s="4"/>
    </row>
    <row collapsed="" customFormat="false" customHeight="" hidden="" ht="12.1" outlineLevel="0" r="24293">
      <c r="A24293" s="5" t="inlineStr">
        <is>
          <t>Посуда</t>
        </is>
      </c>
      <c r="B24293" s="6"/>
      <c r="C24293" s="6"/>
      <c r="D24293" s="6"/>
    </row>
    <row collapsed="" customFormat="false" customHeight="" hidden="" ht="12.1" outlineLevel="0" r="24294">
      <c r="A24294" s="5" t="inlineStr">
        <is>
          <t> -  - Аксессуары для вина и крепких напитков</t>
        </is>
      </c>
      <c r="B24294" s="6"/>
      <c r="C24294" s="6"/>
      <c r="D24294" s="6"/>
    </row>
    <row collapsed="" customFormat="false" customHeight="1" hidden="" ht="14" outlineLevel="0" r="24295">
      <c r="A24295" s="3" t="inlineStr">
        <is>
          <t>24195</t>
        </is>
      </c>
      <c r="B24295" s="4" t="s">
        <f>=HYPERLINK("http://anyluxury.ru/shop/posuda/aksessuary-dlya-vina-i-krepkikh-napitkov/mikser-dlya-kokteyley-p261042/" , "P261.042 Миксер для коктейлей")</f>
      </c>
      <c r="C24295" s="4" t="n">
        <v>1985.00</v>
      </c>
      <c r="D24295" s="4"/>
    </row>
    <row collapsed="" customFormat="false" customHeight="1" hidden="" ht="14" outlineLevel="0" r="24296">
      <c r="A24296" s="3" t="inlineStr">
        <is>
          <t>24196</t>
        </is>
      </c>
      <c r="B24296" s="4" t="s">
        <f>=HYPERLINK("http://anyluxury.ru/shop/posuda/aksessuary-dlya-vina-i-krepkikh-napitkov/lozhka-barnaya-serebristaya-53610/" , "536.10 Ложка барная, серебристая")</f>
      </c>
      <c r="C24296" s="4" t="n">
        <v>364.00</v>
      </c>
      <c r="D24296" s="4"/>
    </row>
    <row collapsed="" customFormat="false" customHeight="1" hidden="" ht="14" outlineLevel="0" r="24297">
      <c r="A24297" s="3" t="inlineStr">
        <is>
          <t>24197</t>
        </is>
      </c>
      <c r="B24297" s="4" t="s">
        <f>=HYPERLINK("http://anyluxury.ru/shop/posuda/aksessuary-dlya-vina-i-krepkikh-napitkov/podstavka-dlya-butilki-lasso-7612/" , "7612 Подставка для бутылки Lasso")</f>
      </c>
      <c r="C24297" s="4" t="n">
        <v>1990.00</v>
      </c>
      <c r="D24297" s="4"/>
    </row>
    <row collapsed="" customFormat="false" customHeight="1" hidden="" ht="14" outlineLevel="0" r="24298">
      <c r="A24298" s="3" t="inlineStr">
        <is>
          <t>24198</t>
        </is>
      </c>
      <c r="B24298" s="4" t="s">
        <f>=HYPERLINK("http://anyluxury.ru/shop/posuda/aksessuary-dlya-vina-i-krepkikh-napitkov/otkrivashka-dlya-butilok-victorinox-utensils-chernaya-1003630/" , "10036.30 Открывашка для бутылок Victorinox Utensils, черная")</f>
      </c>
      <c r="C24298" s="4" t="n">
        <v>1107.00</v>
      </c>
      <c r="D24298" s="4"/>
    </row>
    <row collapsed="" customFormat="false" customHeight="1" hidden="" ht="14" outlineLevel="0" r="24299">
      <c r="A24299" s="3" t="inlineStr">
        <is>
          <t>24199</t>
        </is>
      </c>
      <c r="B24299" s="4" t="s">
        <f>=HYPERLINK("http://anyluxury.ru/shop/posuda/aksessuary-dlya-vina-i-krepkikh-napitkov/shtopor-victorinox-utensils-cherniy-1004030/" , "10040.30 Штопор Victorinox Utensils, черный")</f>
      </c>
      <c r="C24299" s="4" t="n">
        <v>1538.00</v>
      </c>
      <c r="D24299" s="4"/>
    </row>
    <row collapsed="" customFormat="false" customHeight="1" hidden="" ht="14" outlineLevel="0" r="24300">
      <c r="A24300" s="3" t="inlineStr">
        <is>
          <t>24200</t>
        </is>
      </c>
      <c r="B24300" s="4" t="s">
        <f>=HYPERLINK("http://anyluxury.ru/shop/posuda/aksessuary-dlya-vina-i-krepkikh-napitkov/palochka-dlya-kokteylya-pina-colada-chernaya-7397130/" , "73971.30 Палочка для коктейля Pina Colada, черная")</f>
      </c>
      <c r="C24300" s="4" t="n">
        <v>30.00</v>
      </c>
      <c r="D24300" s="4"/>
    </row>
    <row collapsed="" customFormat="false" customHeight="1" hidden="" ht="14" outlineLevel="0" r="24301">
      <c r="A24301" s="3" t="inlineStr">
        <is>
          <t>24201</t>
        </is>
      </c>
      <c r="B24301" s="4" t="s">
        <f>=HYPERLINK("http://anyluxury.ru/shop/posuda/aksessuary-dlya-vina-i-krepkikh-napitkov/palochka-dlya-kokteylya-pina-colada-sinyaya-7397140/" , "73971.40 Палочка для коктейля Pina Colada, синяя")</f>
      </c>
      <c r="C24301" s="4" t="n">
        <v>30.00</v>
      </c>
      <c r="D24301" s="4"/>
    </row>
    <row collapsed="" customFormat="false" customHeight="1" hidden="" ht="14" outlineLevel="0" r="24302">
      <c r="A24302" s="3" t="inlineStr">
        <is>
          <t>24202</t>
        </is>
      </c>
      <c r="B24302" s="4" t="s">
        <f>=HYPERLINK("http://anyluxury.ru/shop/posuda/aksessuary-dlya-vina-i-krepkikh-napitkov/palochka-dlya-kokteylya-pina-colada-krasnaya-7397150/" , "73971.50 Палочка для коктейля Pina Colada, красная")</f>
      </c>
      <c r="C24302" s="4" t="n">
        <v>30.00</v>
      </c>
      <c r="D24302" s="4"/>
    </row>
    <row collapsed="" customFormat="false" customHeight="1" hidden="" ht="14" outlineLevel="0" r="24303">
      <c r="A24303" s="3" t="inlineStr">
        <is>
          <t>24203</t>
        </is>
      </c>
      <c r="B24303" s="4" t="s">
        <f>=HYPERLINK("http://anyluxury.ru/shop/posuda/aksessuary-dlya-vina-i-krepkikh-napitkov/palochka-dlya-kokteylya-pina-colada-belaya-7397160/" , "73971.60 Палочка для коктейля Pina Colada, белая")</f>
      </c>
      <c r="C24303" s="4" t="n">
        <v>30.00</v>
      </c>
      <c r="D24303" s="4"/>
    </row>
    <row collapsed="" customFormat="false" customHeight="1" hidden="" ht="14" outlineLevel="0" r="24304">
      <c r="A24304" s="3" t="inlineStr">
        <is>
          <t>24204</t>
        </is>
      </c>
      <c r="B24304" s="4" t="s">
        <f>=HYPERLINK("http://anyluxury.ru/shop/posuda/aksessuary-dlya-vina-i-krepkikh-napitkov/palochka-dlya-kokteylya-pina-colada-zheltaya-7397180/" , "73971.80 Палочка для коктейля Pina Colada, желтая")</f>
      </c>
      <c r="C24304" s="4" t="n">
        <v>30.00</v>
      </c>
      <c r="D24304" s="4"/>
    </row>
    <row collapsed="" customFormat="false" customHeight="1" hidden="" ht="14" outlineLevel="0" r="24305">
      <c r="A24305" s="3" t="inlineStr">
        <is>
          <t>24205</t>
        </is>
      </c>
      <c r="B24305" s="4" t="s">
        <f>=HYPERLINK("http://anyluxury.ru/shop/posuda/aksessuary-dlya-vina-i-krepkikh-napitkov/palochka-dlya-kokteylya-pina-colada-oranzhevaya-7397120/" , "73971.20 Палочка для коктейля Pina Colada, оранжевая")</f>
      </c>
      <c r="C24305" s="4" t="n">
        <v>30.00</v>
      </c>
      <c r="D24305" s="4"/>
    </row>
    <row collapsed="" customFormat="false" customHeight="1" hidden="" ht="14" outlineLevel="0" r="24306">
      <c r="A24306" s="3" t="inlineStr">
        <is>
          <t>24206</t>
        </is>
      </c>
      <c r="B24306" s="4" t="s">
        <f>=HYPERLINK("http://anyluxury.ru/shop/posuda/aksessuary-dlya-vina-i-krepkikh-napitkov/nozh-somele-merlot-cherniy-1046330/" , "10463.30 Нож сомелье Merlot, черный")</f>
      </c>
      <c r="C24306" s="4" t="n">
        <v>472.00</v>
      </c>
      <c r="D24306" s="4"/>
    </row>
    <row collapsed="" customFormat="false" customHeight="1" hidden="" ht="14" outlineLevel="0" r="24307">
      <c r="A24307" s="3" t="inlineStr">
        <is>
          <t>24207</t>
        </is>
      </c>
      <c r="B24307" s="4" t="s">
        <f>=HYPERLINK("http://anyluxury.ru/shop/posuda/aksessuary-dlya-vina-i-krepkikh-napitkov/nabor-mellow-serebristiy-1250800/" , "12508.00 Набор Mellow, с изогнутой трубочкой, серебристый")</f>
      </c>
      <c r="C24307" s="4" t="n">
        <v>115.00</v>
      </c>
      <c r="D24307" s="4"/>
    </row>
    <row collapsed="" customFormat="false" customHeight="1" hidden="" ht="14" outlineLevel="0" r="24308">
      <c r="A24308" s="3" t="inlineStr">
        <is>
          <t>24208</t>
        </is>
      </c>
      <c r="B24308" s="4" t="s">
        <f>=HYPERLINK("http://anyluxury.ru/shop/posuda/aksessuary-dlya-vina-i-krepkikh-napitkov/vspenivatel-moloka-latte-pen-1211100/" , "12111.00 Вспениватель молока Latte Pen")</f>
      </c>
      <c r="C24308" s="4" t="n">
        <v>475.00</v>
      </c>
      <c r="D24308" s="4"/>
    </row>
    <row collapsed="" customFormat="false" customHeight="1" hidden="" ht="14" outlineLevel="0" r="24309">
      <c r="A24309" s="3" t="inlineStr">
        <is>
          <t>24209</t>
        </is>
      </c>
      <c r="B24309" s="4" t="s">
        <f>=HYPERLINK("http://anyluxury.ru/shop/posuda/aksessuary-dlya-vina-i-krepkikh-napitkov/sheyker-dlya-kokteyley-vzboltat-ne-smeshivat-1211300/" , "12113.00 Шейкер для коктейлей «Взболтать не смешивать»")</f>
      </c>
      <c r="C24309" s="4" t="n">
        <v>668.00</v>
      </c>
      <c r="D24309" s="4"/>
    </row>
    <row collapsed="" customFormat="false" customHeight="1" hidden="" ht="14" outlineLevel="0" r="24310">
      <c r="A24310" s="3" t="inlineStr">
        <is>
          <t>24210</t>
        </is>
      </c>
      <c r="B24310" s="4" t="s">
        <f>=HYPERLINK("http://anyluxury.ru/shop/posuda/aksessuary-dlya-vina-i-krepkikh-napitkov/chehol-dlya-trubochki-i-ershika-mellow-12155/" , "12155 Чехол для трубочки и ершика Mellow")</f>
      </c>
      <c r="C24310" s="4" t="n">
        <v>160.00</v>
      </c>
      <c r="D24310" s="4"/>
    </row>
    <row collapsed="" customFormat="false" customHeight="1" hidden="" ht="14" outlineLevel="0" r="24311">
      <c r="A24311" s="3" t="inlineStr">
        <is>
          <t>24211</t>
        </is>
      </c>
      <c r="B24311" s="4" t="s">
        <f>=HYPERLINK("http://anyluxury.ru/shop/posuda/aksessuary-dlya-vina-i-krepkikh-napitkov/trubochka-zoku-zelenaya-1262290/" , "12622.90 Трубочка Zoku, зеленая")</f>
      </c>
      <c r="C24311" s="4" t="n">
        <v>830.00</v>
      </c>
      <c r="D24311" s="4"/>
    </row>
    <row collapsed="" customFormat="false" customHeight="1" hidden="" ht="14" outlineLevel="0" r="24312">
      <c r="A24312" s="3" t="inlineStr">
        <is>
          <t>24212</t>
        </is>
      </c>
      <c r="B24312" s="4" t="s">
        <f>=HYPERLINK("http://anyluxury.ru/shop/posuda/aksessuary-dlya-vina-i-krepkikh-napitkov/trubochka-zoku-rozovaya-1262215/" , "12622.15 Трубочка Zoku, розовая")</f>
      </c>
      <c r="C24312" s="4" t="n">
        <v>830.00</v>
      </c>
      <c r="D24312" s="4"/>
    </row>
    <row collapsed="" customFormat="false" customHeight="1" hidden="" ht="14" outlineLevel="0" r="24313">
      <c r="A24313" s="3" t="inlineStr">
        <is>
          <t>24213</t>
        </is>
      </c>
      <c r="B24313" s="4" t="s">
        <f>=HYPERLINK("http://anyluxury.ru/shop/posuda/aksessuary-dlya-vina-i-krepkikh-napitkov/trubochka-zoku-seraya-1262210/" , "12622.10 Трубочка Zoku, серая")</f>
      </c>
      <c r="C24313" s="4" t="n">
        <v>830.00</v>
      </c>
      <c r="D24313" s="4"/>
    </row>
    <row collapsed="" customFormat="false" customHeight="1" hidden="" ht="14" outlineLevel="0" r="24314">
      <c r="A24314" s="3" t="inlineStr">
        <is>
          <t>24214</t>
        </is>
      </c>
      <c r="B24314" s="4" t="s">
        <f>=HYPERLINK("http://anyluxury.ru/shop/posuda/aksessuary-dlya-vina-i-krepkikh-napitkov/forma-dlya-lda-cube-chernaya-1262930/" , "12629.30 Форма для льда Cube, черная")</f>
      </c>
      <c r="C24314" s="4" t="n">
        <v>1950.00</v>
      </c>
      <c r="D24314" s="4"/>
    </row>
    <row collapsed="" customFormat="false" customHeight="1" hidden="" ht="14" outlineLevel="0" r="24315">
      <c r="A24315" s="3" t="inlineStr">
        <is>
          <t>24215</t>
        </is>
      </c>
      <c r="B24315" s="4" t="s">
        <f>=HYPERLINK("http://anyluxury.ru/shop/posuda/aksessuary-dlya-vina-i-krepkikh-napitkov/forma-dlya-lda-ice-ball-chernaya-1263030/" , "12630.30 Форма для льда Ice Ball, черная")</f>
      </c>
      <c r="C24315" s="4" t="n">
        <v>1950.00</v>
      </c>
      <c r="D24315" s="4"/>
    </row>
    <row collapsed="" customFormat="false" customHeight="1" hidden="" ht="14" outlineLevel="0" r="24316">
      <c r="A24316" s="3" t="inlineStr">
        <is>
          <t>24216</t>
        </is>
      </c>
      <c r="B24316" s="4" t="s">
        <f>=HYPERLINK("http://anyluxury.ru/shop/posuda/aksessuary-dlya-vina-i-krepkikh-napitkov/forma-dlya-lda-jack-chernaya-1263130/" , "12631.30 Форма для льда Jack, черная")</f>
      </c>
      <c r="C24316" s="4" t="n">
        <v>1950.00</v>
      </c>
      <c r="D24316" s="4"/>
    </row>
    <row collapsed="" customFormat="false" customHeight="1" hidden="" ht="14" outlineLevel="0" r="24317">
      <c r="A24317" s="3" t="inlineStr">
        <is>
          <t>24217</t>
        </is>
      </c>
      <c r="B24317" s="4" t="s">
        <f>=HYPERLINK("http://anyluxury.ru/shop/posuda/aksessuary-dlya-vina-i-krepkikh-napitkov/derzhatel-dlya-6-butilok-nordic-kitchen-1481630/" , "14816.30 Держатель для 6 бутылок Nordic Kitchen")</f>
      </c>
      <c r="C24317" s="4" t="n">
        <v>9950.00</v>
      </c>
      <c r="D24317" s="4"/>
    </row>
    <row collapsed="" customFormat="false" customHeight="1" hidden="" ht="14" outlineLevel="0" r="24318">
      <c r="A24318" s="3" t="inlineStr">
        <is>
          <t>24218</t>
        </is>
      </c>
      <c r="B24318" s="4" t="s">
        <f>=HYPERLINK("http://anyluxury.ru/shop/posuda/aksessuary-dlya-vina-i-krepkikh-napitkov/derzhatel-dlya-butilok-nordic-kitchen-dub-1481700/" , "14817.00 Держатель для бутылок Nordic Kitchen, дуб")</f>
      </c>
      <c r="C24318" s="4" t="n">
        <v>6300.00</v>
      </c>
      <c r="D24318" s="4"/>
    </row>
    <row collapsed="" customFormat="false" customHeight="1" hidden="" ht="14" outlineLevel="0" r="24319">
      <c r="A24319" s="3" t="inlineStr">
        <is>
          <t>24219</t>
        </is>
      </c>
      <c r="B24319" s="4" t="s">
        <f>=HYPERLINK("http://anyluxury.ru/shop/posuda/aksessuary-dlya-vina-i-krepkikh-napitkov/derzhatel-dlya-butilok-nordic-kitchen-cherniy-1481730/" , "14817.30 Держатель для бутылок Nordic Kitchen, черный")</f>
      </c>
      <c r="C24319" s="4" t="n">
        <v>6300.00</v>
      </c>
      <c r="D24319" s="4"/>
    </row>
    <row collapsed="" customFormat="false" customHeight="1" hidden="" ht="14" outlineLevel="0" r="24320">
      <c r="A24320" s="3" t="inlineStr">
        <is>
          <t>24220</t>
        </is>
      </c>
      <c r="B24320" s="4" t="s">
        <f>=HYPERLINK("http://anyluxury.ru/shop/posuda/aksessuary-dlya-vina-i-krepkikh-napitkov/ohlazhdayushhiy-rukav-dlya-vina-staycool-cherniy-1501030/" , "15010.30 Охлаждающий рукав для вина StayCool, черный")</f>
      </c>
      <c r="C24320" s="4" t="n">
        <v>3300.00</v>
      </c>
      <c r="D24320" s="4"/>
    </row>
    <row collapsed="" customFormat="false" customHeight="1" hidden="" ht="14" outlineLevel="0" r="24321">
      <c r="A24321" s="3" t="inlineStr">
        <is>
          <t>24221</t>
        </is>
      </c>
      <c r="B24321" s="4" t="s">
        <f>=HYPERLINK("http://anyluxury.ru/shop/posuda/aksessuary-dlya-vina-i-krepkikh-napitkov/sheyker-bar-1501100/" , "15011.00 Шейкер Bar")</f>
      </c>
      <c r="C24321" s="4" t="n">
        <v>5690.00</v>
      </c>
      <c r="D24321" s="4"/>
    </row>
    <row collapsed="" customFormat="false" customHeight="1" hidden="" ht="14" outlineLevel="0" r="24322">
      <c r="A24322" s="3" t="inlineStr">
        <is>
          <t>24222</t>
        </is>
      </c>
      <c r="B24322" s="4" t="s">
        <f>=HYPERLINK("http://anyluxury.ru/shop/posuda/aksessuary-dlya-vina-i-krepkikh-napitkov/podstavka-dlya-butilok-setup-organic-seraya-1350911/" , "13509.11 Подставка для бутылок Set-Up Organic, серая")</f>
      </c>
      <c r="C24322" s="4" t="n">
        <v>4690.00</v>
      </c>
      <c r="D24322" s="4"/>
    </row>
    <row collapsed="" customFormat="false" customHeight="1" hidden="" ht="14" outlineLevel="0" r="24323">
      <c r="A24323" s="3" t="inlineStr">
        <is>
          <t>24223</t>
        </is>
      </c>
      <c r="B24323" s="4" t="s">
        <f>=HYPERLINK("http://anyluxury.ru/shop/posuda/aksessuary-dlya-vina-i-krepkikh-napitkov/podstavka-dlya-butilok-setup-chernaya-1350930/" , "13509.30 Подставка для бутылок Set-Up, черная")</f>
      </c>
      <c r="C24323" s="4" t="n">
        <v>4400.00</v>
      </c>
      <c r="D24323" s="4"/>
    </row>
    <row collapsed="" customFormat="false" customHeight="1" hidden="" ht="14" outlineLevel="0" r="24324">
      <c r="A24324" s="3" t="inlineStr">
        <is>
          <t>24224</t>
        </is>
      </c>
      <c r="B24324" s="4" t="s">
        <f>=HYPERLINK("http://anyluxury.ru/shop/posuda/aksessuary-dlya-vina-i-krepkikh-napitkov/podstavka-dlya-butilok-setup-zelenaya-1350990/" , "13509.90 Подставка для бутылок Set-Up, зеленая")</f>
      </c>
      <c r="C24324" s="4" t="n">
        <v>3650.00</v>
      </c>
      <c r="D24324" s="4"/>
    </row>
    <row collapsed="" customFormat="false" customHeight="1" hidden="" ht="14" outlineLevel="0" r="24325">
      <c r="A24325" s="3" t="inlineStr">
        <is>
          <t>24225</t>
        </is>
      </c>
      <c r="B24325" s="4" t="s">
        <f>=HYPERLINK("http://anyluxury.ru/shop/posuda/aksessuary-dlya-vina-i-krepkikh-napitkov/probka-dlya-butilki-miaou-belaya-1351660/" , "13516.60 Пробка для бутылки Miaou, белая")</f>
      </c>
      <c r="C24325" s="4" t="n">
        <v>760.00</v>
      </c>
      <c r="D24325" s="4"/>
    </row>
    <row collapsed="" customFormat="false" customHeight="1" hidden="" ht="14" outlineLevel="0" r="24326">
      <c r="A24326" s="3" t="inlineStr">
        <is>
          <t>24226</t>
        </is>
      </c>
      <c r="B24326" s="4" t="s">
        <f>=HYPERLINK("http://anyluxury.ru/shop/posuda/aksessuary-dlya-vina-i-krepkikh-napitkov/nabor-trubochek-colour-1492500/" , "14925.00 Набор из 4 трубочек Colour")</f>
      </c>
      <c r="C24326" s="4" t="n">
        <v>540.00</v>
      </c>
      <c r="D24326" s="4"/>
    </row>
    <row collapsed="" customFormat="false" customHeight="1" hidden="" ht="14" outlineLevel="0" r="24327">
      <c r="A24327" s="3" t="inlineStr">
        <is>
          <t>24227</t>
        </is>
      </c>
      <c r="B24327" s="4" t="s">
        <f>=HYPERLINK("http://anyluxury.ru/shop/posuda/aksessuary-dlya-vina-i-krepkikh-napitkov/elektricheskiy-shtopor-maggiore-cherniy-s-zolotistim-1313100/" , "13131.00 Электрический штопор Maggiore, черный с золотистым")</f>
      </c>
      <c r="C24327" s="4" t="n">
        <v>7011.00</v>
      </c>
      <c r="D24327" s="4"/>
    </row>
    <row collapsed="" customFormat="false" customHeight="1" hidden="" ht="14" outlineLevel="0" r="24328">
      <c r="A24328" s="3" t="inlineStr">
        <is>
          <t>24228</t>
        </is>
      </c>
      <c r="B24328" s="4" t="s">
        <f>=HYPERLINK("http://anyluxury.ru/shop/posuda/aksessuary-dlya-vina-i-krepkikh-napitkov/termofutlyar-dlya-vina-vin-blanc-cherniy-1271130/" , "12711.30 Термофутляр для вина Vin Blanc, черный")</f>
      </c>
      <c r="C24328" s="4" t="n">
        <v>7480.00</v>
      </c>
      <c r="D24328" s="4"/>
    </row>
    <row collapsed="" customFormat="false" customHeight="1" hidden="" ht="14" outlineLevel="0" r="24329">
      <c r="A24329" s="3" t="inlineStr">
        <is>
          <t>24229</t>
        </is>
      </c>
      <c r="B24329" s="4" t="s">
        <f>=HYPERLINK("http://anyluxury.ru/shop/posuda/aksessuary-dlya-vina-i-krepkikh-napitkov/elektricheskiy-shtopor-huo-hou-electric-wine-bottle-opener-gift-edition-siniy-1313444/" , "13134.44 Электрический штопор Huo Hou, синий")</f>
      </c>
      <c r="C24329" s="4" t="n">
        <v>3890.00</v>
      </c>
      <c r="D24329" s="4"/>
    </row>
    <row collapsed="" customFormat="false" customHeight="1" hidden="" ht="14" outlineLevel="0" r="24330">
      <c r="A24330" s="3" t="inlineStr">
        <is>
          <t>24230</t>
        </is>
      </c>
      <c r="B24330" s="4" t="s">
        <f>=HYPERLINK("http://anyluxury.ru/shop/posuda/aksessuary-dlya-vina-i-krepkikh-napitkov/elektricheskiy-shtopor-huo-hou-electric-wine-bottle-opener-gift-edition-cherniy-1313430/" , "13134.30 Электрический штопор Huo Hou, черный")</f>
      </c>
      <c r="C24330" s="4" t="n">
        <v>3490.00</v>
      </c>
      <c r="D24330" s="4"/>
    </row>
    <row collapsed="" customFormat="false" customHeight="1" hidden="" ht="14" outlineLevel="0" r="24331">
      <c r="A24331" s="3" t="inlineStr">
        <is>
          <t>24231</t>
        </is>
      </c>
      <c r="B24331" s="4" t="s">
        <f>=HYPERLINK("http://anyluxury.ru/shop/posuda/aksessuary-dlya-vina-i-krepkikh-napitkov/kuler-dlya-vina-icewise-serebristiy-1304210/" , "13042.10 Кулер для вина Icewise, серебристый")</f>
      </c>
      <c r="C24331" s="4" t="n">
        <v>4539.00</v>
      </c>
      <c r="D24331" s="4"/>
    </row>
    <row collapsed="" customFormat="false" customHeight="1" hidden="" ht="14" outlineLevel="0" r="24332">
      <c r="A24332" s="3" t="inlineStr">
        <is>
          <t>24232</t>
        </is>
      </c>
      <c r="B24332" s="4" t="s">
        <f>=HYPERLINK("http://anyluxury.ru/shop/posuda/aksessuary-dlya-vina-i-krepkikh-napitkov/shtopor-deco-1587300/" , "15873.00 Штопор Deco")</f>
      </c>
      <c r="C24332" s="4" t="n">
        <v>906.00</v>
      </c>
      <c r="D24332" s="4"/>
    </row>
    <row collapsed="" customFormat="false" customHeight="1" hidden="" ht="14" outlineLevel="0" r="24333">
      <c r="A24333" s="3" t="inlineStr">
        <is>
          <t>24233</t>
        </is>
      </c>
      <c r="B24333" s="4" t="s">
        <f>=HYPERLINK("http://anyluxury.ru/shop/posuda/aksessuary-dlya-vina-i-krepkikh-napitkov/elektricheskiy-shtopor-maggiore-cherniy-s-serebristim-1313110/" , "13131.10 Электрический штопор Maggiore, черный с серебристым")</f>
      </c>
      <c r="C24333" s="4" t="n">
        <v>7011.00</v>
      </c>
      <c r="D24333" s="4"/>
    </row>
    <row collapsed="" customFormat="false" customHeight="1" hidden="" ht="14" outlineLevel="0" r="24334">
      <c r="A24334" s="3" t="inlineStr">
        <is>
          <t>24234</t>
        </is>
      </c>
      <c r="B24334" s="4" t="s">
        <f>=HYPERLINK("http://anyluxury.ru/shop/posuda/aksessuary-dlya-vina-i-krepkikh-napitkov/elektricheskiy-shtopor-circle-joy-automatic-cherniy-1854830/" , "18548.30 Электрический штопор Circle Joy Automatic, черный")</f>
      </c>
      <c r="C24334" s="4" t="n">
        <v>3730.00</v>
      </c>
      <c r="D24334" s="4"/>
    </row>
    <row collapsed="" customFormat="false" customHeight="1" hidden="" ht="14" outlineLevel="0" r="24335">
      <c r="A24335" s="3" t="inlineStr">
        <is>
          <t>24235</t>
        </is>
      </c>
      <c r="B24335" s="4" t="s">
        <f>=HYPERLINK("http://anyluxury.ru/shop/posuda/aksessuary-dlya-vina-i-krepkikh-napitkov/elektricheskiy-shtopor-circle-joy-mini-cherniy-1854930/" , "18549.30 Электрический штопор Circle Joy Mini, черный")</f>
      </c>
      <c r="C24335" s="4" t="n">
        <v>2650.00</v>
      </c>
      <c r="D24335" s="4"/>
    </row>
    <row collapsed="" customFormat="false" customHeight="1" hidden="" ht="14" outlineLevel="0" r="24336">
      <c r="A24336" s="3" t="inlineStr">
        <is>
          <t>24236</t>
        </is>
      </c>
      <c r="B24336" s="4" t="s">
        <f>=HYPERLINK("http://anyluxury.ru/shop/posuda/aksessuary-dlya-vina-i-krepkikh-napitkov/elektricheskiy-shtopor-s-nozhom-dlya-folgi-wine-diesel-cherniy-1502730/" , "15027.30 Электрический штопор с ножом для фольги Wine Diesel, черный")</f>
      </c>
      <c r="C24336" s="4" t="n">
        <v>2750.00</v>
      </c>
      <c r="D24336" s="4"/>
    </row>
    <row collapsed="" customFormat="false" customHeight="1" hidden="" ht="14" outlineLevel="0" r="24337">
      <c r="A24337" s="3" t="inlineStr">
        <is>
          <t>24237</t>
        </is>
      </c>
      <c r="B24337" s="4" t="s">
        <f>=HYPERLINK("http://anyluxury.ru/shop/posuda/aksessuary-dlya-vina-i-krepkikh-napitkov/elektricheskiy-shtopor-korken-black-1379830/" , "13798.30 Электрический штопор Korken Black")</f>
      </c>
      <c r="C24337" s="4" t="n">
        <v>2789.00</v>
      </c>
      <c r="D24337" s="4"/>
    </row>
    <row collapsed="" customFormat="false" customHeight="1" hidden="" ht="14" outlineLevel="0" r="24338">
      <c r="A24338" s="3" t="inlineStr">
        <is>
          <t>24238</t>
        </is>
      </c>
      <c r="B24338" s="4" t="s">
        <f>=HYPERLINK("http://anyluxury.ru/shop/posuda/aksessuary-dlya-vina-i-krepkikh-napitkov/elektricheskiy-shtopor-korken-x-cherniy-1379930/" , "13799.30 Электрический штопор Korken X, черный")</f>
      </c>
      <c r="C24338" s="4" t="n">
        <v>3615.00</v>
      </c>
      <c r="D24338" s="4"/>
    </row>
    <row collapsed="" customFormat="false" customHeight="1" hidden="" ht="14" outlineLevel="0" r="24339">
      <c r="A24339" s="3" t="inlineStr">
        <is>
          <t>24239</t>
        </is>
      </c>
      <c r="B24339" s="4" t="s">
        <f>=HYPERLINK("http://anyluxury.ru/shop/posuda/aksessuary-dlya-vina-i-krepkikh-napitkov/elektricheskiy-shtopor-s-adapterom-korken-x-krasniy-1379950/" , "13799.50 Электрический штопор Korken X, красный")</f>
      </c>
      <c r="C24339" s="4" t="n">
        <v>4679.00</v>
      </c>
      <c r="D24339" s="4"/>
    </row>
    <row collapsed="" customFormat="false" customHeight="1" hidden="" ht="14" outlineLevel="0" r="24340">
      <c r="A24340" s="3" t="inlineStr">
        <is>
          <t>24240</t>
        </is>
      </c>
      <c r="B24340" s="4" t="s">
        <f>=HYPERLINK("http://anyluxury.ru/shop/posuda/aksessuary-dlya-vina-i-krepkikh-napitkov/elektricheskiy-shtopor-s-adapterom-korken-x-beliy-1379960/" , "13799.60 Электрический штопор Korken X, белый")</f>
      </c>
      <c r="C24340" s="4" t="n">
        <v>4679.00</v>
      </c>
      <c r="D24340" s="4"/>
    </row>
    <row collapsed="" customFormat="false" customHeight="1" hidden="" ht="14" outlineLevel="0" r="24341">
      <c r="A24341" s="3" t="inlineStr">
        <is>
          <t>24241</t>
        </is>
      </c>
      <c r="B24341" s="4" t="s">
        <f>=HYPERLINK("http://anyluxury.ru/shop/posuda/aksessuary-dlya-vina-i-krepkikh-napitkov/elektricheskiy-shtopor-circle-joy-electric-cherniy-1509730/" , "15097.30 Электрический штопор Circle Joy Electric, черный")</f>
      </c>
      <c r="C24341" s="4" t="n">
        <v>2920.00</v>
      </c>
      <c r="D24341" s="4"/>
    </row>
    <row collapsed="" customFormat="false" customHeight="1" hidden="" ht="14" outlineLevel="0" r="24342">
      <c r="A24342" s="3" t="inlineStr">
        <is>
          <t>24242</t>
        </is>
      </c>
      <c r="B24342" s="4" t="s">
        <f>=HYPERLINK("http://anyluxury.ru/shop/posuda/aksessuary-dlya-vina-i-krepkikh-napitkov/elektricheskiy-shtopor-circle-joy-electric-wine-and-beer-serebristiy-1509810/" , "15098.10 Электрический штопор Circle Joy Electric Wine and Beer, серебристый")</f>
      </c>
      <c r="C24342" s="4" t="n">
        <v>2910.00</v>
      </c>
      <c r="D24342" s="4"/>
    </row>
    <row collapsed="" customFormat="false" customHeight="1" hidden="" ht="14" outlineLevel="0" r="24343">
      <c r="A24343" s="3" t="inlineStr">
        <is>
          <t>24243</t>
        </is>
      </c>
      <c r="B24343" s="4" t="s">
        <f>=HYPERLINK("http://anyluxury.ru/shop/posuda/aksessuary-dlya-vina-i-krepkikh-napitkov/elektricheskiy-shtopor-wineme-14091/" , "14091 Электрический штопор WineMe")</f>
      </c>
      <c r="C24343" s="4" t="n">
        <v>2599.00</v>
      </c>
      <c r="D24343" s="4"/>
    </row>
    <row collapsed="" customFormat="false" customHeight="1" hidden="" ht="14" outlineLevel="0" r="24344">
      <c r="A24344" s="3" t="inlineStr">
        <is>
          <t>24244</t>
        </is>
      </c>
      <c r="B24344" s="4" t="s">
        <f>=HYPERLINK("http://anyluxury.ru/shop/posuda/aksessuary-dlya-vina-i-krepkikh-napitkov/elektricheskiy-aerator-dlya-vina-circle-joy-cherniy-1619330/" , "16193.30 Электрический аэратор для вина Circle Joy, черный")</f>
      </c>
      <c r="C24344" s="4" t="n">
        <v>3990.00</v>
      </c>
      <c r="D24344" s="4"/>
    </row>
    <row collapsed="" customFormat="false" customHeight="1" hidden="" ht="14" outlineLevel="0" r="24345">
      <c r="A24345" s="3" t="inlineStr">
        <is>
          <t>24245</t>
        </is>
      </c>
      <c r="B24345" s="4" t="s">
        <f>=HYPERLINK("http://anyluxury.ru/shop/posuda/aksessuary-dlya-vina-i-krepkikh-napitkov/elektricheskaya-vakuumnaya-probka-circle-joy-chernaya-1619430/" , "16194.30 Электрическая вакуумная пробка Circle Joy, черная")</f>
      </c>
      <c r="C24345" s="4" t="n">
        <v>3993.00</v>
      </c>
      <c r="D24345" s="4"/>
    </row>
    <row collapsed="" customFormat="false" customHeight="1" hidden="" ht="14" outlineLevel="0" r="24346">
      <c r="A24346" s="3" t="inlineStr">
        <is>
          <t>24246</t>
        </is>
      </c>
      <c r="B24346" s="4" t="s">
        <f>=HYPERLINK("http://anyluxury.ru/shop/posuda/aksessuary-dlya-vina-i-krepkikh-napitkov/lozhka-dlya-kokteyley-galateo-5507000/" , "55070.00 Ложка для коктейлей Galateo")</f>
      </c>
      <c r="C24346" s="4" t="n">
        <v>307.00</v>
      </c>
      <c r="D24346" s="4"/>
    </row>
    <row collapsed="" customFormat="false" customHeight="1" hidden="" ht="14" outlineLevel="0" r="24347">
      <c r="A24347" s="3" t="inlineStr">
        <is>
          <t>24247</t>
        </is>
      </c>
      <c r="B24347" s="4" t="s">
        <f>=HYPERLINK("http://anyluxury.ru/shop/posuda/aksessuary-dlya-vina-i-krepkikh-napitkov/termometr-dlya-vina-pinot-1717700/" , "17177.00 Термометр для вина Pinot")</f>
      </c>
      <c r="C24347" s="4" t="n">
        <v>235.00</v>
      </c>
      <c r="D24347" s="4"/>
    </row>
    <row collapsed="" customFormat="false" customHeight="1" hidden="" ht="14" outlineLevel="0" r="24348">
      <c r="A24348" s="3" t="inlineStr">
        <is>
          <t>24248</t>
        </is>
      </c>
      <c r="B24348" s="4" t="s">
        <f>=HYPERLINK("http://anyluxury.ru/shop/posuda/aksessuary-dlya-vina-i-krepkikh-napitkov/sheyker-nellie-1717800/" , "17178.00 Шейкер Nellie")</f>
      </c>
      <c r="C24348" s="4" t="n">
        <v>1032.00</v>
      </c>
      <c r="D24348" s="4"/>
    </row>
    <row collapsed="" customFormat="false" customHeight="1" hidden="" ht="14" outlineLevel="0" r="24349">
      <c r="A24349" s="3" t="inlineStr">
        <is>
          <t>24249</t>
        </is>
      </c>
      <c r="B24349" s="4" t="s">
        <f>=HYPERLINK("http://anyluxury.ru/shop/posuda/aksessuary-dlya-vina-i-krepkikh-napitkov/sheyker-vanilla-1717900/" , "17179.00 Шейкер Vanilla")</f>
      </c>
      <c r="C24349" s="4" t="n">
        <v>882.00</v>
      </c>
      <c r="D24349" s="4"/>
    </row>
    <row collapsed="" customFormat="false" customHeight="1" hidden="" ht="14" outlineLevel="0" r="24350">
      <c r="A24350" s="3" t="inlineStr">
        <is>
          <t>24250</t>
        </is>
      </c>
      <c r="B24350" s="4" t="s">
        <f>=HYPERLINK("http://anyluxury.ru/shop/posuda/aksessuary-dlya-vina-i-krepkikh-napitkov/vedro-dlya-lda-fashion-1718100/" , "17181.00 Ведро для льда Fashion")</f>
      </c>
      <c r="C24350" s="4" t="n">
        <v>1823.00</v>
      </c>
      <c r="D24350" s="4"/>
    </row>
    <row collapsed="" customFormat="false" customHeight="1" hidden="" ht="14" outlineLevel="0" r="24351">
      <c r="A24351" s="3" t="inlineStr">
        <is>
          <t>24251</t>
        </is>
      </c>
      <c r="B24351" s="4" t="s">
        <f>=HYPERLINK("http://anyluxury.ru/shop/posuda/aksessuary-dlya-vina-i-krepkikh-napitkov/aerator-paloma-1718200/" , "17182.00 Аэратор Paloma")</f>
      </c>
      <c r="C24351" s="4" t="n">
        <v>543.00</v>
      </c>
      <c r="D24351" s="4"/>
    </row>
    <row collapsed="" customFormat="false" customHeight="1" hidden="" ht="14" outlineLevel="0" r="24352">
      <c r="A24352" s="3" t="inlineStr">
        <is>
          <t>24252</t>
        </is>
      </c>
      <c r="B24352" s="4" t="s">
        <f>=HYPERLINK("http://anyluxury.ru/shop/posuda/aksessuary-dlya-vina-i-krepkikh-napitkov/aerator-s-podstavkoy-diablo-1718300/" , "17183.00 Аэратор с подставкой Diablo")</f>
      </c>
      <c r="C24352" s="4" t="n">
        <v>958.00</v>
      </c>
      <c r="D24352" s="4"/>
    </row>
    <row collapsed="" customFormat="false" customHeight="1" hidden="" ht="14" outlineLevel="0" r="24353">
      <c r="A24353" s="3" t="inlineStr">
        <is>
          <t>24253</t>
        </is>
      </c>
      <c r="B24353" s="4" t="s">
        <f>=HYPERLINK("http://anyluxury.ru/shop/posuda/aksessuary-dlya-vina-i-krepkikh-napitkov/kapleulovitel-dlya-vina-sofos-1718400/" , "17184.00 Каплеуловитель для вина Sofos")</f>
      </c>
      <c r="C24353" s="4" t="n">
        <v>136.00</v>
      </c>
      <c r="D24353" s="4"/>
    </row>
    <row collapsed="" customFormat="false" customHeight="1" hidden="" ht="14" outlineLevel="0" r="24354">
      <c r="A24354" s="3" t="inlineStr">
        <is>
          <t>24254</t>
        </is>
      </c>
      <c r="B24354" s="4" t="s">
        <f>=HYPERLINK("http://anyluxury.ru/shop/posuda/aksessuary-dlya-vina-i-krepkikh-napitkov/srezatel-folgi-ginger-1718500/" , "17185.00 Срезатель фольги Ginger")</f>
      </c>
      <c r="C24354" s="4" t="n">
        <v>165.00</v>
      </c>
      <c r="D24354" s="4"/>
    </row>
    <row collapsed="" customFormat="false" customHeight="1" hidden="" ht="14" outlineLevel="0" r="24355">
      <c r="A24355" s="3" t="inlineStr">
        <is>
          <t>24255</t>
        </is>
      </c>
      <c r="B24355" s="4" t="s">
        <f>=HYPERLINK("http://anyluxury.ru/shop/posuda/aksessuary-dlya-vina-i-krepkikh-napitkov/kolcokapleulovitel-french-1718600/" , "17186.00 Кольцо-каплеуловитель French")</f>
      </c>
      <c r="C24355" s="4" t="n">
        <v>148.00</v>
      </c>
      <c r="D24355" s="4"/>
    </row>
    <row collapsed="" customFormat="false" customHeight="1" hidden="" ht="14" outlineLevel="0" r="24356">
      <c r="A24356" s="3" t="inlineStr">
        <is>
          <t>24256</t>
        </is>
      </c>
      <c r="B24356" s="4" t="s">
        <f>=HYPERLINK("http://anyluxury.ru/shop/posuda/aksessuary-dlya-vina-i-krepkikh-napitkov/madler-bar-me-tender-1585500/" , "15855.00 Мадлер Bar Me Tender")</f>
      </c>
      <c r="C24356" s="4" t="n">
        <v>229.00</v>
      </c>
      <c r="D24356" s="4"/>
    </row>
    <row collapsed="" customFormat="false" customHeight="1" hidden="" ht="14" outlineLevel="0" r="24357">
      <c r="A24357" s="3" t="inlineStr">
        <is>
          <t>24257</t>
        </is>
      </c>
      <c r="B24357" s="4" t="s">
        <f>=HYPERLINK("http://anyluxury.ru/shop/posuda/aksessuary-dlya-vina-i-krepkikh-napitkov/vakuumnaya-probka-dlya-shampanskogo-champagne-sealer-1539600/" , "15396.00 Вакуумная пробка для шампанского Champagne Sealer")</f>
      </c>
      <c r="C24357" s="4" t="n">
        <v>895.00</v>
      </c>
      <c r="D24357" s="4"/>
    </row>
    <row collapsed="" customFormat="false" customHeight="1" hidden="" ht="14" outlineLevel="0" r="24358">
      <c r="A24358" s="3" t="inlineStr">
        <is>
          <t>24258</t>
        </is>
      </c>
      <c r="B24358" s="4" t="s">
        <f>=HYPERLINK("http://anyluxury.ru/shop/posuda/aksessuary-dlya-vina-i-krepkikh-napitkov/vakuumnaya-probka-dlya-vina-wine-sealer-1539700/" , "15397.00 Вакуумная пробка для вина Wine Sealer")</f>
      </c>
      <c r="C24358" s="4" t="n">
        <v>1050.00</v>
      </c>
      <c r="D24358" s="4"/>
    </row>
    <row collapsed="" customFormat="false" customHeight="1" hidden="" ht="14" outlineLevel="0" r="24359">
      <c r="A24359" s="3" t="inlineStr">
        <is>
          <t>24259</t>
        </is>
      </c>
      <c r="B24359" s="4" t="s">
        <f>=HYPERLINK("http://anyluxury.ru/shop/posuda/aksessuary-dlya-vina-i-krepkikh-napitkov/nabor-dlya-prigotovleniya-kokteyley-pourpour-medniy-1559700/" , "15597.00 Набор для приготовления коктейлей Pourpour, медный")</f>
      </c>
      <c r="C24359" s="4" t="n">
        <v>3253.00</v>
      </c>
      <c r="D24359" s="4"/>
    </row>
    <row collapsed="" customFormat="false" customHeight="1" hidden="" ht="14" outlineLevel="0" r="24360">
      <c r="A24360" s="3" t="inlineStr">
        <is>
          <t>24260</t>
        </is>
      </c>
      <c r="B24360" s="4" t="s">
        <f>=HYPERLINK("http://anyluxury.ru/shop/posuda/aksessuary-dlya-vina-i-krepkikh-napitkov/nabor-dlya-prigotovleniya-kokteyley-troubleshooter-serebristiy-1559811/" , "15598.11 Набор для приготовления коктейлей Troubleshooter, серебристый")</f>
      </c>
      <c r="C24360" s="4" t="n">
        <v>2535.00</v>
      </c>
      <c r="D24360" s="4"/>
    </row>
    <row collapsed="" customFormat="false" customHeight="1" hidden="" ht="14" outlineLevel="0" r="24361">
      <c r="A24361" s="3" t="inlineStr">
        <is>
          <t>24261</t>
        </is>
      </c>
      <c r="B24361" s="4" t="s">
        <f>=HYPERLINK("http://anyluxury.ru/shop/posuda/aksessuary-dlya-vina-i-krepkikh-napitkov/nabor-dlya-prigotovleniya-kokteyley-splash-maker-cherniy-1559930/" , "15599.30 Набор для приготовления коктейлей Splash Maker, черный")</f>
      </c>
      <c r="C24361" s="4" t="n">
        <v>4355.00</v>
      </c>
      <c r="D24361" s="4"/>
    </row>
    <row collapsed="" customFormat="false" customHeight="1" hidden="" ht="14" outlineLevel="0" r="24362">
      <c r="A24362" s="3" t="inlineStr">
        <is>
          <t>24262</t>
        </is>
      </c>
      <c r="B24362" s="4" t="s">
        <f>=HYPERLINK("http://anyluxury.ru/shop/posuda/aksessuary-dlya-vina-i-krepkikh-napitkov/nabor-dlya-prigotovleniya-kokteyley-pourpour-iz-5-predmetov-cherniy-1559730/" , "15597.30 Набор для приготовления коктейлей Pourpour, черный")</f>
      </c>
      <c r="C24362" s="4" t="n">
        <v>3253.00</v>
      </c>
      <c r="D24362" s="4"/>
    </row>
    <row collapsed="" customFormat="false" customHeight="1" hidden="" ht="14" outlineLevel="0" r="24363">
      <c r="A24363" s="3" t="inlineStr">
        <is>
          <t>24263</t>
        </is>
      </c>
      <c r="B24363" s="4" t="s">
        <f>=HYPERLINK("http://anyluxury.ru/shop/posuda/aksessuary-dlya-vina-i-krepkikh-napitkov/podstavkabalansir-dlya-vina-life-balance-1560400/" , "15604.00 Подставка-балансир для вина Life Balance")</f>
      </c>
      <c r="C24363" s="4" t="n">
        <v>490.00</v>
      </c>
      <c r="D24363" s="4"/>
    </row>
    <row collapsed="" customFormat="false" customHeight="1" hidden="" ht="14" outlineLevel="0" r="24364">
      <c r="A24364" s="3" t="inlineStr">
        <is>
          <t>24264</t>
        </is>
      </c>
      <c r="B24364" s="4" t="s">
        <f>=HYPERLINK("http://anyluxury.ru/shop/posuda/aksessuary-dlya-vina-i-krepkikh-napitkov/nozh-somele-sabernet-1560100/" , "15601.00 Нож сомелье Сabernet")</f>
      </c>
      <c r="C24364" s="4" t="n">
        <v>510.00</v>
      </c>
      <c r="D24364" s="4"/>
    </row>
    <row collapsed="" customFormat="false" customHeight="1" hidden="" ht="14" outlineLevel="0" r="24365">
      <c r="A24365" s="3" t="inlineStr">
        <is>
          <t>24265</t>
        </is>
      </c>
      <c r="B24365" s="4" t="s">
        <f>=HYPERLINK("http://anyluxury.ru/shop/posuda/aksessuary-dlya-vina-i-krepkikh-napitkov/nabor-trubochek-lamone-2125500/" , "21255.00 Набор трубочек Lamone")</f>
      </c>
      <c r="C24365" s="4" t="n">
        <v>109.00</v>
      </c>
      <c r="D24365" s="4"/>
    </row>
    <row collapsed="" customFormat="false" customHeight="1" hidden="" ht="14" outlineLevel="0" r="24366">
      <c r="A24366" s="3" t="inlineStr">
        <is>
          <t>24266</t>
        </is>
      </c>
      <c r="B24366" s="4" t="s">
        <f>=HYPERLINK("http://anyluxury.ru/shop/posuda/aksessuary-dlya-vina-i-krepkikh-napitkov/elektricheskiy-shtopor-s-nozhom-dlya-folgi-veritas-serebristiy-1901110/" , "19011.10 Электрический штопор с ножом для фольги Veritas, серебристый")</f>
      </c>
      <c r="C24366" s="4" t="n">
        <v>2290.00</v>
      </c>
      <c r="D24366" s="4"/>
    </row>
    <row collapsed="" customFormat="false" customHeight="1" hidden="" ht="14" outlineLevel="0" r="24367">
      <c r="A24367" s="3" t="inlineStr">
        <is>
          <t>24267</t>
        </is>
      </c>
      <c r="B24367" s="4" t="s">
        <f>=HYPERLINK("http://anyluxury.ru/shop/posuda/aksessuary-dlya-vina-i-krepkikh-napitkov/vakuumnaya-probka-dlya-vina-wine-sealer-chernaya-1539730/" , "15397.30 Вакуумная пробка для вина Wine Sealer, черная")</f>
      </c>
      <c r="C24367" s="4" t="n">
        <v>708.00</v>
      </c>
      <c r="D24367" s="4"/>
    </row>
    <row collapsed="" customFormat="false" customHeight="1" hidden="" ht="14" outlineLevel="0" r="24368">
      <c r="A24368" s="3" t="inlineStr">
        <is>
          <t>24268</t>
        </is>
      </c>
      <c r="B24368" s="4" t="s">
        <f>=HYPERLINK("http://anyluxury.ru/shop/posuda/aksessuary-dlya-vina-i-krepkikh-napitkov/elektricheskiy-shtopor-hailing-electric-wine-opener-cherniy-1676630/" , "16766.30 Электрический штопор Hailing Electric Wine Оpener, черный")</f>
      </c>
      <c r="C24368" s="4" t="n">
        <v>2555.00</v>
      </c>
      <c r="D24368" s="4"/>
    </row>
    <row collapsed="" customFormat="false" customHeight="" hidden="" ht="12.1" outlineLevel="0" r="24369">
      <c r="A24369" s="5" t="inlineStr">
        <is>
          <t> -  - Бокалы</t>
        </is>
      </c>
      <c r="B24369" s="6"/>
      <c r="C24369" s="6"/>
      <c r="D24369" s="6"/>
    </row>
    <row collapsed="" customFormat="false" customHeight="1" hidden="" ht="14" outlineLevel="0" r="24370">
      <c r="A24370" s="3" t="inlineStr">
        <is>
          <t>24269</t>
        </is>
      </c>
      <c r="B24370" s="4" t="s">
        <f>=HYPERLINK("http://anyluxury.ru/shop/posuda/bokaly/stakan-vayzen-620-ml-s-emblemoy-fifa-2018/" , "N8104 Стакан «Вайзен» 620 мл с Эмблемой FIFA 2018")</f>
      </c>
      <c r="C24370" s="4" t="n">
        <v>300.00</v>
      </c>
      <c r="D24370" s="4"/>
    </row>
    <row collapsed="" customFormat="false" customHeight="1" hidden="" ht="14" outlineLevel="0" r="24371">
      <c r="A24371" s="3" t="inlineStr">
        <is>
          <t>24270</t>
        </is>
      </c>
      <c r="B24371" s="4" t="s">
        <f>=HYPERLINK("http://anyluxury.ru/shop/posuda/bokaly/bokal-charente-1025700/" , "10257.00 Бокал Charente")</f>
      </c>
      <c r="C24371" s="4" t="n">
        <v>210.00</v>
      </c>
      <c r="D24371" s="4"/>
    </row>
    <row collapsed="" customFormat="false" customHeight="1" hidden="" ht="14" outlineLevel="0" r="24372">
      <c r="A24372" s="3" t="inlineStr">
        <is>
          <t>24271</t>
        </is>
      </c>
      <c r="B24372" s="4" t="s">
        <f>=HYPERLINK("http://anyluxury.ru/shop/posuda/bokaly/bokal-dlya-vina-classic-1026000/" , "10260.00 Бокал для вина Classic")</f>
      </c>
      <c r="C24372" s="4" t="n">
        <v>198.00</v>
      </c>
      <c r="D24372" s="4"/>
    </row>
    <row collapsed="" customFormat="false" customHeight="1" hidden="" ht="14" outlineLevel="0" r="24373">
      <c r="A24373" s="3" t="inlineStr">
        <is>
          <t>24272</t>
        </is>
      </c>
      <c r="B24373" s="4" t="s">
        <f>=HYPERLINK("http://anyluxury.ru/shop/posuda/bokaly/nabor-bokalov-dlya-shampanskogo-space-zolotistiy-1153100/" , "11531.00 Набор бокалов для шампанского Space, золотистый")</f>
      </c>
      <c r="C24373" s="4" t="n">
        <v>5644.00</v>
      </c>
      <c r="D24373" s="4"/>
    </row>
    <row collapsed="" customFormat="false" customHeight="1" hidden="" ht="14" outlineLevel="0" r="24374">
      <c r="A24374" s="3" t="inlineStr">
        <is>
          <t>24273</t>
        </is>
      </c>
      <c r="B24374" s="4" t="s">
        <f>=HYPERLINK("http://anyluxury.ru/shop/posuda/bokaly/nabor-bokalov-space-platinoviy-1153210/" , "11532.10 Набор бокалов Space, платиновый")</f>
      </c>
      <c r="C24374" s="4" t="n">
        <v>4585.00</v>
      </c>
      <c r="D24374" s="4"/>
    </row>
    <row collapsed="" customFormat="false" customHeight="1" hidden="" ht="14" outlineLevel="0" r="24375">
      <c r="A24375" s="3" t="inlineStr">
        <is>
          <t>24274</t>
        </is>
      </c>
      <c r="B24375" s="4" t="s">
        <f>=HYPERLINK("http://anyluxury.ru/shop/posuda/bokaly/bokal-dlya-vina-enoteka-1122200/" , "11222.00 Бокал для вина «Энотека»")</f>
      </c>
      <c r="C24375" s="4" t="n">
        <v>253.00</v>
      </c>
      <c r="D24375" s="4"/>
    </row>
    <row collapsed="" customFormat="false" customHeight="1" hidden="" ht="14" outlineLevel="0" r="24376">
      <c r="A24376" s="3" t="inlineStr">
        <is>
          <t>24275</t>
        </is>
      </c>
      <c r="B24376" s="4" t="s">
        <f>=HYPERLINK("http://anyluxury.ru/shop/posuda/bokaly/kruzhka-dlya-latte-creamy-1122300/" , "11223.00 Кружка для латте и коктейлей Creamy")</f>
      </c>
      <c r="C24376" s="4" t="n">
        <v>207.00</v>
      </c>
      <c r="D24376" s="4"/>
    </row>
    <row collapsed="" customFormat="false" customHeight="1" hidden="" ht="14" outlineLevel="0" r="24377">
      <c r="A24377" s="3" t="inlineStr">
        <is>
          <t>24276</t>
        </is>
      </c>
      <c r="B24377" s="4" t="s">
        <f>=HYPERLINK("http://anyluxury.ru/shop/posuda/bokaly/stakan-stanley-adventure-pint-cherniy-1079630/" , "10796.30 Стакан Stanley Adventure Pint, черный")</f>
      </c>
      <c r="C24377" s="4" t="n">
        <v>1680.00</v>
      </c>
      <c r="D24377" s="4"/>
    </row>
    <row collapsed="" customFormat="false" customHeight="1" hidden="" ht="14" outlineLevel="0" r="24378">
      <c r="A24378" s="3" t="inlineStr">
        <is>
          <t>24277</t>
        </is>
      </c>
      <c r="B24378" s="4" t="s">
        <f>=HYPERLINK("http://anyluxury.ru/shop/posuda/bokaly/stakan-origo-1251600/" , "12516.00 Стакан Origo")</f>
      </c>
      <c r="C24378" s="4" t="n">
        <v>1431.00</v>
      </c>
      <c r="D24378" s="4"/>
    </row>
    <row collapsed="" customFormat="false" customHeight="1" hidden="" ht="14" outlineLevel="0" r="24379">
      <c r="A24379" s="3" t="inlineStr">
        <is>
          <t>24278</t>
        </is>
      </c>
      <c r="B24379" s="4" t="s">
        <f>=HYPERLINK("http://anyluxury.ru/shop/posuda/bokaly/nabor-ryumok-aarne-1254600/" , "12546.00 Набор рюмок Aarne")</f>
      </c>
      <c r="C24379" s="4" t="n">
        <v>3203.00</v>
      </c>
      <c r="D24379" s="4"/>
    </row>
    <row collapsed="" customFormat="false" customHeight="1" hidden="" ht="14" outlineLevel="0" r="24380">
      <c r="A24380" s="3" t="inlineStr">
        <is>
          <t>24279</t>
        </is>
      </c>
      <c r="B24380" s="4" t="s">
        <f>=HYPERLINK("http://anyluxury.ru/shop/posuda/bokaly/nabor-bokalov-dlya-kokteyley-aarne-1254700/" , "12547.00 Набор бокалов для коктейлей Aarne")</f>
      </c>
      <c r="C24380" s="4" t="n">
        <v>12400.00</v>
      </c>
      <c r="D24380" s="4"/>
    </row>
    <row collapsed="" customFormat="false" customHeight="1" hidden="" ht="14" outlineLevel="0" r="24381">
      <c r="A24381" s="3" t="inlineStr">
        <is>
          <t>24280</t>
        </is>
      </c>
      <c r="B24381" s="4" t="s">
        <f>=HYPERLINK("http://anyluxury.ru/shop/posuda/bokaly/nabor-bokalov-dlya-shampanskogo-aarne-1254800/" , "12548.00 Набор бокалов для шампанского Aarne")</f>
      </c>
      <c r="C24381" s="4" t="n">
        <v>8995.00</v>
      </c>
      <c r="D24381" s="4"/>
    </row>
    <row collapsed="" customFormat="false" customHeight="1" hidden="" ht="14" outlineLevel="0" r="24382">
      <c r="A24382" s="3" t="inlineStr">
        <is>
          <t>24281</t>
        </is>
      </c>
      <c r="B24382" s="4" t="s">
        <f>=HYPERLINK("http://anyluxury.ru/shop/posuda/bokaly/nabor-stakanov-aarne-1255000/" , "12550.00 Набор стаканов Aarne")</f>
      </c>
      <c r="C24382" s="4" t="n">
        <v>9689.00</v>
      </c>
      <c r="D24382" s="4"/>
    </row>
    <row collapsed="" customFormat="false" customHeight="1" hidden="" ht="14" outlineLevel="0" r="24383">
      <c r="A24383" s="3" t="inlineStr">
        <is>
          <t>24282</t>
        </is>
      </c>
      <c r="B24383" s="4" t="s">
        <f>=HYPERLINK("http://anyluxury.ru/shop/posuda/bokaly/nabor-malih-stakanov-aino-aalto-prozrachniy-1255100/" , "12551.00 Набор малых стаканов Aino Aalto, прозрачный")</f>
      </c>
      <c r="C24383" s="4" t="n">
        <v>2258.00</v>
      </c>
      <c r="D24383" s="4"/>
    </row>
    <row collapsed="" customFormat="false" customHeight="1" hidden="" ht="14" outlineLevel="0" r="24384">
      <c r="A24384" s="3" t="inlineStr">
        <is>
          <t>24283</t>
        </is>
      </c>
      <c r="B24384" s="4" t="s">
        <f>=HYPERLINK("http://anyluxury.ru/shop/posuda/bokaly/nabor-malih-stakanov-aino-aalto-seriy-1255111/" , "12551.11 Набор малых стаканов Aino Aalto, серый")</f>
      </c>
      <c r="C24384" s="4" t="n">
        <v>2258.00</v>
      </c>
      <c r="D24384" s="4"/>
    </row>
    <row collapsed="" customFormat="false" customHeight="1" hidden="" ht="14" outlineLevel="0" r="24385">
      <c r="A24385" s="3" t="inlineStr">
        <is>
          <t>24284</t>
        </is>
      </c>
      <c r="B24385" s="4" t="s">
        <f>=HYPERLINK("http://anyluxury.ru/shop/posuda/bokaly/nabor-malih-stakanov-aino-aalto-biryuzoviy-1255114/" , "12551.14 Набор малых стаканов Aino Aalto, бирюзовый")</f>
      </c>
      <c r="C24385" s="4" t="n">
        <v>2258.00</v>
      </c>
      <c r="D24385" s="4"/>
    </row>
    <row collapsed="" customFormat="false" customHeight="1" hidden="" ht="14" outlineLevel="0" r="24386">
      <c r="A24386" s="3" t="inlineStr">
        <is>
          <t>24285</t>
        </is>
      </c>
      <c r="B24386" s="4" t="s">
        <f>=HYPERLINK("http://anyluxury.ru/shop/posuda/bokaly/nabor-malih-stakanov-aino-aalto-goluboy-1255144/" , "12551.44 Набор малых стаканов Aino Aalto, голубой")</f>
      </c>
      <c r="C24386" s="4" t="n">
        <v>2258.00</v>
      </c>
      <c r="D24386" s="4"/>
    </row>
    <row collapsed="" customFormat="false" customHeight="1" hidden="" ht="14" outlineLevel="0" r="24387">
      <c r="A24387" s="3" t="inlineStr">
        <is>
          <t>24286</t>
        </is>
      </c>
      <c r="B24387" s="4" t="s">
        <f>=HYPERLINK("http://anyluxury.ru/shop/posuda/bokaly/nabor-bolshih-stakanov-aino-aalto-prozrachniy-1255200/" , "12552.00 Набор больших стаканов Aino Aalto, прозрачный")</f>
      </c>
      <c r="C24387" s="4" t="n">
        <v>2889.00</v>
      </c>
      <c r="D24387" s="4"/>
    </row>
    <row collapsed="" customFormat="false" customHeight="1" hidden="" ht="14" outlineLevel="0" r="24388">
      <c r="A24388" s="3" t="inlineStr">
        <is>
          <t>24287</t>
        </is>
      </c>
      <c r="B24388" s="4" t="s">
        <f>=HYPERLINK("http://anyluxury.ru/shop/posuda/bokaly/nabor-bolshih-stakanov-aino-aalto-seriy-1255211/" , "12552.11 Набор больших стаканов Aino Aalto, серый")</f>
      </c>
      <c r="C24388" s="4" t="n">
        <v>2889.00</v>
      </c>
      <c r="D24388" s="4"/>
    </row>
    <row collapsed="" customFormat="false" customHeight="1" hidden="" ht="14" outlineLevel="0" r="24389">
      <c r="A24389" s="3" t="inlineStr">
        <is>
          <t>24288</t>
        </is>
      </c>
      <c r="B24389" s="4" t="s">
        <f>=HYPERLINK("http://anyluxury.ru/shop/posuda/bokaly/nabor-bolshih-stakanov-aino-aalto-biryuzoviy-1255214/" , "12552.14 Набор больших стаканов Aino Aalto, бирюзовый")</f>
      </c>
      <c r="C24389" s="4" t="n">
        <v>2889.00</v>
      </c>
      <c r="D24389" s="4"/>
    </row>
    <row collapsed="" customFormat="false" customHeight="1" hidden="" ht="14" outlineLevel="0" r="24390">
      <c r="A24390" s="3" t="inlineStr">
        <is>
          <t>24289</t>
        </is>
      </c>
      <c r="B24390" s="4" t="s">
        <f>=HYPERLINK("http://anyluxury.ru/shop/posuda/bokaly/nabor-bolshih-stakanov-aino-aalto-goluboy-1255244/" , "12552.44 Набор больших стаканов Aino Aalto, голубой")</f>
      </c>
      <c r="C24390" s="4" t="n">
        <v>2889.00</v>
      </c>
      <c r="D24390" s="4"/>
    </row>
    <row collapsed="" customFormat="false" customHeight="1" hidden="" ht="14" outlineLevel="0" r="24391">
      <c r="A24391" s="3" t="inlineStr">
        <is>
          <t>24290</t>
        </is>
      </c>
      <c r="B24391" s="4" t="s">
        <f>=HYPERLINK("http://anyluxury.ru/shop/posuda/bokaly/nabor-stakanov-essence-1255600/" , "12556.00 Набор стаканов Essence")</f>
      </c>
      <c r="C24391" s="4" t="n">
        <v>2112.00</v>
      </c>
      <c r="D24391" s="4"/>
    </row>
    <row collapsed="" customFormat="false" customHeight="1" hidden="" ht="14" outlineLevel="0" r="24392">
      <c r="A24392" s="3" t="inlineStr">
        <is>
          <t>24291</t>
        </is>
      </c>
      <c r="B24392" s="4" t="s">
        <f>=HYPERLINK("http://anyluxury.ru/shop/posuda/bokaly/nabor-bokalov-dlya-belogo-vina-essence-1255900/" , "12559.00 Набор бокалов для белого вина Essence")</f>
      </c>
      <c r="C24392" s="4" t="n">
        <v>2541.00</v>
      </c>
      <c r="D24392" s="4"/>
    </row>
    <row collapsed="" customFormat="false" customHeight="1" hidden="" ht="14" outlineLevel="0" r="24393">
      <c r="A24393" s="3" t="inlineStr">
        <is>
          <t>24292</t>
        </is>
      </c>
      <c r="B24393" s="4" t="s">
        <f>=HYPERLINK("http://anyluxury.ru/shop/posuda/bokaly/nabor-bokalov-dlya-krasnogo-vina-essence-1256000/" , "12560.00 Набор бокалов для красного вина Essence")</f>
      </c>
      <c r="C24393" s="4" t="n">
        <v>2541.00</v>
      </c>
      <c r="D24393" s="4"/>
    </row>
    <row collapsed="" customFormat="false" customHeight="1" hidden="" ht="14" outlineLevel="0" r="24394">
      <c r="A24394" s="3" t="inlineStr">
        <is>
          <t>24293</t>
        </is>
      </c>
      <c r="B24394" s="4" t="s">
        <f>=HYPERLINK("http://anyluxury.ru/shop/posuda/bokaly/nabor-bokalov-dlya-shampanskogo-essence-1256100/" , "12561.00 Набор бокалов для шампанского Essence")</f>
      </c>
      <c r="C24394" s="4" t="n">
        <v>2615.00</v>
      </c>
      <c r="D24394" s="4"/>
    </row>
    <row collapsed="" customFormat="false" customHeight="1" hidden="" ht="14" outlineLevel="0" r="24395">
      <c r="A24395" s="3" t="inlineStr">
        <is>
          <t>24294</t>
        </is>
      </c>
      <c r="B24395" s="4" t="s">
        <f>=HYPERLINK("http://anyluxury.ru/shop/posuda/bokaly/nabor-bokalov-dlya-kokteyley-essence-1256200/" , "12562.00 Набор бокалов для коктейлей Essence")</f>
      </c>
      <c r="C24395" s="4" t="n">
        <v>2869.00</v>
      </c>
      <c r="D24395" s="4"/>
    </row>
    <row collapsed="" customFormat="false" customHeight="1" hidden="" ht="14" outlineLevel="0" r="24396">
      <c r="A24396" s="3" t="inlineStr">
        <is>
          <t>24295</t>
        </is>
      </c>
      <c r="B24396" s="4" t="s">
        <f>=HYPERLINK("http://anyluxury.ru/shop/posuda/bokaly/nabor-malih-stakanov-kartio-prozrachniy-1256500/" , "12565.00 Набор малых стаканов Kartio, прозрачный")</f>
      </c>
      <c r="C24396" s="4" t="n">
        <v>2166.00</v>
      </c>
      <c r="D24396" s="4"/>
    </row>
    <row collapsed="" customFormat="false" customHeight="1" hidden="" ht="14" outlineLevel="0" r="24397">
      <c r="A24397" s="3" t="inlineStr">
        <is>
          <t>24296</t>
        </is>
      </c>
      <c r="B24397" s="4" t="s">
        <f>=HYPERLINK("http://anyluxury.ru/shop/posuda/bokaly/nabor-malih-stakanov-kartio-biryuzoviy-1256514/" , "12565.14 Набор малых стаканов Kartio, бирюзовый")</f>
      </c>
      <c r="C24397" s="4" t="n">
        <v>2166.00</v>
      </c>
      <c r="D24397" s="4"/>
    </row>
    <row collapsed="" customFormat="false" customHeight="1" hidden="" ht="14" outlineLevel="0" r="24398">
      <c r="A24398" s="3" t="inlineStr">
        <is>
          <t>24297</t>
        </is>
      </c>
      <c r="B24398" s="4" t="s">
        <f>=HYPERLINK("http://anyluxury.ru/shop/posuda/bokaly/nabor-malih-stakanov-kartio-seriy-1256511/" , "12565.11 Набор малых стаканов Kartio, серый")</f>
      </c>
      <c r="C24398" s="4" t="n">
        <v>2166.00</v>
      </c>
      <c r="D24398" s="4"/>
    </row>
    <row collapsed="" customFormat="false" customHeight="1" hidden="" ht="14" outlineLevel="0" r="24399">
      <c r="A24399" s="3" t="inlineStr">
        <is>
          <t>24298</t>
        </is>
      </c>
      <c r="B24399" s="4" t="s">
        <f>=HYPERLINK("http://anyluxury.ru/shop/posuda/bokaly/nabor-malih-stakanov-kartio-svetlobiryuzoviy-1256541/" , "12565.41 Набор малых стаканов Kartio, светло-бирюзовый")</f>
      </c>
      <c r="C24399" s="4" t="n">
        <v>2166.00</v>
      </c>
      <c r="D24399" s="4"/>
    </row>
    <row collapsed="" customFormat="false" customHeight="1" hidden="" ht="14" outlineLevel="0" r="24400">
      <c r="A24400" s="3" t="inlineStr">
        <is>
          <t>24299</t>
        </is>
      </c>
      <c r="B24400" s="4" t="s">
        <f>=HYPERLINK("http://anyluxury.ru/shop/posuda/bokaly/nabor-malih-stakanov-kartio-korichneviy-1256559/" , "12565.59 Набор малых стаканов Kartio, коричневый")</f>
      </c>
      <c r="C24400" s="4" t="n">
        <v>2166.00</v>
      </c>
      <c r="D24400" s="4"/>
    </row>
    <row collapsed="" customFormat="false" customHeight="1" hidden="" ht="14" outlineLevel="0" r="24401">
      <c r="A24401" s="3" t="inlineStr">
        <is>
          <t>24300</t>
        </is>
      </c>
      <c r="B24401" s="4" t="s">
        <f>=HYPERLINK("http://anyluxury.ru/shop/posuda/bokaly/nabor-malih-stakanov-kartio-siniy-1256540/" , "12565.40 Набор малых стаканов Kartio, синий")</f>
      </c>
      <c r="C24401" s="4" t="n">
        <v>2166.00</v>
      </c>
      <c r="D24401" s="4"/>
    </row>
    <row collapsed="" customFormat="false" customHeight="1" hidden="" ht="14" outlineLevel="0" r="24402">
      <c r="A24402" s="3" t="inlineStr">
        <is>
          <t>24301</t>
        </is>
      </c>
      <c r="B24402" s="4" t="s">
        <f>=HYPERLINK("http://anyluxury.ru/shop/posuda/bokaly/nabor-bolshih-stakanov-kartio-prozrachniy-1256700/" , "12567.00 Набор больших стаканов Kartio, прозрачный")</f>
      </c>
      <c r="C24402" s="4" t="n">
        <v>3329.00</v>
      </c>
      <c r="D24402" s="4"/>
    </row>
    <row collapsed="" customFormat="false" customHeight="1" hidden="" ht="14" outlineLevel="0" r="24403">
      <c r="A24403" s="3" t="inlineStr">
        <is>
          <t>24302</t>
        </is>
      </c>
      <c r="B24403" s="4" t="s">
        <f>=HYPERLINK("http://anyluxury.ru/shop/posuda/bokaly/nabor-bolshih-stakanov-kartio-seriy-1256711/" , "12567.11 Набор больших стаканов Kartio, серый")</f>
      </c>
      <c r="C24403" s="4" t="n">
        <v>3329.00</v>
      </c>
      <c r="D24403" s="4"/>
    </row>
    <row collapsed="" customFormat="false" customHeight="1" hidden="" ht="14" outlineLevel="0" r="24404">
      <c r="A24404" s="3" t="inlineStr">
        <is>
          <t>24303</t>
        </is>
      </c>
      <c r="B24404" s="4" t="s">
        <f>=HYPERLINK("http://anyluxury.ru/shop/posuda/bokaly/nabor-bolshih-stakanov-kartio-goluboy-1256744/" , "12567.44 Набор больших стаканов Kartio, голубой")</f>
      </c>
      <c r="C24404" s="4" t="n">
        <v>3329.00</v>
      </c>
      <c r="D24404" s="4"/>
    </row>
    <row collapsed="" customFormat="false" customHeight="1" hidden="" ht="14" outlineLevel="0" r="24405">
      <c r="A24405" s="3" t="inlineStr">
        <is>
          <t>24304</t>
        </is>
      </c>
      <c r="B24405" s="4" t="s">
        <f>=HYPERLINK("http://anyluxury.ru/shop/posuda/bokaly/nabor-bolshih-stakanov-kartio-svetlobiryuzoviy-1256741/" , "12567.41 Набор больших стаканов Kartio, светло-бирюзовый")</f>
      </c>
      <c r="C24405" s="4" t="n">
        <v>3329.00</v>
      </c>
      <c r="D24405" s="4"/>
    </row>
    <row collapsed="" customFormat="false" customHeight="1" hidden="" ht="14" outlineLevel="0" r="24406">
      <c r="A24406" s="3" t="inlineStr">
        <is>
          <t>24305</t>
        </is>
      </c>
      <c r="B24406" s="4" t="s">
        <f>=HYPERLINK("http://anyluxury.ru/shop/posuda/bokaly/nabor-bolshih-stakanov-kartio-korichneviy-1256759/" , "12567.59 Набор больших стаканов Kartio, коричневый")</f>
      </c>
      <c r="C24406" s="4" t="n">
        <v>3329.00</v>
      </c>
      <c r="D24406" s="4"/>
    </row>
    <row collapsed="" customFormat="false" customHeight="1" hidden="" ht="14" outlineLevel="0" r="24407">
      <c r="A24407" s="3" t="inlineStr">
        <is>
          <t>24306</t>
        </is>
      </c>
      <c r="B24407" s="4" t="s">
        <f>=HYPERLINK("http://anyluxury.ru/shop/posuda/bokaly/nabor-bolshih-stakanov-kartio-biryuzoviy-1256714/" , "12567.14 Набор больших стаканов Kartio, бирюзовый")</f>
      </c>
      <c r="C24407" s="4" t="n">
        <v>3329.00</v>
      </c>
      <c r="D24407" s="4"/>
    </row>
    <row collapsed="" customFormat="false" customHeight="1" hidden="" ht="14" outlineLevel="0" r="24408">
      <c r="A24408" s="3" t="inlineStr">
        <is>
          <t>24307</t>
        </is>
      </c>
      <c r="B24408" s="4" t="s">
        <f>=HYPERLINK("http://anyluxury.ru/shop/posuda/bokaly/nabor-bolshih-stakanov-kartio-siniy-1256740/" , "12567.40 Набор больших стаканов Kartio, синий")</f>
      </c>
      <c r="C24408" s="4" t="n">
        <v>3329.00</v>
      </c>
      <c r="D24408" s="4"/>
    </row>
    <row collapsed="" customFormat="false" customHeight="1" hidden="" ht="14" outlineLevel="0" r="24409">
      <c r="A24409" s="3" t="inlineStr">
        <is>
          <t>24308</t>
        </is>
      </c>
      <c r="B24409" s="4" t="s">
        <f>=HYPERLINK("http://anyluxury.ru/shop/posuda/bokaly/nabor-stakanov-kastehelmi-prozrachniy-1256900/" , "12569.00 Набор стаканов Kastehelmi, прозрачный")</f>
      </c>
      <c r="C24409" s="4" t="n">
        <v>2374.00</v>
      </c>
      <c r="D24409" s="4"/>
    </row>
    <row collapsed="" customFormat="false" customHeight="1" hidden="" ht="14" outlineLevel="0" r="24410">
      <c r="A24410" s="3" t="inlineStr">
        <is>
          <t>24309</t>
        </is>
      </c>
      <c r="B24410" s="4" t="s">
        <f>=HYPERLINK("http://anyluxury.ru/shop/posuda/bokaly/nabor-stakanov-kastehelmi-seriy-1256911/" , "12569.11 Набор стаканов Kastehelmi, серый")</f>
      </c>
      <c r="C24410" s="4" t="n">
        <v>2374.00</v>
      </c>
      <c r="D24410" s="4"/>
    </row>
    <row collapsed="" customFormat="false" customHeight="1" hidden="" ht="14" outlineLevel="0" r="24411">
      <c r="A24411" s="3" t="inlineStr">
        <is>
          <t>24310</t>
        </is>
      </c>
      <c r="B24411" s="4" t="s">
        <f>=HYPERLINK("http://anyluxury.ru/shop/posuda/bokaly/nabor-stakanov-kastehelmi-biryuzoviy-1256914/" , "12569.14 Набор стаканов Kastehelmi, бирюзовый")</f>
      </c>
      <c r="C24411" s="4" t="n">
        <v>2374.00</v>
      </c>
      <c r="D24411" s="4"/>
    </row>
    <row collapsed="" customFormat="false" customHeight="1" hidden="" ht="14" outlineLevel="0" r="24412">
      <c r="A24412" s="3" t="inlineStr">
        <is>
          <t>24311</t>
        </is>
      </c>
      <c r="B24412" s="4" t="s">
        <f>=HYPERLINK("http://anyluxury.ru/shop/posuda/bokaly/nabor-malih-bokalov-tapio-1257300/" , "12573.00 Набор малых бокалов Tapio")</f>
      </c>
      <c r="C24412" s="4" t="n">
        <v>7811.00</v>
      </c>
      <c r="D24412" s="4"/>
    </row>
    <row collapsed="" customFormat="false" customHeight="1" hidden="" ht="14" outlineLevel="0" r="24413">
      <c r="A24413" s="3" t="inlineStr">
        <is>
          <t>24312</t>
        </is>
      </c>
      <c r="B24413" s="4" t="s">
        <f>=HYPERLINK("http://anyluxury.ru/shop/posuda/bokaly/nabor-bokalov-tapio-dlya-belogo-vina-1257400/" , "12574.00 Набор бокалов Tapio для белого вина")</f>
      </c>
      <c r="C24413" s="4" t="n">
        <v>8943.00</v>
      </c>
      <c r="D24413" s="4"/>
    </row>
    <row collapsed="" customFormat="false" customHeight="1" hidden="" ht="14" outlineLevel="0" r="24414">
      <c r="A24414" s="3" t="inlineStr">
        <is>
          <t>24313</t>
        </is>
      </c>
      <c r="B24414" s="4" t="s">
        <f>=HYPERLINK("http://anyluxury.ru/shop/posuda/bokaly/nabor-bolshih-bokalov-tapio-1257600/" , "12576.00 Набор больших бокалов Tapio")</f>
      </c>
      <c r="C24414" s="4" t="n">
        <v>14939.00</v>
      </c>
      <c r="D24414" s="4"/>
    </row>
    <row collapsed="" customFormat="false" customHeight="1" hidden="" ht="14" outlineLevel="0" r="24415">
      <c r="A24415" s="3" t="inlineStr">
        <is>
          <t>24314</t>
        </is>
      </c>
      <c r="B24415" s="4" t="s">
        <f>=HYPERLINK("http://anyluxury.ru/shop/posuda/bokaly/nabor-stopok-ultima-thule-1257700/" , "12577.00 Набор стопок Ultima Thule")</f>
      </c>
      <c r="C24415" s="4" t="n">
        <v>5598.00</v>
      </c>
      <c r="D24415" s="4"/>
    </row>
    <row collapsed="" customFormat="false" customHeight="1" hidden="" ht="14" outlineLevel="0" r="24416">
      <c r="A24416" s="3" t="inlineStr">
        <is>
          <t>24315</t>
        </is>
      </c>
      <c r="B24416" s="4" t="s">
        <f>=HYPERLINK("http://anyluxury.ru/shop/posuda/bokaly/nabor-stakanov-ultima-thule-1257800/" , "12578.00 Набор стаканов Ultima Thule")</f>
      </c>
      <c r="C24416" s="4" t="n">
        <v>6510.00</v>
      </c>
      <c r="D24416" s="4"/>
    </row>
    <row collapsed="" customFormat="false" customHeight="1" hidden="" ht="14" outlineLevel="0" r="24417">
      <c r="A24417" s="3" t="inlineStr">
        <is>
          <t>24316</t>
        </is>
      </c>
      <c r="B24417" s="4" t="s">
        <f>=HYPERLINK("http://anyluxury.ru/shop/posuda/bokaly/nabor-bolshih-bokalov-dlya-viski-ultima-thule-1258000/" , "12580.00 Набор больших бокалов для виски Ultima Thule")</f>
      </c>
      <c r="C24417" s="4" t="n">
        <v>9040.00</v>
      </c>
      <c r="D24417" s="4"/>
    </row>
    <row collapsed="" customFormat="false" customHeight="1" hidden="" ht="14" outlineLevel="0" r="24418">
      <c r="A24418" s="3" t="inlineStr">
        <is>
          <t>24317</t>
        </is>
      </c>
      <c r="B24418" s="4" t="s">
        <f>=HYPERLINK("http://anyluxury.ru/shop/posuda/bokaly/nabor-bokalov-dlya-belogo-vina-ultima-thule-1258100/" , "12581.00 Набор бокалов для белого вина Ultima Thule")</f>
      </c>
      <c r="C24418" s="4" t="n">
        <v>8581.00</v>
      </c>
      <c r="D24418" s="4"/>
    </row>
    <row collapsed="" customFormat="false" customHeight="1" hidden="" ht="14" outlineLevel="0" r="24419">
      <c r="A24419" s="3" t="inlineStr">
        <is>
          <t>24318</t>
        </is>
      </c>
      <c r="B24419" s="4" t="s">
        <f>=HYPERLINK("http://anyluxury.ru/shop/posuda/bokaly/nabor-bokalov-dlya-krasnogo-vina-ultima-thule-1258200/" , "12582.00 Набор бокалов для красного вина Ultima Thule")</f>
      </c>
      <c r="C24419" s="4" t="n">
        <v>10300.00</v>
      </c>
      <c r="D24419" s="4"/>
    </row>
    <row collapsed="" customFormat="false" customHeight="1" hidden="" ht="14" outlineLevel="0" r="24420">
      <c r="A24420" s="3" t="inlineStr">
        <is>
          <t>24319</t>
        </is>
      </c>
      <c r="B24420" s="4" t="s">
        <f>=HYPERLINK("http://anyluxury.ru/shop/posuda/bokaly/nabor-bolshih-bokalov-dlya-krasnogo-vina-ultima-thule-1258300/" , "12583.00 Набор больших бокалов для красного вина Ultima Thule")</f>
      </c>
      <c r="C24420" s="4" t="n">
        <v>8143.00</v>
      </c>
      <c r="D24420" s="4"/>
    </row>
    <row collapsed="" customFormat="false" customHeight="1" hidden="" ht="14" outlineLevel="0" r="24421">
      <c r="A24421" s="3" t="inlineStr">
        <is>
          <t>24320</t>
        </is>
      </c>
      <c r="B24421" s="4" t="s">
        <f>=HYPERLINK("http://anyluxury.ru/shop/posuda/bokaly/nabor-bokalov-dlya-shampanskogo-ultima-thule-1258700/" , "12587.00 Набор бокалов для шампанского Ultima Thule")</f>
      </c>
      <c r="C24421" s="4" t="n">
        <v>8339.00</v>
      </c>
      <c r="D24421" s="4"/>
    </row>
    <row collapsed="" customFormat="false" customHeight="1" hidden="" ht="14" outlineLevel="0" r="24422">
      <c r="A24422" s="3" t="inlineStr">
        <is>
          <t>24321</t>
        </is>
      </c>
      <c r="B24422" s="4" t="s">
        <f>=HYPERLINK("http://anyluxury.ru/shop/posuda/bokaly/nabor-bokalov-ultima-thule-dlya-piva-1258800/" , "12588.00 Набор бокалов Ultima Thule для пива")</f>
      </c>
      <c r="C24422" s="4" t="n">
        <v>8581.00</v>
      </c>
      <c r="D24422" s="4"/>
    </row>
    <row collapsed="" customFormat="false" customHeight="1" hidden="" ht="14" outlineLevel="0" r="24423">
      <c r="A24423" s="3" t="inlineStr">
        <is>
          <t>24322</t>
        </is>
      </c>
      <c r="B24423" s="4" t="s">
        <f>=HYPERLINK("http://anyluxury.ru/shop/posuda/bokaly/nabor-bokalov-lempi-1259000/" , "12590.00 Набор бокалов Lempi")</f>
      </c>
      <c r="C24423" s="4" t="n">
        <v>2197.00</v>
      </c>
      <c r="D24423" s="4"/>
    </row>
    <row collapsed="" customFormat="false" customHeight="1" hidden="" ht="14" outlineLevel="0" r="24424">
      <c r="A24424" s="3" t="inlineStr">
        <is>
          <t>24323</t>
        </is>
      </c>
      <c r="B24424" s="4" t="s">
        <f>=HYPERLINK("http://anyluxury.ru/shop/posuda/bokaly/stakan-dlya-ohlazhdeniya-napitkov-iced-coffee-maker-goluboy-1262314/" , "12623.14 Стакан для охлаждения напитков Iced Coffee Maker, голубой")</f>
      </c>
      <c r="C24424" s="4" t="n">
        <v>3450.00</v>
      </c>
      <c r="D24424" s="4"/>
    </row>
    <row collapsed="" customFormat="false" customHeight="1" hidden="" ht="14" outlineLevel="0" r="24425">
      <c r="A24425" s="3" t="inlineStr">
        <is>
          <t>24324</t>
        </is>
      </c>
      <c r="B24425" s="4" t="s">
        <f>=HYPERLINK("http://anyluxury.ru/shop/posuda/bokaly/stakan-dlya-ohlazhdeniya-napitkov-iced-coffee-maker-seriy-1262310/" , "12623.10 Стакан для охлаждения напитков Iced Coffee Maker, серый")</f>
      </c>
      <c r="C24425" s="4" t="n">
        <v>3450.00</v>
      </c>
      <c r="D24425" s="4"/>
    </row>
    <row collapsed="" customFormat="false" customHeight="1" hidden="" ht="14" outlineLevel="0" r="24426">
      <c r="A24426" s="3" t="inlineStr">
        <is>
          <t>24325</t>
        </is>
      </c>
      <c r="B24426" s="4" t="s">
        <f>=HYPERLINK("http://anyluxury.ru/shop/posuda/bokaly/stakan-dlya-ohlazhdeniya-napitkov-iced-coffee-maker-fioletoviy-1262370/" , "12623.70 Стакан для охлаждения напитков Iced Coffee Maker, фиолетовый")</f>
      </c>
      <c r="C24426" s="4" t="n">
        <v>3450.00</v>
      </c>
      <c r="D24426" s="4"/>
    </row>
    <row collapsed="" customFormat="false" customHeight="1" hidden="" ht="14" outlineLevel="0" r="24427">
      <c r="A24427" s="3" t="inlineStr">
        <is>
          <t>24326</t>
        </is>
      </c>
      <c r="B24427" s="4" t="s">
        <f>=HYPERLINK("http://anyluxury.ru/shop/posuda/bokaly/stakan-s-dvoynimi-stenkami-travel-goluboy-1262414/" , "12624.14 Стакан с двойными стенками Travel, голубой")</f>
      </c>
      <c r="C24427" s="4" t="n">
        <v>1190.00</v>
      </c>
      <c r="D24427" s="4"/>
    </row>
    <row collapsed="" customFormat="false" customHeight="1" hidden="" ht="14" outlineLevel="0" r="24428">
      <c r="A24428" s="3" t="inlineStr">
        <is>
          <t>24327</t>
        </is>
      </c>
      <c r="B24428" s="4" t="s">
        <f>=HYPERLINK("http://anyluxury.ru/shop/posuda/bokaly/stakan-s-dvoynimi-stenkami-travel-zeleniy-1262490/" , "12624.90 Стакан с двойными стенками Travel, зеленый")</f>
      </c>
      <c r="C24428" s="4" t="n">
        <v>1190.00</v>
      </c>
      <c r="D24428" s="4"/>
    </row>
    <row collapsed="" customFormat="false" customHeight="1" hidden="" ht="14" outlineLevel="0" r="24429">
      <c r="A24429" s="3" t="inlineStr">
        <is>
          <t>24328</t>
        </is>
      </c>
      <c r="B24429" s="4" t="s">
        <f>=HYPERLINK("http://anyluxury.ru/shop/posuda/bokaly/stakan-s-dvoynimi-stenkami-travel-siniy-1262440/" , "12624.40 Стакан с двойными стенками Travel, синий")</f>
      </c>
      <c r="C24429" s="4" t="n">
        <v>1190.00</v>
      </c>
      <c r="D24429" s="4"/>
    </row>
    <row collapsed="" customFormat="false" customHeight="1" hidden="" ht="14" outlineLevel="0" r="24430">
      <c r="A24430" s="3" t="inlineStr">
        <is>
          <t>24329</t>
        </is>
      </c>
      <c r="B24430" s="4" t="s">
        <f>=HYPERLINK("http://anyluxury.ru/shop/posuda/bokaly/stakan-s-dvoynimi-stenkami-travel-fioletoviy-1262470/" , "12624.70 Стакан с двойными стенками Travel, фиолетовый")</f>
      </c>
      <c r="C24430" s="4" t="n">
        <v>1190.00</v>
      </c>
      <c r="D24430" s="4"/>
    </row>
    <row collapsed="" customFormat="false" customHeight="1" hidden="" ht="14" outlineLevel="0" r="24431">
      <c r="A24431" s="3" t="inlineStr">
        <is>
          <t>24330</t>
        </is>
      </c>
      <c r="B24431" s="4" t="s">
        <f>=HYPERLINK("http://anyluxury.ru/shop/posuda/bokaly/bokal-gin-1478500/" , "14785.00 Бокал Gin")</f>
      </c>
      <c r="C24431" s="4" t="n">
        <v>3630.00</v>
      </c>
      <c r="D24431" s="4"/>
    </row>
    <row collapsed="" customFormat="false" customHeight="1" hidden="" ht="14" outlineLevel="0" r="24432">
      <c r="A24432" s="3" t="inlineStr">
        <is>
          <t>24331</t>
        </is>
      </c>
      <c r="B24432" s="4" t="s">
        <f>=HYPERLINK("http://anyluxury.ru/shop/posuda/bokaly/bokal-martini-1478600/" , "14786.00 Бокал Martini")</f>
      </c>
      <c r="C24432" s="4" t="n">
        <v>3300.00</v>
      </c>
      <c r="D24432" s="4"/>
    </row>
    <row collapsed="" customFormat="false" customHeight="1" hidden="" ht="14" outlineLevel="0" r="24433">
      <c r="A24433" s="3" t="inlineStr">
        <is>
          <t>24332</t>
        </is>
      </c>
      <c r="B24433" s="4" t="s">
        <f>=HYPERLINK("http://anyluxury.ru/shop/posuda/bokaly/bokal-dlya-belogo-vina-sauvignon-blanc-1478700/" , "14787.00 Бокал для белого вина Sauvignon Blanc")</f>
      </c>
      <c r="C24433" s="4" t="n">
        <v>3300.00</v>
      </c>
      <c r="D24433" s="4"/>
    </row>
    <row collapsed="" customFormat="false" customHeight="1" hidden="" ht="14" outlineLevel="0" r="24434">
      <c r="A24434" s="3" t="inlineStr">
        <is>
          <t>24333</t>
        </is>
      </c>
      <c r="B24434" s="4" t="s">
        <f>=HYPERLINK("http://anyluxury.ru/shop/posuda/bokaly/bokal-dlya-belogo-vina-magnum-1478800/" , "14788.00 Бокал для белого вина Magnum")</f>
      </c>
      <c r="C24434" s="4" t="n">
        <v>3890.00</v>
      </c>
      <c r="D24434" s="4"/>
    </row>
    <row collapsed="" customFormat="false" customHeight="1" hidden="" ht="14" outlineLevel="0" r="24435">
      <c r="A24435" s="3" t="inlineStr">
        <is>
          <t>24334</t>
        </is>
      </c>
      <c r="B24435" s="4" t="s">
        <f>=HYPERLINK("http://anyluxury.ru/shop/posuda/bokaly/bokal-dlya-krasnogo-vina-bourgogne-1478900/" , "14789.00 Бокал для красного вина Bourgogne")</f>
      </c>
      <c r="C24435" s="4" t="n">
        <v>3300.00</v>
      </c>
      <c r="D24435" s="4"/>
    </row>
    <row collapsed="" customFormat="false" customHeight="1" hidden="" ht="14" outlineLevel="0" r="24436">
      <c r="A24436" s="3" t="inlineStr">
        <is>
          <t>24335</t>
        </is>
      </c>
      <c r="B24436" s="4" t="s">
        <f>=HYPERLINK("http://anyluxury.ru/shop/posuda/bokaly/bokal-dlya-krasnogo-vina-bordeaux-1479000/" , "14790.00 Бокал для красного вина Bordeaux")</f>
      </c>
      <c r="C24436" s="4" t="n">
        <v>3300.00</v>
      </c>
      <c r="D24436" s="4"/>
    </row>
    <row collapsed="" customFormat="false" customHeight="1" hidden="" ht="14" outlineLevel="0" r="24437">
      <c r="A24437" s="3" t="inlineStr">
        <is>
          <t>24336</t>
        </is>
      </c>
      <c r="B24437" s="4" t="s">
        <f>=HYPERLINK("http://anyluxury.ru/shop/posuda/bokaly/bokal-dlya-krasnogo-vina-syrah-1479100/" , "14791.00 Бокал для красного вина Syrah")</f>
      </c>
      <c r="C24437" s="4" t="n">
        <v>3300.00</v>
      </c>
      <c r="D24437" s="4"/>
    </row>
    <row collapsed="" customFormat="false" customHeight="1" hidden="" ht="14" outlineLevel="0" r="24438">
      <c r="A24438" s="3" t="inlineStr">
        <is>
          <t>24337</t>
        </is>
      </c>
      <c r="B24438" s="4" t="s">
        <f>=HYPERLINK("http://anyluxury.ru/shop/posuda/bokaly/bokal-dlya-viski-whisky-1479200/" , "14792.00 Бокал для виски Whisky")</f>
      </c>
      <c r="C24438" s="4" t="n">
        <v>3300.00</v>
      </c>
      <c r="D24438" s="4"/>
    </row>
    <row collapsed="" customFormat="false" customHeight="1" hidden="" ht="14" outlineLevel="0" r="24439">
      <c r="A24439" s="3" t="inlineStr">
        <is>
          <t>24338</t>
        </is>
      </c>
      <c r="B24439" s="4" t="s">
        <f>=HYPERLINK("http://anyluxury.ru/shop/posuda/bokaly/bokal-dlya-krasnogo-vina-magnum-1479400/" , "14794.00 Бокал для красного вина Magnum")</f>
      </c>
      <c r="C24439" s="4" t="n">
        <v>3890.00</v>
      </c>
      <c r="D24439" s="4"/>
    </row>
    <row collapsed="" customFormat="false" customHeight="1" hidden="" ht="14" outlineLevel="0" r="24440">
      <c r="A24440" s="3" t="inlineStr">
        <is>
          <t>24339</t>
        </is>
      </c>
      <c r="B24440" s="4" t="s">
        <f>=HYPERLINK("http://anyluxury.ru/shop/posuda/bokaly/bokal-dlya-likera-liquor-glass-1479500/" , "14795.00 Бокал для ликера Liquor Glass")</f>
      </c>
      <c r="C24440" s="4" t="n">
        <v>3300.00</v>
      </c>
      <c r="D24440" s="4"/>
    </row>
    <row collapsed="" customFormat="false" customHeight="1" hidden="" ht="14" outlineLevel="0" r="24441">
      <c r="A24441" s="3" t="inlineStr">
        <is>
          <t>24340</t>
        </is>
      </c>
      <c r="B24441" s="4" t="s">
        <f>=HYPERLINK("http://anyluxury.ru/shop/posuda/bokaly/bokal-dlya-belogo-vina-riesling-glass-1479600/" , "14796.00 Бокал для белого вина Riesling Glass")</f>
      </c>
      <c r="C24441" s="4" t="n">
        <v>3300.00</v>
      </c>
      <c r="D24441" s="4"/>
    </row>
    <row collapsed="" customFormat="false" customHeight="1" hidden="" ht="14" outlineLevel="0" r="24442">
      <c r="A24442" s="3" t="inlineStr">
        <is>
          <t>24341</t>
        </is>
      </c>
      <c r="B24442" s="4" t="s">
        <f>=HYPERLINK("http://anyluxury.ru/shop/posuda/bokaly/bokal-dlya-shampanskogo-champagne-1479700/" , "14797.00 Бокал для шампанского Champagne")</f>
      </c>
      <c r="C24442" s="4" t="n">
        <v>3300.00</v>
      </c>
      <c r="D24442" s="4"/>
    </row>
    <row collapsed="" customFormat="false" customHeight="1" hidden="" ht="14" outlineLevel="0" r="24443">
      <c r="A24443" s="3" t="inlineStr">
        <is>
          <t>24342</t>
        </is>
      </c>
      <c r="B24443" s="4" t="s">
        <f>=HYPERLINK("http://anyluxury.ru/shop/posuda/bokaly/bokal-dlya-shampanskogo-champagne-coupe-1479800/" , "14798.00 Бокал для шампанского Champagne Coupe")</f>
      </c>
      <c r="C24443" s="4" t="n">
        <v>3300.00</v>
      </c>
      <c r="D24443" s="4"/>
    </row>
    <row collapsed="" customFormat="false" customHeight="1" hidden="" ht="14" outlineLevel="0" r="24444">
      <c r="A24444" s="3" t="inlineStr">
        <is>
          <t>24343</t>
        </is>
      </c>
      <c r="B24444" s="4" t="s">
        <f>=HYPERLINK("http://anyluxury.ru/shop/posuda/bokaly/stakan-s-dvoynimi-stenkami-legio-nova-beliy-1483360/" , "14833.60 Стакан с двойными стенками Legio Nova, белый")</f>
      </c>
      <c r="C24444" s="4" t="n">
        <v>2390.00</v>
      </c>
      <c r="D24444" s="4"/>
    </row>
    <row collapsed="" customFormat="false" customHeight="1" hidden="" ht="14" outlineLevel="0" r="24445">
      <c r="A24445" s="3" t="inlineStr">
        <is>
          <t>24344</t>
        </is>
      </c>
      <c r="B24445" s="4" t="s">
        <f>=HYPERLINK("http://anyluxury.ru/shop/posuda/bokaly/nabor-pivnih-bokalov-beer-glass-bolshoy-1486800/" , "14868.00 Набор пивных бокалов Beer Glass, большой")</f>
      </c>
      <c r="C24445" s="4" t="n">
        <v>3790.00</v>
      </c>
      <c r="D24445" s="4"/>
    </row>
    <row collapsed="" customFormat="false" customHeight="1" hidden="" ht="14" outlineLevel="0" r="24446">
      <c r="A24446" s="3" t="inlineStr">
        <is>
          <t>24345</t>
        </is>
      </c>
      <c r="B24446" s="4" t="s">
        <f>=HYPERLINK("http://anyluxury.ru/shop/posuda/bokaly/nabor-pivnih-bokalov-beer-glass-maliy-1486900/" , "14869.00 Набор пивных бокалов Beer Glass, малый")</f>
      </c>
      <c r="C24446" s="4" t="n">
        <v>4190.00</v>
      </c>
      <c r="D24446" s="4"/>
    </row>
    <row collapsed="" customFormat="false" customHeight="1" hidden="" ht="14" outlineLevel="0" r="24447">
      <c r="A24447" s="3" t="inlineStr">
        <is>
          <t>24346</t>
        </is>
      </c>
      <c r="B24447" s="4" t="s">
        <f>=HYPERLINK("http://anyluxury.ru/shop/posuda/bokaly/nabor-ryumok-dlya-shnapsa-schnapps-glass-1488000/" , "14880.00 Набор рюмок для шнапса Schnapps Glass")</f>
      </c>
      <c r="C24447" s="4" t="n">
        <v>2850.00</v>
      </c>
      <c r="D24447" s="4"/>
    </row>
    <row collapsed="" customFormat="false" customHeight="1" hidden="" ht="14" outlineLevel="0" r="24448">
      <c r="A24448" s="3" t="inlineStr">
        <is>
          <t>24347</t>
        </is>
      </c>
      <c r="B24448" s="4" t="s">
        <f>=HYPERLINK("http://anyluxury.ru/shop/posuda/bokaly/stakan-so-skoshennim-kraem-tumbler-glass-maliy-1489800/" , "14898.00 Стакан со скошенным краем Tumbler Glass, малый")</f>
      </c>
      <c r="C24448" s="4" t="n">
        <v>2750.00</v>
      </c>
      <c r="D24448" s="4"/>
    </row>
    <row collapsed="" customFormat="false" customHeight="1" hidden="" ht="14" outlineLevel="0" r="24449">
      <c r="A24449" s="3" t="inlineStr">
        <is>
          <t>24348</t>
        </is>
      </c>
      <c r="B24449" s="4" t="s">
        <f>=HYPERLINK("http://anyluxury.ru/shop/posuda/bokaly/stakan-so-skoshennim-kraem-tumbler-glass-bolshoy-1489900/" , "14899.00 Стакан со скошенным краем Tumbler Glass, большой")</f>
      </c>
      <c r="C24449" s="4" t="n">
        <v>3300.00</v>
      </c>
      <c r="D24449" s="4"/>
    </row>
    <row collapsed="" customFormat="false" customHeight="1" hidden="" ht="14" outlineLevel="0" r="24450">
      <c r="A24450" s="3" t="inlineStr">
        <is>
          <t>24349</t>
        </is>
      </c>
      <c r="B24450" s="4" t="s">
        <f>=HYPERLINK("http://anyluxury.ru/shop/posuda/bokaly/stakan-s-okruglim-dnom-tumbler-glass-maliy-1490000/" , "14900.00 Стакан с округлым дном Tumbler Glass, малый")</f>
      </c>
      <c r="C24450" s="4" t="n">
        <v>1890.00</v>
      </c>
      <c r="D24450" s="4"/>
    </row>
    <row collapsed="" customFormat="false" customHeight="1" hidden="" ht="14" outlineLevel="0" r="24451">
      <c r="A24451" s="3" t="inlineStr">
        <is>
          <t>24350</t>
        </is>
      </c>
      <c r="B24451" s="4" t="s">
        <f>=HYPERLINK("http://anyluxury.ru/shop/posuda/bokaly/stakan-s-okruglim-dnom-tumbler-glass-bolshoy-1490100/" , "14901.00 Стакан со скошенным краем Tumbler Glass, большой")</f>
      </c>
      <c r="C24451" s="4" t="n">
        <v>2200.00</v>
      </c>
      <c r="D24451" s="4"/>
    </row>
    <row collapsed="" customFormat="false" customHeight="1" hidden="" ht="14" outlineLevel="0" r="24452">
      <c r="A24452" s="3" t="inlineStr">
        <is>
          <t>24351</t>
        </is>
      </c>
      <c r="B24452" s="4" t="s">
        <f>=HYPERLINK("http://anyluxury.ru/shop/posuda/bokaly/nabor-malih-stakanov-tumbler-1490200/" , "14902.00 Набор малых стаканов Tumbler")</f>
      </c>
      <c r="C24452" s="4" t="n">
        <v>2750.00</v>
      </c>
      <c r="D24452" s="4"/>
    </row>
    <row collapsed="" customFormat="false" customHeight="1" hidden="" ht="14" outlineLevel="0" r="24453">
      <c r="A24453" s="3" t="inlineStr">
        <is>
          <t>24352</t>
        </is>
      </c>
      <c r="B24453" s="4" t="s">
        <f>=HYPERLINK("http://anyluxury.ru/shop/posuda/bokaly/nabor-bolshih-stakanov-tumbler-1490300/" , "14903.00 Набор больших стаканов Tumbler")</f>
      </c>
      <c r="C24453" s="4" t="n">
        <v>2750.00</v>
      </c>
      <c r="D24453" s="4"/>
    </row>
    <row collapsed="" customFormat="false" customHeight="1" hidden="" ht="14" outlineLevel="0" r="24454">
      <c r="A24454" s="3" t="inlineStr">
        <is>
          <t>24353</t>
        </is>
      </c>
      <c r="B24454" s="4" t="s">
        <f>=HYPERLINK("http://anyluxury.ru/shop/posuda/bokaly/nabor-srednih-granenih-stakanov-table-1490400/" , "14904.00 Набор средних граненых стаканов Table")</f>
      </c>
      <c r="C24454" s="4" t="n">
        <v>3300.00</v>
      </c>
      <c r="D24454" s="4"/>
    </row>
    <row collapsed="" customFormat="false" customHeight="1" hidden="" ht="14" outlineLevel="0" r="24455">
      <c r="A24455" s="3" t="inlineStr">
        <is>
          <t>24354</t>
        </is>
      </c>
      <c r="B24455" s="4" t="s">
        <f>=HYPERLINK("http://anyluxury.ru/shop/posuda/bokaly/nabor-bolshih-granenih-stakanov-table-1490500/" , "14905.00 Набор больших граненых стаканов Table")</f>
      </c>
      <c r="C24455" s="4" t="n">
        <v>3300.00</v>
      </c>
      <c r="D24455" s="4"/>
    </row>
    <row collapsed="" customFormat="false" customHeight="1" hidden="" ht="14" outlineLevel="0" r="24456">
      <c r="A24456" s="3" t="inlineStr">
        <is>
          <t>24355</t>
        </is>
      </c>
      <c r="B24456" s="4" t="s">
        <f>=HYPERLINK("http://anyluxury.ru/shop/posuda/bokaly/nabor-malih-granenih-stakanov-table-1490600/" , "14906.00 Набор малых граненых стаканов Table")</f>
      </c>
      <c r="C24456" s="4" t="n">
        <v>3300.00</v>
      </c>
      <c r="D24456" s="4"/>
    </row>
    <row collapsed="" customFormat="false" customHeight="1" hidden="" ht="14" outlineLevel="0" r="24457">
      <c r="A24457" s="3" t="inlineStr">
        <is>
          <t>24356</t>
        </is>
      </c>
      <c r="B24457" s="4" t="s">
        <f>=HYPERLINK("http://anyluxury.ru/shop/posuda/bokaly/bokal-dlya-vina-superglas-club-zeleniy-1345090/" , "13450.90 Бокал для вина Superglas Club, зеленый")</f>
      </c>
      <c r="C24457" s="4" t="n">
        <v>1050.00</v>
      </c>
      <c r="D24457" s="4"/>
    </row>
    <row collapsed="" customFormat="false" customHeight="1" hidden="" ht="14" outlineLevel="0" r="24458">
      <c r="A24458" s="3" t="inlineStr">
        <is>
          <t>24357</t>
        </is>
      </c>
      <c r="B24458" s="4" t="s">
        <f>=HYPERLINK("http://anyluxury.ru/shop/posuda/bokaly/bokal-dlya-vina-superglas-club-rozoviy-1345051/" , "13450.51 Бокал для вина Superglas Club, розовый")</f>
      </c>
      <c r="C24458" s="4" t="n">
        <v>1050.00</v>
      </c>
      <c r="D24458" s="4"/>
    </row>
    <row collapsed="" customFormat="false" customHeight="1" hidden="" ht="14" outlineLevel="0" r="24459">
      <c r="A24459" s="3" t="inlineStr">
        <is>
          <t>24358</t>
        </is>
      </c>
      <c r="B24459" s="4" t="s">
        <f>=HYPERLINK("http://anyluxury.ru/shop/posuda/bokaly/bokal-dlya-vina-superglas-club-seriy-1345030/" , "13450.30 Бокал для вина Superglas Club, серый")</f>
      </c>
      <c r="C24459" s="4" t="n">
        <v>1050.00</v>
      </c>
      <c r="D24459" s="4"/>
    </row>
    <row collapsed="" customFormat="false" customHeight="1" hidden="" ht="14" outlineLevel="0" r="24460">
      <c r="A24460" s="3" t="inlineStr">
        <is>
          <t>24359</t>
        </is>
      </c>
      <c r="B24460" s="4" t="s">
        <f>=HYPERLINK("http://anyluxury.ru/shop/posuda/bokaly/bokal-dlya-vina-superglas-club-siniy-1345040/" , "13450.40 Бокал для вина Superglas Club, синий")</f>
      </c>
      <c r="C24460" s="4" t="n">
        <v>1050.00</v>
      </c>
      <c r="D24460" s="4"/>
    </row>
    <row collapsed="" customFormat="false" customHeight="1" hidden="" ht="14" outlineLevel="0" r="24461">
      <c r="A24461" s="3" t="inlineStr">
        <is>
          <t>24360</t>
        </is>
      </c>
      <c r="B24461" s="4" t="s">
        <f>=HYPERLINK("http://anyluxury.ru/shop/posuda/bokaly/bokal-dlya-shampanskogo-superglas-club-zeleniy-1345190/" , "13451.90 Бокал для шампанского Superglas Club, зеленый")</f>
      </c>
      <c r="C24461" s="4" t="n">
        <v>940.00</v>
      </c>
      <c r="D24461" s="4"/>
    </row>
    <row collapsed="" customFormat="false" customHeight="1" hidden="" ht="14" outlineLevel="0" r="24462">
      <c r="A24462" s="3" t="inlineStr">
        <is>
          <t>24361</t>
        </is>
      </c>
      <c r="B24462" s="4" t="s">
        <f>=HYPERLINK("http://anyluxury.ru/shop/posuda/bokaly/bokal-dlya-shampanskogo-superglas-club-rozoviy-1345151/" , "13451.51 Бокал для шампанского Superglas Club, розовый")</f>
      </c>
      <c r="C24462" s="4" t="n">
        <v>940.00</v>
      </c>
      <c r="D24462" s="4"/>
    </row>
    <row collapsed="" customFormat="false" customHeight="1" hidden="" ht="14" outlineLevel="0" r="24463">
      <c r="A24463" s="3" t="inlineStr">
        <is>
          <t>24362</t>
        </is>
      </c>
      <c r="B24463" s="4" t="s">
        <f>=HYPERLINK("http://anyluxury.ru/shop/posuda/bokaly/bokal-dlya-shampanskogo-superglas-club-seriy-1345130/" , "13451.30 Бокал для шампанского Superglas Club, серый")</f>
      </c>
      <c r="C24463" s="4" t="n">
        <v>940.00</v>
      </c>
      <c r="D24463" s="4"/>
    </row>
    <row collapsed="" customFormat="false" customHeight="1" hidden="" ht="14" outlineLevel="0" r="24464">
      <c r="A24464" s="3" t="inlineStr">
        <is>
          <t>24363</t>
        </is>
      </c>
      <c r="B24464" s="4" t="s">
        <f>=HYPERLINK("http://anyluxury.ru/shop/posuda/bokaly/bokal-dlya-shampanskogo-grl-pwr-beliy-1345201/" , "13452.01 Бокал для шампанского Grl Pwr, белый")</f>
      </c>
      <c r="C24464" s="4" t="n">
        <v>690.00</v>
      </c>
      <c r="D24464" s="4"/>
    </row>
    <row collapsed="" customFormat="false" customHeight="1" hidden="" ht="14" outlineLevel="0" r="24465">
      <c r="A24465" s="3" t="inlineStr">
        <is>
          <t>24364</t>
        </is>
      </c>
      <c r="B24465" s="4" t="s">
        <f>=HYPERLINK("http://anyluxury.ru/shop/posuda/bokaly/bokal-dlya-shampanskogo-love-beliy-1345202/" , "13452.02 Бокал для шампанского Love, белый")</f>
      </c>
      <c r="C24465" s="4" t="n">
        <v>690.00</v>
      </c>
      <c r="D24465" s="4"/>
    </row>
    <row collapsed="" customFormat="false" customHeight="1" hidden="" ht="14" outlineLevel="0" r="24466">
      <c r="A24466" s="3" t="inlineStr">
        <is>
          <t>24365</t>
        </is>
      </c>
      <c r="B24466" s="4" t="s">
        <f>=HYPERLINK("http://anyluxury.ru/shop/posuda/bokaly/bokal-dlya-shampanskogo-make-your-dreams-happen-beliy-1345203/" , "13452.03 Бокал для шампанского Make Your Dreams Happen, белый")</f>
      </c>
      <c r="C24466" s="4" t="n">
        <v>760.00</v>
      </c>
      <c r="D24466" s="4"/>
    </row>
    <row collapsed="" customFormat="false" customHeight="1" hidden="" ht="14" outlineLevel="0" r="24467">
      <c r="A24467" s="3" t="inlineStr">
        <is>
          <t>24366</t>
        </is>
      </c>
      <c r="B24467" s="4" t="s">
        <f>=HYPERLINK("http://anyluxury.ru/shop/posuda/bokaly/bokal-dlya-shampanskogo-save-water-drink-champange-beliy-1345204/" , "13452.04 Бокал для шампанского Save Water Drink Champange, белый")</f>
      </c>
      <c r="C24467" s="4" t="n">
        <v>760.00</v>
      </c>
      <c r="D24467" s="4"/>
    </row>
    <row collapsed="" customFormat="false" customHeight="1" hidden="" ht="14" outlineLevel="0" r="24468">
      <c r="A24468" s="3" t="inlineStr">
        <is>
          <t>24367</t>
        </is>
      </c>
      <c r="B24468" s="4" t="s">
        <f>=HYPERLINK("http://anyluxury.ru/shop/posuda/bokaly/nabor-bokalov-dlya-shampanskogo-superglas-cheers-beliy-1348660/" , "13486.60 Набор бокалов для шампанского Superglas Cheers, белый")</f>
      </c>
      <c r="C24468" s="4" t="n">
        <v>2100.00</v>
      </c>
      <c r="D24468" s="4"/>
    </row>
    <row collapsed="" customFormat="false" customHeight="1" hidden="" ht="14" outlineLevel="0" r="24469">
      <c r="A24469" s="3" t="inlineStr">
        <is>
          <t>24368</t>
        </is>
      </c>
      <c r="B24469" s="4" t="s">
        <f>=HYPERLINK("http://anyluxury.ru/shop/posuda/bokaly/nabor-bokalov-dlya-shampanskogo-superglas-cheers-siniy-1348600/" , "13486.00 Набор бокалов для шампанского Superglas Cheers, синий")</f>
      </c>
      <c r="C24469" s="4" t="n">
        <v>2100.00</v>
      </c>
      <c r="D24469" s="4"/>
    </row>
    <row collapsed="" customFormat="false" customHeight="1" hidden="" ht="14" outlineLevel="0" r="24470">
      <c r="A24470" s="3" t="inlineStr">
        <is>
          <t>24369</t>
        </is>
      </c>
      <c r="B24470" s="4" t="s">
        <f>=HYPERLINK("http://anyluxury.ru/shop/posuda/bokaly/nabor-bokalov-dlya-shampanskogo-superglas-cheers-cherniy-1348630/" , "13486.30 Набор бокалов для шампанского Superglas Cheers, черный")</f>
      </c>
      <c r="C24470" s="4" t="n">
        <v>2100.00</v>
      </c>
      <c r="D24470" s="4"/>
    </row>
    <row collapsed="" customFormat="false" customHeight="1" hidden="" ht="14" outlineLevel="0" r="24471">
      <c r="A24471" s="3" t="inlineStr">
        <is>
          <t>24370</t>
        </is>
      </c>
      <c r="B24471" s="4" t="s">
        <f>=HYPERLINK("http://anyluxury.ru/shop/posuda/bokaly/stakan-crystal-bolshoy-goluboy-1352641/" , "13526.41 Стакан Crystal, большой, голубой")</f>
      </c>
      <c r="C24471" s="4" t="n">
        <v>520.00</v>
      </c>
      <c r="D24471" s="4"/>
    </row>
    <row collapsed="" customFormat="false" customHeight="1" hidden="" ht="14" outlineLevel="0" r="24472">
      <c r="A24472" s="3" t="inlineStr">
        <is>
          <t>24371</t>
        </is>
      </c>
      <c r="B24472" s="4" t="s">
        <f>=HYPERLINK("http://anyluxury.ru/shop/posuda/bokaly/stakan-crystal-bolshoy-zeleniy-1352690/" , "13526.90 Стакан Crystal, большой, зеленый")</f>
      </c>
      <c r="C24472" s="4" t="n">
        <v>520.00</v>
      </c>
      <c r="D24472" s="4"/>
    </row>
    <row collapsed="" customFormat="false" customHeight="1" hidden="" ht="14" outlineLevel="0" r="24473">
      <c r="A24473" s="3" t="inlineStr">
        <is>
          <t>24372</t>
        </is>
      </c>
      <c r="B24473" s="4" t="s">
        <f>=HYPERLINK("http://anyluxury.ru/shop/posuda/bokaly/stakan-crystal-bolshoy-prozrachniy-1352600/" , "13526.00 Стакан Crystal, большой, прозрачный")</f>
      </c>
      <c r="C24473" s="4" t="n">
        <v>620.00</v>
      </c>
      <c r="D24473" s="4"/>
    </row>
    <row collapsed="" customFormat="false" customHeight="1" hidden="" ht="14" outlineLevel="0" r="24474">
      <c r="A24474" s="3" t="inlineStr">
        <is>
          <t>24373</t>
        </is>
      </c>
      <c r="B24474" s="4" t="s">
        <f>=HYPERLINK("http://anyluxury.ru/shop/posuda/bokaly/stakan-crystal-bolshoy-rozoviy-1352651/" , "13526.51 Стакан Crystal, большой, розовый")</f>
      </c>
      <c r="C24474" s="4" t="n">
        <v>520.00</v>
      </c>
      <c r="D24474" s="4"/>
    </row>
    <row collapsed="" customFormat="false" customHeight="1" hidden="" ht="14" outlineLevel="0" r="24475">
      <c r="A24475" s="3" t="inlineStr">
        <is>
          <t>24374</t>
        </is>
      </c>
      <c r="B24475" s="4" t="s">
        <f>=HYPERLINK("http://anyluxury.ru/shop/posuda/bokaly/stakan-crystal-bolshoy-seriy-1352630/" , "13526.30 Стакан Crystal, большой, серый")</f>
      </c>
      <c r="C24475" s="4" t="n">
        <v>620.00</v>
      </c>
      <c r="D24475" s="4"/>
    </row>
    <row collapsed="" customFormat="false" customHeight="1" hidden="" ht="14" outlineLevel="0" r="24476">
      <c r="A24476" s="3" t="inlineStr">
        <is>
          <t>24375</t>
        </is>
      </c>
      <c r="B24476" s="4" t="s">
        <f>=HYPERLINK("http://anyluxury.ru/shop/posuda/bokaly/stakan-crystal-maliy-goluboy-1352741/" , "13527.41 Стакан Crystal, малый, голубой")</f>
      </c>
      <c r="C24476" s="4" t="n">
        <v>420.00</v>
      </c>
      <c r="D24476" s="4"/>
    </row>
    <row collapsed="" customFormat="false" customHeight="1" hidden="" ht="14" outlineLevel="0" r="24477">
      <c r="A24477" s="3" t="inlineStr">
        <is>
          <t>24376</t>
        </is>
      </c>
      <c r="B24477" s="4" t="s">
        <f>=HYPERLINK("http://anyluxury.ru/shop/posuda/bokaly/stakan-crystal-maliy-zeleniy-1352790/" , "13527.90 Стакан Crystal, малый, зеленый")</f>
      </c>
      <c r="C24477" s="4" t="n">
        <v>420.00</v>
      </c>
      <c r="D24477" s="4"/>
    </row>
    <row collapsed="" customFormat="false" customHeight="1" hidden="" ht="14" outlineLevel="0" r="24478">
      <c r="A24478" s="3" t="inlineStr">
        <is>
          <t>24377</t>
        </is>
      </c>
      <c r="B24478" s="4" t="s">
        <f>=HYPERLINK("http://anyluxury.ru/shop/posuda/bokaly/stakan-crystal-maliy-prozrachniy-1352700/" , "13527.00 Стакан Crystal, малый, прозрачный")</f>
      </c>
      <c r="C24478" s="4" t="n">
        <v>420.00</v>
      </c>
      <c r="D24478" s="4"/>
    </row>
    <row collapsed="" customFormat="false" customHeight="1" hidden="" ht="14" outlineLevel="0" r="24479">
      <c r="A24479" s="3" t="inlineStr">
        <is>
          <t>24378</t>
        </is>
      </c>
      <c r="B24479" s="4" t="s">
        <f>=HYPERLINK("http://anyluxury.ru/shop/posuda/bokaly/stakan-crystal-maliy-rozoviy-1352751/" , "13527.51 Стакан Crystal, малый, розовый")</f>
      </c>
      <c r="C24479" s="4" t="n">
        <v>420.00</v>
      </c>
      <c r="D24479" s="4"/>
    </row>
    <row collapsed="" customFormat="false" customHeight="1" hidden="" ht="14" outlineLevel="0" r="24480">
      <c r="A24480" s="3" t="inlineStr">
        <is>
          <t>24379</t>
        </is>
      </c>
      <c r="B24480" s="4" t="s">
        <f>=HYPERLINK("http://anyluxury.ru/shop/posuda/bokaly/stakan-crystal-maliy-seriy-1352730/" , "13527.30 Стакан Crystal, малый, серый")</f>
      </c>
      <c r="C24480" s="4" t="n">
        <v>420.00</v>
      </c>
      <c r="D24480" s="4"/>
    </row>
    <row collapsed="" customFormat="false" customHeight="1" hidden="" ht="14" outlineLevel="0" r="24481">
      <c r="A24481" s="3" t="inlineStr">
        <is>
          <t>24380</t>
        </is>
      </c>
      <c r="B24481" s="4" t="s">
        <f>=HYPERLINK("http://anyluxury.ru/shop/posuda/bokaly/stakan-dlya-viski-superglas-club-zeleniy-1352890/" , "13528.90 Стакан для виски Superglas Club, зеленый")</f>
      </c>
      <c r="C24481" s="4" t="n">
        <v>940.00</v>
      </c>
      <c r="D24481" s="4"/>
    </row>
    <row collapsed="" customFormat="false" customHeight="1" hidden="" ht="14" outlineLevel="0" r="24482">
      <c r="A24482" s="3" t="inlineStr">
        <is>
          <t>24381</t>
        </is>
      </c>
      <c r="B24482" s="4" t="s">
        <f>=HYPERLINK("http://anyluxury.ru/shop/posuda/bokaly/stakan-dlya-viski-superglas-club-prozrachniy-1352800/" , "13528.00 Стакан для виски Superglas Club, прозрачный")</f>
      </c>
      <c r="C24482" s="4" t="n">
        <v>940.00</v>
      </c>
      <c r="D24482" s="4"/>
    </row>
    <row collapsed="" customFormat="false" customHeight="1" hidden="" ht="14" outlineLevel="0" r="24483">
      <c r="A24483" s="3" t="inlineStr">
        <is>
          <t>24382</t>
        </is>
      </c>
      <c r="B24483" s="4" t="s">
        <f>=HYPERLINK("http://anyluxury.ru/shop/posuda/bokaly/stakan-dlya-viski-superglas-club-seriy-1352811/" , "13528.11 Стакан для виски Superglas Club, серый")</f>
      </c>
      <c r="C24483" s="4" t="n">
        <v>940.00</v>
      </c>
      <c r="D24483" s="4"/>
    </row>
    <row collapsed="" customFormat="false" customHeight="1" hidden="" ht="14" outlineLevel="0" r="24484">
      <c r="A24484" s="3" t="inlineStr">
        <is>
          <t>24383</t>
        </is>
      </c>
      <c r="B24484" s="4" t="s">
        <f>=HYPERLINK("http://anyluxury.ru/shop/posuda/bokaly/stakan-dlya-viski-superglas-club-siniy-1352840/" , "13528.40 Стакан для виски Superglas Club, синий")</f>
      </c>
      <c r="C24484" s="4" t="n">
        <v>940.00</v>
      </c>
      <c r="D24484" s="4"/>
    </row>
    <row collapsed="" customFormat="false" customHeight="1" hidden="" ht="14" outlineLevel="0" r="24485">
      <c r="A24485" s="3" t="inlineStr">
        <is>
          <t>24384</t>
        </is>
      </c>
      <c r="B24485" s="4" t="s">
        <f>=HYPERLINK("http://anyluxury.ru/shop/posuda/bokaly/stakan-superglas-club-seriy-1352911/" , "13529.11 Стакан Superglas Club, серый")</f>
      </c>
      <c r="C24485" s="4" t="n">
        <v>940.00</v>
      </c>
      <c r="D24485" s="4"/>
    </row>
    <row collapsed="" customFormat="false" customHeight="1" hidden="" ht="14" outlineLevel="0" r="24486">
      <c r="A24486" s="3" t="inlineStr">
        <is>
          <t>24385</t>
        </is>
      </c>
      <c r="B24486" s="4" t="s">
        <f>=HYPERLINK("http://anyluxury.ru/shop/posuda/bokaly/stakan-dlya-vodi-superglas-club-seriy-1353011/" , "13530.11 Стакан для воды Superglas Club, серый")</f>
      </c>
      <c r="C24486" s="4" t="n">
        <v>940.00</v>
      </c>
      <c r="D24486" s="4"/>
    </row>
    <row collapsed="" customFormat="false" customHeight="1" hidden="" ht="14" outlineLevel="0" r="24487">
      <c r="A24487" s="3" t="inlineStr">
        <is>
          <t>24386</t>
        </is>
      </c>
      <c r="B24487" s="4" t="s">
        <f>=HYPERLINK("http://anyluxury.ru/shop/posuda/bokaly/stakan-dlya-vodi-superglas-club-siniy-1353040/" , "13530.40 Стакан для воды Superglas Club, синий")</f>
      </c>
      <c r="C24487" s="4" t="n">
        <v>940.00</v>
      </c>
      <c r="D24487" s="4"/>
    </row>
    <row collapsed="" customFormat="false" customHeight="1" hidden="" ht="14" outlineLevel="0" r="24488">
      <c r="A24488" s="3" t="inlineStr">
        <is>
          <t>24387</t>
        </is>
      </c>
      <c r="B24488" s="4" t="s">
        <f>=HYPERLINK("http://anyluxury.ru/shop/posuda/bokaly/bokal-tiffany-pesochniy-1044000/" , "10440.00 Бокал Tiffany, песочный")</f>
      </c>
      <c r="C24488" s="4" t="n">
        <v>530.00</v>
      </c>
      <c r="D24488" s="4"/>
    </row>
    <row collapsed="" customFormat="false" customHeight="1" hidden="" ht="14" outlineLevel="0" r="24489">
      <c r="A24489" s="3" t="inlineStr">
        <is>
          <t>24388</t>
        </is>
      </c>
      <c r="B24489" s="4" t="s">
        <f>=HYPERLINK("http://anyluxury.ru/shop/posuda/bokaly/bokal-dlya-piva-bar-1441300/" , "14413.00 Бокал для пива Bar")</f>
      </c>
      <c r="C24489" s="4" t="n">
        <v>3100.00</v>
      </c>
      <c r="D24489" s="4"/>
    </row>
    <row collapsed="" customFormat="false" customHeight="1" hidden="" ht="14" outlineLevel="0" r="24490">
      <c r="A24490" s="3" t="inlineStr">
        <is>
          <t>24389</t>
        </is>
      </c>
      <c r="B24490" s="4" t="s">
        <f>=HYPERLINK("http://anyluxury.ru/shop/posuda/bokaly/nabor-bokalov-dlya-vodi-wine-1444600/" , "14446.00 Набор бокалов для воды Wine")</f>
      </c>
      <c r="C24490" s="4" t="n">
        <v>5550.00</v>
      </c>
      <c r="D24490" s="4"/>
    </row>
    <row collapsed="" customFormat="false" customHeight="1" hidden="" ht="14" outlineLevel="0" r="24491">
      <c r="A24491" s="3" t="inlineStr">
        <is>
          <t>24390</t>
        </is>
      </c>
      <c r="B24491" s="4" t="s">
        <f>=HYPERLINK("http://anyluxury.ru/shop/posuda/bokaly/nabor-bokalov-dlya-shampanskogo-mist-flute-1445300/" , "14453.00 Набор бокалов для шампанского Mist Flute")</f>
      </c>
      <c r="C24491" s="4" t="n">
        <v>4750.00</v>
      </c>
      <c r="D24491" s="4"/>
    </row>
    <row collapsed="" customFormat="false" customHeight="1" hidden="" ht="14" outlineLevel="0" r="24492">
      <c r="A24492" s="3" t="inlineStr">
        <is>
          <t>24391</t>
        </is>
      </c>
      <c r="B24492" s="4" t="s">
        <f>=HYPERLINK("http://anyluxury.ru/shop/posuda/bokaly/nabor-bokalov-dlya-shampanskogo-savoy-saucer-s-obodkom-1445400/" , "14454.00 Набор бокалов для шампанского Savoy Saucer с ободком")</f>
      </c>
      <c r="C24492" s="4" t="n">
        <v>4750.00</v>
      </c>
      <c r="D24492" s="4"/>
    </row>
    <row collapsed="" customFormat="false" customHeight="1" hidden="" ht="14" outlineLevel="0" r="24493">
      <c r="A24493" s="3" t="inlineStr">
        <is>
          <t>24392</t>
        </is>
      </c>
      <c r="B24493" s="4" t="s">
        <f>=HYPERLINK("http://anyluxury.ru/shop/posuda/bokaly/nabor-bokalov-dlya-shampanskogo-savoy-flute-s-obodkom-1445500/" , "14455.00 Набор бокалов для шампанского Savoy Flute с ободком")</f>
      </c>
      <c r="C24493" s="4" t="n">
        <v>4750.00</v>
      </c>
      <c r="D24493" s="4"/>
    </row>
    <row collapsed="" customFormat="false" customHeight="1" hidden="" ht="14" outlineLevel="0" r="24494">
      <c r="A24494" s="3" t="inlineStr">
        <is>
          <t>24393</t>
        </is>
      </c>
      <c r="B24494" s="4" t="s">
        <f>=HYPERLINK("http://anyluxury.ru/shop/posuda/bokaly/nabor-malih-bokalov-dlya-belogo-vina-wine-culture-1445600/" , "14456.00 Набор из 2 малых бокалов для белого вина Wine Culture")</f>
      </c>
      <c r="C24494" s="4" t="n">
        <v>8800.00</v>
      </c>
      <c r="D24494" s="4"/>
    </row>
    <row collapsed="" customFormat="false" customHeight="1" hidden="" ht="14" outlineLevel="0" r="24495">
      <c r="A24495" s="3" t="inlineStr">
        <is>
          <t>24394</t>
        </is>
      </c>
      <c r="B24495" s="4" t="s">
        <f>=HYPERLINK("http://anyluxury.ru/shop/posuda/bokaly/nabor-bolshih-bokalov-dlya-belogo-vina-wine-culture-1445700/" , "14457.00 Набор из 2 больших бокалов для белого вина Wine Culture")</f>
      </c>
      <c r="C24495" s="4" t="n">
        <v>8800.00</v>
      </c>
      <c r="D24495" s="4"/>
    </row>
    <row collapsed="" customFormat="false" customHeight="1" hidden="" ht="14" outlineLevel="0" r="24496">
      <c r="A24496" s="3" t="inlineStr">
        <is>
          <t>24395</t>
        </is>
      </c>
      <c r="B24496" s="4" t="s">
        <f>=HYPERLINK("http://anyluxury.ru/shop/posuda/bokaly/nabor-bokalov-dlya-brendi-bar-1445800/" , "14458.00 Набор из 2 бокалов для бренди Bar")</f>
      </c>
      <c r="C24496" s="4" t="n">
        <v>6200.00</v>
      </c>
      <c r="D24496" s="4"/>
    </row>
    <row collapsed="" customFormat="false" customHeight="1" hidden="" ht="14" outlineLevel="0" r="24497">
      <c r="A24497" s="3" t="inlineStr">
        <is>
          <t>24396</t>
        </is>
      </c>
      <c r="B24497" s="4" t="s">
        <f>=HYPERLINK("http://anyluxury.ru/shop/posuda/bokaly/nabor-bokalov-dlya-vina-mist-1445900/" , "14459.00 Набор бокалов для вина Mist")</f>
      </c>
      <c r="C24497" s="4" t="n">
        <v>4750.00</v>
      </c>
      <c r="D24497" s="4"/>
    </row>
    <row collapsed="" customFormat="false" customHeight="1" hidden="" ht="14" outlineLevel="0" r="24498">
      <c r="A24498" s="3" t="inlineStr">
        <is>
          <t>24397</t>
        </is>
      </c>
      <c r="B24498" s="4" t="s">
        <f>=HYPERLINK("http://anyluxury.ru/shop/posuda/bokaly/nabor-bokalov-dlya-vina-moya-1446000/" , "14460.00 Набор из 2 бокалов для вина Moya")</f>
      </c>
      <c r="C24498" s="4" t="n">
        <v>6200.00</v>
      </c>
      <c r="D24498" s="4"/>
    </row>
    <row collapsed="" customFormat="false" customHeight="1" hidden="" ht="14" outlineLevel="0" r="24499">
      <c r="A24499" s="3" t="inlineStr">
        <is>
          <t>24398</t>
        </is>
      </c>
      <c r="B24499" s="4" t="s">
        <f>=HYPERLINK("http://anyluxury.ru/shop/posuda/bokaly/nabor-bokalov-dlya-vina-moya-round-1446100/" , "14461.00 Набор из 2 бокалов для вина Moya Round")</f>
      </c>
      <c r="C24499" s="4" t="n">
        <v>6200.00</v>
      </c>
      <c r="D24499" s="4"/>
    </row>
    <row collapsed="" customFormat="false" customHeight="1" hidden="" ht="14" outlineLevel="0" r="24500">
      <c r="A24500" s="3" t="inlineStr">
        <is>
          <t>24399</t>
        </is>
      </c>
      <c r="B24500" s="4" t="s">
        <f>=HYPERLINK("http://anyluxury.ru/shop/posuda/bokaly/nabor-bokalov-dlya-vina-utility-oranzheviy-1446220/" , "14462.20 Набор из 2 бокалов для вина Utility, оранжевый")</f>
      </c>
      <c r="C24500" s="4" t="n">
        <v>4150.00</v>
      </c>
      <c r="D24500" s="4"/>
    </row>
    <row collapsed="" customFormat="false" customHeight="1" hidden="" ht="14" outlineLevel="0" r="24501">
      <c r="A24501" s="3" t="inlineStr">
        <is>
          <t>24400</t>
        </is>
      </c>
      <c r="B24501" s="4" t="s">
        <f>=HYPERLINK("http://anyluxury.ru/shop/posuda/bokaly/nabor-bokalov-dlya-vina-utility-prozrachniy-1446200/" , "14462.00 Набор бокалов для вина Utility, прозрачный")</f>
      </c>
      <c r="C24501" s="4" t="n">
        <v>3550.00</v>
      </c>
      <c r="D24501" s="4"/>
    </row>
    <row collapsed="" customFormat="false" customHeight="1" hidden="" ht="14" outlineLevel="0" r="24502">
      <c r="A24502" s="3" t="inlineStr">
        <is>
          <t>24401</t>
        </is>
      </c>
      <c r="B24502" s="4" t="s">
        <f>=HYPERLINK("http://anyluxury.ru/shop/posuda/bokaly/nabor-bokalov-dlya-vodi-wine-culture-1446400/" , "14464.00 Набор бокалов для воды Wine Culture")</f>
      </c>
      <c r="C24502" s="4" t="n">
        <v>5750.00</v>
      </c>
      <c r="D24502" s="4"/>
    </row>
    <row collapsed="" customFormat="false" customHeight="1" hidden="" ht="14" outlineLevel="0" r="24503">
      <c r="A24503" s="3" t="inlineStr">
        <is>
          <t>24402</t>
        </is>
      </c>
      <c r="B24503" s="4" t="s">
        <f>=HYPERLINK("http://anyluxury.ru/shop/posuda/bokaly/nabor-bokalov-dlya-degustacii-islay-whisky-1446500/" , "14465.00 Набор бокалов для дегустации Islay Whisky")</f>
      </c>
      <c r="C24503" s="4" t="n">
        <v>5450.00</v>
      </c>
      <c r="D24503" s="4"/>
    </row>
    <row collapsed="" customFormat="false" customHeight="1" hidden="" ht="14" outlineLevel="0" r="24504">
      <c r="A24504" s="3" t="inlineStr">
        <is>
          <t>24403</t>
        </is>
      </c>
      <c r="B24504" s="4" t="s">
        <f>=HYPERLINK("http://anyluxury.ru/shop/posuda/bokaly/nabor-bokalov-dlya-kokteyley-bar-1446600/" , "14466.00 Набор из 2 бокалов для коктейлей Bar")</f>
      </c>
      <c r="C24504" s="4" t="n">
        <v>4750.00</v>
      </c>
      <c r="D24504" s="4"/>
    </row>
    <row collapsed="" customFormat="false" customHeight="1" hidden="" ht="14" outlineLevel="0" r="24505">
      <c r="A24505" s="3" t="inlineStr">
        <is>
          <t>24404</t>
        </is>
      </c>
      <c r="B24505" s="4" t="s">
        <f>=HYPERLINK("http://anyluxury.ru/shop/posuda/bokaly/nabor-bokalov-dlya-kokteyley-moya-1446700/" , "14467.00 Набор из 2 бокалов для коктейлей Moya")</f>
      </c>
      <c r="C24505" s="4" t="n">
        <v>6200.00</v>
      </c>
      <c r="D24505" s="4"/>
    </row>
    <row collapsed="" customFormat="false" customHeight="1" hidden="" ht="14" outlineLevel="0" r="24506">
      <c r="A24506" s="3" t="inlineStr">
        <is>
          <t>24405</t>
        </is>
      </c>
      <c r="B24506" s="4" t="s">
        <f>=HYPERLINK("http://anyluxury.ru/shop/posuda/bokaly/nabor-bokalov-dlya-kokteyley-pearl-1446800/" , "14468.00 Набор из 2 бокалов для коктейлей Pearl")</f>
      </c>
      <c r="C24506" s="4" t="n">
        <v>5750.00</v>
      </c>
      <c r="D24506" s="4"/>
    </row>
    <row collapsed="" customFormat="false" customHeight="1" hidden="" ht="14" outlineLevel="0" r="24507">
      <c r="A24507" s="3" t="inlineStr">
        <is>
          <t>24406</t>
        </is>
      </c>
      <c r="B24507" s="4" t="s">
        <f>=HYPERLINK("http://anyluxury.ru/shop/posuda/bokaly/nabor-malih-bokalov-dlya-krasnogo-vina-wine-culture-1446900/" , "14469.00 Набор из 2 малых бокалов для красного вина Wine Culture")</f>
      </c>
      <c r="C24507" s="4" t="n">
        <v>8800.00</v>
      </c>
      <c r="D24507" s="4"/>
    </row>
    <row collapsed="" customFormat="false" customHeight="1" hidden="" ht="14" outlineLevel="0" r="24508">
      <c r="A24508" s="3" t="inlineStr">
        <is>
          <t>24407</t>
        </is>
      </c>
      <c r="B24508" s="4" t="s">
        <f>=HYPERLINK("http://anyluxury.ru/shop/posuda/bokaly/nabor-bolshih-bokalov-dlya-krasnogo-vina-wine-culture-1447000/" , "14470.00 Набор из 2 больших бокалов для красного вина Wine Culture")</f>
      </c>
      <c r="C24508" s="4" t="n">
        <v>10400.00</v>
      </c>
      <c r="D24508" s="4"/>
    </row>
    <row collapsed="" customFormat="false" customHeight="1" hidden="" ht="14" outlineLevel="0" r="24509">
      <c r="A24509" s="3" t="inlineStr">
        <is>
          <t>24408</t>
        </is>
      </c>
      <c r="B24509" s="4" t="s">
        <f>=HYPERLINK("http://anyluxury.ru/shop/posuda/bokaly/nabor-bolshih-bokalov-dlya-piva-bar-1447100/" , "14471.00 Набор больших бокалов для пива Bar")</f>
      </c>
      <c r="C24509" s="4" t="n">
        <v>4990.00</v>
      </c>
      <c r="D24509" s="4"/>
    </row>
    <row collapsed="" customFormat="false" customHeight="1" hidden="" ht="14" outlineLevel="0" r="24510">
      <c r="A24510" s="3" t="inlineStr">
        <is>
          <t>24409</t>
        </is>
      </c>
      <c r="B24510" s="4" t="s">
        <f>=HYPERLINK("http://anyluxury.ru/shop/posuda/bokaly/nabor-okruglih-bokalov-dlya-piva-bar-1447300/" , "14473.00 Набор округлых бокалов для пива Bar")</f>
      </c>
      <c r="C24510" s="4" t="n">
        <v>4390.00</v>
      </c>
      <c r="D24510" s="4"/>
    </row>
    <row collapsed="" customFormat="false" customHeight="1" hidden="" ht="14" outlineLevel="0" r="24511">
      <c r="A24511" s="3" t="inlineStr">
        <is>
          <t>24410</t>
        </is>
      </c>
      <c r="B24511" s="4" t="s">
        <f>=HYPERLINK("http://anyluxury.ru/shop/posuda/bokaly/nabor-visokih-bokalov-dlya-piva-bar-1447400/" , "14474.00 Набор высоких бокалов для пива Bar")</f>
      </c>
      <c r="C24511" s="4" t="n">
        <v>4190.00</v>
      </c>
      <c r="D24511" s="4"/>
    </row>
    <row collapsed="" customFormat="false" customHeight="1" hidden="" ht="14" outlineLevel="0" r="24512">
      <c r="A24512" s="3" t="inlineStr">
        <is>
          <t>24411</t>
        </is>
      </c>
      <c r="B24512" s="4" t="s">
        <f>=HYPERLINK("http://anyluxury.ru/shop/posuda/bokaly/nabor-malih-bokalov-dlya-prosekko-wine-1447500/" , "14475.00 Набор из 2 малых бокалов для просекко Wine")</f>
      </c>
      <c r="C24512" s="4" t="n">
        <v>4100.00</v>
      </c>
      <c r="D24512" s="4"/>
    </row>
    <row collapsed="" customFormat="false" customHeight="1" hidden="" ht="14" outlineLevel="0" r="24513">
      <c r="A24513" s="3" t="inlineStr">
        <is>
          <t>24412</t>
        </is>
      </c>
      <c r="B24513" s="4" t="s">
        <f>=HYPERLINK("http://anyluxury.ru/shop/posuda/bokaly/nabor-bolshih-bokalov-dlya-prosekko-wine-1447600/" , "14476.00 Набор из 2 больших бокалов для просекко Wine")</f>
      </c>
      <c r="C24513" s="4" t="n">
        <v>4390.00</v>
      </c>
      <c r="D24513" s="4"/>
    </row>
    <row collapsed="" customFormat="false" customHeight="1" hidden="" ht="14" outlineLevel="0" r="24514">
      <c r="A24514" s="3" t="inlineStr">
        <is>
          <t>24413</t>
        </is>
      </c>
      <c r="B24514" s="4" t="s">
        <f>=HYPERLINK("http://anyluxury.ru/shop/posuda/bokaly/nabor-bokalov-dlya-shampanskogo-savoy-saucer-1447800/" , "14478.00 Набор бокалов для шампанского Savoy Saucer")</f>
      </c>
      <c r="C24514" s="4" t="n">
        <v>4150.00</v>
      </c>
      <c r="D24514" s="4"/>
    </row>
    <row collapsed="" customFormat="false" customHeight="1" hidden="" ht="14" outlineLevel="0" r="24515">
      <c r="A24515" s="3" t="inlineStr">
        <is>
          <t>24414</t>
        </is>
      </c>
      <c r="B24515" s="4" t="s">
        <f>=HYPERLINK("http://anyluxury.ru/shop/posuda/bokaly/nabor-bokalov-dlya-shampanskogo-mist-saucer-1447900/" , "14479.00 Набор бокалов для шампанского Mist Saucer")</f>
      </c>
      <c r="C24515" s="4" t="n">
        <v>4750.00</v>
      </c>
      <c r="D24515" s="4"/>
    </row>
    <row collapsed="" customFormat="false" customHeight="1" hidden="" ht="14" outlineLevel="0" r="24516">
      <c r="A24516" s="3" t="inlineStr">
        <is>
          <t>24415</t>
        </is>
      </c>
      <c r="B24516" s="4" t="s">
        <f>=HYPERLINK("http://anyluxury.ru/shop/posuda/bokaly/nabor-bokalov-dlya-shampanskogo-wine-culture-saucer-1448000/" , "14480.00 Набор из 2 бокалов для шампанского Wine Culture Saucer")</f>
      </c>
      <c r="C24516" s="4" t="n">
        <v>8800.00</v>
      </c>
      <c r="D24516" s="4"/>
    </row>
    <row collapsed="" customFormat="false" customHeight="1" hidden="" ht="14" outlineLevel="0" r="24517">
      <c r="A24517" s="3" t="inlineStr">
        <is>
          <t>24416</t>
        </is>
      </c>
      <c r="B24517" s="4" t="s">
        <f>=HYPERLINK("http://anyluxury.ru/shop/posuda/bokaly/nabor-bokalovkremanok-dlya-shampanskogo-space-zolotistiy-1448100/" , "14481.00 Набор бокалов-креманок для шампанского Space, золотистый")</f>
      </c>
      <c r="C24517" s="4" t="n">
        <v>6150.00</v>
      </c>
      <c r="D24517" s="4"/>
    </row>
    <row collapsed="" customFormat="false" customHeight="1" hidden="" ht="14" outlineLevel="0" r="24518">
      <c r="A24518" s="3" t="inlineStr">
        <is>
          <t>24417</t>
        </is>
      </c>
      <c r="B24518" s="4" t="s">
        <f>=HYPERLINK("http://anyluxury.ru/shop/posuda/bokaly/nabor-malih-bokalov-dlya-shampanskogo-bar-1448200/" , "14482.00 Набор из 2 малых бокалов для шампанского Bar")</f>
      </c>
      <c r="C24518" s="4" t="n">
        <v>3100.00</v>
      </c>
      <c r="D24518" s="4"/>
    </row>
    <row collapsed="" customFormat="false" customHeight="1" hidden="" ht="14" outlineLevel="0" r="24519">
      <c r="A24519" s="3" t="inlineStr">
        <is>
          <t>24418</t>
        </is>
      </c>
      <c r="B24519" s="4" t="s">
        <f>=HYPERLINK("http://anyluxury.ru/shop/posuda/bokaly/nabor-bokalov-dlya-shampanskogo-moya-flute-rozoviy-1448315/" , "14483.15 Набор из 2 бокалов для шампанского Moya Flute, розовый")</f>
      </c>
      <c r="C24519" s="4" t="n">
        <v>6200.00</v>
      </c>
      <c r="D24519" s="4"/>
    </row>
    <row collapsed="" customFormat="false" customHeight="1" hidden="" ht="14" outlineLevel="0" r="24520">
      <c r="A24520" s="3" t="inlineStr">
        <is>
          <t>24419</t>
        </is>
      </c>
      <c r="B24520" s="4" t="s">
        <f>=HYPERLINK("http://anyluxury.ru/shop/posuda/bokaly/nabor-bokalov-dlya-shampanskogo-savoy-flute-1448400/" , "14484.00 Набор бокалов для шампанского Savoy Flute")</f>
      </c>
      <c r="C24520" s="4" t="n">
        <v>4150.00</v>
      </c>
      <c r="D24520" s="4"/>
    </row>
    <row collapsed="" customFormat="false" customHeight="1" hidden="" ht="14" outlineLevel="0" r="24521">
      <c r="A24521" s="3" t="inlineStr">
        <is>
          <t>24420</t>
        </is>
      </c>
      <c r="B24521" s="4" t="s">
        <f>=HYPERLINK("http://anyluxury.ru/shop/posuda/bokaly/nabor-bokalov-dlya-shampanskogo-wine-culture-flute-1448500/" , "14485.00 Набор из 2 бокалов для шампанского Wine Culture Flute")</f>
      </c>
      <c r="C24521" s="4" t="n">
        <v>8800.00</v>
      </c>
      <c r="D24521" s="4"/>
    </row>
    <row collapsed="" customFormat="false" customHeight="1" hidden="" ht="14" outlineLevel="0" r="24522">
      <c r="A24522" s="3" t="inlineStr">
        <is>
          <t>24421</t>
        </is>
      </c>
      <c r="B24522" s="4" t="s">
        <f>=HYPERLINK("http://anyluxury.ru/shop/posuda/bokaly/nabor-bokalov-dlya-shampanskogo-aurelia-flute-1448600/" , "14486.00 Набор из 2 бокалов для шампанского Aurelia Flute")</f>
      </c>
      <c r="C24522" s="4" t="n">
        <v>5250.00</v>
      </c>
      <c r="D24522" s="4"/>
    </row>
    <row collapsed="" customFormat="false" customHeight="1" hidden="" ht="14" outlineLevel="0" r="24523">
      <c r="A24523" s="3" t="inlineStr">
        <is>
          <t>24422</t>
        </is>
      </c>
      <c r="B24523" s="4" t="s">
        <f>=HYPERLINK("http://anyluxury.ru/shop/posuda/bokaly/nabor-bokalov-dlya-shampanskogo-dusk-zeleniy-s-serim-1448790/" , "14487.90 Набор из 2 бокалов для шампанского Dusk, зеленый с серым")</f>
      </c>
      <c r="C24523" s="4" t="n">
        <v>5750.00</v>
      </c>
      <c r="D24523" s="4"/>
    </row>
    <row collapsed="" customFormat="false" customHeight="1" hidden="" ht="14" outlineLevel="0" r="24524">
      <c r="A24524" s="3" t="inlineStr">
        <is>
          <t>24423</t>
        </is>
      </c>
      <c r="B24524" s="4" t="s">
        <f>=HYPERLINK("http://anyluxury.ru/shop/posuda/bokaly/nabor-bokalov-dlya-shampanskogo-dusk-rozoviy-s-serim-1448715/" , "14487.15 Набор из 2 бокалов для шампанского Dusk, розовый с серым")</f>
      </c>
      <c r="C24524" s="4" t="n">
        <v>5750.00</v>
      </c>
      <c r="D24524" s="4"/>
    </row>
    <row collapsed="" customFormat="false" customHeight="1" hidden="" ht="14" outlineLevel="0" r="24525">
      <c r="A24525" s="3" t="inlineStr">
        <is>
          <t>24424</t>
        </is>
      </c>
      <c r="B24525" s="4" t="s">
        <f>=HYPERLINK("http://anyluxury.ru/shop/posuda/bokaly/nabor-bolshih-bokalov-dlya-shampanskogo-bar-1448900/" , "14489.00 Набор больших бокалов для шампанского Bar")</f>
      </c>
      <c r="C24525" s="4" t="n">
        <v>2990.00</v>
      </c>
      <c r="D24525" s="4"/>
    </row>
    <row collapsed="" customFormat="false" customHeight="1" hidden="" ht="14" outlineLevel="0" r="24526">
      <c r="A24526" s="3" t="inlineStr">
        <is>
          <t>24425</t>
        </is>
      </c>
      <c r="B24526" s="4" t="s">
        <f>=HYPERLINK("http://anyluxury.ru/shop/posuda/bokaly/nabor-visokih-stakanov-dlya-kokteyley-bar-1449100/" , "14491.00 Набор высоких стаканов для коктейлей Bar")</f>
      </c>
      <c r="C24526" s="4" t="n">
        <v>3550.00</v>
      </c>
      <c r="D24526" s="4"/>
    </row>
    <row collapsed="" customFormat="false" customHeight="1" hidden="" ht="14" outlineLevel="0" r="24527">
      <c r="A24527" s="3" t="inlineStr">
        <is>
          <t>24426</t>
        </is>
      </c>
      <c r="B24527" s="4" t="s">
        <f>=HYPERLINK("http://anyluxury.ru/shop/posuda/bokaly/nabor-bokalov-dusk-zeleniy-s-serim-1449290/" , "14492.90 Набор из 2 бокалов Dusk, зеленый с серым")</f>
      </c>
      <c r="C24527" s="4" t="n">
        <v>6200.00</v>
      </c>
      <c r="D24527" s="4"/>
    </row>
    <row collapsed="" customFormat="false" customHeight="1" hidden="" ht="14" outlineLevel="0" r="24528">
      <c r="A24528" s="3" t="inlineStr">
        <is>
          <t>24427</t>
        </is>
      </c>
      <c r="B24528" s="4" t="s">
        <f>=HYPERLINK("http://anyluxury.ru/shop/posuda/bokaly/nabor-bokalov-dusk-rozoviy-s-serim-1449215/" , "14492.15 Набор из 2 бокалов Dusk, розовый с серым")</f>
      </c>
      <c r="C24528" s="4" t="n">
        <v>6200.00</v>
      </c>
      <c r="D24528" s="4"/>
    </row>
    <row collapsed="" customFormat="false" customHeight="1" hidden="" ht="14" outlineLevel="0" r="24529">
      <c r="A24529" s="3" t="inlineStr">
        <is>
          <t>24428</t>
        </is>
      </c>
      <c r="B24529" s="4" t="s">
        <f>=HYPERLINK("http://anyluxury.ru/shop/posuda/bokaly/nabor-bokalov-dlya-vina-pearl-1449300/" , "14493.00 Набор из 2 бокалов для вина Pearl")</f>
      </c>
      <c r="C24529" s="4" t="n">
        <v>5750.00</v>
      </c>
      <c r="D24529" s="4"/>
    </row>
    <row collapsed="" customFormat="false" customHeight="1" hidden="" ht="14" outlineLevel="0" r="24530">
      <c r="A24530" s="3" t="inlineStr">
        <is>
          <t>24429</t>
        </is>
      </c>
      <c r="B24530" s="4" t="s">
        <f>=HYPERLINK("http://anyluxury.ru/shop/posuda/bokaly/nabor-stakanov-boris-1449600/" , "14496.00 Набор стаканов Boris")</f>
      </c>
      <c r="C24530" s="4" t="n">
        <v>5630.00</v>
      </c>
      <c r="D24530" s="4"/>
    </row>
    <row collapsed="" customFormat="false" customHeight="1" hidden="" ht="14" outlineLevel="0" r="24531">
      <c r="A24531" s="3" t="inlineStr">
        <is>
          <t>24430</t>
        </is>
      </c>
      <c r="B24531" s="4" t="s">
        <f>=HYPERLINK("http://anyluxury.ru/shop/posuda/bokaly/nabor-stakanov-utility-oranzheviy-1450020/" , "14500.20 Набор стаканов Utility, оранжевый")</f>
      </c>
      <c r="C24531" s="4" t="n">
        <v>3190.00</v>
      </c>
      <c r="D24531" s="4"/>
    </row>
    <row collapsed="" customFormat="false" customHeight="1" hidden="" ht="14" outlineLevel="0" r="24532">
      <c r="A24532" s="3" t="inlineStr">
        <is>
          <t>24431</t>
        </is>
      </c>
      <c r="B24532" s="4" t="s">
        <f>=HYPERLINK("http://anyluxury.ru/shop/posuda/bokaly/nabor-stakanov-utility-seriy-1450011/" , "14500.11 Набор стаканов Utility, серый")</f>
      </c>
      <c r="C24532" s="4" t="n">
        <v>3190.00</v>
      </c>
      <c r="D24532" s="4"/>
    </row>
    <row collapsed="" customFormat="false" customHeight="1" hidden="" ht="14" outlineLevel="0" r="24533">
      <c r="A24533" s="3" t="inlineStr">
        <is>
          <t>24432</t>
        </is>
      </c>
      <c r="B24533" s="4" t="s">
        <f>=HYPERLINK("http://anyluxury.ru/shop/posuda/bokaly/nabor-stakanov-dlya-vina-wine-culture-1450100/" , "14501.00 Набор стаканов для вина Wine Culture")</f>
      </c>
      <c r="C24533" s="4" t="n">
        <v>5630.00</v>
      </c>
      <c r="D24533" s="4"/>
    </row>
    <row collapsed="" customFormat="false" customHeight="1" hidden="" ht="14" outlineLevel="0" r="24534">
      <c r="A24534" s="3" t="inlineStr">
        <is>
          <t>24433</t>
        </is>
      </c>
      <c r="B24534" s="4" t="s">
        <f>=HYPERLINK("http://anyluxury.ru/shop/posuda/bokaly/nabor-stopok-dlya-likera-mist-1450200/" , "14502.00 Набор стопок для ликера Mist")</f>
      </c>
      <c r="C24534" s="4" t="n">
        <v>3550.00</v>
      </c>
      <c r="D24534" s="4"/>
    </row>
    <row collapsed="" customFormat="false" customHeight="1" hidden="" ht="14" outlineLevel="0" r="24535">
      <c r="A24535" s="3" t="inlineStr">
        <is>
          <t>24434</t>
        </is>
      </c>
      <c r="B24535" s="4" t="s">
        <f>=HYPERLINK("http://anyluxury.ru/shop/posuda/bokaly/nabor-stakanov-dusk-zeleniy-s-serim-1450490/" , "14504.90 Набор стаканов Dusk, зеленый с серым")</f>
      </c>
      <c r="C24535" s="4" t="n">
        <v>4700.00</v>
      </c>
      <c r="D24535" s="4"/>
    </row>
    <row collapsed="" customFormat="false" customHeight="1" hidden="" ht="14" outlineLevel="0" r="24536">
      <c r="A24536" s="3" t="inlineStr">
        <is>
          <t>24435</t>
        </is>
      </c>
      <c r="B24536" s="4" t="s">
        <f>=HYPERLINK("http://anyluxury.ru/shop/posuda/bokaly/nabor-stakanov-dusk-rozoviy-s-serim-1450415/" , "14504.15 Набор стаканов Dusk, розовый с серым")</f>
      </c>
      <c r="C24536" s="4" t="n">
        <v>4700.00</v>
      </c>
      <c r="D24536" s="4"/>
    </row>
    <row collapsed="" customFormat="false" customHeight="1" hidden="" ht="14" outlineLevel="0" r="24537">
      <c r="A24537" s="3" t="inlineStr">
        <is>
          <t>24436</t>
        </is>
      </c>
      <c r="B24537" s="4" t="s">
        <f>=HYPERLINK("http://anyluxury.ru/shop/posuda/bokaly/nabor-stakanov-mist-1450500/" , "14505.00 Набор стаканов Mist")</f>
      </c>
      <c r="C24537" s="4" t="n">
        <v>3790.00</v>
      </c>
      <c r="D24537" s="4"/>
    </row>
    <row collapsed="" customFormat="false" customHeight="1" hidden="" ht="14" outlineLevel="0" r="24538">
      <c r="A24538" s="3" t="inlineStr">
        <is>
          <t>24437</t>
        </is>
      </c>
      <c r="B24538" s="4" t="s">
        <f>=HYPERLINK("http://anyluxury.ru/shop/posuda/bokaly/nabor-stakanov-stipple-1450600/" , "14506.00 Набор стаканов Stipple")</f>
      </c>
      <c r="C24538" s="4" t="n">
        <v>2990.00</v>
      </c>
      <c r="D24538" s="4"/>
    </row>
    <row collapsed="" customFormat="false" customHeight="1" hidden="" ht="14" outlineLevel="0" r="24539">
      <c r="A24539" s="3" t="inlineStr">
        <is>
          <t>24438</t>
        </is>
      </c>
      <c r="B24539" s="4" t="s">
        <f>=HYPERLINK("http://anyluxury.ru/shop/posuda/bokaly/nabor-visokih-stakanov-mist-1450800/" , "14508.00 Набор высоких стаканов Mist")</f>
      </c>
      <c r="C24539" s="4" t="n">
        <v>4150.00</v>
      </c>
      <c r="D24539" s="4"/>
    </row>
    <row collapsed="" customFormat="false" customHeight="1" hidden="" ht="14" outlineLevel="0" r="24540">
      <c r="A24540" s="3" t="inlineStr">
        <is>
          <t>24439</t>
        </is>
      </c>
      <c r="B24540" s="4" t="s">
        <f>=HYPERLINK("http://anyluxury.ru/shop/posuda/bokaly/nabor-visokih-stakanov-utility-oranzheviy-1450920/" , "14509.20 Набор высоких стаканов Utility, оранжевый")</f>
      </c>
      <c r="C24540" s="4" t="n">
        <v>3590.00</v>
      </c>
      <c r="D24540" s="4"/>
    </row>
    <row collapsed="" customFormat="false" customHeight="1" hidden="" ht="14" outlineLevel="0" r="24541">
      <c r="A24541" s="3" t="inlineStr">
        <is>
          <t>24440</t>
        </is>
      </c>
      <c r="B24541" s="4" t="s">
        <f>=HYPERLINK("http://anyluxury.ru/shop/posuda/bokaly/nabor-visokih-stakanov-utility-seriy-1450911/" , "14509.11 Набор высоких стаканов Utility, серый")</f>
      </c>
      <c r="C24541" s="4" t="n">
        <v>3590.00</v>
      </c>
      <c r="D24541" s="4"/>
    </row>
    <row collapsed="" customFormat="false" customHeight="1" hidden="" ht="14" outlineLevel="0" r="24542">
      <c r="A24542" s="3" t="inlineStr">
        <is>
          <t>24441</t>
        </is>
      </c>
      <c r="B24542" s="4" t="s">
        <f>=HYPERLINK("http://anyluxury.ru/shop/posuda/bokaly/nabor-bokalov-dlya-shampanskogo-lulu-saucer-1453100/" , "14531.00 Набор из 4 бокалов для шампанского LuLu Saucer")</f>
      </c>
      <c r="C24542" s="4" t="n">
        <v>7300.00</v>
      </c>
      <c r="D24542" s="4"/>
    </row>
    <row collapsed="" customFormat="false" customHeight="1" hidden="" ht="14" outlineLevel="0" r="24543">
      <c r="A24543" s="3" t="inlineStr">
        <is>
          <t>24442</t>
        </is>
      </c>
      <c r="B24543" s="4" t="s">
        <f>=HYPERLINK("http://anyluxury.ru/shop/posuda/bokaly/nabor-bokalov-dlya-shampanskogo-polka-saucer-metallik-1453311/" , "14533.11 Набор бокалов для шампанского Polka Saucer, металлик")</f>
      </c>
      <c r="C24543" s="4" t="n">
        <v>5450.00</v>
      </c>
      <c r="D24543" s="4"/>
    </row>
    <row collapsed="" customFormat="false" customHeight="1" hidden="" ht="14" outlineLevel="0" r="24544">
      <c r="A24544" s="3" t="inlineStr">
        <is>
          <t>24443</t>
        </is>
      </c>
      <c r="B24544" s="4" t="s">
        <f>=HYPERLINK("http://anyluxury.ru/shop/posuda/bokaly/nabor-bokalov-dlya-shampanskogo-polka-saucer-pastelniy-1453300/" , "14533.00 Набор из 4 бокалов для шампанского Polka Saucer, пастельный")</f>
      </c>
      <c r="C24544" s="4" t="n">
        <v>5750.00</v>
      </c>
      <c r="D24544" s="4"/>
    </row>
    <row collapsed="" customFormat="false" customHeight="1" hidden="" ht="14" outlineLevel="0" r="24545">
      <c r="A24545" s="3" t="inlineStr">
        <is>
          <t>24444</t>
        </is>
      </c>
      <c r="B24545" s="4" t="s">
        <f>=HYPERLINK("http://anyluxury.ru/shop/posuda/bokaly/nabor-bolshih-bokalov-dlya-shampanskogo-wine-saucer-1453400/" , "14534.00 Набор из 4 больших бокалов для шампанского Wine Saucer")</f>
      </c>
      <c r="C24545" s="4" t="n">
        <v>8800.00</v>
      </c>
      <c r="D24545" s="4"/>
    </row>
    <row collapsed="" customFormat="false" customHeight="1" hidden="" ht="14" outlineLevel="0" r="24546">
      <c r="A24546" s="3" t="inlineStr">
        <is>
          <t>24445</t>
        </is>
      </c>
      <c r="B24546" s="4" t="s">
        <f>=HYPERLINK("http://anyluxury.ru/shop/posuda/bokaly/nabor-bokalov-dlya-shampanskogo-pearl-flute-1453700/" , "14537.00 Набор из 4 бокалов для шампанского Pearl Flute")</f>
      </c>
      <c r="C24546" s="4" t="n">
        <v>8800.00</v>
      </c>
      <c r="D24546" s="4"/>
    </row>
    <row collapsed="" customFormat="false" customHeight="1" hidden="" ht="14" outlineLevel="0" r="24547">
      <c r="A24547" s="3" t="inlineStr">
        <is>
          <t>24446</t>
        </is>
      </c>
      <c r="B24547" s="4" t="s">
        <f>=HYPERLINK("http://anyluxury.ru/shop/posuda/bokaly/nabor-bokalov-dlya-shampanskogo-polka-flute-metallik-1453811/" , "14538.11 Набор из 4 бокалов для шампанского Polka Flute, металлик")</f>
      </c>
      <c r="C24547" s="4" t="n">
        <v>6200.00</v>
      </c>
      <c r="D24547" s="4"/>
    </row>
    <row collapsed="" customFormat="false" customHeight="1" hidden="" ht="14" outlineLevel="0" r="24548">
      <c r="A24548" s="3" t="inlineStr">
        <is>
          <t>24447</t>
        </is>
      </c>
      <c r="B24548" s="4" t="s">
        <f>=HYPERLINK("http://anyluxury.ru/shop/posuda/bokaly/nabor-bokalov-dlya-shampanskogo-polka-flute-pastelniy-1453800/" , "14538.00 Набор из 4 бокалов для шампанского Polka Flute, пастельный")</f>
      </c>
      <c r="C24548" s="4" t="n">
        <v>5750.00</v>
      </c>
      <c r="D24548" s="4"/>
    </row>
    <row collapsed="" customFormat="false" customHeight="1" hidden="" ht="14" outlineLevel="0" r="24549">
      <c r="A24549" s="3" t="inlineStr">
        <is>
          <t>24448</t>
        </is>
      </c>
      <c r="B24549" s="4" t="s">
        <f>=HYPERLINK("http://anyluxury.ru/shop/posuda/bokaly/nabor-bokalov-dlya-shampanskogo-prosecco-1453900/" , "14539.00 Набор бокалов для шампанского Prosecco")</f>
      </c>
      <c r="C24549" s="4" t="n">
        <v>3790.00</v>
      </c>
      <c r="D24549" s="4"/>
    </row>
    <row collapsed="" customFormat="false" customHeight="1" hidden="" ht="14" outlineLevel="0" r="24550">
      <c r="A24550" s="3" t="inlineStr">
        <is>
          <t>24449</t>
        </is>
      </c>
      <c r="B24550" s="4" t="s">
        <f>=HYPERLINK("http://anyluxury.ru/shop/posuda/bokaly/nabor-bokalov-shampanskogo-wine-flute-1454000/" , "14540.00 Набор из 4 бокалов шампанского Wine Flute")</f>
      </c>
      <c r="C24550" s="4" t="n">
        <v>8300.00</v>
      </c>
      <c r="D24550" s="4"/>
    </row>
    <row collapsed="" customFormat="false" customHeight="1" hidden="" ht="14" outlineLevel="0" r="24551">
      <c r="A24551" s="3" t="inlineStr">
        <is>
          <t>24450</t>
        </is>
      </c>
      <c r="B24551" s="4" t="s">
        <f>=HYPERLINK("http://anyluxury.ru/shop/posuda/bokaly/nabor-bokalov-dlya-shampanskogo-aurelia-1454100/" , "14541.00 Набор из 4 бокалов для шампанского Aurelia")</f>
      </c>
      <c r="C24551" s="4" t="n">
        <v>7300.00</v>
      </c>
      <c r="D24551" s="4"/>
    </row>
    <row collapsed="" customFormat="false" customHeight="1" hidden="" ht="14" outlineLevel="0" r="24552">
      <c r="A24552" s="3" t="inlineStr">
        <is>
          <t>24451</t>
        </is>
      </c>
      <c r="B24552" s="4" t="s">
        <f>=HYPERLINK("http://anyluxury.ru/shop/posuda/bokaly/nabor-bokalov-balloon-1454300/" , "14543.00 Набор из 4 бокалов Balloon")</f>
      </c>
      <c r="C24552" s="4" t="n">
        <v>4190.00</v>
      </c>
      <c r="D24552" s="4"/>
    </row>
    <row collapsed="" customFormat="false" customHeight="1" hidden="" ht="14" outlineLevel="0" r="24553">
      <c r="A24553" s="3" t="inlineStr">
        <is>
          <t>24452</t>
        </is>
      </c>
      <c r="B24553" s="4" t="s">
        <f>=HYPERLINK("http://anyluxury.ru/shop/posuda/bokaly/nabor-stakanov-aurelia-1455200/" , "14552.00 Набор стаканов Aurelia")</f>
      </c>
      <c r="C24553" s="4" t="n">
        <v>6800.00</v>
      </c>
      <c r="D24553" s="4"/>
    </row>
    <row collapsed="" customFormat="false" customHeight="1" hidden="" ht="14" outlineLevel="0" r="24554">
      <c r="A24554" s="3" t="inlineStr">
        <is>
          <t>24453</t>
        </is>
      </c>
      <c r="B24554" s="4" t="s">
        <f>=HYPERLINK("http://anyluxury.ru/shop/posuda/bokaly/nabor-malih-stakanov-gio-1455300/" , "14553.00 Набор малых стаканов Gio")</f>
      </c>
      <c r="C24554" s="4" t="n">
        <v>2100.00</v>
      </c>
      <c r="D24554" s="4"/>
    </row>
    <row collapsed="" customFormat="false" customHeight="1" hidden="" ht="14" outlineLevel="0" r="24555">
      <c r="A24555" s="3" t="inlineStr">
        <is>
          <t>24454</t>
        </is>
      </c>
      <c r="B24555" s="4" t="s">
        <f>=HYPERLINK("http://anyluxury.ru/shop/posuda/bokaly/nabor-bolshih-stakanov-gio-1455400/" , "14554.00 Набор больших стаканов Gio")</f>
      </c>
      <c r="C24555" s="4" t="n">
        <v>2300.00</v>
      </c>
      <c r="D24555" s="4"/>
    </row>
    <row collapsed="" customFormat="false" customHeight="1" hidden="" ht="14" outlineLevel="0" r="24556">
      <c r="A24556" s="3" t="inlineStr">
        <is>
          <t>24455</t>
        </is>
      </c>
      <c r="B24556" s="4" t="s">
        <f>=HYPERLINK("http://anyluxury.ru/shop/posuda/bokaly/nabor-stakanov-pearl-1455500/" , "14555.00 Набор стаканов Pearl")</f>
      </c>
      <c r="C24556" s="4" t="n">
        <v>6800.00</v>
      </c>
      <c r="D24556" s="4"/>
    </row>
    <row collapsed="" customFormat="false" customHeight="1" hidden="" ht="14" outlineLevel="0" r="24557">
      <c r="A24557" s="3" t="inlineStr">
        <is>
          <t>24456</t>
        </is>
      </c>
      <c r="B24557" s="4" t="s">
        <f>=HYPERLINK("http://anyluxury.ru/shop/posuda/bokaly/nabor-stakanov-polka-metallik-1455600/" , "14556.00 Набор стаканов Polka, металлик")</f>
      </c>
      <c r="C24557" s="4" t="n">
        <v>4990.00</v>
      </c>
      <c r="D24557" s="4"/>
    </row>
    <row collapsed="" customFormat="false" customHeight="1" hidden="" ht="14" outlineLevel="0" r="24558">
      <c r="A24558" s="3" t="inlineStr">
        <is>
          <t>24457</t>
        </is>
      </c>
      <c r="B24558" s="4" t="s">
        <f>=HYPERLINK("http://anyluxury.ru/shop/posuda/bokaly/nabor-stakanov-dlya-soka-gio-1455700/" , "14557.00 Набор стаканов для сока Gio")</f>
      </c>
      <c r="C24558" s="4" t="n">
        <v>1920.00</v>
      </c>
      <c r="D24558" s="4"/>
    </row>
    <row collapsed="" customFormat="false" customHeight="1" hidden="" ht="14" outlineLevel="0" r="24559">
      <c r="A24559" s="3" t="inlineStr">
        <is>
          <t>24458</t>
        </is>
      </c>
      <c r="B24559" s="4" t="s">
        <f>=HYPERLINK("http://anyluxury.ru/shop/posuda/bokaly/nabor-stopok-bar-1455800/" , "14558.00 Набор стопок Bar")</f>
      </c>
      <c r="C24559" s="4" t="n">
        <v>4950.00</v>
      </c>
      <c r="D24559" s="4"/>
    </row>
    <row collapsed="" customFormat="false" customHeight="1" hidden="" ht="14" outlineLevel="0" r="24560">
      <c r="A24560" s="3" t="inlineStr">
        <is>
          <t>24459</t>
        </is>
      </c>
      <c r="B24560" s="4" t="s">
        <f>=HYPERLINK("http://anyluxury.ru/shop/posuda/bokaly/nabor-stopok-dlya-vodki-lulu-1455900/" , "14559.00 Набор стопок для водки LuLu")</f>
      </c>
      <c r="C24560" s="4" t="n">
        <v>4550.00</v>
      </c>
      <c r="D24560" s="4"/>
    </row>
    <row collapsed="" customFormat="false" customHeight="1" hidden="" ht="14" outlineLevel="0" r="24561">
      <c r="A24561" s="3" t="inlineStr">
        <is>
          <t>24460</t>
        </is>
      </c>
      <c r="B24561" s="4" t="s">
        <f>=HYPERLINK("http://anyluxury.ru/shop/posuda/bokaly/nabor-stakanov-lulu-1456100/" , "14561.00 Набор стаканов Lulu")</f>
      </c>
      <c r="C24561" s="4" t="n">
        <v>4950.00</v>
      </c>
      <c r="D24561" s="4"/>
    </row>
    <row collapsed="" customFormat="false" customHeight="1" hidden="" ht="14" outlineLevel="0" r="24562">
      <c r="A24562" s="3" t="inlineStr">
        <is>
          <t>24461</t>
        </is>
      </c>
      <c r="B24562" s="4" t="s">
        <f>=HYPERLINK("http://anyluxury.ru/shop/posuda/bokaly/nabor-bokalov-dlya-belogo-vina-otis-1451900/" , "14519.00 Набор из 4 бокалов для белого вина Otis")</f>
      </c>
      <c r="C24562" s="4" t="n">
        <v>6800.00</v>
      </c>
      <c r="D24562" s="4"/>
    </row>
    <row collapsed="" customFormat="false" customHeight="1" hidden="" ht="14" outlineLevel="0" r="24563">
      <c r="A24563" s="3" t="inlineStr">
        <is>
          <t>24462</t>
        </is>
      </c>
      <c r="B24563" s="4" t="s">
        <f>=HYPERLINK("http://anyluxury.ru/shop/posuda/bokaly/nabor-bokalov-dlya-belogo-vina-wine-1452000/" , "14520.00 Набор бокалов для белого вина Wine")</f>
      </c>
      <c r="C24563" s="4" t="n">
        <v>5550.00</v>
      </c>
      <c r="D24563" s="4"/>
    </row>
    <row collapsed="" customFormat="false" customHeight="1" hidden="" ht="14" outlineLevel="0" r="24564">
      <c r="A24564" s="3" t="inlineStr">
        <is>
          <t>24463</t>
        </is>
      </c>
      <c r="B24564" s="4" t="s">
        <f>=HYPERLINK("http://anyluxury.ru/shop/posuda/bokaly/nabor-bokalov-dlya-vina-aurelia-1452100/" , "14521.00 Набор из 4 бокалов для вина Aurelia")</f>
      </c>
      <c r="C24564" s="4" t="n">
        <v>8800.00</v>
      </c>
      <c r="D24564" s="4"/>
    </row>
    <row collapsed="" customFormat="false" customHeight="1" hidden="" ht="14" outlineLevel="0" r="24565">
      <c r="A24565" s="3" t="inlineStr">
        <is>
          <t>24464</t>
        </is>
      </c>
      <c r="B24565" s="4" t="s">
        <f>=HYPERLINK("http://anyluxury.ru/shop/posuda/bokaly/nabor-bokalov-dlya-vina-polka-metallik-1452311/" , "14523.11 Набор из 4 бокалов для вина Polka, металлик")</f>
      </c>
      <c r="C24565" s="4" t="n">
        <v>6200.00</v>
      </c>
      <c r="D24565" s="4"/>
    </row>
    <row collapsed="" customFormat="false" customHeight="1" hidden="" ht="14" outlineLevel="0" r="24566">
      <c r="A24566" s="3" t="inlineStr">
        <is>
          <t>24465</t>
        </is>
      </c>
      <c r="B24566" s="4" t="s">
        <f>=HYPERLINK("http://anyluxury.ru/shop/posuda/bokaly/nabor-bokalov-dlya-vina-polka-pastelniy-1452300/" , "14523.00 Набор из 4 бокалов для вина Polka, пастельный")</f>
      </c>
      <c r="C24566" s="4" t="n">
        <v>5750.00</v>
      </c>
      <c r="D24566" s="4"/>
    </row>
    <row collapsed="" customFormat="false" customHeight="1" hidden="" ht="14" outlineLevel="0" r="24567">
      <c r="A24567" s="3" t="inlineStr">
        <is>
          <t>24466</t>
        </is>
      </c>
      <c r="B24567" s="4" t="s">
        <f>=HYPERLINK("http://anyluxury.ru/shop/posuda/bokaly/nabor-bokalov-dlya-krasnogo-vina-aurelia-1452400/" , "14524.00 Набор из 4 бокалов для красного вина Aurelia")</f>
      </c>
      <c r="C24567" s="4" t="n">
        <v>8800.00</v>
      </c>
      <c r="D24567" s="4"/>
    </row>
    <row collapsed="" customFormat="false" customHeight="1" hidden="" ht="14" outlineLevel="0" r="24568">
      <c r="A24568" s="3" t="inlineStr">
        <is>
          <t>24467</t>
        </is>
      </c>
      <c r="B24568" s="4" t="s">
        <f>=HYPERLINK("http://anyluxury.ru/shop/posuda/bokaly/nabor-bokalov-dlya-krasnogo-vina-otis-1452500/" , "14525.00 Набор из 4 бокалов для красного вина Otis")</f>
      </c>
      <c r="C24568" s="4" t="n">
        <v>6800.00</v>
      </c>
      <c r="D24568" s="4"/>
    </row>
    <row collapsed="" customFormat="false" customHeight="1" hidden="" ht="14" outlineLevel="0" r="24569">
      <c r="A24569" s="3" t="inlineStr">
        <is>
          <t>24468</t>
        </is>
      </c>
      <c r="B24569" s="4" t="s">
        <f>=HYPERLINK("http://anyluxury.ru/shop/posuda/bokaly/nabor-bokalov-dlya-krasnogo-vina-pearl-1452600/" , "14526.00 Набор из 4 бокалов для красного вина Pearl")</f>
      </c>
      <c r="C24569" s="4" t="n">
        <v>8800.00</v>
      </c>
      <c r="D24569" s="4"/>
    </row>
    <row collapsed="" customFormat="false" customHeight="1" hidden="" ht="14" outlineLevel="0" r="24570">
      <c r="A24570" s="3" t="inlineStr">
        <is>
          <t>24469</t>
        </is>
      </c>
      <c r="B24570" s="4" t="s">
        <f>=HYPERLINK("http://anyluxury.ru/shop/posuda/bokaly/nabor-stopok-dlya-likera-lulu-1452700/" , "14527.00 Набор стопок для ликера LuLu")</f>
      </c>
      <c r="C24570" s="4" t="n">
        <v>4550.00</v>
      </c>
      <c r="D24570" s="4"/>
    </row>
    <row collapsed="" customFormat="false" customHeight="1" hidden="" ht="14" outlineLevel="0" r="24571">
      <c r="A24571" s="3" t="inlineStr">
        <is>
          <t>24470</t>
        </is>
      </c>
      <c r="B24571" s="4" t="s">
        <f>=HYPERLINK("http://anyluxury.ru/shop/posuda/bokaly/nabor-bokalov-dlya-martini-bar-1452800/" , "14528.00 Набор из 4 бокалов для мартини Bar")</f>
      </c>
      <c r="C24571" s="4" t="n">
        <v>5550.00</v>
      </c>
      <c r="D24571" s="4"/>
    </row>
    <row collapsed="" customFormat="false" customHeight="1" hidden="" ht="14" outlineLevel="0" r="24572">
      <c r="A24572" s="3" t="inlineStr">
        <is>
          <t>24471</t>
        </is>
      </c>
      <c r="B24572" s="4" t="s">
        <f>=HYPERLINK("http://anyluxury.ru/shop/posuda/bokaly/nabor-malih-bokalov-dlya-shampanskogo-wine-saucer-1452900/" , "14529.00 Набор из 4 малых бокалов для шампанского Wine Saucer")</f>
      </c>
      <c r="C24572" s="4" t="n">
        <v>6800.00</v>
      </c>
      <c r="D24572" s="4"/>
    </row>
    <row collapsed="" customFormat="false" customHeight="1" hidden="" ht="14" outlineLevel="0" r="24573">
      <c r="A24573" s="3" t="inlineStr">
        <is>
          <t>24472</t>
        </is>
      </c>
      <c r="B24573" s="4" t="s">
        <f>=HYPERLINK("http://anyluxury.ru/shop/posuda/bokaly/nabor-bokalov-dlya-shampanskogo-aurelia-saucer-1453000/" , "14530.00 Набор из 4 бокалов для шампанского Aurelia Saucer")</f>
      </c>
      <c r="C24573" s="4" t="n">
        <v>8800.00</v>
      </c>
      <c r="D24573" s="4"/>
    </row>
    <row collapsed="" customFormat="false" customHeight="1" hidden="" ht="14" outlineLevel="0" r="24574">
      <c r="A24574" s="3" t="inlineStr">
        <is>
          <t>24473</t>
        </is>
      </c>
      <c r="B24574" s="4" t="s">
        <f>=HYPERLINK("http://anyluxury.ru/shop/posuda/bokaly/termobokal-dlya-vina-wine-kuzie-cherniy-1581630/" , "15816.30 Термобокал для вина Wine Kuzie, черный")</f>
      </c>
      <c r="C24574" s="4" t="n">
        <v>2618.00</v>
      </c>
      <c r="D24574" s="4"/>
    </row>
    <row collapsed="" customFormat="false" customHeight="1" hidden="" ht="14" outlineLevel="0" r="24575">
      <c r="A24575" s="3" t="inlineStr">
        <is>
          <t>24474</t>
        </is>
      </c>
      <c r="B24575" s="4" t="s">
        <f>=HYPERLINK("http://anyluxury.ru/shop/posuda/bokaly/termobokal-dlya-vina-wine-kuzie-stalnoy-1581611/" , "15816.11 Термобокал для вина Wine Kuzie, стальной")</f>
      </c>
      <c r="C24575" s="4" t="n">
        <v>2618.00</v>
      </c>
      <c r="D24575" s="4"/>
    </row>
    <row collapsed="" customFormat="false" customHeight="1" hidden="" ht="14" outlineLevel="0" r="24576">
      <c r="A24576" s="3" t="inlineStr">
        <is>
          <t>24475</t>
        </is>
      </c>
      <c r="B24576" s="4" t="s">
        <f>=HYPERLINK("http://anyluxury.ru/shop/posuda/bokaly/termobokal-dlya-vina-wine-kuzie-metallik-1581600/" , "15816.00 Термобокал для вина Wine Kuzie, металлик")</f>
      </c>
      <c r="C24576" s="4" t="n">
        <v>2618.00</v>
      </c>
      <c r="D24576" s="4"/>
    </row>
    <row collapsed="" customFormat="false" customHeight="1" hidden="" ht="14" outlineLevel="0" r="24577">
      <c r="A24577" s="3" t="inlineStr">
        <is>
          <t>24476</t>
        </is>
      </c>
      <c r="B24577" s="4" t="s">
        <f>=HYPERLINK("http://anyluxury.ru/shop/posuda/bokaly/termobokal-dlya-vina-wine-kuzie-beliy-1581660/" , "15816.60 Термобокал для вина Wine Kuzie, белый")</f>
      </c>
      <c r="C24577" s="4" t="n">
        <v>2618.00</v>
      </c>
      <c r="D24577" s="4"/>
    </row>
    <row collapsed="" customFormat="false" customHeight="1" hidden="" ht="14" outlineLevel="0" r="24578">
      <c r="A24578" s="3" t="inlineStr">
        <is>
          <t>24477</t>
        </is>
      </c>
      <c r="B24578" s="4" t="s">
        <f>=HYPERLINK("http://anyluxury.ru/shop/posuda/bokaly/termobokal-rocks-dlya-krepkih-napitkov-greckiy-oreh-1581755/" , "15817.55 Термобокал Rocks для крепких напитков, грецкий орех")</f>
      </c>
      <c r="C24578" s="4" t="n">
        <v>2475.00</v>
      </c>
      <c r="D24578" s="4"/>
    </row>
    <row collapsed="" customFormat="false" customHeight="1" hidden="" ht="14" outlineLevel="0" r="24579">
      <c r="A24579" s="3" t="inlineStr">
        <is>
          <t>24478</t>
        </is>
      </c>
      <c r="B24579" s="4" t="s">
        <f>=HYPERLINK("http://anyluxury.ru/shop/posuda/bokaly/kruzhka-barty-zelenoe-yabloko-7476394/" , "74763.94 Кружка Barty, зеленое яблоко")</f>
      </c>
      <c r="C24579" s="4" t="n">
        <v>758.00</v>
      </c>
      <c r="D24579" s="4"/>
    </row>
    <row collapsed="" customFormat="false" customHeight="1" hidden="" ht="14" outlineLevel="0" r="24580">
      <c r="A24580" s="3" t="inlineStr">
        <is>
          <t>24479</t>
        </is>
      </c>
      <c r="B24580" s="4" t="s">
        <f>=HYPERLINK("http://anyluxury.ru/shop/posuda/bokaly/kruzhka-barty-biryuzovaya-7476349/" , "74763.49 Кружка Barty, бирюзовая")</f>
      </c>
      <c r="C24580" s="4" t="n">
        <v>758.00</v>
      </c>
      <c r="D24580" s="4"/>
    </row>
    <row collapsed="" customFormat="false" customHeight="1" hidden="" ht="14" outlineLevel="0" r="24581">
      <c r="A24581" s="3" t="inlineStr">
        <is>
          <t>24480</t>
        </is>
      </c>
      <c r="B24581" s="4" t="s">
        <f>=HYPERLINK("http://anyluxury.ru/shop/posuda/bokaly/kruzhka-barty-oranzhevaya-7476320/" , "74763.20 Кружка Barty, оранжевая")</f>
      </c>
      <c r="C24581" s="4" t="n">
        <v>758.00</v>
      </c>
      <c r="D24581" s="4"/>
    </row>
    <row collapsed="" customFormat="false" customHeight="1" hidden="" ht="14" outlineLevel="0" r="24582">
      <c r="A24582" s="3" t="inlineStr">
        <is>
          <t>24481</t>
        </is>
      </c>
      <c r="B24582" s="4" t="s">
        <f>=HYPERLINK("http://anyluxury.ru/shop/posuda/bokaly/skladnoy-stakan-astrada-siniy-7476240/" , "74762.40 Складной стакан Astrada, синий")</f>
      </c>
      <c r="C24582" s="4" t="n">
        <v>329.00</v>
      </c>
      <c r="D24582" s="4"/>
    </row>
    <row collapsed="" customFormat="false" customHeight="1" hidden="" ht="14" outlineLevel="0" r="24583">
      <c r="A24583" s="3" t="inlineStr">
        <is>
          <t>24482</t>
        </is>
      </c>
      <c r="B24583" s="4" t="s">
        <f>=HYPERLINK("http://anyluxury.ru/shop/posuda/bokaly/skladnoy-stakan-astrada-krasniy-7476250/" , "74762.50 Складной стакан Astrada, красный")</f>
      </c>
      <c r="C24583" s="4" t="n">
        <v>329.00</v>
      </c>
      <c r="D24583" s="4"/>
    </row>
    <row collapsed="" customFormat="false" customHeight="1" hidden="" ht="14" outlineLevel="0" r="24584">
      <c r="A24584" s="3" t="inlineStr">
        <is>
          <t>24483</t>
        </is>
      </c>
      <c r="B24584" s="4" t="s">
        <f>=HYPERLINK("http://anyluxury.ru/shop/posuda/bokaly/skladnoy-stakan-astrada-zheltiy-7476280/" , "74762.80 Складной стакан Astrada, желтый")</f>
      </c>
      <c r="C24584" s="4" t="n">
        <v>329.00</v>
      </c>
      <c r="D24584" s="4"/>
    </row>
    <row collapsed="" customFormat="false" customHeight="1" hidden="" ht="14" outlineLevel="0" r="24585">
      <c r="A24585" s="3" t="inlineStr">
        <is>
          <t>24484</t>
        </is>
      </c>
      <c r="B24585" s="4" t="s">
        <f>=HYPERLINK("http://anyluxury.ru/shop/posuda/bokaly/skladnoy-stakan-astrada-zeleniy-7476290/" , "74762.90 Складной стакан Astrada, зеленый")</f>
      </c>
      <c r="C24585" s="4" t="n">
        <v>329.00</v>
      </c>
      <c r="D24585" s="4"/>
    </row>
    <row collapsed="" customFormat="false" customHeight="1" hidden="" ht="14" outlineLevel="0" r="24586">
      <c r="A24586" s="3" t="inlineStr">
        <is>
          <t>24485</t>
        </is>
      </c>
      <c r="B24586" s="4" t="s">
        <f>=HYPERLINK("http://anyluxury.ru/shop/posuda/bokaly/skladnoy-stakan-astrada-zelenoe-yabloko-7476294/" , "74762.94 Складной стакан Astrada, зеленое яблоко")</f>
      </c>
      <c r="C24586" s="4" t="n">
        <v>329.00</v>
      </c>
      <c r="D24586" s="4"/>
    </row>
    <row collapsed="" customFormat="false" customHeight="1" hidden="" ht="14" outlineLevel="0" r="24587">
      <c r="A24587" s="3" t="inlineStr">
        <is>
          <t>24486</t>
        </is>
      </c>
      <c r="B24587" s="4" t="s">
        <f>=HYPERLINK("http://anyluxury.ru/shop/posuda/bokaly/skladnoy-stakan-astrada-biryuzoviy-7476249/" , "74762.49 Складной стакан Astrada, бирюзовый")</f>
      </c>
      <c r="C24587" s="4" t="n">
        <v>329.00</v>
      </c>
      <c r="D24587" s="4"/>
    </row>
    <row collapsed="" customFormat="false" customHeight="1" hidden="" ht="14" outlineLevel="0" r="24588">
      <c r="A24588" s="3" t="inlineStr">
        <is>
          <t>24487</t>
        </is>
      </c>
      <c r="B24588" s="4" t="s">
        <f>=HYPERLINK("http://anyluxury.ru/shop/posuda/bokaly/stakan-hot-dot-ver2-7463661/" , "74636.61 Стакан Hot Dot, ver.2")</f>
      </c>
      <c r="C24588" s="4" t="n">
        <v>325.00</v>
      </c>
      <c r="D24588" s="4"/>
    </row>
    <row collapsed="" customFormat="false" customHeight="1" hidden="" ht="14" outlineLevel="0" r="24589">
      <c r="A24589" s="3" t="inlineStr">
        <is>
          <t>24488</t>
        </is>
      </c>
      <c r="B24589" s="4" t="s">
        <f>=HYPERLINK("http://anyluxury.ru/shop/posuda/bokaly/bokal-dlya-vina-happy-hour-1797600/" , "17976.00 Бокал для вина Happy Hour")</f>
      </c>
      <c r="C24589" s="4" t="n">
        <v>600.00</v>
      </c>
      <c r="D24589" s="4"/>
    </row>
    <row collapsed="" customFormat="false" customHeight="1" hidden="" ht="14" outlineLevel="0" r="24590">
      <c r="A24590" s="3" t="inlineStr">
        <is>
          <t>24489</t>
        </is>
      </c>
      <c r="B24590" s="4" t="s">
        <f>=HYPERLINK("http://anyluxury.ru/shop/posuda/bokaly/bokal-dlya-shampanskogo-happy-hour-1797700/" , "17977.00 Бокал для шампанского Happy Hour")</f>
      </c>
      <c r="C24590" s="4" t="n">
        <v>550.00</v>
      </c>
      <c r="D24590" s="4"/>
    </row>
    <row collapsed="" customFormat="false" customHeight="1" hidden="" ht="14" outlineLevel="0" r="24591">
      <c r="A24591" s="3" t="inlineStr">
        <is>
          <t>24490</t>
        </is>
      </c>
      <c r="B24591" s="4" t="s">
        <f>=HYPERLINK("http://anyluxury.ru/shop/posuda/bokaly/nabor-iz-6-bokalov-dlya-vina-francuzskiy-restoranchik-1376600/" , "13766.00 Набор из 6 бокалов для вина «Французский ресторанчик»")</f>
      </c>
      <c r="C24591" s="4" t="n">
        <v>1010.00</v>
      </c>
      <c r="D24591" s="4"/>
    </row>
    <row collapsed="" customFormat="false" customHeight="1" hidden="" ht="14" outlineLevel="0" r="24592">
      <c r="A24592" s="3" t="inlineStr">
        <is>
          <t>24491</t>
        </is>
      </c>
      <c r="B24592" s="4" t="s">
        <f>=HYPERLINK("http://anyluxury.ru/shop/posuda/bokaly/nabor-iz-6-bokalov-dlya-shampanskogo-francuzskiy-restoranchik-1376800/" , "13768.00 Набор из 6 бокалов для шампанского «Французский ресторанчик»")</f>
      </c>
      <c r="C24592" s="4" t="n">
        <v>1010.00</v>
      </c>
      <c r="D24592" s="4"/>
    </row>
    <row collapsed="" customFormat="false" customHeight="1" hidden="" ht="14" outlineLevel="0" r="24593">
      <c r="A24593" s="3" t="inlineStr">
        <is>
          <t>24492</t>
        </is>
      </c>
      <c r="B24593" s="4" t="s">
        <f>=HYPERLINK("http://anyluxury.ru/shop/posuda/bokaly/nabor-iz-6-bokalov-dlya-vina-domino-1376930/" , "13769.30 Набор из 6 бокалов для вина «Домино»")</f>
      </c>
      <c r="C24593" s="4" t="n">
        <v>1882.00</v>
      </c>
      <c r="D24593" s="4"/>
    </row>
    <row collapsed="" customFormat="false" customHeight="1" hidden="" ht="14" outlineLevel="0" r="24594">
      <c r="A24594" s="3" t="inlineStr">
        <is>
          <t>24493</t>
        </is>
      </c>
      <c r="B24594" s="4" t="s">
        <f>=HYPERLINK("http://anyluxury.ru/shop/posuda/bokaly/nabor-iz-6-bokalov-dlya-shampanskogo-domino-1377130/" , "13771.30 Набор из 6 бокалов для шампанского «Домино»")</f>
      </c>
      <c r="C24594" s="4" t="n">
        <v>1772.00</v>
      </c>
      <c r="D24594" s="4"/>
    </row>
    <row collapsed="" customFormat="false" customHeight="1" hidden="" ht="14" outlineLevel="0" r="24595">
      <c r="A24595" s="3" t="inlineStr">
        <is>
          <t>24494</t>
        </is>
      </c>
      <c r="B24595" s="4" t="s">
        <f>=HYPERLINK("http://anyluxury.ru/shop/posuda/bokaly/nabor-iz-2-bokalov-dlya-krasnogo-vina-perola-1590800/" , "15908.00 Набор из 2 бокалов для красного вина Perola")</f>
      </c>
      <c r="C24595" s="4" t="n">
        <v>1700.00</v>
      </c>
      <c r="D24595" s="4"/>
    </row>
    <row collapsed="" customFormat="false" customHeight="1" hidden="" ht="14" outlineLevel="0" r="24596">
      <c r="A24596" s="3" t="inlineStr">
        <is>
          <t>24495</t>
        </is>
      </c>
      <c r="B24596" s="4" t="s">
        <f>=HYPERLINK("http://anyluxury.ru/shop/posuda/bokaly/nabor-iz-2-bokalov-dlya-shampanskogo-enoteka-1551100/" , "15511.00 Набор из 2 бокалов для шампанского «Энотека»")</f>
      </c>
      <c r="C24596" s="4" t="n">
        <v>608.58</v>
      </c>
      <c r="D24596" s="4"/>
    </row>
    <row collapsed="" customFormat="false" customHeight="1" hidden="" ht="14" outlineLevel="0" r="24597">
      <c r="A24597" s="3" t="inlineStr">
        <is>
          <t>24496</t>
        </is>
      </c>
      <c r="B24597" s="4" t="s">
        <f>=HYPERLINK("http://anyluxury.ru/shop/posuda/bokaly/nabor-iz-2-bokalov-dlya-vina-classic-1551200/" , "15512.00 Набор из 2 бокалов для вина Classic")</f>
      </c>
      <c r="C24597" s="4" t="n">
        <v>584.20</v>
      </c>
      <c r="D24597" s="4"/>
    </row>
    <row collapsed="" customFormat="false" customHeight="" hidden="" ht="12.1" outlineLevel="0" r="24598">
      <c r="A24598" s="5" t="inlineStr">
        <is>
          <t> -  - Бутылки для воды</t>
        </is>
      </c>
      <c r="B24598" s="6"/>
      <c r="C24598" s="6"/>
      <c r="D24598" s="6"/>
    </row>
    <row collapsed="" customFormat="false" customHeight="1" hidden="" ht="14" outlineLevel="0" r="24599">
      <c r="A24599" s="3" t="inlineStr">
        <is>
          <t>24497</t>
        </is>
      </c>
      <c r="B24599" s="4" t="s">
        <f>=HYPERLINK("http://anyluxury.ru/shop/posuda/butylki-dlya-vody/sportivnaya-butilka-dlya-vodi-portobello-premio-750ml-akva-sb19704600/" , "SB19704-600 Бутылка для воды Premio, аква")</f>
      </c>
      <c r="C24599" s="4" t="n">
        <v>623.00</v>
      </c>
      <c r="D24599" s="4"/>
    </row>
    <row collapsed="" customFormat="false" customHeight="1" hidden="" ht="14" outlineLevel="0" r="24600">
      <c r="A24600" s="3" t="inlineStr">
        <is>
          <t>24498</t>
        </is>
      </c>
      <c r="B24600" s="4" t="s">
        <f>=HYPERLINK("http://anyluxury.ru/shop/posuda/butylki-dlya-vody/germetichnaya-butilka-dlya-vodi-hydrate-cherniy-p436281/" , "P436.281 Герметичная бутылка для воды Hydrate, черный")</f>
      </c>
      <c r="C24600" s="4" t="n">
        <v>1117.00</v>
      </c>
      <c r="D24600" s="4"/>
    </row>
    <row collapsed="" customFormat="false" customHeight="1" hidden="" ht="14" outlineLevel="0" r="24601">
      <c r="A24601" s="3" t="inlineStr">
        <is>
          <t>24499</t>
        </is>
      </c>
      <c r="B24601" s="4" t="s">
        <f>=HYPERLINK("http://anyluxury.ru/shop/posuda/butylki-dlya-vody/germetichnaya-vakuumnaya-butilka-dlya-vodi-hydrate-seriy-p432632/" , "P432.632 Герметичная вакуумная бутылка для воды Hydrate")</f>
      </c>
      <c r="C24601" s="4" t="n">
        <v>1289.00</v>
      </c>
      <c r="D24601" s="4"/>
    </row>
    <row collapsed="" customFormat="false" customHeight="1" hidden="" ht="14" outlineLevel="0" r="24602">
      <c r="A24602" s="3" t="inlineStr">
        <is>
          <t>24500</t>
        </is>
      </c>
      <c r="B24602" s="4" t="s">
        <f>=HYPERLINK("http://anyluxury.ru/shop/posuda/butylki-dlya-vody/germetichnaya-vakuumnaya-butilka-dlya-vodi-hydrate-cherniy-p432631/" , "P432.631 Герметичная вакуумная бутылка для воды Hydrate, черный")</f>
      </c>
      <c r="C24602" s="4" t="n">
        <v>1241.00</v>
      </c>
      <c r="D24602" s="4"/>
    </row>
    <row collapsed="" customFormat="false" customHeight="1" hidden="" ht="14" outlineLevel="0" r="24603">
      <c r="A24603" s="3" t="inlineStr">
        <is>
          <t>24501</t>
        </is>
      </c>
      <c r="B24603" s="4" t="s">
        <f>=HYPERLINK("http://anyluxury.ru/shop/posuda/butylki-dlya-vody/butilkainfyuzer-everyday-500-ml-krasniy-p436454/" , "P436.454 Бутылка-инфьюзер Everyday, 500 мл, красный")</f>
      </c>
      <c r="C24603" s="4" t="n">
        <v>291.00</v>
      </c>
      <c r="D24603" s="4"/>
    </row>
    <row collapsed="" customFormat="false" customHeight="1" hidden="" ht="14" outlineLevel="0" r="24604">
      <c r="A24604" s="3" t="inlineStr">
        <is>
          <t>24502</t>
        </is>
      </c>
      <c r="B24604" s="4" t="s">
        <f>=HYPERLINK("http://anyluxury.ru/shop/posuda/butylki-dlya-vody/butilka-dlya-vodi-aqua-s-dozatorom-p436391/" , "P436.391 Бутылка для воды Aqua с дозатором")</f>
      </c>
      <c r="C24604" s="4" t="n">
        <v>1178.00</v>
      </c>
      <c r="D24604" s="4"/>
    </row>
    <row collapsed="" customFormat="false" customHeight="1" hidden="" ht="14" outlineLevel="0" r="24605">
      <c r="A24605" s="3" t="inlineStr">
        <is>
          <t>24503</t>
        </is>
      </c>
      <c r="B24605" s="4" t="s">
        <f>=HYPERLINK("http://anyluxury.ru/shop/posuda/butylki-dlya-vody/butilka-dlya-vodi-shape-krasnaya-671350/" , "6713.50 Бутылка для воды Shape, красная")</f>
      </c>
      <c r="C24605" s="4" t="n">
        <v>249.00</v>
      </c>
      <c r="D24605" s="4"/>
    </row>
    <row collapsed="" customFormat="false" customHeight="1" hidden="" ht="14" outlineLevel="0" r="24606">
      <c r="A24606" s="3" t="inlineStr">
        <is>
          <t>24504</t>
        </is>
      </c>
      <c r="B24606" s="4" t="s">
        <f>=HYPERLINK("http://anyluxury.ru/shop/posuda/butylki-dlya-vody/termobutilka-sherp-sinyaya-58440/" , "584.40 Термобутылка Sherp, синяя")</f>
      </c>
      <c r="C24606" s="4" t="n">
        <v>1770.00</v>
      </c>
      <c r="D24606" s="4"/>
    </row>
    <row collapsed="" customFormat="false" customHeight="1" hidden="" ht="14" outlineLevel="0" r="24607">
      <c r="A24607" s="3" t="inlineStr">
        <is>
          <t>24505</t>
        </is>
      </c>
      <c r="B24607" s="4" t="s">
        <f>=HYPERLINK("http://anyluxury.ru/shop/posuda/butylki-dlya-vody/termobutilka-sherp-krasnaya-58450/" , "584.50 Термобутылка Sherp, красная")</f>
      </c>
      <c r="C24607" s="4" t="n">
        <v>1770.00</v>
      </c>
      <c r="D24607" s="4"/>
    </row>
    <row collapsed="" customFormat="false" customHeight="1" hidden="" ht="14" outlineLevel="0" r="24608">
      <c r="A24608" s="3" t="inlineStr">
        <is>
          <t>24506</t>
        </is>
      </c>
      <c r="B24608" s="4" t="s">
        <f>=HYPERLINK("http://anyluxury.ru/shop/posuda/butylki-dlya-vody/termobutilka-sherp-chernaya-58430/" , "584.30 Термобутылка Sherp, черная")</f>
      </c>
      <c r="C24608" s="4" t="n">
        <v>1770.00</v>
      </c>
      <c r="D24608" s="4"/>
    </row>
    <row collapsed="" customFormat="false" customHeight="1" hidden="" ht="14" outlineLevel="0" r="24609">
      <c r="A24609" s="3" t="inlineStr">
        <is>
          <t>24507</t>
        </is>
      </c>
      <c r="B24609" s="4" t="s">
        <f>=HYPERLINK("http://anyluxury.ru/shop/posuda/butylki-dlya-vody/sportivnaya-butilka-moist-sinyaya-54840/" , "548.40 Спортивная бутылка Moist, синяя")</f>
      </c>
      <c r="C24609" s="4" t="n">
        <v>989.00</v>
      </c>
      <c r="D24609" s="4"/>
    </row>
    <row collapsed="" customFormat="false" customHeight="1" hidden="" ht="14" outlineLevel="0" r="24610">
      <c r="A24610" s="3" t="inlineStr">
        <is>
          <t>24508</t>
        </is>
      </c>
      <c r="B24610" s="4" t="s">
        <f>=HYPERLINK("http://anyluxury.ru/shop/posuda/butylki-dlya-vody/sportivnaya-butilka-moist-chernaya-54830/" , "548.30 Спортивная бутылка Moist, черная")</f>
      </c>
      <c r="C24610" s="4" t="n">
        <v>989.00</v>
      </c>
      <c r="D24610" s="4"/>
    </row>
    <row collapsed="" customFormat="false" customHeight="1" hidden="" ht="14" outlineLevel="0" r="24611">
      <c r="A24611" s="3" t="inlineStr">
        <is>
          <t>24509</t>
        </is>
      </c>
      <c r="B24611" s="4" t="s">
        <f>=HYPERLINK("http://anyluxury.ru/shop/posuda/butylki-dlya-vody/butilka-mb-positive-m-rozovaya-1125215/" , "11252.15 Бутылка MB Positive M, розовая")</f>
      </c>
      <c r="C24611" s="4" t="n">
        <v>1550.00</v>
      </c>
      <c r="D24611" s="4"/>
    </row>
    <row collapsed="" customFormat="false" customHeight="1" hidden="" ht="14" outlineLevel="0" r="24612">
      <c r="A24612" s="3" t="inlineStr">
        <is>
          <t>24510</t>
        </is>
      </c>
      <c r="B24612" s="4" t="s">
        <f>=HYPERLINK("http://anyluxury.ru/shop/posuda/butylki-dlya-vody/butilka-mb-positive-m-chernaya-1125230/" , "11252.30 Бутылка MB Positive M, черная")</f>
      </c>
      <c r="C24612" s="4" t="n">
        <v>2290.00</v>
      </c>
      <c r="D24612" s="4"/>
    </row>
    <row collapsed="" customFormat="false" customHeight="1" hidden="" ht="14" outlineLevel="0" r="24613">
      <c r="A24613" s="3" t="inlineStr">
        <is>
          <t>24511</t>
        </is>
      </c>
      <c r="B24613" s="4" t="s">
        <f>=HYPERLINK("http://anyluxury.ru/shop/posuda/butylki-dlya-vody/butilka-mb-positive-m-zelenaya-myata-1125243/" , "11252.43 Бутылка MB Positive M, зеленая мята")</f>
      </c>
      <c r="C24613" s="4" t="n">
        <v>1550.00</v>
      </c>
      <c r="D24613" s="4"/>
    </row>
    <row collapsed="" customFormat="false" customHeight="1" hidden="" ht="14" outlineLevel="0" r="24614">
      <c r="A24614" s="3" t="inlineStr">
        <is>
          <t>24512</t>
        </is>
      </c>
      <c r="B24614" s="4" t="s">
        <f>=HYPERLINK("http://anyluxury.ru/shop/posuda/butylki-dlya-vody/butilka-mb-positive-m-seraya-1125210/" , "11252.10 Бутылка MB Positive M, серая")</f>
      </c>
      <c r="C24614" s="4" t="n">
        <v>1550.00</v>
      </c>
      <c r="D24614" s="4"/>
    </row>
    <row collapsed="" customFormat="false" customHeight="1" hidden="" ht="14" outlineLevel="0" r="24615">
      <c r="A24615" s="3" t="inlineStr">
        <is>
          <t>24513</t>
        </is>
      </c>
      <c r="B24615" s="4" t="s">
        <f>=HYPERLINK("http://anyluxury.ru/shop/posuda/butylki-dlya-vody/butilka-mb-positive-s-zheltaya-gorchichnaya-1125481/" , "11254.81 Бутылка MB Positive S, желтая (горчичная)")</f>
      </c>
      <c r="C24615" s="4" t="n">
        <v>1600.00</v>
      </c>
      <c r="D24615" s="4"/>
    </row>
    <row collapsed="" customFormat="false" customHeight="1" hidden="" ht="14" outlineLevel="0" r="24616">
      <c r="A24616" s="3" t="inlineStr">
        <is>
          <t>24514</t>
        </is>
      </c>
      <c r="B24616" s="4" t="s">
        <f>=HYPERLINK("http://anyluxury.ru/shop/posuda/butylki-dlya-vody/butilka-dlya-vodi-aquarius-sinyaya-1033240/" , "10332.40 Бутылка для воды Aquarius, синяя")</f>
      </c>
      <c r="C24616" s="4" t="n">
        <v>387.00</v>
      </c>
      <c r="D24616" s="4"/>
    </row>
    <row collapsed="" customFormat="false" customHeight="1" hidden="" ht="14" outlineLevel="0" r="24617">
      <c r="A24617" s="3" t="inlineStr">
        <is>
          <t>24515</t>
        </is>
      </c>
      <c r="B24617" s="4" t="s">
        <f>=HYPERLINK("http://anyluxury.ru/shop/posuda/butylki-dlya-vody/butilka-dlya-vodi-aquarius-krasnaya-1033250/" , "10332.50 Бутылка для воды Aquarius, красная")</f>
      </c>
      <c r="C24617" s="4" t="n">
        <v>387.00</v>
      </c>
      <c r="D24617" s="4"/>
    </row>
    <row collapsed="" customFormat="false" customHeight="1" hidden="" ht="14" outlineLevel="0" r="24618">
      <c r="A24618" s="3" t="inlineStr">
        <is>
          <t>24516</t>
        </is>
      </c>
      <c r="B24618" s="4" t="s">
        <f>=HYPERLINK("http://anyluxury.ru/shop/posuda/butylki-dlya-vody/skladnaya-butilka-handheld-krasnaya-7415550/" , "74155.50 Складная бутылка HandHeld, красная")</f>
      </c>
      <c r="C24618" s="4" t="n">
        <v>184.00</v>
      </c>
      <c r="D24618" s="4"/>
    </row>
    <row collapsed="" customFormat="false" customHeight="1" hidden="" ht="14" outlineLevel="0" r="24619">
      <c r="A24619" s="3" t="inlineStr">
        <is>
          <t>24517</t>
        </is>
      </c>
      <c r="B24619" s="4" t="s">
        <f>=HYPERLINK("http://anyluxury.ru/shop/posuda/butylki-dlya-vody/skladnaya-butilka-handheld-belaya-7415560/" , "74155.60 Складная бутылка HandHeld, белая")</f>
      </c>
      <c r="C24619" s="4" t="n">
        <v>184.00</v>
      </c>
      <c r="D24619" s="4"/>
    </row>
    <row collapsed="" customFormat="false" customHeight="1" hidden="" ht="14" outlineLevel="0" r="24620">
      <c r="A24620" s="3" t="inlineStr">
        <is>
          <t>24518</t>
        </is>
      </c>
      <c r="B24620" s="4" t="s">
        <f>=HYPERLINK("http://anyluxury.ru/shop/posuda/butylki-dlya-vody/skladnaya-butilka-handheld-zheltaya-7415580/" , "74155.80 Складная бутылка HandHeld, желтая")</f>
      </c>
      <c r="C24620" s="4" t="n">
        <v>184.00</v>
      </c>
      <c r="D24620" s="4"/>
    </row>
    <row collapsed="" customFormat="false" customHeight="1" hidden="" ht="14" outlineLevel="0" r="24621">
      <c r="A24621" s="3" t="inlineStr">
        <is>
          <t>24519</t>
        </is>
      </c>
      <c r="B24621" s="4" t="s">
        <f>=HYPERLINK("http://anyluxury.ru/shop/posuda/butylki-dlya-vody/skladnaya-butilka-handheld-sinyaya-7415540/" , "74155.40 Складная бутылка HandHeld, синяя")</f>
      </c>
      <c r="C24621" s="4" t="n">
        <v>184.00</v>
      </c>
      <c r="D24621" s="4"/>
    </row>
    <row collapsed="" customFormat="false" customHeight="1" hidden="" ht="14" outlineLevel="0" r="24622">
      <c r="A24622" s="3" t="inlineStr">
        <is>
          <t>24520</t>
        </is>
      </c>
      <c r="B24622" s="4" t="s">
        <f>=HYPERLINK("http://anyluxury.ru/shop/posuda/butylki-dlya-vody/skladnaya-butilka-handheld-zelenaya-7415592/" , "74155.92 Складная бутылка HandHeld, зеленая")</f>
      </c>
      <c r="C24622" s="4" t="n">
        <v>184.00</v>
      </c>
      <c r="D24622" s="4"/>
    </row>
    <row collapsed="" customFormat="false" customHeight="1" hidden="" ht="14" outlineLevel="0" r="24623">
      <c r="A24623" s="3" t="inlineStr">
        <is>
          <t>24521</t>
        </is>
      </c>
      <c r="B24623" s="4" t="s">
        <f>=HYPERLINK("http://anyluxury.ru/shop/posuda/butylki-dlya-vody/butilka-dlya-vodi-aquarius-zelenaya-1033290/" , "10332.90 Бутылка для воды Aquarius, зеленая")</f>
      </c>
      <c r="C24623" s="4" t="n">
        <v>387.00</v>
      </c>
      <c r="D24623" s="4"/>
    </row>
    <row collapsed="" customFormat="false" customHeight="1" hidden="" ht="14" outlineLevel="0" r="24624">
      <c r="A24624" s="3" t="inlineStr">
        <is>
          <t>24522</t>
        </is>
      </c>
      <c r="B24624" s="4" t="s">
        <f>=HYPERLINK("http://anyluxury.ru/shop/posuda/butylki-dlya-vody/butilka-dlya-vodi-aquarius-oranzhevaya-1033220/" , "10332.20 Бутылка для воды Aquarius, оранжевая")</f>
      </c>
      <c r="C24624" s="4" t="n">
        <v>387.00</v>
      </c>
      <c r="D24624" s="4"/>
    </row>
    <row collapsed="" customFormat="false" customHeight="1" hidden="" ht="14" outlineLevel="0" r="24625">
      <c r="A24625" s="3" t="inlineStr">
        <is>
          <t>24523</t>
        </is>
      </c>
      <c r="B24625" s="4" t="s">
        <f>=HYPERLINK("http://anyluxury.ru/shop/posuda/butylki-dlya-vody/butilka-dlya-vodi-flavour-it-2-go-golubaya-1069114/" , "10691.14 Бутылка для воды Flavour It 2 Go, голубая")</f>
      </c>
      <c r="C24625" s="4" t="n">
        <v>1450.00</v>
      </c>
      <c r="D24625" s="4"/>
    </row>
    <row collapsed="" customFormat="false" customHeight="1" hidden="" ht="14" outlineLevel="0" r="24626">
      <c r="A24626" s="3" t="inlineStr">
        <is>
          <t>24524</t>
        </is>
      </c>
      <c r="B24626" s="4" t="s">
        <f>=HYPERLINK("http://anyluxury.ru/shop/posuda/butylki-dlya-vody/butilka-dlya-vodi-flavour-it-2-go-zelenaya-1069190/" , "10691.90 Бутылка для воды Flavour It 2 Go, зеленая")</f>
      </c>
      <c r="C24626" s="4" t="n">
        <v>1450.00</v>
      </c>
      <c r="D24626" s="4"/>
    </row>
    <row collapsed="" customFormat="false" customHeight="1" hidden="" ht="14" outlineLevel="0" r="24627">
      <c r="A24627" s="3" t="inlineStr">
        <is>
          <t>24525</t>
        </is>
      </c>
      <c r="B24627" s="4" t="s">
        <f>=HYPERLINK("http://anyluxury.ru/shop/posuda/butylki-dlya-vody/butilka-s-tabletnicey-in-style-zheltaya-1069280/" , "10692.80 Бутылка с таблетницей In Style, желтая")</f>
      </c>
      <c r="C24627" s="4" t="n">
        <v>1190.00</v>
      </c>
      <c r="D24627" s="4"/>
    </row>
    <row collapsed="" customFormat="false" customHeight="1" hidden="" ht="14" outlineLevel="0" r="24628">
      <c r="A24628" s="3" t="inlineStr">
        <is>
          <t>24526</t>
        </is>
      </c>
      <c r="B24628" s="4" t="s">
        <f>=HYPERLINK("http://anyluxury.ru/shop/posuda/butylki-dlya-vody/butilka-s-tabletnicey-in-style-krasnaya-1069250/" , "10692.50 Бутылка с таблетницей In Style, красная")</f>
      </c>
      <c r="C24628" s="4" t="n">
        <v>1190.00</v>
      </c>
      <c r="D24628" s="4"/>
    </row>
    <row collapsed="" customFormat="false" customHeight="1" hidden="" ht="14" outlineLevel="0" r="24629">
      <c r="A24629" s="3" t="inlineStr">
        <is>
          <t>24527</t>
        </is>
      </c>
      <c r="B24629" s="4" t="s">
        <f>=HYPERLINK("http://anyluxury.ru/shop/posuda/butylki-dlya-vody/butilka-s-tabletnicey-in-style-rozovaya-1069215/" , "10692.15 Бутылка с таблетницей In Style, розовая")</f>
      </c>
      <c r="C24629" s="4" t="n">
        <v>1190.00</v>
      </c>
      <c r="D24629" s="4"/>
    </row>
    <row collapsed="" customFormat="false" customHeight="1" hidden="" ht="14" outlineLevel="0" r="24630">
      <c r="A24630" s="3" t="inlineStr">
        <is>
          <t>24528</t>
        </is>
      </c>
      <c r="B24630" s="4" t="s">
        <f>=HYPERLINK("http://anyluxury.ru/shop/posuda/butylki-dlya-vody/sportivnaya-butilka-pinnacle-sports-zelenaya-1069390/" , "10693.90 Спортивная бутылка Pinnacle Sports, зеленая")</f>
      </c>
      <c r="C24630" s="4" t="n">
        <v>1050.00</v>
      </c>
      <c r="D24630" s="4"/>
    </row>
    <row collapsed="" customFormat="false" customHeight="1" hidden="" ht="14" outlineLevel="0" r="24631">
      <c r="A24631" s="3" t="inlineStr">
        <is>
          <t>24529</t>
        </is>
      </c>
      <c r="B24631" s="4" t="s">
        <f>=HYPERLINK("http://anyluxury.ru/shop/posuda/butylki-dlya-vody/sportivnaya-butilka-pinnacle-sports-oranzhevaya-1069320/" , "10693.20 Спортивная бутылка Pinnacle Sports, оранжевая")</f>
      </c>
      <c r="C24631" s="4" t="n">
        <v>1050.00</v>
      </c>
      <c r="D24631" s="4"/>
    </row>
    <row collapsed="" customFormat="false" customHeight="1" hidden="" ht="14" outlineLevel="0" r="24632">
      <c r="A24632" s="3" t="inlineStr">
        <is>
          <t>24530</t>
        </is>
      </c>
      <c r="B24632" s="4" t="s">
        <f>=HYPERLINK("http://anyluxury.ru/shop/posuda/butylki-dlya-vody/sportivnaya-butilka-asobu-triumph-zelenaya-1069490/" , "10694.90 Спортивная бутылка Asobu Triumph, зеленая")</f>
      </c>
      <c r="C24632" s="4" t="n">
        <v>890.00</v>
      </c>
      <c r="D24632" s="4"/>
    </row>
    <row collapsed="" customFormat="false" customHeight="1" hidden="" ht="14" outlineLevel="0" r="24633">
      <c r="A24633" s="3" t="inlineStr">
        <is>
          <t>24531</t>
        </is>
      </c>
      <c r="B24633" s="4" t="s">
        <f>=HYPERLINK("http://anyluxury.ru/shop/posuda/butylki-dlya-vody/sportivnaya-butilka-triumph-oranzhevaya-1069420/" , "10694.20 Спортивная бутылка Triumph, оранжевая")</f>
      </c>
      <c r="C24633" s="4" t="n">
        <v>890.00</v>
      </c>
      <c r="D24633" s="4"/>
    </row>
    <row collapsed="" customFormat="false" customHeight="1" hidden="" ht="14" outlineLevel="0" r="24634">
      <c r="A24634" s="3" t="inlineStr">
        <is>
          <t>24532</t>
        </is>
      </c>
      <c r="B24634" s="4" t="s">
        <f>=HYPERLINK("http://anyluxury.ru/shop/posuda/butylki-dlya-vody/sportivniy-sheyker-sportmixer-cherniy-1118433/" , "11184.33 Спортивный шейкер SportMixer, черный")</f>
      </c>
      <c r="C24634" s="4" t="n">
        <v>1220.00</v>
      </c>
      <c r="D24634" s="4"/>
    </row>
    <row collapsed="" customFormat="false" customHeight="1" hidden="" ht="14" outlineLevel="0" r="24635">
      <c r="A24635" s="3" t="inlineStr">
        <is>
          <t>24533</t>
        </is>
      </c>
      <c r="B24635" s="4" t="s">
        <f>=HYPERLINK("http://anyluxury.ru/shop/posuda/butylki-dlya-vody/sportivniy-sheyker-sportmixer-cherniy-s-belim-1118436/" , "11184.36 Спортивный шейкер SportMixer, черный с белым")</f>
      </c>
      <c r="C24635" s="4" t="n">
        <v>1220.00</v>
      </c>
      <c r="D24635" s="4"/>
    </row>
    <row collapsed="" customFormat="false" customHeight="1" hidden="" ht="14" outlineLevel="0" r="24636">
      <c r="A24636" s="3" t="inlineStr">
        <is>
          <t>24534</t>
        </is>
      </c>
      <c r="B24636" s="4" t="s">
        <f>=HYPERLINK("http://anyluxury.ru/shop/posuda/butylki-dlya-vody/sportivniy-sheyker-sportmixer-zeleniy-olivkoviy-1118490/" , "11184.90 Спортивный шейкер SportMixer, зеленый (оливковый)")</f>
      </c>
      <c r="C24636" s="4" t="n">
        <v>1220.00</v>
      </c>
      <c r="D24636" s="4"/>
    </row>
    <row collapsed="" customFormat="false" customHeight="1" hidden="" ht="14" outlineLevel="0" r="24637">
      <c r="A24637" s="3" t="inlineStr">
        <is>
          <t>24535</t>
        </is>
      </c>
      <c r="B24637" s="4" t="s">
        <f>=HYPERLINK("http://anyluxury.ru/shop/posuda/butylki-dlya-vody/sportivnaya-butilkasheyker-mantra-chernaya-1154030/" , "11540.30 Спортивная бутылка-шейкер Mantra, черная")</f>
      </c>
      <c r="C24637" s="4" t="n">
        <v>3140.00</v>
      </c>
      <c r="D24637" s="4"/>
    </row>
    <row collapsed="" customFormat="false" customHeight="1" hidden="" ht="14" outlineLevel="0" r="24638">
      <c r="A24638" s="3" t="inlineStr">
        <is>
          <t>24536</t>
        </is>
      </c>
      <c r="B24638" s="4" t="s">
        <f>=HYPERLINK("http://anyluxury.ru/shop/posuda/butylki-dlya-vody/sportivnaya-butilkasheyker-mantra-rozovaya-1154015/" , "11540.15 Спортивная бутылка-шейкер Mantra, розовая")</f>
      </c>
      <c r="C24638" s="4" t="n">
        <v>3140.00</v>
      </c>
      <c r="D24638" s="4"/>
    </row>
    <row collapsed="" customFormat="false" customHeight="1" hidden="" ht="14" outlineLevel="0" r="24639">
      <c r="A24639" s="3" t="inlineStr">
        <is>
          <t>24537</t>
        </is>
      </c>
      <c r="B24639" s="4" t="s">
        <f>=HYPERLINK("http://anyluxury.ru/shop/posuda/butylki-dlya-vody/alyuminievaya-sportivnaya-butilka-600-ml-p436563/" , "P436.563 Алюминиевая спортивная бутылка, 600 мл")</f>
      </c>
      <c r="C24639" s="4" t="n">
        <v>999.00</v>
      </c>
      <c r="D24639" s="4"/>
    </row>
    <row collapsed="" customFormat="false" customHeight="1" hidden="" ht="14" outlineLevel="0" r="24640">
      <c r="A24640" s="3" t="inlineStr">
        <is>
          <t>24538</t>
        </is>
      </c>
      <c r="B24640" s="4" t="s">
        <f>=HYPERLINK("http://anyluxury.ru/shop/posuda/butylki-dlya-vody/butilka-dlya-vodi-active-hydration-600-zelenaya-1314390/" , "13143.90 Бутылка для воды Active Hydration 600, зеленая")</f>
      </c>
      <c r="C24640" s="4" t="n">
        <v>2080.00</v>
      </c>
      <c r="D24640" s="4"/>
    </row>
    <row collapsed="" customFormat="false" customHeight="1" hidden="" ht="14" outlineLevel="0" r="24641">
      <c r="A24641" s="3" t="inlineStr">
        <is>
          <t>24539</t>
        </is>
      </c>
      <c r="B24641" s="4" t="s">
        <f>=HYPERLINK("http://anyluxury.ru/shop/posuda/butylki-dlya-vody/butilka-dlya-vodi-active-hydration-600-krasnaya-1314350/" , "13143.50 Бутылка для воды Active Hydration 600, красная")</f>
      </c>
      <c r="C24641" s="4" t="n">
        <v>1500.00</v>
      </c>
      <c r="D24641" s="4"/>
    </row>
    <row collapsed="" customFormat="false" customHeight="1" hidden="" ht="14" outlineLevel="0" r="24642">
      <c r="A24642" s="3" t="inlineStr">
        <is>
          <t>24540</t>
        </is>
      </c>
      <c r="B24642" s="4" t="s">
        <f>=HYPERLINK("http://anyluxury.ru/shop/posuda/butylki-dlya-vody/butilka-dlya-vodi-active-hydration-600-fioletovaya-1314370/" , "13143.70 Бутылка для воды Active Hydration 600, фиолетовая")</f>
      </c>
      <c r="C24642" s="4" t="n">
        <v>1500.00</v>
      </c>
      <c r="D24642" s="4"/>
    </row>
    <row collapsed="" customFormat="false" customHeight="1" hidden="" ht="14" outlineLevel="0" r="24643">
      <c r="A24643" s="3" t="inlineStr">
        <is>
          <t>24541</t>
        </is>
      </c>
      <c r="B24643" s="4" t="s">
        <f>=HYPERLINK("http://anyluxury.ru/shop/posuda/butylki-dlya-vody/butilka-dlya-vodi-active-hydration-800-zelenaya-1314490/" , "13144.90 Бутылка для воды Active Hydration 800, зеленая")</f>
      </c>
      <c r="C24643" s="4" t="n">
        <v>1160.00</v>
      </c>
      <c r="D24643" s="4"/>
    </row>
    <row collapsed="" customFormat="false" customHeight="1" hidden="" ht="14" outlineLevel="0" r="24644">
      <c r="A24644" s="3" t="inlineStr">
        <is>
          <t>24542</t>
        </is>
      </c>
      <c r="B24644" s="4" t="s">
        <f>=HYPERLINK("http://anyluxury.ru/shop/posuda/butylki-dlya-vody/butilka-dlya-vodi-active-hydration-800-fioletovaya-1314470/" , "13144.70 Бутылка для воды Active Hydration 800, фиолетовая")</f>
      </c>
      <c r="C24644" s="4" t="n">
        <v>840.00</v>
      </c>
      <c r="D24644" s="4"/>
    </row>
    <row collapsed="" customFormat="false" customHeight="1" hidden="" ht="14" outlineLevel="0" r="24645">
      <c r="A24645" s="3" t="inlineStr">
        <is>
          <t>24543</t>
        </is>
      </c>
      <c r="B24645" s="4" t="s">
        <f>=HYPERLINK("http://anyluxury.ru/shop/posuda/butylki-dlya-vody/butilka-dlya-vodi-aveo-600-zelenaya-1314690/" , "13146.90 Бутылка для воды Aveo 600, зеленая")</f>
      </c>
      <c r="C24645" s="4" t="n">
        <v>720.00</v>
      </c>
      <c r="D24645" s="4"/>
    </row>
    <row collapsed="" customFormat="false" customHeight="1" hidden="" ht="14" outlineLevel="0" r="24646">
      <c r="A24646" s="3" t="inlineStr">
        <is>
          <t>24544</t>
        </is>
      </c>
      <c r="B24646" s="4" t="s">
        <f>=HYPERLINK("http://anyluxury.ru/shop/posuda/butylki-dlya-vody/butilka-dlya-vodi-aveo-600-fioletovaya-1314670/" , "13146.70 Бутылка для воды Aveo 600, фиолетовая")</f>
      </c>
      <c r="C24646" s="4" t="n">
        <v>1050.00</v>
      </c>
      <c r="D24646" s="4"/>
    </row>
    <row collapsed="" customFormat="false" customHeight="1" hidden="" ht="14" outlineLevel="0" r="24647">
      <c r="A24647" s="3" t="inlineStr">
        <is>
          <t>24545</t>
        </is>
      </c>
      <c r="B24647" s="4" t="s">
        <f>=HYPERLINK("http://anyluxury.ru/shop/posuda/butylki-dlya-vody/butilka-dlya-vodi-fresco-krasnaya-1315250/" , "13152.50 Бутылка для воды Fresco, красная")</f>
      </c>
      <c r="C24647" s="4" t="n">
        <v>790.00</v>
      </c>
      <c r="D24647" s="4"/>
    </row>
    <row collapsed="" customFormat="false" customHeight="1" hidden="" ht="14" outlineLevel="0" r="24648">
      <c r="A24648" s="3" t="inlineStr">
        <is>
          <t>24546</t>
        </is>
      </c>
      <c r="B24648" s="4" t="s">
        <f>=HYPERLINK("http://anyluxury.ru/shop/posuda/butylki-dlya-vody/termobutilka-fresco-zelenaya-1315390/" , "13153.90 Термобутылка Fresco, зеленая")</f>
      </c>
      <c r="C24648" s="4" t="n">
        <v>1320.00</v>
      </c>
      <c r="D24648" s="4"/>
    </row>
    <row collapsed="" customFormat="false" customHeight="1" hidden="" ht="14" outlineLevel="0" r="24649">
      <c r="A24649" s="3" t="inlineStr">
        <is>
          <t>24547</t>
        </is>
      </c>
      <c r="B24649" s="4" t="s">
        <f>=HYPERLINK("http://anyluxury.ru/shop/posuda/butylki-dlya-vody/termobutilka-fresco-krasnaya-1315350/" , "13153.50 Термобутылка Fresco, красная")</f>
      </c>
      <c r="C24649" s="4" t="n">
        <v>1320.00</v>
      </c>
      <c r="D24649" s="4"/>
    </row>
    <row collapsed="" customFormat="false" customHeight="1" hidden="" ht="14" outlineLevel="0" r="24650">
      <c r="A24650" s="3" t="inlineStr">
        <is>
          <t>24548</t>
        </is>
      </c>
      <c r="B24650" s="4" t="s">
        <f>=HYPERLINK("http://anyluxury.ru/shop/posuda/butylki-dlya-vody/termobutilka-fresco-fioletovaya-1315370/" , "13153.70 Термобутылка Fresco, фиолетовая")</f>
      </c>
      <c r="C24650" s="4" t="n">
        <v>1320.00</v>
      </c>
      <c r="D24650" s="4"/>
    </row>
    <row collapsed="" customFormat="false" customHeight="1" hidden="" ht="14" outlineLevel="0" r="24651">
      <c r="A24651" s="3" t="inlineStr">
        <is>
          <t>24549</t>
        </is>
      </c>
      <c r="B24651" s="4" t="s">
        <f>=HYPERLINK("http://anyluxury.ru/shop/posuda/butylki-dlya-vody/butilka-s-sitechkom-dlya-chaya-tea-infuser-zelenaya-1315790/" , "13157.90 Бутылка с ситечком для чая Tea Infuser, зеленая")</f>
      </c>
      <c r="C24651" s="4" t="n">
        <v>1280.00</v>
      </c>
      <c r="D24651" s="4"/>
    </row>
    <row collapsed="" customFormat="false" customHeight="1" hidden="" ht="14" outlineLevel="0" r="24652">
      <c r="A24652" s="3" t="inlineStr">
        <is>
          <t>24550</t>
        </is>
      </c>
      <c r="B24652" s="4" t="s">
        <f>=HYPERLINK("http://anyluxury.ru/shop/posuda/butylki-dlya-vody/butilka-s-sitechkom-dlya-chaya-tea-infuser-sinyaya-1315740/" , "13157.40 Бутылка с ситечком для чая Tea Infuser, синяя")</f>
      </c>
      <c r="C24652" s="4" t="n">
        <v>1280.00</v>
      </c>
      <c r="D24652" s="4"/>
    </row>
    <row collapsed="" customFormat="false" customHeight="1" hidden="" ht="14" outlineLevel="0" r="24653">
      <c r="A24653" s="3" t="inlineStr">
        <is>
          <t>24551</t>
        </is>
      </c>
      <c r="B24653" s="4" t="s">
        <f>=HYPERLINK("http://anyluxury.ru/shop/posuda/butylki-dlya-vody/sportivnaya-butilka-rally-sinyaya-1205740/" , "12057.40 Спортивная бутылка Rally, синяя")</f>
      </c>
      <c r="C24653" s="4" t="n">
        <v>799.00</v>
      </c>
      <c r="D24653" s="4"/>
    </row>
    <row collapsed="" customFormat="false" customHeight="1" hidden="" ht="14" outlineLevel="0" r="24654">
      <c r="A24654" s="3" t="inlineStr">
        <is>
          <t>24552</t>
        </is>
      </c>
      <c r="B24654" s="4" t="s">
        <f>=HYPERLINK("http://anyluxury.ru/shop/posuda/butylki-dlya-vody/sportivnaya-butilka-rally-chernaya-1205730/" , "12057.30 Спортивная бутылка Rally, черная")</f>
      </c>
      <c r="C24654" s="4" t="n">
        <v>799.00</v>
      </c>
      <c r="D24654" s="4"/>
    </row>
    <row collapsed="" customFormat="false" customHeight="1" hidden="" ht="14" outlineLevel="0" r="24655">
      <c r="A24655" s="3" t="inlineStr">
        <is>
          <t>24553</t>
        </is>
      </c>
      <c r="B24655" s="4" t="s">
        <f>=HYPERLINK("http://anyluxury.ru/shop/posuda/butylki-dlya-vody/sportivnaya-butilka-rally-krasnaya-1205750/" , "12057.50 Спортивная бутылка Rally, красная")</f>
      </c>
      <c r="C24655" s="4" t="n">
        <v>799.00</v>
      </c>
      <c r="D24655" s="4"/>
    </row>
    <row collapsed="" customFormat="false" customHeight="1" hidden="" ht="14" outlineLevel="0" r="24656">
      <c r="A24656" s="3" t="inlineStr">
        <is>
          <t>24554</t>
        </is>
      </c>
      <c r="B24656" s="4" t="s">
        <f>=HYPERLINK("http://anyluxury.ru/shop/posuda/butylki-dlya-vody/butilka-dlya-vodi-traveller-600-svetloseraya-1285010/" , "12850.10 Бутылка для воды Traveller 600, светло-серая")</f>
      </c>
      <c r="C24656" s="4" t="n">
        <v>1900.00</v>
      </c>
      <c r="D24656" s="4"/>
    </row>
    <row collapsed="" customFormat="false" customHeight="1" hidden="" ht="14" outlineLevel="0" r="24657">
      <c r="A24657" s="3" t="inlineStr">
        <is>
          <t>24555</t>
        </is>
      </c>
      <c r="B24657" s="4" t="s">
        <f>=HYPERLINK("http://anyluxury.ru/shop/posuda/butylki-dlya-vody/butilka-dlya-vodi-traveller-600-temnoseraya-1285011/" , "12850.11 Бутылка для воды Traveller 600, темно-серая")</f>
      </c>
      <c r="C24657" s="4" t="n">
        <v>1900.00</v>
      </c>
      <c r="D24657" s="4"/>
    </row>
    <row collapsed="" customFormat="false" customHeight="1" hidden="" ht="14" outlineLevel="0" r="24658">
      <c r="A24658" s="3" t="inlineStr">
        <is>
          <t>24556</t>
        </is>
      </c>
      <c r="B24658" s="4" t="s">
        <f>=HYPERLINK("http://anyluxury.ru/shop/posuda/butylki-dlya-vody/butilka-dlya-vodi-traveller-600-belaya-1285060/" , "12850.60 Бутылка для воды Traveller 600, белая")</f>
      </c>
      <c r="C24658" s="4" t="n">
        <v>1900.00</v>
      </c>
      <c r="D24658" s="4"/>
    </row>
    <row collapsed="" customFormat="false" customHeight="1" hidden="" ht="14" outlineLevel="0" r="24659">
      <c r="A24659" s="3" t="inlineStr">
        <is>
          <t>24557</t>
        </is>
      </c>
      <c r="B24659" s="4" t="s">
        <f>=HYPERLINK("http://anyluxury.ru/shop/posuda/butylki-dlya-vody/butilka-dlya-vodi-traveller-600-sinyaya-1285040/" , "12850.40 Бутылка для воды Traveller 600, синяя")</f>
      </c>
      <c r="C24659" s="4" t="n">
        <v>1900.00</v>
      </c>
      <c r="D24659" s="4"/>
    </row>
    <row collapsed="" customFormat="false" customHeight="1" hidden="" ht="14" outlineLevel="0" r="24660">
      <c r="A24660" s="3" t="inlineStr">
        <is>
          <t>24558</t>
        </is>
      </c>
      <c r="B24660" s="4" t="s">
        <f>=HYPERLINK("http://anyluxury.ru/shop/posuda/butylki-dlya-vody/butilka-dlya-vodi-traveller-600-krasnaya-1285050/" , "12850.50 Бутылка для воды Traveller 600, красная")</f>
      </c>
      <c r="C24660" s="4" t="n">
        <v>1900.00</v>
      </c>
      <c r="D24660" s="4"/>
    </row>
    <row collapsed="" customFormat="false" customHeight="1" hidden="" ht="14" outlineLevel="0" r="24661">
      <c r="A24661" s="3" t="inlineStr">
        <is>
          <t>24559</t>
        </is>
      </c>
      <c r="B24661" s="4" t="s">
        <f>=HYPERLINK("http://anyluxury.ru/shop/posuda/butylki-dlya-vody/butilka-dlya-vodi-traveller-600-rozovaya-1285015/" , "12850.15 Бутылка для воды Traveller 600, розовая")</f>
      </c>
      <c r="C24661" s="4" t="n">
        <v>1900.00</v>
      </c>
      <c r="D24661" s="4"/>
    </row>
    <row collapsed="" customFormat="false" customHeight="1" hidden="" ht="14" outlineLevel="0" r="24662">
      <c r="A24662" s="3" t="inlineStr">
        <is>
          <t>24560</t>
        </is>
      </c>
      <c r="B24662" s="4" t="s">
        <f>=HYPERLINK("http://anyluxury.ru/shop/posuda/butylki-dlya-vody/butilka-dlya-vodi-traveller-600-chernaya-1285030/" , "12850.30 Бутылка для воды Traveller 600, черная")</f>
      </c>
      <c r="C24662" s="4" t="n">
        <v>1900.00</v>
      </c>
      <c r="D24662" s="4"/>
    </row>
    <row collapsed="" customFormat="false" customHeight="1" hidden="" ht="14" outlineLevel="0" r="24663">
      <c r="A24663" s="3" t="inlineStr">
        <is>
          <t>24561</t>
        </is>
      </c>
      <c r="B24663" s="4" t="s">
        <f>=HYPERLINK("http://anyluxury.ru/shop/posuda/butylki-dlya-vody/butilka-dlya-vodi-traveller-1000-sinyaya-1285140/" , "12851.40 Бутылка для воды Traveller 1000, синяя")</f>
      </c>
      <c r="C24663" s="4" t="n">
        <v>2200.00</v>
      </c>
      <c r="D24663" s="4"/>
    </row>
    <row collapsed="" customFormat="false" customHeight="1" hidden="" ht="14" outlineLevel="0" r="24664">
      <c r="A24664" s="3" t="inlineStr">
        <is>
          <t>24562</t>
        </is>
      </c>
      <c r="B24664" s="4" t="s">
        <f>=HYPERLINK("http://anyluxury.ru/shop/posuda/butylki-dlya-vody/butilka-dlya-vodi-traveller-1000-belaya-1285160/" , "12851.60 Бутылка для воды Traveller 1000, белая")</f>
      </c>
      <c r="C24664" s="4" t="n">
        <v>1800.00</v>
      </c>
      <c r="D24664" s="4"/>
    </row>
    <row collapsed="" customFormat="false" customHeight="1" hidden="" ht="14" outlineLevel="0" r="24665">
      <c r="A24665" s="3" t="inlineStr">
        <is>
          <t>24563</t>
        </is>
      </c>
      <c r="B24665" s="4" t="s">
        <f>=HYPERLINK("http://anyluxury.ru/shop/posuda/butylki-dlya-vody/butilka-dlya-vodi-traveller-1000-zelenaya-1285190/" , "12851.90 Бутылка для воды Traveller 1000, зеленая")</f>
      </c>
      <c r="C24665" s="4" t="n">
        <v>2200.00</v>
      </c>
      <c r="D24665" s="4"/>
    </row>
    <row collapsed="" customFormat="false" customHeight="1" hidden="" ht="14" outlineLevel="0" r="24666">
      <c r="A24666" s="3" t="inlineStr">
        <is>
          <t>24564</t>
        </is>
      </c>
      <c r="B24666" s="4" t="s">
        <f>=HYPERLINK("http://anyluxury.ru/shop/posuda/butylki-dlya-vody/butilka-dlya-vodi-traveller-1000-krasnaya-1285150/" , "12851.50 Бутылка для воды Traveller 1000, красная")</f>
      </c>
      <c r="C24666" s="4" t="n">
        <v>2200.00</v>
      </c>
      <c r="D24666" s="4"/>
    </row>
    <row collapsed="" customFormat="false" customHeight="1" hidden="" ht="14" outlineLevel="0" r="24667">
      <c r="A24667" s="3" t="inlineStr">
        <is>
          <t>24565</t>
        </is>
      </c>
      <c r="B24667" s="4" t="s">
        <f>=HYPERLINK("http://anyluxury.ru/shop/posuda/butylki-dlya-vody/butilka-dlya-vodi-traveller-1000-rozovaya-1285115/" , "12851.15 Бутылка для воды Traveller 1000, розовая")</f>
      </c>
      <c r="C24667" s="4" t="n">
        <v>2200.00</v>
      </c>
      <c r="D24667" s="4"/>
    </row>
    <row collapsed="" customFormat="false" customHeight="1" hidden="" ht="14" outlineLevel="0" r="24668">
      <c r="A24668" s="3" t="inlineStr">
        <is>
          <t>24566</t>
        </is>
      </c>
      <c r="B24668" s="4" t="s">
        <f>=HYPERLINK("http://anyluxury.ru/shop/posuda/butylki-dlya-vody/butilka-dlya-vodi-traveller-1000-svetloseraya-1285110/" , "12851.10 Бутылка для воды Traveller 1000, светло-серая")</f>
      </c>
      <c r="C24668" s="4" t="n">
        <v>2200.00</v>
      </c>
      <c r="D24668" s="4"/>
    </row>
    <row collapsed="" customFormat="false" customHeight="1" hidden="" ht="14" outlineLevel="0" r="24669">
      <c r="A24669" s="3" t="inlineStr">
        <is>
          <t>24567</t>
        </is>
      </c>
      <c r="B24669" s="4" t="s">
        <f>=HYPERLINK("http://anyluxury.ru/shop/posuda/butylki-dlya-vody/butilka-dlya-vodi-traveller-1000-temnoseraya-1285111/" , "12851.11 Бутылка для воды Traveller 1000, темно-серая")</f>
      </c>
      <c r="C24669" s="4" t="n">
        <v>2200.00</v>
      </c>
      <c r="D24669" s="4"/>
    </row>
    <row collapsed="" customFormat="false" customHeight="1" hidden="" ht="14" outlineLevel="0" r="24670">
      <c r="A24670" s="3" t="inlineStr">
        <is>
          <t>24568</t>
        </is>
      </c>
      <c r="B24670" s="4" t="s">
        <f>=HYPERLINK("http://anyluxury.ru/shop/posuda/butylki-dlya-vody/butilka-dlya-vodi-traveller-1000-chernaya-1285130/" , "12851.30 Бутылка для воды Traveller 1000, черная")</f>
      </c>
      <c r="C24670" s="4" t="n">
        <v>2200.00</v>
      </c>
      <c r="D24670" s="4"/>
    </row>
    <row collapsed="" customFormat="false" customHeight="1" hidden="" ht="14" outlineLevel="0" r="24671">
      <c r="A24671" s="3" t="inlineStr">
        <is>
          <t>24569</t>
        </is>
      </c>
      <c r="B24671" s="4" t="s">
        <f>=HYPERLINK("http://anyluxury.ru/shop/posuda/butylki-dlya-vody/butilka-dlya-vodi-wmb-sports-chernaya-1285230/" , "12852.30 Бутылка для воды WMB Sports, черная")</f>
      </c>
      <c r="C24671" s="4" t="n">
        <v>2400.00</v>
      </c>
      <c r="D24671" s="4"/>
    </row>
    <row collapsed="" customFormat="false" customHeight="1" hidden="" ht="14" outlineLevel="0" r="24672">
      <c r="A24672" s="3" t="inlineStr">
        <is>
          <t>24570</t>
        </is>
      </c>
      <c r="B24672" s="4" t="s">
        <f>=HYPERLINK("http://anyluxury.ru/shop/posuda/butylki-dlya-vody/termobutilka-hot-and-cold-500-stalnaya-1285511/" , "12855.11 Термобутылка Hot &amp; Cold 500, стальная")</f>
      </c>
      <c r="C24672" s="4" t="n">
        <v>2600.00</v>
      </c>
      <c r="D24672" s="4"/>
    </row>
    <row collapsed="" customFormat="false" customHeight="1" hidden="" ht="14" outlineLevel="0" r="24673">
      <c r="A24673" s="3" t="inlineStr">
        <is>
          <t>24571</t>
        </is>
      </c>
      <c r="B24673" s="4" t="s">
        <f>=HYPERLINK("http://anyluxury.ru/shop/posuda/butylki-dlya-vody/termobutilka-s-chashkoy-hot-and-cold-750-stalnaya-1285610/" , "12856.10 Термобутылка с чашкой Hot &amp; Cold 750, стальная")</f>
      </c>
      <c r="C24673" s="4" t="n">
        <v>3500.00</v>
      </c>
      <c r="D24673" s="4"/>
    </row>
    <row collapsed="" customFormat="false" customHeight="1" hidden="" ht="14" outlineLevel="0" r="24674">
      <c r="A24674" s="3" t="inlineStr">
        <is>
          <t>24572</t>
        </is>
      </c>
      <c r="B24674" s="4" t="s">
        <f>=HYPERLINK("http://anyluxury.ru/shop/posuda/butylki-dlya-vody/termobutilka-s-chashkoy-hot-and-cold-750-belaya-1285660/" , "12856.60 Термобутылка с чашкой Hot &amp; Cold 750, белая")</f>
      </c>
      <c r="C24674" s="4" t="n">
        <v>3500.00</v>
      </c>
      <c r="D24674" s="4"/>
    </row>
    <row collapsed="" customFormat="false" customHeight="1" hidden="" ht="14" outlineLevel="0" r="24675">
      <c r="A24675" s="3" t="inlineStr">
        <is>
          <t>24573</t>
        </is>
      </c>
      <c r="B24675" s="4" t="s">
        <f>=HYPERLINK("http://anyluxury.ru/shop/posuda/butylki-dlya-vody/termobutilka-s-chashkoy-hot-and-cold-750-zelenaya-1285690/" , "12856.90 Термобутылка с чашкой Hot &amp; Cold 750, зеленая")</f>
      </c>
      <c r="C24675" s="4" t="n">
        <v>3500.00</v>
      </c>
      <c r="D24675" s="4"/>
    </row>
    <row collapsed="" customFormat="false" customHeight="1" hidden="" ht="14" outlineLevel="0" r="24676">
      <c r="A24676" s="3" t="inlineStr">
        <is>
          <t>24574</t>
        </is>
      </c>
      <c r="B24676" s="4" t="s">
        <f>=HYPERLINK("http://anyluxury.ru/shop/posuda/butylki-dlya-vody/termobutilka-s-chashkoy-hot-and-cold-1000-belaya-1285760/" , "12857.60 Термобутылка с чашкой Hot &amp; Cold 1000, белая")</f>
      </c>
      <c r="C24676" s="4" t="n">
        <v>3900.00</v>
      </c>
      <c r="D24676" s="4"/>
    </row>
    <row collapsed="" customFormat="false" customHeight="1" hidden="" ht="14" outlineLevel="0" r="24677">
      <c r="A24677" s="3" t="inlineStr">
        <is>
          <t>24575</t>
        </is>
      </c>
      <c r="B24677" s="4" t="s">
        <f>=HYPERLINK("http://anyluxury.ru/shop/posuda/butylki-dlya-vody/termobutilka-s-chashkoy-hot-and-cold-1000-stalnaya-1285710/" , "12857.10 Термобутылка с чашкой Hot &amp; Cold 1000, стальная")</f>
      </c>
      <c r="C24677" s="4" t="n">
        <v>3900.00</v>
      </c>
      <c r="D24677" s="4"/>
    </row>
    <row collapsed="" customFormat="false" customHeight="1" hidden="" ht="14" outlineLevel="0" r="24678">
      <c r="A24678" s="3" t="inlineStr">
        <is>
          <t>24576</t>
        </is>
      </c>
      <c r="B24678" s="4" t="s">
        <f>=HYPERLINK("http://anyluxury.ru/shop/posuda/butylki-dlya-vody/termobutilka-hot-and-cold-one-500-stalnaya-1285810/" , "12858.10 Термобутылка Hot &amp; Cold One 500, стальная")</f>
      </c>
      <c r="C24678" s="4" t="n">
        <v>2900.00</v>
      </c>
      <c r="D24678" s="4"/>
    </row>
    <row collapsed="" customFormat="false" customHeight="1" hidden="" ht="14" outlineLevel="0" r="24679">
      <c r="A24679" s="3" t="inlineStr">
        <is>
          <t>24577</t>
        </is>
      </c>
      <c r="B24679" s="4" t="s">
        <f>=HYPERLINK("http://anyluxury.ru/shop/posuda/butylki-dlya-vody/termobutilka-hot-and-cold-one-500-sinyaya-1285840/" , "12858.40 Термобутылка Hot &amp; Cold One 500, синяя")</f>
      </c>
      <c r="C24679" s="4" t="n">
        <v>2900.00</v>
      </c>
      <c r="D24679" s="4"/>
    </row>
    <row collapsed="" customFormat="false" customHeight="1" hidden="" ht="14" outlineLevel="0" r="24680">
      <c r="A24680" s="3" t="inlineStr">
        <is>
          <t>24578</t>
        </is>
      </c>
      <c r="B24680" s="4" t="s">
        <f>=HYPERLINK("http://anyluxury.ru/shop/posuda/butylki-dlya-vody/termobutilka-hot-and-cold-one-500-chernaya-1285830/" , "12858.30 Термобутылка Hot &amp; Cold One 500, черная")</f>
      </c>
      <c r="C24680" s="4" t="n">
        <v>2900.00</v>
      </c>
      <c r="D24680" s="4"/>
    </row>
    <row collapsed="" customFormat="false" customHeight="1" hidden="" ht="14" outlineLevel="0" r="24681">
      <c r="A24681" s="3" t="inlineStr">
        <is>
          <t>24579</t>
        </is>
      </c>
      <c r="B24681" s="4" t="s">
        <f>=HYPERLINK("http://anyluxury.ru/shop/posuda/butylki-dlya-vody/termobutilka-hot-and-cold-one-500-temnozelenaya-1285891/" , "12858.91 Термобутылка Hot &amp; Cold One 500, темно-зеленая")</f>
      </c>
      <c r="C24681" s="4" t="n">
        <v>2900.00</v>
      </c>
      <c r="D24681" s="4"/>
    </row>
    <row collapsed="" customFormat="false" customHeight="1" hidden="" ht="14" outlineLevel="0" r="24682">
      <c r="A24682" s="3" t="inlineStr">
        <is>
          <t>24580</t>
        </is>
      </c>
      <c r="B24682" s="4" t="s">
        <f>=HYPERLINK("http://anyluxury.ru/shop/posuda/butylki-dlya-vody/termobutilka-hot-and-cold-one-500-belaya-1285860/" , "12858.60 Термобутылка Hot &amp; Cold One 500, белая")</f>
      </c>
      <c r="C24682" s="4" t="n">
        <v>2900.00</v>
      </c>
      <c r="D24682" s="4"/>
    </row>
    <row collapsed="" customFormat="false" customHeight="1" hidden="" ht="14" outlineLevel="0" r="24683">
      <c r="A24683" s="3" t="inlineStr">
        <is>
          <t>24581</t>
        </is>
      </c>
      <c r="B24683" s="4" t="s">
        <f>=HYPERLINK("http://anyluxury.ru/shop/posuda/butylki-dlya-vody/termobutilka-hot-and-cold-one-500-golubaya-1285814/" , "12858.14 Термобутылка Hot &amp; Cold One 500, голубая")</f>
      </c>
      <c r="C24683" s="4" t="n">
        <v>2900.00</v>
      </c>
      <c r="D24683" s="4"/>
    </row>
    <row collapsed="" customFormat="false" customHeight="1" hidden="" ht="14" outlineLevel="0" r="24684">
      <c r="A24684" s="3" t="inlineStr">
        <is>
          <t>24582</t>
        </is>
      </c>
      <c r="B24684" s="4" t="s">
        <f>=HYPERLINK("http://anyluxury.ru/shop/posuda/butylki-dlya-vody/termobutilka-hot-and-cold-one-500-zelenaya-1285890/" , "12858.90 Термобутылка Hot &amp; Cold One 500, зеленая")</f>
      </c>
      <c r="C24684" s="4" t="n">
        <v>2900.00</v>
      </c>
      <c r="D24684" s="4"/>
    </row>
    <row collapsed="" customFormat="false" customHeight="1" hidden="" ht="14" outlineLevel="0" r="24685">
      <c r="A24685" s="3" t="inlineStr">
        <is>
          <t>24583</t>
        </is>
      </c>
      <c r="B24685" s="4" t="s">
        <f>=HYPERLINK("http://anyluxury.ru/shop/posuda/butylki-dlya-vody/termobutilka-hot-and-cold-one-500-rozovaya-1285815/" , "12858.15 Термобутылка Hot &amp; Cold One 500, розовая")</f>
      </c>
      <c r="C24685" s="4" t="n">
        <v>2900.00</v>
      </c>
      <c r="D24685" s="4"/>
    </row>
    <row collapsed="" customFormat="false" customHeight="1" hidden="" ht="14" outlineLevel="0" r="24686">
      <c r="A24686" s="3" t="inlineStr">
        <is>
          <t>24584</t>
        </is>
      </c>
      <c r="B24686" s="4" t="s">
        <f>=HYPERLINK("http://anyluxury.ru/shop/posuda/butylki-dlya-vody/termobutilka-hot-and-cold-one-300-belaya-1285960/" , "12859.60 Термобутылка Hot &amp; Cold One 300, белая")</f>
      </c>
      <c r="C24686" s="4" t="n">
        <v>2600.00</v>
      </c>
      <c r="D24686" s="4"/>
    </row>
    <row collapsed="" customFormat="false" customHeight="1" hidden="" ht="14" outlineLevel="0" r="24687">
      <c r="A24687" s="3" t="inlineStr">
        <is>
          <t>24585</t>
        </is>
      </c>
      <c r="B24687" s="4" t="s">
        <f>=HYPERLINK("http://anyluxury.ru/shop/posuda/butylki-dlya-vody/termobutilka-s-chashkoy-hot-and-cold-one-750-stalnaya-1286011/" , "12860.11 Термобутылка с чашкой Hot &amp; Cold One 750, стальная")</f>
      </c>
      <c r="C24687" s="4" t="n">
        <v>2900.00</v>
      </c>
      <c r="D24687" s="4"/>
    </row>
    <row collapsed="" customFormat="false" customHeight="1" hidden="" ht="14" outlineLevel="0" r="24688">
      <c r="A24688" s="3" t="inlineStr">
        <is>
          <t>24586</t>
        </is>
      </c>
      <c r="B24688" s="4" t="s">
        <f>=HYPERLINK("http://anyluxury.ru/shop/posuda/butylki-dlya-vody/termobutilka-hot-and-cold-one-1000-stalnaya-1286111/" , "12861.11 Термобутылка Hot &amp; Cold One 1000, стальная")</f>
      </c>
      <c r="C24688" s="4" t="n">
        <v>3300.00</v>
      </c>
      <c r="D24688" s="4"/>
    </row>
    <row collapsed="" customFormat="false" customHeight="1" hidden="" ht="14" outlineLevel="0" r="24689">
      <c r="A24689" s="3" t="inlineStr">
        <is>
          <t>24587</t>
        </is>
      </c>
      <c r="B24689" s="4" t="s">
        <f>=HYPERLINK("http://anyluxury.ru/shop/posuda/butylki-dlya-vody/butilka-dlya-vodi-cyd-alu-bezhevaya-1286200/" , "12862.00 Бутылка для воды Cyd Alu, бежевая")</f>
      </c>
      <c r="C24689" s="4" t="n">
        <v>2500.00</v>
      </c>
      <c r="D24689" s="4"/>
    </row>
    <row collapsed="" customFormat="false" customHeight="1" hidden="" ht="14" outlineLevel="0" r="24690">
      <c r="A24690" s="3" t="inlineStr">
        <is>
          <t>24588</t>
        </is>
      </c>
      <c r="B24690" s="4" t="s">
        <f>=HYPERLINK("http://anyluxury.ru/shop/posuda/butylki-dlya-vody/butilka-dlya-vodi-cyd-alu-golubaya-1286240/" , "12862.40 Бутылка для воды Cyd Alu, голубая")</f>
      </c>
      <c r="C24690" s="4" t="n">
        <v>2500.00</v>
      </c>
      <c r="D24690" s="4"/>
    </row>
    <row collapsed="" customFormat="false" customHeight="1" hidden="" ht="14" outlineLevel="0" r="24691">
      <c r="A24691" s="3" t="inlineStr">
        <is>
          <t>24589</t>
        </is>
      </c>
      <c r="B24691" s="4" t="s">
        <f>=HYPERLINK("http://anyluxury.ru/shop/posuda/butylki-dlya-vody/butilka-dlya-vodi-cyd-alu-zelenaya-1286290/" , "12862.90 Бутылка для воды Cyd Alu, зеленая")</f>
      </c>
      <c r="C24691" s="4" t="n">
        <v>2500.00</v>
      </c>
      <c r="D24691" s="4"/>
    </row>
    <row collapsed="" customFormat="false" customHeight="1" hidden="" ht="14" outlineLevel="0" r="24692">
      <c r="A24692" s="3" t="inlineStr">
        <is>
          <t>24590</t>
        </is>
      </c>
      <c r="B24692" s="4" t="s">
        <f>=HYPERLINK("http://anyluxury.ru/shop/posuda/butylki-dlya-vody/butilka-dlya-vodi-cyd-alu-krasnaya-1286250/" , "12862.50 Бутылка для воды Cyd Alu, красная")</f>
      </c>
      <c r="C24692" s="4" t="n">
        <v>2500.00</v>
      </c>
      <c r="D24692" s="4"/>
    </row>
    <row collapsed="" customFormat="false" customHeight="1" hidden="" ht="14" outlineLevel="0" r="24693">
      <c r="A24693" s="3" t="inlineStr">
        <is>
          <t>24591</t>
        </is>
      </c>
      <c r="B24693" s="4" t="s">
        <f>=HYPERLINK("http://anyluxury.ru/shop/posuda/butylki-dlya-vody/butilka-dlya-vodi-cyd-alu-seraya-1286210/" , "12862.10 Бутылка для воды Cyd Alu, серая")</f>
      </c>
      <c r="C24693" s="4" t="n">
        <v>2500.00</v>
      </c>
      <c r="D24693" s="4"/>
    </row>
    <row collapsed="" customFormat="false" customHeight="1" hidden="" ht="14" outlineLevel="0" r="24694">
      <c r="A24694" s="3" t="inlineStr">
        <is>
          <t>24592</t>
        </is>
      </c>
      <c r="B24694" s="4" t="s">
        <f>=HYPERLINK("http://anyluxury.ru/shop/posuda/butylki-dlya-vody/butilka-dlya-vodi-cyd-alu-fioletovaya-1286270/" , "12862.70 Бутылка для воды Cyd Alu, фиолетовая")</f>
      </c>
      <c r="C24694" s="4" t="n">
        <v>2500.00</v>
      </c>
      <c r="D24694" s="4"/>
    </row>
    <row collapsed="" customFormat="false" customHeight="1" hidden="" ht="14" outlineLevel="0" r="24695">
      <c r="A24695" s="3" t="inlineStr">
        <is>
          <t>24593</t>
        </is>
      </c>
      <c r="B24695" s="4" t="s">
        <f>=HYPERLINK("http://anyluxury.ru/shop/posuda/butylki-dlya-vody/butilka-dlya-vodi-lucid-600-sinyaya-1286340/" , "12863.40 Бутылка для воды Lucid 600, синяя")</f>
      </c>
      <c r="C24695" s="4" t="n">
        <v>1900.00</v>
      </c>
      <c r="D24695" s="4"/>
    </row>
    <row collapsed="" customFormat="false" customHeight="1" hidden="" ht="14" outlineLevel="0" r="24696">
      <c r="A24696" s="3" t="inlineStr">
        <is>
          <t>24594</t>
        </is>
      </c>
      <c r="B24696" s="4" t="s">
        <f>=HYPERLINK("http://anyluxury.ru/shop/posuda/butylki-dlya-vody/butilka-dlya-vodi-lucid-600-seraya-1286310/" , "12863.10 Бутылка для воды Lucid 600, серая")</f>
      </c>
      <c r="C24696" s="4" t="n">
        <v>1900.00</v>
      </c>
      <c r="D24696" s="4"/>
    </row>
    <row collapsed="" customFormat="false" customHeight="1" hidden="" ht="14" outlineLevel="0" r="24697">
      <c r="A24697" s="3" t="inlineStr">
        <is>
          <t>24595</t>
        </is>
      </c>
      <c r="B24697" s="4" t="s">
        <f>=HYPERLINK("http://anyluxury.ru/shop/posuda/butylki-dlya-vody/butilka-dlya-vodi-lucid-1000-seraya-1286410/" , "12864.10 Бутылка для воды Lucid 1000, серая")</f>
      </c>
      <c r="C24697" s="4" t="n">
        <v>2200.00</v>
      </c>
      <c r="D24697" s="4"/>
    </row>
    <row collapsed="" customFormat="false" customHeight="1" hidden="" ht="14" outlineLevel="0" r="24698">
      <c r="A24698" s="3" t="inlineStr">
        <is>
          <t>24596</t>
        </is>
      </c>
      <c r="B24698" s="4" t="s">
        <f>=HYPERLINK("http://anyluxury.ru/shop/posuda/butylki-dlya-vody/butilka-dlya-vodi-lucid-1000-sinyaya-1286440/" , "12864.40 Бутылка для воды Lucid 1000, синяя")</f>
      </c>
      <c r="C24698" s="4" t="n">
        <v>2200.00</v>
      </c>
      <c r="D24698" s="4"/>
    </row>
    <row collapsed="" customFormat="false" customHeight="1" hidden="" ht="14" outlineLevel="0" r="24699">
      <c r="A24699" s="3" t="inlineStr">
        <is>
          <t>24597</t>
        </is>
      </c>
      <c r="B24699" s="4" t="s">
        <f>=HYPERLINK("http://anyluxury.ru/shop/posuda/butylki-dlya-vody/butilka-dlya-vodi-miracle-golubaya-1286540/" , "12865.40 Бутылка для воды Miracle, голубая")</f>
      </c>
      <c r="C24699" s="4" t="n">
        <v>2500.00</v>
      </c>
      <c r="D24699" s="4"/>
    </row>
    <row collapsed="" customFormat="false" customHeight="1" hidden="" ht="14" outlineLevel="0" r="24700">
      <c r="A24700" s="3" t="inlineStr">
        <is>
          <t>24598</t>
        </is>
      </c>
      <c r="B24700" s="4" t="s">
        <f>=HYPERLINK("http://anyluxury.ru/shop/posuda/butylki-dlya-vody/butilka-dlya-vodi-miracle-alu-rozovaya-1286615/" , "12866.15 Бутылка для воды Miracle Alu, розовая")</f>
      </c>
      <c r="C24700" s="4" t="n">
        <v>2500.00</v>
      </c>
      <c r="D24700" s="4"/>
    </row>
    <row collapsed="" customFormat="false" customHeight="1" hidden="" ht="14" outlineLevel="0" r="24701">
      <c r="A24701" s="3" t="inlineStr">
        <is>
          <t>24599</t>
        </is>
      </c>
      <c r="B24701" s="4" t="s">
        <f>=HYPERLINK("http://anyluxury.ru/shop/posuda/butylki-dlya-vody/butilka-dlya-vodi-miracle-alu-temnosinyaya-1286640/" , "12866.40 Бутылка для воды Miracle Alu, темно-синяя")</f>
      </c>
      <c r="C24701" s="4" t="n">
        <v>2500.00</v>
      </c>
      <c r="D24701" s="4"/>
    </row>
    <row collapsed="" customFormat="false" customHeight="1" hidden="" ht="14" outlineLevel="0" r="24702">
      <c r="A24702" s="3" t="inlineStr">
        <is>
          <t>24600</t>
        </is>
      </c>
      <c r="B24702" s="4" t="s">
        <f>=HYPERLINK("http://anyluxury.ru/shop/posuda/butylki-dlya-vody/butilka-dlya-vodi-miracle-alu-biryuzovaya-1286642/" , "12866.42 Бутылка для воды Miracle Alu, бирюзовая")</f>
      </c>
      <c r="C24702" s="4" t="n">
        <v>2500.00</v>
      </c>
      <c r="D24702" s="4"/>
    </row>
    <row collapsed="" customFormat="false" customHeight="1" hidden="" ht="14" outlineLevel="0" r="24703">
      <c r="A24703" s="3" t="inlineStr">
        <is>
          <t>24601</t>
        </is>
      </c>
      <c r="B24703" s="4" t="s">
        <f>=HYPERLINK("http://anyluxury.ru/shop/posuda/butylki-dlya-vody/butilka-dlya-vodi-total-clear-one-sinyaya-1286740/" , "12867.40 Бутылка для воды Total Clear One, синяя")</f>
      </c>
      <c r="C24703" s="4" t="n">
        <v>1900.00</v>
      </c>
      <c r="D24703" s="4"/>
    </row>
    <row collapsed="" customFormat="false" customHeight="1" hidden="" ht="14" outlineLevel="0" r="24704">
      <c r="A24704" s="3" t="inlineStr">
        <is>
          <t>24602</t>
        </is>
      </c>
      <c r="B24704" s="4" t="s">
        <f>=HYPERLINK("http://anyluxury.ru/shop/posuda/butylki-dlya-vody/butilka-dlya-vodi-total-clear-one-zelenaya-1286790/" , "12867.90 Бутылка для воды Total Clear One, зеленая")</f>
      </c>
      <c r="C24704" s="4" t="n">
        <v>1900.00</v>
      </c>
      <c r="D24704" s="4"/>
    </row>
    <row collapsed="" customFormat="false" customHeight="1" hidden="" ht="14" outlineLevel="0" r="24705">
      <c r="A24705" s="3" t="inlineStr">
        <is>
          <t>24603</t>
        </is>
      </c>
      <c r="B24705" s="4" t="s">
        <f>=HYPERLINK("http://anyluxury.ru/shop/posuda/butylki-dlya-vody/butilka-dlya-vodi-total-clear-one-krasnaya-1286750/" , "12867.50 Бутылка для воды Total Clear One, красная")</f>
      </c>
      <c r="C24705" s="4" t="n">
        <v>1900.00</v>
      </c>
      <c r="D24705" s="4"/>
    </row>
    <row collapsed="" customFormat="false" customHeight="1" hidden="" ht="14" outlineLevel="0" r="24706">
      <c r="A24706" s="3" t="inlineStr">
        <is>
          <t>24604</t>
        </is>
      </c>
      <c r="B24706" s="4" t="s">
        <f>=HYPERLINK("http://anyluxury.ru/shop/posuda/butylki-dlya-vody/butilka-dlya-vodi-total-clear-one-biryuzovaya-1286742/" , "12867.42 Бутылка для воды Total Clear One, бирюзовая")</f>
      </c>
      <c r="C24706" s="4" t="n">
        <v>1900.00</v>
      </c>
      <c r="D24706" s="4"/>
    </row>
    <row collapsed="" customFormat="false" customHeight="1" hidden="" ht="14" outlineLevel="0" r="24707">
      <c r="A24707" s="3" t="inlineStr">
        <is>
          <t>24605</t>
        </is>
      </c>
      <c r="B24707" s="4" t="s">
        <f>=HYPERLINK("http://anyluxury.ru/shop/posuda/butylki-dlya-vody/butilka-dlya-vodi-total-clear-one-rozovaya-1286715/" , "12867.15 Бутылка для воды Total Clear One, розовая")</f>
      </c>
      <c r="C24707" s="4" t="n">
        <v>1900.00</v>
      </c>
      <c r="D24707" s="4"/>
    </row>
    <row collapsed="" customFormat="false" customHeight="1" hidden="" ht="14" outlineLevel="0" r="24708">
      <c r="A24708" s="3" t="inlineStr">
        <is>
          <t>24606</t>
        </is>
      </c>
      <c r="B24708" s="4" t="s">
        <f>=HYPERLINK("http://anyluxury.ru/shop/posuda/butylki-dlya-vody/butilka-dlya-vodi-total-clear-one-seraya-1286710/" , "12867.10 Бутылка для воды Total Clear One, серая")</f>
      </c>
      <c r="C24708" s="4" t="n">
        <v>1900.00</v>
      </c>
      <c r="D24708" s="4"/>
    </row>
    <row collapsed="" customFormat="false" customHeight="1" hidden="" ht="14" outlineLevel="0" r="24709">
      <c r="A24709" s="3" t="inlineStr">
        <is>
          <t>24607</t>
        </is>
      </c>
      <c r="B24709" s="4" t="s">
        <f>=HYPERLINK("http://anyluxury.ru/shop/posuda/butylki-dlya-vody/butilka-dlya-vodi-viva-one-golubaya-1286840/" , "12868.40 Бутылка для воды Viva One, голубая")</f>
      </c>
      <c r="C24709" s="4" t="n">
        <v>1700.00</v>
      </c>
      <c r="D24709" s="4"/>
    </row>
    <row collapsed="" customFormat="false" customHeight="1" hidden="" ht="14" outlineLevel="0" r="24710">
      <c r="A24710" s="3" t="inlineStr">
        <is>
          <t>24608</t>
        </is>
      </c>
      <c r="B24710" s="4" t="s">
        <f>=HYPERLINK("http://anyluxury.ru/shop/posuda/butylki-dlya-vody/butilka-dlya-vodi-viva-one-zelenaya-1286890/" , "12868.90 Бутылка для воды Viva One, зеленая")</f>
      </c>
      <c r="C24710" s="4" t="n">
        <v>1700.00</v>
      </c>
      <c r="D24710" s="4"/>
    </row>
    <row collapsed="" customFormat="false" customHeight="1" hidden="" ht="14" outlineLevel="0" r="24711">
      <c r="A24711" s="3" t="inlineStr">
        <is>
          <t>24609</t>
        </is>
      </c>
      <c r="B24711" s="4" t="s">
        <f>=HYPERLINK("http://anyluxury.ru/shop/posuda/butylki-dlya-vody/butilka-dlya-vodi-glass-wmb-belaya-1286960/" , "12869.60 Бутылка для воды Glass WMB, белая")</f>
      </c>
      <c r="C24711" s="4" t="n">
        <v>2900.00</v>
      </c>
      <c r="D24711" s="4"/>
    </row>
    <row collapsed="" customFormat="false" customHeight="1" hidden="" ht="14" outlineLevel="0" r="24712">
      <c r="A24712" s="3" t="inlineStr">
        <is>
          <t>24610</t>
        </is>
      </c>
      <c r="B24712" s="4" t="s">
        <f>=HYPERLINK("http://anyluxury.ru/shop/posuda/butylki-dlya-vody/butilka-dlya-vodi-glass-wmb-golubaya-1286914/" , "12869.14 Бутылка для воды Glass WMB, голубая")</f>
      </c>
      <c r="C24712" s="4" t="n">
        <v>2900.00</v>
      </c>
      <c r="D24712" s="4"/>
    </row>
    <row collapsed="" customFormat="false" customHeight="1" hidden="" ht="14" outlineLevel="0" r="24713">
      <c r="A24713" s="3" t="inlineStr">
        <is>
          <t>24611</t>
        </is>
      </c>
      <c r="B24713" s="4" t="s">
        <f>=HYPERLINK("http://anyluxury.ru/shop/posuda/butylki-dlya-vody/butilka-dlya-vodi-glass-wmb-zelenaya-1286990/" , "12869.90 Бутылка для воды Glass WMB, зеленая")</f>
      </c>
      <c r="C24713" s="4" t="n">
        <v>2900.00</v>
      </c>
      <c r="D24713" s="4"/>
    </row>
    <row collapsed="" customFormat="false" customHeight="1" hidden="" ht="14" outlineLevel="0" r="24714">
      <c r="A24714" s="3" t="inlineStr">
        <is>
          <t>24612</t>
        </is>
      </c>
      <c r="B24714" s="4" t="s">
        <f>=HYPERLINK("http://anyluxury.ru/shop/posuda/butylki-dlya-vody/butilka-dlya-vodi-glass-wmb-krasnaya-1286950/" , "12869.50 Бутылка для воды Glass WMB, красная")</f>
      </c>
      <c r="C24714" s="4" t="n">
        <v>2900.00</v>
      </c>
      <c r="D24714" s="4"/>
    </row>
    <row collapsed="" customFormat="false" customHeight="1" hidden="" ht="14" outlineLevel="0" r="24715">
      <c r="A24715" s="3" t="inlineStr">
        <is>
          <t>24613</t>
        </is>
      </c>
      <c r="B24715" s="4" t="s">
        <f>=HYPERLINK("http://anyluxury.ru/shop/posuda/butylki-dlya-vody/butilka-dlya-vodi-glass-wmb-rozovaya-1286915/" , "12869.15 Бутылка для воды Glass WMB, розовая")</f>
      </c>
      <c r="C24715" s="4" t="n">
        <v>2900.00</v>
      </c>
      <c r="D24715" s="4"/>
    </row>
    <row collapsed="" customFormat="false" customHeight="1" hidden="" ht="14" outlineLevel="0" r="24716">
      <c r="A24716" s="3" t="inlineStr">
        <is>
          <t>24614</t>
        </is>
      </c>
      <c r="B24716" s="4" t="s">
        <f>=HYPERLINK("http://anyluxury.ru/shop/posuda/butylki-dlya-vody/butilka-dlya-vodi-glass-wmb-sinyaya-1286940/" , "12869.40 Бутылка для воды Glass WMB, синяя")</f>
      </c>
      <c r="C24716" s="4" t="n">
        <v>2900.00</v>
      </c>
      <c r="D24716" s="4"/>
    </row>
    <row collapsed="" customFormat="false" customHeight="1" hidden="" ht="14" outlineLevel="0" r="24717">
      <c r="A24717" s="3" t="inlineStr">
        <is>
          <t>24615</t>
        </is>
      </c>
      <c r="B24717" s="4" t="s">
        <f>=HYPERLINK("http://anyluxury.ru/shop/posuda/butylki-dlya-vody/butilka-dlya-vodi-zoku-golubaya-1260140/" , "12601.40 Бутылка для воды Zoku, голубая")</f>
      </c>
      <c r="C24717" s="4" t="n">
        <v>4190.00</v>
      </c>
      <c r="D24717" s="4"/>
    </row>
    <row collapsed="" customFormat="false" customHeight="1" hidden="" ht="14" outlineLevel="0" r="24718">
      <c r="A24718" s="3" t="inlineStr">
        <is>
          <t>24616</t>
        </is>
      </c>
      <c r="B24718" s="4" t="s">
        <f>=HYPERLINK("http://anyluxury.ru/shop/posuda/butylki-dlya-vody/vakuumnaya-butilka-dlya-vodi-zoku-rozovaya-1260215/" , "12602.15 Вакуумная бутылка для воды Zoku, розовая")</f>
      </c>
      <c r="C24718" s="4" t="n">
        <v>2390.00</v>
      </c>
      <c r="D24718" s="4"/>
    </row>
    <row collapsed="" customFormat="false" customHeight="1" hidden="" ht="14" outlineLevel="0" r="24719">
      <c r="A24719" s="3" t="inlineStr">
        <is>
          <t>24617</t>
        </is>
      </c>
      <c r="B24719" s="4" t="s">
        <f>=HYPERLINK("http://anyluxury.ru/shop/posuda/butylki-dlya-vody/vakuumnaya-butilka-dlya-vodi-zoku-sinyaya-1260240/" , "12602.40 Вакуумная бутылка для воды Zoku, синяя")</f>
      </c>
      <c r="C24719" s="4" t="n">
        <v>2390.00</v>
      </c>
      <c r="D24719" s="4"/>
    </row>
    <row collapsed="" customFormat="false" customHeight="1" hidden="" ht="14" outlineLevel="0" r="24720">
      <c r="A24720" s="3" t="inlineStr">
        <is>
          <t>24618</t>
        </is>
      </c>
      <c r="B24720" s="4" t="s">
        <f>=HYPERLINK("http://anyluxury.ru/shop/posuda/butylki-dlya-vody/vakuumnaya-butilka-dlya-vodi-zoku-chernaya-1260230/" , "12602.30 Вакуумная бутылка для воды Zoku, черная")</f>
      </c>
      <c r="C24720" s="4" t="n">
        <v>2390.00</v>
      </c>
      <c r="D24720" s="4"/>
    </row>
    <row collapsed="" customFormat="false" customHeight="1" hidden="" ht="14" outlineLevel="0" r="24721">
      <c r="A24721" s="3" t="inlineStr">
        <is>
          <t>24619</t>
        </is>
      </c>
      <c r="B24721" s="4" t="s">
        <f>=HYPERLINK("http://anyluxury.ru/shop/posuda/butylki-dlya-vody/termos-zoku-500-stalnoy-1262711/" , "12627.11 Термобутылка Zoku 500, стальной")</f>
      </c>
      <c r="C24721" s="4" t="n">
        <v>2990.00</v>
      </c>
      <c r="D24721" s="4"/>
    </row>
    <row collapsed="" customFormat="false" customHeight="1" hidden="" ht="14" outlineLevel="0" r="24722">
      <c r="A24722" s="3" t="inlineStr">
        <is>
          <t>24620</t>
        </is>
      </c>
      <c r="B24722" s="4" t="s">
        <f>=HYPERLINK("http://anyluxury.ru/shop/posuda/butylki-dlya-vody/termos-zoku-750-cherniy-1262830/" , "12628.30 Термобутылка Zoku 750, черный")</f>
      </c>
      <c r="C24722" s="4" t="n">
        <v>2990.00</v>
      </c>
      <c r="D24722" s="4"/>
    </row>
    <row collapsed="" customFormat="false" customHeight="1" hidden="" ht="14" outlineLevel="0" r="24723">
      <c r="A24723" s="3" t="inlineStr">
        <is>
          <t>24621</t>
        </is>
      </c>
      <c r="B24723" s="4" t="s">
        <f>=HYPERLINK("http://anyluxury.ru/shop/posuda/butylki-dlya-vody/butilka-dlya-vodi-deluxe-iz-nerzhaveyushhey-stali-500-ml-p436410/" , "P436.410 Бутылка для воды Deluxe из нержавеющей стали, 500 мл")</f>
      </c>
      <c r="C24723" s="4" t="n">
        <v>899.00</v>
      </c>
      <c r="D24723" s="4"/>
    </row>
    <row collapsed="" customFormat="false" customHeight="1" hidden="" ht="14" outlineLevel="0" r="24724">
      <c r="A24724" s="3" t="inlineStr">
        <is>
          <t>24622</t>
        </is>
      </c>
      <c r="B24724" s="4" t="s">
        <f>=HYPERLINK("http://anyluxury.ru/shop/posuda/butylki-dlya-vody/butilka-dlya-vodi-eva-solo-to-go-krasnaya-1479950/" , "14799.50 Бутылка для воды Eva Solo To Go, красная")</f>
      </c>
      <c r="C24724" s="4" t="n">
        <v>2390.00</v>
      </c>
      <c r="D24724" s="4"/>
    </row>
    <row collapsed="" customFormat="false" customHeight="1" hidden="" ht="14" outlineLevel="0" r="24725">
      <c r="A24725" s="3" t="inlineStr">
        <is>
          <t>24623</t>
        </is>
      </c>
      <c r="B24725" s="4" t="s">
        <f>=HYPERLINK("http://anyluxury.ru/shop/posuda/butylki-dlya-vody/butilka-dlya-vodi-active-svetlozelenaya-1480094/" , "14800.94 Бутылка для воды Active, светло-зеленая")</f>
      </c>
      <c r="C24725" s="4" t="n">
        <v>3100.00</v>
      </c>
      <c r="D24725" s="4"/>
    </row>
    <row collapsed="" customFormat="false" customHeight="1" hidden="" ht="14" outlineLevel="0" r="24726">
      <c r="A24726" s="3" t="inlineStr">
        <is>
          <t>24624</t>
        </is>
      </c>
      <c r="B24726" s="4" t="s">
        <f>=HYPERLINK("http://anyluxury.ru/shop/posuda/butylki-dlya-vody/butilka-dlya-vodi-eva-solo-to-go-bezhevaya-1479900/" , "14799.00 Бутылка для воды Eva Solo To Go, бежевая")</f>
      </c>
      <c r="C24726" s="4" t="n">
        <v>2750.00</v>
      </c>
      <c r="D24726" s="4"/>
    </row>
    <row collapsed="" customFormat="false" customHeight="1" hidden="" ht="14" outlineLevel="0" r="24727">
      <c r="A24727" s="3" t="inlineStr">
        <is>
          <t>24625</t>
        </is>
      </c>
      <c r="B24727" s="4" t="s">
        <f>=HYPERLINK("http://anyluxury.ru/shop/posuda/butylki-dlya-vody/butilka-dlya-vodi-eva-solo-to-go-biryuzovaya-1479944/" , "14799.44 Бутылка для воды Eva Solo To Go, бирюзовая")</f>
      </c>
      <c r="C24727" s="4" t="n">
        <v>2390.00</v>
      </c>
      <c r="D24727" s="4"/>
    </row>
    <row collapsed="" customFormat="false" customHeight="1" hidden="" ht="14" outlineLevel="0" r="24728">
      <c r="A24728" s="3" t="inlineStr">
        <is>
          <t>24626</t>
        </is>
      </c>
      <c r="B24728" s="4" t="s">
        <f>=HYPERLINK("http://anyluxury.ru/shop/posuda/butylki-dlya-vody/butilka-dlya-vodi-eva-solo-to-go-golubaya-1479941/" , "14799.41 Бутылка для воды Eva Solo To Go, голубая")</f>
      </c>
      <c r="C24728" s="4" t="n">
        <v>2750.00</v>
      </c>
      <c r="D24728" s="4"/>
    </row>
    <row collapsed="" customFormat="false" customHeight="1" hidden="" ht="14" outlineLevel="0" r="24729">
      <c r="A24729" s="3" t="inlineStr">
        <is>
          <t>24627</t>
        </is>
      </c>
      <c r="B24729" s="4" t="s">
        <f>=HYPERLINK("http://anyluxury.ru/shop/posuda/butylki-dlya-vody/butilka-dlya-vodi-eva-solo-to-go-svetlozelenaya-1479994/" , "14799.94 Бутылка для воды Eva Solo To Go, светло-зеленая")</f>
      </c>
      <c r="C24729" s="4" t="n">
        <v>2750.00</v>
      </c>
      <c r="D24729" s="4"/>
    </row>
    <row collapsed="" customFormat="false" customHeight="1" hidden="" ht="14" outlineLevel="0" r="24730">
      <c r="A24730" s="3" t="inlineStr">
        <is>
          <t>24628</t>
        </is>
      </c>
      <c r="B24730" s="4" t="s">
        <f>=HYPERLINK("http://anyluxury.ru/shop/posuda/butylki-dlya-vody/butilka-dlya-vodi-eva-solo-to-go-svetloseraya-1479913/" , "14799.13 Бутылка для воды Eva Solo To Go, светло-серая")</f>
      </c>
      <c r="C24730" s="4" t="n">
        <v>3030.00</v>
      </c>
      <c r="D24730" s="4"/>
    </row>
    <row collapsed="" customFormat="false" customHeight="1" hidden="" ht="14" outlineLevel="0" r="24731">
      <c r="A24731" s="3" t="inlineStr">
        <is>
          <t>24629</t>
        </is>
      </c>
      <c r="B24731" s="4" t="s">
        <f>=HYPERLINK("http://anyluxury.ru/shop/posuda/butylki-dlya-vody/butilka-dlya-vodi-eva-solo-to-go-oranzhevaya-1479920/" , "14799.20 Бутылка для воды Eva Solo To Go, оранжевая")</f>
      </c>
      <c r="C24731" s="4" t="n">
        <v>2750.00</v>
      </c>
      <c r="D24731" s="4"/>
    </row>
    <row collapsed="" customFormat="false" customHeight="1" hidden="" ht="14" outlineLevel="0" r="24732">
      <c r="A24732" s="3" t="inlineStr">
        <is>
          <t>24630</t>
        </is>
      </c>
      <c r="B24732" s="4" t="s">
        <f>=HYPERLINK("http://anyluxury.ru/shop/posuda/butylki-dlya-vody/butilka-dlya-vodi-eva-solo-to-go-svetlooranzhevaya-1479921/" , "14799.21 Бутылка для воды Eva Solo To Go, светло-оранжевая")</f>
      </c>
      <c r="C24732" s="4" t="n">
        <v>2390.00</v>
      </c>
      <c r="D24732" s="4"/>
    </row>
    <row collapsed="" customFormat="false" customHeight="1" hidden="" ht="14" outlineLevel="0" r="24733">
      <c r="A24733" s="3" t="inlineStr">
        <is>
          <t>24631</t>
        </is>
      </c>
      <c r="B24733" s="4" t="s">
        <f>=HYPERLINK("http://anyluxury.ru/shop/posuda/butylki-dlya-vody/butilka-dlya-vodi-eva-solo-to-go-seraya-1479911/" , "14799.11 Бутылка для воды Eva Solo To Go, серая")</f>
      </c>
      <c r="C24733" s="4" t="n">
        <v>3490.00</v>
      </c>
      <c r="D24733" s="4"/>
    </row>
    <row collapsed="" customFormat="false" customHeight="1" hidden="" ht="14" outlineLevel="0" r="24734">
      <c r="A24734" s="3" t="inlineStr">
        <is>
          <t>24632</t>
        </is>
      </c>
      <c r="B24734" s="4" t="s">
        <f>=HYPERLINK("http://anyluxury.ru/shop/posuda/butylki-dlya-vody/butilka-dlya-vodi-eva-solo-to-go-temnosinyaya-1479943/" , "14799.43 Бутылка для воды Eva Solo To Go, темно-синяя")</f>
      </c>
      <c r="C24734" s="4" t="n">
        <v>3030.00</v>
      </c>
      <c r="D24734" s="4"/>
    </row>
    <row collapsed="" customFormat="false" customHeight="1" hidden="" ht="14" outlineLevel="0" r="24735">
      <c r="A24735" s="3" t="inlineStr">
        <is>
          <t>24633</t>
        </is>
      </c>
      <c r="B24735" s="4" t="s">
        <f>=HYPERLINK("http://anyluxury.ru/shop/posuda/butylki-dlya-vody/butilka-dlya-vodi-eva-solo-to-go-rozovaya-1479915/" , "14799.15 Бутылка для воды Eva Solo To Go, розовая")</f>
      </c>
      <c r="C24735" s="4" t="n">
        <v>3030.00</v>
      </c>
      <c r="D24735" s="4"/>
    </row>
    <row collapsed="" customFormat="false" customHeight="1" hidden="" ht="14" outlineLevel="0" r="24736">
      <c r="A24736" s="3" t="inlineStr">
        <is>
          <t>24634</t>
        </is>
      </c>
      <c r="B24736" s="4" t="s">
        <f>=HYPERLINK("http://anyluxury.ru/shop/posuda/butylki-dlya-vody/butilka-dlya-vodi-eva-solo-to-go-chernaya-1479930/" , "14799.30 Бутылка для воды Eva Solo To Go, черная")</f>
      </c>
      <c r="C24736" s="4" t="n">
        <v>3490.00</v>
      </c>
      <c r="D24736" s="4"/>
    </row>
    <row collapsed="" customFormat="false" customHeight="1" hidden="" ht="14" outlineLevel="0" r="24737">
      <c r="A24737" s="3" t="inlineStr">
        <is>
          <t>24635</t>
        </is>
      </c>
      <c r="B24737" s="4" t="s">
        <f>=HYPERLINK("http://anyluxury.ru/shop/posuda/butylki-dlya-vody/butilka-dlya-vodi-active-bezhevaya-1480000/" , "14800.00 Бутылка для воды Active, бежевая")</f>
      </c>
      <c r="C24737" s="4" t="n">
        <v>3300.00</v>
      </c>
      <c r="D24737" s="4"/>
    </row>
    <row collapsed="" customFormat="false" customHeight="1" hidden="" ht="14" outlineLevel="0" r="24738">
      <c r="A24738" s="3" t="inlineStr">
        <is>
          <t>24636</t>
        </is>
      </c>
      <c r="B24738" s="4" t="s">
        <f>=HYPERLINK("http://anyluxury.ru/shop/posuda/butylki-dlya-vody/butilka-dlya-vodi-active-biryuzovaya-1480044/" , "14800.44 Бутылка для воды Active, бирюзовая")</f>
      </c>
      <c r="C24738" s="4" t="n">
        <v>3300.00</v>
      </c>
      <c r="D24738" s="4"/>
    </row>
    <row collapsed="" customFormat="false" customHeight="1" hidden="" ht="14" outlineLevel="0" r="24739">
      <c r="A24739" s="3" t="inlineStr">
        <is>
          <t>24637</t>
        </is>
      </c>
      <c r="B24739" s="4" t="s">
        <f>=HYPERLINK("http://anyluxury.ru/shop/posuda/butylki-dlya-vody/butilka-dlya-vodi-active-golubaya-1480041/" , "14800.41 Бутылка для воды Active, голубая")</f>
      </c>
      <c r="C24739" s="4" t="n">
        <v>3300.00</v>
      </c>
      <c r="D24739" s="4"/>
    </row>
    <row collapsed="" customFormat="false" customHeight="1" hidden="" ht="14" outlineLevel="0" r="24740">
      <c r="A24740" s="3" t="inlineStr">
        <is>
          <t>24638</t>
        </is>
      </c>
      <c r="B24740" s="4" t="s">
        <f>=HYPERLINK("http://anyluxury.ru/shop/posuda/butylki-dlya-vody/butilka-dlya-vodi-active-svetlooranzhevaya-1480021/" , "14800.21 Бутылка для воды Active, светло-оранжевая")</f>
      </c>
      <c r="C24740" s="4" t="n">
        <v>3300.00</v>
      </c>
      <c r="D24740" s="4"/>
    </row>
    <row collapsed="" customFormat="false" customHeight="1" hidden="" ht="14" outlineLevel="0" r="24741">
      <c r="A24741" s="3" t="inlineStr">
        <is>
          <t>24639</t>
        </is>
      </c>
      <c r="B24741" s="4" t="s">
        <f>=HYPERLINK("http://anyluxury.ru/shop/posuda/butylki-dlya-vody/butilka-dlya-vodi-active-seraya-1480011/" , "14800.11 Бутылка для воды Active, серая")</f>
      </c>
      <c r="C24741" s="4" t="n">
        <v>3300.00</v>
      </c>
      <c r="D24741" s="4"/>
    </row>
    <row collapsed="" customFormat="false" customHeight="1" hidden="" ht="14" outlineLevel="0" r="24742">
      <c r="A24742" s="3" t="inlineStr">
        <is>
          <t>24640</t>
        </is>
      </c>
      <c r="B24742" s="4" t="s">
        <f>=HYPERLINK("http://anyluxury.ru/shop/posuda/butylki-dlya-vody/butilka-dlya-vodi-active-rozovaya-1480015/" , "14800.15 Бутылка для воды Active, розовая")</f>
      </c>
      <c r="C24742" s="4" t="n">
        <v>3100.00</v>
      </c>
      <c r="D24742" s="4"/>
    </row>
    <row collapsed="" customFormat="false" customHeight="1" hidden="" ht="14" outlineLevel="0" r="24743">
      <c r="A24743" s="3" t="inlineStr">
        <is>
          <t>24641</t>
        </is>
      </c>
      <c r="B24743" s="4" t="s">
        <f>=HYPERLINK("http://anyluxury.ru/shop/posuda/butylki-dlya-vody/butilka-dlya-vodi-active-chernaya-1480030/" , "14800.30 Бутылка для воды Active, черная")</f>
      </c>
      <c r="C24743" s="4" t="n">
        <v>3300.00</v>
      </c>
      <c r="D24743" s="4"/>
    </row>
    <row collapsed="" customFormat="false" customHeight="1" hidden="" ht="14" outlineLevel="0" r="24744">
      <c r="A24744" s="3" t="inlineStr">
        <is>
          <t>24642</t>
        </is>
      </c>
      <c r="B24744" s="4" t="s">
        <f>=HYPERLINK("http://anyluxury.ru/shop/posuda/butylki-dlya-vody/butilka-dlya-vodi-myflavour-bezhevaya-1480100/" , "14801.00 Бутылка для воды MyFlavour, бежевая")</f>
      </c>
      <c r="C24744" s="4" t="n">
        <v>3100.00</v>
      </c>
      <c r="D24744" s="4"/>
    </row>
    <row collapsed="" customFormat="false" customHeight="1" hidden="" ht="14" outlineLevel="0" r="24745">
      <c r="A24745" s="3" t="inlineStr">
        <is>
          <t>24643</t>
        </is>
      </c>
      <c r="B24745" s="4" t="s">
        <f>=HYPERLINK("http://anyluxury.ru/shop/posuda/butylki-dlya-vody/butilka-dlya-vodi-myflavour-biryuzovaya-1480144/" , "14801.44 Бутылка для воды MyFlavour, бирюзовая")</f>
      </c>
      <c r="C24745" s="4" t="n">
        <v>3410.00</v>
      </c>
      <c r="D24745" s="4"/>
    </row>
    <row collapsed="" customFormat="false" customHeight="1" hidden="" ht="14" outlineLevel="0" r="24746">
      <c r="A24746" s="3" t="inlineStr">
        <is>
          <t>24644</t>
        </is>
      </c>
      <c r="B24746" s="4" t="s">
        <f>=HYPERLINK("http://anyluxury.ru/shop/posuda/butylki-dlya-vody/butilka-dlya-vodi-myflavour-golubaya-1480141/" , "14801.41 Бутылка для воды MyFlavour, голубая")</f>
      </c>
      <c r="C24746" s="4" t="n">
        <v>2850.00</v>
      </c>
      <c r="D24746" s="4"/>
    </row>
    <row collapsed="" customFormat="false" customHeight="1" hidden="" ht="14" outlineLevel="0" r="24747">
      <c r="A24747" s="3" t="inlineStr">
        <is>
          <t>24645</t>
        </is>
      </c>
      <c r="B24747" s="4" t="s">
        <f>=HYPERLINK("http://anyluxury.ru/shop/posuda/butylki-dlya-vody/butilka-dlya-vodi-myflavour-svetlooranzhevaya-1480121/" , "14801.21 Бутылка для воды MyFlavour, светло-оранжевая")</f>
      </c>
      <c r="C24747" s="4" t="n">
        <v>2850.00</v>
      </c>
      <c r="D24747" s="4"/>
    </row>
    <row collapsed="" customFormat="false" customHeight="1" hidden="" ht="14" outlineLevel="0" r="24748">
      <c r="A24748" s="3" t="inlineStr">
        <is>
          <t>24646</t>
        </is>
      </c>
      <c r="B24748" s="4" t="s">
        <f>=HYPERLINK("http://anyluxury.ru/shop/posuda/butylki-dlya-vody/butilka-dlya-vodi-myflavour-svetloseraya-1480111/" , "14801.11 Бутылка для воды MyFlavour, светло-серая")</f>
      </c>
      <c r="C24748" s="4" t="n">
        <v>3920.00</v>
      </c>
      <c r="D24748" s="4"/>
    </row>
    <row collapsed="" customFormat="false" customHeight="1" hidden="" ht="14" outlineLevel="0" r="24749">
      <c r="A24749" s="3" t="inlineStr">
        <is>
          <t>24647</t>
        </is>
      </c>
      <c r="B24749" s="4" t="s">
        <f>=HYPERLINK("http://anyluxury.ru/shop/posuda/butylki-dlya-vody/butilka-dlya-vodi-myflavour-chernaya-1480130/" , "14801.30 Бутылка для воды MyFlavour, черная")</f>
      </c>
      <c r="C24749" s="4" t="n">
        <v>3920.00</v>
      </c>
      <c r="D24749" s="4"/>
    </row>
    <row collapsed="" customFormat="false" customHeight="1" hidden="" ht="14" outlineLevel="0" r="24750">
      <c r="A24750" s="3" t="inlineStr">
        <is>
          <t>24648</t>
        </is>
      </c>
      <c r="B24750" s="4" t="s">
        <f>=HYPERLINK("http://anyluxury.ru/shop/posuda/butylki-dlya-vody/butilka-ploskaya-backpack-golubaya-1480241/" , "14802.41 Бутылка плоская Backpack, голубая")</f>
      </c>
      <c r="C24750" s="4" t="n">
        <v>2600.00</v>
      </c>
      <c r="D24750" s="4"/>
    </row>
    <row collapsed="" customFormat="false" customHeight="1" hidden="" ht="14" outlineLevel="0" r="24751">
      <c r="A24751" s="3" t="inlineStr">
        <is>
          <t>24649</t>
        </is>
      </c>
      <c r="B24751" s="4" t="s">
        <f>=HYPERLINK("http://anyluxury.ru/shop/posuda/butylki-dlya-vody/butilka-ploskaya-backpack-svetlooranzhevaya-1480221/" , "14802.21 Бутылка плоская Backpack, светло-оранжевая")</f>
      </c>
      <c r="C24751" s="4" t="n">
        <v>2600.00</v>
      </c>
      <c r="D24751" s="4"/>
    </row>
    <row collapsed="" customFormat="false" customHeight="1" hidden="" ht="14" outlineLevel="0" r="24752">
      <c r="A24752" s="3" t="inlineStr">
        <is>
          <t>24650</t>
        </is>
      </c>
      <c r="B24752" s="4" t="s">
        <f>=HYPERLINK("http://anyluxury.ru/shop/posuda/butylki-dlya-vody/butilka-ploskaya-backpack-chernaya-1480230/" , "14802.30 Бутылка плоская Backpack, черная")</f>
      </c>
      <c r="C24752" s="4" t="n">
        <v>3450.00</v>
      </c>
      <c r="D24752" s="4"/>
    </row>
    <row collapsed="" customFormat="false" customHeight="1" hidden="" ht="14" outlineLevel="0" r="24753">
      <c r="A24753" s="3" t="inlineStr">
        <is>
          <t>24651</t>
        </is>
      </c>
      <c r="B24753" s="4" t="s">
        <f>=HYPERLINK("http://anyluxury.ru/shop/posuda/butylki-dlya-vody/termoflyaga-cool-bezhevaya-1498000/" , "14980.00 Термофляга Cool, бежевая")</f>
      </c>
      <c r="C24753" s="4" t="n">
        <v>4800.00</v>
      </c>
      <c r="D24753" s="4"/>
    </row>
    <row collapsed="" customFormat="false" customHeight="1" hidden="" ht="14" outlineLevel="0" r="24754">
      <c r="A24754" s="3" t="inlineStr">
        <is>
          <t>24652</t>
        </is>
      </c>
      <c r="B24754" s="4" t="s">
        <f>=HYPERLINK("http://anyluxury.ru/shop/posuda/butylki-dlya-vody/termoflyaga-cool-biryuzovaya-1498044/" , "14980.44 Термофляга Cool, бирюзовая")</f>
      </c>
      <c r="C24754" s="4" t="n">
        <v>4800.00</v>
      </c>
      <c r="D24754" s="4"/>
    </row>
    <row collapsed="" customFormat="false" customHeight="1" hidden="" ht="14" outlineLevel="0" r="24755">
      <c r="A24755" s="3" t="inlineStr">
        <is>
          <t>24653</t>
        </is>
      </c>
      <c r="B24755" s="4" t="s">
        <f>=HYPERLINK("http://anyluxury.ru/shop/posuda/butylki-dlya-vody/termoflyaga-cool-seraya-1498011/" , "14980.11 Термофляга Cool, серая")</f>
      </c>
      <c r="C24755" s="4" t="n">
        <v>4800.00</v>
      </c>
      <c r="D24755" s="4"/>
    </row>
    <row collapsed="" customFormat="false" customHeight="1" hidden="" ht="14" outlineLevel="0" r="24756">
      <c r="A24756" s="3" t="inlineStr">
        <is>
          <t>24654</t>
        </is>
      </c>
      <c r="B24756" s="4" t="s">
        <f>=HYPERLINK("http://anyluxury.ru/shop/posuda/butylki-dlya-vody/butilka-oase-organic-sinyaya-1345340/" , "13453.40 Бутылка Oase Organic, синяя")</f>
      </c>
      <c r="C24756" s="4" t="n">
        <v>1490.00</v>
      </c>
      <c r="D24756" s="4"/>
    </row>
    <row collapsed="" customFormat="false" customHeight="1" hidden="" ht="14" outlineLevel="0" r="24757">
      <c r="A24757" s="3" t="inlineStr">
        <is>
          <t>24655</t>
        </is>
      </c>
      <c r="B24757" s="4" t="s">
        <f>=HYPERLINK("http://anyluxury.ru/shop/posuda/butylki-dlya-vody/butilka-oase-organic-zelenaya-1345390/" , "13453.90 Бутылка Oase Organic, зеленая")</f>
      </c>
      <c r="C24757" s="4" t="n">
        <v>1490.00</v>
      </c>
      <c r="D24757" s="4"/>
    </row>
    <row collapsed="" customFormat="false" customHeight="1" hidden="" ht="14" outlineLevel="0" r="24758">
      <c r="A24758" s="3" t="inlineStr">
        <is>
          <t>24656</t>
        </is>
      </c>
      <c r="B24758" s="4" t="s">
        <f>=HYPERLINK("http://anyluxury.ru/shop/posuda/butylki-dlya-vody/butilka-oase-organic-rozovaya-1345351/" , "13453.51 Бутылка Oase Organic, розовая")</f>
      </c>
      <c r="C24758" s="4" t="n">
        <v>1490.00</v>
      </c>
      <c r="D24758" s="4"/>
    </row>
    <row collapsed="" customFormat="false" customHeight="1" hidden="" ht="14" outlineLevel="0" r="24759">
      <c r="A24759" s="3" t="inlineStr">
        <is>
          <t>24657</t>
        </is>
      </c>
      <c r="B24759" s="4" t="s">
        <f>=HYPERLINK("http://anyluxury.ru/shop/posuda/butylki-dlya-vody/butilka-oase-organic-seraya-1345311/" , "13453.11 Бутылка Oase Organic, серая")</f>
      </c>
      <c r="C24759" s="4" t="n">
        <v>1350.00</v>
      </c>
      <c r="D24759" s="4"/>
    </row>
    <row collapsed="" customFormat="false" customHeight="1" hidden="" ht="14" outlineLevel="0" r="24760">
      <c r="A24760" s="3" t="inlineStr">
        <is>
          <t>24658</t>
        </is>
      </c>
      <c r="B24760" s="4" t="s">
        <f>=HYPERLINK("http://anyluxury.ru/shop/posuda/butylki-dlya-vody/butilka-oase-chernaya-1345330/" , "13453.30 Бутылка Oase, черная")</f>
      </c>
      <c r="C24760" s="4" t="n">
        <v>1150.00</v>
      </c>
      <c r="D24760" s="4"/>
    </row>
    <row collapsed="" customFormat="false" customHeight="1" hidden="" ht="14" outlineLevel="0" r="24761">
      <c r="A24761" s="3" t="inlineStr">
        <is>
          <t>24659</t>
        </is>
      </c>
      <c r="B24761" s="4" t="s">
        <f>=HYPERLINK("http://anyluxury.ru/shop/posuda/butylki-dlya-vody/butilka-dlya-vodi-plopp-to-go-chernaya-1345430/" , "13454.30 Бутылка для воды Plopp To Go, черная")</f>
      </c>
      <c r="C24761" s="4" t="n">
        <v>1850.00</v>
      </c>
      <c r="D24761" s="4"/>
    </row>
    <row collapsed="" customFormat="false" customHeight="1" hidden="" ht="14" outlineLevel="0" r="24762">
      <c r="A24762" s="3" t="inlineStr">
        <is>
          <t>24660</t>
        </is>
      </c>
      <c r="B24762" s="4" t="s">
        <f>=HYPERLINK("http://anyluxury.ru/shop/posuda/butylki-dlya-vody/butilka-dlya-vodi-plopp-to-go-organic-zelenaya-1345490/" , "13454.90 Бутылка для воды Plopp To Go Organic, зеленая")</f>
      </c>
      <c r="C24762" s="4" t="n">
        <v>1990.00</v>
      </c>
      <c r="D24762" s="4"/>
    </row>
    <row collapsed="" customFormat="false" customHeight="1" hidden="" ht="14" outlineLevel="0" r="24763">
      <c r="A24763" s="3" t="inlineStr">
        <is>
          <t>24661</t>
        </is>
      </c>
      <c r="B24763" s="4" t="s">
        <f>=HYPERLINK("http://anyluxury.ru/shop/posuda/butylki-dlya-vody/butilka-dlya-vodi-plopp-to-go-organic-rozovaya-1345451/" , "13454.51 Бутылка для воды Plopp To Go Organic, розовая")</f>
      </c>
      <c r="C24763" s="4" t="n">
        <v>1990.00</v>
      </c>
      <c r="D24763" s="4"/>
    </row>
    <row collapsed="" customFormat="false" customHeight="1" hidden="" ht="14" outlineLevel="0" r="24764">
      <c r="A24764" s="3" t="inlineStr">
        <is>
          <t>24662</t>
        </is>
      </c>
      <c r="B24764" s="4" t="s">
        <f>=HYPERLINK("http://anyluxury.ru/shop/posuda/butylki-dlya-vody/butilka-dlya-vodi-plopp-to-go-organic-seraya-1345411/" , "13454.11 Бутылка для воды Plopp To Go Organic, серая")</f>
      </c>
      <c r="C24764" s="4" t="n">
        <v>1990.00</v>
      </c>
      <c r="D24764" s="4"/>
    </row>
    <row collapsed="" customFormat="false" customHeight="1" hidden="" ht="14" outlineLevel="0" r="24765">
      <c r="A24765" s="3" t="inlineStr">
        <is>
          <t>24663</t>
        </is>
      </c>
      <c r="B24765" s="4" t="s">
        <f>=HYPERLINK("http://anyluxury.ru/shop/posuda/butylki-dlya-vody/butilka-dlya-vodi-plopp-to-go-organic-sinyaya-1345440/" , "13454.40 Бутылка для воды Plopp To Go Organic, синяя")</f>
      </c>
      <c r="C24765" s="4" t="n">
        <v>1990.00</v>
      </c>
      <c r="D24765" s="4"/>
    </row>
    <row collapsed="" customFormat="false" customHeight="1" hidden="" ht="14" outlineLevel="0" r="24766">
      <c r="A24766" s="3" t="inlineStr">
        <is>
          <t>24664</t>
        </is>
      </c>
      <c r="B24766" s="4" t="s">
        <f>=HYPERLINK("http://anyluxury.ru/shop/posuda/butylki-dlya-vody/butilka-dlya-vodi-barley-krasnaya-1235150/" , "12351.50 Бутылка для воды Barley, красная")</f>
      </c>
      <c r="C24766" s="4" t="n">
        <v>417.00</v>
      </c>
      <c r="D24766" s="4"/>
    </row>
    <row collapsed="" customFormat="false" customHeight="1" hidden="" ht="14" outlineLevel="0" r="24767">
      <c r="A24767" s="3" t="inlineStr">
        <is>
          <t>24665</t>
        </is>
      </c>
      <c r="B24767" s="4" t="s">
        <f>=HYPERLINK("http://anyluxury.ru/shop/posuda/butylki-dlya-vody/butilka-dlya-vodi-barley-oranzhevaya-1235120/" , "12351.20 Бутылка для воды Barley, оранжевая")</f>
      </c>
      <c r="C24767" s="4" t="n">
        <v>417.00</v>
      </c>
      <c r="D24767" s="4"/>
    </row>
    <row collapsed="" customFormat="false" customHeight="1" hidden="" ht="14" outlineLevel="0" r="24768">
      <c r="A24768" s="3" t="inlineStr">
        <is>
          <t>24666</t>
        </is>
      </c>
      <c r="B24768" s="4" t="s">
        <f>=HYPERLINK("http://anyluxury.ru/shop/posuda/butylki-dlya-vody/termobutilka-chute-600-sinyaya-1266040/" , "12660.40 Термобутылка Chute 600, синяя")</f>
      </c>
      <c r="C24768" s="4" t="n">
        <v>2950.00</v>
      </c>
      <c r="D24768" s="4"/>
    </row>
    <row collapsed="" customFormat="false" customHeight="1" hidden="" ht="14" outlineLevel="0" r="24769">
      <c r="A24769" s="3" t="inlineStr">
        <is>
          <t>24667</t>
        </is>
      </c>
      <c r="B24769" s="4" t="s">
        <f>=HYPERLINK("http://anyluxury.ru/shop/posuda/butylki-dlya-vody/termobutilka-chute-600-belaya-1266060/" , "12660.60 Термобутылка Chute 600, белая")</f>
      </c>
      <c r="C24769" s="4" t="n">
        <v>2950.00</v>
      </c>
      <c r="D24769" s="4"/>
    </row>
    <row collapsed="" customFormat="false" customHeight="1" hidden="" ht="14" outlineLevel="0" r="24770">
      <c r="A24770" s="3" t="inlineStr">
        <is>
          <t>24668</t>
        </is>
      </c>
      <c r="B24770" s="4" t="s">
        <f>=HYPERLINK("http://anyluxury.ru/shop/posuda/butylki-dlya-vody/termobutilka-chute-600-seraya-1266010/" , "12660.10 Термобутылка Chute 600, серая")</f>
      </c>
      <c r="C24770" s="4" t="n">
        <v>2950.00</v>
      </c>
      <c r="D24770" s="4"/>
    </row>
    <row collapsed="" customFormat="false" customHeight="1" hidden="" ht="14" outlineLevel="0" r="24771">
      <c r="A24771" s="3" t="inlineStr">
        <is>
          <t>24669</t>
        </is>
      </c>
      <c r="B24771" s="4" t="s">
        <f>=HYPERLINK("http://anyluxury.ru/shop/posuda/butylki-dlya-vody/termobutilka-chute-1000-belaya-1266160/" , "12661.60 Термобутылка Chute 1000, белая")</f>
      </c>
      <c r="C24771" s="4" t="n">
        <v>3250.00</v>
      </c>
      <c r="D24771" s="4"/>
    </row>
    <row collapsed="" customFormat="false" customHeight="1" hidden="" ht="14" outlineLevel="0" r="24772">
      <c r="A24772" s="3" t="inlineStr">
        <is>
          <t>24670</t>
        </is>
      </c>
      <c r="B24772" s="4" t="s">
        <f>=HYPERLINK("http://anyluxury.ru/shop/posuda/butylki-dlya-vody/termobutilka-chute-1000-krasnaya-1266150/" , "12661.50 Термобутылка Chute 1000, красная")</f>
      </c>
      <c r="C24772" s="4" t="n">
        <v>3250.00</v>
      </c>
      <c r="D24772" s="4"/>
    </row>
    <row collapsed="" customFormat="false" customHeight="1" hidden="" ht="14" outlineLevel="0" r="24773">
      <c r="A24773" s="3" t="inlineStr">
        <is>
          <t>24671</t>
        </is>
      </c>
      <c r="B24773" s="4" t="s">
        <f>=HYPERLINK("http://anyluxury.ru/shop/posuda/butylki-dlya-vody/termobutilka-chute-1200-fioletovaya-1266270/" , "12662.70 Термобутылка Chute 1200, фиолетовая")</f>
      </c>
      <c r="C24773" s="4" t="n">
        <v>3750.00</v>
      </c>
      <c r="D24773" s="4"/>
    </row>
    <row collapsed="" customFormat="false" customHeight="1" hidden="" ht="14" outlineLevel="0" r="24774">
      <c r="A24774" s="3" t="inlineStr">
        <is>
          <t>24672</t>
        </is>
      </c>
      <c r="B24774" s="4" t="s">
        <f>=HYPERLINK("http://anyluxury.ru/shop/posuda/butylki-dlya-vody/sportivnaya-butilka-chute-400-fioletovaya-1266570/" , "12665.70 Спортивная бутылка Chute 400, фиолетовая")</f>
      </c>
      <c r="C24774" s="4" t="n">
        <v>1180.00</v>
      </c>
      <c r="D24774" s="4"/>
    </row>
    <row collapsed="" customFormat="false" customHeight="1" hidden="" ht="14" outlineLevel="0" r="24775">
      <c r="A24775" s="3" t="inlineStr">
        <is>
          <t>24673</t>
        </is>
      </c>
      <c r="B24775" s="4" t="s">
        <f>=HYPERLINK("http://anyluxury.ru/shop/posuda/butylki-dlya-vody/sportivnaya-butilka-chute-400-rozovaya-1266515/" , "12665.15 Спортивная бутылка Chute 400, розовая")</f>
      </c>
      <c r="C24775" s="4" t="n">
        <v>1180.00</v>
      </c>
      <c r="D24775" s="4"/>
    </row>
    <row collapsed="" customFormat="false" customHeight="1" hidden="" ht="14" outlineLevel="0" r="24776">
      <c r="A24776" s="3" t="inlineStr">
        <is>
          <t>24674</t>
        </is>
      </c>
      <c r="B24776" s="4" t="s">
        <f>=HYPERLINK("http://anyluxury.ru/shop/posuda/butylki-dlya-vody/sportivnaya-butilka-chute-600-fioletovaya-1266670/" , "12666.70 Спортивная бутылка Chute 600, фиолетовая")</f>
      </c>
      <c r="C24776" s="4" t="n">
        <v>1190.00</v>
      </c>
      <c r="D24776" s="4"/>
    </row>
    <row collapsed="" customFormat="false" customHeight="1" hidden="" ht="14" outlineLevel="0" r="24777">
      <c r="A24777" s="3" t="inlineStr">
        <is>
          <t>24675</t>
        </is>
      </c>
      <c r="B24777" s="4" t="s">
        <f>=HYPERLINK("http://anyluxury.ru/shop/posuda/butylki-dlya-vody/sportivnaya-butilka-chute-750-fioletovaya-1266770/" , "12667.70 Спортивная бутылка Chute 750, фиолетовая")</f>
      </c>
      <c r="C24777" s="4" t="n">
        <v>1190.00</v>
      </c>
      <c r="D24777" s="4"/>
    </row>
    <row collapsed="" customFormat="false" customHeight="1" hidden="" ht="14" outlineLevel="0" r="24778">
      <c r="A24778" s="3" t="inlineStr">
        <is>
          <t>24676</t>
        </is>
      </c>
      <c r="B24778" s="4" t="s">
        <f>=HYPERLINK("http://anyluxury.ru/shop/posuda/butylki-dlya-vody/sportivnaya-butilka-chute-1000-golubaya-1266814/" , "12668.14 Спортивная бутылка Chute 1000, голубая")</f>
      </c>
      <c r="C24778" s="4" t="n">
        <v>1350.00</v>
      </c>
      <c r="D24778" s="4"/>
    </row>
    <row collapsed="" customFormat="false" customHeight="1" hidden="" ht="14" outlineLevel="0" r="24779">
      <c r="A24779" s="3" t="inlineStr">
        <is>
          <t>24677</t>
        </is>
      </c>
      <c r="B24779" s="4" t="s">
        <f>=HYPERLINK("http://anyluxury.ru/shop/posuda/butylki-dlya-vody/termobutilka-chute-350-rozovaya-1266915/" , "12669.15 Термобутылка Chute 350, розовая")</f>
      </c>
      <c r="C24779" s="4" t="n">
        <v>2200.00</v>
      </c>
      <c r="D24779" s="4"/>
    </row>
    <row collapsed="" customFormat="false" customHeight="1" hidden="" ht="14" outlineLevel="0" r="24780">
      <c r="A24780" s="3" t="inlineStr">
        <is>
          <t>24678</t>
        </is>
      </c>
      <c r="B24780" s="4" t="s">
        <f>=HYPERLINK("http://anyluxury.ru/shop/posuda/butylki-dlya-vody/termobutilka-chute-350-sinyaya-1266940/" , "12669.40 Термобутылка Chute 350, синяя")</f>
      </c>
      <c r="C24780" s="4" t="n">
        <v>2200.00</v>
      </c>
      <c r="D24780" s="4"/>
    </row>
    <row collapsed="" customFormat="false" customHeight="1" hidden="" ht="14" outlineLevel="0" r="24781">
      <c r="A24781" s="3" t="inlineStr">
        <is>
          <t>24679</t>
        </is>
      </c>
      <c r="B24781" s="4" t="s">
        <f>=HYPERLINK("http://anyluxury.ru/shop/posuda/butylki-dlya-vody/termobutilka-chute-350-fioletovaya-1266970/" , "12669.70 Термобутылка Chute 350, фиолетовая")</f>
      </c>
      <c r="C24781" s="4" t="n">
        <v>2200.00</v>
      </c>
      <c r="D24781" s="4"/>
    </row>
    <row collapsed="" customFormat="false" customHeight="1" hidden="" ht="14" outlineLevel="0" r="24782">
      <c r="A24782" s="3" t="inlineStr">
        <is>
          <t>24680</t>
        </is>
      </c>
      <c r="B24782" s="4" t="s">
        <f>=HYPERLINK("http://anyluxury.ru/shop/posuda/butylki-dlya-vody/termobutilka-inner-peace-chernaya-1332430/" , "13324.30 Термобутылка Inner Peace, черная")</f>
      </c>
      <c r="C24782" s="4" t="n">
        <v>2650.00</v>
      </c>
      <c r="D24782" s="4"/>
    </row>
    <row collapsed="" customFormat="false" customHeight="1" hidden="" ht="14" outlineLevel="0" r="24783">
      <c r="A24783" s="3" t="inlineStr">
        <is>
          <t>24681</t>
        </is>
      </c>
      <c r="B24783" s="4" t="s">
        <f>=HYPERLINK("http://anyluxury.ru/shop/posuda/butylki-dlya-vody/termobutilka-inner-peace-sinyaya-1332440/" , "13324.40 Термобутылка Inner Peace, синяя")</f>
      </c>
      <c r="C24783" s="4" t="n">
        <v>2650.00</v>
      </c>
      <c r="D24783" s="4"/>
    </row>
    <row collapsed="" customFormat="false" customHeight="1" hidden="" ht="14" outlineLevel="0" r="24784">
      <c r="A24784" s="3" t="inlineStr">
        <is>
          <t>24682</t>
        </is>
      </c>
      <c r="B24784" s="4" t="s">
        <f>=HYPERLINK("http://anyluxury.ru/shop/posuda/butylki-dlya-vody/butilka-dlya-vodi-flavour-u-see-chernaya-1332730/" , "13327.30 Бутылка для воды Flavour U See, черная")</f>
      </c>
      <c r="C24784" s="4" t="n">
        <v>2540.00</v>
      </c>
      <c r="D24784" s="4"/>
    </row>
    <row collapsed="" customFormat="false" customHeight="1" hidden="" ht="14" outlineLevel="0" r="24785">
      <c r="A24785" s="3" t="inlineStr">
        <is>
          <t>24683</t>
        </is>
      </c>
      <c r="B24785" s="4" t="s">
        <f>=HYPERLINK("http://anyluxury.ru/shop/posuda/butylki-dlya-vody/butilka-dlya-vodi-flavour-u-see-serebristaya-1332710/" , "13327.10 Бутылка для воды Flavour U See, серебристая")</f>
      </c>
      <c r="C24785" s="4" t="n">
        <v>2540.00</v>
      </c>
      <c r="D24785" s="4"/>
    </row>
    <row collapsed="" customFormat="false" customHeight="1" hidden="" ht="14" outlineLevel="0" r="24786">
      <c r="A24786" s="3" t="inlineStr">
        <is>
          <t>24684</t>
        </is>
      </c>
      <c r="B24786" s="4" t="s">
        <f>=HYPERLINK("http://anyluxury.ru/shop/posuda/butylki-dlya-vody/butilka-dlya-vodi-flavour-u-see-belaya-1332760/" , "13327.60 Бутылка для воды Flavour U See, белая")</f>
      </c>
      <c r="C24786" s="4" t="n">
        <v>2540.00</v>
      </c>
      <c r="D24786" s="4"/>
    </row>
    <row collapsed="" customFormat="false" customHeight="1" hidden="" ht="14" outlineLevel="0" r="24787">
      <c r="A24787" s="3" t="inlineStr">
        <is>
          <t>24685</t>
        </is>
      </c>
      <c r="B24787" s="4" t="s">
        <f>=HYPERLINK("http://anyluxury.ru/shop/posuda/butylki-dlya-vody/butilka-dlya-vodi-flavour-u-see-zolotistaya-1332700/" , "13327.00 Бутылка для воды Flavour U See, золотистая")</f>
      </c>
      <c r="C24787" s="4" t="n">
        <v>2540.00</v>
      </c>
      <c r="D24787" s="4"/>
    </row>
    <row collapsed="" customFormat="false" customHeight="1" hidden="" ht="14" outlineLevel="0" r="24788">
      <c r="A24788" s="3" t="inlineStr">
        <is>
          <t>24686</t>
        </is>
      </c>
      <c r="B24788" s="4" t="s">
        <f>=HYPERLINK("http://anyluxury.ru/shop/posuda/butylki-dlya-vody/butilka-dlya-vodi-flavour-u-see-biryuzovaya-1332742/" , "13327.42 Бутылка для воды Flavour U See, бирюзовая")</f>
      </c>
      <c r="C24788" s="4" t="n">
        <v>2540.00</v>
      </c>
      <c r="D24788" s="4"/>
    </row>
    <row collapsed="" customFormat="false" customHeight="1" hidden="" ht="14" outlineLevel="0" r="24789">
      <c r="A24789" s="3" t="inlineStr">
        <is>
          <t>24687</t>
        </is>
      </c>
      <c r="B24789" s="4" t="s">
        <f>=HYPERLINK("http://anyluxury.ru/shop/posuda/butylki-dlya-vody/sportivnaya-butilka-dlya-vodi-deluxe-p436420/" , "P436.420 Спортивная бутылка для воды Deluxe")</f>
      </c>
      <c r="C24789" s="4" t="n">
        <v>1379.00</v>
      </c>
      <c r="D24789" s="4"/>
    </row>
    <row collapsed="" customFormat="false" customHeight="1" hidden="" ht="14" outlineLevel="0" r="24790">
      <c r="A24790" s="3" t="inlineStr">
        <is>
          <t>24688</t>
        </is>
      </c>
      <c r="B24790" s="4" t="s">
        <f>=HYPERLINK("http://anyluxury.ru/shop/posuda/butylki-dlya-vody/vakuumnaya-butilka-iz-nerzhaveyushhey-stali-s-ruchkoy-elite-swiss-peak-p436731/" , "P436.731 Вакуумная бутылка из нержавеющей стали Elite Swiss Peak")</f>
      </c>
      <c r="C24790" s="4" t="n">
        <v>2419.00</v>
      </c>
      <c r="D24790" s="4"/>
    </row>
    <row collapsed="" customFormat="false" customHeight="1" hidden="" ht="14" outlineLevel="0" r="24791">
      <c r="A24791" s="3" t="inlineStr">
        <is>
          <t>24689</t>
        </is>
      </c>
      <c r="B24791" s="4" t="s">
        <f>=HYPERLINK("http://anyluxury.ru/shop/posuda/butylki-dlya-vody/vakuumnaya-butilka-s-printom-pod-derevo-p436486/" , "P436.486 Вакуумная бутылка с принтом под дерево")</f>
      </c>
      <c r="C24791" s="4" t="n">
        <v>1559.00</v>
      </c>
      <c r="D24791" s="4"/>
    </row>
    <row collapsed="" customFormat="false" customHeight="1" hidden="" ht="14" outlineLevel="0" r="24792">
      <c r="A24792" s="3" t="inlineStr">
        <is>
          <t>24690</t>
        </is>
      </c>
      <c r="B24792" s="4" t="s">
        <f>=HYPERLINK("http://anyluxury.ru/shop/posuda/butylki-dlya-vody/germetichnaya-vakuumnaya-butilka-clima-so-stalnoy-krishkoy-500-ml-p436611/" , "P436.611 Герметичная вакуумная бутылка Clima со стальной крышкой, 500 мл")</f>
      </c>
      <c r="C24792" s="4" t="n">
        <v>1999.00</v>
      </c>
      <c r="D24792" s="4"/>
    </row>
    <row collapsed="" customFormat="false" customHeight="1" hidden="" ht="14" outlineLevel="0" r="24793">
      <c r="A24793" s="3" t="inlineStr">
        <is>
          <t>24691</t>
        </is>
      </c>
      <c r="B24793" s="4" t="s">
        <f>=HYPERLINK("http://anyluxury.ru/shop/posuda/butylki-dlya-vody/butilka-dlya-vodi-dakar-prozrachnaya-s-biryuzovim-1267540/" , "12675.40 Бутылка для воды Dakar, прозрачная с бирюзовым")</f>
      </c>
      <c r="C24793" s="4" t="n">
        <v>1696.00</v>
      </c>
      <c r="D24793" s="4"/>
    </row>
    <row collapsed="" customFormat="false" customHeight="1" hidden="" ht="14" outlineLevel="0" r="24794">
      <c r="A24794" s="3" t="inlineStr">
        <is>
          <t>24692</t>
        </is>
      </c>
      <c r="B24794" s="4" t="s">
        <f>=HYPERLINK("http://anyluxury.ru/shop/posuda/butylki-dlya-vody/vakuumnaya-butilka-iz-nerzhaveyushhey-stali-s-krishkoy-v-ton-p436463/" , "P436.463 Вакуумная бутылка из нержавеющей стали с крышкой в тон")</f>
      </c>
      <c r="C24794" s="4" t="n">
        <v>1299.00</v>
      </c>
      <c r="D24794" s="4"/>
    </row>
    <row collapsed="" customFormat="false" customHeight="1" hidden="" ht="14" outlineLevel="0" r="24795">
      <c r="A24795" s="3" t="inlineStr">
        <is>
          <t>24693</t>
        </is>
      </c>
      <c r="B24795" s="4" t="s">
        <f>=HYPERLINK("http://anyluxury.ru/shop/posuda/butylki-dlya-vody/vakuumnaya-butilka-iz-nerzhaveyushhey-stali-s-krishkoy-v-ton-p436465/" , "P436.465 Вакуумная бутылка из нержавеющей стали с крышкой в тон")</f>
      </c>
      <c r="C24795" s="4" t="n">
        <v>1299.00</v>
      </c>
      <c r="D24795" s="4"/>
    </row>
    <row collapsed="" customFormat="false" customHeight="1" hidden="" ht="14" outlineLevel="0" r="24796">
      <c r="A24796" s="3" t="inlineStr">
        <is>
          <t>24694</t>
        </is>
      </c>
      <c r="B24796" s="4" t="s">
        <f>=HYPERLINK("http://anyluxury.ru/shop/posuda/butylki-dlya-vody/sportivnaya-butilka-moist-krasnaya-54850/" , "548.50 Спортивная бутылка Moist, красная")</f>
      </c>
      <c r="C24796" s="4" t="n">
        <v>989.00</v>
      </c>
      <c r="D24796" s="4"/>
    </row>
    <row collapsed="" customFormat="false" customHeight="1" hidden="" ht="14" outlineLevel="0" r="24797">
      <c r="A24797" s="3" t="inlineStr">
        <is>
          <t>24695</t>
        </is>
      </c>
      <c r="B24797" s="4" t="s">
        <f>=HYPERLINK("http://anyluxury.ru/shop/posuda/butylki-dlya-vody/butilka-dlya-vodi-resource-sublime-serebristaya-1248910/" , "12489.10 Бутылка для воды Re-Source Sublime, серебристая")</f>
      </c>
      <c r="C24797" s="4" t="n">
        <v>693.00</v>
      </c>
      <c r="D24797" s="4"/>
    </row>
    <row collapsed="" customFormat="false" customHeight="1" hidden="" ht="14" outlineLevel="0" r="24798">
      <c r="A24798" s="3" t="inlineStr">
        <is>
          <t>24696</t>
        </is>
      </c>
      <c r="B24798" s="4" t="s">
        <f>=HYPERLINK("http://anyluxury.ru/shop/posuda/butylki-dlya-vody/velobutilka-lowry-chernaya-1570730/" , "15707.30 Бутылка для велосипеда Lowry, белая с черным")</f>
      </c>
      <c r="C24798" s="4" t="n">
        <v>435.00</v>
      </c>
      <c r="D24798" s="4"/>
    </row>
    <row collapsed="" customFormat="false" customHeight="1" hidden="" ht="14" outlineLevel="0" r="24799">
      <c r="A24799" s="3" t="inlineStr">
        <is>
          <t>24697</t>
        </is>
      </c>
      <c r="B24799" s="4" t="s">
        <f>=HYPERLINK("http://anyluxury.ru/shop/posuda/butylki-dlya-vody/velobutilka-lowry-sinyaya-1570740/" , "15707.40 Бутылка для велосипеда Lowry, белая с синим")</f>
      </c>
      <c r="C24799" s="4" t="n">
        <v>435.00</v>
      </c>
      <c r="D24799" s="4"/>
    </row>
    <row collapsed="" customFormat="false" customHeight="1" hidden="" ht="14" outlineLevel="0" r="24800">
      <c r="A24800" s="3" t="inlineStr">
        <is>
          <t>24698</t>
        </is>
      </c>
      <c r="B24800" s="4" t="s">
        <f>=HYPERLINK("http://anyluxury.ru/shop/posuda/butylki-dlya-vody/velobutilka-lowry-seraya-1570710/" , "15707.10 Бутылка для велосипеда Lowry, белая с серым")</f>
      </c>
      <c r="C24800" s="4" t="n">
        <v>434.00</v>
      </c>
      <c r="D24800" s="4"/>
    </row>
    <row collapsed="" customFormat="false" customHeight="1" hidden="" ht="14" outlineLevel="0" r="24801">
      <c r="A24801" s="3" t="inlineStr">
        <is>
          <t>24699</t>
        </is>
      </c>
      <c r="B24801" s="4" t="s">
        <f>=HYPERLINK("http://anyluxury.ru/shop/posuda/butylki-dlya-vody/butilka-iz-nerzhaveyushhey-stali-s-bambukovoy-krishkoy-modern-p436832/" , "P436.832 Бутылка из нержавеющей стали с бамбуковой крышкой Modern")</f>
      </c>
      <c r="C24801" s="4" t="n">
        <v>1379.00</v>
      </c>
      <c r="D24801" s="4"/>
    </row>
    <row collapsed="" customFormat="false" customHeight="1" hidden="" ht="14" outlineLevel="0" r="24802">
      <c r="A24802" s="3" t="inlineStr">
        <is>
          <t>24700</t>
        </is>
      </c>
      <c r="B24802" s="4" t="s">
        <f>=HYPERLINK("http://anyluxury.ru/shop/posuda/butylki-dlya-vody/alyuminievaya-butilka-dlya-vodi-xl-s-karabinom-p436245/" , "P436.245 Алюминиевая бутылка для воды XL с карабином")</f>
      </c>
      <c r="C24802" s="4" t="n">
        <v>469.00</v>
      </c>
      <c r="D24802" s="4"/>
    </row>
    <row collapsed="" customFormat="false" customHeight="1" hidden="" ht="14" outlineLevel="0" r="24803">
      <c r="A24803" s="3" t="inlineStr">
        <is>
          <t>24701</t>
        </is>
      </c>
      <c r="B24803" s="4" t="s">
        <f>=HYPERLINK("http://anyluxury.ru/shop/posuda/butylki-dlya-vody/alyuminievaya-butilka-dlya-vodi-xl-s-karabinom-p436243/" , "P436.243 Алюминиевая бутылка для воды XL с карабином")</f>
      </c>
      <c r="C24803" s="4" t="n">
        <v>469.00</v>
      </c>
      <c r="D24803" s="4"/>
    </row>
    <row collapsed="" customFormat="false" customHeight="1" hidden="" ht="14" outlineLevel="0" r="24804">
      <c r="A24804" s="3" t="inlineStr">
        <is>
          <t>24702</t>
        </is>
      </c>
      <c r="B24804" s="4" t="s">
        <f>=HYPERLINK("http://anyluxury.ru/shop/posuda/butylki-dlya-vody/butilka-dlya-vodi-s-miskoy-dlya-pitomca-dog-water-bowl-lite-belaya-1333760/" , "13337.60 Бутылка для воды с миской для питомца Dog Water Bowl Lite, белая")</f>
      </c>
      <c r="C24804" s="4" t="n">
        <v>2380.00</v>
      </c>
      <c r="D24804" s="4"/>
    </row>
    <row collapsed="" customFormat="false" customHeight="1" hidden="" ht="14" outlineLevel="0" r="24805">
      <c r="A24805" s="3" t="inlineStr">
        <is>
          <t>24703</t>
        </is>
      </c>
      <c r="B24805" s="4" t="s">
        <f>=HYPERLINK("http://anyluxury.ru/shop/posuda/butylki-dlya-vody/butilka-dlya-vodi-s-miskoy-dlya-pitomca-dog-water-bowl-lite-serogolubaya-1333714/" , "13337.14 Бутылка для воды с миской для питомца Dog Water Bowl Lite, серо-голубая")</f>
      </c>
      <c r="C24805" s="4" t="n">
        <v>2380.00</v>
      </c>
      <c r="D24805" s="4"/>
    </row>
    <row collapsed="" customFormat="false" customHeight="1" hidden="" ht="14" outlineLevel="0" r="24806">
      <c r="A24806" s="3" t="inlineStr">
        <is>
          <t>24704</t>
        </is>
      </c>
      <c r="B24806" s="4" t="s">
        <f>=HYPERLINK("http://anyluxury.ru/shop/posuda/butylki-dlya-vody/butilka-dlya-vodi-s-miskoy-dlya-pitomca-dog-water-bowl-lite-temnofioletovaya-1333770/" , "13337.70 Бутылка для воды с миской для питомца Dog Water Bowl Lite, темно-фиолетовая")</f>
      </c>
      <c r="C24806" s="4" t="n">
        <v>2380.00</v>
      </c>
      <c r="D24806" s="4"/>
    </row>
    <row collapsed="" customFormat="false" customHeight="1" hidden="" ht="14" outlineLevel="0" r="24807">
      <c r="A24807" s="3" t="inlineStr">
        <is>
          <t>24705</t>
        </is>
      </c>
      <c r="B24807" s="4" t="s">
        <f>=HYPERLINK("http://anyluxury.ru/shop/posuda/butylki-dlya-vody/butilka-dlya-vodi-s-miskoy-dlya-pitomca-dog-water-bowl-lite-chernaya-1333730/" , "13337.30 Бутылка для воды с миской для питомца Dog Water Bowl Lite, черная")</f>
      </c>
      <c r="C24807" s="4" t="n">
        <v>2380.00</v>
      </c>
      <c r="D24807" s="4"/>
    </row>
    <row collapsed="" customFormat="false" customHeight="1" hidden="" ht="14" outlineLevel="0" r="24808">
      <c r="A24808" s="3" t="inlineStr">
        <is>
          <t>24706</t>
        </is>
      </c>
      <c r="B24808" s="4" t="s">
        <f>=HYPERLINK("http://anyluxury.ru/shop/posuda/butylki-dlya-vody/sportivnaya-butilka-dlya-vodi-aqua-830-ml-zelenaya-201713040/" , "201713.040 Бутылка для воды Aqua, зеленая")</f>
      </c>
      <c r="C24808" s="4" t="n">
        <v>894.00</v>
      </c>
      <c r="D24808" s="4"/>
    </row>
    <row collapsed="" customFormat="false" customHeight="1" hidden="" ht="14" outlineLevel="0" r="24809">
      <c r="A24809" s="3" t="inlineStr">
        <is>
          <t>24707</t>
        </is>
      </c>
      <c r="B24809" s="4" t="s">
        <f>=HYPERLINK("http://anyluxury.ru/shop/posuda/butylki-dlya-vody/sportivnaya-butilka-dlya-vodi-joy-750-ml-zelenaya-205221040/" , "205221.040 Бутылка для воды Joy, зеленая")</f>
      </c>
      <c r="C24809" s="4" t="n">
        <v>828.00</v>
      </c>
      <c r="D24809" s="4"/>
    </row>
    <row collapsed="" customFormat="false" customHeight="1" hidden="" ht="14" outlineLevel="0" r="24810">
      <c r="A24810" s="3" t="inlineStr">
        <is>
          <t>24708</t>
        </is>
      </c>
      <c r="B24810" s="4" t="s">
        <f>=HYPERLINK("http://anyluxury.ru/shop/posuda/butylki-dlya-vody/sportivnaya-butilka-dlya-vodi-cort-670-ml-zelenaya-208407040/" , "208407.040 Бутылка для воды Cort, зеленая")</f>
      </c>
      <c r="C24810" s="4" t="n">
        <v>824.00</v>
      </c>
      <c r="D24810" s="4"/>
    </row>
    <row collapsed="" customFormat="false" customHeight="1" hidden="" ht="14" outlineLevel="0" r="24811">
      <c r="A24811" s="3" t="inlineStr">
        <is>
          <t>24709</t>
        </is>
      </c>
      <c r="B24811" s="4" t="s">
        <f>=HYPERLINK("http://anyluxury.ru/shop/posuda/butylki-dlya-vody/sportivnaya-butilka-dlya-vodi-korver-chernaya-1329430/" , "13294.30 Спортивная бутылка для воды Korver, черная")</f>
      </c>
      <c r="C24811" s="4" t="n">
        <v>990.00</v>
      </c>
      <c r="D24811" s="4"/>
    </row>
    <row collapsed="" customFormat="false" customHeight="1" hidden="" ht="14" outlineLevel="0" r="24812">
      <c r="A24812" s="3" t="inlineStr">
        <is>
          <t>24710</t>
        </is>
      </c>
      <c r="B24812" s="4" t="s">
        <f>=HYPERLINK("http://anyluxury.ru/shop/posuda/butylki-dlya-vody/sportivnaya-butilka-dlya-vodi-korver-krasnaya-1329450/" , "13294.50 Спортивная бутылка для воды Korver, красная")</f>
      </c>
      <c r="C24812" s="4" t="n">
        <v>990.00</v>
      </c>
      <c r="D24812" s="4"/>
    </row>
    <row collapsed="" customFormat="false" customHeight="1" hidden="" ht="14" outlineLevel="0" r="24813">
      <c r="A24813" s="3" t="inlineStr">
        <is>
          <t>24711</t>
        </is>
      </c>
      <c r="B24813" s="4" t="s">
        <f>=HYPERLINK("http://anyluxury.ru/shop/posuda/butylki-dlya-vody/sportivnaya-butilka-dlya-vodi-korver-belaya-1329460/" , "13294.60 Спортивная бутылка для воды Korver, белая")</f>
      </c>
      <c r="C24813" s="4" t="n">
        <v>990.00</v>
      </c>
      <c r="D24813" s="4"/>
    </row>
    <row collapsed="" customFormat="false" customHeight="1" hidden="" ht="14" outlineLevel="0" r="24814">
      <c r="A24814" s="3" t="inlineStr">
        <is>
          <t>24712</t>
        </is>
      </c>
      <c r="B24814" s="4" t="s">
        <f>=HYPERLINK("http://anyluxury.ru/shop/posuda/butylki-dlya-vody/sportivnaya-butilka-dlya-vodi-korver-sinyaya-1329440/" , "13294.40 Спортивная бутылка для воды Korver, синяя")</f>
      </c>
      <c r="C24814" s="4" t="n">
        <v>990.00</v>
      </c>
      <c r="D24814" s="4"/>
    </row>
    <row collapsed="" customFormat="false" customHeight="1" hidden="" ht="14" outlineLevel="0" r="24815">
      <c r="A24815" s="3" t="inlineStr">
        <is>
          <t>24713</t>
        </is>
      </c>
      <c r="B24815" s="4" t="s">
        <f>=HYPERLINK("http://anyluxury.ru/shop/posuda/butylki-dlya-vody/sportivnaya-butilka-dlya-vodi-korver-serebristaya-1329410/" , "13294.10 Спортивная бутылка для воды Korver, серебристая")</f>
      </c>
      <c r="C24815" s="4" t="n">
        <v>987.00</v>
      </c>
      <c r="D24815" s="4"/>
    </row>
    <row collapsed="" customFormat="false" customHeight="1" hidden="" ht="14" outlineLevel="0" r="24816">
      <c r="A24816" s="3" t="inlineStr">
        <is>
          <t>24714</t>
        </is>
      </c>
      <c r="B24816" s="4" t="s">
        <f>=HYPERLINK("http://anyluxury.ru/shop/posuda/butylki-dlya-vody/sportivnaya-butilka-dlya-vodi-korver-oranzhevaya-1329420/" , "13294.20 Спортивная бутылка для воды Korver, оранжевая")</f>
      </c>
      <c r="C24816" s="4" t="n">
        <v>990.00</v>
      </c>
      <c r="D24816" s="4"/>
    </row>
    <row collapsed="" customFormat="false" customHeight="1" hidden="" ht="14" outlineLevel="0" r="24817">
      <c r="A24817" s="3" t="inlineStr">
        <is>
          <t>24715</t>
        </is>
      </c>
      <c r="B24817" s="4" t="s">
        <f>=HYPERLINK("http://anyluxury.ru/shop/posuda/butylki-dlya-vody/sportivnaya-butilka-dlya-vodi-rio-chernaya-1329530/" , "13295.30 Спортивная бутылка для воды Rio, черная")</f>
      </c>
      <c r="C24817" s="4" t="n">
        <v>904.00</v>
      </c>
      <c r="D24817" s="4"/>
    </row>
    <row collapsed="" customFormat="false" customHeight="1" hidden="" ht="14" outlineLevel="0" r="24818">
      <c r="A24818" s="3" t="inlineStr">
        <is>
          <t>24716</t>
        </is>
      </c>
      <c r="B24818" s="4" t="s">
        <f>=HYPERLINK("http://anyluxury.ru/shop/posuda/butylki-dlya-vody/butilka-dlya-velosipeda-lowry-belaya-s-krasnim-1570750/" , "15707.50 Бутылка для велосипеда Lowry, белая с красным")</f>
      </c>
      <c r="C24818" s="4" t="n">
        <v>434.00</v>
      </c>
      <c r="D24818" s="4"/>
    </row>
    <row collapsed="" customFormat="false" customHeight="1" hidden="" ht="14" outlineLevel="0" r="24819">
      <c r="A24819" s="3" t="inlineStr">
        <is>
          <t>24717</t>
        </is>
      </c>
      <c r="B24819" s="4" t="s">
        <f>=HYPERLINK("http://anyluxury.ru/shop/posuda/butylki-dlya-vody/butilka-dlya-velosipeda-lowry-belaya-s-zheltim-1570780/" , "15707.80 Бутылка для велосипеда Lowry, белая с желтым")</f>
      </c>
      <c r="C24819" s="4" t="n">
        <v>434.00</v>
      </c>
      <c r="D24819" s="4"/>
    </row>
    <row collapsed="" customFormat="false" customHeight="1" hidden="" ht="14" outlineLevel="0" r="24820">
      <c r="A24820" s="3" t="inlineStr">
        <is>
          <t>24718</t>
        </is>
      </c>
      <c r="B24820" s="4" t="s">
        <f>=HYPERLINK("http://anyluxury.ru/shop/posuda/butylki-dlya-vody/butilka-dlya-velosipeda-lowry-belaya-s-zelenim-1570790/" , "15707.90 Бутылка для велосипеда Lowry, белая с зеленым")</f>
      </c>
      <c r="C24820" s="4" t="n">
        <v>434.00</v>
      </c>
      <c r="D24820" s="4"/>
    </row>
    <row collapsed="" customFormat="false" customHeight="1" hidden="" ht="14" outlineLevel="0" r="24821">
      <c r="A24821" s="3" t="inlineStr">
        <is>
          <t>24719</t>
        </is>
      </c>
      <c r="B24821" s="4" t="s">
        <f>=HYPERLINK("http://anyluxury.ru/shop/posuda/butylki-dlya-vody/butilka-dlya-vodi-industry-neft-i-gaz-7136630/" , "71366.30 Бутылка для спорта Industry, нефть и газ")</f>
      </c>
      <c r="C24821" s="4" t="n">
        <v>1048.00</v>
      </c>
      <c r="D24821" s="4"/>
    </row>
    <row collapsed="" customFormat="false" customHeight="1" hidden="" ht="14" outlineLevel="0" r="24822">
      <c r="A24822" s="3" t="inlineStr">
        <is>
          <t>24720</t>
        </is>
      </c>
      <c r="B24822" s="4" t="s">
        <f>=HYPERLINK("http://anyluxury.ru/shop/posuda/butylki-dlya-vody/butilka-dlya-vodi-industry-morskaya-7136640/" , "71366.40 Бутылка для спорта Industry, морская")</f>
      </c>
      <c r="C24822" s="4" t="n">
        <v>1021.00</v>
      </c>
      <c r="D24822" s="4"/>
    </row>
    <row collapsed="" customFormat="false" customHeight="1" hidden="" ht="14" outlineLevel="0" r="24823">
      <c r="A24823" s="3" t="inlineStr">
        <is>
          <t>24721</t>
        </is>
      </c>
      <c r="B24823" s="4" t="s">
        <f>=HYPERLINK("http://anyluxury.ru/shop/posuda/butylki-dlya-vody/butilka-dlya-vodi-industry-zdravoohranenie-7136650/" , "71366.50 Бутылка для спорта Industry, здравоохранение")</f>
      </c>
      <c r="C24823" s="4" t="n">
        <v>1108.00</v>
      </c>
      <c r="D24823" s="4"/>
    </row>
    <row collapsed="" customFormat="false" customHeight="1" hidden="" ht="14" outlineLevel="0" r="24824">
      <c r="A24824" s="3" t="inlineStr">
        <is>
          <t>24722</t>
        </is>
      </c>
      <c r="B24824" s="4" t="s">
        <f>=HYPERLINK("http://anyluxury.ru/shop/posuda/butylki-dlya-vody/butilka-dlya-sporta-industry-metallurgiya-7136651/" , "71366.51 Бутылка для спорта Industry, металлургия")</f>
      </c>
      <c r="C24824" s="4" t="n">
        <v>917.00</v>
      </c>
      <c r="D24824" s="4"/>
    </row>
    <row collapsed="" customFormat="false" customHeight="1" hidden="" ht="14" outlineLevel="0" r="24825">
      <c r="A24825" s="3" t="inlineStr">
        <is>
          <t>24723</t>
        </is>
      </c>
      <c r="B24825" s="4" t="s">
        <f>=HYPERLINK("http://anyluxury.ru/shop/posuda/butylki-dlya-vody/butilka-dlya-vodi-misty-prozrachnaya-1330260/" , "13302.60 Бутылка для воды Misty, прозрачная")</f>
      </c>
      <c r="C24825" s="4" t="n">
        <v>533.00</v>
      </c>
      <c r="D24825" s="4"/>
    </row>
    <row collapsed="" customFormat="false" customHeight="1" hidden="" ht="14" outlineLevel="0" r="24826">
      <c r="A24826" s="3" t="inlineStr">
        <is>
          <t>24724</t>
        </is>
      </c>
      <c r="B24826" s="4" t="s">
        <f>=HYPERLINK("http://anyluxury.ru/shop/posuda/butylki-dlya-vody/butilka-dlya-vodi-misty-krasnaya-1330250/" , "13302.50 Бутылка для воды Misty, красная")</f>
      </c>
      <c r="C24826" s="4" t="n">
        <v>533.00</v>
      </c>
      <c r="D24826" s="4"/>
    </row>
    <row collapsed="" customFormat="false" customHeight="1" hidden="" ht="14" outlineLevel="0" r="24827">
      <c r="A24827" s="3" t="inlineStr">
        <is>
          <t>24725</t>
        </is>
      </c>
      <c r="B24827" s="4" t="s">
        <f>=HYPERLINK("http://anyluxury.ru/shop/posuda/butylki-dlya-vody/butilka-dlya-vodi-misty-zelenaya-1330290/" , "13302.90 Бутылка для воды Misty, зеленая")</f>
      </c>
      <c r="C24827" s="4" t="n">
        <v>533.00</v>
      </c>
      <c r="D24827" s="4"/>
    </row>
    <row collapsed="" customFormat="false" customHeight="1" hidden="" ht="14" outlineLevel="0" r="24828">
      <c r="A24828" s="3" t="inlineStr">
        <is>
          <t>24726</t>
        </is>
      </c>
      <c r="B24828" s="4" t="s">
        <f>=HYPERLINK("http://anyluxury.ru/shop/posuda/butylki-dlya-vody/butilka-dlya-vodi-misty-sinyaya-1330240/" , "13302.40 Бутылка для воды Misty, синяя")</f>
      </c>
      <c r="C24828" s="4" t="n">
        <v>533.00</v>
      </c>
      <c r="D24828" s="4"/>
    </row>
    <row collapsed="" customFormat="false" customHeight="1" hidden="" ht="14" outlineLevel="0" r="24829">
      <c r="A24829" s="3" t="inlineStr">
        <is>
          <t>24727</t>
        </is>
      </c>
      <c r="B24829" s="4" t="s">
        <f>=HYPERLINK("http://anyluxury.ru/shop/posuda/butylki-dlya-vody/butilka-dlya-vodi-holo-chernaya-1330330/" , "13303.30 Бутылка для воды Holo, черная")</f>
      </c>
      <c r="C24829" s="4" t="n">
        <v>555.00</v>
      </c>
      <c r="D24829" s="4"/>
    </row>
    <row collapsed="" customFormat="false" customHeight="1" hidden="" ht="14" outlineLevel="0" r="24830">
      <c r="A24830" s="3" t="inlineStr">
        <is>
          <t>24728</t>
        </is>
      </c>
      <c r="B24830" s="4" t="s">
        <f>=HYPERLINK("http://anyluxury.ru/shop/posuda/butylki-dlya-vody/butilka-dlya-vodi-holo-sinyaya-1330340/" , "13303.40 Бутылка для воды Holo, синяя")</f>
      </c>
      <c r="C24830" s="4" t="n">
        <v>555.00</v>
      </c>
      <c r="D24830" s="4"/>
    </row>
    <row collapsed="" customFormat="false" customHeight="1" hidden="" ht="14" outlineLevel="0" r="24831">
      <c r="A24831" s="3" t="inlineStr">
        <is>
          <t>24729</t>
        </is>
      </c>
      <c r="B24831" s="4" t="s">
        <f>=HYPERLINK("http://anyluxury.ru/shop/posuda/butylki-dlya-vody/butilka-dlya-vodi-holo-krasnaya-1330350/" , "13303.50 Бутылка для воды Holo, красная")</f>
      </c>
      <c r="C24831" s="4" t="n">
        <v>555.00</v>
      </c>
      <c r="D24831" s="4"/>
    </row>
    <row collapsed="" customFormat="false" customHeight="1" hidden="" ht="14" outlineLevel="0" r="24832">
      <c r="A24832" s="3" t="inlineStr">
        <is>
          <t>24730</t>
        </is>
      </c>
      <c r="B24832" s="4" t="s">
        <f>=HYPERLINK("http://anyluxury.ru/shop/posuda/butylki-dlya-vody/butilka-dlya-vodi-holo-zelenaya-1330390/" , "13303.90 Бутылка для воды Holo, зеленая")</f>
      </c>
      <c r="C24832" s="4" t="n">
        <v>555.00</v>
      </c>
      <c r="D24832" s="4"/>
    </row>
    <row collapsed="" customFormat="false" customHeight="1" hidden="" ht="14" outlineLevel="0" r="24833">
      <c r="A24833" s="3" t="inlineStr">
        <is>
          <t>24731</t>
        </is>
      </c>
      <c r="B24833" s="4" t="s">
        <f>=HYPERLINK("http://anyluxury.ru/shop/posuda/butylki-dlya-vody/butilka-dlya-vodi-holo-oranzhevaya-1330320/" , "13303.20 Бутылка для воды Holo, оранжевая")</f>
      </c>
      <c r="C24833" s="4" t="n">
        <v>555.00</v>
      </c>
      <c r="D24833" s="4"/>
    </row>
    <row collapsed="" customFormat="false" customHeight="1" hidden="" ht="14" outlineLevel="0" r="24834">
      <c r="A24834" s="3" t="inlineStr">
        <is>
          <t>24732</t>
        </is>
      </c>
      <c r="B24834" s="4" t="s">
        <f>=HYPERLINK("http://anyluxury.ru/shop/posuda/butylki-dlya-vody/sportivnaya-butilka-dlya-vodi-forza-600-ml-akva-201915145/" , "201915.145 Бутылка для воды Forza, аква")</f>
      </c>
      <c r="C24834" s="4" t="n">
        <v>894.00</v>
      </c>
      <c r="D24834" s="4"/>
    </row>
    <row collapsed="" customFormat="false" customHeight="1" hidden="" ht="14" outlineLevel="0" r="24835">
      <c r="A24835" s="3" t="inlineStr">
        <is>
          <t>24733</t>
        </is>
      </c>
      <c r="B24835" s="4" t="s">
        <f>=HYPERLINK("http://anyluxury.ru/shop/posuda/butylki-dlya-vody/butilka-dlya-sporta-industry-energetika-serebristaya-7136610/" , "71366.10 Бутылка для спорта Industry, энергетика")</f>
      </c>
      <c r="C24835" s="4" t="n">
        <v>1108.00</v>
      </c>
      <c r="D24835" s="4"/>
    </row>
    <row collapsed="" customFormat="false" customHeight="1" hidden="" ht="14" outlineLevel="0" r="24836">
      <c r="A24836" s="3" t="inlineStr">
        <is>
          <t>24734</t>
        </is>
      </c>
      <c r="B24836" s="4" t="s">
        <f>=HYPERLINK("http://anyluxury.ru/shop/posuda/butylki-dlya-vody/butilka-dlya-sporta-industry-logistika-7136641/" , "71366.41 Бутылка для спорта Industry, логистика")</f>
      </c>
      <c r="C24836" s="4" t="n">
        <v>1017.00</v>
      </c>
      <c r="D24836" s="4"/>
    </row>
    <row collapsed="" customFormat="false" customHeight="1" hidden="" ht="14" outlineLevel="0" r="24837">
      <c r="A24837" s="3" t="inlineStr">
        <is>
          <t>24735</t>
        </is>
      </c>
      <c r="B24837" s="4" t="s">
        <f>=HYPERLINK("http://anyluxury.ru/shop/posuda/butylki-dlya-vody/butilka-dlya-sporta-industry-kafe-i-restorani-7136652/" , "71366.52 Бутылка для спорта Industry, кафе и рестораны")</f>
      </c>
      <c r="C24837" s="4" t="n">
        <v>1103.00</v>
      </c>
      <c r="D24837" s="4"/>
    </row>
    <row collapsed="" customFormat="false" customHeight="1" hidden="" ht="14" outlineLevel="0" r="24838">
      <c r="A24838" s="3" t="inlineStr">
        <is>
          <t>24736</t>
        </is>
      </c>
      <c r="B24838" s="4" t="s">
        <f>=HYPERLINK("http://anyluxury.ru/shop/posuda/butylki-dlya-vody/stalnaya-vakuumnaya-butilka-2v1-500-ml-p436972/" , "P436.972 Стальная вакуумная бутылка 2-в-1, 500 мл")</f>
      </c>
      <c r="C24838" s="4" t="n">
        <v>2269.00</v>
      </c>
      <c r="D24838" s="4"/>
    </row>
    <row collapsed="" customFormat="false" customHeight="1" hidden="" ht="14" outlineLevel="0" r="24839">
      <c r="A24839" s="3" t="inlineStr">
        <is>
          <t>24737</t>
        </is>
      </c>
      <c r="B24839" s="4" t="s">
        <f>=HYPERLINK("http://anyluxury.ru/shop/posuda/butylki-dlya-vody/steklyannaya-butilka-dlya-vodi-ukiyo-s-silikonovim-derzhatelem-p436729/" , "P436.729 Стеклянная бутылка для воды Ukiyo с силиконовым держателем, 600 мл")</f>
      </c>
      <c r="C24839" s="4" t="n">
        <v>1590.00</v>
      </c>
      <c r="D24839" s="4"/>
    </row>
    <row collapsed="" customFormat="false" customHeight="1" hidden="" ht="14" outlineLevel="0" r="24840">
      <c r="A24840" s="3" t="inlineStr">
        <is>
          <t>24738</t>
        </is>
      </c>
      <c r="B24840" s="4" t="s">
        <f>=HYPERLINK("http://anyluxury.ru/shop/posuda/butylki-dlya-vody/steklyannaya-butilka-dlya-vodi-ukiyo-s-silikonovim-derzhatelem-p436727/" , "P436.727 Стеклянная бутылка для воды Ukiyo с силиконовым держателем, 600 мл")</f>
      </c>
      <c r="C24840" s="4" t="n">
        <v>1590.00</v>
      </c>
      <c r="D24840" s="4"/>
    </row>
    <row collapsed="" customFormat="false" customHeight="1" hidden="" ht="14" outlineLevel="0" r="24841">
      <c r="A24841" s="3" t="inlineStr">
        <is>
          <t>24739</t>
        </is>
      </c>
      <c r="B24841" s="4" t="s">
        <f>=HYPERLINK("http://anyluxury.ru/shop/posuda/butylki-dlya-vody/steklyannaya-butilka-dlya-vodi-ukiyo-s-silikonovim-derzhatelem-p436722/" , "P436.722 Стеклянная бутылка для воды Ukiyo с силиконовым держателем, 600 мл")</f>
      </c>
      <c r="C24841" s="4" t="n">
        <v>1590.00</v>
      </c>
      <c r="D24841" s="4"/>
    </row>
    <row collapsed="" customFormat="false" customHeight="1" hidden="" ht="14" outlineLevel="0" r="24842">
      <c r="A24842" s="3" t="inlineStr">
        <is>
          <t>24740</t>
        </is>
      </c>
      <c r="B24842" s="4" t="s">
        <f>=HYPERLINK("http://anyluxury.ru/shop/posuda/butylki-dlya-vody/stalnaya-vakuumnaya-butilka-2v1-500-ml-p436975/" , "P436.975 Стальная вакуумная бутылка 2-в-1, 500 мл")</f>
      </c>
      <c r="C24842" s="4" t="n">
        <v>2269.00</v>
      </c>
      <c r="D24842" s="4"/>
    </row>
    <row collapsed="" customFormat="false" customHeight="1" hidden="" ht="14" outlineLevel="0" r="24843">
      <c r="A24843" s="3" t="inlineStr">
        <is>
          <t>24741</t>
        </is>
      </c>
      <c r="B24843" s="4" t="s">
        <f>=HYPERLINK("http://anyluxury.ru/shop/posuda/butylki-dlya-vody/stalnaya-vakuumnaya-butilka-2v1-500-ml-p436973/" , "P436.973 Стальная вакуумная бутылка 2-в-1, 500 мл")</f>
      </c>
      <c r="C24843" s="4" t="n">
        <v>2269.00</v>
      </c>
      <c r="D24843" s="4"/>
    </row>
    <row collapsed="" customFormat="false" customHeight="1" hidden="" ht="14" outlineLevel="0" r="24844">
      <c r="A24844" s="3" t="inlineStr">
        <is>
          <t>24742</t>
        </is>
      </c>
      <c r="B24844" s="4" t="s">
        <f>=HYPERLINK("http://anyluxury.ru/shop/posuda/butylki-dlya-vody/germetichnaya-skladnaya-silikonovaya-butilka-p432621/" , "P432.621 Герметичная складная силиконовая бутылка")</f>
      </c>
      <c r="C24844" s="4" t="n">
        <v>1739.00</v>
      </c>
      <c r="D24844" s="4"/>
    </row>
    <row collapsed="" customFormat="false" customHeight="1" hidden="" ht="14" outlineLevel="0" r="24845">
      <c r="A24845" s="3" t="inlineStr">
        <is>
          <t>24743</t>
        </is>
      </c>
      <c r="B24845" s="4" t="s">
        <f>=HYPERLINK("http://anyluxury.ru/shop/posuda/butylki-dlya-vody/germetichnaya-vakuumnaya-butilka-hybrid-500-ml-p436633/" , "P436.633 Герметичная вакуумная бутылка Hybrid, 500 мл")</f>
      </c>
      <c r="C24845" s="4" t="n">
        <v>1866.00</v>
      </c>
      <c r="D24845" s="4"/>
    </row>
    <row collapsed="" customFormat="false" customHeight="1" hidden="" ht="14" outlineLevel="0" r="24846">
      <c r="A24846" s="3" t="inlineStr">
        <is>
          <t>24744</t>
        </is>
      </c>
      <c r="B24846" s="4" t="s">
        <f>=HYPERLINK("http://anyluxury.ru/shop/posuda/butylki-dlya-vody/germetichnaya-vakuumnaya-butilka-hybrid-500-ml-p436632/" , "P436.632 Герметичная вакуумная бутылка Hybrid, 500 мл")</f>
      </c>
      <c r="C24846" s="4" t="n">
        <v>2141.00</v>
      </c>
      <c r="D24846" s="4"/>
    </row>
    <row collapsed="" customFormat="false" customHeight="1" hidden="" ht="14" outlineLevel="0" r="24847">
      <c r="A24847" s="3" t="inlineStr">
        <is>
          <t>24745</t>
        </is>
      </c>
      <c r="B24847" s="4" t="s">
        <f>=HYPERLINK("http://anyluxury.ru/shop/posuda/butylki-dlya-vody/termobutilka-steady-chernaya-1355730/" , "13557.30 Термобутылка Steady, черная")</f>
      </c>
      <c r="C24847" s="4" t="n">
        <v>1907.00</v>
      </c>
      <c r="D24847" s="4"/>
    </row>
    <row collapsed="" customFormat="false" customHeight="1" hidden="" ht="14" outlineLevel="0" r="24848">
      <c r="A24848" s="3" t="inlineStr">
        <is>
          <t>24746</t>
        </is>
      </c>
      <c r="B24848" s="4" t="s">
        <f>=HYPERLINK("http://anyluxury.ru/shop/posuda/butylki-dlya-vody/butilka-s-filtrom-akvafor-siti-seraya-1423810/" , "14238.10 Бутылка с фильтром «Аквафор Сити», серая")</f>
      </c>
      <c r="C24848" s="4" t="n">
        <v>1190.00</v>
      </c>
      <c r="D24848" s="4"/>
    </row>
    <row collapsed="" customFormat="false" customHeight="1" hidden="" ht="14" outlineLevel="0" r="24849">
      <c r="A24849" s="3" t="inlineStr">
        <is>
          <t>24747</t>
        </is>
      </c>
      <c r="B24849" s="4" t="s">
        <f>=HYPERLINK("http://anyluxury.ru/shop/posuda/butylki-dlya-vody/butilka-s-filtrom-akvafor-siti-sinyaya-1423840/" , "14238.40 Бутылка с фильтром «Аквафор Сити», синяя")</f>
      </c>
      <c r="C24849" s="4" t="n">
        <v>950.00</v>
      </c>
      <c r="D24849" s="4"/>
    </row>
    <row collapsed="" customFormat="false" customHeight="1" hidden="" ht="14" outlineLevel="0" r="24850">
      <c r="A24850" s="3" t="inlineStr">
        <is>
          <t>24748</t>
        </is>
      </c>
      <c r="B24850" s="4" t="s">
        <f>=HYPERLINK("http://anyluxury.ru/shop/posuda/butylki-dlya-vody/butilka-s-filtrom-akvafor-siti-yarkorozovaya-fuksiya-1423857/" , "14238.57 Бутылка с фильтром «Аквафор Сити», розовая")</f>
      </c>
      <c r="C24850" s="4" t="n">
        <v>950.00</v>
      </c>
      <c r="D24850" s="4"/>
    </row>
    <row collapsed="" customFormat="false" customHeight="1" hidden="" ht="14" outlineLevel="0" r="24851">
      <c r="A24851" s="3" t="inlineStr">
        <is>
          <t>24749</t>
        </is>
      </c>
      <c r="B24851" s="4" t="s">
        <f>=HYPERLINK("http://anyluxury.ru/shop/posuda/butylki-dlya-vody/butilka-s-filtrom-akvafor-siti-zelenoe-yabloko-1423894/" , "14238.94 Бутылка с фильтром «Аквафор Сити», зеленое яблоко")</f>
      </c>
      <c r="C24851" s="4" t="n">
        <v>1190.00</v>
      </c>
      <c r="D24851" s="4"/>
    </row>
    <row collapsed="" customFormat="false" customHeight="1" hidden="" ht="14" outlineLevel="0" r="24852">
      <c r="A24852" s="3" t="inlineStr">
        <is>
          <t>24750</t>
        </is>
      </c>
      <c r="B24852" s="4" t="s">
        <f>=HYPERLINK("http://anyluxury.ru/shop/posuda/butylki-dlya-vody/nabor-filtrov-dlya-butilki-akvafor-siti-14241/" , "14241 Набор фильтров для бутылки «Аквафор Сити»")</f>
      </c>
      <c r="C24852" s="4" t="n">
        <v>490.00</v>
      </c>
      <c r="D24852" s="4"/>
    </row>
    <row collapsed="" customFormat="false" customHeight="1" hidden="" ht="14" outlineLevel="0" r="24853">
      <c r="A24853" s="3" t="inlineStr">
        <is>
          <t>24751</t>
        </is>
      </c>
      <c r="B24853" s="4" t="s">
        <f>=HYPERLINK("http://anyluxury.ru/shop/posuda/butylki-dlya-vody/termobutilka-akvafor-seraya-1423910/" , "14239.10 Термобутылка «Аквафор», серая")</f>
      </c>
      <c r="C24853" s="4" t="n">
        <v>2390.00</v>
      </c>
      <c r="D24853" s="4"/>
    </row>
    <row collapsed="" customFormat="false" customHeight="1" hidden="" ht="14" outlineLevel="0" r="24854">
      <c r="A24854" s="3" t="inlineStr">
        <is>
          <t>24752</t>
        </is>
      </c>
      <c r="B24854" s="4" t="s">
        <f>=HYPERLINK("http://anyluxury.ru/shop/posuda/butylki-dlya-vody/termobutilka-akvafor-rozovaya-1423915/" , "14239.15 Термобутылка «Аквафор», розовая")</f>
      </c>
      <c r="C24854" s="4" t="n">
        <v>2390.00</v>
      </c>
      <c r="D24854" s="4"/>
    </row>
    <row collapsed="" customFormat="false" customHeight="1" hidden="" ht="14" outlineLevel="0" r="24855">
      <c r="A24855" s="3" t="inlineStr">
        <is>
          <t>24753</t>
        </is>
      </c>
      <c r="B24855" s="4" t="s">
        <f>=HYPERLINK("http://anyluxury.ru/shop/posuda/butylki-dlya-vody/termobutilka-akvafor-sinyaya-1423940/" , "14239.40 Термобутылка «Аквафор», синяя")</f>
      </c>
      <c r="C24855" s="4" t="n">
        <v>2390.00</v>
      </c>
      <c r="D24855" s="4"/>
    </row>
    <row collapsed="" customFormat="false" customHeight="1" hidden="" ht="14" outlineLevel="0" r="24856">
      <c r="A24856" s="3" t="inlineStr">
        <is>
          <t>24754</t>
        </is>
      </c>
      <c r="B24856" s="4" t="s">
        <f>=HYPERLINK("http://anyluxury.ru/shop/posuda/butylki-dlya-vody/termobutilka-akvafor-biryuzovaya-1423949/" , "14239.49 Термобутылка «Аквафор», бирюзовая")</f>
      </c>
      <c r="C24856" s="4" t="n">
        <v>2390.00</v>
      </c>
      <c r="D24856" s="4"/>
    </row>
    <row collapsed="" customFormat="false" customHeight="1" hidden="" ht="14" outlineLevel="0" r="24857">
      <c r="A24857" s="3" t="inlineStr">
        <is>
          <t>24755</t>
        </is>
      </c>
      <c r="B24857" s="4" t="s">
        <f>=HYPERLINK("http://anyluxury.ru/shop/posuda/butylki-dlya-vody/sportivnaya-butilka-dlya-vodi-flip-700-ml-zelenaya-227677045/" , "227677.045 Бутылка для воды Flip, зеленая")</f>
      </c>
      <c r="C24857" s="4" t="n">
        <v>948.00</v>
      </c>
      <c r="D24857" s="4"/>
    </row>
    <row collapsed="" customFormat="false" customHeight="1" hidden="" ht="14" outlineLevel="0" r="24858">
      <c r="A24858" s="3" t="inlineStr">
        <is>
          <t>24756</t>
        </is>
      </c>
      <c r="B24858" s="4" t="s">
        <f>=HYPERLINK("http://anyluxury.ru/shop/posuda/butylki-dlya-vody/sportivnaya-butilka-dlya-vodi-flip-700-ml-seraya-227677080/" , "227677.080 Бутылка для воды Flip, серая")</f>
      </c>
      <c r="C24858" s="4" t="n">
        <v>948.00</v>
      </c>
      <c r="D24858" s="4"/>
    </row>
    <row collapsed="" customFormat="false" customHeight="1" hidden="" ht="14" outlineLevel="0" r="24859">
      <c r="A24859" s="3" t="inlineStr">
        <is>
          <t>24757</t>
        </is>
      </c>
      <c r="B24859" s="4" t="s">
        <f>=HYPERLINK("http://anyluxury.ru/shop/posuda/butylki-dlya-vody/sportivnaya-butilka-dlya-vodi-flip-700-ml-sinyaya-227677030/" , "227677.030 Бутылка для воды Flip, синяя")</f>
      </c>
      <c r="C24859" s="4" t="n">
        <v>948.00</v>
      </c>
      <c r="D24859" s="4"/>
    </row>
    <row collapsed="" customFormat="false" customHeight="1" hidden="" ht="14" outlineLevel="0" r="24860">
      <c r="A24860" s="3" t="inlineStr">
        <is>
          <t>24758</t>
        </is>
      </c>
      <c r="B24860" s="4" t="s">
        <f>=HYPERLINK("http://anyluxury.ru/shop/posuda/butylki-dlya-vody/termobutilka-stela-stalnaya-1464110/" , "14641.10 Термобутылка Stela, стальная")</f>
      </c>
      <c r="C24860" s="4" t="n">
        <v>2299.00</v>
      </c>
      <c r="D24860" s="4"/>
    </row>
    <row collapsed="" customFormat="false" customHeight="1" hidden="" ht="14" outlineLevel="0" r="24861">
      <c r="A24861" s="3" t="inlineStr">
        <is>
          <t>24759</t>
        </is>
      </c>
      <c r="B24861" s="4" t="s">
        <f>=HYPERLINK("http://anyluxury.ru/shop/posuda/butylki-dlya-vody/termobutilka-alba-chernaya-1464430/" , "14644.30 Термобутылка Alba, черная")</f>
      </c>
      <c r="C24861" s="4" t="n">
        <v>2299.00</v>
      </c>
      <c r="D24861" s="4"/>
    </row>
    <row collapsed="" customFormat="false" customHeight="1" hidden="" ht="14" outlineLevel="0" r="24862">
      <c r="A24862" s="3" t="inlineStr">
        <is>
          <t>24760</t>
        </is>
      </c>
      <c r="B24862" s="4" t="s">
        <f>=HYPERLINK("http://anyluxury.ru/shop/posuda/butylki-dlya-vody/termobutilka-gven-temnoseraya-1464731/" , "14647.31 Термобутылка Gven, темно-серая")</f>
      </c>
      <c r="C24862" s="4" t="n">
        <v>2299.00</v>
      </c>
      <c r="D24862" s="4"/>
    </row>
    <row collapsed="" customFormat="false" customHeight="1" hidden="" ht="14" outlineLevel="0" r="24863">
      <c r="A24863" s="3" t="inlineStr">
        <is>
          <t>24761</t>
        </is>
      </c>
      <c r="B24863" s="4" t="s">
        <f>=HYPERLINK("http://anyluxury.ru/shop/posuda/butylki-dlya-vody/butilkafiltr-akvafor-siti-temnosinyaya-1423844/" , "14238.44 Бутылка-фильтр «Аквафор Сити», темно-синяя")</f>
      </c>
      <c r="C24863" s="4" t="n">
        <v>1190.00</v>
      </c>
      <c r="D24863" s="4"/>
    </row>
    <row collapsed="" customFormat="false" customHeight="1" hidden="" ht="14" outlineLevel="0" r="24864">
      <c r="A24864" s="3" t="inlineStr">
        <is>
          <t>24762</t>
        </is>
      </c>
      <c r="B24864" s="4" t="s">
        <f>=HYPERLINK("http://anyluxury.ru/shop/posuda/butylki-dlya-vody/butilkafiltr-akvafor-siti-yarkorozovaya-fuksiya-1423857/" , "14238.57 Бутылка-фильтр «Аквафор Сити», ярко-розовая (фуксия)")</f>
      </c>
      <c r="C24864" s="4" t="n">
        <v>1190.00</v>
      </c>
      <c r="D24864" s="4"/>
    </row>
    <row collapsed="" customFormat="false" customHeight="1" hidden="" ht="14" outlineLevel="0" r="24865">
      <c r="A24865" s="3" t="inlineStr">
        <is>
          <t>24763</t>
        </is>
      </c>
      <c r="B24865" s="4" t="s">
        <f>=HYPERLINK("http://anyluxury.ru/shop/posuda/butylki-dlya-vody/vakuumnaya-butilka-iz-pererabotannoy-nerzhaveyushhey-stali-standart-rcs-600-ml-p433021/" , "P433.021 Вакуумная бутылка из переработанной нержавеющей стали (стандарт RCS), 600 мл")</f>
      </c>
      <c r="C24865" s="4" t="n">
        <v>2259.00</v>
      </c>
      <c r="D24865" s="4"/>
    </row>
    <row collapsed="" customFormat="false" customHeight="1" hidden="" ht="14" outlineLevel="0" r="24866">
      <c r="A24866" s="3" t="inlineStr">
        <is>
          <t>24764</t>
        </is>
      </c>
      <c r="B24866" s="4" t="s">
        <f>=HYPERLINK("http://anyluxury.ru/shop/posuda/butylki-dlya-vody/vakuumnaya-butilka-iz-pererabotannoy-nerzhaveyushhey-stali-standart-rcs-600-ml-p433022/" , "P433.022 Вакуумная бутылка из переработанной нержавеющей стали (стандарт RCS), 600 мл")</f>
      </c>
      <c r="C24866" s="4" t="n">
        <v>2259.00</v>
      </c>
      <c r="D24866" s="4"/>
    </row>
    <row collapsed="" customFormat="false" customHeight="1" hidden="" ht="14" outlineLevel="0" r="24867">
      <c r="A24867" s="3" t="inlineStr">
        <is>
          <t>24765</t>
        </is>
      </c>
      <c r="B24867" s="4" t="s">
        <f>=HYPERLINK("http://anyluxury.ru/shop/posuda/butylki-dlya-vody/vakuumnaya-butilka-iz-pererabotannoy-nerzhaveyushhey-stali-standart-rcs-600-ml-p433023/" , "P433.023 Вакуумная бутылка из переработанной нержавеющей стали (стандарт RCS), 600 мл")</f>
      </c>
      <c r="C24867" s="4" t="n">
        <v>2259.00</v>
      </c>
      <c r="D24867" s="4"/>
    </row>
    <row collapsed="" customFormat="false" customHeight="1" hidden="" ht="14" outlineLevel="0" r="24868">
      <c r="A24868" s="3" t="inlineStr">
        <is>
          <t>24766</t>
        </is>
      </c>
      <c r="B24868" s="4" t="s">
        <f>=HYPERLINK("http://anyluxury.ru/shop/posuda/butylki-dlya-vody/vakuumnaya-butilka-iz-pererabotannoy-nerzhaveyushhey-stali-standart-rcs-600-ml-p433025/" , "P433.025 Вакуумная бутылка из переработанной нержавеющей стали (стандарт RCS), 600 мл")</f>
      </c>
      <c r="C24868" s="4" t="n">
        <v>2259.00</v>
      </c>
      <c r="D24868" s="4"/>
    </row>
    <row collapsed="" customFormat="false" customHeight="1" hidden="" ht="14" outlineLevel="0" r="24869">
      <c r="A24869" s="3" t="inlineStr">
        <is>
          <t>24767</t>
        </is>
      </c>
      <c r="B24869" s="4" t="s">
        <f>=HYPERLINK("http://anyluxury.ru/shop/posuda/butylki-dlya-vody/vakuumnaya-butilka-iz-pererabotannoy-nerzhaveyushhey-stali-standart-rcs-600-ml-p433027/" , "P433.027 Вакуумная бутылка из переработанной нержавеющей стали (стандарт RCS), 600 мл")</f>
      </c>
      <c r="C24869" s="4" t="n">
        <v>2259.00</v>
      </c>
      <c r="D24869" s="4"/>
    </row>
    <row collapsed="" customFormat="false" customHeight="1" hidden="" ht="14" outlineLevel="0" r="24870">
      <c r="A24870" s="3" t="inlineStr">
        <is>
          <t>24768</t>
        </is>
      </c>
      <c r="B24870" s="4" t="s">
        <f>=HYPERLINK("http://anyluxury.ru/shop/posuda/butylki-dlya-vody/butilka-dlya-vodi-iz-rpet-standart-grs-s-krishkoy-iz-bambuka-fscr-p433095/" , "P433.095 Бутылка для воды из rPET (стандарт GRS) с крышкой из бамбука FSC®")</f>
      </c>
      <c r="C24870" s="4" t="n">
        <v>829.00</v>
      </c>
      <c r="D24870" s="4"/>
    </row>
    <row collapsed="" customFormat="false" customHeight="1" hidden="" ht="14" outlineLevel="0" r="24871">
      <c r="A24871" s="3" t="inlineStr">
        <is>
          <t>24769</t>
        </is>
      </c>
      <c r="B24871" s="4" t="s">
        <f>=HYPERLINK("http://anyluxury.ru/shop/posuda/butylki-dlya-vody/butilka-dlya-vodi-iz-rpet-grs-s-krishkoy-iz-bambuka-fsc-680-ml-p433260/" , "P433.260 Бутылка для воды из rPET GRS с крышкой из бамбука FSC, 680 мл")</f>
      </c>
      <c r="C24871" s="4" t="n">
        <v>1099.00</v>
      </c>
      <c r="D24871" s="4"/>
    </row>
    <row collapsed="" customFormat="false" customHeight="1" hidden="" ht="14" outlineLevel="0" r="24872">
      <c r="A24872" s="3" t="inlineStr">
        <is>
          <t>24770</t>
        </is>
      </c>
      <c r="B24872" s="4" t="s">
        <f>=HYPERLINK("http://anyluxury.ru/shop/posuda/butylki-dlya-vody/butilka-dlya-vodi-iz-rpet-grs-s-krishkoy-iz-bambuka-fsc-680-ml-p433261/" , "P433.261 Бутылка для воды из rPET GRS с крышкой из бамбука FSC, 680 мл")</f>
      </c>
      <c r="C24872" s="4" t="n">
        <v>1099.00</v>
      </c>
      <c r="D24872" s="4"/>
    </row>
    <row collapsed="" customFormat="false" customHeight="1" hidden="" ht="14" outlineLevel="0" r="24873">
      <c r="A24873" s="3" t="inlineStr">
        <is>
          <t>24771</t>
        </is>
      </c>
      <c r="B24873" s="4" t="s">
        <f>=HYPERLINK("http://anyluxury.ru/shop/posuda/butylki-dlya-vody/butilka-dlya-vodi-iz-rpet-grs-s-krishkoy-iz-bambuka-fsc-680-ml-p433265/" , "P433.265 Бутылка для воды из rPET GRS с крышкой из бамбука FSC, 680 мл")</f>
      </c>
      <c r="C24873" s="4" t="n">
        <v>1099.00</v>
      </c>
      <c r="D24873" s="4"/>
    </row>
    <row collapsed="" customFormat="false" customHeight="1" hidden="" ht="14" outlineLevel="0" r="24874">
      <c r="A24874" s="3" t="inlineStr">
        <is>
          <t>24772</t>
        </is>
      </c>
      <c r="B24874" s="4" t="s">
        <f>=HYPERLINK("http://anyluxury.ru/shop/posuda/butylki-dlya-vody/vakuumnaya-butilka-iz-pererabotannoy-nerzhaveyushhey-stali-rcs-05-l-p433271/" , "P433.271 Вакуумная бутылка из переработанной нержавеющей стали RCS, 0,5 л")</f>
      </c>
      <c r="C24874" s="4" t="n">
        <v>1789.00</v>
      </c>
      <c r="D24874" s="4"/>
    </row>
    <row collapsed="" customFormat="false" customHeight="1" hidden="" ht="14" outlineLevel="0" r="24875">
      <c r="A24875" s="3" t="inlineStr">
        <is>
          <t>24773</t>
        </is>
      </c>
      <c r="B24875" s="4" t="s">
        <f>=HYPERLINK("http://anyluxury.ru/shop/posuda/butylki-dlya-vody/vakuumnaya-butilka-iz-pererabotannoy-nerzhaveyushhey-stali-rcs-05-l-p433272/" , "P433.272 Вакуумная бутылка из переработанной нержавеющей стали RCS, 0,5 л")</f>
      </c>
      <c r="C24875" s="4" t="n">
        <v>1789.00</v>
      </c>
      <c r="D24875" s="4"/>
    </row>
    <row collapsed="" customFormat="false" customHeight="1" hidden="" ht="14" outlineLevel="0" r="24876">
      <c r="A24876" s="3" t="inlineStr">
        <is>
          <t>24774</t>
        </is>
      </c>
      <c r="B24876" s="4" t="s">
        <f>=HYPERLINK("http://anyluxury.ru/shop/posuda/butylki-dlya-vody/vakuumnaya-butilka-iz-pererabotannoy-nerzhaveyushhey-stali-rcs-05-l-p433273/" , "P433.273 Вакуумная бутылка из переработанной нержавеющей стали RCS, 0,5 л")</f>
      </c>
      <c r="C24876" s="4" t="n">
        <v>1789.00</v>
      </c>
      <c r="D24876" s="4"/>
    </row>
    <row collapsed="" customFormat="false" customHeight="1" hidden="" ht="14" outlineLevel="0" r="24877">
      <c r="A24877" s="3" t="inlineStr">
        <is>
          <t>24775</t>
        </is>
      </c>
      <c r="B24877" s="4" t="s">
        <f>=HYPERLINK("http://anyluxury.ru/shop/posuda/butylki-dlya-vody/vakuumnaya-butilka-iz-pererabotannoy-nerzhaveyushhey-stali-rcs-05-l-p433274/" , "P433.274 Вакуумная бутылка из переработанной нержавеющей стали RCS, 0,5 л")</f>
      </c>
      <c r="C24877" s="4" t="n">
        <v>1789.00</v>
      </c>
      <c r="D24877" s="4"/>
    </row>
    <row collapsed="" customFormat="false" customHeight="1" hidden="" ht="14" outlineLevel="0" r="24878">
      <c r="A24878" s="3" t="inlineStr">
        <is>
          <t>24776</t>
        </is>
      </c>
      <c r="B24878" s="4" t="s">
        <f>=HYPERLINK("http://anyluxury.ru/shop/posuda/butylki-dlya-vody/vakuumnaya-butilka-iz-pererabotannoy-nerzhaveyushhey-stali-rcs-05-l-p433275/" , "P433.275 Вакуумная бутылка из переработанной нержавеющей стали RCS, 0,5 л")</f>
      </c>
      <c r="C24878" s="4" t="n">
        <v>1789.00</v>
      </c>
      <c r="D24878" s="4"/>
    </row>
    <row collapsed="" customFormat="false" customHeight="1" hidden="" ht="14" outlineLevel="0" r="24879">
      <c r="A24879" s="3" t="inlineStr">
        <is>
          <t>24777</t>
        </is>
      </c>
      <c r="B24879" s="4" t="s">
        <f>=HYPERLINK("http://anyluxury.ru/shop/posuda/butylki-dlya-vody/vakuumnaya-butilka-iz-pererabotannoy-nerzhaveyushhey-stali-rcs-05-l-p433277/" , "P433.277 Вакуумная бутылка из переработанной нержавеющей стали RCS, 0,5 л")</f>
      </c>
      <c r="C24879" s="4" t="n">
        <v>1789.00</v>
      </c>
      <c r="D24879" s="4"/>
    </row>
    <row collapsed="" customFormat="false" customHeight="1" hidden="" ht="14" outlineLevel="0" r="24880">
      <c r="A24880" s="3" t="inlineStr">
        <is>
          <t>24778</t>
        </is>
      </c>
      <c r="B24880" s="4" t="s">
        <f>=HYPERLINK("http://anyluxury.ru/shop/posuda/butylki-dlya-vody/vakuumnaya-butilka-iz-pererabotannoy-nerzhaveyushhey-stali-rcs-05-l-p433278/" , "P433.278 Вакуумная бутылка из переработанной нержавеющей стали RCS, 0,5 л")</f>
      </c>
      <c r="C24880" s="4" t="n">
        <v>1789.00</v>
      </c>
      <c r="D24880" s="4"/>
    </row>
    <row collapsed="" customFormat="false" customHeight="1" hidden="" ht="14" outlineLevel="0" r="24881">
      <c r="A24881" s="3" t="inlineStr">
        <is>
          <t>24779</t>
        </is>
      </c>
      <c r="B24881" s="4" t="s">
        <f>=HYPERLINK("http://anyluxury.ru/shop/posuda/butylki-dlya-vody/vakuumnaya-butilka-iz-pererabotannoy-nerzhaveyushhey-stali-rcs-05-l-p433279/" , "P433.279 Вакуумная бутылка из переработанной нержавеющей стали RCS, 0,5 л")</f>
      </c>
      <c r="C24881" s="4" t="n">
        <v>1789.00</v>
      </c>
      <c r="D24881" s="4"/>
    </row>
    <row collapsed="" customFormat="false" customHeight="1" hidden="" ht="14" outlineLevel="0" r="24882">
      <c r="A24882" s="3" t="inlineStr">
        <is>
          <t>24780</t>
        </is>
      </c>
      <c r="B24882" s="4" t="s">
        <f>=HYPERLINK("http://anyluxury.ru/shop/posuda/butylki-dlya-vody/butilka-dlya-vodi-jungle-korichnevaya-1515359/" , "15153.59 Бутылка для воды Jungle, коричневая")</f>
      </c>
      <c r="C24882" s="4" t="n">
        <v>499.00</v>
      </c>
      <c r="D24882" s="4"/>
    </row>
    <row collapsed="" customFormat="false" customHeight="1" hidden="" ht="14" outlineLevel="0" r="24883">
      <c r="A24883" s="3" t="inlineStr">
        <is>
          <t>24781</t>
        </is>
      </c>
      <c r="B24883" s="4" t="s">
        <f>=HYPERLINK("http://anyluxury.ru/shop/posuda/butylki-dlya-vody/butilka-dlya-vodi-jungle-rozovaya-1515356/" , "15153.56 Бутылка для воды Jungle, розовая")</f>
      </c>
      <c r="C24883" s="4" t="n">
        <v>469.00</v>
      </c>
      <c r="D24883" s="4"/>
    </row>
    <row collapsed="" customFormat="false" customHeight="1" hidden="" ht="14" outlineLevel="0" r="24884">
      <c r="A24884" s="3" t="inlineStr">
        <is>
          <t>24782</t>
        </is>
      </c>
      <c r="B24884" s="4" t="s">
        <f>=HYPERLINK("http://anyluxury.ru/shop/posuda/butylki-dlya-vody/butilka-dlya-vodi-fresh-golubaya-1515414/" , "15154.14 Бутылка для воды Fresh, голубая")</f>
      </c>
      <c r="C24884" s="4" t="n">
        <v>559.00</v>
      </c>
      <c r="D24884" s="4"/>
    </row>
    <row collapsed="" customFormat="false" customHeight="1" hidden="" ht="14" outlineLevel="0" r="24885">
      <c r="A24885" s="3" t="inlineStr">
        <is>
          <t>24783</t>
        </is>
      </c>
      <c r="B24885" s="4" t="s">
        <f>=HYPERLINK("http://anyluxury.ru/shop/posuda/butylki-dlya-vody/butilka-dlya-vodi-fresh-korichnevaya-1515459/" , "15154.59 Бутылка для воды Fresh, коричневая")</f>
      </c>
      <c r="C24885" s="4" t="n">
        <v>611.00</v>
      </c>
      <c r="D24885" s="4"/>
    </row>
    <row collapsed="" customFormat="false" customHeight="1" hidden="" ht="14" outlineLevel="0" r="24886">
      <c r="A24886" s="3" t="inlineStr">
        <is>
          <t>24784</t>
        </is>
      </c>
      <c r="B24886" s="4" t="s">
        <f>=HYPERLINK("http://anyluxury.ru/shop/posuda/butylki-dlya-vody/butilka-dlya-vodi-fresh-chernaya-1515430/" , "15154.30 Бутылка для воды Fresh, черная")</f>
      </c>
      <c r="C24886" s="4" t="n">
        <v>611.00</v>
      </c>
      <c r="D24886" s="4"/>
    </row>
    <row collapsed="" customFormat="false" customHeight="1" hidden="" ht="14" outlineLevel="0" r="24887">
      <c r="A24887" s="3" t="inlineStr">
        <is>
          <t>24785</t>
        </is>
      </c>
      <c r="B24887" s="4" t="s">
        <f>=HYPERLINK("http://anyluxury.ru/shop/posuda/butylki-dlya-vody/butilka-dlya-vodi-fresh-rozovaya-1515456/" , "15154.56 Бутылка для воды Fresh, розовая")</f>
      </c>
      <c r="C24887" s="4" t="n">
        <v>559.00</v>
      </c>
      <c r="D24887" s="4"/>
    </row>
    <row collapsed="" customFormat="false" customHeight="1" hidden="" ht="14" outlineLevel="0" r="24888">
      <c r="A24888" s="3" t="inlineStr">
        <is>
          <t>24786</t>
        </is>
      </c>
      <c r="B24888" s="4" t="s">
        <f>=HYPERLINK("http://anyluxury.ru/shop/posuda/butylki-dlya-vody/butilka-dlya-vodi-simple-zelenaya-1515590/" , "15155.90 Бутылка для воды Simple, зеленая")</f>
      </c>
      <c r="C24888" s="4" t="n">
        <v>599.00</v>
      </c>
      <c r="D24888" s="4"/>
    </row>
    <row collapsed="" customFormat="false" customHeight="1" hidden="" ht="14" outlineLevel="0" r="24889">
      <c r="A24889" s="3" t="inlineStr">
        <is>
          <t>24787</t>
        </is>
      </c>
      <c r="B24889" s="4" t="s">
        <f>=HYPERLINK("http://anyluxury.ru/shop/posuda/butylki-dlya-vody/butilka-dlya-vodi-simple-korichnevaya-1515559/" , "15155.59 Бутылка для воды Simple, коричневая")</f>
      </c>
      <c r="C24889" s="4" t="n">
        <v>599.00</v>
      </c>
      <c r="D24889" s="4"/>
    </row>
    <row collapsed="" customFormat="false" customHeight="1" hidden="" ht="14" outlineLevel="0" r="24890">
      <c r="A24890" s="3" t="inlineStr">
        <is>
          <t>24788</t>
        </is>
      </c>
      <c r="B24890" s="4" t="s">
        <f>=HYPERLINK("http://anyluxury.ru/shop/posuda/butylki-dlya-vody/butilka-dlya-vodi-simple-rozovaya-1515556/" , "15155.56 Бутылка для воды Simple, розовая")</f>
      </c>
      <c r="C24890" s="4" t="n">
        <v>599.00</v>
      </c>
      <c r="D24890" s="4"/>
    </row>
    <row collapsed="" customFormat="false" customHeight="1" hidden="" ht="14" outlineLevel="0" r="24891">
      <c r="A24891" s="3" t="inlineStr">
        <is>
          <t>24789</t>
        </is>
      </c>
      <c r="B24891" s="4" t="s">
        <f>=HYPERLINK("http://anyluxury.ru/shop/posuda/butylki-dlya-vody/butilka-dlya-vodi-simple-sinyaya-1515540/" , "15155.40 Бутылка для воды Simple, синяя")</f>
      </c>
      <c r="C24891" s="4" t="n">
        <v>644.00</v>
      </c>
      <c r="D24891" s="4"/>
    </row>
    <row collapsed="" customFormat="false" customHeight="1" hidden="" ht="14" outlineLevel="0" r="24892">
      <c r="A24892" s="3" t="inlineStr">
        <is>
          <t>24790</t>
        </is>
      </c>
      <c r="B24892" s="4" t="s">
        <f>=HYPERLINK("http://anyluxury.ru/shop/posuda/butylki-dlya-vody/butilka-dlya-vodi-simple-chernaya-1515530/" , "15155.30 Бутылка для воды Simple, черная")</f>
      </c>
      <c r="C24892" s="4" t="n">
        <v>644.00</v>
      </c>
      <c r="D24892" s="4"/>
    </row>
    <row collapsed="" customFormat="false" customHeight="1" hidden="" ht="14" outlineLevel="0" r="24893">
      <c r="A24893" s="3" t="inlineStr">
        <is>
          <t>24791</t>
        </is>
      </c>
      <c r="B24893" s="4" t="s">
        <f>=HYPERLINK("http://anyluxury.ru/shop/posuda/butylki-dlya-vody/butilkaflyaga-square-golubaya-1515614/" , "15156.14 Бутылка-фляга Square, голубая")</f>
      </c>
      <c r="C24893" s="4" t="n">
        <v>849.00</v>
      </c>
      <c r="D24893" s="4"/>
    </row>
    <row collapsed="" customFormat="false" customHeight="1" hidden="" ht="14" outlineLevel="0" r="24894">
      <c r="A24894" s="3" t="inlineStr">
        <is>
          <t>24792</t>
        </is>
      </c>
      <c r="B24894" s="4" t="s">
        <f>=HYPERLINK("http://anyluxury.ru/shop/posuda/butylki-dlya-vody/butilkaflyaga-square-zelenaya-1515690/" , "15156.90 Бутылка-фляга Square, зеленая")</f>
      </c>
      <c r="C24894" s="4" t="n">
        <v>849.00</v>
      </c>
      <c r="D24894" s="4"/>
    </row>
    <row collapsed="" customFormat="false" customHeight="1" hidden="" ht="14" outlineLevel="0" r="24895">
      <c r="A24895" s="3" t="inlineStr">
        <is>
          <t>24793</t>
        </is>
      </c>
      <c r="B24895" s="4" t="s">
        <f>=HYPERLINK("http://anyluxury.ru/shop/posuda/butylki-dlya-vody/butilkaflyaga-square-fioletovaya-1515677/" , "15156.77 Бутылка-фляга Square, фиолетовая")</f>
      </c>
      <c r="C24895" s="4" t="n">
        <v>849.00</v>
      </c>
      <c r="D24895" s="4"/>
    </row>
    <row collapsed="" customFormat="false" customHeight="1" hidden="" ht="14" outlineLevel="0" r="24896">
      <c r="A24896" s="3" t="inlineStr">
        <is>
          <t>24794</t>
        </is>
      </c>
      <c r="B24896" s="4" t="s">
        <f>=HYPERLINK("http://anyluxury.ru/shop/posuda/butylki-dlya-vody/butilkaflyaga-square-rozovaya-1515656/" , "15156.56 Бутылка-фляга Square, розовая")</f>
      </c>
      <c r="C24896" s="4" t="n">
        <v>849.00</v>
      </c>
      <c r="D24896" s="4"/>
    </row>
    <row collapsed="" customFormat="false" customHeight="1" hidden="" ht="14" outlineLevel="0" r="24897">
      <c r="A24897" s="3" t="inlineStr">
        <is>
          <t>24795</t>
        </is>
      </c>
      <c r="B24897" s="4" t="s">
        <f>=HYPERLINK("http://anyluxury.ru/shop/posuda/butylki-dlya-vody/butilka-dlya-vodi-dakar-prozrachnaya-s-chernim-1267530/" , "12675.30 Бутылка для воды Dakar, прозрачная с черным")</f>
      </c>
      <c r="C24897" s="4" t="n">
        <v>1696.00</v>
      </c>
      <c r="D24897" s="4"/>
    </row>
    <row collapsed="" customFormat="false" customHeight="1" hidden="" ht="14" outlineLevel="0" r="24898">
      <c r="A24898" s="3" t="inlineStr">
        <is>
          <t>24796</t>
        </is>
      </c>
      <c r="B24898" s="4" t="s">
        <f>=HYPERLINK("http://anyluxury.ru/shop/posuda/butylki-dlya-vody/butilka-dlya-vodi-dakar-prozrachnaya-s-zelenim-1267590/" , "12675.90 Бутылка для воды Dakar, прозрачная с зеленым")</f>
      </c>
      <c r="C24898" s="4" t="n">
        <v>1696.00</v>
      </c>
      <c r="D24898" s="4"/>
    </row>
    <row collapsed="" customFormat="false" customHeight="1" hidden="" ht="14" outlineLevel="0" r="24899">
      <c r="A24899" s="3" t="inlineStr">
        <is>
          <t>24797</t>
        </is>
      </c>
      <c r="B24899" s="4" t="s">
        <f>=HYPERLINK("http://anyluxury.ru/shop/posuda/butylki-dlya-vody/butilka-dlya-vodi-dakar-prozrachnaya-s-belim-1267560/" , "12675.60 Бутылка для воды Dakar, прозрачная с белым")</f>
      </c>
      <c r="C24899" s="4" t="n">
        <v>1696.00</v>
      </c>
      <c r="D24899" s="4"/>
    </row>
    <row collapsed="" customFormat="false" customHeight="1" hidden="" ht="14" outlineLevel="0" r="24900">
      <c r="A24900" s="3" t="inlineStr">
        <is>
          <t>24798</t>
        </is>
      </c>
      <c r="B24900" s="4" t="s">
        <f>=HYPERLINK("http://anyluxury.ru/shop/posuda/butylki-dlya-vody/sportivnaya-butilka-dlya-vodi-flip-700-ml-krasnaya-227677060/" , "227677.060 Бутылка для воды Flip, красная")</f>
      </c>
      <c r="C24900" s="4" t="n">
        <v>948.00</v>
      </c>
      <c r="D24900" s="4"/>
    </row>
    <row collapsed="" customFormat="false" customHeight="1" hidden="" ht="14" outlineLevel="0" r="24901">
      <c r="A24901" s="3" t="inlineStr">
        <is>
          <t>24799</t>
        </is>
      </c>
      <c r="B24901" s="4" t="s">
        <f>=HYPERLINK("http://anyluxury.ru/shop/posuda/butylki-dlya-vody/termobutilka-vinga-miles-500-ml-5046/" , "5046 Толстовка с капюшоном Slam 320, голубая, размер M")</f>
      </c>
      <c r="C24901" s="4" t="n">
        <v>3364.00</v>
      </c>
      <c r="D24901" s="4"/>
    </row>
    <row collapsed="" customFormat="false" customHeight="1" hidden="" ht="14" outlineLevel="0" r="24902">
      <c r="A24902" s="3" t="inlineStr">
        <is>
          <t>24800</t>
        </is>
      </c>
      <c r="B24902" s="4" t="s">
        <f>=HYPERLINK("http://anyluxury.ru/shop/posuda/butylki-dlya-vody/butilka-dlya-vodi-deluxe-iz-pererabotannoy-nerzhaveyushhey-stali-500-ml-p435710/" , "P435.710 Бутылка для воды Deluxe из переработанной нержавеющей стали, 500 мл")</f>
      </c>
      <c r="C24902" s="4" t="n">
        <v>1299.00</v>
      </c>
      <c r="D24902" s="4"/>
    </row>
    <row collapsed="" customFormat="false" customHeight="1" hidden="" ht="14" outlineLevel="0" r="24903">
      <c r="A24903" s="3" t="inlineStr">
        <is>
          <t>24801</t>
        </is>
      </c>
      <c r="B24903" s="4" t="s">
        <f>=HYPERLINK("http://anyluxury.ru/shop/posuda/butylki-dlya-vody/butilka-dlya-vodi-deluxe-iz-pererabotannoy-nerzhaveyushhey-stali-500-ml-p435711/" , "P435.711 Бутылка для воды Deluxe из переработанной нержавеющей стали, 500 мл")</f>
      </c>
      <c r="C24903" s="4" t="n">
        <v>1299.00</v>
      </c>
      <c r="D24903" s="4"/>
    </row>
    <row collapsed="" customFormat="false" customHeight="1" hidden="" ht="14" outlineLevel="0" r="24904">
      <c r="A24904" s="3" t="inlineStr">
        <is>
          <t>24802</t>
        </is>
      </c>
      <c r="B24904" s="4" t="s">
        <f>=HYPERLINK("http://anyluxury.ru/shop/posuda/butylki-dlya-vody/butilka-dlya-vodi-deluxe-iz-pererabotannoy-nerzhaveyushhey-stali-500-ml-p435712/" , "P435.712 Бутылка для воды Deluxe из переработанной нержавеющей стали, 500 мл")</f>
      </c>
      <c r="C24904" s="4" t="n">
        <v>1299.00</v>
      </c>
      <c r="D24904" s="4"/>
    </row>
    <row collapsed="" customFormat="false" customHeight="1" hidden="" ht="14" outlineLevel="0" r="24905">
      <c r="A24905" s="3" t="inlineStr">
        <is>
          <t>24803</t>
        </is>
      </c>
      <c r="B24905" s="4" t="s">
        <f>=HYPERLINK("http://anyluxury.ru/shop/posuda/butylki-dlya-vody/butilka-dlya-vodi-deluxe-iz-pererabotannoy-nerzhaveyushhey-stali-500-ml-p435713/" , "P435.713 Бутылка для воды Deluxe из переработанной нержавеющей стали, 500 мл")</f>
      </c>
      <c r="C24905" s="4" t="n">
        <v>1299.00</v>
      </c>
      <c r="D24905" s="4"/>
    </row>
    <row collapsed="" customFormat="false" customHeight="1" hidden="" ht="14" outlineLevel="0" r="24906">
      <c r="A24906" s="3" t="inlineStr">
        <is>
          <t>24804</t>
        </is>
      </c>
      <c r="B24906" s="4" t="s">
        <f>=HYPERLINK("http://anyluxury.ru/shop/posuda/butylki-dlya-vody/butilka-dlya-vodi-deluxe-iz-pererabotannoy-nerzhaveyushhey-stali-500-ml-p435714/" , "P435.714 Бутылка для воды Deluxe из переработанной нержавеющей стали, 500 мл")</f>
      </c>
      <c r="C24906" s="4" t="n">
        <v>1299.00</v>
      </c>
      <c r="D24906" s="4"/>
    </row>
    <row collapsed="" customFormat="false" customHeight="1" hidden="" ht="14" outlineLevel="0" r="24907">
      <c r="A24907" s="3" t="inlineStr">
        <is>
          <t>24805</t>
        </is>
      </c>
      <c r="B24907" s="4" t="s">
        <f>=HYPERLINK("http://anyluxury.ru/shop/posuda/butylki-dlya-vody/butilka-dlya-vodi-deluxe-iz-pererabotannoy-nerzhaveyushhey-stali-500-ml-p435715/" , "P435.715 Бутылка для воды Deluxe из переработанной нержавеющей стали, 500 мл")</f>
      </c>
      <c r="C24907" s="4" t="n">
        <v>1299.00</v>
      </c>
      <c r="D24907" s="4"/>
    </row>
    <row collapsed="" customFormat="false" customHeight="1" hidden="" ht="14" outlineLevel="0" r="24908">
      <c r="A24908" s="3" t="inlineStr">
        <is>
          <t>24806</t>
        </is>
      </c>
      <c r="B24908" s="4" t="s">
        <f>=HYPERLINK("http://anyluxury.ru/shop/posuda/butylki-dlya-vody/termobutilka-impact-iz-pererabotannoy-nerzhaveyushhey-stali-rcs-500-ml-p435700/" , "P435.700 Термобутылка Impact из переработанной нержавеющей стали RCS, 500 мл")</f>
      </c>
      <c r="C24908" s="4" t="n">
        <v>1929.00</v>
      </c>
      <c r="D24908" s="4"/>
    </row>
    <row collapsed="" customFormat="false" customHeight="1" hidden="" ht="14" outlineLevel="0" r="24909">
      <c r="A24909" s="3" t="inlineStr">
        <is>
          <t>24807</t>
        </is>
      </c>
      <c r="B24909" s="4" t="s">
        <f>=HYPERLINK("http://anyluxury.ru/shop/posuda/butylki-dlya-vody/termobutilka-impact-iz-pererabotannoy-nerzhaveyushhey-stali-rcs-500-ml-p435701/" , "P435.701 Термобутылка Impact из переработанной нержавеющей стали RCS, 500 мл")</f>
      </c>
      <c r="C24909" s="4" t="n">
        <v>1929.00</v>
      </c>
      <c r="D24909" s="4"/>
    </row>
    <row collapsed="" customFormat="false" customHeight="1" hidden="" ht="14" outlineLevel="0" r="24910">
      <c r="A24910" s="3" t="inlineStr">
        <is>
          <t>24808</t>
        </is>
      </c>
      <c r="B24910" s="4" t="s">
        <f>=HYPERLINK("http://anyluxury.ru/shop/posuda/butylki-dlya-vody/termobutilka-impact-iz-pererabotannoy-nerzhaveyushhey-stali-rcs-500-ml-p435702/" , "P435.702 Термобутылка Impact из переработанной нержавеющей стали RCS, 500 мл")</f>
      </c>
      <c r="C24910" s="4" t="n">
        <v>1929.00</v>
      </c>
      <c r="D24910" s="4"/>
    </row>
    <row collapsed="" customFormat="false" customHeight="1" hidden="" ht="14" outlineLevel="0" r="24911">
      <c r="A24911" s="3" t="inlineStr">
        <is>
          <t>24809</t>
        </is>
      </c>
      <c r="B24911" s="4" t="s">
        <f>=HYPERLINK("http://anyluxury.ru/shop/posuda/butylki-dlya-vody/termobutilka-impact-iz-pererabotannoy-nerzhaveyushhey-stali-rcs-500-ml-p435703/" , "P435.703 Термобутылка Impact из переработанной нержавеющей стали RCS, 500 мл")</f>
      </c>
      <c r="C24911" s="4" t="n">
        <v>1929.00</v>
      </c>
      <c r="D24911" s="4"/>
    </row>
    <row collapsed="" customFormat="false" customHeight="1" hidden="" ht="14" outlineLevel="0" r="24912">
      <c r="A24912" s="3" t="inlineStr">
        <is>
          <t>24810</t>
        </is>
      </c>
      <c r="B24912" s="4" t="s">
        <f>=HYPERLINK("http://anyluxury.ru/shop/posuda/butylki-dlya-vody/termobutilka-impact-iz-pererabotannoy-nerzhaveyushhey-stali-rcs-500-ml-p435705/" , "P435.705 Термобутылка Impact из переработанной нержавеющей стали RCS, 500 мл")</f>
      </c>
      <c r="C24912" s="4" t="n">
        <v>1929.00</v>
      </c>
      <c r="D24912" s="4"/>
    </row>
    <row collapsed="" customFormat="false" customHeight="1" hidden="" ht="14" outlineLevel="0" r="24913">
      <c r="A24913" s="3" t="inlineStr">
        <is>
          <t>24811</t>
        </is>
      </c>
      <c r="B24913" s="4" t="s">
        <f>=HYPERLINK("http://anyluxury.ru/shop/posuda/butylki-dlya-vody/termobutilka-impact-iz-pererabotannoy-nerzhaveyushhey-stali-rcs-500-ml-p435709/" , "P435.709 Термобутылка Impact из переработанной нержавеющей стали RCS, 500 мл")</f>
      </c>
      <c r="C24913" s="4" t="n">
        <v>1929.00</v>
      </c>
      <c r="D24913" s="4"/>
    </row>
    <row collapsed="" customFormat="false" customHeight="1" hidden="" ht="14" outlineLevel="0" r="24914">
      <c r="A24914" s="3" t="inlineStr">
        <is>
          <t>24812</t>
        </is>
      </c>
      <c r="B24914" s="4" t="s">
        <f>=HYPERLINK("http://anyluxury.ru/shop/posuda/butylki-dlya-vody/termobutilka-2v1-iz-pererabotannoy-nerzhaveyushhey-stali-rcs-670-ml-p433131/" , "P433.131 Термобутылка 2-в-1 из переработанной нержавеющей стали RCS, 670 мл")</f>
      </c>
      <c r="C24914" s="4" t="n">
        <v>2779.00</v>
      </c>
      <c r="D24914" s="4"/>
    </row>
    <row collapsed="" customFormat="false" customHeight="1" hidden="" ht="14" outlineLevel="0" r="24915">
      <c r="A24915" s="3" t="inlineStr">
        <is>
          <t>24813</t>
        </is>
      </c>
      <c r="B24915" s="4" t="s">
        <f>=HYPERLINK("http://anyluxury.ru/shop/posuda/butylki-dlya-vody/termobutilka-2v1-iz-pererabotannoy-nerzhaveyushhey-stali-rcs-670-ml-p433133/" , "P433.133 Термобутылка 2-в-1 из переработанной нержавеющей стали RCS, 670 мл")</f>
      </c>
      <c r="C24915" s="4" t="n">
        <v>2779.00</v>
      </c>
      <c r="D24915" s="4"/>
    </row>
    <row collapsed="" customFormat="false" customHeight="1" hidden="" ht="14" outlineLevel="0" r="24916">
      <c r="A24916" s="3" t="inlineStr">
        <is>
          <t>24814</t>
        </is>
      </c>
      <c r="B24916" s="4" t="s">
        <f>=HYPERLINK("http://anyluxury.ru/shop/posuda/butylki-dlya-vody/termokruzhka-cork-iz-nerzhaveyushhey-stali-i-pererabotannogo-polipropilena-grs-300-ml-p435071/" , "P435.071 Термокружка Cork из нержавеющей стали и переработанного полипропилена GRS, 300 мл")</f>
      </c>
      <c r="C24916" s="4" t="n">
        <v>1589.00</v>
      </c>
      <c r="D24916" s="4"/>
    </row>
    <row collapsed="" customFormat="false" customHeight="1" hidden="" ht="14" outlineLevel="0" r="24917">
      <c r="A24917" s="3" t="inlineStr">
        <is>
          <t>24815</t>
        </is>
      </c>
      <c r="B24917" s="4" t="s">
        <f>=HYPERLINK("http://anyluxury.ru/shop/posuda/butylki-dlya-vody/termokruzhka-cork-iz-nerzhaveyushhey-stali-i-pererabotannogo-polipropilena-grs-300-ml-p435072/" , "P435.072 Термокружка Cork из нержавеющей стали и переработанного полипропилена GRS, 300 мл")</f>
      </c>
      <c r="C24917" s="4" t="n">
        <v>1589.00</v>
      </c>
      <c r="D24917" s="4"/>
    </row>
    <row collapsed="" customFormat="false" customHeight="1" hidden="" ht="14" outlineLevel="0" r="24918">
      <c r="A24918" s="3" t="inlineStr">
        <is>
          <t>24816</t>
        </is>
      </c>
      <c r="B24918" s="4" t="s">
        <f>=HYPERLINK("http://anyluxury.ru/shop/posuda/butylki-dlya-vody/termokruzhka-cork-iz-nerzhaveyushhey-stali-i-pererabotannogo-polipropilena-grs-300-ml-p435073/" , "P435.073 Термокружка Cork из нержавеющей стали и переработанного полипропилена GRS, 300 мл")</f>
      </c>
      <c r="C24918" s="4" t="n">
        <v>1589.00</v>
      </c>
      <c r="D24918" s="4"/>
    </row>
    <row collapsed="" customFormat="false" customHeight="1" hidden="" ht="14" outlineLevel="0" r="24919">
      <c r="A24919" s="3" t="inlineStr">
        <is>
          <t>24817</t>
        </is>
      </c>
      <c r="B24919" s="4" t="s">
        <f>=HYPERLINK("http://anyluxury.ru/shop/posuda/butylki-dlya-vody/termokruzhka-cork-iz-nerzhaveyushhey-stali-i-pererabotannogo-polipropilena-grs-300-ml-p435075/" , "P435.075 Термокружка Cork из нержавеющей стали и переработанного полипропилена GRS, 300 мл")</f>
      </c>
      <c r="C24919" s="4" t="n">
        <v>1589.00</v>
      </c>
      <c r="D24919" s="4"/>
    </row>
    <row collapsed="" customFormat="false" customHeight="1" hidden="" ht="14" outlineLevel="0" r="24920">
      <c r="A24920" s="3" t="inlineStr">
        <is>
          <t>24818</t>
        </is>
      </c>
      <c r="B24920" s="4" t="s">
        <f>=HYPERLINK("http://anyluxury.ru/shop/posuda/butylki-dlya-vody/termokruzhka-metro-iz-pererabotannoy-nerzhaveyushhey-stali-rsc-300-ml-p435041/" , "P435.041 Термокружка Metro из переработанной нержавеющей стали RSC, 300 мл")</f>
      </c>
      <c r="C24920" s="4" t="n">
        <v>1049.00</v>
      </c>
      <c r="D24920" s="4"/>
    </row>
    <row collapsed="" customFormat="false" customHeight="1" hidden="" ht="14" outlineLevel="0" r="24921">
      <c r="A24921" s="3" t="inlineStr">
        <is>
          <t>24819</t>
        </is>
      </c>
      <c r="B24921" s="4" t="s">
        <f>=HYPERLINK("http://anyluxury.ru/shop/posuda/butylki-dlya-vody/termokruzhka-metro-iz-pererabotannoy-nerzhaveyushhey-stali-rsc-300-ml-p435042/" , "P435.042 Термокружка Metro из переработанной нержавеющей стали RSC, 300 мл")</f>
      </c>
      <c r="C24921" s="4" t="n">
        <v>1049.00</v>
      </c>
      <c r="D24921" s="4"/>
    </row>
    <row collapsed="" customFormat="false" customHeight="1" hidden="" ht="14" outlineLevel="0" r="24922">
      <c r="A24922" s="3" t="inlineStr">
        <is>
          <t>24820</t>
        </is>
      </c>
      <c r="B24922" s="4" t="s">
        <f>=HYPERLINK("http://anyluxury.ru/shop/posuda/butylki-dlya-vody/termokruzhka-metro-iz-pererabotannoy-nerzhaveyushhey-stali-rsc-300-ml-p435043/" , "P435.043 Термокружка Metro из переработанной нержавеющей стали RSC, 300 мл")</f>
      </c>
      <c r="C24922" s="4" t="n">
        <v>1049.00</v>
      </c>
      <c r="D24922" s="4"/>
    </row>
    <row collapsed="" customFormat="false" customHeight="1" hidden="" ht="14" outlineLevel="0" r="24923">
      <c r="A24923" s="3" t="inlineStr">
        <is>
          <t>24821</t>
        </is>
      </c>
      <c r="B24923" s="4" t="s">
        <f>=HYPERLINK("http://anyluxury.ru/shop/posuda/butylki-dlya-vody/termokruzhka-metro-iz-pererabotannoy-nerzhaveyushhey-stali-rsc-300-ml-p435045/" , "P435.045 Термокружка Metro из переработанной нержавеющей стали RSC, 300 мл")</f>
      </c>
      <c r="C24923" s="4" t="n">
        <v>1049.00</v>
      </c>
      <c r="D24923" s="4"/>
    </row>
    <row collapsed="" customFormat="false" customHeight="1" hidden="" ht="14" outlineLevel="0" r="24924">
      <c r="A24924" s="3" t="inlineStr">
        <is>
          <t>24822</t>
        </is>
      </c>
      <c r="B24924" s="4" t="s">
        <f>=HYPERLINK("http://anyluxury.ru/shop/posuda/butylki-dlya-vody/sportivnaya-butilka-dlya-vodi-flip-700-ml-belaya-227677100/" , "227677.100 Бутылка для воды Flip, белая")</f>
      </c>
      <c r="C24924" s="4" t="n">
        <v>948.00</v>
      </c>
      <c r="D24924" s="4"/>
    </row>
    <row collapsed="" customFormat="false" customHeight="1" hidden="" ht="14" outlineLevel="0" r="24925">
      <c r="A24925" s="3" t="inlineStr">
        <is>
          <t>24823</t>
        </is>
      </c>
      <c r="B24925" s="4" t="s">
        <f>=HYPERLINK("http://anyluxury.ru/shop/posuda/butylki-dlya-vody/sportivnaya-butilka-dlya-vodi-flip-700-ml-temnozelenaya-227677040/" , "227677.040 Бутылка для воды Flip, темно-зеленая")</f>
      </c>
      <c r="C24925" s="4" t="n">
        <v>948.00</v>
      </c>
      <c r="D24925" s="4"/>
    </row>
    <row collapsed="" customFormat="false" customHeight="1" hidden="" ht="14" outlineLevel="0" r="24926">
      <c r="A24926" s="3" t="inlineStr">
        <is>
          <t>24824</t>
        </is>
      </c>
      <c r="B24926" s="4" t="s">
        <f>=HYPERLINK("http://anyluxury.ru/shop/posuda/butylki-dlya-vody/sportivnaya-butilka-dlya-vodi-jump-450-ml-akva-237926600/" , "237926.600 Бутылка для воды Jump, аква")</f>
      </c>
      <c r="C24926" s="4" t="n">
        <v>695.00</v>
      </c>
      <c r="D24926" s="4"/>
    </row>
    <row collapsed="" customFormat="false" customHeight="1" hidden="" ht="14" outlineLevel="0" r="24927">
      <c r="A24927" s="3" t="inlineStr">
        <is>
          <t>24825</t>
        </is>
      </c>
      <c r="B24927" s="4" t="s">
        <f>=HYPERLINK("http://anyluxury.ru/shop/posuda/butylki-dlya-vody/sportivnaya-butilka-dlya-vodi-jump-450-ml-chernaya-237926010/" , "237926.010 Бутылка для воды Jump, черная")</f>
      </c>
      <c r="C24927" s="4" t="n">
        <v>695.00</v>
      </c>
      <c r="D24927" s="4"/>
    </row>
    <row collapsed="" customFormat="false" customHeight="1" hidden="" ht="14" outlineLevel="0" r="24928">
      <c r="A24928" s="3" t="inlineStr">
        <is>
          <t>24826</t>
        </is>
      </c>
      <c r="B24928" s="4" t="s">
        <f>=HYPERLINK("http://anyluxury.ru/shop/posuda/butylki-dlya-vody/butilka-dlya-vodi-barley-temnosinyaya-1235142/" , "12351.42 Бутылка для воды Barley, темно-синяя")</f>
      </c>
      <c r="C24928" s="4" t="n">
        <v>390.00</v>
      </c>
      <c r="D24928" s="4"/>
    </row>
    <row collapsed="" customFormat="false" customHeight="1" hidden="" ht="14" outlineLevel="0" r="24929">
      <c r="A24929" s="3" t="inlineStr">
        <is>
          <t>24827</t>
        </is>
      </c>
      <c r="B24929" s="4" t="s">
        <f>=HYPERLINK("http://anyluxury.ru/shop/posuda/butylki-dlya-vody/sportivnaya-butilka-dlya-vodi-capella-650-ml-seraya-matovaya-227756081/" , "227756.081 Бутылка для воды Capella, серая")</f>
      </c>
      <c r="C24929" s="4" t="n">
        <v>880.00</v>
      </c>
      <c r="D24929" s="4"/>
    </row>
    <row collapsed="" customFormat="false" customHeight="1" hidden="" ht="14" outlineLevel="0" r="24930">
      <c r="A24930" s="3" t="inlineStr">
        <is>
          <t>24828</t>
        </is>
      </c>
      <c r="B24930" s="4" t="s">
        <f>=HYPERLINK("http://anyluxury.ru/shop/posuda/butylki-dlya-vody/butilka-dlya-vodi-skvetta-chernaya-1578100/" , "15781.00 Бутылка для воды Skvetta, черная")</f>
      </c>
      <c r="C24930" s="4" t="n">
        <v>342.00</v>
      </c>
      <c r="D24930" s="4"/>
    </row>
    <row collapsed="" customFormat="false" customHeight="1" hidden="" ht="14" outlineLevel="0" r="24931">
      <c r="A24931" s="3" t="inlineStr">
        <is>
          <t>24829</t>
        </is>
      </c>
      <c r="B24931" s="4" t="s">
        <f>=HYPERLINK("http://anyluxury.ru/shop/posuda/butylki-dlya-vody/butilka-dlya-vodi-pod-sublimaciyu-alumni-serebristaya-1546710/" , "15467.10 Бутылка для воды под сублимацию Alumni, серебристая")</f>
      </c>
      <c r="C24931" s="4" t="n">
        <v>863.00</v>
      </c>
      <c r="D24931" s="4"/>
    </row>
    <row collapsed="" customFormat="false" customHeight="1" hidden="" ht="14" outlineLevel="0" r="24932">
      <c r="A24932" s="3" t="inlineStr">
        <is>
          <t>24830</t>
        </is>
      </c>
      <c r="B24932" s="4" t="s">
        <f>=HYPERLINK("http://anyluxury.ru/shop/posuda/butylki-dlya-vody/butilka-dlya-vodi-misty-chernaya-1330230/" , "13302.30 Бутылка для воды Misty, черная")</f>
      </c>
      <c r="C24932" s="4" t="n">
        <v>533.00</v>
      </c>
      <c r="D24932" s="4"/>
    </row>
    <row collapsed="" customFormat="false" customHeight="1" hidden="" ht="14" outlineLevel="0" r="24933">
      <c r="A24933" s="3" t="inlineStr">
        <is>
          <t>24831</t>
        </is>
      </c>
      <c r="B24933" s="4" t="s">
        <f>=HYPERLINK("http://anyluxury.ru/shop/posuda/butylki-dlya-vody/butilka-dlya-vodi-holo-prozrachnaya-1330363/" , "13303.63 Бутылка для воды Holo, прозрачная")</f>
      </c>
      <c r="C24933" s="4" t="n">
        <v>555.00</v>
      </c>
      <c r="D24933" s="4"/>
    </row>
    <row collapsed="" customFormat="false" customHeight="1" hidden="" ht="14" outlineLevel="0" r="24934">
      <c r="A24934" s="3" t="inlineStr">
        <is>
          <t>24832</t>
        </is>
      </c>
      <c r="B24934" s="4" t="s">
        <f>=HYPERLINK("http://anyluxury.ru/shop/posuda/butylki-dlya-vody/butilka-dayspring-sinyaya-1552440/" , "15524.40 Бутылка Dayspring, синяя")</f>
      </c>
      <c r="C24934" s="4" t="n">
        <v>421.00</v>
      </c>
      <c r="D24934" s="4"/>
    </row>
    <row collapsed="" customFormat="false" customHeight="1" hidden="" ht="14" outlineLevel="0" r="24935">
      <c r="A24935" s="3" t="inlineStr">
        <is>
          <t>24833</t>
        </is>
      </c>
      <c r="B24935" s="4" t="s">
        <f>=HYPERLINK("http://anyluxury.ru/shop/posuda/butylki-dlya-vody/butilka-dayspring-krasnaya-1552450/" , "15524.50 Бутылка Dayspring, красная")</f>
      </c>
      <c r="C24935" s="4" t="n">
        <v>421.00</v>
      </c>
      <c r="D24935" s="4"/>
    </row>
    <row collapsed="" customFormat="false" customHeight="1" hidden="" ht="14" outlineLevel="0" r="24936">
      <c r="A24936" s="3" t="inlineStr">
        <is>
          <t>24834</t>
        </is>
      </c>
      <c r="B24936" s="4" t="s">
        <f>=HYPERLINK("http://anyluxury.ru/shop/posuda/butylki-dlya-vody/butilka-dayspring-zelenaya-1552490/" , "15524.90 Бутылка Dayspring, зеленая")</f>
      </c>
      <c r="C24936" s="4" t="n">
        <v>421.00</v>
      </c>
      <c r="D24936" s="4"/>
    </row>
    <row collapsed="" customFormat="false" customHeight="1" hidden="" ht="14" outlineLevel="0" r="24937">
      <c r="A24937" s="3" t="inlineStr">
        <is>
          <t>24835</t>
        </is>
      </c>
      <c r="B24937" s="4" t="s">
        <f>=HYPERLINK("http://anyluxury.ru/shop/posuda/butylki-dlya-vody/butilka-dayspring-seraya-1552410/" , "15524.10 Бутылка Dayspring, серая")</f>
      </c>
      <c r="C24937" s="4" t="n">
        <v>421.00</v>
      </c>
      <c r="D24937" s="4"/>
    </row>
    <row collapsed="" customFormat="false" customHeight="1" hidden="" ht="14" outlineLevel="0" r="24938">
      <c r="A24938" s="3" t="inlineStr">
        <is>
          <t>24836</t>
        </is>
      </c>
      <c r="B24938" s="4" t="s">
        <f>=HYPERLINK("http://anyluxury.ru/shop/posuda/butylki-dlya-vody/butilka-dayspring-oranzhevaya-1552420/" , "15524.20 Бутылка Dayspring, оранжевая")</f>
      </c>
      <c r="C24938" s="4" t="n">
        <v>421.00</v>
      </c>
      <c r="D24938" s="4"/>
    </row>
    <row collapsed="" customFormat="false" customHeight="1" hidden="" ht="14" outlineLevel="0" r="24939">
      <c r="A24939" s="3" t="inlineStr">
        <is>
          <t>24837</t>
        </is>
      </c>
      <c r="B24939" s="4" t="s">
        <f>=HYPERLINK("http://anyluxury.ru/shop/posuda/butylki-dlya-vody/butilka-dlya-vodi-funrun-400-serebristaya-1542310/" , "15423.10 Бутылка для воды Funrun 400, серебристая")</f>
      </c>
      <c r="C24939" s="4" t="n">
        <v>407.00</v>
      </c>
      <c r="D24939" s="4"/>
    </row>
    <row collapsed="" customFormat="false" customHeight="1" hidden="" ht="14" outlineLevel="0" r="24940">
      <c r="A24940" s="3" t="inlineStr">
        <is>
          <t>24838</t>
        </is>
      </c>
      <c r="B24940" s="4" t="s">
        <f>=HYPERLINK("http://anyluxury.ru/shop/posuda/butylki-dlya-vody/butilka-dlya-vodi-funrun-400-sinyaya-1542340/" , "15423.40 Бутылка для воды Funrun 400, синяя")</f>
      </c>
      <c r="C24940" s="4" t="n">
        <v>407.00</v>
      </c>
      <c r="D24940" s="4"/>
    </row>
    <row collapsed="" customFormat="false" customHeight="1" hidden="" ht="14" outlineLevel="0" r="24941">
      <c r="A24941" s="3" t="inlineStr">
        <is>
          <t>24839</t>
        </is>
      </c>
      <c r="B24941" s="4" t="s">
        <f>=HYPERLINK("http://anyluxury.ru/shop/posuda/butylki-dlya-vody/butilka-dlya-vodi-funrun-400-chernaya-1542330/" , "15423.30 Бутылка для воды Funrun 400, черная")</f>
      </c>
      <c r="C24941" s="4" t="n">
        <v>407.00</v>
      </c>
      <c r="D24941" s="4"/>
    </row>
    <row collapsed="" customFormat="false" customHeight="1" hidden="" ht="14" outlineLevel="0" r="24942">
      <c r="A24942" s="3" t="inlineStr">
        <is>
          <t>24840</t>
        </is>
      </c>
      <c r="B24942" s="4" t="s">
        <f>=HYPERLINK("http://anyluxury.ru/shop/posuda/butylki-dlya-vody/butilka-dlya-vodi-funrun-400-krasnaya-1542350/" , "15423.50 Бутылка для воды Funrun 400, красная")</f>
      </c>
      <c r="C24942" s="4" t="n">
        <v>407.00</v>
      </c>
      <c r="D24942" s="4"/>
    </row>
    <row collapsed="" customFormat="false" customHeight="1" hidden="" ht="14" outlineLevel="0" r="24943">
      <c r="A24943" s="3" t="inlineStr">
        <is>
          <t>24841</t>
        </is>
      </c>
      <c r="B24943" s="4" t="s">
        <f>=HYPERLINK("http://anyluxury.ru/shop/posuda/butylki-dlya-vody/butilka-dlya-vodi-funrun-400-zelenaya-1542390/" , "15423.90 Бутылка для воды Funrun 400, зеленая")</f>
      </c>
      <c r="C24943" s="4" t="n">
        <v>407.00</v>
      </c>
      <c r="D24943" s="4"/>
    </row>
    <row collapsed="" customFormat="false" customHeight="1" hidden="" ht="14" outlineLevel="0" r="24944">
      <c r="A24944" s="3" t="inlineStr">
        <is>
          <t>24842</t>
        </is>
      </c>
      <c r="B24944" s="4" t="s">
        <f>=HYPERLINK("http://anyluxury.ru/shop/posuda/butylki-dlya-vody/butilka-dlya-vodi-funrun-400-seraya-1542311/" , "15423.11 Бутылка для воды Funrun 400, серая")</f>
      </c>
      <c r="C24944" s="4" t="n">
        <v>407.00</v>
      </c>
      <c r="D24944" s="4"/>
    </row>
    <row collapsed="" customFormat="false" customHeight="1" hidden="" ht="14" outlineLevel="0" r="24945">
      <c r="A24945" s="3" t="inlineStr">
        <is>
          <t>24843</t>
        </is>
      </c>
      <c r="B24945" s="4" t="s">
        <f>=HYPERLINK("http://anyluxury.ru/shop/posuda/butylki-dlya-vody/butilka-dlya-vodi-funrun-400-belaya-1542360/" , "15423.60 Бутылка для воды Funrun 400, белая")</f>
      </c>
      <c r="C24945" s="4" t="n">
        <v>407.00</v>
      </c>
      <c r="D24945" s="4"/>
    </row>
    <row collapsed="" customFormat="false" customHeight="1" hidden="" ht="14" outlineLevel="0" r="24946">
      <c r="A24946" s="3" t="inlineStr">
        <is>
          <t>24844</t>
        </is>
      </c>
      <c r="B24946" s="4" t="s">
        <f>=HYPERLINK("http://anyluxury.ru/shop/posuda/butylki-dlya-vody/butilka-dlya-vodi-funrun-400-oranzhevaya-1542320/" , "15423.20 Бутылка для воды Funrun 400, оранжевая")</f>
      </c>
      <c r="C24946" s="4" t="n">
        <v>407.00</v>
      </c>
      <c r="D24946" s="4"/>
    </row>
    <row collapsed="" customFormat="false" customHeight="1" hidden="" ht="14" outlineLevel="0" r="24947">
      <c r="A24947" s="3" t="inlineStr">
        <is>
          <t>24845</t>
        </is>
      </c>
      <c r="B24947" s="4" t="s">
        <f>=HYPERLINK("http://anyluxury.ru/shop/posuda/butylki-dlya-vody/butilka-dlya-vodi-funrun-750-serebristaya-1542410/" , "15424.10 Бутылка для воды Funrun 750, серебристая")</f>
      </c>
      <c r="C24947" s="4" t="n">
        <v>555.00</v>
      </c>
      <c r="D24947" s="4"/>
    </row>
    <row collapsed="" customFormat="false" customHeight="1" hidden="" ht="14" outlineLevel="0" r="24948">
      <c r="A24948" s="3" t="inlineStr">
        <is>
          <t>24846</t>
        </is>
      </c>
      <c r="B24948" s="4" t="s">
        <f>=HYPERLINK("http://anyluxury.ru/shop/posuda/butylki-dlya-vody/butilka-dlya-vodi-funrun-750-sinyaya-1542440/" , "15424.40 Бутылка для воды Funrun 750, синяя")</f>
      </c>
      <c r="C24948" s="4" t="n">
        <v>555.00</v>
      </c>
      <c r="D24948" s="4"/>
    </row>
    <row collapsed="" customFormat="false" customHeight="1" hidden="" ht="14" outlineLevel="0" r="24949">
      <c r="A24949" s="3" t="inlineStr">
        <is>
          <t>24847</t>
        </is>
      </c>
      <c r="B24949" s="4" t="s">
        <f>=HYPERLINK("http://anyluxury.ru/shop/posuda/butylki-dlya-vody/butilka-dlya-vodi-funrun-750-chernaya-1542430/" , "15424.30 Бутылка для воды Funrun 750, черная")</f>
      </c>
      <c r="C24949" s="4" t="n">
        <v>555.00</v>
      </c>
      <c r="D24949" s="4"/>
    </row>
    <row collapsed="" customFormat="false" customHeight="1" hidden="" ht="14" outlineLevel="0" r="24950">
      <c r="A24950" s="3" t="inlineStr">
        <is>
          <t>24848</t>
        </is>
      </c>
      <c r="B24950" s="4" t="s">
        <f>=HYPERLINK("http://anyluxury.ru/shop/posuda/butylki-dlya-vody/butilka-dlya-vodi-funrun-750-krasnaya-1542450/" , "15424.50 Бутылка для воды Funrun 750, красная")</f>
      </c>
      <c r="C24950" s="4" t="n">
        <v>555.00</v>
      </c>
      <c r="D24950" s="4"/>
    </row>
    <row collapsed="" customFormat="false" customHeight="1" hidden="" ht="14" outlineLevel="0" r="24951">
      <c r="A24951" s="3" t="inlineStr">
        <is>
          <t>24849</t>
        </is>
      </c>
      <c r="B24951" s="4" t="s">
        <f>=HYPERLINK("http://anyluxury.ru/shop/posuda/butylki-dlya-vody/butilka-dlya-vodi-funrun-750-zelenaya-1542490/" , "15424.90 Бутылка для воды Funrun 750, зеленая")</f>
      </c>
      <c r="C24951" s="4" t="n">
        <v>555.00</v>
      </c>
      <c r="D24951" s="4"/>
    </row>
    <row collapsed="" customFormat="false" customHeight="1" hidden="" ht="14" outlineLevel="0" r="24952">
      <c r="A24952" s="3" t="inlineStr">
        <is>
          <t>24850</t>
        </is>
      </c>
      <c r="B24952" s="4" t="s">
        <f>=HYPERLINK("http://anyluxury.ru/shop/posuda/butylki-dlya-vody/butilka-dlya-vodi-funrun-750-seraya-1542411/" , "15424.11 Бутылка для воды Funrun 750, серая")</f>
      </c>
      <c r="C24952" s="4" t="n">
        <v>555.00</v>
      </c>
      <c r="D24952" s="4"/>
    </row>
    <row collapsed="" customFormat="false" customHeight="1" hidden="" ht="14" outlineLevel="0" r="24953">
      <c r="A24953" s="3" t="inlineStr">
        <is>
          <t>24851</t>
        </is>
      </c>
      <c r="B24953" s="4" t="s">
        <f>=HYPERLINK("http://anyluxury.ru/shop/posuda/butylki-dlya-vody/butilka-dlya-vodi-funrun-750-belaya-1542460/" , "15424.60 Бутылка для воды Funrun 750, белая")</f>
      </c>
      <c r="C24953" s="4" t="n">
        <v>555.00</v>
      </c>
      <c r="D24953" s="4"/>
    </row>
    <row collapsed="" customFormat="false" customHeight="1" hidden="" ht="14" outlineLevel="0" r="24954">
      <c r="A24954" s="3" t="inlineStr">
        <is>
          <t>24852</t>
        </is>
      </c>
      <c r="B24954" s="4" t="s">
        <f>=HYPERLINK("http://anyluxury.ru/shop/posuda/butylki-dlya-vody/butilka-dlya-vodi-misty-oranzhevaya-1330220/" , "13302.20 Бутылка для воды Misty, оранжевая")</f>
      </c>
      <c r="C24954" s="4" t="n">
        <v>533.00</v>
      </c>
      <c r="D24954" s="4"/>
    </row>
    <row collapsed="" customFormat="false" customHeight="1" hidden="" ht="14" outlineLevel="0" r="24955">
      <c r="A24955" s="3" t="inlineStr">
        <is>
          <t>24853</t>
        </is>
      </c>
      <c r="B24955" s="4" t="s">
        <f>=HYPERLINK("http://anyluxury.ru/shop/posuda/butylki-dlya-vody/detskaya-butilka-dlya-vodi-nimble-sinyaya-1677440/" , "16774.40 Детская бутылка для воды Nimble, синяя")</f>
      </c>
      <c r="C24955" s="4" t="n">
        <v>430.00</v>
      </c>
      <c r="D24955" s="4"/>
    </row>
    <row collapsed="" customFormat="false" customHeight="1" hidden="" ht="14" outlineLevel="0" r="24956">
      <c r="A24956" s="3" t="inlineStr">
        <is>
          <t>24854</t>
        </is>
      </c>
      <c r="B24956" s="4" t="s">
        <f>=HYPERLINK("http://anyluxury.ru/shop/posuda/butylki-dlya-vody/detskaya-butilka-dlya-vodi-nimble-krasnaya-1677450/" , "16774.50 Детская бутылка для воды Nimble, красная")</f>
      </c>
      <c r="C24956" s="4" t="n">
        <v>430.00</v>
      </c>
      <c r="D24956" s="4"/>
    </row>
    <row collapsed="" customFormat="false" customHeight="1" hidden="" ht="14" outlineLevel="0" r="24957">
      <c r="A24957" s="3" t="inlineStr">
        <is>
          <t>24855</t>
        </is>
      </c>
      <c r="B24957" s="4" t="s">
        <f>=HYPERLINK("http://anyluxury.ru/shop/posuda/butylki-dlya-vody/detskaya-butilka-dlya-vodi-nimble-oranzhevaya-1677420/" , "16774.20 Детская бутылка для воды Nimble, оранжевая")</f>
      </c>
      <c r="C24957" s="4" t="n">
        <v>430.00</v>
      </c>
      <c r="D24957" s="4"/>
    </row>
    <row collapsed="" customFormat="false" customHeight="1" hidden="" ht="14" outlineLevel="0" r="24958">
      <c r="A24958" s="3" t="inlineStr">
        <is>
          <t>24856</t>
        </is>
      </c>
      <c r="B24958" s="4" t="s">
        <f>=HYPERLINK("http://anyluxury.ru/shop/posuda/butylki-dlya-vody/detskaya-butilka-dlya-vodi-nimble-zelenaya-1677490/" , "16774.90 Детская бутылка для воды Nimble, зеленая")</f>
      </c>
      <c r="C24958" s="4" t="n">
        <v>430.00</v>
      </c>
      <c r="D24958" s="4"/>
    </row>
    <row collapsed="" customFormat="false" customHeight="1" hidden="" ht="14" outlineLevel="0" r="24959">
      <c r="A24959" s="3" t="inlineStr">
        <is>
          <t>24857</t>
        </is>
      </c>
      <c r="B24959" s="4" t="s">
        <f>=HYPERLINK("http://anyluxury.ru/shop/posuda/butylki-dlya-vody/termobutilka-fujisan-xl-sinyaya-1595240/" , "15952.40 Термобутылка Fujisan XL, синяя")</f>
      </c>
      <c r="C24959" s="4" t="n">
        <v>2790.00</v>
      </c>
      <c r="D24959" s="4"/>
    </row>
    <row collapsed="" customFormat="false" customHeight="1" hidden="" ht="14" outlineLevel="0" r="24960">
      <c r="A24960" s="3" t="inlineStr">
        <is>
          <t>24858</t>
        </is>
      </c>
      <c r="B24960" s="4" t="s">
        <f>=HYPERLINK("http://anyluxury.ru/shop/posuda/butylki-dlya-vody/termobutilka-fujisan-xl-zheltaya-1595280/" , "15952.80 Термобутылка Fujisan XL, желтая")</f>
      </c>
      <c r="C24960" s="4" t="n">
        <v>2790.00</v>
      </c>
      <c r="D24960" s="4"/>
    </row>
    <row collapsed="" customFormat="false" customHeight="1" hidden="" ht="14" outlineLevel="0" r="24961">
      <c r="A24961" s="3" t="inlineStr">
        <is>
          <t>24859</t>
        </is>
      </c>
      <c r="B24961" s="4" t="s">
        <f>=HYPERLINK("http://anyluxury.ru/shop/posuda/butylki-dlya-vody/termobutilka-fujisan-xl-chernaya-1595230/" , "15952.30 Термобутылка Fujisan XL, черная")</f>
      </c>
      <c r="C24961" s="4" t="n">
        <v>2790.00</v>
      </c>
      <c r="D24961" s="4"/>
    </row>
    <row collapsed="" customFormat="false" customHeight="1" hidden="" ht="14" outlineLevel="0" r="24962">
      <c r="A24962" s="3" t="inlineStr">
        <is>
          <t>24860</t>
        </is>
      </c>
      <c r="B24962" s="4" t="s">
        <f>=HYPERLINK("http://anyluxury.ru/shop/posuda/butylki-dlya-vody/termobutilka-fujisan-xl-belaya-1595260/" , "15952.60 Термобутылка Fujisan XL, белая (молочная)")</f>
      </c>
      <c r="C24962" s="4" t="n">
        <v>2790.00</v>
      </c>
      <c r="D24962" s="4"/>
    </row>
    <row collapsed="" customFormat="false" customHeight="1" hidden="" ht="14" outlineLevel="0" r="24963">
      <c r="A24963" s="3" t="inlineStr">
        <is>
          <t>24861</t>
        </is>
      </c>
      <c r="B24963" s="4" t="s">
        <f>=HYPERLINK("http://anyluxury.ru/shop/posuda/butylki-dlya-vody/termobutilka-fujisan-xl-temnosinyaya-1595243/" , "15952.43 Термобутылка Fujisan XL, темно-синяя")</f>
      </c>
      <c r="C24963" s="4" t="n">
        <v>2790.00</v>
      </c>
      <c r="D24963" s="4"/>
    </row>
    <row collapsed="" customFormat="false" customHeight="1" hidden="" ht="14" outlineLevel="0" r="24964">
      <c r="A24964" s="3" t="inlineStr">
        <is>
          <t>24862</t>
        </is>
      </c>
      <c r="B24964" s="4" t="s">
        <f>=HYPERLINK("http://anyluxury.ru/shop/posuda/butylki-dlya-vody/termobutilka-fujisan-xl-seraya-1595210/" , "15952.10 Термобутылка Fujisan XL, серая")</f>
      </c>
      <c r="C24964" s="4" t="n">
        <v>2790.00</v>
      </c>
      <c r="D24964" s="4"/>
    </row>
    <row collapsed="" customFormat="false" customHeight="1" hidden="" ht="14" outlineLevel="0" r="24965">
      <c r="A24965" s="3" t="inlineStr">
        <is>
          <t>24863</t>
        </is>
      </c>
      <c r="B24965" s="4" t="s">
        <f>=HYPERLINK("http://anyluxury.ru/shop/posuda/butylki-dlya-vody/termobutilka-fujisan-xl-golubaya-1595214/" , "15952.14 Термобутылка Fujisan XL, голубая")</f>
      </c>
      <c r="C24965" s="4" t="n">
        <v>2790.00</v>
      </c>
      <c r="D24965" s="4"/>
    </row>
    <row collapsed="" customFormat="false" customHeight="1" hidden="" ht="14" outlineLevel="0" r="24966">
      <c r="A24966" s="3" t="inlineStr">
        <is>
          <t>24864</t>
        </is>
      </c>
      <c r="B24966" s="4" t="s">
        <f>=HYPERLINK("http://anyluxury.ru/shop/posuda/butylki-dlya-vody/termobutilka-tabenodo-golubaya-1595514/" , "15955.14 Термобутылка Tabenodo, голубая")</f>
      </c>
      <c r="C24966" s="4" t="n">
        <v>2190.00</v>
      </c>
      <c r="D24966" s="4"/>
    </row>
    <row collapsed="" customFormat="false" customHeight="1" hidden="" ht="14" outlineLevel="0" r="24967">
      <c r="A24967" s="3" t="inlineStr">
        <is>
          <t>24865</t>
        </is>
      </c>
      <c r="B24967" s="4" t="s">
        <f>=HYPERLINK("http://anyluxury.ru/shop/posuda/butylki-dlya-vody/termobutilka-tabenodo-belaya-1595560/" , "15955.60 Термобутылка Tabenodo, белая")</f>
      </c>
      <c r="C24967" s="4" t="n">
        <v>2190.00</v>
      </c>
      <c r="D24967" s="4"/>
    </row>
    <row collapsed="" customFormat="false" customHeight="1" hidden="" ht="14" outlineLevel="0" r="24968">
      <c r="A24968" s="3" t="inlineStr">
        <is>
          <t>24866</t>
        </is>
      </c>
      <c r="B24968" s="4" t="s">
        <f>=HYPERLINK("http://anyluxury.ru/shop/posuda/butylki-dlya-vody/termobutilka-one-touch-chernaya-1595630/" , "15956.30 Термобутылка One Touch, черная")</f>
      </c>
      <c r="C24968" s="4" t="n">
        <v>1490.00</v>
      </c>
      <c r="D24968" s="4"/>
    </row>
    <row collapsed="" customFormat="false" customHeight="1" hidden="" ht="14" outlineLevel="0" r="24969">
      <c r="A24969" s="3" t="inlineStr">
        <is>
          <t>24867</t>
        </is>
      </c>
      <c r="B24969" s="4" t="s">
        <f>=HYPERLINK("http://anyluxury.ru/shop/posuda/butylki-dlya-vody/termobutilka-one-touch-belaya-1595660/" , "15956.60 Термобутылка One Touch, белая")</f>
      </c>
      <c r="C24969" s="4" t="n">
        <v>1490.00</v>
      </c>
      <c r="D24969" s="4"/>
    </row>
    <row collapsed="" customFormat="false" customHeight="1" hidden="" ht="14" outlineLevel="0" r="24970">
      <c r="A24970" s="3" t="inlineStr">
        <is>
          <t>24868</t>
        </is>
      </c>
      <c r="B24970" s="4" t="s">
        <f>=HYPERLINK("http://anyluxury.ru/shop/posuda/butylki-dlya-vody/termobutilka-one-touch-sinyaya-1595640/" , "15956.40 Термобутылка One Touch, синяя")</f>
      </c>
      <c r="C24970" s="4" t="n">
        <v>1490.00</v>
      </c>
      <c r="D24970" s="4"/>
    </row>
    <row collapsed="" customFormat="false" customHeight="1" hidden="" ht="14" outlineLevel="0" r="24971">
      <c r="A24971" s="3" t="inlineStr">
        <is>
          <t>24869</t>
        </is>
      </c>
      <c r="B24971" s="4" t="s">
        <f>=HYPERLINK("http://anyluxury.ru/shop/posuda/butylki-dlya-vody/butilka-dlya-vodi-square-fair-belaya-1572860/" , "15728.60 Бутылка для воды Square Fair, белая")</f>
      </c>
      <c r="C24971" s="4" t="n">
        <v>689.00</v>
      </c>
      <c r="D24971" s="4"/>
    </row>
    <row collapsed="" customFormat="false" customHeight="1" hidden="" ht="14" outlineLevel="0" r="24972">
      <c r="A24972" s="3" t="inlineStr">
        <is>
          <t>24870</t>
        </is>
      </c>
      <c r="B24972" s="4" t="s">
        <f>=HYPERLINK("http://anyluxury.ru/shop/posuda/butylki-dlya-vody/butilka-dlya-vodi-square-fair-seraya-1572810/" , "15728.10 Бутылка для воды Square Fair, серая")</f>
      </c>
      <c r="C24972" s="4" t="n">
        <v>689.00</v>
      </c>
      <c r="D24972" s="4"/>
    </row>
    <row collapsed="" customFormat="false" customHeight="1" hidden="" ht="14" outlineLevel="0" r="24973">
      <c r="A24973" s="3" t="inlineStr">
        <is>
          <t>24871</t>
        </is>
      </c>
      <c r="B24973" s="4" t="s">
        <f>=HYPERLINK("http://anyluxury.ru/shop/posuda/butylki-dlya-vody/butilka-dlya-vodi-square-fair-sinyaya-1572840/" , "15728.40 Бутылка для воды Square Fair, синяя")</f>
      </c>
      <c r="C24973" s="4" t="n">
        <v>689.00</v>
      </c>
      <c r="D24973" s="4"/>
    </row>
    <row collapsed="" customFormat="false" customHeight="1" hidden="" ht="14" outlineLevel="0" r="24974">
      <c r="A24974" s="3" t="inlineStr">
        <is>
          <t>24872</t>
        </is>
      </c>
      <c r="B24974" s="4" t="s">
        <f>=HYPERLINK("http://anyluxury.ru/shop/posuda/butylki-dlya-vody/butilka-dlya-vodi-square-fair-krasnaya-1572850/" , "15728.50 Бутылка для воды Square Fair, красная")</f>
      </c>
      <c r="C24974" s="4" t="n">
        <v>689.00</v>
      </c>
      <c r="D24974" s="4"/>
    </row>
    <row collapsed="" customFormat="false" customHeight="1" hidden="" ht="14" outlineLevel="0" r="24975">
      <c r="A24975" s="3" t="inlineStr">
        <is>
          <t>24873</t>
        </is>
      </c>
      <c r="B24975" s="4" t="s">
        <f>=HYPERLINK("http://anyluxury.ru/shop/posuda/butylki-dlya-vody/smartbutilka-indico-belaya-1617560/" , "16175.60 Смарт-бутылка Indico, белая")</f>
      </c>
      <c r="C24975" s="4" t="n">
        <v>1399.00</v>
      </c>
      <c r="D24975" s="4"/>
    </row>
    <row collapsed="" customFormat="false" customHeight="1" hidden="" ht="14" outlineLevel="0" r="24976">
      <c r="A24976" s="3" t="inlineStr">
        <is>
          <t>24874</t>
        </is>
      </c>
      <c r="B24976" s="4" t="s">
        <f>=HYPERLINK("http://anyluxury.ru/shop/posuda/butylki-dlya-vody/termobutilka-bidon-chernaya-1573930/" , "15739.30 Термобутылка Bidon, черная")</f>
      </c>
      <c r="C24976" s="4" t="n">
        <v>1453.00</v>
      </c>
      <c r="D24976" s="4"/>
    </row>
    <row collapsed="" customFormat="false" customHeight="1" hidden="" ht="14" outlineLevel="0" r="24977">
      <c r="A24977" s="3" t="inlineStr">
        <is>
          <t>24875</t>
        </is>
      </c>
      <c r="B24977" s="4" t="s">
        <f>=HYPERLINK("http://anyluxury.ru/shop/posuda/butylki-dlya-vody/termobutilka-bidon-sinyaya-1573940/" , "15739.40 Термобутылка Bidon, синяя")</f>
      </c>
      <c r="C24977" s="4" t="n">
        <v>1453.00</v>
      </c>
      <c r="D24977" s="4"/>
    </row>
    <row collapsed="" customFormat="false" customHeight="1" hidden="" ht="14" outlineLevel="0" r="24978">
      <c r="A24978" s="3" t="inlineStr">
        <is>
          <t>24876</t>
        </is>
      </c>
      <c r="B24978" s="4" t="s">
        <f>=HYPERLINK("http://anyluxury.ru/shop/posuda/butylki-dlya-vody/termobutilka-bidon-seraya-1573910/" , "15739.10 Термобутылка Bidon, серая")</f>
      </c>
      <c r="C24978" s="4" t="n">
        <v>1453.00</v>
      </c>
      <c r="D24978" s="4"/>
    </row>
    <row collapsed="" customFormat="false" customHeight="1" hidden="" ht="14" outlineLevel="0" r="24979">
      <c r="A24979" s="3" t="inlineStr">
        <is>
          <t>24877</t>
        </is>
      </c>
      <c r="B24979" s="4" t="s">
        <f>=HYPERLINK("http://anyluxury.ru/shop/posuda/butylki-dlya-vody/termobutilka-bidon-belaya-1573960/" , "15739.60 Термобутылка Bidon, белая")</f>
      </c>
      <c r="C24979" s="4" t="n">
        <v>1453.00</v>
      </c>
      <c r="D24979" s="4"/>
    </row>
    <row collapsed="" customFormat="false" customHeight="1" hidden="" ht="14" outlineLevel="0" r="24980">
      <c r="A24980" s="3" t="inlineStr">
        <is>
          <t>24878</t>
        </is>
      </c>
      <c r="B24980" s="4" t="s">
        <f>=HYPERLINK("http://anyluxury.ru/shop/posuda/butylki-dlya-vody/termobutilka-metropolis-chernaya-1574030/" , "15740.30 Термобутылка Metropolis, черная")</f>
      </c>
      <c r="C24980" s="4" t="n">
        <v>990.00</v>
      </c>
      <c r="D24980" s="4"/>
    </row>
    <row collapsed="" customFormat="false" customHeight="1" hidden="" ht="14" outlineLevel="0" r="24981">
      <c r="A24981" s="3" t="inlineStr">
        <is>
          <t>24879</t>
        </is>
      </c>
      <c r="B24981" s="4" t="s">
        <f>=HYPERLINK("http://anyluxury.ru/shop/posuda/butylki-dlya-vody/termobutilka-metropolis-sinyaya-1574040/" , "15740.40 Термобутылка Metropolis, синяя")</f>
      </c>
      <c r="C24981" s="4" t="n">
        <v>990.00</v>
      </c>
      <c r="D24981" s="4"/>
    </row>
    <row collapsed="" customFormat="false" customHeight="1" hidden="" ht="14" outlineLevel="0" r="24982">
      <c r="A24982" s="3" t="inlineStr">
        <is>
          <t>24880</t>
        </is>
      </c>
      <c r="B24982" s="4" t="s">
        <f>=HYPERLINK("http://anyluxury.ru/shop/posuda/butylki-dlya-vody/termobutilka-metropolis-seraya-1574010/" , "15740.10 Термобутылка Metropolis, серая")</f>
      </c>
      <c r="C24982" s="4" t="n">
        <v>990.00</v>
      </c>
      <c r="D24982" s="4"/>
    </row>
    <row collapsed="" customFormat="false" customHeight="1" hidden="" ht="14" outlineLevel="0" r="24983">
      <c r="A24983" s="3" t="inlineStr">
        <is>
          <t>24881</t>
        </is>
      </c>
      <c r="B24983" s="4" t="s">
        <f>=HYPERLINK("http://anyluxury.ru/shop/posuda/butylki-dlya-vody/termobutilka-metropolis-belaya-1574060/" , "15740.60 Термобутылка Metropolis, белая")</f>
      </c>
      <c r="C24983" s="4" t="n">
        <v>990.00</v>
      </c>
      <c r="D24983" s="4"/>
    </row>
    <row collapsed="" customFormat="false" customHeight="1" hidden="" ht="14" outlineLevel="0" r="24984">
      <c r="A24984" s="3" t="inlineStr">
        <is>
          <t>24882</t>
        </is>
      </c>
      <c r="B24984" s="4" t="s">
        <f>=HYPERLINK("http://anyluxury.ru/shop/posuda/butylki-dlya-vody/sportivnaya-butilka-dlya-vodi-step-550-ml-zelenaya-237916040/" , "237916.040 Бутылка для воды Step, зеленая")</f>
      </c>
      <c r="C24984" s="4" t="n">
        <v>598.00</v>
      </c>
      <c r="D24984" s="4"/>
    </row>
    <row collapsed="" customFormat="false" customHeight="1" hidden="" ht="14" outlineLevel="0" r="24985">
      <c r="A24985" s="3" t="inlineStr">
        <is>
          <t>24883</t>
        </is>
      </c>
      <c r="B24985" s="4" t="s">
        <f>=HYPERLINK("http://anyluxury.ru/shop/posuda/butylki-dlya-vody/sportivnaya-butilka-dlya-vodi-step-550-ml-seraya-237916080/" , "237916.080 Бутылка для воды Step, серая")</f>
      </c>
      <c r="C24985" s="4" t="n">
        <v>598.00</v>
      </c>
      <c r="D24985" s="4"/>
    </row>
    <row collapsed="" customFormat="false" customHeight="1" hidden="" ht="14" outlineLevel="0" r="24986">
      <c r="A24986" s="3" t="inlineStr">
        <is>
          <t>24884</t>
        </is>
      </c>
      <c r="B24986" s="4" t="s">
        <f>=HYPERLINK("http://anyluxury.ru/shop/posuda/butylki-dlya-vody/sportivnaya-butilka-dlya-vodi-step-550-ml-sinyaya-237916030/" , "237916.030 Бутылка для воды Step, синяя")</f>
      </c>
      <c r="C24986" s="4" t="n">
        <v>598.00</v>
      </c>
      <c r="D24986" s="4"/>
    </row>
    <row collapsed="" customFormat="false" customHeight="1" hidden="" ht="14" outlineLevel="0" r="24987">
      <c r="A24987" s="3" t="inlineStr">
        <is>
          <t>24885</t>
        </is>
      </c>
      <c r="B24987" s="4" t="s">
        <f>=HYPERLINK("http://anyluxury.ru/shop/posuda/butylki-dlya-vody/butilka-dlya-vodi-flip-temnozelenaya-tolko-pod-polnuyu-zapechatku-2276770401/" , "227677.040.1 Бутылка для воды Flip, темно-зеленая (ТОЛЬКО ПОД ПОЛНУЮ ЗАПЕЧАТКУ)")</f>
      </c>
      <c r="C24987" s="4" t="n">
        <v>862.00</v>
      </c>
      <c r="D24987" s="4"/>
    </row>
    <row collapsed="" customFormat="false" customHeight="1" hidden="" ht="14" outlineLevel="0" r="24988">
      <c r="A24988" s="3" t="inlineStr">
        <is>
          <t>24886</t>
        </is>
      </c>
      <c r="B24988" s="4" t="s">
        <f>=HYPERLINK("http://anyluxury.ru/shop/posuda/butylki-dlya-vody/butilka-dlya-vodi-step-zelenaya-tolko-pod-polnuyu-zapechatku-2379160401/" , "237916.040.1 Бутылка для воды Step, зеленая (ТОЛЬКО ПОД ПОЛНУЮ ЗАПЕЧАТКУ)")</f>
      </c>
      <c r="C24988" s="4" t="n">
        <v>544.00</v>
      </c>
      <c r="D24988" s="4"/>
    </row>
    <row collapsed="" customFormat="false" customHeight="1" hidden="" ht="14" outlineLevel="0" r="24989">
      <c r="A24989" s="3" t="inlineStr">
        <is>
          <t>24887</t>
        </is>
      </c>
      <c r="B24989" s="4" t="s">
        <f>=HYPERLINK("http://anyluxury.ru/shop/posuda/butylki-dlya-vody/butilka-dlya-vodi-step-seraya-tolko-pod-polnuyu-zapechatku-2379160801/" , "237916.080.1 Бутылка для воды Step, серая (ТОЛЬКО ПОД ПОЛНУЮ ЗАПЕЧАТКУ)")</f>
      </c>
      <c r="C24989" s="4" t="n">
        <v>544.00</v>
      </c>
      <c r="D24989" s="4"/>
    </row>
    <row collapsed="" customFormat="false" customHeight="1" hidden="" ht="14" outlineLevel="0" r="24990">
      <c r="A24990" s="3" t="inlineStr">
        <is>
          <t>24888</t>
        </is>
      </c>
      <c r="B24990" s="4" t="s">
        <f>=HYPERLINK("http://anyluxury.ru/shop/posuda/butylki-dlya-vody/butilka-dlya-vodi-step-sinyaya-tolko-pod-polnuyu-zapechatku-2379160301/" , "237916.030.1 Бутылка для воды Step, синяя (ТОЛЬКО ПОД ПОЛНУЮ ЗАПЕЧАТКУ)")</f>
      </c>
      <c r="C24990" s="4" t="n">
        <v>544.00</v>
      </c>
      <c r="D24990" s="4"/>
    </row>
    <row collapsed="" customFormat="false" customHeight="" hidden="" ht="12.1" outlineLevel="0" r="24991">
      <c r="A24991" s="5" t="inlineStr">
        <is>
          <t> -  - Заварочные чайники</t>
        </is>
      </c>
      <c r="B24991" s="6"/>
      <c r="C24991" s="6"/>
      <c r="D24991" s="6"/>
    </row>
    <row collapsed="" customFormat="false" customHeight="1" hidden="" ht="14" outlineLevel="0" r="24992">
      <c r="A24992" s="3" t="inlineStr">
        <is>
          <t>24889</t>
        </is>
      </c>
      <c r="B24992" s="4" t="s">
        <f>=HYPERLINK("http://anyluxury.ru/shop/posuda/zavarochnye-chayniki/chaynik-diana-s-kristallami-z10008/" , "Z10008 Чайник Diana с кристаллами")</f>
      </c>
      <c r="C24992" s="4" t="n">
        <v>10974.00</v>
      </c>
      <c r="D24992" s="4"/>
    </row>
    <row collapsed="" customFormat="false" customHeight="1" hidden="" ht="14" outlineLevel="0" r="24993">
      <c r="A24993" s="3" t="inlineStr">
        <is>
          <t>24890</t>
        </is>
      </c>
      <c r="B24993" s="4" t="s">
        <f>=HYPERLINK("http://anyluxury.ru/shop/posuda/zavarochnye-chayniki/chaynik-diamante-bianco-beliy-793260/" , "7932.60 Чайник Diamante Bianco, белый")</f>
      </c>
      <c r="C24993" s="4" t="n">
        <v>1754.00</v>
      </c>
      <c r="D24993" s="4"/>
    </row>
    <row collapsed="" customFormat="false" customHeight="1" hidden="" ht="14" outlineLevel="0" r="24994">
      <c r="A24994" s="3" t="inlineStr">
        <is>
          <t>24891</t>
        </is>
      </c>
      <c r="B24994" s="4" t="s">
        <f>=HYPERLINK("http://anyluxury.ru/shop/posuda/zavarochnye-chayniki/chaynik-riposo-beliy-793460/" , "7934.60 Чайник Riposo, белый")</f>
      </c>
      <c r="C24994" s="4" t="n">
        <v>1424.00</v>
      </c>
      <c r="D24994" s="4"/>
    </row>
    <row collapsed="" customFormat="false" customHeight="1" hidden="" ht="14" outlineLevel="0" r="24995">
      <c r="A24995" s="3" t="inlineStr">
        <is>
          <t>24892</t>
        </is>
      </c>
      <c r="B24995" s="4" t="s">
        <f>=HYPERLINK("http://anyluxury.ru/shop/posuda/zavarochnye-chayniki/chaynik-zavarochniy-tea-maker-v-chehle-temnoseriy-1149211/" , "11492.11 Чайник заварочный Tea Maker в чехле, темно-серый")</f>
      </c>
      <c r="C24995" s="4" t="n">
        <v>11200.00</v>
      </c>
      <c r="D24995" s="4"/>
    </row>
    <row collapsed="" customFormat="false" customHeight="1" hidden="" ht="14" outlineLevel="0" r="24996">
      <c r="A24996" s="3" t="inlineStr">
        <is>
          <t>24893</t>
        </is>
      </c>
      <c r="B24996" s="4" t="s">
        <f>=HYPERLINK("http://anyluxury.ru/shop/posuda/zavarochnye-chayniki/kofeynik-cafe-solo-v-chehle-cherniy-1149330/" , "11493.30 Кофейник Cafe Solo в чехле, черный")</f>
      </c>
      <c r="C24996" s="4" t="n">
        <v>8850.00</v>
      </c>
      <c r="D24996" s="4"/>
    </row>
    <row collapsed="" customFormat="false" customHeight="1" hidden="" ht="14" outlineLevel="0" r="24997">
      <c r="A24997" s="3" t="inlineStr">
        <is>
          <t>24894</t>
        </is>
      </c>
      <c r="B24997" s="4" t="s">
        <f>=HYPERLINK("http://anyluxury.ru/shop/posuda/zavarochnye-chayniki/kofeynik-cafe-solo-v-chehle-svetloseriy-1149310/" , "11493.10 Кофейник Cafe Solo в чехле, светло-серый")</f>
      </c>
      <c r="C24997" s="4" t="n">
        <v>8850.00</v>
      </c>
      <c r="D24997" s="4"/>
    </row>
    <row collapsed="" customFormat="false" customHeight="1" hidden="" ht="14" outlineLevel="0" r="24998">
      <c r="A24998" s="3" t="inlineStr">
        <is>
          <t>24895</t>
        </is>
      </c>
      <c r="B24998" s="4" t="s">
        <f>=HYPERLINK("http://anyluxury.ru/shop/posuda/zavarochnye-chayniki/portativnaya-kofevarka-cold-brew-belaya-1069660/" , "10696.60 Портативная кофеварка Cold Brew, белая")</f>
      </c>
      <c r="C24998" s="4" t="n">
        <v>6050.00</v>
      </c>
      <c r="D24998" s="4"/>
    </row>
    <row collapsed="" customFormat="false" customHeight="1" hidden="" ht="14" outlineLevel="0" r="24999">
      <c r="A24999" s="3" t="inlineStr">
        <is>
          <t>24896</t>
        </is>
      </c>
      <c r="B24999" s="4" t="s">
        <f>=HYPERLINK("http://anyluxury.ru/shop/posuda/zavarochnye-chayniki/portativnaya-kofevarka-cold-brew-mednaya-1069610/" , "10696.10 Портативная кофеварка Cold Brew, медная")</f>
      </c>
      <c r="C24999" s="4" t="n">
        <v>6050.00</v>
      </c>
      <c r="D24999" s="4"/>
    </row>
    <row collapsed="" customFormat="false" customHeight="1" hidden="" ht="14" outlineLevel="0" r="25000">
      <c r="A25000" s="3" t="inlineStr">
        <is>
          <t>24897</t>
        </is>
      </c>
      <c r="B25000" s="4" t="s">
        <f>=HYPERLINK("http://anyluxury.ru/shop/posuda/zavarochnye-chayniki/portativnaya-kofevarka-cold-brew-serebristaya-1069611/" , "10696.11 Портативная кофеварка Cold Brew, серебристая")</f>
      </c>
      <c r="C25000" s="4" t="n">
        <v>6050.00</v>
      </c>
      <c r="D25000" s="4"/>
    </row>
    <row collapsed="" customFormat="false" customHeight="1" hidden="" ht="14" outlineLevel="0" r="25001">
      <c r="A25001" s="3" t="inlineStr">
        <is>
          <t>24898</t>
        </is>
      </c>
      <c r="B25001" s="4" t="s">
        <f>=HYPERLINK("http://anyluxury.ru/shop/posuda/zavarochnye-chayniki/portativnaya-kofevarka-cold-brew-chernaya-1069630/" , "10696.30 Портативная кофеварка Cold Brew, черная")</f>
      </c>
      <c r="C25001" s="4" t="n">
        <v>6050.00</v>
      </c>
      <c r="D25001" s="4"/>
    </row>
    <row collapsed="" customFormat="false" customHeight="1" hidden="" ht="14" outlineLevel="0" r="25002">
      <c r="A25002" s="3" t="inlineStr">
        <is>
          <t>24899</t>
        </is>
      </c>
      <c r="B25002" s="4" t="s">
        <f>=HYPERLINK("http://anyluxury.ru/shop/posuda/zavarochnye-chayniki/chaynik-zavarochniy-teema-beliy-1254260/" , "12542.60 Чайник заварочный Teema, белый")</f>
      </c>
      <c r="C25002" s="4" t="n">
        <v>5331.00</v>
      </c>
      <c r="D25002" s="4"/>
    </row>
    <row collapsed="" customFormat="false" customHeight="1" hidden="" ht="14" outlineLevel="0" r="25003">
      <c r="A25003" s="3" t="inlineStr">
        <is>
          <t>24900</t>
        </is>
      </c>
      <c r="B25003" s="4" t="s">
        <f>=HYPERLINK("http://anyluxury.ru/shop/posuda/zavarochnye-chayniki/chaynik-zavarochniy-tea-maker-v-chehle-svetlozeleniy-1149291/" , "11492.91 Чайник заварочный Tea Maker в чехле, светло-зеленый")</f>
      </c>
      <c r="C25003" s="4" t="n">
        <v>8850.00</v>
      </c>
      <c r="D25003" s="4"/>
    </row>
    <row collapsed="" customFormat="false" customHeight="1" hidden="" ht="14" outlineLevel="0" r="25004">
      <c r="A25004" s="3" t="inlineStr">
        <is>
          <t>24901</t>
        </is>
      </c>
      <c r="B25004" s="4" t="s">
        <f>=HYPERLINK("http://anyluxury.ru/shop/posuda/zavarochnye-chayniki/chaynik-zavarochniy-tea-maker-v-chehle-temnosiniy-1149240/" , "11492.40 Чайник заварочный Tea Maker в чехле, темно-синий")</f>
      </c>
      <c r="C25004" s="4" t="n">
        <v>7590.00</v>
      </c>
      <c r="D25004" s="4"/>
    </row>
    <row collapsed="" customFormat="false" customHeight="1" hidden="" ht="14" outlineLevel="0" r="25005">
      <c r="A25005" s="3" t="inlineStr">
        <is>
          <t>24902</t>
        </is>
      </c>
      <c r="B25005" s="4" t="s">
        <f>=HYPERLINK("http://anyluxury.ru/shop/posuda/zavarochnye-chayniki/chaynik-zavarochniy-tea-maker-v-chehle-svetlorozoviy-1149215/" , "11492.15 Чайник заварочный Tea Maker в чехле, светло-розовый")</f>
      </c>
      <c r="C25005" s="4" t="n">
        <v>8850.00</v>
      </c>
      <c r="D25005" s="4"/>
    </row>
    <row collapsed="" customFormat="false" customHeight="1" hidden="" ht="14" outlineLevel="0" r="25006">
      <c r="A25006" s="3" t="inlineStr">
        <is>
          <t>24903</t>
        </is>
      </c>
      <c r="B25006" s="4" t="s">
        <f>=HYPERLINK("http://anyluxury.ru/shop/posuda/zavarochnye-chayniki/kofevarkapurover-eva-solo-1483100/" , "14831.00 Кофеварка-пуровер Eva Solo")</f>
      </c>
      <c r="C25006" s="4" t="n">
        <v>7750.00</v>
      </c>
      <c r="D25006" s="4"/>
    </row>
    <row collapsed="" customFormat="false" customHeight="1" hidden="" ht="14" outlineLevel="0" r="25007">
      <c r="A25007" s="3" t="inlineStr">
        <is>
          <t>24904</t>
        </is>
      </c>
      <c r="B25007" s="4" t="s">
        <f>=HYPERLINK("http://anyluxury.ru/shop/posuda/zavarochnye-chayniki/chaynik-zavarochniy-legio-nova-beliy-1499160/" , "14991.60 Чайник заварочный Legio Nova, белый")</f>
      </c>
      <c r="C25007" s="4" t="n">
        <v>8850.00</v>
      </c>
      <c r="D25007" s="4"/>
    </row>
    <row collapsed="" customFormat="false" customHeight="1" hidden="" ht="14" outlineLevel="0" r="25008">
      <c r="A25008" s="3" t="inlineStr">
        <is>
          <t>24905</t>
        </is>
      </c>
      <c r="B25008" s="4" t="s">
        <f>=HYPERLINK("http://anyluxury.ru/shop/posuda/zavarochnye-chayniki/chaynik-zavarochniy-dine-beliy-1457900/" , "14579.00 Чайник заварочный Dine, белый")</f>
      </c>
      <c r="C25008" s="4" t="n">
        <v>2590.00</v>
      </c>
      <c r="D25008" s="4"/>
    </row>
    <row collapsed="" customFormat="false" customHeight="1" hidden="" ht="14" outlineLevel="0" r="25009">
      <c r="A25009" s="3" t="inlineStr">
        <is>
          <t>24906</t>
        </is>
      </c>
      <c r="B25009" s="4" t="s">
        <f>=HYPERLINK("http://anyluxury.ru/shop/posuda/zavarochnye-chayniki/chaynik-zavarochniy-dine-straight-beliy-1458000/" , "14580.00 Чайник заварочный Dine Straight, белый")</f>
      </c>
      <c r="C25009" s="4" t="n">
        <v>4150.00</v>
      </c>
      <c r="D25009" s="4"/>
    </row>
    <row collapsed="" customFormat="false" customHeight="1" hidden="" ht="14" outlineLevel="0" r="25010">
      <c r="A25010" s="3" t="inlineStr">
        <is>
          <t>24907</t>
        </is>
      </c>
      <c r="B25010" s="4" t="s">
        <f>=HYPERLINK("http://anyluxury.ru/shop/posuda/zavarochnye-chayniki/chaynik-s-goluboy-kaemochkoy-1884600/" , "18846.00 Чайник «С голубой каемочкой!»")</f>
      </c>
      <c r="C25010" s="4" t="n">
        <v>800.00</v>
      </c>
      <c r="D25010" s="4"/>
    </row>
    <row collapsed="" customFormat="false" customHeight="1" hidden="" ht="14" outlineLevel="0" r="25011">
      <c r="A25011" s="3" t="inlineStr">
        <is>
          <t>24908</t>
        </is>
      </c>
      <c r="B25011" s="4" t="s">
        <f>=HYPERLINK("http://anyluxury.ru/shop/posuda/zavarochnye-chayniki/frenchpress-laconi-1340500/" , "13405.00 Френч-пресс Laconi")</f>
      </c>
      <c r="C25011" s="4" t="n">
        <v>1292.00</v>
      </c>
      <c r="D25011" s="4"/>
    </row>
    <row collapsed="" customFormat="false" customHeight="1" hidden="" ht="14" outlineLevel="0" r="25012">
      <c r="A25012" s="3" t="inlineStr">
        <is>
          <t>24909</t>
        </is>
      </c>
      <c r="B25012" s="4" t="s">
        <f>=HYPERLINK("http://anyluxury.ru/shop/posuda/zavarochnye-chayniki/chayniy-nabor-na-4-personi-teo-7914300/" , "79143.00 Чайный набор на 4 персоны Teo")</f>
      </c>
      <c r="C25012" s="4" t="n">
        <v>3950.00</v>
      </c>
      <c r="D25012" s="4"/>
    </row>
    <row collapsed="" customFormat="false" customHeight="1" hidden="" ht="14" outlineLevel="0" r="25013">
      <c r="A25013" s="3" t="inlineStr">
        <is>
          <t>24910</t>
        </is>
      </c>
      <c r="B25013" s="4" t="s">
        <f>=HYPERLINK("http://anyluxury.ru/shop/posuda/zavarochnye-chayniki/chaynik-attimo-1591360/" , "15913.60 Чайник Attimo")</f>
      </c>
      <c r="C25013" s="4" t="n">
        <v>4153.00</v>
      </c>
      <c r="D25013" s="4"/>
    </row>
    <row collapsed="" customFormat="false" customHeight="1" hidden="" ht="14" outlineLevel="0" r="25014">
      <c r="A25014" s="3" t="inlineStr">
        <is>
          <t>24911</t>
        </is>
      </c>
      <c r="B25014" s="4" t="s">
        <f>=HYPERLINK("http://anyluxury.ru/shop/posuda/zavarochnye-chayniki/chaynik-quadroni-1467700/" , "14677.00 Чайник Quadroni")</f>
      </c>
      <c r="C25014" s="4" t="n">
        <v>1499.00</v>
      </c>
      <c r="D25014" s="4"/>
    </row>
    <row collapsed="" customFormat="false" customHeight="1" hidden="" ht="14" outlineLevel="0" r="25015">
      <c r="A25015" s="3" t="inlineStr">
        <is>
          <t>24912</t>
        </is>
      </c>
      <c r="B25015" s="4" t="s">
        <f>=HYPERLINK("http://anyluxury.ru/shop/posuda/zavarochnye-chayniki/termobutilka-s-dvoynimi-stenkami-freshman-1539800/" , "15398.00 Термобутылка с двойными стенками Freshman")</f>
      </c>
      <c r="C25015" s="4" t="n">
        <v>1457.00</v>
      </c>
      <c r="D25015" s="4"/>
    </row>
    <row collapsed="" customFormat="false" customHeight="1" hidden="" ht="14" outlineLevel="0" r="25016">
      <c r="A25016" s="3" t="inlineStr">
        <is>
          <t>24913</t>
        </is>
      </c>
      <c r="B25016" s="4" t="s">
        <f>=HYPERLINK("http://anyluxury.ru/shop/posuda/zavarochnye-chayniki/frenchpress-ruby-tuesday-1733800/" , "17338.00 Френч-пресс Ruby Tuesday")</f>
      </c>
      <c r="C25016" s="4" t="n">
        <v>1165.00</v>
      </c>
      <c r="D25016" s="4"/>
    </row>
    <row collapsed="" customFormat="false" customHeight="" hidden="" ht="12.1" outlineLevel="0" r="25017">
      <c r="A25017" s="5" t="inlineStr">
        <is>
          <t> -  - Кружки</t>
        </is>
      </c>
      <c r="B25017" s="6"/>
      <c r="C25017" s="6"/>
      <c r="D25017" s="6"/>
    </row>
    <row collapsed="" customFormat="false" customHeight="1" hidden="" ht="14" outlineLevel="0" r="25018">
      <c r="A25018" s="3" t="inlineStr">
        <is>
          <t>24914</t>
        </is>
      </c>
      <c r="B25018" s="4" t="s">
        <f>=HYPERLINK("http://anyluxury.ru/shop/posuda/kruzhki/kruzhka-promo-oranzhevaya-453420/" , "4534.20 Кружка Promo, оранжевая")</f>
      </c>
      <c r="C25018" s="4" t="n">
        <v>233.00</v>
      </c>
      <c r="D25018" s="4"/>
    </row>
    <row collapsed="" customFormat="false" customHeight="1" hidden="" ht="14" outlineLevel="0" r="25019">
      <c r="A25019" s="3" t="inlineStr">
        <is>
          <t>24915</t>
        </is>
      </c>
      <c r="B25019" s="4" t="s">
        <f>=HYPERLINK("http://anyluxury.ru/shop/posuda/kruzhki/kruzhka-promo-temnosinyaya-453440/" , "4534.40 Кружка Promo, темно-синяя")</f>
      </c>
      <c r="C25019" s="4" t="n">
        <v>233.00</v>
      </c>
      <c r="D25019" s="4"/>
    </row>
    <row collapsed="" customFormat="false" customHeight="1" hidden="" ht="14" outlineLevel="0" r="25020">
      <c r="A25020" s="3" t="inlineStr">
        <is>
          <t>24916</t>
        </is>
      </c>
      <c r="B25020" s="4" t="s">
        <f>=HYPERLINK("http://anyluxury.ru/shop/posuda/kruzhki/kruzhka-promo-krasnaya-453450/" , "4534.50 Кружка Promo, красная с белым")</f>
      </c>
      <c r="C25020" s="4" t="n">
        <v>233.00</v>
      </c>
      <c r="D25020" s="4"/>
    </row>
    <row collapsed="" customFormat="false" customHeight="1" hidden="" ht="14" outlineLevel="0" r="25021">
      <c r="A25021" s="3" t="inlineStr">
        <is>
          <t>24917</t>
        </is>
      </c>
      <c r="B25021" s="4" t="s">
        <f>=HYPERLINK("http://anyluxury.ru/shop/posuda/kruzhki/kruzhka-promo-belaya-453460/" , "4534.60 Кружка Promo, белая")</f>
      </c>
      <c r="C25021" s="4" t="n">
        <v>180.00</v>
      </c>
      <c r="D25021" s="4"/>
    </row>
    <row collapsed="" customFormat="false" customHeight="1" hidden="" ht="14" outlineLevel="0" r="25022">
      <c r="A25022" s="3" t="inlineStr">
        <is>
          <t>24918</t>
        </is>
      </c>
      <c r="B25022" s="4" t="s">
        <f>=HYPERLINK("http://anyluxury.ru/shop/posuda/kruzhki/kruzhka-promo-zheltaya-453480/" , "4534.80 Кружка Promo, желтая")</f>
      </c>
      <c r="C25022" s="4" t="n">
        <v>233.00</v>
      </c>
      <c r="D25022" s="4"/>
    </row>
    <row collapsed="" customFormat="false" customHeight="1" hidden="" ht="14" outlineLevel="0" r="25023">
      <c r="A25023" s="3" t="inlineStr">
        <is>
          <t>24919</t>
        </is>
      </c>
      <c r="B25023" s="4" t="s">
        <f>=HYPERLINK("http://anyluxury.ru/shop/posuda/kruzhki/kruzhka-promo-zelenaya-453490/" , "4534.90 Кружка Promo, зеленая")</f>
      </c>
      <c r="C25023" s="4" t="n">
        <v>233.00</v>
      </c>
      <c r="D25023" s="4"/>
    </row>
    <row collapsed="" customFormat="false" customHeight="1" hidden="" ht="14" outlineLevel="0" r="25024">
      <c r="A25024" s="3" t="inlineStr">
        <is>
          <t>24920</t>
        </is>
      </c>
      <c r="B25024" s="4" t="s">
        <f>=HYPERLINK("http://anyluxury.ru/shop/posuda/kruzhki/kruzhka-regular-belaya-330-ml-farfor-4662/" , "4662 Кружка Regular, белая")</f>
      </c>
      <c r="C25024" s="4" t="n">
        <v>222.00</v>
      </c>
      <c r="D25024" s="4"/>
    </row>
    <row collapsed="" customFormat="false" customHeight="1" hidden="" ht="14" outlineLevel="0" r="25025">
      <c r="A25025" s="3" t="inlineStr">
        <is>
          <t>24921</t>
        </is>
      </c>
      <c r="B25025" s="4" t="s">
        <f>=HYPERLINK("http://anyluxury.ru/shop/posuda/kruzhki/kruzhka-utro-belaya-4663/" , "4663 Кружка «Утро», белая")</f>
      </c>
      <c r="C25025" s="4" t="n">
        <v>176.00</v>
      </c>
      <c r="D25025" s="4"/>
    </row>
    <row collapsed="" customFormat="false" customHeight="1" hidden="" ht="14" outlineLevel="0" r="25026">
      <c r="A25026" s="3" t="inlineStr">
        <is>
          <t>24922</t>
        </is>
      </c>
      <c r="B25026" s="4" t="s">
        <f>=HYPERLINK("http://anyluxury.ru/shop/posuda/kruzhki/kruzhka-s-lozhkoy-belaya-s-beloy-466560/" , "4665.60 Кружка с ложкой Cheer Up, белая с белой")</f>
      </c>
      <c r="C25026" s="4" t="n">
        <v>348.30</v>
      </c>
      <c r="D25026" s="4"/>
    </row>
    <row collapsed="" customFormat="false" customHeight="1" hidden="" ht="14" outlineLevel="0" r="25027">
      <c r="A25027" s="3" t="inlineStr">
        <is>
          <t>24923</t>
        </is>
      </c>
      <c r="B25027" s="4" t="s">
        <f>=HYPERLINK("http://anyluxury.ru/shop/posuda/kruzhki/kruzhka-s-lozhkoy-belaya-s-oranzhevoy-466562/" , "4665.62 Кружка с ложкой Cheer Up, белая с оранжевой")</f>
      </c>
      <c r="C25027" s="4" t="n">
        <v>278.00</v>
      </c>
      <c r="D25027" s="4"/>
    </row>
    <row collapsed="" customFormat="false" customHeight="1" hidden="" ht="14" outlineLevel="0" r="25028">
      <c r="A25028" s="3" t="inlineStr">
        <is>
          <t>24924</t>
        </is>
      </c>
      <c r="B25028" s="4" t="s">
        <f>=HYPERLINK("http://anyluxury.ru/shop/posuda/kruzhki/kruzhka-to-go-sinyaya-581840/" , "5818.40 Кружка To Go, синяя")</f>
      </c>
      <c r="C25028" s="4" t="n">
        <v>499.00</v>
      </c>
      <c r="D25028" s="4"/>
    </row>
    <row collapsed="" customFormat="false" customHeight="1" hidden="" ht="14" outlineLevel="0" r="25029">
      <c r="A25029" s="3" t="inlineStr">
        <is>
          <t>24925</t>
        </is>
      </c>
      <c r="B25029" s="4" t="s">
        <f>=HYPERLINK("http://anyluxury.ru/shop/posuda/kruzhki/kruzhka-promo-chernaya-453430/" , "4534.30 Кружка Promo, черная")</f>
      </c>
      <c r="C25029" s="4" t="n">
        <v>233.00</v>
      </c>
      <c r="D25029" s="4"/>
    </row>
    <row collapsed="" customFormat="false" customHeight="1" hidden="" ht="14" outlineLevel="0" r="25030">
      <c r="A25030" s="3" t="inlineStr">
        <is>
          <t>24926</t>
        </is>
      </c>
      <c r="B25030" s="4" t="s">
        <f>=HYPERLINK("http://anyluxury.ru/shop/posuda/kruzhki/kruzhka-bell-belaya-648160/" , "6481.60 Кружка Bell, белая")</f>
      </c>
      <c r="C25030" s="4" t="n">
        <v>275.00</v>
      </c>
      <c r="D25030" s="4"/>
    </row>
    <row collapsed="" customFormat="false" customHeight="1" hidden="" ht="14" outlineLevel="0" r="25031">
      <c r="A25031" s="3" t="inlineStr">
        <is>
          <t>24927</t>
        </is>
      </c>
      <c r="B25031" s="4" t="s">
        <f>=HYPERLINK("http://anyluxury.ru/shop/posuda/kruzhki/kruzhka-bell-krasnaya-648150/" , "6481.50 Кружка Bell, красная")</f>
      </c>
      <c r="C25031" s="4" t="n">
        <v>272.00</v>
      </c>
      <c r="D25031" s="4"/>
    </row>
    <row collapsed="" customFormat="false" customHeight="1" hidden="" ht="14" outlineLevel="0" r="25032">
      <c r="A25032" s="3" t="inlineStr">
        <is>
          <t>24928</t>
        </is>
      </c>
      <c r="B25032" s="4" t="s">
        <f>=HYPERLINK("http://anyluxury.ru/shop/posuda/kruzhki/kruzhka-bell-sinyaya-648140/" , "6481.40 Кружка Bell, синяя")</f>
      </c>
      <c r="C25032" s="4" t="n">
        <v>272.00</v>
      </c>
      <c r="D25032" s="4"/>
    </row>
    <row collapsed="" customFormat="false" customHeight="1" hidden="" ht="14" outlineLevel="0" r="25033">
      <c r="A25033" s="3" t="inlineStr">
        <is>
          <t>24929</t>
        </is>
      </c>
      <c r="B25033" s="4" t="s">
        <f>=HYPERLINK("http://anyluxury.ru/shop/posuda/kruzhki/kruzhka-good-morning-krasnaya-647850/" , "6478.50 Кружка Good morning, красная")</f>
      </c>
      <c r="C25033" s="4" t="n">
        <v>247.00</v>
      </c>
      <c r="D25033" s="4"/>
    </row>
    <row collapsed="" customFormat="false" customHeight="1" hidden="" ht="14" outlineLevel="0" r="25034">
      <c r="A25034" s="3" t="inlineStr">
        <is>
          <t>24930</t>
        </is>
      </c>
      <c r="B25034" s="4" t="s">
        <f>=HYPERLINK("http://anyluxury.ru/shop/posuda/kruzhki/kruzhka-good-morning-sinyaya-647840/" , "6478.40 Кружка Good Morning, синяя")</f>
      </c>
      <c r="C25034" s="4" t="n">
        <v>247.00</v>
      </c>
      <c r="D25034" s="4"/>
    </row>
    <row collapsed="" customFormat="false" customHeight="1" hidden="" ht="14" outlineLevel="0" r="25035">
      <c r="A25035" s="3" t="inlineStr">
        <is>
          <t>24931</t>
        </is>
      </c>
      <c r="B25035" s="4" t="s">
        <f>=HYPERLINK("http://anyluxury.ru/shop/posuda/kruzhki/kruzhka-good-morning-zelenaya-647890/" , "6478.90 Кружка Good morning, зеленая")</f>
      </c>
      <c r="C25035" s="4" t="n">
        <v>247.00</v>
      </c>
      <c r="D25035" s="4"/>
    </row>
    <row collapsed="" customFormat="false" customHeight="1" hidden="" ht="14" outlineLevel="0" r="25036">
      <c r="A25036" s="3" t="inlineStr">
        <is>
          <t>24932</t>
        </is>
      </c>
      <c r="B25036" s="4" t="s">
        <f>=HYPERLINK("http://anyluxury.ru/shop/posuda/kruzhki/kruzhka-good-morning-oranzhevaya-647820/" , "6478.20 Кружка Good morning, оранжевая")</f>
      </c>
      <c r="C25036" s="4" t="n">
        <v>247.00</v>
      </c>
      <c r="D25036" s="4"/>
    </row>
    <row collapsed="" customFormat="false" customHeight="1" hidden="" ht="14" outlineLevel="0" r="25037">
      <c r="A25037" s="3" t="inlineStr">
        <is>
          <t>24933</t>
        </is>
      </c>
      <c r="B25037" s="4" t="s">
        <f>=HYPERLINK("http://anyluxury.ru/shop/posuda/kruzhki/kruzhka-promo-plus-dlya-sublimacionnoy-pechati-sinyaya-657940/" , "6579.40 Кружка Promo Plus для сублимационной печати, синяя")</f>
      </c>
      <c r="C25037" s="4" t="n">
        <v>237.00</v>
      </c>
      <c r="D25037" s="4"/>
    </row>
    <row collapsed="" customFormat="false" customHeight="1" hidden="" ht="14" outlineLevel="0" r="25038">
      <c r="A25038" s="3" t="inlineStr">
        <is>
          <t>24934</t>
        </is>
      </c>
      <c r="B25038" s="4" t="s">
        <f>=HYPERLINK("http://anyluxury.ru/shop/posuda/kruzhki/kruzhka-good-morning-seraya-647810/" , "6478.10 Кружка Good Morning, серая")</f>
      </c>
      <c r="C25038" s="4" t="n">
        <v>247.00</v>
      </c>
      <c r="D25038" s="4"/>
    </row>
    <row collapsed="" customFormat="false" customHeight="1" hidden="" ht="14" outlineLevel="0" r="25039">
      <c r="A25039" s="3" t="inlineStr">
        <is>
          <t>24935</t>
        </is>
      </c>
      <c r="B25039" s="4" t="s">
        <f>=HYPERLINK("http://anyluxury.ru/shop/posuda/kruzhki/kruzhka-promo-matovaya-chernaya-344530/" , "3445.30 Кружка Promo матовая, черная")</f>
      </c>
      <c r="C25039" s="4" t="n">
        <v>286.00</v>
      </c>
      <c r="D25039" s="4"/>
    </row>
    <row collapsed="" customFormat="false" customHeight="1" hidden="" ht="14" outlineLevel="0" r="25040">
      <c r="A25040" s="3" t="inlineStr">
        <is>
          <t>24936</t>
        </is>
      </c>
      <c r="B25040" s="4" t="s">
        <f>=HYPERLINK("http://anyluxury.ru/shop/posuda/kruzhki/kruzhka-promo-matovaya-sinyaya-344540/" , "3445.40 Кружка Promo матовая, синяя")</f>
      </c>
      <c r="C25040" s="4" t="n">
        <v>286.00</v>
      </c>
      <c r="D25040" s="4"/>
    </row>
    <row collapsed="" customFormat="false" customHeight="1" hidden="" ht="14" outlineLevel="0" r="25041">
      <c r="A25041" s="3" t="inlineStr">
        <is>
          <t>24937</t>
        </is>
      </c>
      <c r="B25041" s="4" t="s">
        <f>=HYPERLINK("http://anyluxury.ru/shop/posuda/kruzhki/kruzhka-promo-matovaya-krasnaya-344550/" , "3445.50 Кружка Promo матовая, красная")</f>
      </c>
      <c r="C25041" s="4" t="n">
        <v>285.00</v>
      </c>
      <c r="D25041" s="4"/>
    </row>
    <row collapsed="" customFormat="false" customHeight="1" hidden="" ht="14" outlineLevel="0" r="25042">
      <c r="A25042" s="3" t="inlineStr">
        <is>
          <t>24938</t>
        </is>
      </c>
      <c r="B25042" s="4" t="s">
        <f>=HYPERLINK("http://anyluxury.ru/shop/posuda/kruzhki/kruzhka-pixie-dlya-sublimacionnoy-pechati-belaya-3372/" , "3372 Кружка Pixie для сублимационной печати, белая")</f>
      </c>
      <c r="C25042" s="4" t="n">
        <v>420.00</v>
      </c>
      <c r="D25042" s="4"/>
    </row>
    <row collapsed="" customFormat="false" customHeight="1" hidden="" ht="14" outlineLevel="0" r="25043">
      <c r="A25043" s="3" t="inlineStr">
        <is>
          <t>24939</t>
        </is>
      </c>
      <c r="B25043" s="4" t="s">
        <f>=HYPERLINK("http://anyluxury.ru/shop/posuda/kruzhki/kruzhka-hameleon-krasnaya-586451/" , "5864.51 Кружка «Хамелеон», матовая, красная")</f>
      </c>
      <c r="C25043" s="4" t="n">
        <v>230.00</v>
      </c>
      <c r="D25043" s="4"/>
    </row>
    <row collapsed="" customFormat="false" customHeight="1" hidden="" ht="14" outlineLevel="0" r="25044">
      <c r="A25044" s="3" t="inlineStr">
        <is>
          <t>24940</t>
        </is>
      </c>
      <c r="B25044" s="4" t="s">
        <f>=HYPERLINK("http://anyluxury.ru/shop/posuda/kruzhki/kruzhka-promo-plus-dlya-sublimacionnoy-pechati-golubaya-657941/" , "6579.41 Кружка Promo Plus для сублимационной печати, голубая")</f>
      </c>
      <c r="C25044" s="4" t="n">
        <v>237.00</v>
      </c>
      <c r="D25044" s="4"/>
    </row>
    <row collapsed="" customFormat="false" customHeight="1" hidden="" ht="14" outlineLevel="0" r="25045">
      <c r="A25045" s="3" t="inlineStr">
        <is>
          <t>24941</t>
        </is>
      </c>
      <c r="B25045" s="4" t="s">
        <f>=HYPERLINK("http://anyluxury.ru/shop/posuda/kruzhki/kruzhka-promo-plus-dlya-sublimacionnoy-pechati-krasnaya-657951/" , "6579.51 Кружка Promo Plus для сублимационной печати, красная")</f>
      </c>
      <c r="C25045" s="4" t="n">
        <v>237.00</v>
      </c>
      <c r="D25045" s="4"/>
    </row>
    <row collapsed="" customFormat="false" customHeight="1" hidden="" ht="14" outlineLevel="0" r="25046">
      <c r="A25046" s="3" t="inlineStr">
        <is>
          <t>24942</t>
        </is>
      </c>
      <c r="B25046" s="4" t="s">
        <f>=HYPERLINK("http://anyluxury.ru/shop/posuda/kruzhki/kruzhka-promo-plus-dlya-sublimacionnoy-pechati-zelenoe-yabloko-657994/" , "6579.94 Кружка Promo Plus для сублимационной печати, зеленое яблоко")</f>
      </c>
      <c r="C25046" s="4" t="n">
        <v>237.00</v>
      </c>
      <c r="D25046" s="4"/>
    </row>
    <row collapsed="" customFormat="false" customHeight="1" hidden="" ht="14" outlineLevel="0" r="25047">
      <c r="A25047" s="3" t="inlineStr">
        <is>
          <t>24943</t>
        </is>
      </c>
      <c r="B25047" s="4" t="s">
        <f>=HYPERLINK("http://anyluxury.ru/shop/posuda/kruzhki/kruzhka-ore-dlya-sublimacionnoy-pechati-zolotistaya-337600/" , "3376.00 Кружка Ore для сублимационной печати, золотистая")</f>
      </c>
      <c r="C25047" s="4" t="n">
        <v>362.00</v>
      </c>
      <c r="D25047" s="4"/>
    </row>
    <row collapsed="" customFormat="false" customHeight="1" hidden="" ht="14" outlineLevel="0" r="25048">
      <c r="A25048" s="3" t="inlineStr">
        <is>
          <t>24944</t>
        </is>
      </c>
      <c r="B25048" s="4" t="s">
        <f>=HYPERLINK("http://anyluxury.ru/shop/posuda/kruzhki/kruzhka-neochevidnoe-731360/" , "7313.60 Кружка «Неочевидное»")</f>
      </c>
      <c r="C25048" s="4" t="n">
        <v>310.00</v>
      </c>
      <c r="D25048" s="4"/>
    </row>
    <row collapsed="" customFormat="false" customHeight="1" hidden="" ht="14" outlineLevel="0" r="25049">
      <c r="A25049" s="3" t="inlineStr">
        <is>
          <t>24945</t>
        </is>
      </c>
      <c r="B25049" s="4" t="s">
        <f>=HYPERLINK("http://anyluxury.ru/shop/posuda/kruzhki/kruzhka-outline-plant-golubaya-719314/" , "7193.14 Кружка Outline Plant, голубая")</f>
      </c>
      <c r="C25049" s="4" t="n">
        <v>150.00</v>
      </c>
      <c r="D25049" s="4"/>
    </row>
    <row collapsed="" customFormat="false" customHeight="1" hidden="" ht="14" outlineLevel="0" r="25050">
      <c r="A25050" s="3" t="inlineStr">
        <is>
          <t>24946</t>
        </is>
      </c>
      <c r="B25050" s="4" t="s">
        <f>=HYPERLINK("http://anyluxury.ru/shop/posuda/kruzhki/kruzhka-chaynaya-sentiment-751960/" , "7519.60 Кружка чайная Sentiment")</f>
      </c>
      <c r="C25050" s="4" t="n">
        <v>410.00</v>
      </c>
      <c r="D25050" s="4"/>
    </row>
    <row collapsed="" customFormat="false" customHeight="1" hidden="" ht="14" outlineLevel="0" r="25051">
      <c r="A25051" s="3" t="inlineStr">
        <is>
          <t>24947</t>
        </is>
      </c>
      <c r="B25051" s="4" t="s">
        <f>=HYPERLINK("http://anyluxury.ru/shop/posuda/kruzhki/kruzhka-dacha-belaya-722460/" , "7224.60 Кружка Dacha, средняя, белая")</f>
      </c>
      <c r="C25051" s="4" t="n">
        <v>232.00</v>
      </c>
      <c r="D25051" s="4"/>
    </row>
    <row collapsed="" customFormat="false" customHeight="1" hidden="" ht="14" outlineLevel="0" r="25052">
      <c r="A25052" s="3" t="inlineStr">
        <is>
          <t>24948</t>
        </is>
      </c>
      <c r="B25052" s="4" t="s">
        <f>=HYPERLINK("http://anyluxury.ru/shop/posuda/kruzhki/kruzhka-dacha-svetlozheltaya-722481/" , "7224.81 Кружка Dacha, средняя, светло-желтая")</f>
      </c>
      <c r="C25052" s="4" t="n">
        <v>250.00</v>
      </c>
      <c r="D25052" s="4"/>
    </row>
    <row collapsed="" customFormat="false" customHeight="1" hidden="" ht="14" outlineLevel="0" r="25053">
      <c r="A25053" s="3" t="inlineStr">
        <is>
          <t>24949</t>
        </is>
      </c>
      <c r="B25053" s="4" t="s">
        <f>=HYPERLINK("http://anyluxury.ru/shop/posuda/kruzhki/kruzhka-dacha-golubaya-722414/" , "7224.14 Кружка Dacha, средняя, голубая")</f>
      </c>
      <c r="C25053" s="4" t="n">
        <v>250.00</v>
      </c>
      <c r="D25053" s="4"/>
    </row>
    <row collapsed="" customFormat="false" customHeight="1" hidden="" ht="14" outlineLevel="0" r="25054">
      <c r="A25054" s="3" t="inlineStr">
        <is>
          <t>24950</t>
        </is>
      </c>
      <c r="B25054" s="4" t="s">
        <f>=HYPERLINK("http://anyluxury.ru/shop/posuda/kruzhki/kruzhka-sweep-belaya-722660/" , "7226.60 Кружка Sweep, белая")</f>
      </c>
      <c r="C25054" s="4" t="n">
        <v>397.00</v>
      </c>
      <c r="D25054" s="4"/>
    </row>
    <row collapsed="" customFormat="false" customHeight="1" hidden="" ht="14" outlineLevel="0" r="25055">
      <c r="A25055" s="3" t="inlineStr">
        <is>
          <t>24951</t>
        </is>
      </c>
      <c r="B25055" s="4" t="s">
        <f>=HYPERLINK("http://anyluxury.ru/shop/posuda/kruzhki/kruzhka-good-morning-zheltaya-647888/" , "6478.88 Кружка Good Morning, желтая")</f>
      </c>
      <c r="C25055" s="4" t="n">
        <v>247.00</v>
      </c>
      <c r="D25055" s="4"/>
    </row>
    <row collapsed="" customFormat="false" customHeight="1" hidden="" ht="14" outlineLevel="0" r="25056">
      <c r="A25056" s="3" t="inlineStr">
        <is>
          <t>24952</t>
        </is>
      </c>
      <c r="B25056" s="4" t="s">
        <f>=HYPERLINK("http://anyluxury.ru/shop/posuda/kruzhki/kruzhka-good-morning-chernaya-647830/" , "6478.30 Кружка Good Morning, черная")</f>
      </c>
      <c r="C25056" s="4" t="n">
        <v>247.00</v>
      </c>
      <c r="D25056" s="4"/>
    </row>
    <row collapsed="" customFormat="false" customHeight="1" hidden="" ht="14" outlineLevel="0" r="25057">
      <c r="A25057" s="3" t="inlineStr">
        <is>
          <t>24953</t>
        </is>
      </c>
      <c r="B25057" s="4" t="s">
        <f>=HYPERLINK("http://anyluxury.ru/shop/posuda/kruzhki/kruzhka-new-bell-matovaya-belaya-s-zelenim-6481190/" , "64811.90 Кружка New Bell матовая, белая с зеленым")</f>
      </c>
      <c r="C25057" s="4" t="n">
        <v>313.00</v>
      </c>
      <c r="D25057" s="4"/>
    </row>
    <row collapsed="" customFormat="false" customHeight="1" hidden="" ht="14" outlineLevel="0" r="25058">
      <c r="A25058" s="3" t="inlineStr">
        <is>
          <t>24954</t>
        </is>
      </c>
      <c r="B25058" s="4" t="s">
        <f>=HYPERLINK("http://anyluxury.ru/shop/posuda/kruzhki/kruzhka-new-bell-matovaya-belaya-s-sinim-6481140/" , "64811.40 Кружка New Bell матовая, белая с синим")</f>
      </c>
      <c r="C25058" s="4" t="n">
        <v>313.00</v>
      </c>
      <c r="D25058" s="4"/>
    </row>
    <row collapsed="" customFormat="false" customHeight="1" hidden="" ht="14" outlineLevel="0" r="25059">
      <c r="A25059" s="3" t="inlineStr">
        <is>
          <t>24955</t>
        </is>
      </c>
      <c r="B25059" s="4" t="s">
        <f>=HYPERLINK("http://anyluxury.ru/shop/posuda/kruzhki/kruzhka-new-bell-matovaya-belaya-s-golubim-6481114/" , "64811.14 Кружка New Bell матовая, белая с голубым")</f>
      </c>
      <c r="C25059" s="4" t="n">
        <v>313.00</v>
      </c>
      <c r="D25059" s="4"/>
    </row>
    <row collapsed="" customFormat="false" customHeight="1" hidden="" ht="14" outlineLevel="0" r="25060">
      <c r="A25060" s="3" t="inlineStr">
        <is>
          <t>24956</t>
        </is>
      </c>
      <c r="B25060" s="4" t="s">
        <f>=HYPERLINK("http://anyluxury.ru/shop/posuda/kruzhki/kruzhka-new-bell-matovaya-belaya-s-krasnim-6481150/" , "64811.50 Кружка New Bell матовая, белая с красным")</f>
      </c>
      <c r="C25060" s="4" t="n">
        <v>313.00</v>
      </c>
      <c r="D25060" s="4"/>
    </row>
    <row collapsed="" customFormat="false" customHeight="1" hidden="" ht="14" outlineLevel="0" r="25061">
      <c r="A25061" s="3" t="inlineStr">
        <is>
          <t>24957</t>
        </is>
      </c>
      <c r="B25061" s="4" t="s">
        <f>=HYPERLINK("http://anyluxury.ru/shop/posuda/kruzhki/kruzhka-new-bell-matovaya-belaya-s-serim-6481110/" , "64811.10 Кружка New Bell матовая, белая с серым")</f>
      </c>
      <c r="C25061" s="4" t="n">
        <v>313.00</v>
      </c>
      <c r="D25061" s="4"/>
    </row>
    <row collapsed="" customFormat="false" customHeight="1" hidden="" ht="14" outlineLevel="0" r="25062">
      <c r="A25062" s="3" t="inlineStr">
        <is>
          <t>24958</t>
        </is>
      </c>
      <c r="B25062" s="4" t="s">
        <f>=HYPERLINK("http://anyluxury.ru/shop/posuda/kruzhki/kruzhka-new-bell-matovaya-belaya-s-oranzhevim-6481120/" , "64811.20 Кружка New Bell матовая, белая с оранжевым")</f>
      </c>
      <c r="C25062" s="4" t="n">
        <v>313.00</v>
      </c>
      <c r="D25062" s="4"/>
    </row>
    <row collapsed="" customFormat="false" customHeight="1" hidden="" ht="14" outlineLevel="0" r="25063">
      <c r="A25063" s="3" t="inlineStr">
        <is>
          <t>24959</t>
        </is>
      </c>
      <c r="B25063" s="4" t="s">
        <f>=HYPERLINK("http://anyluxury.ru/shop/posuda/kruzhki/kruzhka-ragazza-di-mare-7356060/" , "73560.60 Кружка Ragazza Di Mare")</f>
      </c>
      <c r="C25063" s="4" t="n">
        <v>390.00</v>
      </c>
      <c r="D25063" s="4"/>
    </row>
    <row collapsed="" customFormat="false" customHeight="1" hidden="" ht="14" outlineLevel="0" r="25064">
      <c r="A25064" s="3" t="inlineStr">
        <is>
          <t>24960</t>
        </is>
      </c>
      <c r="B25064" s="4" t="s">
        <f>=HYPERLINK("http://anyluxury.ru/shop/posuda/kruzhki/kruzhka-hard-work-1197500/" , "11975.00 Кружка Hard Work")</f>
      </c>
      <c r="C25064" s="4" t="n">
        <v>628.00</v>
      </c>
      <c r="D25064" s="4"/>
    </row>
    <row collapsed="" customFormat="false" customHeight="1" hidden="" ht="14" outlineLevel="0" r="25065">
      <c r="A25065" s="3" t="inlineStr">
        <is>
          <t>24961</t>
        </is>
      </c>
      <c r="B25065" s="4" t="s">
        <f>=HYPERLINK("http://anyluxury.ru/shop/posuda/kruzhki/kruzhka-basic-1024700/" , "10247.00 Кружка Basic")</f>
      </c>
      <c r="C25065" s="4" t="n">
        <v>184.00</v>
      </c>
      <c r="D25065" s="4"/>
    </row>
    <row collapsed="" customFormat="false" customHeight="1" hidden="" ht="14" outlineLevel="0" r="25066">
      <c r="A25066" s="3" t="inlineStr">
        <is>
          <t>24962</t>
        </is>
      </c>
      <c r="B25066" s="4" t="s">
        <f>=HYPERLINK("http://anyluxury.ru/shop/posuda/kruzhki/kruzhka-enjoy-krasnaya-1024850/" , "10248.50 Кружка Enjoy, красная")</f>
      </c>
      <c r="C25066" s="4" t="n">
        <v>219.00</v>
      </c>
      <c r="D25066" s="4"/>
    </row>
    <row collapsed="" customFormat="false" customHeight="1" hidden="" ht="14" outlineLevel="0" r="25067">
      <c r="A25067" s="3" t="inlineStr">
        <is>
          <t>24963</t>
        </is>
      </c>
      <c r="B25067" s="4" t="s">
        <f>=HYPERLINK("http://anyluxury.ru/shop/posuda/kruzhki/kruzhka-praga-1027000/" , "10270.00 Кружка «Прага»")</f>
      </c>
      <c r="C25067" s="4" t="n">
        <v>103.00</v>
      </c>
      <c r="D25067" s="4"/>
    </row>
    <row collapsed="" customFormat="false" customHeight="1" hidden="" ht="14" outlineLevel="0" r="25068">
      <c r="A25068" s="3" t="inlineStr">
        <is>
          <t>24964</t>
        </is>
      </c>
      <c r="B25068" s="4" t="s">
        <f>=HYPERLINK("http://anyluxury.ru/shop/posuda/kruzhki/kruzhka-king-size-1027100/" , "10271.00 Кружка King Size")</f>
      </c>
      <c r="C25068" s="4" t="n">
        <v>180.00</v>
      </c>
      <c r="D25068" s="4"/>
    </row>
    <row collapsed="" customFormat="false" customHeight="1" hidden="" ht="14" outlineLevel="0" r="25069">
      <c r="A25069" s="3" t="inlineStr">
        <is>
          <t>24965</t>
        </is>
      </c>
      <c r="B25069" s="4" t="s">
        <f>=HYPERLINK("http://anyluxury.ru/shop/posuda/kruzhki/chaynaya-para-riposo-belaya-793660/" , "7936.60 Чайная пара Riposo, белая")</f>
      </c>
      <c r="C25069" s="4" t="n">
        <v>748.40</v>
      </c>
      <c r="D25069" s="4"/>
    </row>
    <row collapsed="" customFormat="false" customHeight="1" hidden="" ht="14" outlineLevel="0" r="25070">
      <c r="A25070" s="3" t="inlineStr">
        <is>
          <t>24966</t>
        </is>
      </c>
      <c r="B25070" s="4" t="s">
        <f>=HYPERLINK("http://anyluxury.ru/shop/posuda/kruzhki/kruzhka-enjoy-prozrachnaya-1024800/" , "10248.00 Кружка Enjoy, бесцветная")</f>
      </c>
      <c r="C25070" s="4" t="n">
        <v>134.00</v>
      </c>
      <c r="D25070" s="4"/>
    </row>
    <row collapsed="" customFormat="false" customHeight="1" hidden="" ht="14" outlineLevel="0" r="25071">
      <c r="A25071" s="3" t="inlineStr">
        <is>
          <t>24967</t>
        </is>
      </c>
      <c r="B25071" s="4" t="s">
        <f>=HYPERLINK("http://anyluxury.ru/shop/posuda/kruzhki/kruzhka-enjoy-oranzhevaya-1024820/" , "10248.20 Кружка Enjoy, оранжевая")</f>
      </c>
      <c r="C25071" s="4" t="n">
        <v>219.00</v>
      </c>
      <c r="D25071" s="4"/>
    </row>
    <row collapsed="" customFormat="false" customHeight="1" hidden="" ht="14" outlineLevel="0" r="25072">
      <c r="A25072" s="3" t="inlineStr">
        <is>
          <t>24968</t>
        </is>
      </c>
      <c r="B25072" s="4" t="s">
        <f>=HYPERLINK("http://anyluxury.ru/shop/posuda/kruzhki/kruzhka-enjoy-zelenaya-1024890/" , "10248.90 Кружка Enjoy, зеленая")</f>
      </c>
      <c r="C25072" s="4" t="n">
        <v>219.00</v>
      </c>
      <c r="D25072" s="4"/>
    </row>
    <row collapsed="" customFormat="false" customHeight="1" hidden="" ht="14" outlineLevel="0" r="25073">
      <c r="A25073" s="3" t="inlineStr">
        <is>
          <t>24969</t>
        </is>
      </c>
      <c r="B25073" s="4" t="s">
        <f>=HYPERLINK("http://anyluxury.ru/shop/posuda/kruzhki/kruzhka-ore-dlya-sublimacionnoy-pechati-sinyaya-337640/" , "3376.40 Кружка Ore для сублимационной печати, синяя")</f>
      </c>
      <c r="C25073" s="4" t="n">
        <v>290.00</v>
      </c>
      <c r="D25073" s="4"/>
    </row>
    <row collapsed="" customFormat="false" customHeight="1" hidden="" ht="14" outlineLevel="0" r="25074">
      <c r="A25074" s="3" t="inlineStr">
        <is>
          <t>24970</t>
        </is>
      </c>
      <c r="B25074" s="4" t="s">
        <f>=HYPERLINK("http://anyluxury.ru/shop/posuda/kruzhki/stakan-facet-zheltiy-7463780/" , "74637.80 Стакан Facet, желтый")</f>
      </c>
      <c r="C25074" s="4" t="n">
        <v>186.00</v>
      </c>
      <c r="D25074" s="4"/>
    </row>
    <row collapsed="" customFormat="false" customHeight="1" hidden="" ht="14" outlineLevel="0" r="25075">
      <c r="A25075" s="3" t="inlineStr">
        <is>
          <t>24971</t>
        </is>
      </c>
      <c r="B25075" s="4" t="s">
        <f>=HYPERLINK("http://anyluxury.ru/shop/posuda/kruzhki/stakan-facet-goluboy-7463744/" , "74637.44 Стакан Facet, голубой")</f>
      </c>
      <c r="C25075" s="4" t="n">
        <v>186.00</v>
      </c>
      <c r="D25075" s="4"/>
    </row>
    <row collapsed="" customFormat="false" customHeight="1" hidden="" ht="14" outlineLevel="0" r="25076">
      <c r="A25076" s="3" t="inlineStr">
        <is>
          <t>24972</t>
        </is>
      </c>
      <c r="B25076" s="4" t="s">
        <f>=HYPERLINK("http://anyluxury.ru/shop/posuda/kruzhki/stakan-facet-zeleniy-7463794/" , "74637.94 Стакан Facet, зеленый")</f>
      </c>
      <c r="C25076" s="4" t="n">
        <v>186.00</v>
      </c>
      <c r="D25076" s="4"/>
    </row>
    <row collapsed="" customFormat="false" customHeight="1" hidden="" ht="14" outlineLevel="0" r="25077">
      <c r="A25077" s="3" t="inlineStr">
        <is>
          <t>24973</t>
        </is>
      </c>
      <c r="B25077" s="4" t="s">
        <f>=HYPERLINK("http://anyluxury.ru/shop/posuda/kruzhki/stakan-vital-cherniy-7462630/" , "74626.30 Стакан Vital, черный")</f>
      </c>
      <c r="C25077" s="4" t="n">
        <v>483.00</v>
      </c>
      <c r="D25077" s="4"/>
    </row>
    <row collapsed="" customFormat="false" customHeight="1" hidden="" ht="14" outlineLevel="0" r="25078">
      <c r="A25078" s="3" t="inlineStr">
        <is>
          <t>24974</t>
        </is>
      </c>
      <c r="B25078" s="4" t="s">
        <f>=HYPERLINK("http://anyluxury.ru/shop/posuda/kruzhki/stakan-vital-krasniy-7462650/" , "74626.50 Стакан Vital, красный")</f>
      </c>
      <c r="C25078" s="4" t="n">
        <v>483.00</v>
      </c>
      <c r="D25078" s="4"/>
    </row>
    <row collapsed="" customFormat="false" customHeight="1" hidden="" ht="14" outlineLevel="0" r="25079">
      <c r="A25079" s="3" t="inlineStr">
        <is>
          <t>24975</t>
        </is>
      </c>
      <c r="B25079" s="4" t="s">
        <f>=HYPERLINK("http://anyluxury.ru/shop/posuda/kruzhki/stakan-vital-siniy-7462640/" , "74626.40 Стакан Vital, синий")</f>
      </c>
      <c r="C25079" s="4" t="n">
        <v>483.00</v>
      </c>
      <c r="D25079" s="4"/>
    </row>
    <row collapsed="" customFormat="false" customHeight="1" hidden="" ht="14" outlineLevel="0" r="25080">
      <c r="A25080" s="3" t="inlineStr">
        <is>
          <t>24976</t>
        </is>
      </c>
      <c r="B25080" s="4" t="s">
        <f>=HYPERLINK("http://anyluxury.ru/shop/posuda/kruzhki/kruzhka-enjoy-fioletovaya-1024870/" , "10248.70 Кружка Enjoy, фиолетовая")</f>
      </c>
      <c r="C25080" s="4" t="n">
        <v>235.00</v>
      </c>
      <c r="D25080" s="4"/>
    </row>
    <row collapsed="" customFormat="false" customHeight="1" hidden="" ht="14" outlineLevel="0" r="25081">
      <c r="A25081" s="3" t="inlineStr">
        <is>
          <t>24977</t>
        </is>
      </c>
      <c r="B25081" s="4" t="s">
        <f>=HYPERLINK("http://anyluxury.ru/shop/posuda/kruzhki/kruzhka-teaspotting-1279800/" , "12798.00 Кружка TeaSpotting")</f>
      </c>
      <c r="C25081" s="4" t="n">
        <v>1067.00</v>
      </c>
      <c r="D25081" s="4"/>
    </row>
    <row collapsed="" customFormat="false" customHeight="1" hidden="" ht="14" outlineLevel="0" r="25082">
      <c r="A25082" s="3" t="inlineStr">
        <is>
          <t>24978</t>
        </is>
      </c>
      <c r="B25082" s="4" t="s">
        <f>=HYPERLINK("http://anyluxury.ru/shop/posuda/kruzhki/chashka-stackable-malaya-1280190/" , "12801.90 Чашка Stackable, малая")</f>
      </c>
      <c r="C25082" s="4" t="n">
        <v>523.00</v>
      </c>
      <c r="D25082" s="4"/>
    </row>
    <row collapsed="" customFormat="false" customHeight="1" hidden="" ht="14" outlineLevel="0" r="25083">
      <c r="A25083" s="3" t="inlineStr">
        <is>
          <t>24979</t>
        </is>
      </c>
      <c r="B25083" s="4" t="s">
        <f>=HYPERLINK("http://anyluxury.ru/shop/posuda/kruzhki/chashka-stackable-srednyaya-1280116/" , "12801.16 Чашка Stackable, средняя")</f>
      </c>
      <c r="C25083" s="4" t="n">
        <v>486.00</v>
      </c>
      <c r="D25083" s="4"/>
    </row>
    <row collapsed="" customFormat="false" customHeight="1" hidden="" ht="14" outlineLevel="0" r="25084">
      <c r="A25084" s="3" t="inlineStr">
        <is>
          <t>24980</t>
        </is>
      </c>
      <c r="B25084" s="4" t="s">
        <f>=HYPERLINK("http://anyluxury.ru/shop/posuda/kruzhki/chashka-stackable-bolshaya-1280125/" , "12801.25 Чашка Stackable, большая")</f>
      </c>
      <c r="C25084" s="4" t="n">
        <v>283.00</v>
      </c>
      <c r="D25084" s="4"/>
    </row>
    <row collapsed="" customFormat="false" customHeight="1" hidden="" ht="14" outlineLevel="0" r="25085">
      <c r="A25085" s="3" t="inlineStr">
        <is>
          <t>24981</t>
        </is>
      </c>
      <c r="B25085" s="4" t="s">
        <f>=HYPERLINK("http://anyluxury.ru/shop/posuda/kruzhki/chashka-classic-malaya-1280280/" , "12802.80 Чашка Classic, малая")</f>
      </c>
      <c r="C25085" s="4" t="n">
        <v>372.00</v>
      </c>
      <c r="D25085" s="4"/>
    </row>
    <row collapsed="" customFormat="false" customHeight="1" hidden="" ht="14" outlineLevel="0" r="25086">
      <c r="A25086" s="3" t="inlineStr">
        <is>
          <t>24982</t>
        </is>
      </c>
      <c r="B25086" s="4" t="s">
        <f>=HYPERLINK("http://anyluxury.ru/shop/posuda/kruzhki/chashka-classic-srednyaya-1280216/" , "12802.16 Чашка Classic, средняя")</f>
      </c>
      <c r="C25086" s="4" t="n">
        <v>547.00</v>
      </c>
      <c r="D25086" s="4"/>
    </row>
    <row collapsed="" customFormat="false" customHeight="1" hidden="" ht="14" outlineLevel="0" r="25087">
      <c r="A25087" s="3" t="inlineStr">
        <is>
          <t>24983</t>
        </is>
      </c>
      <c r="B25087" s="4" t="s">
        <f>=HYPERLINK("http://anyluxury.ru/shop/posuda/kruzhki/chashka-classic-bolshaya-1280225/" , "12802.25 Чашка Classic, большая")</f>
      </c>
      <c r="C25087" s="4" t="n">
        <v>373.00</v>
      </c>
      <c r="D25087" s="4"/>
    </row>
    <row collapsed="" customFormat="false" customHeight="1" hidden="" ht="14" outlineLevel="0" r="25088">
      <c r="A25088" s="3" t="inlineStr">
        <is>
          <t>24984</t>
        </is>
      </c>
      <c r="B25088" s="4" t="s">
        <f>=HYPERLINK("http://anyluxury.ru/shop/posuda/kruzhki/chashka-mokko-1280325/" , "12803.25 Чашка Mokko")</f>
      </c>
      <c r="C25088" s="4" t="n">
        <v>268.00</v>
      </c>
      <c r="D25088" s="4"/>
    </row>
    <row collapsed="" customFormat="false" customHeight="1" hidden="" ht="14" outlineLevel="0" r="25089">
      <c r="A25089" s="3" t="inlineStr">
        <is>
          <t>24985</t>
        </is>
      </c>
      <c r="B25089" s="4" t="s">
        <f>=HYPERLINK("http://anyluxury.ru/shop/posuda/kruzhki/kruzhka-kurortnaya-1073960/" , "10739.60 Кружка «Курортная»")</f>
      </c>
      <c r="C25089" s="4" t="n">
        <v>773.00</v>
      </c>
      <c r="D25089" s="4"/>
    </row>
    <row collapsed="" customFormat="false" customHeight="1" hidden="" ht="14" outlineLevel="0" r="25090">
      <c r="A25090" s="3" t="inlineStr">
        <is>
          <t>24986</t>
        </is>
      </c>
      <c r="B25090" s="4" t="s">
        <f>=HYPERLINK("http://anyluxury.ru/shop/posuda/kruzhki/chashka-origo-1251700/" , "12517.00 Чашка Origo")</f>
      </c>
      <c r="C25090" s="4" t="n">
        <v>1858.00</v>
      </c>
      <c r="D25090" s="4"/>
    </row>
    <row collapsed="" customFormat="false" customHeight="1" hidden="" ht="14" outlineLevel="0" r="25091">
      <c r="A25091" s="3" t="inlineStr">
        <is>
          <t>24987</t>
        </is>
      </c>
      <c r="B25091" s="4" t="s">
        <f>=HYPERLINK("http://anyluxury.ru/shop/posuda/kruzhki/chashka-kofeynaya-taika-dlya-espresso-belaya-1252160/" , "12521.60 Чашка кофейная Taika для эспрессо, белая")</f>
      </c>
      <c r="C25091" s="4" t="n">
        <v>1236.00</v>
      </c>
      <c r="D25091" s="4"/>
    </row>
    <row collapsed="" customFormat="false" customHeight="1" hidden="" ht="14" outlineLevel="0" r="25092">
      <c r="A25092" s="3" t="inlineStr">
        <is>
          <t>24988</t>
        </is>
      </c>
      <c r="B25092" s="4" t="s">
        <f>=HYPERLINK("http://anyluxury.ru/shop/posuda/kruzhki/chashka-kofeynaya-taika-belaya-1252460/" , "12524.60 Чашка кофейная Taika, белая")</f>
      </c>
      <c r="C25092" s="4" t="n">
        <v>1595.00</v>
      </c>
      <c r="D25092" s="4"/>
    </row>
    <row collapsed="" customFormat="false" customHeight="1" hidden="" ht="14" outlineLevel="0" r="25093">
      <c r="A25093" s="3" t="inlineStr">
        <is>
          <t>24989</t>
        </is>
      </c>
      <c r="B25093" s="4" t="s">
        <f>=HYPERLINK("http://anyluxury.ru/shop/posuda/kruzhki/chashka-chaynaya-taika-belaya-1252560/" , "12525.60 Чашка чайная Taika, белая")</f>
      </c>
      <c r="C25093" s="4" t="n">
        <v>2330.00</v>
      </c>
      <c r="D25093" s="4"/>
    </row>
    <row collapsed="" customFormat="false" customHeight="1" hidden="" ht="14" outlineLevel="0" r="25094">
      <c r="A25094" s="3" t="inlineStr">
        <is>
          <t>24990</t>
        </is>
      </c>
      <c r="B25094" s="4" t="s">
        <f>=HYPERLINK("http://anyluxury.ru/shop/posuda/kruzhki/chashka-kofeynaya-taika-dlya-espresso-sinyaya-1252140/" , "12521.40 Чашка кофейная Taika для эспрессо, синяя")</f>
      </c>
      <c r="C25094" s="4" t="n">
        <v>1236.00</v>
      </c>
      <c r="D25094" s="4"/>
    </row>
    <row collapsed="" customFormat="false" customHeight="1" hidden="" ht="14" outlineLevel="0" r="25095">
      <c r="A25095" s="3" t="inlineStr">
        <is>
          <t>24991</t>
        </is>
      </c>
      <c r="B25095" s="4" t="s">
        <f>=HYPERLINK("http://anyluxury.ru/shop/posuda/kruzhki/chashka-kofeynaya-taika-sinyaya-1252440/" , "12524.40 Чашка кофейная Taika, синяя")</f>
      </c>
      <c r="C25095" s="4" t="n">
        <v>1595.00</v>
      </c>
      <c r="D25095" s="4"/>
    </row>
    <row collapsed="" customFormat="false" customHeight="1" hidden="" ht="14" outlineLevel="0" r="25096">
      <c r="A25096" s="3" t="inlineStr">
        <is>
          <t>24992</t>
        </is>
      </c>
      <c r="B25096" s="4" t="s">
        <f>=HYPERLINK("http://anyluxury.ru/shop/posuda/kruzhki/chashka-chaynaya-taika-sinyaya-1252540/" , "12525.40 Чашка чайная Taika, синяя")</f>
      </c>
      <c r="C25096" s="4" t="n">
        <v>2330.00</v>
      </c>
      <c r="D25096" s="4"/>
    </row>
    <row collapsed="" customFormat="false" customHeight="1" hidden="" ht="14" outlineLevel="0" r="25097">
      <c r="A25097" s="3" t="inlineStr">
        <is>
          <t>24993</t>
        </is>
      </c>
      <c r="B25097" s="4" t="s">
        <f>=HYPERLINK("http://anyluxury.ru/shop/posuda/kruzhki/chashka-kofeynaya-taika-chernaya-1252430/" , "12524.30 Чашка кофейная Taika, черная")</f>
      </c>
      <c r="C25097" s="4" t="n">
        <v>1595.00</v>
      </c>
      <c r="D25097" s="4"/>
    </row>
    <row collapsed="" customFormat="false" customHeight="1" hidden="" ht="14" outlineLevel="0" r="25098">
      <c r="A25098" s="3" t="inlineStr">
        <is>
          <t>24994</t>
        </is>
      </c>
      <c r="B25098" s="4" t="s">
        <f>=HYPERLINK("http://anyluxury.ru/shop/posuda/kruzhki/chashka-chaynaya-taika-chernaya-1252530/" , "12525.30 Чашка чайная Taika, черная")</f>
      </c>
      <c r="C25098" s="4" t="n">
        <v>2330.00</v>
      </c>
      <c r="D25098" s="4"/>
    </row>
    <row collapsed="" customFormat="false" customHeight="1" hidden="" ht="14" outlineLevel="0" r="25099">
      <c r="A25099" s="3" t="inlineStr">
        <is>
          <t>24995</t>
        </is>
      </c>
      <c r="B25099" s="4" t="s">
        <f>=HYPERLINK("http://anyluxury.ru/shop/posuda/kruzhki/kruzhka-teema-malaya-chernaya-1253430/" , "12534.30 Кружка Teema, малая, черная")</f>
      </c>
      <c r="C25099" s="4" t="n">
        <v>1164.00</v>
      </c>
      <c r="D25099" s="4"/>
    </row>
    <row collapsed="" customFormat="false" customHeight="1" hidden="" ht="14" outlineLevel="0" r="25100">
      <c r="A25100" s="3" t="inlineStr">
        <is>
          <t>24996</t>
        </is>
      </c>
      <c r="B25100" s="4" t="s">
        <f>=HYPERLINK("http://anyluxury.ru/shop/posuda/kruzhki/kruzhka-teema-bolshaya-chernaya-1253530/" , "12535.30 Кружка Teema, большая, черная")</f>
      </c>
      <c r="C25100" s="4" t="n">
        <v>1741.00</v>
      </c>
      <c r="D25100" s="4"/>
    </row>
    <row collapsed="" customFormat="false" customHeight="1" hidden="" ht="14" outlineLevel="0" r="25101">
      <c r="A25101" s="3" t="inlineStr">
        <is>
          <t>24997</t>
        </is>
      </c>
      <c r="B25101" s="4" t="s">
        <f>=HYPERLINK("http://anyluxury.ru/shop/posuda/kruzhki/kruzhka-teema-malaya-seraya-1253411/" , "12534.11 Кружка Teema, малая, серая")</f>
      </c>
      <c r="C25101" s="4" t="n">
        <v>1164.00</v>
      </c>
      <c r="D25101" s="4"/>
    </row>
    <row collapsed="" customFormat="false" customHeight="1" hidden="" ht="14" outlineLevel="0" r="25102">
      <c r="A25102" s="3" t="inlineStr">
        <is>
          <t>24998</t>
        </is>
      </c>
      <c r="B25102" s="4" t="s">
        <f>=HYPERLINK("http://anyluxury.ru/shop/posuda/kruzhki/kruzhka-promo-matovaya-oranzhevaya-344520/" , "3445.20 Кружка Promo матовая, оранжевая")</f>
      </c>
      <c r="C25102" s="4" t="n">
        <v>286.00</v>
      </c>
      <c r="D25102" s="4"/>
    </row>
    <row collapsed="" customFormat="false" customHeight="1" hidden="" ht="14" outlineLevel="0" r="25103">
      <c r="A25103" s="3" t="inlineStr">
        <is>
          <t>24999</t>
        </is>
      </c>
      <c r="B25103" s="4" t="s">
        <f>=HYPERLINK("http://anyluxury.ru/shop/posuda/kruzhki/kruzhka-promo-matovaya-temnozelenaya-344590/" , "3445.90 Кружка Promo матовая, темно-зеленая")</f>
      </c>
      <c r="C25103" s="4" t="n">
        <v>286.00</v>
      </c>
      <c r="D25103" s="4"/>
    </row>
    <row collapsed="" customFormat="false" customHeight="1" hidden="" ht="14" outlineLevel="0" r="25104">
      <c r="A25104" s="3" t="inlineStr">
        <is>
          <t>25000</t>
        </is>
      </c>
      <c r="B25104" s="4" t="s">
        <f>=HYPERLINK("http://anyluxury.ru/shop/posuda/kruzhki/banka-dlya-kokteyley-shake-it-baby-bez-upakovki-758201/" , "7582.01 Банка для коктейлей Shake It Baby, ver.2")</f>
      </c>
      <c r="C25104" s="4" t="n">
        <v>264.00</v>
      </c>
      <c r="D25104" s="4"/>
    </row>
    <row collapsed="" customFormat="false" customHeight="1" hidden="" ht="14" outlineLevel="0" r="25105">
      <c r="A25105" s="3" t="inlineStr">
        <is>
          <t>25001</t>
        </is>
      </c>
      <c r="B25105" s="4" t="s">
        <f>=HYPERLINK("http://anyluxury.ru/shop/posuda/kruzhki/kruzhka-hard-work-black-7054430/" , "70544.30 Кружка Hard Work Black, ver.1, черная")</f>
      </c>
      <c r="C25105" s="4" t="n">
        <v>1007.00</v>
      </c>
      <c r="D25105" s="4"/>
    </row>
    <row collapsed="" customFormat="false" customHeight="1" hidden="" ht="14" outlineLevel="0" r="25106">
      <c r="A25106" s="3" t="inlineStr">
        <is>
          <t>25002</t>
        </is>
      </c>
      <c r="B25106" s="4" t="s">
        <f>=HYPERLINK("http://anyluxury.ru/shop/posuda/kruzhki/kruzhka/" , "6509 Кружка")</f>
      </c>
      <c r="C25106" s="4" t="n">
        <v>380.00</v>
      </c>
      <c r="D25106" s="4"/>
    </row>
    <row collapsed="" customFormat="false" customHeight="1" hidden="" ht="14" outlineLevel="0" r="25107">
      <c r="A25107" s="3" t="inlineStr">
        <is>
          <t>25003</t>
        </is>
      </c>
      <c r="B25107" s="4" t="s">
        <f>=HYPERLINK("http://anyluxury.ru/shop/posuda/kruzhki/kruzhka-1/" , "PVC-2 Кружка")</f>
      </c>
      <c r="C25107" s="4" t="n">
        <v>288.00</v>
      </c>
      <c r="D25107" s="4"/>
    </row>
    <row collapsed="" customFormat="false" customHeight="1" hidden="" ht="14" outlineLevel="0" r="25108">
      <c r="A25108" s="3" t="inlineStr">
        <is>
          <t>25004</t>
        </is>
      </c>
      <c r="B25108" s="4" t="s">
        <f>=HYPERLINK("http://anyluxury.ru/shop/posuda/kruzhki/kruzhka-promo-sinyaya-453444/" , "4534.44 Кружка Promo, синяя")</f>
      </c>
      <c r="C25108" s="4" t="n">
        <v>233.00</v>
      </c>
      <c r="D25108" s="4"/>
    </row>
    <row collapsed="" customFormat="false" customHeight="1" hidden="" ht="14" outlineLevel="0" r="25109">
      <c r="A25109" s="3" t="inlineStr">
        <is>
          <t>25005</t>
        </is>
      </c>
      <c r="B25109" s="4" t="s">
        <f>=HYPERLINK("http://anyluxury.ru/shop/posuda/kruzhki/kruzhka-dacha-sinyaya-722440/" , "7224.40 Кружка Dacha, средняя, синяя")</f>
      </c>
      <c r="C25109" s="4" t="n">
        <v>250.00</v>
      </c>
      <c r="D25109" s="4"/>
    </row>
    <row collapsed="" customFormat="false" customHeight="1" hidden="" ht="14" outlineLevel="0" r="25110">
      <c r="A25110" s="3" t="inlineStr">
        <is>
          <t>25006</t>
        </is>
      </c>
      <c r="B25110" s="4" t="s">
        <f>=HYPERLINK("http://anyluxury.ru/shop/posuda/kruzhki/kruzhka-dacha-oranzhevaya-722420/" , "7224.20 Кружка Dacha, средняя, оранжевая")</f>
      </c>
      <c r="C25110" s="4" t="n">
        <v>250.00</v>
      </c>
      <c r="D25110" s="4"/>
    </row>
    <row collapsed="" customFormat="false" customHeight="1" hidden="" ht="14" outlineLevel="0" r="25111">
      <c r="A25111" s="3" t="inlineStr">
        <is>
          <t>25007</t>
        </is>
      </c>
      <c r="B25111" s="4" t="s">
        <f>=HYPERLINK("http://anyluxury.ru/shop/posuda/kruzhki/kruzhka-dacha-krasnaya-722450/" , "7224.50 Кружка Dacha, средняя, красная")</f>
      </c>
      <c r="C25111" s="4" t="n">
        <v>250.00</v>
      </c>
      <c r="D25111" s="4"/>
    </row>
    <row collapsed="" customFormat="false" customHeight="1" hidden="" ht="14" outlineLevel="0" r="25112">
      <c r="A25112" s="3" t="inlineStr">
        <is>
          <t>25008</t>
        </is>
      </c>
      <c r="B25112" s="4" t="s">
        <f>=HYPERLINK("http://anyluxury.ru/shop/posuda/kruzhki/kruzhka-new-bell-matovaya-belaya-s-chernim-6481130/" , "64811.30 Кружка New Bell матовая, белая с черным")</f>
      </c>
      <c r="C25112" s="4" t="n">
        <v>313.00</v>
      </c>
      <c r="D25112" s="4"/>
    </row>
    <row collapsed="" customFormat="false" customHeight="1" hidden="" ht="14" outlineLevel="0" r="25113">
      <c r="A25113" s="3" t="inlineStr">
        <is>
          <t>25009</t>
        </is>
      </c>
      <c r="B25113" s="4" t="s">
        <f>=HYPERLINK("http://anyluxury.ru/shop/posuda/kruzhki/kruzhka-modern-bell-matovaya-belaya-1073460/" , "10734.60 Кружка Modern Bell, матовая, белая")</f>
      </c>
      <c r="C25113" s="4" t="n">
        <v>303.00</v>
      </c>
      <c r="D25113" s="4"/>
    </row>
    <row collapsed="" customFormat="false" customHeight="1" hidden="" ht="14" outlineLevel="0" r="25114">
      <c r="A25114" s="3" t="inlineStr">
        <is>
          <t>25010</t>
        </is>
      </c>
      <c r="B25114" s="4" t="s">
        <f>=HYPERLINK("http://anyluxury.ru/shop/posuda/kruzhki/kruzhka-modern-bell-matovaya-sinyaya-1073440/" , "10734.40 Кружка Modern Bell, матовая, синяя")</f>
      </c>
      <c r="C25114" s="4" t="n">
        <v>303.00</v>
      </c>
      <c r="D25114" s="4"/>
    </row>
    <row collapsed="" customFormat="false" customHeight="1" hidden="" ht="14" outlineLevel="0" r="25115">
      <c r="A25115" s="3" t="inlineStr">
        <is>
          <t>25011</t>
        </is>
      </c>
      <c r="B25115" s="4" t="s">
        <f>=HYPERLINK("http://anyluxury.ru/shop/posuda/kruzhki/kruzhka-modern-bell-matovaya-krasnaya-1073450/" , "10734.50 Кружка Modern Bell, матовая, красная")</f>
      </c>
      <c r="C25115" s="4" t="n">
        <v>303.00</v>
      </c>
      <c r="D25115" s="4"/>
    </row>
    <row collapsed="" customFormat="false" customHeight="1" hidden="" ht="14" outlineLevel="0" r="25116">
      <c r="A25116" s="3" t="inlineStr">
        <is>
          <t>25012</t>
        </is>
      </c>
      <c r="B25116" s="4" t="s">
        <f>=HYPERLINK("http://anyluxury.ru/shop/posuda/kruzhki/kruzhka-modern-bell-matovaya-chernaya-1073430/" , "10734.30 Кружка Modern Bell, матовая, черная")</f>
      </c>
      <c r="C25116" s="4" t="n">
        <v>303.00</v>
      </c>
      <c r="D25116" s="4"/>
    </row>
    <row collapsed="" customFormat="false" customHeight="1" hidden="" ht="14" outlineLevel="0" r="25117">
      <c r="A25117" s="3" t="inlineStr">
        <is>
          <t>25013</t>
        </is>
      </c>
      <c r="B25117" s="4" t="s">
        <f>=HYPERLINK("http://anyluxury.ru/shop/posuda/kruzhki/kruzhka-modern-bell-matovaya-serosinyaya-1073413/" , "10734.13 Кружка Modern Bell, матовая, серо-синяя")</f>
      </c>
      <c r="C25117" s="4" t="n">
        <v>303.00</v>
      </c>
      <c r="D25117" s="4"/>
    </row>
    <row collapsed="" customFormat="false" customHeight="1" hidden="" ht="14" outlineLevel="0" r="25118">
      <c r="A25118" s="3" t="inlineStr">
        <is>
          <t>25014</t>
        </is>
      </c>
      <c r="B25118" s="4" t="s">
        <f>=HYPERLINK("http://anyluxury.ru/shop/posuda/kruzhki/kruzhka-modern-bell-matovaya-seraya-1073410/" , "10734.10 Кружка Modern Bell, матовая, серая")</f>
      </c>
      <c r="C25118" s="4" t="n">
        <v>303.00</v>
      </c>
      <c r="D25118" s="4"/>
    </row>
    <row collapsed="" customFormat="false" customHeight="1" hidden="" ht="14" outlineLevel="0" r="25119">
      <c r="A25119" s="3" t="inlineStr">
        <is>
          <t>25015</t>
        </is>
      </c>
      <c r="B25119" s="4" t="s">
        <f>=HYPERLINK("http://anyluxury.ru/shop/posuda/kruzhki/kruzhka-bright-tulip-matovaya-chernaya-1073530/" , "10735.30 Кружка Bright Tulip, матовая, черная")</f>
      </c>
      <c r="C25119" s="4" t="n">
        <v>362.00</v>
      </c>
      <c r="D25119" s="4"/>
    </row>
    <row collapsed="" customFormat="false" customHeight="1" hidden="" ht="14" outlineLevel="0" r="25120">
      <c r="A25120" s="3" t="inlineStr">
        <is>
          <t>25016</t>
        </is>
      </c>
      <c r="B25120" s="4" t="s">
        <f>=HYPERLINK("http://anyluxury.ru/shop/posuda/kruzhki/kruzhka-bright-tulip-matovaya-chernaya-s-sinim-1073534/" , "10735.34 Кружка Bright Tulip, матовая, черная с синим")</f>
      </c>
      <c r="C25120" s="4" t="n">
        <v>361.00</v>
      </c>
      <c r="D25120" s="4"/>
    </row>
    <row collapsed="" customFormat="false" customHeight="1" hidden="" ht="14" outlineLevel="0" r="25121">
      <c r="A25121" s="3" t="inlineStr">
        <is>
          <t>25017</t>
        </is>
      </c>
      <c r="B25121" s="4" t="s">
        <f>=HYPERLINK("http://anyluxury.ru/shop/posuda/kruzhki/kruzhka-bright-tulip-matovaya-chernaya-s-krasnim-1073535/" , "10735.35 Кружка Bright Tulip, матовая, черная с красным")</f>
      </c>
      <c r="C25121" s="4" t="n">
        <v>361.00</v>
      </c>
      <c r="D25121" s="4"/>
    </row>
    <row collapsed="" customFormat="false" customHeight="1" hidden="" ht="14" outlineLevel="0" r="25122">
      <c r="A25122" s="3" t="inlineStr">
        <is>
          <t>25018</t>
        </is>
      </c>
      <c r="B25122" s="4" t="s">
        <f>=HYPERLINK("http://anyluxury.ru/shop/posuda/kruzhki/kruzhka-bright-tulip-matovaya-chernaya-s-oranzhevim-1073532/" , "10735.32 Кружка Bright Tulip, матовая, черная с оранжевым")</f>
      </c>
      <c r="C25122" s="4" t="n">
        <v>361.00</v>
      </c>
      <c r="D25122" s="4"/>
    </row>
    <row collapsed="" customFormat="false" customHeight="1" hidden="" ht="14" outlineLevel="0" r="25123">
      <c r="A25123" s="3" t="inlineStr">
        <is>
          <t>25019</t>
        </is>
      </c>
      <c r="B25123" s="4" t="s">
        <f>=HYPERLINK("http://anyluxury.ru/shop/posuda/kruzhki/kruzhka-bright-tulip-matovaya-krasnaya-s-zheltim-1073558/" , "10735.58 Кружка Bright Tulip, матовая, красная с желтым")</f>
      </c>
      <c r="C25123" s="4" t="n">
        <v>361.00</v>
      </c>
      <c r="D25123" s="4"/>
    </row>
    <row collapsed="" customFormat="false" customHeight="1" hidden="" ht="14" outlineLevel="0" r="25124">
      <c r="A25124" s="3" t="inlineStr">
        <is>
          <t>25020</t>
        </is>
      </c>
      <c r="B25124" s="4" t="s">
        <f>=HYPERLINK("http://anyluxury.ru/shop/posuda/kruzhki/kruzhka-vse-svyazano-bolshaya-1195260/" , "11952.60 Кружка «Все связано», большая")</f>
      </c>
      <c r="C25124" s="4" t="n">
        <v>845.10</v>
      </c>
      <c r="D25124" s="4"/>
    </row>
    <row collapsed="" customFormat="false" customHeight="1" hidden="" ht="14" outlineLevel="0" r="25125">
      <c r="A25125" s="3" t="inlineStr">
        <is>
          <t>25021</t>
        </is>
      </c>
      <c r="B25125" s="4" t="s">
        <f>=HYPERLINK("http://anyluxury.ru/shop/posuda/kruzhki/kruzhka-vse-svyazano-malaya-1195360/" , "11953.60 Кружка «Все связано», малая")</f>
      </c>
      <c r="C25125" s="4" t="n">
        <v>718.61</v>
      </c>
      <c r="D25125" s="4"/>
    </row>
    <row collapsed="" customFormat="false" customHeight="1" hidden="" ht="14" outlineLevel="0" r="25126">
      <c r="A25126" s="3" t="inlineStr">
        <is>
          <t>25022</t>
        </is>
      </c>
      <c r="B25126" s="4" t="s">
        <f>=HYPERLINK("http://anyluxury.ru/shop/posuda/kruzhki/kruzhka-capitonne-1195460/" , "11954.60 Кружка Capitonne")</f>
      </c>
      <c r="C25126" s="4" t="n">
        <v>589.10</v>
      </c>
      <c r="D25126" s="4"/>
    </row>
    <row collapsed="" customFormat="false" customHeight="1" hidden="" ht="14" outlineLevel="0" r="25127">
      <c r="A25127" s="3" t="inlineStr">
        <is>
          <t>25023</t>
        </is>
      </c>
      <c r="B25127" s="4" t="s">
        <f>=HYPERLINK("http://anyluxury.ru/shop/posuda/kruzhki/kruzhkahameleon-on-display-krasnaya-1086950/" , "10869.50 Кружка-хамелеон On Display, матовая, черная с красным")</f>
      </c>
      <c r="C25127" s="4" t="n">
        <v>370.00</v>
      </c>
      <c r="D25127" s="4"/>
    </row>
    <row collapsed="" customFormat="false" customHeight="1" hidden="" ht="14" outlineLevel="0" r="25128">
      <c r="A25128" s="3" t="inlineStr">
        <is>
          <t>25024</t>
        </is>
      </c>
      <c r="B25128" s="4" t="s">
        <f>=HYPERLINK("http://anyluxury.ru/shop/posuda/kruzhki/kruzhkahameleon-on-display-chernaya-1086930/" , "10869.30 Кружка-хамелеон On Display, матовая, черная")</f>
      </c>
      <c r="C25128" s="4" t="n">
        <v>370.00</v>
      </c>
      <c r="D25128" s="4"/>
    </row>
    <row collapsed="" customFormat="false" customHeight="1" hidden="" ht="14" outlineLevel="0" r="25129">
      <c r="A25129" s="3" t="inlineStr">
        <is>
          <t>25025</t>
        </is>
      </c>
      <c r="B25129" s="4" t="s">
        <f>=HYPERLINK("http://anyluxury.ru/shop/posuda/kruzhki/kruzhkahameleon-on-display-zelenaya-1086990/" , "10869.90 Кружка-хамелеон On Display, матовая, черная с зеленым")</f>
      </c>
      <c r="C25129" s="4" t="n">
        <v>370.00</v>
      </c>
      <c r="D25129" s="4"/>
    </row>
    <row collapsed="" customFormat="false" customHeight="1" hidden="" ht="14" outlineLevel="0" r="25130">
      <c r="A25130" s="3" t="inlineStr">
        <is>
          <t>25026</t>
        </is>
      </c>
      <c r="B25130" s="4" t="s">
        <f>=HYPERLINK("http://anyluxury.ru/shop/posuda/kruzhki/kruzhkahameleon-on-display-zheltaya-1086980/" , "10869.80 Кружка-хамелеон On Display, матовая, черная с желтым")</f>
      </c>
      <c r="C25130" s="4" t="n">
        <v>370.00</v>
      </c>
      <c r="D25130" s="4"/>
    </row>
    <row collapsed="" customFormat="false" customHeight="1" hidden="" ht="14" outlineLevel="0" r="25131">
      <c r="A25131" s="3" t="inlineStr">
        <is>
          <t>25027</t>
        </is>
      </c>
      <c r="B25131" s="4" t="s">
        <f>=HYPERLINK("http://anyluxury.ru/shop/posuda/kruzhki/kruzhkahameleon-on-display-oranzhevaya-1086920/" , "10869.20 Кружка-хамелеон On Display, матовая, черная с оранжевым")</f>
      </c>
      <c r="C25131" s="4" t="n">
        <v>370.00</v>
      </c>
      <c r="D25131" s="4"/>
    </row>
    <row collapsed="" customFormat="false" customHeight="1" hidden="" ht="14" outlineLevel="0" r="25132">
      <c r="A25132" s="3" t="inlineStr">
        <is>
          <t>25028</t>
        </is>
      </c>
      <c r="B25132" s="4" t="s">
        <f>=HYPERLINK("http://anyluxury.ru/shop/posuda/kruzhki/kruzhkahameleon-on-display-sinyaya-1086940/" , "10869.40 Кружка-хамелеон On Display, матовая, черная с синим")</f>
      </c>
      <c r="C25132" s="4" t="n">
        <v>370.00</v>
      </c>
      <c r="D25132" s="4"/>
    </row>
    <row collapsed="" customFormat="false" customHeight="1" hidden="" ht="14" outlineLevel="0" r="25133">
      <c r="A25133" s="3" t="inlineStr">
        <is>
          <t>25029</t>
        </is>
      </c>
      <c r="B25133" s="4" t="s">
        <f>=HYPERLINK("http://anyluxury.ru/shop/posuda/kruzhki/kruzhka-tea-time-1092460/" , "10924.60 Кружка Tea Time")</f>
      </c>
      <c r="C25133" s="4" t="n">
        <v>226.00</v>
      </c>
      <c r="D25133" s="4"/>
    </row>
    <row collapsed="" customFormat="false" customHeight="1" hidden="" ht="14" outlineLevel="0" r="25134">
      <c r="A25134" s="3" t="inlineStr">
        <is>
          <t>25030</t>
        </is>
      </c>
      <c r="B25134" s="4" t="s">
        <f>=HYPERLINK("http://anyluxury.ru/shop/posuda/kruzhki/kruzhka-legio-nova-belaya-1483260/" , "14832.60 Кружка Legio Nova, белая")</f>
      </c>
      <c r="C25134" s="4" t="n">
        <v>1990.00</v>
      </c>
      <c r="D25134" s="4"/>
    </row>
    <row collapsed="" customFormat="false" customHeight="1" hidden="" ht="14" outlineLevel="0" r="25135">
      <c r="A25135" s="3" t="inlineStr">
        <is>
          <t>25031</t>
        </is>
      </c>
      <c r="B25135" s="4" t="s">
        <f>=HYPERLINK("http://anyluxury.ru/shop/posuda/kruzhki/chashka-legio-belaya-1499360/" , "14993.60 Чашка Legio, белая")</f>
      </c>
      <c r="C25135" s="4" t="n">
        <v>1790.00</v>
      </c>
      <c r="D25135" s="4"/>
    </row>
    <row collapsed="" customFormat="false" customHeight="1" hidden="" ht="14" outlineLevel="0" r="25136">
      <c r="A25136" s="3" t="inlineStr">
        <is>
          <t>25032</t>
        </is>
      </c>
      <c r="B25136" s="4" t="s">
        <f>=HYPERLINK("http://anyluxury.ru/shop/posuda/kruzhki/chashka-legio-nova-malaya-belaya-1499460/" , "14994.60 Чашка Legio Nova, малая, белая")</f>
      </c>
      <c r="C25136" s="4" t="n">
        <v>1450.00</v>
      </c>
      <c r="D25136" s="4"/>
    </row>
    <row collapsed="" customFormat="false" customHeight="1" hidden="" ht="14" outlineLevel="0" r="25137">
      <c r="A25137" s="3" t="inlineStr">
        <is>
          <t>25033</t>
        </is>
      </c>
      <c r="B25137" s="4" t="s">
        <f>=HYPERLINK("http://anyluxury.ru/shop/posuda/kruzhki/chashka-legio-nova-bolshaya-belaya-1499560/" , "14995.60 Чашка Legio Nova, большая, белая")</f>
      </c>
      <c r="C25137" s="4" t="n">
        <v>1450.00</v>
      </c>
      <c r="D25137" s="4"/>
    </row>
    <row collapsed="" customFormat="false" customHeight="1" hidden="" ht="14" outlineLevel="0" r="25138">
      <c r="A25138" s="3" t="inlineStr">
        <is>
          <t>25034</t>
        </is>
      </c>
      <c r="B25138" s="4" t="s">
        <f>=HYPERLINK("http://anyluxury.ru/shop/posuda/kruzhki/chashka-dlya-kapuchino-legio-belaya-1499860/" , "14998.60 Чашка для капучино Legio, белая")</f>
      </c>
      <c r="C25138" s="4" t="n">
        <v>1450.00</v>
      </c>
      <c r="D25138" s="4"/>
    </row>
    <row collapsed="" customFormat="false" customHeight="1" hidden="" ht="14" outlineLevel="0" r="25139">
      <c r="A25139" s="3" t="inlineStr">
        <is>
          <t>25035</t>
        </is>
      </c>
      <c r="B25139" s="4" t="s">
        <f>=HYPERLINK("http://anyluxury.ru/shop/posuda/kruzhki/chashka-kofeynaya-legio-belaya-1499960/" , "14999.60 Чашка кофейная Legio, белая")</f>
      </c>
      <c r="C25139" s="4" t="n">
        <v>1150.00</v>
      </c>
      <c r="D25139" s="4"/>
    </row>
    <row collapsed="" customFormat="false" customHeight="1" hidden="" ht="14" outlineLevel="0" r="25140">
      <c r="A25140" s="3" t="inlineStr">
        <is>
          <t>25036</t>
        </is>
      </c>
      <c r="B25140" s="4" t="s">
        <f>=HYPERLINK("http://anyluxury.ru/shop/posuda/kruzhki/nabor-stakanov-latte-tumbler-bezheviy-1500000/" , "15000.00 Набор стаканов Latte Tumbler, бежевый")</f>
      </c>
      <c r="C25140" s="4" t="n">
        <v>2850.00</v>
      </c>
      <c r="D25140" s="4"/>
    </row>
    <row collapsed="" customFormat="false" customHeight="1" hidden="" ht="14" outlineLevel="0" r="25141">
      <c r="A25141" s="3" t="inlineStr">
        <is>
          <t>25037</t>
        </is>
      </c>
      <c r="B25141" s="4" t="s">
        <f>=HYPERLINK("http://anyluxury.ru/shop/posuda/kruzhki/nabor-stakanov-latte-tumbler-biryuzoviy-1500044/" , "15000.44 Набор стаканов Latte Tumbler, бирюзовый")</f>
      </c>
      <c r="C25141" s="4" t="n">
        <v>2850.00</v>
      </c>
      <c r="D25141" s="4"/>
    </row>
    <row collapsed="" customFormat="false" customHeight="1" hidden="" ht="14" outlineLevel="0" r="25142">
      <c r="A25142" s="3" t="inlineStr">
        <is>
          <t>25038</t>
        </is>
      </c>
      <c r="B25142" s="4" t="s">
        <f>=HYPERLINK("http://anyluxury.ru/shop/posuda/kruzhki/nabor-stakanov-latte-tumbler-goluboy-1500014/" , "15000.14 Набор стаканов Latte Tumbler, голубой")</f>
      </c>
      <c r="C25142" s="4" t="n">
        <v>3300.00</v>
      </c>
      <c r="D25142" s="4"/>
    </row>
    <row collapsed="" customFormat="false" customHeight="1" hidden="" ht="14" outlineLevel="0" r="25143">
      <c r="A25143" s="3" t="inlineStr">
        <is>
          <t>25039</t>
        </is>
      </c>
      <c r="B25143" s="4" t="s">
        <f>=HYPERLINK("http://anyluxury.ru/shop/posuda/kruzhki/nabor-stakanov-latte-tumbler-svetlooranzheviy-1500021/" , "15000.21 Набор стаканов Latte Tumbler, светло-оранжевый")</f>
      </c>
      <c r="C25143" s="4" t="n">
        <v>3100.00</v>
      </c>
      <c r="D25143" s="4"/>
    </row>
    <row collapsed="" customFormat="false" customHeight="1" hidden="" ht="14" outlineLevel="0" r="25144">
      <c r="A25144" s="3" t="inlineStr">
        <is>
          <t>25040</t>
        </is>
      </c>
      <c r="B25144" s="4" t="s">
        <f>=HYPERLINK("http://anyluxury.ru/shop/posuda/kruzhki/nabor-stakanov-latte-tumbler-seriy-1500011/" , "15000.11 Набор стаканов Latte Tumbler, серый")</f>
      </c>
      <c r="C25144" s="4" t="n">
        <v>3300.00</v>
      </c>
      <c r="D25144" s="4"/>
    </row>
    <row collapsed="" customFormat="false" customHeight="1" hidden="" ht="14" outlineLevel="0" r="25145">
      <c r="A25145" s="3" t="inlineStr">
        <is>
          <t>25041</t>
        </is>
      </c>
      <c r="B25145" s="4" t="s">
        <f>=HYPERLINK("http://anyluxury.ru/shop/posuda/kruzhki/nabor-stakanov-lungo-tumbler-biryuzoviy-1500844/" , "15008.44 Набор стаканов Lungo Tumbler, бирюзовый")</f>
      </c>
      <c r="C25145" s="4" t="n">
        <v>1900.00</v>
      </c>
      <c r="D25145" s="4"/>
    </row>
    <row collapsed="" customFormat="false" customHeight="1" hidden="" ht="14" outlineLevel="0" r="25146">
      <c r="A25146" s="3" t="inlineStr">
        <is>
          <t>25042</t>
        </is>
      </c>
      <c r="B25146" s="4" t="s">
        <f>=HYPERLINK("http://anyluxury.ru/shop/posuda/kruzhki/nabor-stakanov-lungo-tumbler-goluboy-1500814/" , "15008.14 Набор стаканов Lungo Tumbler, голубой")</f>
      </c>
      <c r="C25146" s="4" t="n">
        <v>1900.00</v>
      </c>
      <c r="D25146" s="4"/>
    </row>
    <row collapsed="" customFormat="false" customHeight="1" hidden="" ht="14" outlineLevel="0" r="25147">
      <c r="A25147" s="3" t="inlineStr">
        <is>
          <t>25043</t>
        </is>
      </c>
      <c r="B25147" s="4" t="s">
        <f>=HYPERLINK("http://anyluxury.ru/shop/posuda/kruzhki/nabor-stakanov-lungo-tumbler-svetlooranzheviy-1500821/" , "15008.21 Набор стаканов Lungo Tumbler, светло-оранжевый")</f>
      </c>
      <c r="C25147" s="4" t="n">
        <v>1900.00</v>
      </c>
      <c r="D25147" s="4"/>
    </row>
    <row collapsed="" customFormat="false" customHeight="1" hidden="" ht="14" outlineLevel="0" r="25148">
      <c r="A25148" s="3" t="inlineStr">
        <is>
          <t>25044</t>
        </is>
      </c>
      <c r="B25148" s="4" t="s">
        <f>=HYPERLINK("http://anyluxury.ru/shop/posuda/kruzhki/nabor-stakanov-lungo-tumbler-cherniy-1500830/" , "15008.30 Набор из 2 стаканов Lungo Tumbler, черный")</f>
      </c>
      <c r="C25148" s="4" t="n">
        <v>2850.00</v>
      </c>
      <c r="D25148" s="4"/>
    </row>
    <row collapsed="" customFormat="false" customHeight="1" hidden="" ht="14" outlineLevel="0" r="25149">
      <c r="A25149" s="3" t="inlineStr">
        <is>
          <t>25045</t>
        </is>
      </c>
      <c r="B25149" s="4" t="s">
        <f>=HYPERLINK("http://anyluxury.ru/shop/posuda/kruzhki/nabor-stakanov-espresso-tumbler-biryuzoviy-1500944/" , "15009.44 Набор стаканов Espresso Tumbler, бирюзовый")</f>
      </c>
      <c r="C25149" s="4" t="n">
        <v>1450.00</v>
      </c>
      <c r="D25149" s="4"/>
    </row>
    <row collapsed="" customFormat="false" customHeight="1" hidden="" ht="14" outlineLevel="0" r="25150">
      <c r="A25150" s="3" t="inlineStr">
        <is>
          <t>25046</t>
        </is>
      </c>
      <c r="B25150" s="4" t="s">
        <f>=HYPERLINK("http://anyluxury.ru/shop/posuda/kruzhki/nabor-stakanov-espresso-tumbler-goluboy-1500914/" , "15009.14 Набор из 2 стаканов Espresso Tumbler, голубой")</f>
      </c>
      <c r="C25150" s="4" t="n">
        <v>1590.00</v>
      </c>
      <c r="D25150" s="4"/>
    </row>
    <row collapsed="" customFormat="false" customHeight="1" hidden="" ht="14" outlineLevel="0" r="25151">
      <c r="A25151" s="3" t="inlineStr">
        <is>
          <t>25047</t>
        </is>
      </c>
      <c r="B25151" s="4" t="s">
        <f>=HYPERLINK("http://anyluxury.ru/shop/posuda/kruzhki/nabor-stakanov-espresso-tumbler-svetlooranzheviy-1500921/" , "15009.21 Набор стаканов Espresso Tumbler, светло-оранжевый")</f>
      </c>
      <c r="C25151" s="4" t="n">
        <v>1590.00</v>
      </c>
      <c r="D25151" s="4"/>
    </row>
    <row collapsed="" customFormat="false" customHeight="1" hidden="" ht="14" outlineLevel="0" r="25152">
      <c r="A25152" s="3" t="inlineStr">
        <is>
          <t>25048</t>
        </is>
      </c>
      <c r="B25152" s="4" t="s">
        <f>=HYPERLINK("http://anyluxury.ru/shop/posuda/kruzhki/nabor-stakanov-espresso-tumbler-seriy-1500911/" , "15009.11 Набор стаканов Espresso Tumbler, серый")</f>
      </c>
      <c r="C25152" s="4" t="n">
        <v>1590.00</v>
      </c>
      <c r="D25152" s="4"/>
    </row>
    <row collapsed="" customFormat="false" customHeight="1" hidden="" ht="14" outlineLevel="0" r="25153">
      <c r="A25153" s="3" t="inlineStr">
        <is>
          <t>25049</t>
        </is>
      </c>
      <c r="B25153" s="4" t="s">
        <f>=HYPERLINK("http://anyluxury.ru/shop/posuda/kruzhki/nabor-stakanov-espresso-tumbler-cherniy-1500930/" , "15009.30 Набор из 2 стаканов Espresso Tumbler, черный")</f>
      </c>
      <c r="C25153" s="4" t="n">
        <v>1650.00</v>
      </c>
      <c r="D25153" s="4"/>
    </row>
    <row collapsed="" customFormat="false" customHeight="1" hidden="" ht="14" outlineLevel="0" r="25154">
      <c r="A25154" s="3" t="inlineStr">
        <is>
          <t>25050</t>
        </is>
      </c>
      <c r="B25154" s="4" t="s">
        <f>=HYPERLINK("http://anyluxury.ru/shop/posuda/kruzhki/kruzhka-sippy-c-pokritiem-softtach-zheltaya-1104480/" , "11044.80 Кружка Sippy c покрытием софт-тач, желтая")</f>
      </c>
      <c r="C25154" s="4" t="n">
        <v>260.00</v>
      </c>
      <c r="D25154" s="4"/>
    </row>
    <row collapsed="" customFormat="false" customHeight="1" hidden="" ht="14" outlineLevel="0" r="25155">
      <c r="A25155" s="3" t="inlineStr">
        <is>
          <t>25051</t>
        </is>
      </c>
      <c r="B25155" s="4" t="s">
        <f>=HYPERLINK("http://anyluxury.ru/shop/posuda/kruzhki/chashka-fusion-sinyaya-1291640/" , "12916.40 Чашка Fusion, синяя")</f>
      </c>
      <c r="C25155" s="4" t="n">
        <v>452.00</v>
      </c>
      <c r="D25155" s="4"/>
    </row>
    <row collapsed="" customFormat="false" customHeight="1" hidden="" ht="14" outlineLevel="0" r="25156">
      <c r="A25156" s="3" t="inlineStr">
        <is>
          <t>25052</t>
        </is>
      </c>
      <c r="B25156" s="4" t="s">
        <f>=HYPERLINK("http://anyluxury.ru/shop/posuda/kruzhki/chashka-fusion-krasnaya-1291650/" , "12916.50 Чашка Fusion, красная")</f>
      </c>
      <c r="C25156" s="4" t="n">
        <v>452.00</v>
      </c>
      <c r="D25156" s="4"/>
    </row>
    <row collapsed="" customFormat="false" customHeight="1" hidden="" ht="14" outlineLevel="0" r="25157">
      <c r="A25157" s="3" t="inlineStr">
        <is>
          <t>25053</t>
        </is>
      </c>
      <c r="B25157" s="4" t="s">
        <f>=HYPERLINK("http://anyluxury.ru/shop/posuda/kruzhki/chashka-fusion-chernaya-1291630/" , "12916.30 Чашка Fusion, черная")</f>
      </c>
      <c r="C25157" s="4" t="n">
        <v>452.00</v>
      </c>
      <c r="D25157" s="4"/>
    </row>
    <row collapsed="" customFormat="false" customHeight="1" hidden="" ht="14" outlineLevel="0" r="25158">
      <c r="A25158" s="3" t="inlineStr">
        <is>
          <t>25054</t>
        </is>
      </c>
      <c r="B25158" s="4" t="s">
        <f>=HYPERLINK("http://anyluxury.ru/shop/posuda/kruzhki/chashka-fusion-svetloseraya-1291610/" , "12916.10 Чашка Fusion, светло-серая")</f>
      </c>
      <c r="C25158" s="4" t="n">
        <v>452.00</v>
      </c>
      <c r="D25158" s="4"/>
    </row>
    <row collapsed="" customFormat="false" customHeight="1" hidden="" ht="14" outlineLevel="0" r="25159">
      <c r="A25159" s="3" t="inlineStr">
        <is>
          <t>25055</t>
        </is>
      </c>
      <c r="B25159" s="4" t="s">
        <f>=HYPERLINK("http://anyluxury.ru/shop/posuda/kruzhki/chashka-jumbo-matovaya-belaya-1291760/" , "12917.60 Чашка Jumbo, матовая, белая")</f>
      </c>
      <c r="C25159" s="4" t="n">
        <v>418.00</v>
      </c>
      <c r="D25159" s="4"/>
    </row>
    <row collapsed="" customFormat="false" customHeight="1" hidden="" ht="14" outlineLevel="0" r="25160">
      <c r="A25160" s="3" t="inlineStr">
        <is>
          <t>25056</t>
        </is>
      </c>
      <c r="B25160" s="4" t="s">
        <f>=HYPERLINK("http://anyluxury.ru/shop/posuda/kruzhki/chashka-jumbo-matovaya-sinyaya-1291740/" , "12917.40 Чашка Jumbo, матовая, темно-синяя")</f>
      </c>
      <c r="C25160" s="4" t="n">
        <v>418.00</v>
      </c>
      <c r="D25160" s="4"/>
    </row>
    <row collapsed="" customFormat="false" customHeight="1" hidden="" ht="14" outlineLevel="0" r="25161">
      <c r="A25161" s="3" t="inlineStr">
        <is>
          <t>25057</t>
        </is>
      </c>
      <c r="B25161" s="4" t="s">
        <f>=HYPERLINK("http://anyluxury.ru/shop/posuda/kruzhki/chashka-jumbo-matovaya-chernaya-1291730/" , "12917.30 Чашка Jumbo, матовая, черная")</f>
      </c>
      <c r="C25161" s="4" t="n">
        <v>418.00</v>
      </c>
      <c r="D25161" s="4"/>
    </row>
    <row collapsed="" customFormat="false" customHeight="1" hidden="" ht="14" outlineLevel="0" r="25162">
      <c r="A25162" s="3" t="inlineStr">
        <is>
          <t>25058</t>
        </is>
      </c>
      <c r="B25162" s="4" t="s">
        <f>=HYPERLINK("http://anyluxury.ru/shop/posuda/kruzhki/kruzhka-bird-love-belaya-1346601/" , "13466.01 Кружка Bird Love, белая")</f>
      </c>
      <c r="C25162" s="4" t="n">
        <v>520.00</v>
      </c>
      <c r="D25162" s="4"/>
    </row>
    <row collapsed="" customFormat="false" customHeight="1" hidden="" ht="14" outlineLevel="0" r="25163">
      <c r="A25163" s="3" t="inlineStr">
        <is>
          <t>25059</t>
        </is>
      </c>
      <c r="B25163" s="4" t="s">
        <f>=HYPERLINK("http://anyluxury.ru/shop/posuda/kruzhki/kruzhka-dad-belaya-1346603/" , "13466.03 Кружка Dad, белая")</f>
      </c>
      <c r="C25163" s="4" t="n">
        <v>570.00</v>
      </c>
      <c r="D25163" s="4"/>
    </row>
    <row collapsed="" customFormat="false" customHeight="1" hidden="" ht="14" outlineLevel="0" r="25164">
      <c r="A25164" s="3" t="inlineStr">
        <is>
          <t>25060</t>
        </is>
      </c>
      <c r="B25164" s="4" t="s">
        <f>=HYPERLINK("http://anyluxury.ru/shop/posuda/kruzhki/kruzhka-love-belaya-1346604/" , "13466.04 Кружка Love, белая")</f>
      </c>
      <c r="C25164" s="4" t="n">
        <v>570.00</v>
      </c>
      <c r="D25164" s="4"/>
    </row>
    <row collapsed="" customFormat="false" customHeight="1" hidden="" ht="14" outlineLevel="0" r="25165">
      <c r="A25165" s="3" t="inlineStr">
        <is>
          <t>25061</t>
        </is>
      </c>
      <c r="B25165" s="4" t="s">
        <f>=HYPERLINK("http://anyluxury.ru/shop/posuda/kruzhki/kruzhka-you-are-my-hero-belaya-1346605/" , "13466.05 Кружка You Аre My Hero, белая")</f>
      </c>
      <c r="C25165" s="4" t="n">
        <v>570.00</v>
      </c>
      <c r="D25165" s="4"/>
    </row>
    <row collapsed="" customFormat="false" customHeight="1" hidden="" ht="14" outlineLevel="0" r="25166">
      <c r="A25166" s="3" t="inlineStr">
        <is>
          <t>25062</t>
        </is>
      </c>
      <c r="B25166" s="4" t="s">
        <f>=HYPERLINK("http://anyluxury.ru/shop/posuda/kruzhki/kruzhka-you-are-so-freaking-hot-belaya-1346606/" , "13466.06 Кружка You Are So Freaking Hot, белая")</f>
      </c>
      <c r="C25166" s="4" t="n">
        <v>570.00</v>
      </c>
      <c r="D25166" s="4"/>
    </row>
    <row collapsed="" customFormat="false" customHeight="1" hidden="" ht="14" outlineLevel="0" r="25167">
      <c r="A25167" s="3" t="inlineStr">
        <is>
          <t>25063</t>
        </is>
      </c>
      <c r="B25167" s="4" t="s">
        <f>=HYPERLINK("http://anyluxury.ru/shop/posuda/kruzhki/kruzhka-hot-belaya-1346607/" , "13466.07 Кружка Hot, белая")</f>
      </c>
      <c r="C25167" s="4" t="n">
        <v>570.00</v>
      </c>
      <c r="D25167" s="4"/>
    </row>
    <row collapsed="" customFormat="false" customHeight="1" hidden="" ht="14" outlineLevel="0" r="25168">
      <c r="A25168" s="3" t="inlineStr">
        <is>
          <t>25064</t>
        </is>
      </c>
      <c r="B25168" s="4" t="s">
        <f>=HYPERLINK("http://anyluxury.ru/shop/posuda/kruzhki/chashka-s-termoeffektom-aroma-temnoseraya-1353911/" , "13539.11 Чашка с термоэффектом Aroma, темно-серая")</f>
      </c>
      <c r="C25168" s="4" t="n">
        <v>520.00</v>
      </c>
      <c r="D25168" s="4"/>
    </row>
    <row collapsed="" customFormat="false" customHeight="1" hidden="" ht="14" outlineLevel="0" r="25169">
      <c r="A25169" s="3" t="inlineStr">
        <is>
          <t>25065</t>
        </is>
      </c>
      <c r="B25169" s="4" t="s">
        <f>=HYPERLINK("http://anyluxury.ru/shop/posuda/kruzhki/chashka-s-termoeffektom-aroma-chernaya-1353930/" , "13539.30 Чашка с термоэффектом Aroma, черная")</f>
      </c>
      <c r="C25169" s="4" t="n">
        <v>520.00</v>
      </c>
      <c r="D25169" s="4"/>
    </row>
    <row collapsed="" customFormat="false" customHeight="1" hidden="" ht="14" outlineLevel="0" r="25170">
      <c r="A25170" s="3" t="inlineStr">
        <is>
          <t>25066</t>
        </is>
      </c>
      <c r="B25170" s="4" t="s">
        <f>=HYPERLINK("http://anyluxury.ru/shop/posuda/kruzhki/chashka-s-termoeffektom-aroma-zelenaya-1353990/" , "13539.90 Чашка с термоэффектом Aroma, зеленая")</f>
      </c>
      <c r="C25170" s="4" t="n">
        <v>520.00</v>
      </c>
      <c r="D25170" s="4"/>
    </row>
    <row collapsed="" customFormat="false" customHeight="1" hidden="" ht="14" outlineLevel="0" r="25171">
      <c r="A25171" s="3" t="inlineStr">
        <is>
          <t>25067</t>
        </is>
      </c>
      <c r="B25171" s="4" t="s">
        <f>=HYPERLINK("http://anyluxury.ru/shop/posuda/kruzhki/chashka-aroma-rozovaya-1353651/" , "13536.51 Чашка Aroma, розовая")</f>
      </c>
      <c r="C25171" s="4" t="n">
        <v>1890.00</v>
      </c>
      <c r="D25171" s="4"/>
    </row>
    <row collapsed="" customFormat="false" customHeight="1" hidden="" ht="14" outlineLevel="0" r="25172">
      <c r="A25172" s="3" t="inlineStr">
        <is>
          <t>25068</t>
        </is>
      </c>
      <c r="B25172" s="4" t="s">
        <f>=HYPERLINK("http://anyluxury.ru/shop/posuda/kruzhki/chashka-aroma-temnoseraya-1353611/" , "13536.11 Чашка Aroma, темно-серая")</f>
      </c>
      <c r="C25172" s="4" t="n">
        <v>1890.00</v>
      </c>
      <c r="D25172" s="4"/>
    </row>
    <row collapsed="" customFormat="false" customHeight="1" hidden="" ht="14" outlineLevel="0" r="25173">
      <c r="A25173" s="3" t="inlineStr">
        <is>
          <t>25069</t>
        </is>
      </c>
      <c r="B25173" s="4" t="s">
        <f>=HYPERLINK("http://anyluxury.ru/shop/posuda/kruzhki/chashka-aroma-zelenaya-1353690/" , "13536.90 Чашка Aroma, зеленая")</f>
      </c>
      <c r="C25173" s="4" t="n">
        <v>1890.00</v>
      </c>
      <c r="D25173" s="4"/>
    </row>
    <row collapsed="" customFormat="false" customHeight="1" hidden="" ht="14" outlineLevel="0" r="25174">
      <c r="A25174" s="3" t="inlineStr">
        <is>
          <t>25070</t>
        </is>
      </c>
      <c r="B25174" s="4" t="s">
        <f>=HYPERLINK("http://anyluxury.ru/shop/posuda/kruzhki/chashka-dlya-kapuchino-aroma-rozovaya-1353751/" , "13537.51 Чашка для капучино Aroma, розовая")</f>
      </c>
      <c r="C25174" s="4" t="n">
        <v>1390.00</v>
      </c>
      <c r="D25174" s="4"/>
    </row>
    <row collapsed="" customFormat="false" customHeight="1" hidden="" ht="14" outlineLevel="0" r="25175">
      <c r="A25175" s="3" t="inlineStr">
        <is>
          <t>25071</t>
        </is>
      </c>
      <c r="B25175" s="4" t="s">
        <f>=HYPERLINK("http://anyluxury.ru/shop/posuda/kruzhki/chashka-dlya-kapuchino-aroma-temnoseraya-1353730/" , "13537.30 Чашка для капучино Aroma, темно-серая")</f>
      </c>
      <c r="C25175" s="4" t="n">
        <v>1390.00</v>
      </c>
      <c r="D25175" s="4"/>
    </row>
    <row collapsed="" customFormat="false" customHeight="1" hidden="" ht="14" outlineLevel="0" r="25176">
      <c r="A25176" s="3" t="inlineStr">
        <is>
          <t>25072</t>
        </is>
      </c>
      <c r="B25176" s="4" t="s">
        <f>=HYPERLINK("http://anyluxury.ru/shop/posuda/kruzhki/chashka-dlya-kapuchino-aroma-zelenaya-1353790/" , "13537.90 Чашка для капучино Aroma, зеленая")</f>
      </c>
      <c r="C25176" s="4" t="n">
        <v>1390.00</v>
      </c>
      <c r="D25176" s="4"/>
    </row>
    <row collapsed="" customFormat="false" customHeight="1" hidden="" ht="14" outlineLevel="0" r="25177">
      <c r="A25177" s="3" t="inlineStr">
        <is>
          <t>25073</t>
        </is>
      </c>
      <c r="B25177" s="4" t="s">
        <f>=HYPERLINK("http://anyluxury.ru/shop/posuda/kruzhki/chashka-dlya-latte-aroma-rozovaya-1353851/" , "13538.51 Чашка для латте Aroma, розовая")</f>
      </c>
      <c r="C25177" s="4" t="n">
        <v>1390.00</v>
      </c>
      <c r="D25177" s="4"/>
    </row>
    <row collapsed="" customFormat="false" customHeight="1" hidden="" ht="14" outlineLevel="0" r="25178">
      <c r="A25178" s="3" t="inlineStr">
        <is>
          <t>25074</t>
        </is>
      </c>
      <c r="B25178" s="4" t="s">
        <f>=HYPERLINK("http://anyluxury.ru/shop/posuda/kruzhki/chashka-dlya-latte-aroma-temnoseraya-1353811/" , "13538.11 Чашка для латте Aroma, темно-серая")</f>
      </c>
      <c r="C25178" s="4" t="n">
        <v>1690.00</v>
      </c>
      <c r="D25178" s="4"/>
    </row>
    <row collapsed="" customFormat="false" customHeight="1" hidden="" ht="14" outlineLevel="0" r="25179">
      <c r="A25179" s="3" t="inlineStr">
        <is>
          <t>25075</t>
        </is>
      </c>
      <c r="B25179" s="4" t="s">
        <f>=HYPERLINK("http://anyluxury.ru/shop/posuda/kruzhki/chashka-dlya-latte-aroma-chernaya-1353830/" , "13538.30 Чашка для латте Aroma, черная")</f>
      </c>
      <c r="C25179" s="4" t="n">
        <v>1690.00</v>
      </c>
      <c r="D25179" s="4"/>
    </row>
    <row collapsed="" customFormat="false" customHeight="1" hidden="" ht="14" outlineLevel="0" r="25180">
      <c r="A25180" s="3" t="inlineStr">
        <is>
          <t>25076</t>
        </is>
      </c>
      <c r="B25180" s="4" t="s">
        <f>=HYPERLINK("http://anyluxury.ru/shop/posuda/kruzhki/chashka-dlya-latte-aroma-zelenaya-1353890/" , "13538.90 Чашка для латте Aroma, зеленая")</f>
      </c>
      <c r="C25180" s="4" t="n">
        <v>1690.00</v>
      </c>
      <c r="D25180" s="4"/>
    </row>
    <row collapsed="" customFormat="false" customHeight="1" hidden="" ht="14" outlineLevel="0" r="25181">
      <c r="A25181" s="3" t="inlineStr">
        <is>
          <t>25077</t>
        </is>
      </c>
      <c r="B25181" s="4" t="s">
        <f>=HYPERLINK("http://anyluxury.ru/shop/posuda/kruzhki/kruzhka-dlya-piva-bar-curved-1442900/" , "14429.00 Кружка для пива Bar Curved")</f>
      </c>
      <c r="C25181" s="4" t="n">
        <v>2930.00</v>
      </c>
      <c r="D25181" s="4"/>
    </row>
    <row collapsed="" customFormat="false" customHeight="1" hidden="" ht="14" outlineLevel="0" r="25182">
      <c r="A25182" s="3" t="inlineStr">
        <is>
          <t>25078</t>
        </is>
      </c>
      <c r="B25182" s="4" t="s">
        <f>=HYPERLINK("http://anyluxury.ru/shop/posuda/kruzhki/kruzhka-dlya-piva-bar-1443000/" , "14430.00 Кружка для пива Bar")</f>
      </c>
      <c r="C25182" s="4" t="n">
        <v>3350.00</v>
      </c>
      <c r="D25182" s="4"/>
    </row>
    <row collapsed="" customFormat="false" customHeight="1" hidden="" ht="14" outlineLevel="0" r="25183">
      <c r="A25183" s="3" t="inlineStr">
        <is>
          <t>25079</t>
        </is>
      </c>
      <c r="B25183" s="4" t="s">
        <f>=HYPERLINK("http://anyluxury.ru/shop/posuda/kruzhki/nabor-chashek-dlya-kapuchino-utility-seriy-1451000/" , "14510.00 Набор чашек для капучино Utility, серый")</f>
      </c>
      <c r="C25183" s="4" t="n">
        <v>2590.00</v>
      </c>
      <c r="D25183" s="4"/>
    </row>
    <row collapsed="" customFormat="false" customHeight="1" hidden="" ht="14" outlineLevel="0" r="25184">
      <c r="A25184" s="3" t="inlineStr">
        <is>
          <t>25080</t>
        </is>
      </c>
      <c r="B25184" s="4" t="s">
        <f>=HYPERLINK("http://anyluxury.ru/shop/posuda/kruzhki/nabor-malih-chashek-dine-beliy-1454760/" , "14547.60 Набор малых чашек Dine, белый")</f>
      </c>
      <c r="C25184" s="4" t="n">
        <v>3350.00</v>
      </c>
      <c r="D25184" s="4"/>
    </row>
    <row collapsed="" customFormat="false" customHeight="1" hidden="" ht="14" outlineLevel="0" r="25185">
      <c r="A25185" s="3" t="inlineStr">
        <is>
          <t>25081</t>
        </is>
      </c>
      <c r="B25185" s="4" t="s">
        <f>=HYPERLINK("http://anyluxury.ru/shop/posuda/kruzhki/nabor-bolshih-chashek-dine-beliy-1454860/" , "14548.60 Набор больших чашек Dine, белый")</f>
      </c>
      <c r="C25185" s="4" t="n">
        <v>3550.00</v>
      </c>
      <c r="D25185" s="4"/>
    </row>
    <row collapsed="" customFormat="false" customHeight="1" hidden="" ht="14" outlineLevel="0" r="25186">
      <c r="A25186" s="3" t="inlineStr">
        <is>
          <t>25082</t>
        </is>
      </c>
      <c r="B25186" s="4" t="s">
        <f>=HYPERLINK("http://anyluxury.ru/shop/posuda/kruzhki/nabor-kruzhek-dine-beliy-1455160/" , "14551.60 Набор из 4 кружек Dine, белый")</f>
      </c>
      <c r="C25186" s="4" t="n">
        <v>3350.00</v>
      </c>
      <c r="D25186" s="4"/>
    </row>
    <row collapsed="" customFormat="false" customHeight="1" hidden="" ht="14" outlineLevel="0" r="25187">
      <c r="A25187" s="3" t="inlineStr">
        <is>
          <t>25083</t>
        </is>
      </c>
      <c r="B25187" s="4" t="s">
        <f>=HYPERLINK("http://anyluxury.ru/shop/posuda/kruzhki/kruzhka-gray-srednyaya-seraya-1502111/" , "15021.11 Кружка Gray, средняя, серая")</f>
      </c>
      <c r="C25187" s="4" t="n">
        <v>179.00</v>
      </c>
      <c r="D25187" s="4"/>
    </row>
    <row collapsed="" customFormat="false" customHeight="1" hidden="" ht="14" outlineLevel="0" r="25188">
      <c r="A25188" s="3" t="inlineStr">
        <is>
          <t>25084</t>
        </is>
      </c>
      <c r="B25188" s="4" t="s">
        <f>=HYPERLINK("http://anyluxury.ru/shop/posuda/kruzhki/chashka-cafe-concept-rozovaya-1492815/" , "14928.15 Чашка Cafe Concept, розовая")</f>
      </c>
      <c r="C25188" s="4" t="n">
        <v>610.00</v>
      </c>
      <c r="D25188" s="4"/>
    </row>
    <row collapsed="" customFormat="false" customHeight="1" hidden="" ht="14" outlineLevel="0" r="25189">
      <c r="A25189" s="3" t="inlineStr">
        <is>
          <t>25085</t>
        </is>
      </c>
      <c r="B25189" s="4" t="s">
        <f>=HYPERLINK("http://anyluxury.ru/shop/posuda/kruzhki/chashka-cafe-concept-seraya-1492811/" , "14928.11 Чашка Cafe Concept, серая")</f>
      </c>
      <c r="C25189" s="4" t="n">
        <v>610.00</v>
      </c>
      <c r="D25189" s="4"/>
    </row>
    <row collapsed="" customFormat="false" customHeight="1" hidden="" ht="14" outlineLevel="0" r="25190">
      <c r="A25190" s="3" t="inlineStr">
        <is>
          <t>25086</t>
        </is>
      </c>
      <c r="B25190" s="4" t="s">
        <f>=HYPERLINK("http://anyluxury.ru/shop/posuda/kruzhki/chashka-cafe-concept-temnoseraya-1492813/" , "14928.13 Чашка Cafe Concept, темно-серая")</f>
      </c>
      <c r="C25190" s="4" t="n">
        <v>610.00</v>
      </c>
      <c r="D25190" s="4"/>
    </row>
    <row collapsed="" customFormat="false" customHeight="1" hidden="" ht="14" outlineLevel="0" r="25191">
      <c r="A25191" s="3" t="inlineStr">
        <is>
          <t>25087</t>
        </is>
      </c>
      <c r="B25191" s="4" t="s">
        <f>=HYPERLINK("http://anyluxury.ru/shop/posuda/kruzhki/chashka-living-kremovaya-1492910/" , "14929.10 Чашка Living, кремовая")</f>
      </c>
      <c r="C25191" s="4" t="n">
        <v>430.00</v>
      </c>
      <c r="D25191" s="4"/>
    </row>
    <row collapsed="" customFormat="false" customHeight="1" hidden="" ht="14" outlineLevel="0" r="25192">
      <c r="A25192" s="3" t="inlineStr">
        <is>
          <t>25088</t>
        </is>
      </c>
      <c r="B25192" s="4" t="s">
        <f>=HYPERLINK("http://anyluxury.ru/shop/posuda/kruzhki/chashka-living-seraya-1492911/" , "14929.11 Чашка Living, серая")</f>
      </c>
      <c r="C25192" s="4" t="n">
        <v>430.00</v>
      </c>
      <c r="D25192" s="4"/>
    </row>
    <row collapsed="" customFormat="false" customHeight="1" hidden="" ht="14" outlineLevel="0" r="25193">
      <c r="A25193" s="3" t="inlineStr">
        <is>
          <t>25089</t>
        </is>
      </c>
      <c r="B25193" s="4" t="s">
        <f>=HYPERLINK("http://anyluxury.ru/shop/posuda/kruzhki/chashka-dlya-kapuchino-cafe-concept-rozovaya-1493015/" , "14930.15 Чашка для капучино Cafe Concept, розовая")</f>
      </c>
      <c r="C25193" s="4" t="n">
        <v>700.00</v>
      </c>
      <c r="D25193" s="4"/>
    </row>
    <row collapsed="" customFormat="false" customHeight="1" hidden="" ht="14" outlineLevel="0" r="25194">
      <c r="A25194" s="3" t="inlineStr">
        <is>
          <t>25090</t>
        </is>
      </c>
      <c r="B25194" s="4" t="s">
        <f>=HYPERLINK("http://anyluxury.ru/shop/posuda/kruzhki/chashka-dlya-kapuchino-cafe-concept-seraya-1493011/" , "14930.11 Чашка для капучино Cafe Concept, серая")</f>
      </c>
      <c r="C25194" s="4" t="n">
        <v>700.00</v>
      </c>
      <c r="D25194" s="4"/>
    </row>
    <row collapsed="" customFormat="false" customHeight="1" hidden="" ht="14" outlineLevel="0" r="25195">
      <c r="A25195" s="3" t="inlineStr">
        <is>
          <t>25091</t>
        </is>
      </c>
      <c r="B25195" s="4" t="s">
        <f>=HYPERLINK("http://anyluxury.ru/shop/posuda/kruzhki/chashka-dlya-kapuchino-cafe-concept-temnoseraya-1493013/" , "14930.13 Чашка для капучино Cafe Concept, темно-серая")</f>
      </c>
      <c r="C25195" s="4" t="n">
        <v>700.00</v>
      </c>
      <c r="D25195" s="4"/>
    </row>
    <row collapsed="" customFormat="false" customHeight="1" hidden="" ht="14" outlineLevel="0" r="25196">
      <c r="A25196" s="3" t="inlineStr">
        <is>
          <t>25092</t>
        </is>
      </c>
      <c r="B25196" s="4" t="s">
        <f>=HYPERLINK("http://anyluxury.ru/shop/posuda/kruzhki/chashka-dlya-latte-cafe-concept-rozovaya-1493115/" , "14931.15 Чашка для латте Cafe Concept, розовая")</f>
      </c>
      <c r="C25196" s="4" t="n">
        <v>730.00</v>
      </c>
      <c r="D25196" s="4"/>
    </row>
    <row collapsed="" customFormat="false" customHeight="1" hidden="" ht="14" outlineLevel="0" r="25197">
      <c r="A25197" s="3" t="inlineStr">
        <is>
          <t>25093</t>
        </is>
      </c>
      <c r="B25197" s="4" t="s">
        <f>=HYPERLINK("http://anyluxury.ru/shop/posuda/kruzhki/chashka-dlya-latte-cafe-concept-seraya-1493111/" , "14931.11 Чашка для латте Cafe Concept, серая")</f>
      </c>
      <c r="C25197" s="4" t="n">
        <v>730.00</v>
      </c>
      <c r="D25197" s="4"/>
    </row>
    <row collapsed="" customFormat="false" customHeight="1" hidden="" ht="14" outlineLevel="0" r="25198">
      <c r="A25198" s="3" t="inlineStr">
        <is>
          <t>25094</t>
        </is>
      </c>
      <c r="B25198" s="4" t="s">
        <f>=HYPERLINK("http://anyluxury.ru/shop/posuda/kruzhki/chashka-dlya-latte-cafe-concept-temnoseraya-1493113/" , "14931.13 Чашка для латте Cafe Concept, темно-серая")</f>
      </c>
      <c r="C25198" s="4" t="n">
        <v>730.00</v>
      </c>
      <c r="D25198" s="4"/>
    </row>
    <row collapsed="" customFormat="false" customHeight="1" hidden="" ht="14" outlineLevel="0" r="25199">
      <c r="A25199" s="3" t="inlineStr">
        <is>
          <t>25095</t>
        </is>
      </c>
      <c r="B25199" s="4" t="s">
        <f>=HYPERLINK("http://anyluxury.ru/shop/posuda/kruzhki/chashka-dlya-espresso-cafe-concept-rozovaya-1493215/" , "14932.15 Чашка для эспрессо Cafe Concept, розовая")</f>
      </c>
      <c r="C25199" s="4" t="n">
        <v>380.00</v>
      </c>
      <c r="D25199" s="4"/>
    </row>
    <row collapsed="" customFormat="false" customHeight="1" hidden="" ht="14" outlineLevel="0" r="25200">
      <c r="A25200" s="3" t="inlineStr">
        <is>
          <t>25096</t>
        </is>
      </c>
      <c r="B25200" s="4" t="s">
        <f>=HYPERLINK("http://anyluxury.ru/shop/posuda/kruzhki/chashka-dlya-espresso-cafe-concept-seraya-1493211/" , "14932.11 Чашка для эспрессо Cafe Concept, серая")</f>
      </c>
      <c r="C25200" s="4" t="n">
        <v>380.00</v>
      </c>
      <c r="D25200" s="4"/>
    </row>
    <row collapsed="" customFormat="false" customHeight="1" hidden="" ht="14" outlineLevel="0" r="25201">
      <c r="A25201" s="3" t="inlineStr">
        <is>
          <t>25097</t>
        </is>
      </c>
      <c r="B25201" s="4" t="s">
        <f>=HYPERLINK("http://anyluxury.ru/shop/posuda/kruzhki/chashka-dlya-espresso-cafe-concept-temnoseraya-1493213/" , "14932.13 Чашка для эспрессо Cafe Concept, темно-серая")</f>
      </c>
      <c r="C25201" s="4" t="n">
        <v>380.00</v>
      </c>
      <c r="D25201" s="4"/>
    </row>
    <row collapsed="" customFormat="false" customHeight="1" hidden="" ht="14" outlineLevel="0" r="25202">
      <c r="A25202" s="3" t="inlineStr">
        <is>
          <t>25098</t>
        </is>
      </c>
      <c r="B25202" s="4" t="s">
        <f>=HYPERLINK("http://anyluxury.ru/shop/posuda/kruzhki/chaynaya-para-riposo-bolshaya-belaya-1209960/" , "12099.60 Чайная пара Riposo, большая, белая")</f>
      </c>
      <c r="C25202" s="4" t="n">
        <v>701.00</v>
      </c>
      <c r="D25202" s="4"/>
    </row>
    <row collapsed="" customFormat="false" customHeight="1" hidden="" ht="14" outlineLevel="0" r="25203">
      <c r="A25203" s="3" t="inlineStr">
        <is>
          <t>25099</t>
        </is>
      </c>
      <c r="B25203" s="4" t="s">
        <f>=HYPERLINK("http://anyluxury.ru/shop/posuda/kruzhki/kruzhka-surprise-touch-c-pokritiem-softtach-sinyaya-1250340/" , "12503.40 Кружка Surprise Touch c покрытием софт-тач, синяя")</f>
      </c>
      <c r="C25203" s="4" t="n">
        <v>445.00</v>
      </c>
      <c r="D25203" s="4"/>
    </row>
    <row collapsed="" customFormat="false" customHeight="1" hidden="" ht="14" outlineLevel="0" r="25204">
      <c r="A25204" s="3" t="inlineStr">
        <is>
          <t>25100</t>
        </is>
      </c>
      <c r="B25204" s="4" t="s">
        <f>=HYPERLINK("http://anyluxury.ru/shop/posuda/kruzhki/kruzhka-surprise-touch-c-pokritiem-softtach-krasnaya-1250350/" , "12503.50 Кружка Surprise Touch c покрытием софт-тач, красная")</f>
      </c>
      <c r="C25204" s="4" t="n">
        <v>445.00</v>
      </c>
      <c r="D25204" s="4"/>
    </row>
    <row collapsed="" customFormat="false" customHeight="1" hidden="" ht="14" outlineLevel="0" r="25205">
      <c r="A25205" s="3" t="inlineStr">
        <is>
          <t>25101</t>
        </is>
      </c>
      <c r="B25205" s="4" t="s">
        <f>=HYPERLINK("http://anyluxury.ru/shop/posuda/kruzhki/kruzhka-surprise-touch-c-pokritiem-softtach-zelenoe-yabloko-1250394/" , "12503.94 Кружка Surprise Touch c покрытием софт-тач, зеленое яблоко")</f>
      </c>
      <c r="C25205" s="4" t="n">
        <v>445.00</v>
      </c>
      <c r="D25205" s="4"/>
    </row>
    <row collapsed="" customFormat="false" customHeight="1" hidden="" ht="14" outlineLevel="0" r="25206">
      <c r="A25206" s="3" t="inlineStr">
        <is>
          <t>25102</t>
        </is>
      </c>
      <c r="B25206" s="4" t="s">
        <f>=HYPERLINK("http://anyluxury.ru/shop/posuda/kruzhki/kruzhka-surprise-touch-c-pokritiem-softtach-oranzhevaya-1250320/" , "12503.20 Кружка Surprise Touch c покрытием софт-тач, оранжевая")</f>
      </c>
      <c r="C25206" s="4" t="n">
        <v>445.00</v>
      </c>
      <c r="D25206" s="4"/>
    </row>
    <row collapsed="" customFormat="false" customHeight="1" hidden="" ht="14" outlineLevel="0" r="25207">
      <c r="A25207" s="3" t="inlineStr">
        <is>
          <t>25103</t>
        </is>
      </c>
      <c r="B25207" s="4" t="s">
        <f>=HYPERLINK("http://anyluxury.ru/shop/posuda/kruzhki/kruzhka-surprise-touch-c-pokritiem-softtach-zheltaya-1250380/" , "12503.80 Кружка Surprise Touch c покрытием софт-тач, желтая")</f>
      </c>
      <c r="C25207" s="4" t="n">
        <v>445.00</v>
      </c>
      <c r="D25207" s="4"/>
    </row>
    <row collapsed="" customFormat="false" customHeight="1" hidden="" ht="14" outlineLevel="0" r="25208">
      <c r="A25208" s="3" t="inlineStr">
        <is>
          <t>25104</t>
        </is>
      </c>
      <c r="B25208" s="4" t="s">
        <f>=HYPERLINK("http://anyluxury.ru/shop/posuda/kruzhki/kruzhka-surprise-touch-c-pokritiem-softtach-krasnaya-s-sinim-1250354/" , "12503.54 Кружка Surprise Touch c покрытием софт-тач, красная с синим")</f>
      </c>
      <c r="C25208" s="4" t="n">
        <v>445.00</v>
      </c>
      <c r="D25208" s="4"/>
    </row>
    <row collapsed="" customFormat="false" customHeight="1" hidden="" ht="14" outlineLevel="0" r="25209">
      <c r="A25209" s="3" t="inlineStr">
        <is>
          <t>25105</t>
        </is>
      </c>
      <c r="B25209" s="4" t="s">
        <f>=HYPERLINK("http://anyluxury.ru/shop/posuda/kruzhki/kruzhka-lacerta-serebristaya-1289111/" , "12891.11 Кружка Lacerta, серебристая")</f>
      </c>
      <c r="C25209" s="4" t="n">
        <v>350.00</v>
      </c>
      <c r="D25209" s="4"/>
    </row>
    <row collapsed="" customFormat="false" customHeight="1" hidden="" ht="14" outlineLevel="0" r="25210">
      <c r="A25210" s="3" t="inlineStr">
        <is>
          <t>25106</t>
        </is>
      </c>
      <c r="B25210" s="4" t="s">
        <f>=HYPERLINK("http://anyluxury.ru/shop/posuda/kruzhki/kruzhka-lacerta-zolotistaya-1289100/" , "12891.00 Кружка Lacerta, золотистая")</f>
      </c>
      <c r="C25210" s="4" t="n">
        <v>350.00</v>
      </c>
      <c r="D25210" s="4"/>
    </row>
    <row collapsed="" customFormat="false" customHeight="1" hidden="" ht="14" outlineLevel="0" r="25211">
      <c r="A25211" s="3" t="inlineStr">
        <is>
          <t>25107</t>
        </is>
      </c>
      <c r="B25211" s="4" t="s">
        <f>=HYPERLINK("http://anyluxury.ru/shop/posuda/kruzhki/kruzhka-lacerta-metallik-1289110/" , "12891.10 Кружка Lacerta, темно-синий металлик")</f>
      </c>
      <c r="C25211" s="4" t="n">
        <v>350.00</v>
      </c>
      <c r="D25211" s="4"/>
    </row>
    <row collapsed="" customFormat="false" customHeight="1" hidden="" ht="14" outlineLevel="0" r="25212">
      <c r="A25212" s="3" t="inlineStr">
        <is>
          <t>25108</t>
        </is>
      </c>
      <c r="B25212" s="4" t="s">
        <f>=HYPERLINK("http://anyluxury.ru/shop/posuda/kruzhki/kruzhka-s-silikonovoy-podstavkoy-protege-sinyaya-1289240/" , "12892.40 Кружка с силиконовой подставкой Protege , синяя")</f>
      </c>
      <c r="C25212" s="4" t="n">
        <v>318.00</v>
      </c>
      <c r="D25212" s="4"/>
    </row>
    <row collapsed="" customFormat="false" customHeight="1" hidden="" ht="14" outlineLevel="0" r="25213">
      <c r="A25213" s="3" t="inlineStr">
        <is>
          <t>25109</t>
        </is>
      </c>
      <c r="B25213" s="4" t="s">
        <f>=HYPERLINK("http://anyluxury.ru/shop/posuda/kruzhki/kruzhka-s-silikonovoy-podstavkoy-protege-krasnaya-1289250/" , "12892.50 Кружка с силиконовой подставкой Protege, красная")</f>
      </c>
      <c r="C25213" s="4" t="n">
        <v>318.00</v>
      </c>
      <c r="D25213" s="4"/>
    </row>
    <row collapsed="" customFormat="false" customHeight="1" hidden="" ht="14" outlineLevel="0" r="25214">
      <c r="A25214" s="3" t="inlineStr">
        <is>
          <t>25110</t>
        </is>
      </c>
      <c r="B25214" s="4" t="s">
        <f>=HYPERLINK("http://anyluxury.ru/shop/posuda/kruzhki/kruzhka-s-silikonovoy-podstavkoy-protege-zelenoe-yabloko-1289291/" , "12892.91 Кружка с силиконовой подставкой Protege, зеленое яблоко")</f>
      </c>
      <c r="C25214" s="4" t="n">
        <v>318.00</v>
      </c>
      <c r="D25214" s="4"/>
    </row>
    <row collapsed="" customFormat="false" customHeight="1" hidden="" ht="14" outlineLevel="0" r="25215">
      <c r="A25215" s="3" t="inlineStr">
        <is>
          <t>25111</t>
        </is>
      </c>
      <c r="B25215" s="4" t="s">
        <f>=HYPERLINK("http://anyluxury.ru/shop/posuda/kruzhki/kruzhka-s-silikonovoy-podstavkoy-protege-chernaya-1289230/" , "12892.30 Кружка с силиконовой подставкой Protege, черная")</f>
      </c>
      <c r="C25215" s="4" t="n">
        <v>318.00</v>
      </c>
      <c r="D25215" s="4"/>
    </row>
    <row collapsed="" customFormat="false" customHeight="1" hidden="" ht="14" outlineLevel="0" r="25216">
      <c r="A25216" s="3" t="inlineStr">
        <is>
          <t>25112</t>
        </is>
      </c>
      <c r="B25216" s="4" t="s">
        <f>=HYPERLINK("http://anyluxury.ru/shop/posuda/kruzhki/kruzhka-s-silikonovoy-podstavkoy-protege-oranzhevaya-1289220/" , "12892.20 Кружка с силиконовой подставкой Protege, оранжевая")</f>
      </c>
      <c r="C25216" s="4" t="n">
        <v>318.00</v>
      </c>
      <c r="D25216" s="4"/>
    </row>
    <row collapsed="" customFormat="false" customHeight="1" hidden="" ht="14" outlineLevel="0" r="25217">
      <c r="A25217" s="3" t="inlineStr">
        <is>
          <t>25113</t>
        </is>
      </c>
      <c r="B25217" s="4" t="s">
        <f>=HYPERLINK("http://anyluxury.ru/shop/posuda/kruzhki/kruzhka-corky-walk-belaya-1289360/" , "12893.60 Кружка с пробковой подставкой Corky Walk, белая")</f>
      </c>
      <c r="C25217" s="4" t="n">
        <v>572.00</v>
      </c>
      <c r="D25217" s="4"/>
    </row>
    <row collapsed="" customFormat="false" customHeight="1" hidden="" ht="14" outlineLevel="0" r="25218">
      <c r="A25218" s="3" t="inlineStr">
        <is>
          <t>25114</t>
        </is>
      </c>
      <c r="B25218" s="4" t="s">
        <f>=HYPERLINK("http://anyluxury.ru/shop/posuda/kruzhki/kruzhka-corky-walk-krasnaya-1289350/" , "12893.50 Кружка с пробковой подставкой Corky Walk, красная")</f>
      </c>
      <c r="C25218" s="4" t="n">
        <v>572.00</v>
      </c>
      <c r="D25218" s="4"/>
    </row>
    <row collapsed="" customFormat="false" customHeight="1" hidden="" ht="14" outlineLevel="0" r="25219">
      <c r="A25219" s="3" t="inlineStr">
        <is>
          <t>25115</t>
        </is>
      </c>
      <c r="B25219" s="4" t="s">
        <f>=HYPERLINK("http://anyluxury.ru/shop/posuda/kruzhki/kruzhka-corky-walk-sinyaya-1289340/" , "12893.40 Кружка с пробковой подставкой Corky Walk, синяя")</f>
      </c>
      <c r="C25219" s="4" t="n">
        <v>572.00</v>
      </c>
      <c r="D25219" s="4"/>
    </row>
    <row collapsed="" customFormat="false" customHeight="1" hidden="" ht="14" outlineLevel="0" r="25220">
      <c r="A25220" s="3" t="inlineStr">
        <is>
          <t>25116</t>
        </is>
      </c>
      <c r="B25220" s="4" t="s">
        <f>=HYPERLINK("http://anyluxury.ru/shop/posuda/kruzhki/kruzhka-corky-belaya-1289460/" , "12894.60 Кружка с пробковой подставкой Corky, белая")</f>
      </c>
      <c r="C25220" s="4" t="n">
        <v>513.00</v>
      </c>
      <c r="D25220" s="4"/>
    </row>
    <row collapsed="" customFormat="false" customHeight="1" hidden="" ht="14" outlineLevel="0" r="25221">
      <c r="A25221" s="3" t="inlineStr">
        <is>
          <t>25117</t>
        </is>
      </c>
      <c r="B25221" s="4" t="s">
        <f>=HYPERLINK("http://anyluxury.ru/shop/posuda/kruzhki/kruzhka-corky-sinyaya-1289440/" , "12894.40 Кружка с пробковой подставкой Corky, синяя")</f>
      </c>
      <c r="C25221" s="4" t="n">
        <v>547.00</v>
      </c>
      <c r="D25221" s="4"/>
    </row>
    <row collapsed="" customFormat="false" customHeight="1" hidden="" ht="14" outlineLevel="0" r="25222">
      <c r="A25222" s="3" t="inlineStr">
        <is>
          <t>25118</t>
        </is>
      </c>
      <c r="B25222" s="4" t="s">
        <f>=HYPERLINK("http://anyluxury.ru/shop/posuda/kruzhki/kruzhka-corky-chernaya-1289430/" , "12894.30 Кружка с пробковой подставкой Corky, черная")</f>
      </c>
      <c r="C25222" s="4" t="n">
        <v>547.00</v>
      </c>
      <c r="D25222" s="4"/>
    </row>
    <row collapsed="" customFormat="false" customHeight="1" hidden="" ht="14" outlineLevel="0" r="25223">
      <c r="A25223" s="3" t="inlineStr">
        <is>
          <t>25119</t>
        </is>
      </c>
      <c r="B25223" s="4" t="s">
        <f>=HYPERLINK("http://anyluxury.ru/shop/posuda/kruzhki/kruzhka-corky-krasnaya-1289450/" , "12894.50 Кружка с пробковой подставкой Corky, красная")</f>
      </c>
      <c r="C25223" s="4" t="n">
        <v>547.00</v>
      </c>
      <c r="D25223" s="4"/>
    </row>
    <row collapsed="" customFormat="false" customHeight="1" hidden="" ht="14" outlineLevel="0" r="25224">
      <c r="A25224" s="3" t="inlineStr">
        <is>
          <t>25120</t>
        </is>
      </c>
      <c r="B25224" s="4" t="s">
        <f>=HYPERLINK("http://anyluxury.ru/shop/posuda/kruzhki/nabor-stakanov-lungo-tumbler-granatoviy-1500851/" , "15008.51 Набор стаканов Lungo Tumbler, гранатовый")</f>
      </c>
      <c r="C25224" s="4" t="n">
        <v>2100.00</v>
      </c>
      <c r="D25224" s="4"/>
    </row>
    <row collapsed="" customFormat="false" customHeight="1" hidden="" ht="14" outlineLevel="0" r="25225">
      <c r="A25225" s="3" t="inlineStr">
        <is>
          <t>25121</t>
        </is>
      </c>
      <c r="B25225" s="4" t="s">
        <f>=HYPERLINK("http://anyluxury.ru/shop/posuda/kruzhki/nabor-stakanov-lungo-tumbler-svetlozeleniy-1500892/" , "15008.92 Набор стаканов Lungo Tumbler, светло-зеленый")</f>
      </c>
      <c r="C25225" s="4" t="n">
        <v>2100.00</v>
      </c>
      <c r="D25225" s="4"/>
    </row>
    <row collapsed="" customFormat="false" customHeight="1" hidden="" ht="14" outlineLevel="0" r="25226">
      <c r="A25226" s="3" t="inlineStr">
        <is>
          <t>25122</t>
        </is>
      </c>
      <c r="B25226" s="4" t="s">
        <f>=HYPERLINK("http://anyluxury.ru/shop/posuda/kruzhki/nabor-stakanov-latte-tumbler-svetlozeleniy-1500092/" , "15000.92 Набор стаканов Latte Tumbler, светло-зеленый")</f>
      </c>
      <c r="C25226" s="4" t="n">
        <v>3100.00</v>
      </c>
      <c r="D25226" s="4"/>
    </row>
    <row collapsed="" customFormat="false" customHeight="1" hidden="" ht="14" outlineLevel="0" r="25227">
      <c r="A25227" s="3" t="inlineStr">
        <is>
          <t>25123</t>
        </is>
      </c>
      <c r="B25227" s="4" t="s">
        <f>=HYPERLINK("http://anyluxury.ru/shop/posuda/kruzhki/kruzhka-s-lozhkoy-cheer-up-ver2-chernaya-1466530/" , "14665.30 Кружка с ложкой Cheer Up, ver.2, черная")</f>
      </c>
      <c r="C25227" s="4" t="n">
        <v>379.30</v>
      </c>
      <c r="D25227" s="4"/>
    </row>
    <row collapsed="" customFormat="false" customHeight="1" hidden="" ht="14" outlineLevel="0" r="25228">
      <c r="A25228" s="3" t="inlineStr">
        <is>
          <t>25124</t>
        </is>
      </c>
      <c r="B25228" s="4" t="s">
        <f>=HYPERLINK("http://anyluxury.ru/shop/posuda/kruzhki/kruzhka-s-lozhkoy-cheer-up-ver2-sinyaya-1466540/" , "14665.40 Кружка с ложкой Cheer Up, ver.2, синяя")</f>
      </c>
      <c r="C25228" s="4" t="n">
        <v>379.30</v>
      </c>
      <c r="D25228" s="4"/>
    </row>
    <row collapsed="" customFormat="false" customHeight="1" hidden="" ht="14" outlineLevel="0" r="25229">
      <c r="A25229" s="3" t="inlineStr">
        <is>
          <t>25125</t>
        </is>
      </c>
      <c r="B25229" s="4" t="s">
        <f>=HYPERLINK("http://anyluxury.ru/shop/posuda/kruzhki/kruzhka-s-lozhkoy-cheer-up-ver2-krasnaya-1466550/" , "14665.50 Кружка с ложкой Cheer Up, ver.2, красная")</f>
      </c>
      <c r="C25229" s="4" t="n">
        <v>379.30</v>
      </c>
      <c r="D25229" s="4"/>
    </row>
    <row collapsed="" customFormat="false" customHeight="1" hidden="" ht="14" outlineLevel="0" r="25230">
      <c r="A25230" s="3" t="inlineStr">
        <is>
          <t>25126</t>
        </is>
      </c>
      <c r="B25230" s="4" t="s">
        <f>=HYPERLINK("http://anyluxury.ru/shop/posuda/kruzhki/kruzhka-s-lozhkoy-cheer-up-ver2-zelenaya-1466590/" , "14665.90 Кружка с ложкой Cheer Up, ver.2, зеленая")</f>
      </c>
      <c r="C25230" s="4" t="n">
        <v>379.30</v>
      </c>
      <c r="D25230" s="4"/>
    </row>
    <row collapsed="" customFormat="false" customHeight="1" hidden="" ht="14" outlineLevel="0" r="25231">
      <c r="A25231" s="3" t="inlineStr">
        <is>
          <t>25127</t>
        </is>
      </c>
      <c r="B25231" s="4" t="s">
        <f>=HYPERLINK("http://anyluxury.ru/shop/posuda/kruzhki/kruzhka-s-lozhkoy-cheer-up-ver2-oranzhevaya-1466520/" , "14665.20 Кружка с ложкой Cheer Up, ver.2, оранжевая")</f>
      </c>
      <c r="C25231" s="4" t="n">
        <v>379.30</v>
      </c>
      <c r="D25231" s="4"/>
    </row>
    <row collapsed="" customFormat="false" customHeight="1" hidden="" ht="14" outlineLevel="0" r="25232">
      <c r="A25232" s="3" t="inlineStr">
        <is>
          <t>25128</t>
        </is>
      </c>
      <c r="B25232" s="4" t="s">
        <f>=HYPERLINK("http://anyluxury.ru/shop/posuda/kruzhki/kruzhka-surprise-touch-c-pokritiem-softtach-golubaya-1250349/" , "12503.49 Кружка Surprise Touch c покрытием софт-тач, голубая")</f>
      </c>
      <c r="C25232" s="4" t="n">
        <v>445.00</v>
      </c>
      <c r="D25232" s="4"/>
    </row>
    <row collapsed="" customFormat="false" customHeight="1" hidden="" ht="14" outlineLevel="0" r="25233">
      <c r="A25233" s="3" t="inlineStr">
        <is>
          <t>25129</t>
        </is>
      </c>
      <c r="B25233" s="4" t="s">
        <f>=HYPERLINK("http://anyluxury.ru/shop/posuda/kruzhki/kruzhka-pick-up-belaya-1284560/" , "12845.60 Кружка Pick Up, белая")</f>
      </c>
      <c r="C25233" s="4" t="n">
        <v>232.00</v>
      </c>
      <c r="D25233" s="4"/>
    </row>
    <row collapsed="" customFormat="false" customHeight="1" hidden="" ht="14" outlineLevel="0" r="25234">
      <c r="A25234" s="3" t="inlineStr">
        <is>
          <t>25130</t>
        </is>
      </c>
      <c r="B25234" s="4" t="s">
        <f>=HYPERLINK("http://anyluxury.ru/shop/posuda/kruzhki/kruzhka-pick-up-sinyaya-1284540/" , "12845.40 Кружка Pick Up, синяя")</f>
      </c>
      <c r="C25234" s="4" t="n">
        <v>272.00</v>
      </c>
      <c r="D25234" s="4"/>
    </row>
    <row collapsed="" customFormat="false" customHeight="1" hidden="" ht="14" outlineLevel="0" r="25235">
      <c r="A25235" s="3" t="inlineStr">
        <is>
          <t>25131</t>
        </is>
      </c>
      <c r="B25235" s="4" t="s">
        <f>=HYPERLINK("http://anyluxury.ru/shop/posuda/kruzhki/kruzhka-pick-up-krasnaya-1284550/" , "12845.50 Кружка Pick Up, красная")</f>
      </c>
      <c r="C25235" s="4" t="n">
        <v>271.00</v>
      </c>
      <c r="D25235" s="4"/>
    </row>
    <row collapsed="" customFormat="false" customHeight="1" hidden="" ht="14" outlineLevel="0" r="25236">
      <c r="A25236" s="3" t="inlineStr">
        <is>
          <t>25132</t>
        </is>
      </c>
      <c r="B25236" s="4" t="s">
        <f>=HYPERLINK("http://anyluxury.ru/shop/posuda/kruzhki/kruzhka-pick-up-oranzhevaya-1284520/" , "12845.20 Кружка Pick Up, оранжевая")</f>
      </c>
      <c r="C25236" s="4" t="n">
        <v>272.00</v>
      </c>
      <c r="D25236" s="4"/>
    </row>
    <row collapsed="" customFormat="false" customHeight="1" hidden="" ht="14" outlineLevel="0" r="25237">
      <c r="A25237" s="3" t="inlineStr">
        <is>
          <t>25133</t>
        </is>
      </c>
      <c r="B25237" s="4" t="s">
        <f>=HYPERLINK("http://anyluxury.ru/shop/posuda/kruzhki/kruzhka-parley-s-lozhkoy-i-bambukovoy-krishkoy-1284460/" , "12844.60 Кружка Parley с ложкой и бамбуковой крышкой")</f>
      </c>
      <c r="C25237" s="4" t="n">
        <v>546.00</v>
      </c>
      <c r="D25237" s="4"/>
    </row>
    <row collapsed="" customFormat="false" customHeight="1" hidden="" ht="14" outlineLevel="0" r="25238">
      <c r="A25238" s="3" t="inlineStr">
        <is>
          <t>25134</t>
        </is>
      </c>
      <c r="B25238" s="4" t="s">
        <f>=HYPERLINK("http://anyluxury.ru/shop/posuda/kruzhki/kruzhka-doppel-oranzhevaya-1284720/" , "12847.20 Кружка Doppel, оранжевая")</f>
      </c>
      <c r="C25238" s="4" t="n">
        <v>229.00</v>
      </c>
      <c r="D25238" s="4"/>
    </row>
    <row collapsed="" customFormat="false" customHeight="1" hidden="" ht="14" outlineLevel="0" r="25239">
      <c r="A25239" s="3" t="inlineStr">
        <is>
          <t>25135</t>
        </is>
      </c>
      <c r="B25239" s="4" t="s">
        <f>=HYPERLINK("http://anyluxury.ru/shop/posuda/kruzhki/kruzhka-doppel-krasnaya-1284750/" , "12847.50 Кружка Doppel, красная")</f>
      </c>
      <c r="C25239" s="4" t="n">
        <v>229.00</v>
      </c>
      <c r="D25239" s="4"/>
    </row>
    <row collapsed="" customFormat="false" customHeight="1" hidden="" ht="14" outlineLevel="0" r="25240">
      <c r="A25240" s="3" t="inlineStr">
        <is>
          <t>25136</t>
        </is>
      </c>
      <c r="B25240" s="4" t="s">
        <f>=HYPERLINK("http://anyluxury.ru/shop/posuda/kruzhki/kruzhka-doppel-temnosinyaya-1284740/" , "12847.40 Кружка Doppel, темно-синяя")</f>
      </c>
      <c r="C25240" s="4" t="n">
        <v>229.00</v>
      </c>
      <c r="D25240" s="4"/>
    </row>
    <row collapsed="" customFormat="false" customHeight="1" hidden="" ht="14" outlineLevel="0" r="25241">
      <c r="A25241" s="3" t="inlineStr">
        <is>
          <t>25137</t>
        </is>
      </c>
      <c r="B25241" s="4" t="s">
        <f>=HYPERLINK("http://anyluxury.ru/shop/posuda/kruzhki/kruzhka-doppel-zheltaya-1284780/" , "12847.80 Кружка Doppel, желтая")</f>
      </c>
      <c r="C25241" s="4" t="n">
        <v>229.00</v>
      </c>
      <c r="D25241" s="4"/>
    </row>
    <row collapsed="" customFormat="false" customHeight="1" hidden="" ht="14" outlineLevel="0" r="25242">
      <c r="A25242" s="3" t="inlineStr">
        <is>
          <t>25138</t>
        </is>
      </c>
      <c r="B25242" s="4" t="s">
        <f>=HYPERLINK("http://anyluxury.ru/shop/posuda/kruzhki/kruzhka-doppel-chernaya-1284730/" , "12847.30 Кружка Doppel, черная")</f>
      </c>
      <c r="C25242" s="4" t="n">
        <v>229.00</v>
      </c>
      <c r="D25242" s="4"/>
    </row>
    <row collapsed="" customFormat="false" customHeight="1" hidden="" ht="14" outlineLevel="0" r="25243">
      <c r="A25243" s="3" t="inlineStr">
        <is>
          <t>25139</t>
        </is>
      </c>
      <c r="B25243" s="4" t="s">
        <f>=HYPERLINK("http://anyluxury.ru/shop/posuda/kruzhki/kofeynaya-kruzhka-pairy-s-lozhkoy-belaya-1313860/" , "13138.60 Кофейная кружка Pairy с ложкой, белая")</f>
      </c>
      <c r="C25243" s="4" t="n">
        <v>189.30</v>
      </c>
      <c r="D25243" s="4"/>
    </row>
    <row collapsed="" customFormat="false" customHeight="1" hidden="" ht="14" outlineLevel="0" r="25244">
      <c r="A25244" s="3" t="inlineStr">
        <is>
          <t>25140</t>
        </is>
      </c>
      <c r="B25244" s="4" t="s">
        <f>=HYPERLINK("http://anyluxury.ru/shop/posuda/kruzhki/kofeynaya-kruzhka-pairy-s-lozhkoy-belaya-s-oranzhevoy-1313862/" , "13138.62 Кофейная кружка Pairy с ложкой, белая с оранжевой")</f>
      </c>
      <c r="C25244" s="4" t="n">
        <v>189.30</v>
      </c>
      <c r="D25244" s="4"/>
    </row>
    <row collapsed="" customFormat="false" customHeight="1" hidden="" ht="14" outlineLevel="0" r="25245">
      <c r="A25245" s="3" t="inlineStr">
        <is>
          <t>25141</t>
        </is>
      </c>
      <c r="B25245" s="4" t="s">
        <f>=HYPERLINK("http://anyluxury.ru/shop/posuda/kruzhki/kofeynaya-kruzhka-pairy-s-lozhkoy-belaya-s-krasnoy-1313865/" , "13138.65 Кофейная кружка Pairy с ложкой, белая с красной")</f>
      </c>
      <c r="C25245" s="4" t="n">
        <v>182.50</v>
      </c>
      <c r="D25245" s="4"/>
    </row>
    <row collapsed="" customFormat="false" customHeight="1" hidden="" ht="14" outlineLevel="0" r="25246">
      <c r="A25246" s="3" t="inlineStr">
        <is>
          <t>25142</t>
        </is>
      </c>
      <c r="B25246" s="4" t="s">
        <f>=HYPERLINK("http://anyluxury.ru/shop/posuda/kruzhki/kofeynaya-kruzhka-pairy-s-lozhkoy-belaya-s-siney-1313864/" , "13138.64 Кофейная кружка Pairy с ложкой, белая с синей")</f>
      </c>
      <c r="C25246" s="4" t="n">
        <v>182.50</v>
      </c>
      <c r="D25246" s="4"/>
    </row>
    <row collapsed="" customFormat="false" customHeight="1" hidden="" ht="14" outlineLevel="0" r="25247">
      <c r="A25247" s="3" t="inlineStr">
        <is>
          <t>25143</t>
        </is>
      </c>
      <c r="B25247" s="4" t="s">
        <f>=HYPERLINK("http://anyluxury.ru/shop/posuda/kruzhki/kofeynaya-kruzhka-pairy-s-lozhkoy-oranzhevaya-s-beloy-1313826/" , "13138.26 Кофейная кружка Pairy с ложкой, оранжевая с белой")</f>
      </c>
      <c r="C25247" s="4" t="n">
        <v>197.30</v>
      </c>
      <c r="D25247" s="4"/>
    </row>
    <row collapsed="" customFormat="false" customHeight="1" hidden="" ht="14" outlineLevel="0" r="25248">
      <c r="A25248" s="3" t="inlineStr">
        <is>
          <t>25144</t>
        </is>
      </c>
      <c r="B25248" s="4" t="s">
        <f>=HYPERLINK("http://anyluxury.ru/shop/posuda/kruzhki/kofeynaya-kruzhka-pairy-s-lozhkoy-oranzhevaya-1313820/" , "13138.20 Кофейная кружка Pairy с ложкой, оранжевая")</f>
      </c>
      <c r="C25248" s="4" t="n">
        <v>197.30</v>
      </c>
      <c r="D25248" s="4"/>
    </row>
    <row collapsed="" customFormat="false" customHeight="1" hidden="" ht="14" outlineLevel="0" r="25249">
      <c r="A25249" s="3" t="inlineStr">
        <is>
          <t>25145</t>
        </is>
      </c>
      <c r="B25249" s="4" t="s">
        <f>=HYPERLINK("http://anyluxury.ru/shop/posuda/kruzhki/kofeynaya-kruzhka-pairy-s-lozhkoy-oranzhevaya-s-krasnoy-1313825/" , "13138.25 Кофейная кружка Pairy с ложкой, оранжевая с красной")</f>
      </c>
      <c r="C25249" s="4" t="n">
        <v>190.50</v>
      </c>
      <c r="D25249" s="4"/>
    </row>
    <row collapsed="" customFormat="false" customHeight="1" hidden="" ht="14" outlineLevel="0" r="25250">
      <c r="A25250" s="3" t="inlineStr">
        <is>
          <t>25146</t>
        </is>
      </c>
      <c r="B25250" s="4" t="s">
        <f>=HYPERLINK("http://anyluxury.ru/shop/posuda/kruzhki/kofeynaya-kruzhka-pairy-s-lozhkoy-krasnaya-s-beloy-1313856/" , "13138.56 Кофейная кружка Pairy с ложкой, красная с белой")</f>
      </c>
      <c r="C25250" s="4" t="n">
        <v>193.30</v>
      </c>
      <c r="D25250" s="4"/>
    </row>
    <row collapsed="" customFormat="false" customHeight="1" hidden="" ht="14" outlineLevel="0" r="25251">
      <c r="A25251" s="3" t="inlineStr">
        <is>
          <t>25147</t>
        </is>
      </c>
      <c r="B25251" s="4" t="s">
        <f>=HYPERLINK("http://anyluxury.ru/shop/posuda/kruzhki/kofeynaya-kruzhka-pairy-s-lozhkoy-krasnaya-1313850/" , "13138.50 Кофейная кружка Pairy с ложкой, красная")</f>
      </c>
      <c r="C25251" s="4" t="n">
        <v>186.50</v>
      </c>
      <c r="D25251" s="4"/>
    </row>
    <row collapsed="" customFormat="false" customHeight="1" hidden="" ht="14" outlineLevel="0" r="25252">
      <c r="A25252" s="3" t="inlineStr">
        <is>
          <t>25148</t>
        </is>
      </c>
      <c r="B25252" s="4" t="s">
        <f>=HYPERLINK("http://anyluxury.ru/shop/posuda/kruzhki/kofeynaya-kruzhka-pairy-s-lozhkoy-krasnaya-s-siney-1313854/" , "13138.54 Кофейная кружка Pairy с ложкой, красная с синей")</f>
      </c>
      <c r="C25252" s="4" t="n">
        <v>186.50</v>
      </c>
      <c r="D25252" s="4"/>
    </row>
    <row collapsed="" customFormat="false" customHeight="1" hidden="" ht="14" outlineLevel="0" r="25253">
      <c r="A25253" s="3" t="inlineStr">
        <is>
          <t>25149</t>
        </is>
      </c>
      <c r="B25253" s="4" t="s">
        <f>=HYPERLINK("http://anyluxury.ru/shop/posuda/kruzhki/kofeynaya-kruzhka-pairy-s-lozhkoy-sinyaya-s-beloy-1313846/" , "13138.46 Кофейная кружка Pairy с ложкой, синяя с белой")</f>
      </c>
      <c r="C25253" s="4" t="n">
        <v>197.30</v>
      </c>
      <c r="D25253" s="4"/>
    </row>
    <row collapsed="" customFormat="false" customHeight="1" hidden="" ht="14" outlineLevel="0" r="25254">
      <c r="A25254" s="3" t="inlineStr">
        <is>
          <t>25150</t>
        </is>
      </c>
      <c r="B25254" s="4" t="s">
        <f>=HYPERLINK("http://anyluxury.ru/shop/posuda/kruzhki/kofeynaya-kruzhka-pairy-s-lozhkoy-sinyaya-s-krasnoy-1313845/" , "13138.45 Кофейная кружка Pairy с ложкой, синяя с красной")</f>
      </c>
      <c r="C25254" s="4" t="n">
        <v>190.50</v>
      </c>
      <c r="D25254" s="4"/>
    </row>
    <row collapsed="" customFormat="false" customHeight="1" hidden="" ht="14" outlineLevel="0" r="25255">
      <c r="A25255" s="3" t="inlineStr">
        <is>
          <t>25151</t>
        </is>
      </c>
      <c r="B25255" s="4" t="s">
        <f>=HYPERLINK("http://anyluxury.ru/shop/posuda/kruzhki/kofeynaya-kruzhka-pairy-s-lozhkoy-sinyaya-1313840/" , "13138.40 Кофейная кружка Pairy с ложкой, синяя")</f>
      </c>
      <c r="C25255" s="4" t="n">
        <v>190.50</v>
      </c>
      <c r="D25255" s="4"/>
    </row>
    <row collapsed="" customFormat="false" customHeight="1" hidden="" ht="14" outlineLevel="0" r="25256">
      <c r="A25256" s="3" t="inlineStr">
        <is>
          <t>25152</t>
        </is>
      </c>
      <c r="B25256" s="4" t="s">
        <f>=HYPERLINK("http://anyluxury.ru/shop/posuda/kruzhki/kruzhkahameleon-on-display-matovaya-golubaya-s-chernim-1086941/" , "10869.41 Кружка-хамелеон On Display, матовая, черная с голубым")</f>
      </c>
      <c r="C25256" s="4" t="n">
        <v>370.00</v>
      </c>
      <c r="D25256" s="4"/>
    </row>
    <row collapsed="" customFormat="false" customHeight="1" hidden="" ht="14" outlineLevel="0" r="25257">
      <c r="A25257" s="3" t="inlineStr">
        <is>
          <t>25153</t>
        </is>
      </c>
      <c r="B25257" s="4" t="s">
        <f>=HYPERLINK("http://anyluxury.ru/shop/posuda/kruzhki/keramicheskaya-kruzhka-sole-350-ml-softtouch-zelenaya-20024040/" , "20024.040 Керамическая кружка Sole Neo, зеленая")</f>
      </c>
      <c r="C25257" s="4" t="n">
        <v>508.00</v>
      </c>
      <c r="D25257" s="4"/>
    </row>
    <row collapsed="" customFormat="false" customHeight="1" hidden="" ht="14" outlineLevel="0" r="25258">
      <c r="A25258" s="3" t="inlineStr">
        <is>
          <t>25154</t>
        </is>
      </c>
      <c r="B25258" s="4" t="s">
        <f>=HYPERLINK("http://anyluxury.ru/shop/posuda/kruzhki/keramicheskaya-kruzhka-sole-350-ml-softtouch-seraya-20024080/" , "20024.080 Керамическая кружка Sole Neo, серая")</f>
      </c>
      <c r="C25258" s="4" t="n">
        <v>508.00</v>
      </c>
      <c r="D25258" s="4"/>
    </row>
    <row collapsed="" customFormat="false" customHeight="1" hidden="" ht="14" outlineLevel="0" r="25259">
      <c r="A25259" s="3" t="inlineStr">
        <is>
          <t>25155</t>
        </is>
      </c>
      <c r="B25259" s="4" t="s">
        <f>=HYPERLINK("http://anyluxury.ru/shop/posuda/kruzhki/keramicheskaya-kruzhka-sole-350-ml-softtouch-chernaya-20024010/" , "20024.010 Керамическая кружка Sole Neo, черная")</f>
      </c>
      <c r="C25259" s="4" t="n">
        <v>508.00</v>
      </c>
      <c r="D25259" s="4"/>
    </row>
    <row collapsed="" customFormat="false" customHeight="1" hidden="" ht="14" outlineLevel="0" r="25260">
      <c r="A25260" s="3" t="inlineStr">
        <is>
          <t>25156</t>
        </is>
      </c>
      <c r="B25260" s="4" t="s">
        <f>=HYPERLINK("http://anyluxury.ru/shop/posuda/kruzhki/keramicheskaya-kruzhka-viana-380-ml-softtouch-seraya-20025080/" , "20025.080 Керамическая кружка Viana, серая")</f>
      </c>
      <c r="C25260" s="4" t="n">
        <v>508.00</v>
      </c>
      <c r="D25260" s="4"/>
    </row>
    <row collapsed="" customFormat="false" customHeight="1" hidden="" ht="14" outlineLevel="0" r="25261">
      <c r="A25261" s="3" t="inlineStr">
        <is>
          <t>25157</t>
        </is>
      </c>
      <c r="B25261" s="4" t="s">
        <f>=HYPERLINK("http://anyluxury.ru/shop/posuda/kruzhki/keramicheskaya-kruzhka-viana-380-ml-softtouch-chernaya-20025010/" , "20025.010 Керамическая кружка Viana, черная")</f>
      </c>
      <c r="C25261" s="4" t="n">
        <v>508.00</v>
      </c>
      <c r="D25261" s="4"/>
    </row>
    <row collapsed="" customFormat="false" customHeight="1" hidden="" ht="14" outlineLevel="0" r="25262">
      <c r="A25262" s="3" t="inlineStr">
        <is>
          <t>25158</t>
        </is>
      </c>
      <c r="B25262" s="4" t="s">
        <f>=HYPERLINK("http://anyluxury.ru/shop/posuda/kruzhki/chashka-industry-energetika-7136710/" , "71367.10 Чашка Industry, энергетика")</f>
      </c>
      <c r="C25262" s="4" t="n">
        <v>655.00</v>
      </c>
      <c r="D25262" s="4"/>
    </row>
    <row collapsed="" customFormat="false" customHeight="1" hidden="" ht="14" outlineLevel="0" r="25263">
      <c r="A25263" s="3" t="inlineStr">
        <is>
          <t>25159</t>
        </is>
      </c>
      <c r="B25263" s="4" t="s">
        <f>=HYPERLINK("http://anyluxury.ru/shop/posuda/kruzhki/chashka-industry-neft-i-gaz-7136730/" , "71367.30 Чашка Industry, нефть и газ")</f>
      </c>
      <c r="C25263" s="4" t="n">
        <v>655.00</v>
      </c>
      <c r="D25263" s="4"/>
    </row>
    <row collapsed="" customFormat="false" customHeight="1" hidden="" ht="14" outlineLevel="0" r="25264">
      <c r="A25264" s="3" t="inlineStr">
        <is>
          <t>25160</t>
        </is>
      </c>
      <c r="B25264" s="4" t="s">
        <f>=HYPERLINK("http://anyluxury.ru/shop/posuda/kruzhki/chashka-industry-morskaya-7136740/" , "71367.40 Чашка Industry, морская")</f>
      </c>
      <c r="C25264" s="4" t="n">
        <v>655.00</v>
      </c>
      <c r="D25264" s="4"/>
    </row>
    <row collapsed="" customFormat="false" customHeight="1" hidden="" ht="14" outlineLevel="0" r="25265">
      <c r="A25265" s="3" t="inlineStr">
        <is>
          <t>25161</t>
        </is>
      </c>
      <c r="B25265" s="4" t="s">
        <f>=HYPERLINK("http://anyluxury.ru/shop/posuda/kruzhki/chashka-industry-zdravoohranenie-7136750/" , "71367.50 Чашка Industry, здравоохранение")</f>
      </c>
      <c r="C25265" s="4" t="n">
        <v>655.00</v>
      </c>
      <c r="D25265" s="4"/>
    </row>
    <row collapsed="" customFormat="false" customHeight="1" hidden="" ht="14" outlineLevel="0" r="25266">
      <c r="A25266" s="3" t="inlineStr">
        <is>
          <t>25162</t>
        </is>
      </c>
      <c r="B25266" s="4" t="s">
        <f>=HYPERLINK("http://anyluxury.ru/shop/posuda/kruzhki/chashka-industry-metallurgiya-7136751/" , "71367.51 Чашка Industry, металлургия")</f>
      </c>
      <c r="C25266" s="4" t="n">
        <v>655.00</v>
      </c>
      <c r="D25266" s="4"/>
    </row>
    <row collapsed="" customFormat="false" customHeight="1" hidden="" ht="14" outlineLevel="0" r="25267">
      <c r="A25267" s="3" t="inlineStr">
        <is>
          <t>25163</t>
        </is>
      </c>
      <c r="B25267" s="4" t="s">
        <f>=HYPERLINK("http://anyluxury.ru/shop/posuda/kruzhki/kruzhka-modern-bell-classic-glyancevaya-belaya-2101060/" , "21010.60 Кружка Modern Bell Classic, глянцевая, белая")</f>
      </c>
      <c r="C25267" s="4" t="n">
        <v>273.00</v>
      </c>
      <c r="D25267" s="4"/>
    </row>
    <row collapsed="" customFormat="false" customHeight="1" hidden="" ht="14" outlineLevel="0" r="25268">
      <c r="A25268" s="3" t="inlineStr">
        <is>
          <t>25164</t>
        </is>
      </c>
      <c r="B25268" s="4" t="s">
        <f>=HYPERLINK("http://anyluxury.ru/shop/posuda/kruzhki/kruzhka-modern-bell-classic-glyancevaya-chernaya-2101030/" , "21010.30 Кружка Modern Bell Classic, глянцевая, черная")</f>
      </c>
      <c r="C25268" s="4" t="n">
        <v>273.00</v>
      </c>
      <c r="D25268" s="4"/>
    </row>
    <row collapsed="" customFormat="false" customHeight="1" hidden="" ht="14" outlineLevel="0" r="25269">
      <c r="A25269" s="3" t="inlineStr">
        <is>
          <t>25165</t>
        </is>
      </c>
      <c r="B25269" s="4" t="s">
        <f>=HYPERLINK("http://anyluxury.ru/shop/posuda/kruzhki/kruzhka-modern-bell-classic-glyancevaya-sinyaya-2101040/" , "21010.40 Кружка Modern Bell Classic, глянцевая, темно-синяя")</f>
      </c>
      <c r="C25269" s="4" t="n">
        <v>273.00</v>
      </c>
      <c r="D25269" s="4"/>
    </row>
    <row collapsed="" customFormat="false" customHeight="1" hidden="" ht="14" outlineLevel="0" r="25270">
      <c r="A25270" s="3" t="inlineStr">
        <is>
          <t>25166</t>
        </is>
      </c>
      <c r="B25270" s="4" t="s">
        <f>=HYPERLINK("http://anyluxury.ru/shop/posuda/kruzhki/kruzhka-modern-bell-classic-glyancevaya-krasnaya-2101050/" , "21010.50 Кружка Modern Bell Classic, глянцевая, красная")</f>
      </c>
      <c r="C25270" s="4" t="n">
        <v>273.00</v>
      </c>
      <c r="D25270" s="4"/>
    </row>
    <row collapsed="" customFormat="false" customHeight="1" hidden="" ht="14" outlineLevel="0" r="25271">
      <c r="A25271" s="3" t="inlineStr">
        <is>
          <t>25167</t>
        </is>
      </c>
      <c r="B25271" s="4" t="s">
        <f>=HYPERLINK("http://anyluxury.ru/shop/posuda/kruzhki/kruzhka-modern-bell-classic-glyancevaya-seraya-2101011/" , "21010.11 Кружка Modern Bell Classic, глянцевая, серая")</f>
      </c>
      <c r="C25271" s="4" t="n">
        <v>273.00</v>
      </c>
      <c r="D25271" s="4"/>
    </row>
    <row collapsed="" customFormat="false" customHeight="1" hidden="" ht="14" outlineLevel="0" r="25272">
      <c r="A25272" s="3" t="inlineStr">
        <is>
          <t>25168</t>
        </is>
      </c>
      <c r="B25272" s="4" t="s">
        <f>=HYPERLINK("http://anyluxury.ru/shop/posuda/kruzhki/chaynaya-para-clio-belaya-1704960/" , "17049.60 Чайная пара Clio, белая")</f>
      </c>
      <c r="C25272" s="4" t="n">
        <v>405.00</v>
      </c>
      <c r="D25272" s="4"/>
    </row>
    <row collapsed="" customFormat="false" customHeight="1" hidden="" ht="14" outlineLevel="0" r="25273">
      <c r="A25273" s="3" t="inlineStr">
        <is>
          <t>25169</t>
        </is>
      </c>
      <c r="B25273" s="4" t="s">
        <f>=HYPERLINK("http://anyluxury.ru/shop/posuda/kruzhki/chaynaya-para-clio-krasnaya-1704950/" , "17049.50 Чайная пара Clio, красная")</f>
      </c>
      <c r="C25273" s="4" t="n">
        <v>435.00</v>
      </c>
      <c r="D25273" s="4"/>
    </row>
    <row collapsed="" customFormat="false" customHeight="1" hidden="" ht="14" outlineLevel="0" r="25274">
      <c r="A25274" s="3" t="inlineStr">
        <is>
          <t>25170</t>
        </is>
      </c>
      <c r="B25274" s="4" t="s">
        <f>=HYPERLINK("http://anyluxury.ru/shop/posuda/kruzhki/chaynaya-para-clio-sinyaya-1704940/" , "17049.40 Чайная пара Clio, синяя")</f>
      </c>
      <c r="C25274" s="4" t="n">
        <v>435.00</v>
      </c>
      <c r="D25274" s="4"/>
    </row>
    <row collapsed="" customFormat="false" customHeight="1" hidden="" ht="14" outlineLevel="0" r="25275">
      <c r="A25275" s="3" t="inlineStr">
        <is>
          <t>25171</t>
        </is>
      </c>
      <c r="B25275" s="4" t="s">
        <f>=HYPERLINK("http://anyluxury.ru/shop/posuda/kruzhki/kruzhka-dacha-bolshaya-krasnaya-1588150/" , "15881.50 Кружка Dacha, большая, красная")</f>
      </c>
      <c r="C25275" s="4" t="n">
        <v>280.00</v>
      </c>
      <c r="D25275" s="4"/>
    </row>
    <row collapsed="" customFormat="false" customHeight="1" hidden="" ht="14" outlineLevel="0" r="25276">
      <c r="A25276" s="3" t="inlineStr">
        <is>
          <t>25172</t>
        </is>
      </c>
      <c r="B25276" s="4" t="s">
        <f>=HYPERLINK("http://anyluxury.ru/shop/posuda/kruzhki/kruzhka-dacha-bolshaya-sinyaya-1588140/" , "15881.40 Кружка Dacha, большая, синяя")</f>
      </c>
      <c r="C25276" s="4" t="n">
        <v>280.00</v>
      </c>
      <c r="D25276" s="4"/>
    </row>
    <row collapsed="" customFormat="false" customHeight="1" hidden="" ht="14" outlineLevel="0" r="25277">
      <c r="A25277" s="3" t="inlineStr">
        <is>
          <t>25173</t>
        </is>
      </c>
      <c r="B25277" s="4" t="s">
        <f>=HYPERLINK("http://anyluxury.ru/shop/posuda/kruzhki/kruzhka-inset-belaya-1588260/" , "15882.60 Кружка Inset, белая")</f>
      </c>
      <c r="C25277" s="4" t="n">
        <v>190.00</v>
      </c>
      <c r="D25277" s="4"/>
    </row>
    <row collapsed="" customFormat="false" customHeight="1" hidden="" ht="14" outlineLevel="0" r="25278">
      <c r="A25278" s="3" t="inlineStr">
        <is>
          <t>25174</t>
        </is>
      </c>
      <c r="B25278" s="4" t="s">
        <f>=HYPERLINK("http://anyluxury.ru/shop/posuda/kruzhki/kruzhka-inset-chernaya-1588230/" , "15882.30 Кружка Inset, черная")</f>
      </c>
      <c r="C25278" s="4" t="n">
        <v>201.00</v>
      </c>
      <c r="D25278" s="4"/>
    </row>
    <row collapsed="" customFormat="false" customHeight="1" hidden="" ht="14" outlineLevel="0" r="25279">
      <c r="A25279" s="3" t="inlineStr">
        <is>
          <t>25175</t>
        </is>
      </c>
      <c r="B25279" s="4" t="s">
        <f>=HYPERLINK("http://anyluxury.ru/shop/posuda/kruzhki/kruzhka-inset-krasnaya-1588250/" , "15882.50 Кружка Inset, красная")</f>
      </c>
      <c r="C25279" s="4" t="n">
        <v>201.00</v>
      </c>
      <c r="D25279" s="4"/>
    </row>
    <row collapsed="" customFormat="false" customHeight="1" hidden="" ht="14" outlineLevel="0" r="25280">
      <c r="A25280" s="3" t="inlineStr">
        <is>
          <t>25176</t>
        </is>
      </c>
      <c r="B25280" s="4" t="s">
        <f>=HYPERLINK("http://anyluxury.ru/shop/posuda/kruzhki/kruzhka-inset-sinyaya-1588240/" , "15882.40 Кружка Inset, синяя")</f>
      </c>
      <c r="C25280" s="4" t="n">
        <v>201.00</v>
      </c>
      <c r="D25280" s="4"/>
    </row>
    <row collapsed="" customFormat="false" customHeight="1" hidden="" ht="14" outlineLevel="0" r="25281">
      <c r="A25281" s="3" t="inlineStr">
        <is>
          <t>25177</t>
        </is>
      </c>
      <c r="B25281" s="4" t="s">
        <f>=HYPERLINK("http://anyluxury.ru/shop/posuda/kruzhki/kruzhka-simmy-belaya-s-sinim-1588340/" , "15883.40 Кружка Simmy, белая с синим")</f>
      </c>
      <c r="C25281" s="4" t="n">
        <v>230.00</v>
      </c>
      <c r="D25281" s="4"/>
    </row>
    <row collapsed="" customFormat="false" customHeight="1" hidden="" ht="14" outlineLevel="0" r="25282">
      <c r="A25282" s="3" t="inlineStr">
        <is>
          <t>25178</t>
        </is>
      </c>
      <c r="B25282" s="4" t="s">
        <f>=HYPERLINK("http://anyluxury.ru/shop/posuda/kruzhki/kruzhka-simmy-belaya-s-krasnim-1588350/" , "15883.50 Кружка Simmy, белая с красным")</f>
      </c>
      <c r="C25282" s="4" t="n">
        <v>230.00</v>
      </c>
      <c r="D25282" s="4"/>
    </row>
    <row collapsed="" customFormat="false" customHeight="1" hidden="" ht="14" outlineLevel="0" r="25283">
      <c r="A25283" s="3" t="inlineStr">
        <is>
          <t>25179</t>
        </is>
      </c>
      <c r="B25283" s="4" t="s">
        <f>=HYPERLINK("http://anyluxury.ru/shop/posuda/kruzhki/kruzhka-simmy-belaya-s-chernim-1588330/" , "15883.30 Кружка Simmy, белая с черным")</f>
      </c>
      <c r="C25283" s="4" t="n">
        <v>230.00</v>
      </c>
      <c r="D25283" s="4"/>
    </row>
    <row collapsed="" customFormat="false" customHeight="1" hidden="" ht="14" outlineLevel="0" r="25284">
      <c r="A25284" s="3" t="inlineStr">
        <is>
          <t>25180</t>
        </is>
      </c>
      <c r="B25284" s="4" t="s">
        <f>=HYPERLINK("http://anyluxury.ru/shop/posuda/kruzhki/kruzhka-bright-tulip-matovaya-chernaya-s-belim-1073560/" , "10735.60 Кружка Bright Tulip, матовая, черная с белым")</f>
      </c>
      <c r="C25284" s="4" t="n">
        <v>361.00</v>
      </c>
      <c r="D25284" s="4"/>
    </row>
    <row collapsed="" customFormat="false" customHeight="1" hidden="" ht="14" outlineLevel="0" r="25285">
      <c r="A25285" s="3" t="inlineStr">
        <is>
          <t>25181</t>
        </is>
      </c>
      <c r="B25285" s="4" t="s">
        <f>=HYPERLINK("http://anyluxury.ru/shop/posuda/kruzhki/kruzhka-bright-tulip-matovaya-chernaya-s-zheltim-1073580/" , "10735.80 Кружка Bright Tulip, матовая, черная с желтым")</f>
      </c>
      <c r="C25285" s="4" t="n">
        <v>361.00</v>
      </c>
      <c r="D25285" s="4"/>
    </row>
    <row collapsed="" customFormat="false" customHeight="1" hidden="" ht="14" outlineLevel="0" r="25286">
      <c r="A25286" s="3" t="inlineStr">
        <is>
          <t>25182</t>
        </is>
      </c>
      <c r="B25286" s="4" t="s">
        <f>=HYPERLINK("http://anyluxury.ru/shop/posuda/kruzhki/kruzhka-bright-tulip-matovaya-chernaya-s-zelenim-1073590/" , "10735.90 Кружка Bright Tulip, матовая, черная с зеленым")</f>
      </c>
      <c r="C25286" s="4" t="n">
        <v>361.00</v>
      </c>
      <c r="D25286" s="4"/>
    </row>
    <row collapsed="" customFormat="false" customHeight="1" hidden="" ht="14" outlineLevel="0" r="25287">
      <c r="A25287" s="3" t="inlineStr">
        <is>
          <t>25183</t>
        </is>
      </c>
      <c r="B25287" s="4" t="s">
        <f>=HYPERLINK("http://anyluxury.ru/shop/posuda/kruzhki/kruzhka-bright-tulip-matovaya-chernaya-s-fioletovim-1073570/" , "10735.70 Кружка Bright Tulip, матовая, черная с фиолетовым")</f>
      </c>
      <c r="C25287" s="4" t="n">
        <v>361.00</v>
      </c>
      <c r="D25287" s="4"/>
    </row>
    <row collapsed="" customFormat="false" customHeight="1" hidden="" ht="14" outlineLevel="0" r="25288">
      <c r="A25288" s="3" t="inlineStr">
        <is>
          <t>25184</t>
        </is>
      </c>
      <c r="B25288" s="4" t="s">
        <f>=HYPERLINK("http://anyluxury.ru/shop/posuda/kruzhki/kruzhka-surprise-touch-c-pokritiem-softtach-krasnaya-s-golubim-1250351/" , "12503.51 Кружка Surprise Touch c покрытием софт-тач, красная с голубым")</f>
      </c>
      <c r="C25288" s="4" t="n">
        <v>445.00</v>
      </c>
      <c r="D25288" s="4"/>
    </row>
    <row collapsed="" customFormat="false" customHeight="1" hidden="" ht="14" outlineLevel="0" r="25289">
      <c r="A25289" s="3" t="inlineStr">
        <is>
          <t>25185</t>
        </is>
      </c>
      <c r="B25289" s="4" t="s">
        <f>=HYPERLINK("http://anyluxury.ru/shop/posuda/kruzhki/chashka-fusion-oranzhevaya-1291620/" , "12916.20 Чашка Fusion, оранжевая")</f>
      </c>
      <c r="C25289" s="4" t="n">
        <v>452.00</v>
      </c>
      <c r="D25289" s="4"/>
    </row>
    <row collapsed="" customFormat="false" customHeight="1" hidden="" ht="14" outlineLevel="0" r="25290">
      <c r="A25290" s="3" t="inlineStr">
        <is>
          <t>25186</t>
        </is>
      </c>
      <c r="B25290" s="4" t="s">
        <f>=HYPERLINK("http://anyluxury.ru/shop/posuda/kruzhki/chashka-fusion-zheltaya-1291680/" , "12916.80 Чашка Fusion, желтая")</f>
      </c>
      <c r="C25290" s="4" t="n">
        <v>452.00</v>
      </c>
      <c r="D25290" s="4"/>
    </row>
    <row collapsed="" customFormat="false" customHeight="1" hidden="" ht="14" outlineLevel="0" r="25291">
      <c r="A25291" s="3" t="inlineStr">
        <is>
          <t>25187</t>
        </is>
      </c>
      <c r="B25291" s="4" t="s">
        <f>=HYPERLINK("http://anyluxury.ru/shop/posuda/kruzhki/chashka-fusion-zelenaya-1291690/" , "12916.90 Чашка Fusion, зеленая")</f>
      </c>
      <c r="C25291" s="4" t="n">
        <v>452.00</v>
      </c>
      <c r="D25291" s="4"/>
    </row>
    <row collapsed="" customFormat="false" customHeight="1" hidden="" ht="14" outlineLevel="0" r="25292">
      <c r="A25292" s="3" t="inlineStr">
        <is>
          <t>25188</t>
        </is>
      </c>
      <c r="B25292" s="4" t="s">
        <f>=HYPERLINK("http://anyluxury.ru/shop/posuda/kruzhki/kruzhka-dacha-malaya-belaya-2100960/" , "21009.60 Кружка Dacha, малая, белая")</f>
      </c>
      <c r="C25292" s="4" t="n">
        <v>150.00</v>
      </c>
      <c r="D25292" s="4"/>
    </row>
    <row collapsed="" customFormat="false" customHeight="1" hidden="" ht="14" outlineLevel="0" r="25293">
      <c r="A25293" s="3" t="inlineStr">
        <is>
          <t>25189</t>
        </is>
      </c>
      <c r="B25293" s="4" t="s">
        <f>=HYPERLINK("http://anyluxury.ru/shop/posuda/kruzhki/kruzhka-dacha-malaya-sinyaya-2100940/" , "21009.40 Кружка Dacha, малая, синяя")</f>
      </c>
      <c r="C25293" s="4" t="n">
        <v>150.00</v>
      </c>
      <c r="D25293" s="4"/>
    </row>
    <row collapsed="" customFormat="false" customHeight="1" hidden="" ht="14" outlineLevel="0" r="25294">
      <c r="A25294" s="3" t="inlineStr">
        <is>
          <t>25190</t>
        </is>
      </c>
      <c r="B25294" s="4" t="s">
        <f>=HYPERLINK("http://anyluxury.ru/shop/posuda/kruzhki/kruzhka-dacha-malaya-krasnaya-2100950/" , "21009.50 Кружка Dacha, малая, красная")</f>
      </c>
      <c r="C25294" s="4" t="n">
        <v>150.00</v>
      </c>
      <c r="D25294" s="4"/>
    </row>
    <row collapsed="" customFormat="false" customHeight="1" hidden="" ht="14" outlineLevel="0" r="25295">
      <c r="A25295" s="3" t="inlineStr">
        <is>
          <t>25191</t>
        </is>
      </c>
      <c r="B25295" s="4" t="s">
        <f>=HYPERLINK("http://anyluxury.ru/shop/posuda/kruzhki/kruzhka-kroma-1902200/" , "19022.00 Кружка «Крома»")</f>
      </c>
      <c r="C25295" s="4" t="n">
        <v>143.00</v>
      </c>
      <c r="D25295" s="4"/>
    </row>
    <row collapsed="" customFormat="false" customHeight="1" hidden="" ht="14" outlineLevel="0" r="25296">
      <c r="A25296" s="3" t="inlineStr">
        <is>
          <t>25192</t>
        </is>
      </c>
      <c r="B25296" s="4" t="s">
        <f>=HYPERLINK("http://anyluxury.ru/shop/posuda/kruzhki/kruzhka-basic-round-1902500/" , "19025.00 Кружка Basic Round")</f>
      </c>
      <c r="C25296" s="4" t="n">
        <v>94.80</v>
      </c>
      <c r="D25296" s="4"/>
    </row>
    <row collapsed="" customFormat="false" customHeight="1" hidden="" ht="14" outlineLevel="0" r="25297">
      <c r="A25297" s="3" t="inlineStr">
        <is>
          <t>25193</t>
        </is>
      </c>
      <c r="B25297" s="4" t="s">
        <f>=HYPERLINK("http://anyluxury.ru/shop/posuda/kruzhki/kruzhka-metallic-zolotistaya-1902400/" , "19024.00 Кружка Metallic, золотистая")</f>
      </c>
      <c r="C25297" s="4" t="n">
        <v>277.00</v>
      </c>
      <c r="D25297" s="4"/>
    </row>
    <row collapsed="" customFormat="false" customHeight="1" hidden="" ht="14" outlineLevel="0" r="25298">
      <c r="A25298" s="3" t="inlineStr">
        <is>
          <t>25194</t>
        </is>
      </c>
      <c r="B25298" s="4" t="s">
        <f>=HYPERLINK("http://anyluxury.ru/shop/posuda/kruzhki/kruzhka-best-noon-c-pokritiem-softtach-chernaya-1335530/" , "13355.30 Кружка Best Noon c покрытием софт-тач, черная")</f>
      </c>
      <c r="C25298" s="4" t="n">
        <v>432.00</v>
      </c>
      <c r="D25298" s="4"/>
    </row>
    <row collapsed="" customFormat="false" customHeight="1" hidden="" ht="14" outlineLevel="0" r="25299">
      <c r="A25299" s="3" t="inlineStr">
        <is>
          <t>25195</t>
        </is>
      </c>
      <c r="B25299" s="4" t="s">
        <f>=HYPERLINK("http://anyluxury.ru/shop/posuda/kruzhki/kruzhka-best-noon-c-pokritiem-softtach-sinyaya-1335540/" , "13355.40 Кружка Best Noon c покрытием софт-тач, синяя")</f>
      </c>
      <c r="C25299" s="4" t="n">
        <v>432.00</v>
      </c>
      <c r="D25299" s="4"/>
    </row>
    <row collapsed="" customFormat="false" customHeight="1" hidden="" ht="14" outlineLevel="0" r="25300">
      <c r="A25300" s="3" t="inlineStr">
        <is>
          <t>25196</t>
        </is>
      </c>
      <c r="B25300" s="4" t="s">
        <f>=HYPERLINK("http://anyluxury.ru/shop/posuda/kruzhki/kruzhka-best-noon-c-pokritiem-softtach-krasnaya-1335550/" , "13355.50 Кружка Best Noon c покрытием софт-тач, красная")</f>
      </c>
      <c r="C25300" s="4" t="n">
        <v>432.00</v>
      </c>
      <c r="D25300" s="4"/>
    </row>
    <row collapsed="" customFormat="false" customHeight="1" hidden="" ht="14" outlineLevel="0" r="25301">
      <c r="A25301" s="3" t="inlineStr">
        <is>
          <t>25197</t>
        </is>
      </c>
      <c r="B25301" s="4" t="s">
        <f>=HYPERLINK("http://anyluxury.ru/shop/posuda/kruzhki/kruzhka-best-noon-c-pokritiem-softtach-oranzhevaya-1335520/" , "13355.20 Кружка Best Noon c покрытием софт-тач, оранжевая")</f>
      </c>
      <c r="C25301" s="4" t="n">
        <v>432.00</v>
      </c>
      <c r="D25301" s="4"/>
    </row>
    <row collapsed="" customFormat="false" customHeight="1" hidden="" ht="14" outlineLevel="0" r="25302">
      <c r="A25302" s="3" t="inlineStr">
        <is>
          <t>25198</t>
        </is>
      </c>
      <c r="B25302" s="4" t="s">
        <f>=HYPERLINK("http://anyluxury.ru/shop/posuda/kruzhki/kruzhka-best-noon-c-pokritiem-softtach-golubaya-1335514/" , "13355.14 Кружка Best Noon c покрытием софт-тач, голубая")</f>
      </c>
      <c r="C25302" s="4" t="n">
        <v>432.00</v>
      </c>
      <c r="D25302" s="4"/>
    </row>
    <row collapsed="" customFormat="false" customHeight="1" hidden="" ht="14" outlineLevel="0" r="25303">
      <c r="A25303" s="3" t="inlineStr">
        <is>
          <t>25199</t>
        </is>
      </c>
      <c r="B25303" s="4" t="s">
        <f>=HYPERLINK("http://anyluxury.ru/shop/posuda/kruzhki/kruzhka-surprise-touch-black-c-pokritiem-softtach-sinyaya-1335640/" , "13356.40 Кружка Surprise Touch Black c покрытием софт-тач, синяя")</f>
      </c>
      <c r="C25303" s="4" t="n">
        <v>480.00</v>
      </c>
      <c r="D25303" s="4"/>
    </row>
    <row collapsed="" customFormat="false" customHeight="1" hidden="" ht="14" outlineLevel="0" r="25304">
      <c r="A25304" s="3" t="inlineStr">
        <is>
          <t>25200</t>
        </is>
      </c>
      <c r="B25304" s="4" t="s">
        <f>=HYPERLINK("http://anyluxury.ru/shop/posuda/kruzhki/kruzhka-surprise-touch-black-c-pokritiem-softtach-krasnaya-1335650/" , "13356.50 Кружка Surprise Touch Black c покрытием софт-тач, красная")</f>
      </c>
      <c r="C25304" s="4" t="n">
        <v>480.00</v>
      </c>
      <c r="D25304" s="4"/>
    </row>
    <row collapsed="" customFormat="false" customHeight="1" hidden="" ht="14" outlineLevel="0" r="25305">
      <c r="A25305" s="3" t="inlineStr">
        <is>
          <t>25201</t>
        </is>
      </c>
      <c r="B25305" s="4" t="s">
        <f>=HYPERLINK("http://anyluxury.ru/shop/posuda/kruzhki/kruzhka-surprise-touch-black-c-pokritiem-softtach-zheltaya-1335681/" , "13356.81 Кружка Surprise Touch Black c покрытием софт-тач, желтая")</f>
      </c>
      <c r="C25305" s="4" t="n">
        <v>480.00</v>
      </c>
      <c r="D25305" s="4"/>
    </row>
    <row collapsed="" customFormat="false" customHeight="1" hidden="" ht="14" outlineLevel="0" r="25306">
      <c r="A25306" s="3" t="inlineStr">
        <is>
          <t>25202</t>
        </is>
      </c>
      <c r="B25306" s="4" t="s">
        <f>=HYPERLINK("http://anyluxury.ru/shop/posuda/kruzhki/kruzhka-surprise-touch-black-c-pokritiem-softtach-zelenaya-1335690/" , "13356.90 Кружка Surprise Touch Black c покрытием софт-тач, зеленая")</f>
      </c>
      <c r="C25306" s="4" t="n">
        <v>480.00</v>
      </c>
      <c r="D25306" s="4"/>
    </row>
    <row collapsed="" customFormat="false" customHeight="1" hidden="" ht="14" outlineLevel="0" r="25307">
      <c r="A25307" s="3" t="inlineStr">
        <is>
          <t>25203</t>
        </is>
      </c>
      <c r="B25307" s="4" t="s">
        <f>=HYPERLINK("http://anyluxury.ru/shop/posuda/kruzhki/chashka-industry-nauka-7136711/" , "71367.11 Чашка Industry, наука и искусство")</f>
      </c>
      <c r="C25307" s="4" t="n">
        <v>655.00</v>
      </c>
      <c r="D25307" s="4"/>
    </row>
    <row collapsed="" customFormat="false" customHeight="1" hidden="" ht="14" outlineLevel="0" r="25308">
      <c r="A25308" s="3" t="inlineStr">
        <is>
          <t>25204</t>
        </is>
      </c>
      <c r="B25308" s="4" t="s">
        <f>=HYPERLINK("http://anyluxury.ru/shop/posuda/kruzhki/chashka-industry-stroitelstvo-7136712/" , "71367.12 Чашка Industry, строительство")</f>
      </c>
      <c r="C25308" s="4" t="n">
        <v>655.00</v>
      </c>
      <c r="D25308" s="4"/>
    </row>
    <row collapsed="" customFormat="false" customHeight="1" hidden="" ht="14" outlineLevel="0" r="25309">
      <c r="A25309" s="3" t="inlineStr">
        <is>
          <t>25205</t>
        </is>
      </c>
      <c r="B25309" s="4" t="s">
        <f>=HYPERLINK("http://anyluxury.ru/shop/posuda/kruzhki/chashka-industry-logistika-7136742/" , "71367.42 Чашка, Industry, логистика")</f>
      </c>
      <c r="C25309" s="4" t="n">
        <v>655.00</v>
      </c>
      <c r="D25309" s="4"/>
    </row>
    <row collapsed="" customFormat="false" customHeight="1" hidden="" ht="14" outlineLevel="0" r="25310">
      <c r="A25310" s="3" t="inlineStr">
        <is>
          <t>25206</t>
        </is>
      </c>
      <c r="B25310" s="4" t="s">
        <f>=HYPERLINK("http://anyluxury.ru/shop/posuda/kruzhki/chashka-industry-kafe-i-restorani-7136752/" , "71367.52 Чашка, Industry, кафе и рестораны")</f>
      </c>
      <c r="C25310" s="4" t="n">
        <v>655.00</v>
      </c>
      <c r="D25310" s="4"/>
    </row>
    <row collapsed="" customFormat="false" customHeight="1" hidden="" ht="14" outlineLevel="0" r="25311">
      <c r="A25311" s="3" t="inlineStr">
        <is>
          <t>25207</t>
        </is>
      </c>
      <c r="B25311" s="4" t="s">
        <f>=HYPERLINK("http://anyluxury.ru/shop/posuda/kruzhki/chashka-industry-selskoe-hozyaystvo-7136720/" , "71367.20 Чашка, Industry, сельское хозяйство")</f>
      </c>
      <c r="C25311" s="4" t="n">
        <v>655.00</v>
      </c>
      <c r="D25311" s="4"/>
    </row>
    <row collapsed="" customFormat="false" customHeight="1" hidden="" ht="14" outlineLevel="0" r="25312">
      <c r="A25312" s="3" t="inlineStr">
        <is>
          <t>25208</t>
        </is>
      </c>
      <c r="B25312" s="4" t="s">
        <f>=HYPERLINK("http://anyluxury.ru/shop/posuda/kruzhki/chashka-coralli-rio-1882660/" , "18826.60 Чашка Coralli Rio")</f>
      </c>
      <c r="C25312" s="4" t="n">
        <v>1100.00</v>
      </c>
      <c r="D25312" s="4"/>
    </row>
    <row collapsed="" customFormat="false" customHeight="1" hidden="" ht="14" outlineLevel="0" r="25313">
      <c r="A25313" s="3" t="inlineStr">
        <is>
          <t>25209</t>
        </is>
      </c>
      <c r="B25313" s="4" t="s">
        <f>=HYPERLINK("http://anyluxury.ru/shop/posuda/kruzhki/kruzhka-mansion-select-belaya-s-zolotistoy-otvodkoy-1377400/" , "13774.00 Кружка Select, белая с золотистой отводкой")</f>
      </c>
      <c r="C25313" s="4" t="n">
        <v>470.00</v>
      </c>
      <c r="D25313" s="4"/>
    </row>
    <row collapsed="" customFormat="false" customHeight="1" hidden="" ht="14" outlineLevel="0" r="25314">
      <c r="A25314" s="3" t="inlineStr">
        <is>
          <t>25210</t>
        </is>
      </c>
      <c r="B25314" s="4" t="s">
        <f>=HYPERLINK("http://anyluxury.ru/shop/posuda/kruzhki/kruzhka-mansion-select-belaya-s-serebristoy-otvodkoy-1377411/" , "13774.11 Кружка Select, белая с серебристой отводкой")</f>
      </c>
      <c r="C25314" s="4" t="n">
        <v>455.00</v>
      </c>
      <c r="D25314" s="4"/>
    </row>
    <row collapsed="" customFormat="false" customHeight="1" hidden="" ht="14" outlineLevel="0" r="25315">
      <c r="A25315" s="3" t="inlineStr">
        <is>
          <t>25211</t>
        </is>
      </c>
      <c r="B25315" s="4" t="s">
        <f>=HYPERLINK("http://anyluxury.ru/shop/posuda/kruzhki/keramicheskaya-kruzhka-astra-380-ml-beliysiniy-22056030/" , "22056.030 Керамическая кружка Astra, белый/синий")</f>
      </c>
      <c r="C25315" s="4" t="n">
        <v>380.00</v>
      </c>
      <c r="D25315" s="4"/>
    </row>
    <row collapsed="" customFormat="false" customHeight="1" hidden="" ht="14" outlineLevel="0" r="25316">
      <c r="A25316" s="3" t="inlineStr">
        <is>
          <t>25212</t>
        </is>
      </c>
      <c r="B25316" s="4" t="s">
        <f>=HYPERLINK("http://anyluxury.ru/shop/posuda/kruzhki/kruzhka-gonna-chernaya-1420630/" , "14206.30 Кружка Gonna, черная")</f>
      </c>
      <c r="C25316" s="4" t="n">
        <v>450.00</v>
      </c>
      <c r="D25316" s="4"/>
    </row>
    <row collapsed="" customFormat="false" customHeight="1" hidden="" ht="14" outlineLevel="0" r="25317">
      <c r="A25317" s="3" t="inlineStr">
        <is>
          <t>25213</t>
        </is>
      </c>
      <c r="B25317" s="4" t="s">
        <f>=HYPERLINK("http://anyluxury.ru/shop/posuda/kruzhki/kruzhka-gonna-sinyaya-1420640/" , "14206.40 Кружка Gonna, синяя")</f>
      </c>
      <c r="C25317" s="4" t="n">
        <v>450.00</v>
      </c>
      <c r="D25317" s="4"/>
    </row>
    <row collapsed="" customFormat="false" customHeight="1" hidden="" ht="14" outlineLevel="0" r="25318">
      <c r="A25318" s="3" t="inlineStr">
        <is>
          <t>25214</t>
        </is>
      </c>
      <c r="B25318" s="4" t="s">
        <f>=HYPERLINK("http://anyluxury.ru/shop/posuda/kruzhki/kruzhka-gonna-krasnaya-1420650/" , "14206.50 Кружка Gonna, красная")</f>
      </c>
      <c r="C25318" s="4" t="n">
        <v>450.00</v>
      </c>
      <c r="D25318" s="4"/>
    </row>
    <row collapsed="" customFormat="false" customHeight="1" hidden="" ht="14" outlineLevel="0" r="25319">
      <c r="A25319" s="3" t="inlineStr">
        <is>
          <t>25215</t>
        </is>
      </c>
      <c r="B25319" s="4" t="s">
        <f>=HYPERLINK("http://anyluxury.ru/shop/posuda/kruzhki/kruzhka-corky-oranzhevaya-1289420/" , "12894.20 Кружка с пробковой подставкой Corky, оранжевая")</f>
      </c>
      <c r="C25319" s="4" t="n">
        <v>547.00</v>
      </c>
      <c r="D25319" s="4"/>
    </row>
    <row collapsed="" customFormat="false" customHeight="1" hidden="" ht="14" outlineLevel="0" r="25320">
      <c r="A25320" s="3" t="inlineStr">
        <is>
          <t>25216</t>
        </is>
      </c>
      <c r="B25320" s="4" t="s">
        <f>=HYPERLINK("http://anyluxury.ru/shop/posuda/kruzhki/kruzhka-corky-seraya-1289411/" , "12894.11 Кружка с пробковой подставкой Corky, серая")</f>
      </c>
      <c r="C25320" s="4" t="n">
        <v>547.00</v>
      </c>
      <c r="D25320" s="4"/>
    </row>
    <row collapsed="" customFormat="false" customHeight="1" hidden="" ht="14" outlineLevel="0" r="25321">
      <c r="A25321" s="3" t="inlineStr">
        <is>
          <t>25217</t>
        </is>
      </c>
      <c r="B25321" s="4" t="s">
        <f>=HYPERLINK("http://anyluxury.ru/shop/posuda/kruzhki/kruzhka-corky-zelenaya-1289490/" , "12894.90 Кружка с пробковой подставкой Corky, зеленая")</f>
      </c>
      <c r="C25321" s="4" t="n">
        <v>547.00</v>
      </c>
      <c r="D25321" s="4"/>
    </row>
    <row collapsed="" customFormat="false" customHeight="1" hidden="" ht="14" outlineLevel="0" r="25322">
      <c r="A25322" s="3" t="inlineStr">
        <is>
          <t>25218</t>
        </is>
      </c>
      <c r="B25322" s="4" t="s">
        <f>=HYPERLINK("http://anyluxury.ru/shop/posuda/kruzhki/kruzhka-good-morning-s-pokritiem-softtach-seraya-1465311/" , "14653.11 Кружка Good Morning с покрытием софт-тач, серая")</f>
      </c>
      <c r="C25322" s="4" t="n">
        <v>333.00</v>
      </c>
      <c r="D25322" s="4"/>
    </row>
    <row collapsed="" customFormat="false" customHeight="1" hidden="" ht="14" outlineLevel="0" r="25323">
      <c r="A25323" s="3" t="inlineStr">
        <is>
          <t>25219</t>
        </is>
      </c>
      <c r="B25323" s="4" t="s">
        <f>=HYPERLINK("http://anyluxury.ru/shop/posuda/kruzhki/kruzhka-good-morning-s-pokritiem-softtach-golubaya-1465314/" , "14653.14 Кружка Good Morning с покрытием софт-тач, голубая")</f>
      </c>
      <c r="C25323" s="4" t="n">
        <v>333.00</v>
      </c>
      <c r="D25323" s="4"/>
    </row>
    <row collapsed="" customFormat="false" customHeight="1" hidden="" ht="14" outlineLevel="0" r="25324">
      <c r="A25324" s="3" t="inlineStr">
        <is>
          <t>25220</t>
        </is>
      </c>
      <c r="B25324" s="4" t="s">
        <f>=HYPERLINK("http://anyluxury.ru/shop/posuda/kruzhki/kruzhka-good-morning-s-pokritiem-softtach-oranzhevaya-1465320/" , "14653.20 Кружка Good Morning с покрытием софт-тач, оранжевая")</f>
      </c>
      <c r="C25324" s="4" t="n">
        <v>333.00</v>
      </c>
      <c r="D25324" s="4"/>
    </row>
    <row collapsed="" customFormat="false" customHeight="1" hidden="" ht="14" outlineLevel="0" r="25325">
      <c r="A25325" s="3" t="inlineStr">
        <is>
          <t>25221</t>
        </is>
      </c>
      <c r="B25325" s="4" t="s">
        <f>=HYPERLINK("http://anyluxury.ru/shop/posuda/kruzhki/kruzhka-good-morning-s-pokritiem-softtach-chernaya-1465330/" , "14653.30 Кружка Good Morning с покрытием софт-тач, черная")</f>
      </c>
      <c r="C25325" s="4" t="n">
        <v>333.00</v>
      </c>
      <c r="D25325" s="4"/>
    </row>
    <row collapsed="" customFormat="false" customHeight="1" hidden="" ht="14" outlineLevel="0" r="25326">
      <c r="A25326" s="3" t="inlineStr">
        <is>
          <t>25222</t>
        </is>
      </c>
      <c r="B25326" s="4" t="s">
        <f>=HYPERLINK("http://anyluxury.ru/shop/posuda/kruzhki/kruzhka-good-morning-s-pokritiem-softtach-sinyaya-1465340/" , "14653.40 Кружка Good Morning с покрытием софт-тач, синяя")</f>
      </c>
      <c r="C25326" s="4" t="n">
        <v>333.00</v>
      </c>
      <c r="D25326" s="4"/>
    </row>
    <row collapsed="" customFormat="false" customHeight="1" hidden="" ht="14" outlineLevel="0" r="25327">
      <c r="A25327" s="3" t="inlineStr">
        <is>
          <t>25223</t>
        </is>
      </c>
      <c r="B25327" s="4" t="s">
        <f>=HYPERLINK("http://anyluxury.ru/shop/posuda/kruzhki/kruzhka-good-morning-s-pokritiem-softtach-biryuzovaya-1465349/" , "14653.49 Кружка Good Morning с покрытием софт-тач, бирюзовая")</f>
      </c>
      <c r="C25327" s="4" t="n">
        <v>333.00</v>
      </c>
      <c r="D25327" s="4"/>
    </row>
    <row collapsed="" customFormat="false" customHeight="1" hidden="" ht="14" outlineLevel="0" r="25328">
      <c r="A25328" s="3" t="inlineStr">
        <is>
          <t>25224</t>
        </is>
      </c>
      <c r="B25328" s="4" t="s">
        <f>=HYPERLINK("http://anyluxury.ru/shop/posuda/kruzhki/kruzhka-good-morning-s-pokritiem-softtach-yarkokrasnaya-1465355/" , "14653.55 Кружка Good Morning с покрытием софт-тач, ярко-красная")</f>
      </c>
      <c r="C25328" s="4" t="n">
        <v>333.00</v>
      </c>
      <c r="D25328" s="4"/>
    </row>
    <row collapsed="" customFormat="false" customHeight="1" hidden="" ht="14" outlineLevel="0" r="25329">
      <c r="A25329" s="3" t="inlineStr">
        <is>
          <t>25225</t>
        </is>
      </c>
      <c r="B25329" s="4" t="s">
        <f>=HYPERLINK("http://anyluxury.ru/shop/posuda/kruzhki/kruzhka-good-morning-s-pokritiem-softtach-fioletovaya-1465357/" , "14653.57 Кружка Good Morning с покрытием софт-тач, фиолетовая")</f>
      </c>
      <c r="C25329" s="4" t="n">
        <v>333.00</v>
      </c>
      <c r="D25329" s="4"/>
    </row>
    <row collapsed="" customFormat="false" customHeight="1" hidden="" ht="14" outlineLevel="0" r="25330">
      <c r="A25330" s="3" t="inlineStr">
        <is>
          <t>25226</t>
        </is>
      </c>
      <c r="B25330" s="4" t="s">
        <f>=HYPERLINK("http://anyluxury.ru/shop/posuda/kruzhki/kruzhka-good-morning-s-pokritiem-softtach-korichnevaya-1465359/" , "14653.59 Кружка Good Morning с покрытием софт-тач, коричневая")</f>
      </c>
      <c r="C25330" s="4" t="n">
        <v>333.00</v>
      </c>
      <c r="D25330" s="4"/>
    </row>
    <row collapsed="" customFormat="false" customHeight="1" hidden="" ht="14" outlineLevel="0" r="25331">
      <c r="A25331" s="3" t="inlineStr">
        <is>
          <t>25227</t>
        </is>
      </c>
      <c r="B25331" s="4" t="s">
        <f>=HYPERLINK("http://anyluxury.ru/shop/posuda/kruzhki/kruzhka-good-morning-s-pokritiem-softtach-yarkorozovaya-fuksiya-1465377/" , "14653.77 Кружка Good Morning с покрытием софт-тач, ярко-розовая (фуксия)")</f>
      </c>
      <c r="C25331" s="4" t="n">
        <v>333.00</v>
      </c>
      <c r="D25331" s="4"/>
    </row>
    <row collapsed="" customFormat="false" customHeight="1" hidden="" ht="14" outlineLevel="0" r="25332">
      <c r="A25332" s="3" t="inlineStr">
        <is>
          <t>25228</t>
        </is>
      </c>
      <c r="B25332" s="4" t="s">
        <f>=HYPERLINK("http://anyluxury.ru/shop/posuda/kruzhki/kruzhka-promo-soft-c-pokritiem-softtach-oranzhevaya-1465420/" , "14654.20 Кружка Promo Soft c покрытием софт-тач, оранжевая")</f>
      </c>
      <c r="C25332" s="4" t="n">
        <v>363.00</v>
      </c>
      <c r="D25332" s="4"/>
    </row>
    <row collapsed="" customFormat="false" customHeight="1" hidden="" ht="14" outlineLevel="0" r="25333">
      <c r="A25333" s="3" t="inlineStr">
        <is>
          <t>25229</t>
        </is>
      </c>
      <c r="B25333" s="4" t="s">
        <f>=HYPERLINK("http://anyluxury.ru/shop/posuda/kruzhki/kruzhka-promo-soft-c-pokritiem-softtach-chernaya-1465430/" , "14654.30 Кружка Promo Soft c покрытием софт-тач, черная")</f>
      </c>
      <c r="C25333" s="4" t="n">
        <v>363.00</v>
      </c>
      <c r="D25333" s="4"/>
    </row>
    <row collapsed="" customFormat="false" customHeight="1" hidden="" ht="14" outlineLevel="0" r="25334">
      <c r="A25334" s="3" t="inlineStr">
        <is>
          <t>25230</t>
        </is>
      </c>
      <c r="B25334" s="4" t="s">
        <f>=HYPERLINK("http://anyluxury.ru/shop/posuda/kruzhki/kruzhka-promo-soft-c-pokritiem-softtach-sinyaya-1465440/" , "14654.40 Кружка Promo Soft c покрытием софт-тач, синяя")</f>
      </c>
      <c r="C25334" s="4" t="n">
        <v>363.00</v>
      </c>
      <c r="D25334" s="4"/>
    </row>
    <row collapsed="" customFormat="false" customHeight="1" hidden="" ht="14" outlineLevel="0" r="25335">
      <c r="A25335" s="3" t="inlineStr">
        <is>
          <t>25231</t>
        </is>
      </c>
      <c r="B25335" s="4" t="s">
        <f>=HYPERLINK("http://anyluxury.ru/shop/posuda/kruzhki/kruzhka-promo-soft-c-pokritiem-softtach-yarkokrasnaya-1465450/" , "14654.50 Кружка Promo Soft c покрытием софт-тач, ярко-красная")</f>
      </c>
      <c r="C25335" s="4" t="n">
        <v>363.00</v>
      </c>
      <c r="D25335" s="4"/>
    </row>
    <row collapsed="" customFormat="false" customHeight="1" hidden="" ht="14" outlineLevel="0" r="25336">
      <c r="A25336" s="3" t="inlineStr">
        <is>
          <t>25232</t>
        </is>
      </c>
      <c r="B25336" s="4" t="s">
        <f>=HYPERLINK("http://anyluxury.ru/shop/posuda/kruzhki/kruzhka-promo-soft-c-pokritiem-softtach-zheltaya-1465480/" , "14654.80 Кружка Promo Soft c покрытием софт-тач, желтая")</f>
      </c>
      <c r="C25336" s="4" t="n">
        <v>363.00</v>
      </c>
      <c r="D25336" s="4"/>
    </row>
    <row collapsed="" customFormat="false" customHeight="1" hidden="" ht="14" outlineLevel="0" r="25337">
      <c r="A25337" s="3" t="inlineStr">
        <is>
          <t>25233</t>
        </is>
      </c>
      <c r="B25337" s="4" t="s">
        <f>=HYPERLINK("http://anyluxury.ru/shop/posuda/kruzhki/kruzhka-promo-soft-c-pokritiem-softtach-zelenaya-1465490/" , "14654.90 Кружка Promo Soft c покрытием софт-тач, зеленая")</f>
      </c>
      <c r="C25337" s="4" t="n">
        <v>363.00</v>
      </c>
      <c r="D25337" s="4"/>
    </row>
    <row collapsed="" customFormat="false" customHeight="1" hidden="" ht="14" outlineLevel="0" r="25338">
      <c r="A25338" s="3" t="inlineStr">
        <is>
          <t>25234</t>
        </is>
      </c>
      <c r="B25338" s="4" t="s">
        <f>=HYPERLINK("http://anyluxury.ru/shop/posuda/kruzhki/kruzhkahameleon-on-display-matovaya-chernaya-ucenka-1086931/" , "10869.31 БРАК ТОВАРА! Кружка-хамелеон On Display, матовая, черная")</f>
      </c>
      <c r="C25338" s="4" t="n">
        <v>250.00</v>
      </c>
      <c r="D25338" s="4"/>
    </row>
    <row collapsed="" customFormat="false" customHeight="1" hidden="" ht="14" outlineLevel="0" r="25339">
      <c r="A25339" s="3" t="inlineStr">
        <is>
          <t>25235</t>
        </is>
      </c>
      <c r="B25339" s="4" t="s">
        <f>=HYPERLINK("http://anyluxury.ru/shop/posuda/kruzhki/kruzhka-promo-soft-c-pokritiem-softtach-temnosinyaya-1465443/" , "14654.43 Кружка Promo Soft c покрытием софт-тач, темно-синяя")</f>
      </c>
      <c r="C25339" s="4" t="n">
        <v>363.00</v>
      </c>
      <c r="D25339" s="4"/>
    </row>
    <row collapsed="" customFormat="false" customHeight="1" hidden="" ht="14" outlineLevel="0" r="25340">
      <c r="A25340" s="3" t="inlineStr">
        <is>
          <t>25236</t>
        </is>
      </c>
      <c r="B25340" s="4" t="s">
        <f>=HYPERLINK("http://anyluxury.ru/shop/posuda/kruzhki/kruzhka-gloss-serebristaya-1791211/" , "17912.11 Кружка Gloss, серебристая")</f>
      </c>
      <c r="C25340" s="4" t="n">
        <v>549.00</v>
      </c>
      <c r="D25340" s="4"/>
    </row>
    <row collapsed="" customFormat="false" customHeight="1" hidden="" ht="14" outlineLevel="0" r="25341">
      <c r="A25341" s="3" t="inlineStr">
        <is>
          <t>25237</t>
        </is>
      </c>
      <c r="B25341" s="4" t="s">
        <f>=HYPERLINK("http://anyluxury.ru/shop/posuda/kruzhki/kruzhka-silk-1791360/" , "17913.60 Кружка Silk")</f>
      </c>
      <c r="C25341" s="4" t="n">
        <v>505.00</v>
      </c>
      <c r="D25341" s="4"/>
    </row>
    <row collapsed="" customFormat="false" customHeight="1" hidden="" ht="14" outlineLevel="0" r="25342">
      <c r="A25342" s="3" t="inlineStr">
        <is>
          <t>25238</t>
        </is>
      </c>
      <c r="B25342" s="4" t="s">
        <f>=HYPERLINK("http://anyluxury.ru/shop/posuda/kruzhki/kruzhka-s-dvoynimi-stenkami-seifenblase-1467600/" , "14676.00 Кружка с двойными стенками Seifenblase")</f>
      </c>
      <c r="C25342" s="4" t="n">
        <v>889.00</v>
      </c>
      <c r="D25342" s="4"/>
    </row>
    <row collapsed="" customFormat="false" customHeight="1" hidden="" ht="14" outlineLevel="0" r="25343">
      <c r="A25343" s="3" t="inlineStr">
        <is>
          <t>25239</t>
        </is>
      </c>
      <c r="B25343" s="4" t="s">
        <f>=HYPERLINK("http://anyluxury.ru/shop/posuda/kruzhki/kruzhka-dlya-glintveyna-i-kokteyley-double-bubble-1467400/" , "14674.00 Кружка для глинтвейна и коктейлей Double Bubble")</f>
      </c>
      <c r="C25343" s="4" t="n">
        <v>943.00</v>
      </c>
      <c r="D25343" s="4"/>
    </row>
    <row collapsed="" customFormat="false" customHeight="1" hidden="" ht="14" outlineLevel="0" r="25344">
      <c r="A25344" s="3" t="inlineStr">
        <is>
          <t>25240</t>
        </is>
      </c>
      <c r="B25344" s="4" t="s">
        <f>=HYPERLINK("http://anyluxury.ru/shop/posuda/kruzhki/chashka-s-dvoynimi-stenkami-small-ball-1467900/" , "14679.00 Чашка с двойными стенками Small Ball")</f>
      </c>
      <c r="C25344" s="4" t="n">
        <v>607.00</v>
      </c>
      <c r="D25344" s="4"/>
    </row>
    <row collapsed="" customFormat="false" customHeight="1" hidden="" ht="14" outlineLevel="0" r="25345">
      <c r="A25345" s="3" t="inlineStr">
        <is>
          <t>25241</t>
        </is>
      </c>
      <c r="B25345" s="4" t="s">
        <f>=HYPERLINK("http://anyluxury.ru/shop/posuda/kruzhki/kruzhka-modern-bell-classic-glyancevaya-sinyaya-2101041/" , "21010.41 Кружка Modern Bell Classic, глянцевая, синяя")</f>
      </c>
      <c r="C25345" s="4" t="n">
        <v>207.00</v>
      </c>
      <c r="D25345" s="4"/>
    </row>
    <row collapsed="" customFormat="false" customHeight="1" hidden="" ht="14" outlineLevel="0" r="25346">
      <c r="A25346" s="3" t="inlineStr">
        <is>
          <t>25242</t>
        </is>
      </c>
      <c r="B25346" s="4" t="s">
        <f>=HYPERLINK("http://anyluxury.ru/shop/posuda/kruzhki/kruzhka-rimo-dlya-sublimacionnoy-pechati-chernaya-1575230/" , "15752.30 Кружка Rimo для сублимационной печати, черная")</f>
      </c>
      <c r="C25346" s="4" t="n">
        <v>199.00</v>
      </c>
      <c r="D25346" s="4"/>
    </row>
    <row collapsed="" customFormat="false" customHeight="1" hidden="" ht="14" outlineLevel="0" r="25347">
      <c r="A25347" s="3" t="inlineStr">
        <is>
          <t>25243</t>
        </is>
      </c>
      <c r="B25347" s="4" t="s">
        <f>=HYPERLINK("http://anyluxury.ru/shop/posuda/kruzhki/kruzhka-rimo-dlya-sublimacionnoy-pechati-temnozelenaya-1575293/" , "15752.93 Кружка Rimo для сублимационной печати, темно-зеленая")</f>
      </c>
      <c r="C25347" s="4" t="n">
        <v>199.00</v>
      </c>
      <c r="D25347" s="4"/>
    </row>
    <row collapsed="" customFormat="false" customHeight="1" hidden="" ht="14" outlineLevel="0" r="25348">
      <c r="A25348" s="3" t="inlineStr">
        <is>
          <t>25244</t>
        </is>
      </c>
      <c r="B25348" s="4" t="s">
        <f>=HYPERLINK("http://anyluxury.ru/shop/posuda/kruzhki/kruzhka-rimo-dlya-sublimacionnoy-pechati-temnosinyaya-1575243/" , "15752.43 Кружка Rimo для сублимационной печати, темно-синяя")</f>
      </c>
      <c r="C25348" s="4" t="n">
        <v>199.00</v>
      </c>
      <c r="D25348" s="4"/>
    </row>
    <row collapsed="" customFormat="false" customHeight="1" hidden="" ht="14" outlineLevel="0" r="25349">
      <c r="A25349" s="3" t="inlineStr">
        <is>
          <t>25245</t>
        </is>
      </c>
      <c r="B25349" s="4" t="s">
        <f>=HYPERLINK("http://anyluxury.ru/shop/posuda/kruzhki/kruzhka-rimo-dlya-sublimacionnoy-pechati-krasnaya-1575250/" , "15752.50 Кружка Rimo для сублимационной печати, красная")</f>
      </c>
      <c r="C25349" s="4" t="n">
        <v>199.00</v>
      </c>
      <c r="D25349" s="4"/>
    </row>
    <row collapsed="" customFormat="false" customHeight="1" hidden="" ht="14" outlineLevel="0" r="25350">
      <c r="A25350" s="3" t="inlineStr">
        <is>
          <t>25246</t>
        </is>
      </c>
      <c r="B25350" s="4" t="s">
        <f>=HYPERLINK("http://anyluxury.ru/shop/posuda/kruzhki/kruzhka-hameleon-glyancevaya-krasnaya-1575350/" , "15753.50 Кружка «Хамелеон», глянцевая, красная")</f>
      </c>
      <c r="C25350" s="4" t="n">
        <v>280.00</v>
      </c>
      <c r="D25350" s="4"/>
    </row>
    <row collapsed="" customFormat="false" customHeight="1" hidden="" ht="14" outlineLevel="0" r="25351">
      <c r="A25351" s="3" t="inlineStr">
        <is>
          <t>25247</t>
        </is>
      </c>
      <c r="B25351" s="4" t="s">
        <f>=HYPERLINK("http://anyluxury.ru/shop/posuda/kruzhki/kruzhka-hameleon-glyancevaya-sinyaya-1575340/" , "15753.40 Кружка «Хамелеон», глянцевая, синяя")</f>
      </c>
      <c r="C25351" s="4" t="n">
        <v>280.00</v>
      </c>
      <c r="D25351" s="4"/>
    </row>
    <row collapsed="" customFormat="false" customHeight="1" hidden="" ht="14" outlineLevel="0" r="25352">
      <c r="A25352" s="3" t="inlineStr">
        <is>
          <t>25248</t>
        </is>
      </c>
      <c r="B25352" s="4" t="s">
        <f>=HYPERLINK("http://anyluxury.ru/shop/posuda/kruzhki/kruzhka-dlya-sublimacionnoy-pechati-sprat-ctandart-a-belaya-7770060/" , "77700.60 Кружка для сублимационной печати Sprat, cтандарт A, белая")</f>
      </c>
      <c r="C25352" s="4" t="n">
        <v>134.00</v>
      </c>
      <c r="D25352" s="4"/>
    </row>
    <row collapsed="" customFormat="false" customHeight="1" hidden="" ht="14" outlineLevel="0" r="25353">
      <c r="A25353" s="3" t="inlineStr">
        <is>
          <t>25249</t>
        </is>
      </c>
      <c r="B25353" s="4" t="s">
        <f>=HYPERLINK("http://anyluxury.ru/shop/posuda/kruzhki/kruzhka-hameleon-ver2-matovaya-krasnaya-2002350/" , "20023.50 Кружка «Хамелеон» ver.2, матовая, красная")</f>
      </c>
      <c r="C25353" s="4" t="n">
        <v>283.00</v>
      </c>
      <c r="D25353" s="4"/>
    </row>
    <row collapsed="" customFormat="false" customHeight="1" hidden="" ht="14" outlineLevel="0" r="25354">
      <c r="A25354" s="3" t="inlineStr">
        <is>
          <t>25250</t>
        </is>
      </c>
      <c r="B25354" s="4" t="s">
        <f>=HYPERLINK("http://anyluxury.ru/shop/posuda/kruzhki/kruzhka-hameleon-ver2-matovaya-sinyaya-2002340/" , "20023.40 Кружка «Хамелеон», ver.2, матовая, синяя")</f>
      </c>
      <c r="C25354" s="4" t="n">
        <v>283.00</v>
      </c>
      <c r="D25354" s="4"/>
    </row>
    <row collapsed="" customFormat="false" customHeight="1" hidden="" ht="14" outlineLevel="0" r="25355">
      <c r="A25355" s="3" t="inlineStr">
        <is>
          <t>25251</t>
        </is>
      </c>
      <c r="B25355" s="4" t="s">
        <f>=HYPERLINK("http://anyluxury.ru/shop/posuda/kruzhki/kruzhka-hameleon-ver2-matovaya-chernaya-2002330/" , "20023.30 Кружка «Хамелеон», ver.2, матовая , черная")</f>
      </c>
      <c r="C25355" s="4" t="n">
        <v>283.00</v>
      </c>
      <c r="D25355" s="4"/>
    </row>
    <row collapsed="" customFormat="false" customHeight="1" hidden="" ht="14" outlineLevel="0" r="25356">
      <c r="A25356" s="3" t="inlineStr">
        <is>
          <t>25252</t>
        </is>
      </c>
      <c r="B25356" s="4" t="s">
        <f>=HYPERLINK("http://anyluxury.ru/shop/posuda/kruzhki/kruzhka-grade-fade-dlya-sublimacionnoy-pechati-matovaya-krasnaya-1575850/" , "15758.50 Кружка Grade Fade для сублимационной печати, матовая, красная")</f>
      </c>
      <c r="C25356" s="4" t="n">
        <v>307.00</v>
      </c>
      <c r="D25356" s="4"/>
    </row>
    <row collapsed="" customFormat="false" customHeight="1" hidden="" ht="14" outlineLevel="0" r="25357">
      <c r="A25357" s="3" t="inlineStr">
        <is>
          <t>25253</t>
        </is>
      </c>
      <c r="B25357" s="4" t="s">
        <f>=HYPERLINK("http://anyluxury.ru/shop/posuda/kruzhki/kruzhka-grade-fade-dlya-sublimacionnoy-pechati-matovaya-oranzhevaya-1575820/" , "15758.20 Кружка Grade Fade для сублимационной печати, матовая, оранжевая")</f>
      </c>
      <c r="C25357" s="4" t="n">
        <v>307.00</v>
      </c>
      <c r="D25357" s="4"/>
    </row>
    <row collapsed="" customFormat="false" customHeight="1" hidden="" ht="14" outlineLevel="0" r="25358">
      <c r="A25358" s="3" t="inlineStr">
        <is>
          <t>25254</t>
        </is>
      </c>
      <c r="B25358" s="4" t="s">
        <f>=HYPERLINK("http://anyluxury.ru/shop/posuda/kruzhki/kruzhka-grade-fade-dlya-sublimacionnoy-pechati-matovaya-zelenaya-1575890/" , "15758.90 Кружка Grade Fade для сублимационной печати, матовая, зеленая")</f>
      </c>
      <c r="C25358" s="4" t="n">
        <v>307.00</v>
      </c>
      <c r="D25358" s="4"/>
    </row>
    <row collapsed="" customFormat="false" customHeight="1" hidden="" ht="14" outlineLevel="0" r="25359">
      <c r="A25359" s="3" t="inlineStr">
        <is>
          <t>25255</t>
        </is>
      </c>
      <c r="B25359" s="4" t="s">
        <f>=HYPERLINK("http://anyluxury.ru/shop/posuda/kruzhki/kruzhka-grade-fade-dlya-sublimacionnoy-pechati-matovaya-zheltaya-1575880/" , "15758.80 Кружка Grade Fade для сублимационной печати, матовая, желтая")</f>
      </c>
      <c r="C25359" s="4" t="n">
        <v>307.00</v>
      </c>
      <c r="D25359" s="4"/>
    </row>
    <row collapsed="" customFormat="false" customHeight="1" hidden="" ht="14" outlineLevel="0" r="25360">
      <c r="A25360" s="3" t="inlineStr">
        <is>
          <t>25256</t>
        </is>
      </c>
      <c r="B25360" s="4" t="s">
        <f>=HYPERLINK("http://anyluxury.ru/shop/posuda/kruzhki/kruzhkahameleon-melty-s-lozhkoy-chernaya-s-oranzhevim-1575520/" , "15755.20 Кружка-хамелеон Melty с ложкой, черная с оранжевым")</f>
      </c>
      <c r="C25360" s="4" t="n">
        <v>379.00</v>
      </c>
      <c r="D25360" s="4"/>
    </row>
    <row collapsed="" customFormat="false" customHeight="1" hidden="" ht="14" outlineLevel="0" r="25361">
      <c r="A25361" s="3" t="inlineStr">
        <is>
          <t>25257</t>
        </is>
      </c>
      <c r="B25361" s="4" t="s">
        <f>=HYPERLINK("http://anyluxury.ru/shop/posuda/kruzhki/kruzhkahameleon-melty-s-lozhkoy-chernaya-s-sinim-1575540/" , "15755.40 Кружка-хамелеон Melty с ложкой, черная с синим")</f>
      </c>
      <c r="C25361" s="4" t="n">
        <v>379.00</v>
      </c>
      <c r="D25361" s="4"/>
    </row>
    <row collapsed="" customFormat="false" customHeight="1" hidden="" ht="14" outlineLevel="0" r="25362">
      <c r="A25362" s="3" t="inlineStr">
        <is>
          <t>25258</t>
        </is>
      </c>
      <c r="B25362" s="4" t="s">
        <f>=HYPERLINK("http://anyluxury.ru/shop/posuda/kruzhki/kruzhkahameleon-melty-s-lozhkoy-matovaya-s-zheltim-1575580/" , "15755.80 Кружка-хамелеон Melty с ложкой, черная с желтым")</f>
      </c>
      <c r="C25362" s="4" t="n">
        <v>379.00</v>
      </c>
      <c r="D25362" s="4"/>
    </row>
    <row collapsed="" customFormat="false" customHeight="1" hidden="" ht="14" outlineLevel="0" r="25363">
      <c r="A25363" s="3" t="inlineStr">
        <is>
          <t>25259</t>
        </is>
      </c>
      <c r="B25363" s="4" t="s">
        <f>=HYPERLINK("http://anyluxury.ru/shop/posuda/kruzhki/kruzhkahameleon-melty-s-lozhkoy-chernaya-s-zelenim-1575590/" , "15755.90 Кружка-хамелеон Melty с ложкой, черная с зеленым")</f>
      </c>
      <c r="C25363" s="4" t="n">
        <v>379.00</v>
      </c>
      <c r="D25363" s="4"/>
    </row>
    <row collapsed="" customFormat="false" customHeight="1" hidden="" ht="14" outlineLevel="0" r="25364">
      <c r="A25364" s="3" t="inlineStr">
        <is>
          <t>25260</t>
        </is>
      </c>
      <c r="B25364" s="4" t="s">
        <f>=HYPERLINK("http://anyluxury.ru/shop/posuda/kruzhki/kofeynaya-para-amelie-130-ml-23060110/" , "23060.110 Кофейная пара Amelie")</f>
      </c>
      <c r="C25364" s="4" t="n">
        <v>1292.00</v>
      </c>
      <c r="D25364" s="4"/>
    </row>
    <row collapsed="" customFormat="false" customHeight="1" hidden="" ht="14" outlineLevel="0" r="25365">
      <c r="A25365" s="3" t="inlineStr">
        <is>
          <t>25261</t>
        </is>
      </c>
      <c r="B25365" s="4" t="s">
        <f>=HYPERLINK("http://anyluxury.ru/shop/posuda/kruzhki/kruzhka-farforovaya-dafna-400-ml-23063100/" , "23063.100 Кружка фарфоровая Dafna")</f>
      </c>
      <c r="C25365" s="4" t="n">
        <v>435.00</v>
      </c>
      <c r="D25365" s="4"/>
    </row>
    <row collapsed="" customFormat="false" customHeight="1" hidden="" ht="14" outlineLevel="0" r="25366">
      <c r="A25366" s="3" t="inlineStr">
        <is>
          <t>25262</t>
        </is>
      </c>
      <c r="B25366" s="4" t="s">
        <f>=HYPERLINK("http://anyluxury.ru/shop/posuda/kruzhki/kruzhka-farforovaya-siena-400-ml-23062100/" , "23062.100 Кружка фарфоровая Siena")</f>
      </c>
      <c r="C25366" s="4" t="n">
        <v>468.00</v>
      </c>
      <c r="D25366" s="4"/>
    </row>
    <row collapsed="" customFormat="false" customHeight="1" hidden="" ht="14" outlineLevel="0" r="25367">
      <c r="A25367" s="3" t="inlineStr">
        <is>
          <t>25263</t>
        </is>
      </c>
      <c r="B25367" s="4" t="s">
        <f>=HYPERLINK("http://anyluxury.ru/shop/posuda/kruzhki/kruzhka-farforovaya-vesta-400-ml-23061100/" , "23061.100 Кружка фарфоровая Vesta")</f>
      </c>
      <c r="C25367" s="4" t="n">
        <v>451.00</v>
      </c>
      <c r="D25367" s="4"/>
    </row>
    <row collapsed="" customFormat="false" customHeight="1" hidden="" ht="14" outlineLevel="0" r="25368">
      <c r="A25368" s="3" t="inlineStr">
        <is>
          <t>25264</t>
        </is>
      </c>
      <c r="B25368" s="4" t="s">
        <f>=HYPERLINK("http://anyluxury.ru/shop/posuda/kruzhki/chaynaya-para-verona-240-ml-23059110/" , "23059.110 Чайная пара Verona")</f>
      </c>
      <c r="C25368" s="4" t="n">
        <v>1507.00</v>
      </c>
      <c r="D25368" s="4"/>
    </row>
    <row collapsed="" customFormat="false" customHeight="1" hidden="" ht="14" outlineLevel="0" r="25369">
      <c r="A25369" s="3" t="inlineStr">
        <is>
          <t>25265</t>
        </is>
      </c>
      <c r="B25369" s="4" t="s">
        <f>=HYPERLINK("http://anyluxury.ru/shop/posuda/kruzhki/banka-dlya-kokteyley-shake-it-baby-pod-sublimaciyu-matovaya-1576600/" , "15766.00 Банка для коктейлей Shake It Baby под сублимацию, матовая")</f>
      </c>
      <c r="C25369" s="4" t="n">
        <v>403.00</v>
      </c>
      <c r="D25369" s="4"/>
    </row>
    <row collapsed="" customFormat="false" customHeight="1" hidden="" ht="14" outlineLevel="0" r="25370">
      <c r="A25370" s="3" t="inlineStr">
        <is>
          <t>25266</t>
        </is>
      </c>
      <c r="B25370" s="4" t="s">
        <f>=HYPERLINK("http://anyluxury.ru/shop/posuda/kruzhki/kruzhka-forma-linea-chernaya-1775730/" , "17757.30 Кружка Forma Linea, черная")</f>
      </c>
      <c r="C25370" s="4" t="n">
        <v>431.00</v>
      </c>
      <c r="D25370" s="4"/>
    </row>
    <row collapsed="" customFormat="false" customHeight="1" hidden="" ht="14" outlineLevel="0" r="25371">
      <c r="A25371" s="3" t="inlineStr">
        <is>
          <t>25267</t>
        </is>
      </c>
      <c r="B25371" s="4" t="s">
        <f>=HYPERLINK("http://anyluxury.ru/shop/posuda/kruzhki/kruzhka-forma-linea-seraya-1775711/" , "17757.11 Кружка Forma Linea, серая")</f>
      </c>
      <c r="C25371" s="4" t="n">
        <v>431.00</v>
      </c>
      <c r="D25371" s="4"/>
    </row>
    <row collapsed="" customFormat="false" customHeight="1" hidden="" ht="14" outlineLevel="0" r="25372">
      <c r="A25372" s="3" t="inlineStr">
        <is>
          <t>25268</t>
        </is>
      </c>
      <c r="B25372" s="4" t="s">
        <f>=HYPERLINK("http://anyluxury.ru/shop/posuda/kruzhki/kruzhka-forma-linea-sinyaya-1775740/" , "17757.40 Кружка Forma Linea, синяя")</f>
      </c>
      <c r="C25372" s="4" t="n">
        <v>431.00</v>
      </c>
      <c r="D25372" s="4"/>
    </row>
    <row collapsed="" customFormat="false" customHeight="1" hidden="" ht="14" outlineLevel="0" r="25373">
      <c r="A25373" s="3" t="inlineStr">
        <is>
          <t>25269</t>
        </is>
      </c>
      <c r="B25373" s="4" t="s">
        <f>=HYPERLINK("http://anyluxury.ru/shop/posuda/kruzhki/kruzhka-borde-cherniy-1775830/" , "17758.30 Кружка Borde, черная")</f>
      </c>
      <c r="C25373" s="4" t="n">
        <v>273.00</v>
      </c>
      <c r="D25373" s="4"/>
    </row>
    <row collapsed="" customFormat="false" customHeight="1" hidden="" ht="14" outlineLevel="0" r="25374">
      <c r="A25374" s="3" t="inlineStr">
        <is>
          <t>25270</t>
        </is>
      </c>
      <c r="B25374" s="4" t="s">
        <f>=HYPERLINK("http://anyluxury.ru/shop/posuda/kruzhki/kruzhka-borde-krasniy-1775850/" , "17758.50 Кружка Borde, красная")</f>
      </c>
      <c r="C25374" s="4" t="n">
        <v>273.00</v>
      </c>
      <c r="D25374" s="4"/>
    </row>
    <row collapsed="" customFormat="false" customHeight="1" hidden="" ht="14" outlineLevel="0" r="25375">
      <c r="A25375" s="3" t="inlineStr">
        <is>
          <t>25271</t>
        </is>
      </c>
      <c r="B25375" s="4" t="s">
        <f>=HYPERLINK("http://anyluxury.ru/shop/posuda/kruzhki/kruzhka-borde-seriy-1775811/" , "17758.11 Кружка Borde, серая")</f>
      </c>
      <c r="C25375" s="4" t="n">
        <v>273.00</v>
      </c>
      <c r="D25375" s="4"/>
    </row>
    <row collapsed="" customFormat="false" customHeight="1" hidden="" ht="14" outlineLevel="0" r="25376">
      <c r="A25376" s="3" t="inlineStr">
        <is>
          <t>25272</t>
        </is>
      </c>
      <c r="B25376" s="4" t="s">
        <f>=HYPERLINK("http://anyluxury.ru/shop/posuda/kruzhki/kruzhka-borde-goluboy-1775841/" , "17758.41 Кружка Borde, голубая")</f>
      </c>
      <c r="C25376" s="4" t="n">
        <v>273.00</v>
      </c>
      <c r="D25376" s="4"/>
    </row>
    <row collapsed="" customFormat="false" customHeight="1" hidden="" ht="14" outlineLevel="0" r="25377">
      <c r="A25377" s="3" t="inlineStr">
        <is>
          <t>25273</t>
        </is>
      </c>
      <c r="B25377" s="4" t="s">
        <f>=HYPERLINK("http://anyluxury.ru/shop/posuda/kruzhki/kruzhka-corky-zheltaya-1289480/" , "12894.80 Кружка с пробковой подставкой Corky, желтая")</f>
      </c>
      <c r="C25377" s="4" t="n">
        <v>547.00</v>
      </c>
      <c r="D25377" s="4"/>
    </row>
    <row collapsed="" customFormat="false" customHeight="1" hidden="" ht="14" outlineLevel="0" r="25378">
      <c r="A25378" s="3" t="inlineStr">
        <is>
          <t>25274</t>
        </is>
      </c>
      <c r="B25378" s="4" t="s">
        <f>=HYPERLINK("http://anyluxury.ru/shop/posuda/kruzhki/kruzhka-hard-work-black-ver2-chernaya-7054431/" , "70544.31 Кружка Hard Work Black, ver.2, черная")</f>
      </c>
      <c r="C25378" s="4" t="n">
        <v>627.00</v>
      </c>
      <c r="D25378" s="4"/>
    </row>
    <row collapsed="" customFormat="false" customHeight="1" hidden="" ht="14" outlineLevel="0" r="25379">
      <c r="A25379" s="3" t="inlineStr">
        <is>
          <t>25275</t>
        </is>
      </c>
      <c r="B25379" s="4" t="s">
        <f>=HYPERLINK("http://anyluxury.ru/shop/posuda/kruzhki/kruzhka-stopspot-s-pokritiem-softtach-sinyaya-1900340/" , "19003.40 Кружка StopSpot с покрытием софт-тач, синяя")</f>
      </c>
      <c r="C25379" s="4" t="n">
        <v>368.00</v>
      </c>
      <c r="D25379" s="4"/>
    </row>
    <row collapsed="" customFormat="false" customHeight="1" hidden="" ht="14" outlineLevel="0" r="25380">
      <c r="A25380" s="3" t="inlineStr">
        <is>
          <t>25276</t>
        </is>
      </c>
      <c r="B25380" s="4" t="s">
        <f>=HYPERLINK("http://anyluxury.ru/shop/posuda/kruzhki/kruzhka-stopspot-s-pokritiem-softtach-krasnaya-1900350/" , "19003.50 Кружка StopSpot с покрытием софт-тач, красная")</f>
      </c>
      <c r="C25380" s="4" t="n">
        <v>368.00</v>
      </c>
      <c r="D25380" s="4"/>
    </row>
    <row collapsed="" customFormat="false" customHeight="1" hidden="" ht="14" outlineLevel="0" r="25381">
      <c r="A25381" s="3" t="inlineStr">
        <is>
          <t>25277</t>
        </is>
      </c>
      <c r="B25381" s="4" t="s">
        <f>=HYPERLINK("http://anyluxury.ru/shop/posuda/kruzhki/kruzhka-stopspot-s-pokritiem-softtach-chernaya-1900330/" , "19003.30 Кружка StopSpot с покрытием софт-тач, черная")</f>
      </c>
      <c r="C25381" s="4" t="n">
        <v>368.00</v>
      </c>
      <c r="D25381" s="4"/>
    </row>
    <row collapsed="" customFormat="false" customHeight="1" hidden="" ht="14" outlineLevel="0" r="25382">
      <c r="A25382" s="3" t="inlineStr">
        <is>
          <t>25278</t>
        </is>
      </c>
      <c r="B25382" s="4" t="s">
        <f>=HYPERLINK("http://anyluxury.ru/shop/posuda/kruzhki/kruzhka-stopspot-s-pokritiem-softtach-oranzhevaya-1900320/" , "19003.20 Кружка StopSpot с покрытием софт-тач, оранжевая")</f>
      </c>
      <c r="C25382" s="4" t="n">
        <v>368.00</v>
      </c>
      <c r="D25382" s="4"/>
    </row>
    <row collapsed="" customFormat="false" customHeight="1" hidden="" ht="14" outlineLevel="0" r="25383">
      <c r="A25383" s="3" t="inlineStr">
        <is>
          <t>25279</t>
        </is>
      </c>
      <c r="B25383" s="4" t="s">
        <f>=HYPERLINK("http://anyluxury.ru/shop/posuda/kruzhki/kruzhka-stopspot-s-pokritiem-softtach-zelenaya-1900390/" , "19003.90 Кружка StopSpot с покрытием софт-тач, зеленая")</f>
      </c>
      <c r="C25383" s="4" t="n">
        <v>368.00</v>
      </c>
      <c r="D25383" s="4"/>
    </row>
    <row collapsed="" customFormat="false" customHeight="1" hidden="" ht="14" outlineLevel="0" r="25384">
      <c r="A25384" s="3" t="inlineStr">
        <is>
          <t>25280</t>
        </is>
      </c>
      <c r="B25384" s="4" t="s">
        <f>=HYPERLINK("http://anyluxury.ru/shop/posuda/kruzhki/kruzhka-stopspot-s-pokritiem-softtach-zheltaya-1900380/" , "19003.80 Кружка StopSpot с покрытием софт-тач, желтая")</f>
      </c>
      <c r="C25384" s="4" t="n">
        <v>368.00</v>
      </c>
      <c r="D25384" s="4"/>
    </row>
    <row collapsed="" customFormat="false" customHeight="1" hidden="" ht="14" outlineLevel="0" r="25385">
      <c r="A25385" s="3" t="inlineStr">
        <is>
          <t>25281</t>
        </is>
      </c>
      <c r="B25385" s="4" t="s">
        <f>=HYPERLINK("http://anyluxury.ru/shop/posuda/kruzhki/kruzhka-stopspot-s-pokritiem-softtach-seraya-1900311/" , "19003.11 Кружка StopSpot с покрытием софт-тач, серая")</f>
      </c>
      <c r="C25385" s="4" t="n">
        <v>368.00</v>
      </c>
      <c r="D25385" s="4"/>
    </row>
    <row collapsed="" customFormat="false" customHeight="1" hidden="" ht="14" outlineLevel="0" r="25386">
      <c r="A25386" s="3" t="inlineStr">
        <is>
          <t>25282</t>
        </is>
      </c>
      <c r="B25386" s="4" t="s">
        <f>=HYPERLINK("http://anyluxury.ru/shop/posuda/kruzhki/kruzhka-s-probkovoy-podstavkoy-corky-walk-zelenaya-1289390/" , "12893.90 Кружка с пробковой подставкой Corky Walk, зеленая")</f>
      </c>
      <c r="C25386" s="4" t="n">
        <v>572.00</v>
      </c>
      <c r="D25386" s="4"/>
    </row>
    <row collapsed="" customFormat="false" customHeight="1" hidden="" ht="14" outlineLevel="0" r="25387">
      <c r="A25387" s="3" t="inlineStr">
        <is>
          <t>25283</t>
        </is>
      </c>
      <c r="B25387" s="4" t="s">
        <f>=HYPERLINK("http://anyluxury.ru/shop/posuda/kruzhki/kruzhka-s-probkovoy-podstavkoy-corky-walk-zheltaya-1289380/" , "12893.80 Кружка с пробковой подставкой Corky Walk, желтая")</f>
      </c>
      <c r="C25387" s="4" t="n">
        <v>572.00</v>
      </c>
      <c r="D25387" s="4"/>
    </row>
    <row collapsed="" customFormat="false" customHeight="1" hidden="" ht="14" outlineLevel="0" r="25388">
      <c r="A25388" s="3" t="inlineStr">
        <is>
          <t>25284</t>
        </is>
      </c>
      <c r="B25388" s="4" t="s">
        <f>=HYPERLINK("http://anyluxury.ru/shop/posuda/kruzhki/kruzhka-s-probkovoy-podstavkoy-corky-walk-seraya-1289311/" , "12893.11 Кружка с пробковой подставкой Corky Walk, серая")</f>
      </c>
      <c r="C25388" s="4" t="n">
        <v>572.00</v>
      </c>
      <c r="D25388" s="4"/>
    </row>
    <row collapsed="" customFormat="false" customHeight="1" hidden="" ht="14" outlineLevel="0" r="25389">
      <c r="A25389" s="3" t="inlineStr">
        <is>
          <t>25285</t>
        </is>
      </c>
      <c r="B25389" s="4" t="s">
        <f>=HYPERLINK("http://anyluxury.ru/shop/posuda/kruzhki/kruzhka-s-probkovoy-podstavkoy-corky-walk-oranzhevaya-1289320/" , "12893.20 Кружка с пробковой подставкой Corky Walk, оранжевая")</f>
      </c>
      <c r="C25389" s="4" t="n">
        <v>572.00</v>
      </c>
      <c r="D25389" s="4"/>
    </row>
    <row collapsed="" customFormat="false" customHeight="1" hidden="" ht="14" outlineLevel="0" r="25390">
      <c r="A25390" s="3" t="inlineStr">
        <is>
          <t>25286</t>
        </is>
      </c>
      <c r="B25390" s="4" t="s">
        <f>=HYPERLINK("http://anyluxury.ru/shop/posuda/kruzhki/kruzhka-olivia-1722300/" , "17223.00 Кружка Olivia")</f>
      </c>
      <c r="C25390" s="4" t="n">
        <v>401.00</v>
      </c>
      <c r="D25390" s="4"/>
    </row>
    <row collapsed="" customFormat="false" customHeight="1" hidden="" ht="14" outlineLevel="0" r="25391">
      <c r="A25391" s="3" t="inlineStr">
        <is>
          <t>25287</t>
        </is>
      </c>
      <c r="B25391" s="4" t="s">
        <f>=HYPERLINK("http://anyluxury.ru/shop/posuda/kruzhki/kruzhka-dlya-sublimacionnoy-pechati-pike-ctandart-a-matovaya-belaya-7701160/" , "77011.60 Кружка для сублимационной печати Pike, cтандарт A, матовая, белая")</f>
      </c>
      <c r="C25391" s="4" t="n">
        <v>147.00</v>
      </c>
      <c r="D25391" s="4"/>
    </row>
    <row collapsed="" customFormat="false" customHeight="1" hidden="" ht="14" outlineLevel="0" r="25392">
      <c r="A25392" s="3" t="inlineStr">
        <is>
          <t>25288</t>
        </is>
      </c>
      <c r="B25392" s="4" t="s">
        <f>=HYPERLINK("http://anyluxury.ru/shop/posuda/kruzhki/kruzhka-promo-plus-dlya-sublimacionnoy-pechati-biryuzovaya-657949/" , "6579.49 Кружка Promo Plus для сублимационной печати, бирюзовая")</f>
      </c>
      <c r="C25392" s="4" t="n">
        <v>237.00</v>
      </c>
      <c r="D25392" s="4"/>
    </row>
    <row collapsed="" customFormat="false" customHeight="1" hidden="" ht="14" outlineLevel="0" r="25393">
      <c r="A25393" s="3" t="inlineStr">
        <is>
          <t>25289</t>
        </is>
      </c>
      <c r="B25393" s="4" t="s">
        <f>=HYPERLINK("http://anyluxury.ru/shop/posuda/kruzhki/kruzhkahameleon-on-display-matovaya-chernaya-so-svetlosinim-1086942/" , "10869.42 Кружка-хамелеон On Display, матовая, черная со светло-синим")</f>
      </c>
      <c r="C25393" s="4" t="n">
        <v>370.00</v>
      </c>
      <c r="D25393" s="4"/>
    </row>
    <row collapsed="" customFormat="false" customHeight="1" hidden="" ht="14" outlineLevel="0" r="25394">
      <c r="A25394" s="3" t="inlineStr">
        <is>
          <t>25290</t>
        </is>
      </c>
      <c r="B25394" s="4" t="s">
        <f>=HYPERLINK("http://anyluxury.ru/shop/posuda/kruzhki/chashka-fusion-temnoseraya-1291611/" , "12916.11 Чашка Fusion, темно-серая")</f>
      </c>
      <c r="C25394" s="4" t="n">
        <v>452.00</v>
      </c>
      <c r="D25394" s="4"/>
    </row>
    <row collapsed="" customFormat="false" customHeight="1" hidden="" ht="14" outlineLevel="0" r="25395">
      <c r="A25395" s="3" t="inlineStr">
        <is>
          <t>25291</t>
        </is>
      </c>
      <c r="B25395" s="4" t="s">
        <f>=HYPERLINK("http://anyluxury.ru/shop/posuda/kruzhki/keramicheskaya-kruzhka-astra-380-ml-beliyakva-22056600/" , "22056.600 Керамическая кружка Astra, белый/аква")</f>
      </c>
      <c r="C25395" s="4" t="n">
        <v>380.00</v>
      </c>
      <c r="D25395" s="4"/>
    </row>
    <row collapsed="" customFormat="false" customHeight="1" hidden="" ht="14" outlineLevel="0" r="25396">
      <c r="A25396" s="3" t="inlineStr">
        <is>
          <t>25292</t>
        </is>
      </c>
      <c r="B25396" s="4" t="s">
        <f>=HYPERLINK("http://anyluxury.ru/shop/posuda/kruzhki/keramicheskaya-kruzhka-astra-380-ml-beliykrasniy-22056060/" , "22056.060 Керамическая кружка Astra, белый/красный")</f>
      </c>
      <c r="C25396" s="4" t="n">
        <v>380.00</v>
      </c>
      <c r="D25396" s="4"/>
    </row>
    <row collapsed="" customFormat="false" customHeight="1" hidden="" ht="14" outlineLevel="0" r="25397">
      <c r="A25397" s="3" t="inlineStr">
        <is>
          <t>25293</t>
        </is>
      </c>
      <c r="B25397" s="4" t="s">
        <f>=HYPERLINK("http://anyluxury.ru/shop/posuda/kruzhki/keramicheskaya-kruzhka-astra-380-ml-beliysalatoviy-22056045/" , "22056.045 Керамическая кружка Astra, белый/салатовый")</f>
      </c>
      <c r="C25397" s="4" t="n">
        <v>380.00</v>
      </c>
      <c r="D25397" s="4"/>
    </row>
    <row collapsed="" customFormat="false" customHeight="1" hidden="" ht="14" outlineLevel="0" r="25398">
      <c r="A25398" s="3" t="inlineStr">
        <is>
          <t>25294</t>
        </is>
      </c>
      <c r="B25398" s="4" t="s">
        <f>=HYPERLINK("http://anyluxury.ru/shop/posuda/kruzhki/keramicheskaya-kruzhka-astra-380-ml-beliyseriy-22056080/" , "22056.080 Керамическая кружка Astra, белый/серый")</f>
      </c>
      <c r="C25398" s="4" t="n">
        <v>380.00</v>
      </c>
      <c r="D25398" s="4"/>
    </row>
    <row collapsed="" customFormat="false" customHeight="1" hidden="" ht="14" outlineLevel="0" r="25399">
      <c r="A25399" s="3" t="inlineStr">
        <is>
          <t>25295</t>
        </is>
      </c>
      <c r="B25399" s="4" t="s">
        <f>=HYPERLINK("http://anyluxury.ru/shop/posuda/kruzhki/keramicheskaya-kruzhka-tulip-380-ml-softtouch-akva-22057600/" , "22057.600 Керамическая кружка Tulip, аква")</f>
      </c>
      <c r="C25399" s="4" t="n">
        <v>451.00</v>
      </c>
      <c r="D25399" s="4"/>
    </row>
    <row collapsed="" customFormat="false" customHeight="1" hidden="" ht="14" outlineLevel="0" r="25400">
      <c r="A25400" s="3" t="inlineStr">
        <is>
          <t>25296</t>
        </is>
      </c>
      <c r="B25400" s="4" t="s">
        <f>=HYPERLINK("http://anyluxury.ru/shop/posuda/kruzhki/keramicheskaya-kruzhka-tulip-380-ml-softtouch-seraya-22057080/" , "22057.080 Керамическая кружка Tulip, серая")</f>
      </c>
      <c r="C25400" s="4" t="n">
        <v>451.00</v>
      </c>
      <c r="D25400" s="4"/>
    </row>
    <row collapsed="" customFormat="false" customHeight="1" hidden="" ht="14" outlineLevel="0" r="25401">
      <c r="A25401" s="3" t="inlineStr">
        <is>
          <t>25297</t>
        </is>
      </c>
      <c r="B25401" s="4" t="s">
        <f>=HYPERLINK("http://anyluxury.ru/shop/posuda/kruzhki/keramicheskaya-kruzhka-tulip-380-ml-softtouch-chernaya-22057010/" , "22057.010 Керамическая кружка Tulip, черная")</f>
      </c>
      <c r="C25401" s="4" t="n">
        <v>451.00</v>
      </c>
      <c r="D25401" s="4"/>
    </row>
    <row collapsed="" customFormat="false" customHeight="1" hidden="" ht="14" outlineLevel="0" r="25402">
      <c r="A25402" s="3" t="inlineStr">
        <is>
          <t>25298</t>
        </is>
      </c>
      <c r="B25402" s="4" t="s">
        <f>=HYPERLINK("http://anyluxury.ru/shop/posuda/kruzhki/chaynaya-para-mokko-270-ml-belaya-23058100/" , "23058.100 Чайная пара Mokko")</f>
      </c>
      <c r="C25402" s="4" t="n">
        <v>1150.00</v>
      </c>
      <c r="D25402" s="4"/>
    </row>
    <row collapsed="" customFormat="false" customHeight="1" hidden="" ht="14" outlineLevel="0" r="25403">
      <c r="A25403" s="3" t="inlineStr">
        <is>
          <t>25299</t>
        </is>
      </c>
      <c r="B25403" s="4" t="s">
        <f>=HYPERLINK("http://anyluxury.ru/shop/posuda/kruzhki/keramicheskaya-kruzhka-astra-380-ml-beliyakva-220566001/" , "22056.600.1 Керамическая кружка Astra, белый/аква")</f>
      </c>
      <c r="C25403" s="4" t="n">
        <v>380.00</v>
      </c>
      <c r="D25403" s="4"/>
    </row>
    <row collapsed="" customFormat="false" customHeight="1" hidden="" ht="14" outlineLevel="0" r="25404">
      <c r="A25404" s="3" t="inlineStr">
        <is>
          <t>25300</t>
        </is>
      </c>
      <c r="B25404" s="4" t="s">
        <f>=HYPERLINK("http://anyluxury.ru/shop/posuda/kruzhki/keramicheskaya-kruzhka-astra-380-ml-beliykrasniy-220560601/" , "22056.060.1 Керамическая кружка Astra, белый/красный")</f>
      </c>
      <c r="C25404" s="4" t="n">
        <v>380.00</v>
      </c>
      <c r="D25404" s="4"/>
    </row>
    <row collapsed="" customFormat="false" customHeight="1" hidden="" ht="14" outlineLevel="0" r="25405">
      <c r="A25405" s="3" t="inlineStr">
        <is>
          <t>25301</t>
        </is>
      </c>
      <c r="B25405" s="4" t="s">
        <f>=HYPERLINK("http://anyluxury.ru/shop/posuda/kruzhki/keramicheskaya-kruzhka-astra-380-ml-beliysiniy-220560301/" , "22056.030.1 Керамическая кружка Astra, белый/синий")</f>
      </c>
      <c r="C25405" s="4" t="n">
        <v>380.00</v>
      </c>
      <c r="D25405" s="4"/>
    </row>
    <row collapsed="" customFormat="false" customHeight="" hidden="" ht="12.1" outlineLevel="0" r="25406">
      <c r="A25406" s="5" t="inlineStr">
        <is>
          <t> -  - Кухонные аксессуары</t>
        </is>
      </c>
      <c r="B25406" s="6"/>
      <c r="C25406" s="6"/>
      <c r="D25406" s="6"/>
    </row>
    <row collapsed="" customFormat="false" customHeight="1" hidden="" ht="14" outlineLevel="0" r="25407">
      <c r="A25407" s="3" t="inlineStr">
        <is>
          <t>25302</t>
        </is>
      </c>
      <c r="B25407" s="4" t="s">
        <f>=HYPERLINK("http://anyluxury.ru/shop/posuda/kukhonnye-aksessuary/termos-dlya-edi-300-ml-p432962/" , "P432.962 Термос для еды, 300 мл")</f>
      </c>
      <c r="C25407" s="4" t="n">
        <v>1290.00</v>
      </c>
      <c r="D25407" s="4"/>
    </row>
    <row collapsed="" customFormat="false" customHeight="1" hidden="" ht="14" outlineLevel="0" r="25408">
      <c r="A25408" s="3" t="inlineStr">
        <is>
          <t>25303</t>
        </is>
      </c>
      <c r="B25408" s="4" t="s">
        <f>=HYPERLINK("http://anyluxury.ru/shop/posuda/kukhonnye-aksessuary/sokovizhimalka-2-v-1-p261297/" , "P261.297 Соковыжималка 2 в 1")</f>
      </c>
      <c r="C25408" s="4" t="n">
        <v>422.00</v>
      </c>
      <c r="D25408" s="4"/>
    </row>
    <row collapsed="" customFormat="false" customHeight="1" hidden="" ht="14" outlineLevel="0" r="25409">
      <c r="A25409" s="3" t="inlineStr">
        <is>
          <t>25304</t>
        </is>
      </c>
      <c r="B25409" s="4" t="s">
        <f>=HYPERLINK("http://anyluxury.ru/shop/posuda/kukhonnye-aksessuary/sokovizhimalka-2-v-1-p262817/" , "P262.817 Соковыжималка 2 в 1")</f>
      </c>
      <c r="C25409" s="4" t="n">
        <v>1008.00</v>
      </c>
      <c r="D25409" s="4"/>
    </row>
    <row collapsed="" customFormat="false" customHeight="1" hidden="" ht="14" outlineLevel="0" r="25410">
      <c r="A25410" s="3" t="inlineStr">
        <is>
          <t>25305</t>
        </is>
      </c>
      <c r="B25410" s="4" t="s">
        <f>=HYPERLINK("http://anyluxury.ru/shop/posuda/kukhonnye-aksessuary/nabor-tower-and-spire-melnica-i-terka-dlya-sira-p261629/" , "P261.629 Набор Tower &amp; Spire: мельница и терка для сыра")</f>
      </c>
      <c r="C25410" s="4" t="n">
        <v>4609.00</v>
      </c>
      <c r="D25410" s="4"/>
    </row>
    <row collapsed="" customFormat="false" customHeight="1" hidden="" ht="14" outlineLevel="0" r="25411">
      <c r="A25411" s="3" t="inlineStr">
        <is>
          <t>25306</t>
        </is>
      </c>
      <c r="B25411" s="4" t="s">
        <f>=HYPERLINK("http://anyluxury.ru/shop/posuda/kukhonnye-aksessuary/nabor-iz-2-mehanicheskih-melnic-helix-p262082/" , "P262.082 Набор из 2 механических мельниц Helix")</f>
      </c>
      <c r="C25411" s="4" t="n">
        <v>1862.00</v>
      </c>
      <c r="D25411" s="4"/>
    </row>
    <row collapsed="" customFormat="false" customHeight="1" hidden="" ht="14" outlineLevel="0" r="25412">
      <c r="A25412" s="3" t="inlineStr">
        <is>
          <t>25307</t>
        </is>
      </c>
      <c r="B25412" s="4" t="s">
        <f>=HYPERLINK("http://anyluxury.ru/shop/posuda/kukhonnye-aksessuary/nabor-iz-2-avtomaticheskih-melnic-p262323/" , "P262.323 Набор из 2 автоматических мельниц")</f>
      </c>
      <c r="C25412" s="4" t="n">
        <v>5156.00</v>
      </c>
      <c r="D25412" s="4"/>
    </row>
    <row collapsed="" customFormat="false" customHeight="1" hidden="" ht="14" outlineLevel="0" r="25413">
      <c r="A25413" s="3" t="inlineStr">
        <is>
          <t>25308</t>
        </is>
      </c>
      <c r="B25413" s="4" t="s">
        <f>=HYPERLINK("http://anyluxury.ru/shop/posuda/kukhonnye-aksessuary/nabor-iz-2-mehanicheskih-melnic-planet-p262340/" , "P262.340 Набор из 2 механических мельниц Planet")</f>
      </c>
      <c r="C25413" s="4" t="n">
        <v>3790.00</v>
      </c>
      <c r="D25413" s="4"/>
    </row>
    <row collapsed="" customFormat="false" customHeight="1" hidden="" ht="14" outlineLevel="0" r="25414">
      <c r="A25414" s="3" t="inlineStr">
        <is>
          <t>25309</t>
        </is>
      </c>
      <c r="B25414" s="4" t="s">
        <f>=HYPERLINK("http://anyluxury.ru/shop/posuda/kukhonnye-aksessuary/fartuk-cherniy-p262711/" , "P262.711 Фартук, черный")</f>
      </c>
      <c r="C25414" s="4" t="n">
        <v>643.00</v>
      </c>
      <c r="D25414" s="4"/>
    </row>
    <row collapsed="" customFormat="false" customHeight="1" hidden="" ht="14" outlineLevel="0" r="25415">
      <c r="A25415" s="3" t="inlineStr">
        <is>
          <t>25310</t>
        </is>
      </c>
      <c r="B25415" s="4" t="s">
        <f>=HYPERLINK("http://anyluxury.ru/shop/posuda/kukhonnye-aksessuary/fartuk-beliy-p262713/" , "P262.713 Фартук, белый")</f>
      </c>
      <c r="C25415" s="4" t="n">
        <v>699.00</v>
      </c>
      <c r="D25415" s="4"/>
    </row>
    <row collapsed="" customFormat="false" customHeight="1" hidden="" ht="14" outlineLevel="0" r="25416">
      <c r="A25416" s="3" t="inlineStr">
        <is>
          <t>25311</t>
        </is>
      </c>
      <c r="B25416" s="4" t="s">
        <f>=HYPERLINK("http://anyluxury.ru/shop/posuda/kukhonnye-aksessuary/fartuk-siniy-p262715/" , "P262.715 Фартук, синий")</f>
      </c>
      <c r="C25416" s="4" t="n">
        <v>603.00</v>
      </c>
      <c r="D25416" s="4"/>
    </row>
    <row collapsed="" customFormat="false" customHeight="1" hidden="" ht="14" outlineLevel="0" r="25417">
      <c r="A25417" s="3" t="inlineStr">
        <is>
          <t>25312</t>
        </is>
      </c>
      <c r="B25417" s="4" t="s">
        <f>=HYPERLINK("http://anyluxury.ru/shop/posuda/kukhonnye-aksessuary/3-sumki-dlya-sortirovki-musora-p795007/" , "P795.007 3 сумки для сортировки мусора")</f>
      </c>
      <c r="C25417" s="4" t="n">
        <v>1238.00</v>
      </c>
      <c r="D25417" s="4"/>
    </row>
    <row collapsed="" customFormat="false" customHeight="1" hidden="" ht="14" outlineLevel="0" r="25418">
      <c r="A25418" s="3" t="inlineStr">
        <is>
          <t>25313</t>
        </is>
      </c>
      <c r="B25418" s="4" t="s">
        <f>=HYPERLINK("http://anyluxury.ru/shop/posuda/kukhonnye-aksessuary/vakuumniy-termos-dlya-edi-bogota-s-keramicheskim-napileniem-400-ml-p432971/" , "P432.971 Вакуумный термос для еды Bogota с керамическим напылением, 400 мл")</f>
      </c>
      <c r="C25418" s="4" t="n">
        <v>3197.00</v>
      </c>
      <c r="D25418" s="4"/>
    </row>
    <row collapsed="" customFormat="false" customHeight="1" hidden="" ht="14" outlineLevel="0" r="25419">
      <c r="A25419" s="3" t="inlineStr">
        <is>
          <t>25314</t>
        </is>
      </c>
      <c r="B25419" s="4" t="s">
        <f>=HYPERLINK("http://anyluxury.ru/shop/posuda/kukhonnye-aksessuary/mayka-zhenskaya-coconut-220-chernaya-187330/" , "1873.30 Топ женский COCONUT 220 черный, размер S")</f>
      </c>
      <c r="C25419" s="4" t="n">
        <v>502.00</v>
      </c>
      <c r="D25419" s="4"/>
    </row>
    <row collapsed="" customFormat="false" customHeight="1" hidden="" ht="14" outlineLevel="0" r="25420">
      <c r="A25420" s="3" t="inlineStr">
        <is>
          <t>25315</t>
        </is>
      </c>
      <c r="B25420" s="4" t="s">
        <f>=HYPERLINK("http://anyluxury.ru/shop/posuda/kukhonnye-aksessuary/mayka-zhenskaya-coconut-220-chernaya-187330/" , "1873.30 Топ женский COCONUT 220 черный, размер M")</f>
      </c>
      <c r="C25420" s="4" t="n">
        <v>502.00</v>
      </c>
      <c r="D25420" s="4"/>
    </row>
    <row collapsed="" customFormat="false" customHeight="1" hidden="" ht="14" outlineLevel="0" r="25421">
      <c r="A25421" s="3" t="inlineStr">
        <is>
          <t>25316</t>
        </is>
      </c>
      <c r="B25421" s="4" t="s">
        <f>=HYPERLINK("http://anyluxury.ru/shop/posuda/kukhonnye-aksessuary/mayka-zhenskaya-coconut-220-chernaya-187330/" , "1873.30 Топ женский COCONUT 220 черный, размер L")</f>
      </c>
      <c r="C25421" s="4" t="n">
        <v>502.00</v>
      </c>
      <c r="D25421" s="4"/>
    </row>
    <row collapsed="" customFormat="false" customHeight="1" hidden="" ht="14" outlineLevel="0" r="25422">
      <c r="A25422" s="3" t="inlineStr">
        <is>
          <t>25317</t>
        </is>
      </c>
      <c r="B25422" s="4" t="s">
        <f>=HYPERLINK("http://anyluxury.ru/shop/posuda/kukhonnye-aksessuary/mayka-zhenskaya-coconut-220-chernaya-187330/" , "1873.30 Топ женский COCONUT 220 черный, размер XL")</f>
      </c>
      <c r="C25422" s="4" t="n">
        <v>502.00</v>
      </c>
      <c r="D25422" s="4"/>
    </row>
    <row collapsed="" customFormat="false" customHeight="1" hidden="" ht="14" outlineLevel="0" r="25423">
      <c r="A25423" s="3" t="inlineStr">
        <is>
          <t>25318</t>
        </is>
      </c>
      <c r="B25423" s="4" t="s">
        <f>=HYPERLINK("http://anyluxury.ru/shop/posuda/kukhonnye-aksessuary/nabor-dlya-sira-gauda-5908/" , "5908 Набор для сыра «Гауда»")</f>
      </c>
      <c r="C25423" s="4" t="n">
        <v>690.00</v>
      </c>
      <c r="D25423" s="4"/>
    </row>
    <row collapsed="" customFormat="false" customHeight="1" hidden="" ht="14" outlineLevel="0" r="25424">
      <c r="A25424" s="3" t="inlineStr">
        <is>
          <t>25319</t>
        </is>
      </c>
      <c r="B25424" s="4" t="s">
        <f>=HYPERLINK("http://anyluxury.ru/shop/posuda/kukhonnye-aksessuary/nabor-iz-lopatki-i-lozhki-7185/" , "7185 Набор из лопатки и ложки Stir and Fry")</f>
      </c>
      <c r="C25424" s="4" t="n">
        <v>99.00</v>
      </c>
      <c r="D25424" s="4"/>
    </row>
    <row collapsed="" customFormat="false" customHeight="1" hidden="" ht="14" outlineLevel="0" r="25425">
      <c r="A25425" s="3" t="inlineStr">
        <is>
          <t>25320</t>
        </is>
      </c>
      <c r="B25425" s="4" t="s">
        <f>=HYPERLINK("http://anyluxury.ru/shop/posuda/kukhonnye-aksessuary/nozh-kuhonniy-aztec-siniy-692140/" , "6921.40 Нож кухонный Aztec, синий")</f>
      </c>
      <c r="C25425" s="4" t="n">
        <v>124.00</v>
      </c>
      <c r="D25425" s="4"/>
    </row>
    <row collapsed="" customFormat="false" customHeight="1" hidden="" ht="14" outlineLevel="0" r="25426">
      <c r="A25426" s="3" t="inlineStr">
        <is>
          <t>25321</t>
        </is>
      </c>
      <c r="B25426" s="4" t="s">
        <f>=HYPERLINK("http://anyluxury.ru/shop/posuda/kukhonnye-aksessuary/nozh-kuhonniy-aztec-krasniy-692150/" , "6921.50 Нож кухонный Aztec, красный")</f>
      </c>
      <c r="C25426" s="4" t="n">
        <v>124.00</v>
      </c>
      <c r="D25426" s="4"/>
    </row>
    <row collapsed="" customFormat="false" customHeight="1" hidden="" ht="14" outlineLevel="0" r="25427">
      <c r="A25427" s="3" t="inlineStr">
        <is>
          <t>25322</t>
        </is>
      </c>
      <c r="B25427" s="4" t="s">
        <f>=HYPERLINK("http://anyluxury.ru/shop/posuda/kukhonnye-aksessuary/nozh-dlya-chistki-ovoshhey-victorinox-swiss-classic-1003300/" , "10033.00 Нож для чистки овощей Victorinox Swiss Classic")</f>
      </c>
      <c r="C25427" s="4" t="n">
        <v>416.00</v>
      </c>
      <c r="D25427" s="4"/>
    </row>
    <row collapsed="" customFormat="false" customHeight="1" hidden="" ht="14" outlineLevel="0" r="25428">
      <c r="A25428" s="3" t="inlineStr">
        <is>
          <t>25323</t>
        </is>
      </c>
      <c r="B25428" s="4" t="s">
        <f>=HYPERLINK("http://anyluxury.ru/shop/posuda/kukhonnye-aksessuary/nozh-kuhonniy-dlya-rezki-i-chistki-victorinox-swiss-classic-1003400/" , "10034.00 Нож кухонный для резки и чистки Victorinox Swiss Classic")</f>
      </c>
      <c r="C25428" s="4" t="n">
        <v>593.00</v>
      </c>
      <c r="D25428" s="4"/>
    </row>
    <row collapsed="" customFormat="false" customHeight="1" hidden="" ht="14" outlineLevel="0" r="25429">
      <c r="A25429" s="3" t="inlineStr">
        <is>
          <t>25324</t>
        </is>
      </c>
      <c r="B25429" s="4" t="s">
        <f>=HYPERLINK("http://anyluxury.ru/shop/posuda/kukhonnye-aksessuary/nozh-dlya-ovoshhey-victorinox-swiss-classic-cherniy-1003530/" , "10035.30 Нож для овощей Victorinox Swiss Classic, черный")</f>
      </c>
      <c r="C25429" s="4" t="n">
        <v>561.00</v>
      </c>
      <c r="D25429" s="4"/>
    </row>
    <row collapsed="" customFormat="false" customHeight="1" hidden="" ht="14" outlineLevel="0" r="25430">
      <c r="A25430" s="3" t="inlineStr">
        <is>
          <t>25325</t>
        </is>
      </c>
      <c r="B25430" s="4" t="s">
        <f>=HYPERLINK("http://anyluxury.ru/shop/posuda/kukhonnye-aksessuary/nozh-dlya-ovoshhey-victorinox-swiss-classic-oranzheviy-1003520/" , "10035.20 Нож для овощей Victorinox Swiss Classic, оранжевый")</f>
      </c>
      <c r="C25430" s="4" t="n">
        <v>561.00</v>
      </c>
      <c r="D25430" s="4"/>
    </row>
    <row collapsed="" customFormat="false" customHeight="1" hidden="" ht="14" outlineLevel="0" r="25431">
      <c r="A25431" s="3" t="inlineStr">
        <is>
          <t>25326</t>
        </is>
      </c>
      <c r="B25431" s="4" t="s">
        <f>=HYPERLINK("http://anyluxury.ru/shop/posuda/kukhonnye-aksessuary/nabor-nozhey-victorinox-swiss-classic-paring-1003700/" , "10037.00 Набор из 3 ножей Victorinox Swiss Classic Paring")</f>
      </c>
      <c r="C25431" s="4" t="n">
        <v>1666.00</v>
      </c>
      <c r="D25431" s="4"/>
    </row>
    <row collapsed="" customFormat="false" customHeight="1" hidden="" ht="14" outlineLevel="0" r="25432">
      <c r="A25432" s="3" t="inlineStr">
        <is>
          <t>25327</t>
        </is>
      </c>
      <c r="B25432" s="4" t="s">
        <f>=HYPERLINK("http://anyluxury.ru/shop/posuda/kukhonnye-aksessuary/nabor-nozhey-victorinox-swiss-classic-paring-cherniy-1003930/" , "10039.30 Набор из 3 ножей Victorinox Swiss Classic Paring, черный")</f>
      </c>
      <c r="C25432" s="4" t="n">
        <v>1858.00</v>
      </c>
      <c r="D25432" s="4"/>
    </row>
    <row collapsed="" customFormat="false" customHeight="1" hidden="" ht="14" outlineLevel="0" r="25433">
      <c r="A25433" s="3" t="inlineStr">
        <is>
          <t>25328</t>
        </is>
      </c>
      <c r="B25433" s="4" t="s">
        <f>=HYPERLINK("http://anyluxury.ru/shop/posuda/kukhonnye-aksessuary/nozh-kuhonniy-obvalochniy-victorinox-swiss-classic-cherniy-1004130/" , "10041.30 Нож кухонный обвалочный Victorinox Swiss Classic, черный")</f>
      </c>
      <c r="C25433" s="4" t="n">
        <v>2755.00</v>
      </c>
      <c r="D25433" s="4"/>
    </row>
    <row collapsed="" customFormat="false" customHeight="1" hidden="" ht="14" outlineLevel="0" r="25434">
      <c r="A25434" s="3" t="inlineStr">
        <is>
          <t>25329</t>
        </is>
      </c>
      <c r="B25434" s="4" t="s">
        <f>=HYPERLINK("http://anyluxury.ru/shop/posuda/kukhonnye-aksessuary/nabor-kuhonnih-nozhey-victorinox-swiss-classic-paring-cherniy-1004230/" , "10042.30 Набор из 3 кухонных ножей Victorinox Swiss Classic Paring, черный")</f>
      </c>
      <c r="C25434" s="4" t="n">
        <v>2531.00</v>
      </c>
      <c r="D25434" s="4"/>
    </row>
    <row collapsed="" customFormat="false" customHeight="1" hidden="" ht="14" outlineLevel="0" r="25435">
      <c r="A25435" s="3" t="inlineStr">
        <is>
          <t>25330</t>
        </is>
      </c>
      <c r="B25435" s="4" t="s">
        <f>=HYPERLINK("http://anyluxury.ru/shop/posuda/kukhonnye-aksessuary/nabor-razdelochnih-nozhey-victorinox-wood-3-predmeta-1004300/" , "10043.00 Набор разделочных ножей Victorinox Wood, 3 предмета")</f>
      </c>
      <c r="C25435" s="4" t="n">
        <v>13774.00</v>
      </c>
      <c r="D25435" s="4"/>
    </row>
    <row collapsed="" customFormat="false" customHeight="1" hidden="" ht="14" outlineLevel="0" r="25436">
      <c r="A25436" s="3" t="inlineStr">
        <is>
          <t>25331</t>
        </is>
      </c>
      <c r="B25436" s="4" t="s">
        <f>=HYPERLINK("http://anyluxury.ru/shop/posuda/kukhonnye-aksessuary/nabor-nozhey-victorinox-standart-cherniy-1004430/" , "10044.30 Набор из 5 ножей Victorinox Standart, черный")</f>
      </c>
      <c r="C25436" s="4" t="n">
        <v>9305.00</v>
      </c>
      <c r="D25436" s="4"/>
    </row>
    <row collapsed="" customFormat="false" customHeight="1" hidden="" ht="14" outlineLevel="0" r="25437">
      <c r="A25437" s="3" t="inlineStr">
        <is>
          <t>25332</t>
        </is>
      </c>
      <c r="B25437" s="4" t="s">
        <f>=HYPERLINK("http://anyluxury.ru/shop/posuda/kukhonnye-aksessuary/nabor-nozhey-victorinox-1004500/" , "10045.00 Набор ножей Victorinox")</f>
      </c>
      <c r="C25437" s="4" t="n">
        <v>6983.00</v>
      </c>
      <c r="D25437" s="4"/>
    </row>
    <row collapsed="" customFormat="false" customHeight="1" hidden="" ht="14" outlineLevel="0" r="25438">
      <c r="A25438" s="3" t="inlineStr">
        <is>
          <t>25333</t>
        </is>
      </c>
      <c r="B25438" s="4" t="s">
        <f>=HYPERLINK("http://anyluxury.ru/shop/posuda/kukhonnye-aksessuary/nabor-nozhey-victorinox-standart-v-derevyannoy-podstavke-1004630/" , "10046.30 Набор из 5 ножей Victorinox Standart в деревянной подставке")</f>
      </c>
      <c r="C25438" s="4" t="n">
        <v>13293.00</v>
      </c>
      <c r="D25438" s="4"/>
    </row>
    <row collapsed="" customFormat="false" customHeight="1" hidden="" ht="14" outlineLevel="0" r="25439">
      <c r="A25439" s="3" t="inlineStr">
        <is>
          <t>25334</t>
        </is>
      </c>
      <c r="B25439" s="4" t="s">
        <f>=HYPERLINK("http://anyluxury.ru/shop/posuda/kukhonnye-aksessuary/nabor-razdelochnih-nozhey-victorinox-wood-2-predmeta-1004700/" , "10047.00 Набор разделочных ножей Victorinox Wood, 2 предмета")</f>
      </c>
      <c r="C25439" s="4" t="n">
        <v>9546.00</v>
      </c>
      <c r="D25439" s="4"/>
    </row>
    <row collapsed="" customFormat="false" customHeight="1" hidden="" ht="14" outlineLevel="0" r="25440">
      <c r="A25440" s="3" t="inlineStr">
        <is>
          <t>25335</t>
        </is>
      </c>
      <c r="B25440" s="4" t="s">
        <f>=HYPERLINK("http://anyluxury.ru/shop/posuda/kukhonnye-aksessuary/nabor-kuhonnih-nozhey-victorinox-forged-chefs-cherniy-1004830/" , "10048.30 Набор из 3 кухонных ножей Victorinox Forged Chefs, черный")</f>
      </c>
      <c r="C25440" s="4" t="n">
        <v>30110.00</v>
      </c>
      <c r="D25440" s="4"/>
    </row>
    <row collapsed="" customFormat="false" customHeight="1" hidden="" ht="14" outlineLevel="0" r="25441">
      <c r="A25441" s="3" t="inlineStr">
        <is>
          <t>25336</t>
        </is>
      </c>
      <c r="B25441" s="4" t="s">
        <f>=HYPERLINK("http://anyluxury.ru/shop/posuda/kukhonnye-aksessuary/nabor-nozhey-victorinox-standart-v-derevyannoy-podstavke-s-nozhnicami-1004930/" , "10049.30 Набор ножей Victorinox Standart в деревянной подставке с ножницами")</f>
      </c>
      <c r="C25441" s="4" t="n">
        <v>21718.00</v>
      </c>
      <c r="D25441" s="4"/>
    </row>
    <row collapsed="" customFormat="false" customHeight="1" hidden="" ht="14" outlineLevel="0" r="25442">
      <c r="A25442" s="3" t="inlineStr">
        <is>
          <t>25337</t>
        </is>
      </c>
      <c r="B25442" s="4" t="s">
        <f>=HYPERLINK("http://anyluxury.ru/shop/posuda/kukhonnye-aksessuary/nabor-kuhonnih-nozhey-victorinox-wood-1005000/" , "10050.00 Набор из 2 кухонных ножей Victorinox Wood")</f>
      </c>
      <c r="C25442" s="4" t="n">
        <v>9802.00</v>
      </c>
      <c r="D25442" s="4"/>
    </row>
    <row collapsed="" customFormat="false" customHeight="1" hidden="" ht="14" outlineLevel="0" r="25443">
      <c r="A25443" s="3" t="inlineStr">
        <is>
          <t>25338</t>
        </is>
      </c>
      <c r="B25443" s="4" t="s">
        <f>=HYPERLINK("http://anyluxury.ru/shop/posuda/kukhonnye-aksessuary/nabor-kuhonnih-nozhey-victorinox-swiss-modern-1005100/" , "10051.00 Набор кухонных ножей Victorinox Swiss Modern")</f>
      </c>
      <c r="C25443" s="4" t="n">
        <v>43440.00</v>
      </c>
      <c r="D25443" s="4"/>
    </row>
    <row collapsed="" customFormat="false" customHeight="1" hidden="" ht="14" outlineLevel="0" r="25444">
      <c r="A25444" s="3" t="inlineStr">
        <is>
          <t>25339</t>
        </is>
      </c>
      <c r="B25444" s="4" t="s">
        <f>=HYPERLINK("http://anyluxury.ru/shop/posuda/kukhonnye-aksessuary/nabor-kuhonnih-nozhey-victorinox-swiss-classic-v-derevyannoy-podstavke-1005200/" , "10052.00 Набор из 8 кухонных ножей Victorinox Swiss Classic в деревянной подставке")</f>
      </c>
      <c r="C25444" s="4" t="n">
        <v>26747.00</v>
      </c>
      <c r="D25444" s="4"/>
    </row>
    <row collapsed="" customFormat="false" customHeight="1" hidden="" ht="14" outlineLevel="0" r="25445">
      <c r="A25445" s="3" t="inlineStr">
        <is>
          <t>25340</t>
        </is>
      </c>
      <c r="B25445" s="4" t="s">
        <f>=HYPERLINK("http://anyluxury.ru/shop/posuda/kukhonnye-aksessuary/nabor-nozhey-dlya-steyka-victorinox-wood-1005300/" , "10053.00 Набор из 2 ножей для стейка Victorinox Wood")</f>
      </c>
      <c r="C25445" s="4" t="n">
        <v>7688.00</v>
      </c>
      <c r="D25445" s="4"/>
    </row>
    <row collapsed="" customFormat="false" customHeight="1" hidden="" ht="14" outlineLevel="0" r="25446">
      <c r="A25446" s="3" t="inlineStr">
        <is>
          <t>25341</t>
        </is>
      </c>
      <c r="B25446" s="4" t="s">
        <f>=HYPERLINK("http://anyluxury.ru/shop/posuda/kukhonnye-aksessuary/nabor-kuhonnih-nozhey-victorinox-swiss-classic-v-derevyannoy-podstavke-s-ovoshhechistkoy-1005400/" , "10054.00 Набор из 10 кухонных ножей Victorinox Swiss Classic в деревянной подставке с овощечисткой")</f>
      </c>
      <c r="C25446" s="4" t="n">
        <v>32512.00</v>
      </c>
      <c r="D25446" s="4"/>
    </row>
    <row collapsed="" customFormat="false" customHeight="1" hidden="" ht="14" outlineLevel="0" r="25447">
      <c r="A25447" s="3" t="inlineStr">
        <is>
          <t>25342</t>
        </is>
      </c>
      <c r="B25447" s="4" t="s">
        <f>=HYPERLINK("http://anyluxury.ru/shop/posuda/kukhonnye-aksessuary/nabor-nozhey-dlya-steyka-victorinox-forged-steak-cherniy-1005530/" , "10055.30 Набор из 2 ножей для стейка Victorinox Forged Steak, черный")</f>
      </c>
      <c r="C25447" s="4" t="n">
        <v>14030.00</v>
      </c>
      <c r="D25447" s="4"/>
    </row>
    <row collapsed="" customFormat="false" customHeight="1" hidden="" ht="14" outlineLevel="0" r="25448">
      <c r="A25448" s="3" t="inlineStr">
        <is>
          <t>25343</t>
        </is>
      </c>
      <c r="B25448" s="4" t="s">
        <f>=HYPERLINK("http://anyluxury.ru/shop/posuda/kukhonnye-aksessuary/nozh-dlya-steyka-victorinox-swiss-classic-1005600/" , "10056.00 Нож для стейка Victorinox Swiss Classic")</f>
      </c>
      <c r="C25448" s="4" t="n">
        <v>625.00</v>
      </c>
      <c r="D25448" s="4"/>
    </row>
    <row collapsed="" customFormat="false" customHeight="1" hidden="" ht="14" outlineLevel="0" r="25449">
      <c r="A25449" s="3" t="inlineStr">
        <is>
          <t>25344</t>
        </is>
      </c>
      <c r="B25449" s="4" t="s">
        <f>=HYPERLINK("http://anyluxury.ru/shop/posuda/kukhonnye-aksessuary/dozator-dlya-masla-i-uksusa-typhoon-1048100/" , "10481.00 Дозатор для масла и уксуса Typhoon")</f>
      </c>
      <c r="C25449" s="4" t="n">
        <v>390.00</v>
      </c>
      <c r="D25449" s="4"/>
    </row>
    <row collapsed="" customFormat="false" customHeight="1" hidden="" ht="14" outlineLevel="0" r="25450">
      <c r="A25450" s="3" t="inlineStr">
        <is>
          <t>25345</t>
        </is>
      </c>
      <c r="B25450" s="4" t="s">
        <f>=HYPERLINK("http://anyluxury.ru/shop/posuda/kukhonnye-aksessuary/doska-kuhonnaya-modern-kitchen-malaya-1048300/" , "10483.00 Доска кухонная Modern Kitchen, малая")</f>
      </c>
      <c r="C25450" s="4" t="n">
        <v>1100.00</v>
      </c>
      <c r="D25450" s="4"/>
    </row>
    <row collapsed="" customFormat="false" customHeight="1" hidden="" ht="14" outlineLevel="0" r="25451">
      <c r="A25451" s="3" t="inlineStr">
        <is>
          <t>25346</t>
        </is>
      </c>
      <c r="B25451" s="4" t="s">
        <f>=HYPERLINK("http://anyluxury.ru/shop/posuda/kukhonnye-aksessuary/emkost-dlya-pechenya-living-golubaya-1048614/" , "10486.14 Емкость для печенья Living, голубая")</f>
      </c>
      <c r="C25451" s="4" t="n">
        <v>1250.00</v>
      </c>
      <c r="D25451" s="4"/>
    </row>
    <row collapsed="" customFormat="false" customHeight="1" hidden="" ht="14" outlineLevel="0" r="25452">
      <c r="A25452" s="3" t="inlineStr">
        <is>
          <t>25347</t>
        </is>
      </c>
      <c r="B25452" s="4" t="s">
        <f>=HYPERLINK("http://anyluxury.ru/shop/posuda/kukhonnye-aksessuary/emkost-dlya-pechenya-living-kremovaya-1048611/" , "10486.11 Емкость для печенья Living, кремовая")</f>
      </c>
      <c r="C25452" s="4" t="n">
        <v>1250.00</v>
      </c>
      <c r="D25452" s="4"/>
    </row>
    <row collapsed="" customFormat="false" customHeight="1" hidden="" ht="14" outlineLevel="0" r="25453">
      <c r="A25453" s="3" t="inlineStr">
        <is>
          <t>25348</t>
        </is>
      </c>
      <c r="B25453" s="4" t="s">
        <f>=HYPERLINK("http://anyluxury.ru/shop/posuda/kukhonnye-aksessuary/emkost-dlya-hraneniya-kofe-copper-lid-seraya-1049310/" , "10493.10 Емкость для хранения кофе Copper Lid, серая")</f>
      </c>
      <c r="C25453" s="4" t="n">
        <v>590.00</v>
      </c>
      <c r="D25453" s="4"/>
    </row>
    <row collapsed="" customFormat="false" customHeight="1" hidden="" ht="14" outlineLevel="0" r="25454">
      <c r="A25454" s="3" t="inlineStr">
        <is>
          <t>25349</t>
        </is>
      </c>
      <c r="B25454" s="4" t="s">
        <f>=HYPERLINK("http://anyluxury.ru/shop/posuda/kukhonnye-aksessuary/emkost-dlya-hraneniya-kofe-embossed-belaya-1049460/" , "10494.60 Емкость для хранения кофе Embossed, белая")</f>
      </c>
      <c r="C25454" s="4" t="n">
        <v>790.00</v>
      </c>
      <c r="D25454" s="4"/>
    </row>
    <row collapsed="" customFormat="false" customHeight="1" hidden="" ht="14" outlineLevel="0" r="25455">
      <c r="A25455" s="3" t="inlineStr">
        <is>
          <t>25350</t>
        </is>
      </c>
      <c r="B25455" s="4" t="s">
        <f>=HYPERLINK("http://anyluxury.ru/shop/posuda/kukhonnye-aksessuary/emkost-dlya-hraneniya-kofe-living-golubaya-1049614/" , "10496.14 Емкость для хранения кофе Living, голубая")</f>
      </c>
      <c r="C25455" s="4" t="n">
        <v>930.00</v>
      </c>
      <c r="D25455" s="4"/>
    </row>
    <row collapsed="" customFormat="false" customHeight="1" hidden="" ht="14" outlineLevel="0" r="25456">
      <c r="A25456" s="3" t="inlineStr">
        <is>
          <t>25351</t>
        </is>
      </c>
      <c r="B25456" s="4" t="s">
        <f>=HYPERLINK("http://anyluxury.ru/shop/posuda/kukhonnye-aksessuary/emkost-dlya-hraneniya-kofe-living-kremovaya-1049611/" , "10496.11 Емкость для хранения кофе Living, кремовая")</f>
      </c>
      <c r="C25456" s="4" t="n">
        <v>930.00</v>
      </c>
      <c r="D25456" s="4"/>
    </row>
    <row collapsed="" customFormat="false" customHeight="1" hidden="" ht="14" outlineLevel="0" r="25457">
      <c r="A25457" s="3" t="inlineStr">
        <is>
          <t>25352</t>
        </is>
      </c>
      <c r="B25457" s="4" t="s">
        <f>=HYPERLINK("http://anyluxury.ru/shop/posuda/kukhonnye-aksessuary/emkost-dlya-hraneniya-pasti-living-golubaya-1049714/" , "10497.14 Емкость для хранения пасты Living, голубая")</f>
      </c>
      <c r="C25457" s="4" t="n">
        <v>990.00</v>
      </c>
      <c r="D25457" s="4"/>
    </row>
    <row collapsed="" customFormat="false" customHeight="1" hidden="" ht="14" outlineLevel="0" r="25458">
      <c r="A25458" s="3" t="inlineStr">
        <is>
          <t>25353</t>
        </is>
      </c>
      <c r="B25458" s="4" t="s">
        <f>=HYPERLINK("http://anyluxury.ru/shop/posuda/kukhonnye-aksessuary/emkost-dlya-hraneniya-pasti-living-kremovaya-1049711/" , "10497.11 Емкость для хранения пасты Living, кремовая")</f>
      </c>
      <c r="C25458" s="4" t="n">
        <v>990.00</v>
      </c>
      <c r="D25458" s="4"/>
    </row>
    <row collapsed="" customFormat="false" customHeight="1" hidden="" ht="14" outlineLevel="0" r="25459">
      <c r="A25459" s="3" t="inlineStr">
        <is>
          <t>25354</t>
        </is>
      </c>
      <c r="B25459" s="4" t="s">
        <f>=HYPERLINK("http://anyluxury.ru/shop/posuda/kukhonnye-aksessuary/emkost-dlya-hraneniya-sahara-copper-lid-seraya-1049810/" , "10498.10 Емкость для хранения сахара Copper Lid, серая")</f>
      </c>
      <c r="C25459" s="4" t="n">
        <v>590.00</v>
      </c>
      <c r="D25459" s="4"/>
    </row>
    <row collapsed="" customFormat="false" customHeight="1" hidden="" ht="14" outlineLevel="0" r="25460">
      <c r="A25460" s="3" t="inlineStr">
        <is>
          <t>25355</t>
        </is>
      </c>
      <c r="B25460" s="4" t="s">
        <f>=HYPERLINK("http://anyluxury.ru/shop/posuda/kukhonnye-aksessuary/emkost-dlya-hraneniya-sahara-embossed-belaya-1049960/" , "10499.60 Емкость для хранения сахара Embossed, белая")</f>
      </c>
      <c r="C25460" s="4" t="n">
        <v>950.00</v>
      </c>
      <c r="D25460" s="4"/>
    </row>
    <row collapsed="" customFormat="false" customHeight="1" hidden="" ht="14" outlineLevel="0" r="25461">
      <c r="A25461" s="3" t="inlineStr">
        <is>
          <t>25356</t>
        </is>
      </c>
      <c r="B25461" s="4" t="s">
        <f>=HYPERLINK("http://anyluxury.ru/shop/posuda/kukhonnye-aksessuary/emkost-dlya-hraneniya-sahara-living-kremovaya-1050111/" , "10501.11 Емкость для хранения сахара Living, кремовая")</f>
      </c>
      <c r="C25461" s="4" t="n">
        <v>930.00</v>
      </c>
      <c r="D25461" s="4"/>
    </row>
    <row collapsed="" customFormat="false" customHeight="1" hidden="" ht="14" outlineLevel="0" r="25462">
      <c r="A25462" s="3" t="inlineStr">
        <is>
          <t>25357</t>
        </is>
      </c>
      <c r="B25462" s="4" t="s">
        <f>=HYPERLINK("http://anyluxury.ru/shop/posuda/kukhonnye-aksessuary/hlebnica-otto-chernaya-1050230/" , "10502.30 Хлебница Otto, черная")</f>
      </c>
      <c r="C25462" s="4" t="n">
        <v>2650.00</v>
      </c>
      <c r="D25462" s="4"/>
    </row>
    <row collapsed="" customFormat="false" customHeight="1" hidden="" ht="14" outlineLevel="0" r="25463">
      <c r="A25463" s="3" t="inlineStr">
        <is>
          <t>25358</t>
        </is>
      </c>
      <c r="B25463" s="4" t="s">
        <f>=HYPERLINK("http://anyluxury.ru/shop/posuda/kukhonnye-aksessuary/emkost-dlya-hraneniya-chaya-copper-lid-seraya-1050310/" , "10503.10 Емкость для хранения чая Copper Lid, серая")</f>
      </c>
      <c r="C25463" s="4" t="n">
        <v>590.00</v>
      </c>
      <c r="D25463" s="4"/>
    </row>
    <row collapsed="" customFormat="false" customHeight="1" hidden="" ht="14" outlineLevel="0" r="25464">
      <c r="A25464" s="3" t="inlineStr">
        <is>
          <t>25359</t>
        </is>
      </c>
      <c r="B25464" s="4" t="s">
        <f>=HYPERLINK("http://anyluxury.ru/shop/posuda/kukhonnye-aksessuary/emkost-dlya-hraneniya-chaya-embossed-belaya-1050460/" , "10504.60 Емкость для хранения чая Embossed, белая")</f>
      </c>
      <c r="C25464" s="4" t="n">
        <v>950.00</v>
      </c>
      <c r="D25464" s="4"/>
    </row>
    <row collapsed="" customFormat="false" customHeight="1" hidden="" ht="14" outlineLevel="0" r="25465">
      <c r="A25465" s="3" t="inlineStr">
        <is>
          <t>25360</t>
        </is>
      </c>
      <c r="B25465" s="4" t="s">
        <f>=HYPERLINK("http://anyluxury.ru/shop/posuda/kukhonnye-aksessuary/emkost-dlya-hraneniya-chaya-living-kremovaya-1050611/" , "10506.11 Емкость для хранения чая Living, кремовая")</f>
      </c>
      <c r="C25465" s="4" t="n">
        <v>930.00</v>
      </c>
      <c r="D25465" s="4"/>
    </row>
    <row collapsed="" customFormat="false" customHeight="1" hidden="" ht="14" outlineLevel="0" r="25466">
      <c r="A25466" s="3" t="inlineStr">
        <is>
          <t>25361</t>
        </is>
      </c>
      <c r="B25466" s="4" t="s">
        <f>=HYPERLINK("http://anyluxury.ru/shop/posuda/kukhonnye-aksessuary/emkost-kuhonnaya-living-golubaya-1050714/" , "10507.14 Емкость кухонная Living, голубая")</f>
      </c>
      <c r="C25466" s="4" t="n">
        <v>890.00</v>
      </c>
      <c r="D25466" s="4"/>
    </row>
    <row collapsed="" customFormat="false" customHeight="1" hidden="" ht="14" outlineLevel="0" r="25467">
      <c r="A25467" s="3" t="inlineStr">
        <is>
          <t>25362</t>
        </is>
      </c>
      <c r="B25467" s="4" t="s">
        <f>=HYPERLINK("http://anyluxury.ru/shop/posuda/kukhonnye-aksessuary/emkost-kuhonnaya-living-kremovaya-1050711/" , "10507.11 Емкость кухонная Living, кремовая")</f>
      </c>
      <c r="C25467" s="4" t="n">
        <v>890.00</v>
      </c>
      <c r="D25467" s="4"/>
    </row>
    <row collapsed="" customFormat="false" customHeight="1" hidden="" ht="14" outlineLevel="0" r="25468">
      <c r="A25468" s="3" t="inlineStr">
        <is>
          <t>25363</t>
        </is>
      </c>
      <c r="B25468" s="4" t="s">
        <f>=HYPERLINK("http://anyluxury.ru/shop/posuda/kukhonnye-aksessuary/lozhka-derevyannaya-modern-kitchen-1051100/" , "10511.00 Ложка деревянная Modern Kitchen")</f>
      </c>
      <c r="C25468" s="4" t="n">
        <v>690.00</v>
      </c>
      <c r="D25468" s="4"/>
    </row>
    <row collapsed="" customFormat="false" customHeight="1" hidden="" ht="14" outlineLevel="0" r="25469">
      <c r="A25469" s="3" t="inlineStr">
        <is>
          <t>25364</t>
        </is>
      </c>
      <c r="B25469" s="4" t="s">
        <f>=HYPERLINK("http://anyluxury.ru/shop/posuda/kukhonnye-aksessuary/nozh-dlya-picci-solutions-1051800/" , "10518.00 Нож для пиццы Solutions")</f>
      </c>
      <c r="C25469" s="4" t="n">
        <v>490.00</v>
      </c>
      <c r="D25469" s="4"/>
    </row>
    <row collapsed="" customFormat="false" customHeight="1" hidden="" ht="14" outlineLevel="0" r="25470">
      <c r="A25470" s="3" t="inlineStr">
        <is>
          <t>25365</t>
        </is>
      </c>
      <c r="B25470" s="4" t="s">
        <f>=HYPERLINK("http://anyluxury.ru/shop/posuda/kukhonnye-aksessuary/nozh-konservniy-solutions-goluboy-1052000/" , "10520.00 Нож консервный Solutions, голубой")</f>
      </c>
      <c r="C25470" s="4" t="n">
        <v>1100.00</v>
      </c>
      <c r="D25470" s="4"/>
    </row>
    <row collapsed="" customFormat="false" customHeight="1" hidden="" ht="14" outlineLevel="0" r="25471">
      <c r="A25471" s="3" t="inlineStr">
        <is>
          <t>25366</t>
        </is>
      </c>
      <c r="B25471" s="4" t="s">
        <f>=HYPERLINK("http://anyluxury.ru/shop/posuda/kukhonnye-aksessuary/nozhnici-dlya-zeleni-solutions-golubie-1052114/" , "10521.14 Ножницы для зелени Solutions, голубые")</f>
      </c>
      <c r="C25471" s="4" t="n">
        <v>750.00</v>
      </c>
      <c r="D25471" s="4"/>
    </row>
    <row collapsed="" customFormat="false" customHeight="1" hidden="" ht="14" outlineLevel="0" r="25472">
      <c r="A25472" s="3" t="inlineStr">
        <is>
          <t>25367</t>
        </is>
      </c>
      <c r="B25472" s="4" t="s">
        <f>=HYPERLINK("http://anyluxury.ru/shop/posuda/kukhonnye-aksessuary/nozhnici-kuhonnie-solutions-golubie-1052214/" , "10522.14 Ножницы кухонные Solutions, голубые")</f>
      </c>
      <c r="C25472" s="4" t="n">
        <v>690.00</v>
      </c>
      <c r="D25472" s="4"/>
    </row>
    <row collapsed="" customFormat="false" customHeight="1" hidden="" ht="14" outlineLevel="0" r="25473">
      <c r="A25473" s="3" t="inlineStr">
        <is>
          <t>25368</t>
        </is>
      </c>
      <c r="B25473" s="4" t="s">
        <f>=HYPERLINK("http://anyluxury.ru/shop/posuda/kukhonnye-aksessuary/hlebnica-living-golubaya-1052814/" , "10528.14 Хлебница Living, голубая")</f>
      </c>
      <c r="C25473" s="4" t="n">
        <v>2500.00</v>
      </c>
      <c r="D25473" s="4"/>
    </row>
    <row collapsed="" customFormat="false" customHeight="1" hidden="" ht="14" outlineLevel="0" r="25474">
      <c r="A25474" s="3" t="inlineStr">
        <is>
          <t>25369</t>
        </is>
      </c>
      <c r="B25474" s="4" t="s">
        <f>=HYPERLINK("http://anyluxury.ru/shop/posuda/kukhonnye-aksessuary/hlebnica-living-bezhevaya-1052816/" , "10528.16 Хлебница Living, бежевая")</f>
      </c>
      <c r="C25474" s="4" t="n">
        <v>2500.00</v>
      </c>
      <c r="D25474" s="4"/>
    </row>
    <row collapsed="" customFormat="false" customHeight="1" hidden="" ht="14" outlineLevel="0" r="25475">
      <c r="A25475" s="3" t="inlineStr">
        <is>
          <t>25370</t>
        </is>
      </c>
      <c r="B25475" s="4" t="s">
        <f>=HYPERLINK("http://anyluxury.ru/shop/posuda/kukhonnye-aksessuary/hlebnica-living-kremovaya-1052811/" , "10528.11 Хлебница Living, кремовая")</f>
      </c>
      <c r="C25475" s="4" t="n">
        <v>2500.00</v>
      </c>
      <c r="D25475" s="4"/>
    </row>
    <row collapsed="" customFormat="false" customHeight="1" hidden="" ht="14" outlineLevel="0" r="25476">
      <c r="A25476" s="3" t="inlineStr">
        <is>
          <t>25371</t>
        </is>
      </c>
      <c r="B25476" s="4" t="s">
        <f>=HYPERLINK("http://anyluxury.ru/shop/posuda/kukhonnye-aksessuary/hlebnica-modern-kitchen-zolotistaya-1052900/" , "10529.00 Хлебница Modern Kitchen, золотистая")</f>
      </c>
      <c r="C25476" s="4" t="n">
        <v>2900.00</v>
      </c>
      <c r="D25476" s="4"/>
    </row>
    <row collapsed="" customFormat="false" customHeight="1" hidden="" ht="14" outlineLevel="0" r="25477">
      <c r="A25477" s="3" t="inlineStr">
        <is>
          <t>25372</t>
        </is>
      </c>
      <c r="B25477" s="4" t="s">
        <f>=HYPERLINK("http://anyluxury.ru/shop/posuda/kukhonnye-aksessuary/chaynik-so-svistkom-living-goluboy-1053214/" , "10532.14 Чайник со свистком Living, голубой")</f>
      </c>
      <c r="C25477" s="4" t="n">
        <v>3750.00</v>
      </c>
      <c r="D25477" s="4"/>
    </row>
    <row collapsed="" customFormat="false" customHeight="1" hidden="" ht="14" outlineLevel="0" r="25478">
      <c r="A25478" s="3" t="inlineStr">
        <is>
          <t>25373</t>
        </is>
      </c>
      <c r="B25478" s="4" t="s">
        <f>=HYPERLINK("http://anyluxury.ru/shop/posuda/kukhonnye-aksessuary/chaynik-so-svistkom-living-kremoviy-1053211/" , "10532.11 Чайник со свистком Living, кремовый")</f>
      </c>
      <c r="C25478" s="4" t="n">
        <v>3750.00</v>
      </c>
      <c r="D25478" s="4"/>
    </row>
    <row collapsed="" customFormat="false" customHeight="1" hidden="" ht="14" outlineLevel="0" r="25479">
      <c r="A25479" s="3" t="inlineStr">
        <is>
          <t>25374</t>
        </is>
      </c>
      <c r="B25479" s="4" t="s">
        <f>=HYPERLINK("http://anyluxury.ru/shop/posuda/kukhonnye-aksessuary/otkrivashka-friday-night-chernaya-7411530/" , "74115.30 Открывашка Friday Night, черная")</f>
      </c>
      <c r="C25479" s="4" t="n">
        <v>74.00</v>
      </c>
      <c r="D25479" s="4"/>
    </row>
    <row collapsed="" customFormat="false" customHeight="1" hidden="" ht="14" outlineLevel="0" r="25480">
      <c r="A25480" s="3" t="inlineStr">
        <is>
          <t>25375</t>
        </is>
      </c>
      <c r="B25480" s="4" t="s">
        <f>=HYPERLINK("http://anyluxury.ru/shop/posuda/kukhonnye-aksessuary/otkrivashka-friday-night-krasnaya-7411550/" , "74115.50 Открывашка Friday Night, красная")</f>
      </c>
      <c r="C25480" s="4" t="n">
        <v>74.00</v>
      </c>
      <c r="D25480" s="4"/>
    </row>
    <row collapsed="" customFormat="false" customHeight="1" hidden="" ht="14" outlineLevel="0" r="25481">
      <c r="A25481" s="3" t="inlineStr">
        <is>
          <t>25376</t>
        </is>
      </c>
      <c r="B25481" s="4" t="s">
        <f>=HYPERLINK("http://anyluxury.ru/shop/posuda/kukhonnye-aksessuary/dozatorsprey-dlya-masla-refuel-7386200/" , "73862.00 Дозатор-спрей для масла Refuel")</f>
      </c>
      <c r="C25481" s="4" t="n">
        <v>750.00</v>
      </c>
      <c r="D25481" s="4"/>
    </row>
    <row collapsed="" customFormat="false" customHeight="1" hidden="" ht="14" outlineLevel="0" r="25482">
      <c r="A25482" s="3" t="inlineStr">
        <is>
          <t>25377</t>
        </is>
      </c>
      <c r="B25482" s="4" t="s">
        <f>=HYPERLINK("http://anyluxury.ru/shop/posuda/kukhonnye-aksessuary/melnica-dlya-speciy-real-mill-7388900/" , "73889.00 Мельница для специй Real Mill")</f>
      </c>
      <c r="C25482" s="4" t="n">
        <v>1236.00</v>
      </c>
      <c r="D25482" s="4"/>
    </row>
    <row collapsed="" customFormat="false" customHeight="1" hidden="" ht="14" outlineLevel="0" r="25483">
      <c r="A25483" s="3" t="inlineStr">
        <is>
          <t>25378</t>
        </is>
      </c>
      <c r="B25483" s="4" t="s">
        <f>=HYPERLINK("http://anyluxury.ru/shop/posuda/kukhonnye-aksessuary/nozh-dlya-picci-slice-siniy-7387040/" , "73870.40 Нож для пиццы Slice, синий")</f>
      </c>
      <c r="C25483" s="4" t="n">
        <v>159.00</v>
      </c>
      <c r="D25483" s="4"/>
    </row>
    <row collapsed="" customFormat="false" customHeight="1" hidden="" ht="14" outlineLevel="0" r="25484">
      <c r="A25484" s="3" t="inlineStr">
        <is>
          <t>25379</t>
        </is>
      </c>
      <c r="B25484" s="4" t="s">
        <f>=HYPERLINK("http://anyluxury.ru/shop/posuda/kukhonnye-aksessuary/nozh-dlya-picci-slice-krasniy-7387050/" , "73870.50 Нож для пиццы Slice, красный")</f>
      </c>
      <c r="C25484" s="4" t="n">
        <v>159.00</v>
      </c>
      <c r="D25484" s="4"/>
    </row>
    <row collapsed="" customFormat="false" customHeight="1" hidden="" ht="14" outlineLevel="0" r="25485">
      <c r="A25485" s="3" t="inlineStr">
        <is>
          <t>25380</t>
        </is>
      </c>
      <c r="B25485" s="4" t="s">
        <f>=HYPERLINK("http://anyluxury.ru/shop/posuda/kukhonnye-aksessuary/nozh-dlya-picci-slice-beliy-7387060/" , "73870.60 Нож для пиццы Slice, белый")</f>
      </c>
      <c r="C25485" s="4" t="n">
        <v>159.00</v>
      </c>
      <c r="D25485" s="4"/>
    </row>
    <row collapsed="" customFormat="false" customHeight="1" hidden="" ht="14" outlineLevel="0" r="25486">
      <c r="A25486" s="3" t="inlineStr">
        <is>
          <t>25381</t>
        </is>
      </c>
      <c r="B25486" s="4" t="s">
        <f>=HYPERLINK("http://anyluxury.ru/shop/posuda/kukhonnye-aksessuary/nabor-nozhey-cutting-edge-7389100/" , "73891.00 Набор из 4 ножей Cutting Edge")</f>
      </c>
      <c r="C25486" s="4" t="n">
        <v>904.00</v>
      </c>
      <c r="D25486" s="4"/>
    </row>
    <row collapsed="" customFormat="false" customHeight="1" hidden="" ht="14" outlineLevel="0" r="25487">
      <c r="A25487" s="3" t="inlineStr">
        <is>
          <t>25382</t>
        </is>
      </c>
      <c r="B25487" s="4" t="s">
        <f>=HYPERLINK("http://anyluxury.ru/shop/posuda/kukhonnye-aksessuary/doska-razdelochnaya-torcevaya-culinare-4500700/" , "45007.00 Доска разделочная торцевая Culinare")</f>
      </c>
      <c r="C25487" s="4" t="n">
        <v>2352.00</v>
      </c>
      <c r="D25487" s="4"/>
    </row>
    <row collapsed="" customFormat="false" customHeight="1" hidden="" ht="14" outlineLevel="0" r="25488">
      <c r="A25488" s="3" t="inlineStr">
        <is>
          <t>25383</t>
        </is>
      </c>
      <c r="B25488" s="4" t="s">
        <f>=HYPERLINK("http://anyluxury.ru/shop/posuda/kukhonnye-aksessuary/doska-razdelochnaya-kitchenery-bolshaya-1043200/" , "10432.00 Доска разделочная Kitchenery, большая")</f>
      </c>
      <c r="C25488" s="4" t="n">
        <v>2464.00</v>
      </c>
      <c r="D25488" s="4"/>
    </row>
    <row collapsed="" customFormat="false" customHeight="1" hidden="" ht="14" outlineLevel="0" r="25489">
      <c r="A25489" s="3" t="inlineStr">
        <is>
          <t>25384</t>
        </is>
      </c>
      <c r="B25489" s="4" t="s">
        <f>=HYPERLINK("http://anyluxury.ru/shop/posuda/kukhonnye-aksessuary/doska-razdelochnaya-kitchenery-malaya-1043300/" , "10433.00 Доска разделочная Kitchenery, малая")</f>
      </c>
      <c r="C25489" s="4" t="n">
        <v>2144.00</v>
      </c>
      <c r="D25489" s="4"/>
    </row>
    <row collapsed="" customFormat="false" customHeight="1" hidden="" ht="14" outlineLevel="0" r="25490">
      <c r="A25490" s="3" t="inlineStr">
        <is>
          <t>25385</t>
        </is>
      </c>
      <c r="B25490" s="4" t="s">
        <f>=HYPERLINK("http://anyluxury.ru/shop/posuda/kukhonnye-aksessuary/mnogorazoviy-karmanniy-nabor-stolovih-priborov-p269542/" , "P269.542 Многоразовый карманный набор столовых приборов")</f>
      </c>
      <c r="C25490" s="4" t="n">
        <v>819.00</v>
      </c>
      <c r="D25490" s="4"/>
    </row>
    <row collapsed="" customFormat="false" customHeight="1" hidden="" ht="14" outlineLevel="0" r="25491">
      <c r="A25491" s="3" t="inlineStr">
        <is>
          <t>25386</t>
        </is>
      </c>
      <c r="B25491" s="4" t="s">
        <f>=HYPERLINK("http://anyluxury.ru/shop/posuda/kukhonnye-aksessuary/forma-dlya-prigotovleniya-yaichnici-sdelay-hod-konem-z16036/" , "Z16036 Форма для приготовления яичницы «Сделай ход конем»")</f>
      </c>
      <c r="C25491" s="4" t="n">
        <v>329.00</v>
      </c>
      <c r="D25491" s="4"/>
    </row>
    <row collapsed="" customFormat="false" customHeight="1" hidden="" ht="14" outlineLevel="0" r="25492">
      <c r="A25492" s="3" t="inlineStr">
        <is>
          <t>25387</t>
        </is>
      </c>
      <c r="B25492" s="4" t="s">
        <f>=HYPERLINK("http://anyluxury.ru/shop/posuda/kukhonnye-aksessuary/razdelochnaya-doska-i-nozh-piccolo-2546/" , "2546 Разделочная доска и нож Piccolo")</f>
      </c>
      <c r="C25492" s="4" t="n">
        <v>1265.00</v>
      </c>
      <c r="D25492" s="4"/>
    </row>
    <row collapsed="" customFormat="false" customHeight="1" hidden="" ht="14" outlineLevel="0" r="25493">
      <c r="A25493" s="3" t="inlineStr">
        <is>
          <t>25388</t>
        </is>
      </c>
      <c r="B25493" s="4" t="s">
        <f>=HYPERLINK("http://anyluxury.ru/shop/posuda/kukhonnye-aksessuary/doska-kuhonnaya-shop-malaya-692400/" , "6924.00 Доска кухонная Сhop, малая")</f>
      </c>
      <c r="C25493" s="4" t="n">
        <v>474.00</v>
      </c>
      <c r="D25493" s="4"/>
    </row>
    <row collapsed="" customFormat="false" customHeight="1" hidden="" ht="14" outlineLevel="0" r="25494">
      <c r="A25494" s="3" t="inlineStr">
        <is>
          <t>25389</t>
        </is>
      </c>
      <c r="B25494" s="4" t="s">
        <f>=HYPERLINK("http://anyluxury.ru/shop/posuda/kukhonnye-aksessuary/banka-dlya-hraneniya-riposo-bolshaya-1195560/" , "11955.60 Банка для хранения Riposo, большая")</f>
      </c>
      <c r="C25494" s="4" t="n">
        <v>1048.90</v>
      </c>
      <c r="D25494" s="4"/>
    </row>
    <row collapsed="" customFormat="false" customHeight="1" hidden="" ht="14" outlineLevel="0" r="25495">
      <c r="A25495" s="3" t="inlineStr">
        <is>
          <t>25390</t>
        </is>
      </c>
      <c r="B25495" s="4" t="s">
        <f>=HYPERLINK("http://anyluxury.ru/shop/posuda/kukhonnye-aksessuary/spreydozator-dlya-masla-i-uksusa-splash-1211900/" , "12119.00 Спрей-дозатор для масла и уксуса Splash")</f>
      </c>
      <c r="C25495" s="4" t="n">
        <v>1350.00</v>
      </c>
      <c r="D25495" s="4"/>
    </row>
    <row collapsed="" customFormat="false" customHeight="1" hidden="" ht="14" outlineLevel="0" r="25496">
      <c r="A25496" s="3" t="inlineStr">
        <is>
          <t>25391</t>
        </is>
      </c>
      <c r="B25496" s="4" t="s">
        <f>=HYPERLINK("http://anyluxury.ru/shop/posuda/kukhonnye-aksessuary/doska-razdelochnaya-disco-1167200/" , "11672.00 Доска разделочная Disco")</f>
      </c>
      <c r="C25496" s="4" t="n">
        <v>460.00</v>
      </c>
      <c r="D25496" s="4"/>
    </row>
    <row collapsed="" customFormat="false" customHeight="1" hidden="" ht="14" outlineLevel="0" r="25497">
      <c r="A25497" s="3" t="inlineStr">
        <is>
          <t>25392</t>
        </is>
      </c>
      <c r="B25497" s="4" t="s">
        <f>=HYPERLINK("http://anyluxury.ru/shop/posuda/kukhonnye-aksessuary/morozhenica-ice-cream-maker-golubaya-1260814/" , "12608.14 Мороженица Ice Cream Maker, голубая")</f>
      </c>
      <c r="C25497" s="4" t="n">
        <v>3150.00</v>
      </c>
      <c r="D25497" s="4"/>
    </row>
    <row collapsed="" customFormat="false" customHeight="1" hidden="" ht="14" outlineLevel="0" r="25498">
      <c r="A25498" s="3" t="inlineStr">
        <is>
          <t>25393</t>
        </is>
      </c>
      <c r="B25498" s="4" t="s">
        <f>=HYPERLINK("http://anyluxury.ru/shop/posuda/kukhonnye-aksessuary/morozhenica-ice-cream-maker-zelenaya-1260890/" , "12608.90 Мороженица Ice Cream Maker, зеленая")</f>
      </c>
      <c r="C25498" s="4" t="n">
        <v>3150.00</v>
      </c>
      <c r="D25498" s="4"/>
    </row>
    <row collapsed="" customFormat="false" customHeight="1" hidden="" ht="14" outlineLevel="0" r="25499">
      <c r="A25499" s="3" t="inlineStr">
        <is>
          <t>25394</t>
        </is>
      </c>
      <c r="B25499" s="4" t="s">
        <f>=HYPERLINK("http://anyluxury.ru/shop/posuda/kukhonnye-aksessuary/morozhenica-ice-cream-maker-krasnaya-1260850/" , "12608.50 Мороженица Ice Cream Maker, красная")</f>
      </c>
      <c r="C25499" s="4" t="n">
        <v>3150.00</v>
      </c>
      <c r="D25499" s="4"/>
    </row>
    <row collapsed="" customFormat="false" customHeight="1" hidden="" ht="14" outlineLevel="0" r="25500">
      <c r="A25500" s="3" t="inlineStr">
        <is>
          <t>25395</t>
        </is>
      </c>
      <c r="B25500" s="4" t="s">
        <f>=HYPERLINK("http://anyluxury.ru/shop/posuda/kukhonnye-aksessuary/morozhenica-ice-cream-maker-sinyaya-1260840/" , "12608.40 Мороженица Ice Cream Maker, синяя")</f>
      </c>
      <c r="C25500" s="4" t="n">
        <v>3150.00</v>
      </c>
      <c r="D25500" s="4"/>
    </row>
    <row collapsed="" customFormat="false" customHeight="1" hidden="" ht="14" outlineLevel="0" r="25501">
      <c r="A25501" s="3" t="inlineStr">
        <is>
          <t>25396</t>
        </is>
      </c>
      <c r="B25501" s="4" t="s">
        <f>=HYPERLINK("http://anyluxury.ru/shop/posuda/kukhonnye-aksessuary/morozhenica-ice-cream-maker-fioletovaya-1260870/" , "12608.70 Мороженица Ice Cream Maker, фиолетовая")</f>
      </c>
      <c r="C25501" s="4" t="n">
        <v>3150.00</v>
      </c>
      <c r="D25501" s="4"/>
    </row>
    <row collapsed="" customFormat="false" customHeight="1" hidden="" ht="14" outlineLevel="0" r="25502">
      <c r="A25502" s="3" t="inlineStr">
        <is>
          <t>25397</t>
        </is>
      </c>
      <c r="B25502" s="4" t="s">
        <f>=HYPERLINK("http://anyluxury.ru/shop/posuda/kukhonnye-aksessuary/nabor-dlya-glazurovaniya-morozhenogo-chocolate-station-korichneviy-1260959/" , "12609.59 Набор для глазурования мороженого Chocolate Station, коричневый")</f>
      </c>
      <c r="C25502" s="4" t="n">
        <v>2300.00</v>
      </c>
      <c r="D25502" s="4"/>
    </row>
    <row collapsed="" customFormat="false" customHeight="1" hidden="" ht="14" outlineLevel="0" r="25503">
      <c r="A25503" s="3" t="inlineStr">
        <is>
          <t>25398</t>
        </is>
      </c>
      <c r="B25503" s="4" t="s">
        <f>=HYPERLINK("http://anyluxury.ru/shop/posuda/kukhonnye-aksessuary/nabor-dlya-prigotovleniya-morozhenogo-duo-quick-pop-maker-zeleniy-1261090/" , "12610.90 Набор для приготовления мороженого Duo Quick Pop Maker, зеленый")</f>
      </c>
      <c r="C25503" s="4" t="n">
        <v>4650.00</v>
      </c>
      <c r="D25503" s="4"/>
    </row>
    <row collapsed="" customFormat="false" customHeight="1" hidden="" ht="14" outlineLevel="0" r="25504">
      <c r="A25504" s="3" t="inlineStr">
        <is>
          <t>25399</t>
        </is>
      </c>
      <c r="B25504" s="4" t="s">
        <f>=HYPERLINK("http://anyluxury.ru/shop/posuda/kukhonnye-aksessuary/nabor-dlya-prigotovleniya-morozhenogo-duo-quick-pop-maker-krasniy-1261050/" , "12610.50 Набор для приготовления мороженого Duo Quick Pop Maker, красный")</f>
      </c>
      <c r="C25504" s="4" t="n">
        <v>4650.00</v>
      </c>
      <c r="D25504" s="4"/>
    </row>
    <row collapsed="" customFormat="false" customHeight="1" hidden="" ht="14" outlineLevel="0" r="25505">
      <c r="A25505" s="3" t="inlineStr">
        <is>
          <t>25400</t>
        </is>
      </c>
      <c r="B25505" s="4" t="s">
        <f>=HYPERLINK("http://anyluxury.ru/shop/posuda/kukhonnye-aksessuary/nabor-dlya-prigotovleniya-morozhenogo-duo-quick-pop-maker-siniy-1261040/" , "12610.40 Набор для приготовления мороженого Duo Quick Pop Maker, синий")</f>
      </c>
      <c r="C25505" s="4" t="n">
        <v>4650.00</v>
      </c>
      <c r="D25505" s="4"/>
    </row>
    <row collapsed="" customFormat="false" customHeight="1" hidden="" ht="14" outlineLevel="0" r="25506">
      <c r="A25506" s="3" t="inlineStr">
        <is>
          <t>25401</t>
        </is>
      </c>
      <c r="B25506" s="4" t="s">
        <f>=HYPERLINK("http://anyluxury.ru/shop/posuda/kukhonnye-aksessuary/nabor-dlya-prigotovleniya-morozhenogo-duo-quick-pop-maker-fioletoviy-1261070/" , "12610.70 Набор для приготовления мороженого Duo Quick Pop Maker, фиолетовый")</f>
      </c>
      <c r="C25506" s="4" t="n">
        <v>4650.00</v>
      </c>
      <c r="D25506" s="4"/>
    </row>
    <row collapsed="" customFormat="false" customHeight="1" hidden="" ht="14" outlineLevel="0" r="25507">
      <c r="A25507" s="3" t="inlineStr">
        <is>
          <t>25402</t>
        </is>
      </c>
      <c r="B25507" s="4" t="s">
        <f>=HYPERLINK("http://anyluxury.ru/shop/posuda/kukhonnye-aksessuary/nabor-dlya-prigotovleniya-morozhenogo-flamingo-rozoviy-1261115/" , "12611.15 Набор для приготовления мороженого Flamingo, розовый")</f>
      </c>
      <c r="C25507" s="4" t="n">
        <v>1100.00</v>
      </c>
      <c r="D25507" s="4"/>
    </row>
    <row collapsed="" customFormat="false" customHeight="1" hidden="" ht="14" outlineLevel="0" r="25508">
      <c r="A25508" s="3" t="inlineStr">
        <is>
          <t>25403</t>
        </is>
      </c>
      <c r="B25508" s="4" t="s">
        <f>=HYPERLINK("http://anyluxury.ru/shop/posuda/kukhonnye-aksessuary/nabor-dlya-prigotovleniya-morozhenogo-single-quick-pop-maker-zeleniy-1261290/" , "12612.90 Набор для приготовления мороженого Single Quick Pop Maker, зеленый")</f>
      </c>
      <c r="C25508" s="4" t="n">
        <v>3100.00</v>
      </c>
      <c r="D25508" s="4"/>
    </row>
    <row collapsed="" customFormat="false" customHeight="1" hidden="" ht="14" outlineLevel="0" r="25509">
      <c r="A25509" s="3" t="inlineStr">
        <is>
          <t>25404</t>
        </is>
      </c>
      <c r="B25509" s="4" t="s">
        <f>=HYPERLINK("http://anyluxury.ru/shop/posuda/kukhonnye-aksessuary/nabor-dlya-prigotovleniya-morozhenogo-single-quick-pop-maker-krasniy-1261250/" , "12612.50 Набор для приготовления мороженого Single Quick Pop Maker, красный")</f>
      </c>
      <c r="C25509" s="4" t="n">
        <v>3100.00</v>
      </c>
      <c r="D25509" s="4"/>
    </row>
    <row collapsed="" customFormat="false" customHeight="1" hidden="" ht="14" outlineLevel="0" r="25510">
      <c r="A25510" s="3" t="inlineStr">
        <is>
          <t>25405</t>
        </is>
      </c>
      <c r="B25510" s="4" t="s">
        <f>=HYPERLINK("http://anyluxury.ru/shop/posuda/kukhonnye-aksessuary/nabor-dlya-prigotovleniya-morozhenogo-single-quick-pop-maker-oranzheviy-1261220/" , "12612.20 Набор для приготовления мороженого Single Quick Pop Maker, оранжевый")</f>
      </c>
      <c r="C25510" s="4" t="n">
        <v>3100.00</v>
      </c>
      <c r="D25510" s="4"/>
    </row>
    <row collapsed="" customFormat="false" customHeight="1" hidden="" ht="14" outlineLevel="0" r="25511">
      <c r="A25511" s="3" t="inlineStr">
        <is>
          <t>25406</t>
        </is>
      </c>
      <c r="B25511" s="4" t="s">
        <f>=HYPERLINK("http://anyluxury.ru/shop/posuda/kukhonnye-aksessuary/nabor-dlya-prigotovleniya-morozhenogo-single-quick-pop-maker-siniy-1261240/" , "12612.40 Набор для приготовления мороженого Single Quick Pop Maker, синий")</f>
      </c>
      <c r="C25511" s="4" t="n">
        <v>3100.00</v>
      </c>
      <c r="D25511" s="4"/>
    </row>
    <row collapsed="" customFormat="false" customHeight="1" hidden="" ht="14" outlineLevel="0" r="25512">
      <c r="A25512" s="3" t="inlineStr">
        <is>
          <t>25407</t>
        </is>
      </c>
      <c r="B25512" s="4" t="s">
        <f>=HYPERLINK("http://anyluxury.ru/shop/posuda/kukhonnye-aksessuary/nabor-dlya-prigotovleniya-morozhenogo-single-quick-pop-maker-fioletoviy-1261270/" , "12612.70 Набор для приготовления мороженого Single Quick Pop Maker, фиолетовый")</f>
      </c>
      <c r="C25512" s="4" t="n">
        <v>3100.00</v>
      </c>
      <c r="D25512" s="4"/>
    </row>
    <row collapsed="" customFormat="false" customHeight="1" hidden="" ht="14" outlineLevel="0" r="25513">
      <c r="A25513" s="3" t="inlineStr">
        <is>
          <t>25408</t>
        </is>
      </c>
      <c r="B25513" s="4" t="s">
        <f>=HYPERLINK("http://anyluxury.ru/shop/posuda/kukhonnye-aksessuary/nabor-dlya-prigotovleniya-morozhenogo-triple-quick-pop-maker-zeleniy-1261390/" , "12613.90 Набор для приготовления мороженого Triple Quick Pop Maker, зеленый")</f>
      </c>
      <c r="C25513" s="4" t="n">
        <v>6100.00</v>
      </c>
      <c r="D25513" s="4"/>
    </row>
    <row collapsed="" customFormat="false" customHeight="1" hidden="" ht="14" outlineLevel="0" r="25514">
      <c r="A25514" s="3" t="inlineStr">
        <is>
          <t>25409</t>
        </is>
      </c>
      <c r="B25514" s="4" t="s">
        <f>=HYPERLINK("http://anyluxury.ru/shop/posuda/kukhonnye-aksessuary/nabor-dlya-prigotovleniya-morozhenogo-triple-quick-pop-maker-krasniy-1261350/" , "12613.50 Набор для приготовления мороженого Triple Quick Pop Maker, красный")</f>
      </c>
      <c r="C25514" s="4" t="n">
        <v>6100.00</v>
      </c>
      <c r="D25514" s="4"/>
    </row>
    <row collapsed="" customFormat="false" customHeight="1" hidden="" ht="14" outlineLevel="0" r="25515">
      <c r="A25515" s="3" t="inlineStr">
        <is>
          <t>25410</t>
        </is>
      </c>
      <c r="B25515" s="4" t="s">
        <f>=HYPERLINK("http://anyluxury.ru/shop/posuda/kukhonnye-aksessuary/nabor-dlya-prigotovleniya-morozhenogo-triple-quick-pop-maker-oranzheviy-1261320/" , "12613.20 Набор для приготовления мороженого Triple Quick Pop Maker, оранжевый")</f>
      </c>
      <c r="C25515" s="4" t="n">
        <v>6100.00</v>
      </c>
      <c r="D25515" s="4"/>
    </row>
    <row collapsed="" customFormat="false" customHeight="1" hidden="" ht="14" outlineLevel="0" r="25516">
      <c r="A25516" s="3" t="inlineStr">
        <is>
          <t>25411</t>
        </is>
      </c>
      <c r="B25516" s="4" t="s">
        <f>=HYPERLINK("http://anyluxury.ru/shop/posuda/kukhonnye-aksessuary/nabor-dlya-prigotovleniya-morozhenogo-triple-quick-pop-maker-siniy-1261340/" , "12613.40 Набор для приготовления мороженого Triple Quick Pop Maker, синий")</f>
      </c>
      <c r="C25516" s="4" t="n">
        <v>6100.00</v>
      </c>
      <c r="D25516" s="4"/>
    </row>
    <row collapsed="" customFormat="false" customHeight="1" hidden="" ht="14" outlineLevel="0" r="25517">
      <c r="A25517" s="3" t="inlineStr">
        <is>
          <t>25412</t>
        </is>
      </c>
      <c r="B25517" s="4" t="s">
        <f>=HYPERLINK("http://anyluxury.ru/shop/posuda/kukhonnye-aksessuary/nabor-dlya-prigotovleniya-morozhenogo-unicorn-biryuzoviy-1261442/" , "12614.42 Набор для приготовления мороженого Unicorn, бирюзовый")</f>
      </c>
      <c r="C25517" s="4" t="n">
        <v>1100.00</v>
      </c>
      <c r="D25517" s="4"/>
    </row>
    <row collapsed="" customFormat="false" customHeight="1" hidden="" ht="14" outlineLevel="0" r="25518">
      <c r="A25518" s="3" t="inlineStr">
        <is>
          <t>25413</t>
        </is>
      </c>
      <c r="B25518" s="4" t="s">
        <f>=HYPERLINK("http://anyluxury.ru/shop/posuda/kukhonnye-aksessuary/nabor-dlya-ukrasheniya-morozhenogo-social-media-kit-1261500/" , "12615.00 Набор для украшения мороженого Social Media Kit")</f>
      </c>
      <c r="C25518" s="4" t="n">
        <v>1890.00</v>
      </c>
      <c r="D25518" s="4"/>
    </row>
    <row collapsed="" customFormat="false" customHeight="1" hidden="" ht="14" outlineLevel="0" r="25519">
      <c r="A25519" s="3" t="inlineStr">
        <is>
          <t>25414</t>
        </is>
      </c>
      <c r="B25519" s="4" t="s">
        <f>=HYPERLINK("http://anyluxury.ru/shop/posuda/kukhonnye-aksessuary/nabor-iz-3-konteynerov-neat-stack-i-ohlazhdayushhego-bloka-1261700/" , "12617.00 Набор из 3 контейнеров Neat Stack и охлаждающего блока")</f>
      </c>
      <c r="C25519" s="4" t="n">
        <v>2520.00</v>
      </c>
      <c r="D25519" s="4"/>
    </row>
    <row collapsed="" customFormat="false" customHeight="1" hidden="" ht="14" outlineLevel="0" r="25520">
      <c r="A25520" s="3" t="inlineStr">
        <is>
          <t>25415</t>
        </is>
      </c>
      <c r="B25520" s="4" t="s">
        <f>=HYPERLINK("http://anyluxury.ru/shop/posuda/kukhonnye-aksessuary/nabor-instrumentov-dlya-ukrasheniya-morozhenogo-quick-pop-tools-1261900/" , "12619.00 Набор для украшения мороженого Quick Pop Tools")</f>
      </c>
      <c r="C25520" s="4" t="n">
        <v>2350.00</v>
      </c>
      <c r="D25520" s="4"/>
    </row>
    <row collapsed="" customFormat="false" customHeight="1" hidden="" ht="14" outlineLevel="0" r="25521">
      <c r="A25521" s="3" t="inlineStr">
        <is>
          <t>25416</t>
        </is>
      </c>
      <c r="B25521" s="4" t="s">
        <f>=HYPERLINK("http://anyluxury.ru/shop/posuda/kukhonnye-aksessuary/nabor-palochek-dlya-morozhenogo-pop-sticks-beliy-1262060/" , "12620.60 Набор из 6 палочек для мороженого Pop Sticks, белый")</f>
      </c>
      <c r="C25521" s="4" t="n">
        <v>1650.00</v>
      </c>
      <c r="D25521" s="4"/>
    </row>
    <row collapsed="" customFormat="false" customHeight="1" hidden="" ht="14" outlineLevel="0" r="25522">
      <c r="A25522" s="3" t="inlineStr">
        <is>
          <t>25417</t>
        </is>
      </c>
      <c r="B25522" s="4" t="s">
        <f>=HYPERLINK("http://anyluxury.ru/shop/posuda/kukhonnye-aksessuary/nabor-form-dlya-morozhenogo-summer-pop-1262100/" , "12621.00 Набор из 6 форм для мороженого Summer Pop")</f>
      </c>
      <c r="C25522" s="4" t="n">
        <v>1690.00</v>
      </c>
      <c r="D25522" s="4"/>
    </row>
    <row collapsed="" customFormat="false" customHeight="1" hidden="" ht="14" outlineLevel="0" r="25523">
      <c r="A25523" s="3" t="inlineStr">
        <is>
          <t>25418</t>
        </is>
      </c>
      <c r="B25523" s="4" t="s">
        <f>=HYPERLINK("http://anyluxury.ru/shop/posuda/kukhonnye-aksessuary/forma-dlya-morozhenogo-mini-krasnaya-1263250/" , "12632.50 Форма для мороженого Mini, красная")</f>
      </c>
      <c r="C25523" s="4" t="n">
        <v>1950.00</v>
      </c>
      <c r="D25523" s="4"/>
    </row>
    <row collapsed="" customFormat="false" customHeight="1" hidden="" ht="14" outlineLevel="0" r="25524">
      <c r="A25524" s="3" t="inlineStr">
        <is>
          <t>25419</t>
        </is>
      </c>
      <c r="B25524" s="4" t="s">
        <f>=HYPERLINK("http://anyluxury.ru/shop/posuda/kukhonnye-aksessuary/forma-dlya-morozhenogo-round-fioletovaya-1263370/" , "12633.70 Форма для мороженого Round, фиолетовая")</f>
      </c>
      <c r="C25524" s="4" t="n">
        <v>1950.00</v>
      </c>
      <c r="D25524" s="4"/>
    </row>
    <row collapsed="" customFormat="false" customHeight="1" hidden="" ht="14" outlineLevel="0" r="25525">
      <c r="A25525" s="3" t="inlineStr">
        <is>
          <t>25420</t>
        </is>
      </c>
      <c r="B25525" s="4" t="s">
        <f>=HYPERLINK("http://anyluxury.ru/shop/posuda/kukhonnye-aksessuary/forma-dlya-holodnih-desertov-slush-and-shake-zelenaya-1263490/" , "12634.90 Форма для холодных десертов Slush &amp; Shake, зеленая")</f>
      </c>
      <c r="C25525" s="4" t="n">
        <v>2350.00</v>
      </c>
      <c r="D25525" s="4"/>
    </row>
    <row collapsed="" customFormat="false" customHeight="1" hidden="" ht="14" outlineLevel="0" r="25526">
      <c r="A25526" s="3" t="inlineStr">
        <is>
          <t>25421</t>
        </is>
      </c>
      <c r="B25526" s="4" t="s">
        <f>=HYPERLINK("http://anyluxury.ru/shop/posuda/kukhonnye-aksessuary/forma-dlya-holodnih-desertov-slush-and-shake-krasnaya-1263450/" , "12634.50 Форма для холодных десертов Slush &amp; Shake, красная")</f>
      </c>
      <c r="C25526" s="4" t="n">
        <v>2350.00</v>
      </c>
      <c r="D25526" s="4"/>
    </row>
    <row collapsed="" customFormat="false" customHeight="1" hidden="" ht="14" outlineLevel="0" r="25527">
      <c r="A25527" s="3" t="inlineStr">
        <is>
          <t>25422</t>
        </is>
      </c>
      <c r="B25527" s="4" t="s">
        <f>=HYPERLINK("http://anyluxury.ru/shop/posuda/kukhonnye-aksessuary/forma-dlya-holodnih-desertov-slush-and-shake-oranzhevaya-1263420/" , "12634.20 Форма для холодных десертов Slush &amp; Shake, оранжевая")</f>
      </c>
      <c r="C25527" s="4" t="n">
        <v>2350.00</v>
      </c>
      <c r="D25527" s="4"/>
    </row>
    <row collapsed="" customFormat="false" customHeight="1" hidden="" ht="14" outlineLevel="0" r="25528">
      <c r="A25528" s="3" t="inlineStr">
        <is>
          <t>25423</t>
        </is>
      </c>
      <c r="B25528" s="4" t="s">
        <f>=HYPERLINK("http://anyluxury.ru/shop/posuda/kukhonnye-aksessuary/forma-dlya-holodnih-desertov-slush-and-shake-sinyaya-1263440/" , "12634.40 Форма для холодных десертов Slush &amp; Shake, синяя")</f>
      </c>
      <c r="C25528" s="4" t="n">
        <v>2100.00</v>
      </c>
      <c r="D25528" s="4"/>
    </row>
    <row collapsed="" customFormat="false" customHeight="1" hidden="" ht="14" outlineLevel="0" r="25529">
      <c r="A25529" s="3" t="inlineStr">
        <is>
          <t>25424</t>
        </is>
      </c>
      <c r="B25529" s="4" t="s">
        <f>=HYPERLINK("http://anyluxury.ru/shop/posuda/kukhonnye-aksessuary/forma-dlya-holodnih-desertov-slush-and-shake-fioletovaya-1263470/" , "12634.70 Форма для холодных десертов Slush &amp; Shake, фиолетовая")</f>
      </c>
      <c r="C25529" s="4" t="n">
        <v>2350.00</v>
      </c>
      <c r="D25529" s="4"/>
    </row>
    <row collapsed="" customFormat="false" customHeight="1" hidden="" ht="14" outlineLevel="0" r="25530">
      <c r="A25530" s="3" t="inlineStr">
        <is>
          <t>25425</t>
        </is>
      </c>
      <c r="B25530" s="4" t="s">
        <f>=HYPERLINK("http://anyluxury.ru/shop/posuda/kukhonnye-aksessuary/derzhatel-dlya-bumazhnih-polotenec-roll-holder-serebristiy-1222311/" , "12223.11 Держатель для бумажных полотенец Roll Holder, серебристый")</f>
      </c>
      <c r="C25530" s="4" t="n">
        <v>8450.00</v>
      </c>
      <c r="D25530" s="4"/>
    </row>
    <row collapsed="" customFormat="false" customHeight="1" hidden="" ht="14" outlineLevel="0" r="25531">
      <c r="A25531" s="3" t="inlineStr">
        <is>
          <t>25426</t>
        </is>
      </c>
      <c r="B25531" s="4" t="s">
        <f>=HYPERLINK("http://anyluxury.ru/shop/posuda/kukhonnye-aksessuary/derzhatel-dlya-bumazhnih-polotenec-roll-holder-cherniy-1222330/" , "12223.30 Держатель для бумажных полотенец Roll Holder, черный")</f>
      </c>
      <c r="C25531" s="4" t="n">
        <v>8450.00</v>
      </c>
      <c r="D25531" s="4"/>
    </row>
    <row collapsed="" customFormat="false" customHeight="1" hidden="" ht="14" outlineLevel="0" r="25532">
      <c r="A25532" s="3" t="inlineStr">
        <is>
          <t>25427</t>
        </is>
      </c>
      <c r="B25532" s="4" t="s">
        <f>=HYPERLINK("http://anyluxury.ru/shop/posuda/kukhonnye-aksessuary/dispenser-dlya-mila-silikonoviy-soap-dispencer-bezheviy-1222516/" , "12225.16 Диспенсер для мыла, силиконовый Soap Dispencer, бежевый")</f>
      </c>
      <c r="C25532" s="4" t="n">
        <v>2800.00</v>
      </c>
      <c r="D25532" s="4"/>
    </row>
    <row collapsed="" customFormat="false" customHeight="1" hidden="" ht="14" outlineLevel="0" r="25533">
      <c r="A25533" s="3" t="inlineStr">
        <is>
          <t>25428</t>
        </is>
      </c>
      <c r="B25533" s="4" t="s">
        <f>=HYPERLINK("http://anyluxury.ru/shop/posuda/kukhonnye-aksessuary/dispenser-dlya-mila-soap-dispencer-silikonoviy-biryuzovosiniy-1222549/" , "12225.49 Диспенсер для мыла Soap Dispencer, силиконовый, бирюзово-синий")</f>
      </c>
      <c r="C25533" s="4" t="n">
        <v>2800.00</v>
      </c>
      <c r="D25533" s="4"/>
    </row>
    <row collapsed="" customFormat="false" customHeight="1" hidden="" ht="14" outlineLevel="0" r="25534">
      <c r="A25534" s="3" t="inlineStr">
        <is>
          <t>25429</t>
        </is>
      </c>
      <c r="B25534" s="4" t="s">
        <f>=HYPERLINK("http://anyluxury.ru/shop/posuda/kukhonnye-aksessuary/dispenser-dlya-mila-soap-dispencer-silikonoviy-svetloseriy-1222510/" , "12225.10 Диспенсер для мыла Soap Dispencer, силиконовый, светло-серый")</f>
      </c>
      <c r="C25534" s="4" t="n">
        <v>2800.00</v>
      </c>
      <c r="D25534" s="4"/>
    </row>
    <row collapsed="" customFormat="false" customHeight="1" hidden="" ht="14" outlineLevel="0" r="25535">
      <c r="A25535" s="3" t="inlineStr">
        <is>
          <t>25430</t>
        </is>
      </c>
      <c r="B25535" s="4" t="s">
        <f>=HYPERLINK("http://anyluxury.ru/shop/posuda/kukhonnye-aksessuary/dispenser-dlya-mila-soap-dispencer-silikonoviy-cherniy-1222530/" , "12225.30 Диспенсер для мыла Soap Dispencer, силиконовый, черный")</f>
      </c>
      <c r="C25535" s="4" t="n">
        <v>2800.00</v>
      </c>
      <c r="D25535" s="4"/>
    </row>
    <row collapsed="" customFormat="false" customHeight="1" hidden="" ht="14" outlineLevel="0" r="25536">
      <c r="A25536" s="3" t="inlineStr">
        <is>
          <t>25431</t>
        </is>
      </c>
      <c r="B25536" s="4" t="s">
        <f>=HYPERLINK("http://anyluxury.ru/shop/posuda/kukhonnye-aksessuary/zharovnya-s-reshetkoy-eva-solo-trio-bolshaya-1482700/" , "14827.00 Жаровня с решеткой Eva Solo Trio, большая")</f>
      </c>
      <c r="C25536" s="4" t="n">
        <v>3750.00</v>
      </c>
      <c r="D25536" s="4"/>
    </row>
    <row collapsed="" customFormat="false" customHeight="1" hidden="" ht="14" outlineLevel="0" r="25537">
      <c r="A25537" s="3" t="inlineStr">
        <is>
          <t>25432</t>
        </is>
      </c>
      <c r="B25537" s="4" t="s">
        <f>=HYPERLINK("http://anyluxury.ru/shop/posuda/kukhonnye-aksessuary/banka-dlya-hraneniya-silhouette-malaya-seraya-1477111/" , "14771.11 Банка для хранения Silhouette, малая, серая")</f>
      </c>
      <c r="C25537" s="4" t="n">
        <v>6090.00</v>
      </c>
      <c r="D25537" s="4"/>
    </row>
    <row collapsed="" customFormat="false" customHeight="1" hidden="" ht="14" outlineLevel="0" r="25538">
      <c r="A25538" s="3" t="inlineStr">
        <is>
          <t>25433</t>
        </is>
      </c>
      <c r="B25538" s="4" t="s">
        <f>=HYPERLINK("http://anyluxury.ru/shop/posuda/kukhonnye-aksessuary/banka-dlya-hraneniya-silhouette-seraya-1477211/" , "14772.11 Банка для хранения Silhouette, серая")</f>
      </c>
      <c r="C25538" s="4" t="n">
        <v>6650.00</v>
      </c>
      <c r="D25538" s="4"/>
    </row>
    <row collapsed="" customFormat="false" customHeight="1" hidden="" ht="14" outlineLevel="0" r="25539">
      <c r="A25539" s="3" t="inlineStr">
        <is>
          <t>25434</t>
        </is>
      </c>
      <c r="B25539" s="4" t="s">
        <f>=HYPERLINK("http://anyluxury.ru/shop/posuda/kukhonnye-aksessuary/banka-dlya-hraneniya-silhouette-srednyaya-seraya-1477311/" , "14773.11 Банка для хранения Silhouette, средняя, серая")</f>
      </c>
      <c r="C25539" s="4" t="n">
        <v>7750.00</v>
      </c>
      <c r="D25539" s="4"/>
    </row>
    <row collapsed="" customFormat="false" customHeight="1" hidden="" ht="14" outlineLevel="0" r="25540">
      <c r="A25540" s="3" t="inlineStr">
        <is>
          <t>25435</t>
        </is>
      </c>
      <c r="B25540" s="4" t="s">
        <f>=HYPERLINK("http://anyluxury.ru/shop/posuda/kukhonnye-aksessuary/banka-dlya-hraneniya-silhouette-bolshaya-seraya-1477411/" , "14774.11 Банка для хранения Silhouette, большая, серая")</f>
      </c>
      <c r="C25540" s="4" t="n">
        <v>8850.00</v>
      </c>
      <c r="D25540" s="4"/>
    </row>
    <row collapsed="" customFormat="false" customHeight="1" hidden="" ht="14" outlineLevel="0" r="25541">
      <c r="A25541" s="3" t="inlineStr">
        <is>
          <t>25436</t>
        </is>
      </c>
      <c r="B25541" s="4" t="s">
        <f>=HYPERLINK("http://anyluxury.ru/shop/posuda/kukhonnye-aksessuary/doski-razdelochnie-s-podstavkoy-kitchen-serie-1481911/" , "14819.11 Доски разделочные с подставкой Kitchen, серые")</f>
      </c>
      <c r="C25541" s="4" t="n">
        <v>8850.00</v>
      </c>
      <c r="D25541" s="4"/>
    </row>
    <row collapsed="" customFormat="false" customHeight="1" hidden="" ht="14" outlineLevel="0" r="25542">
      <c r="A25542" s="3" t="inlineStr">
        <is>
          <t>25437</t>
        </is>
      </c>
      <c r="B25542" s="4" t="s">
        <f>=HYPERLINK("http://anyluxury.ru/shop/posuda/kukhonnye-aksessuary/emkost-dlya-zavarivaniya-chaya-tea-egg-chernaya-1482030/" , "14820.30 Емкость для заваривания чая Tea Egg, черная")</f>
      </c>
      <c r="C25542" s="4" t="n">
        <v>2600.00</v>
      </c>
      <c r="D25542" s="4"/>
    </row>
    <row collapsed="" customFormat="false" customHeight="1" hidden="" ht="14" outlineLevel="0" r="25543">
      <c r="A25543" s="3" t="inlineStr">
        <is>
          <t>25438</t>
        </is>
      </c>
      <c r="B25543" s="4" t="s">
        <f>=HYPERLINK("http://anyluxury.ru/shop/posuda/kukhonnye-aksessuary/emkost-dlya-hraneniya-legio-nova-malaya-belaya-1482160/" , "14821.60 Емкость для хранения Legio Nova, малая, белая")</f>
      </c>
      <c r="C25543" s="4" t="n">
        <v>4400.00</v>
      </c>
      <c r="D25543" s="4"/>
    </row>
    <row collapsed="" customFormat="false" customHeight="1" hidden="" ht="14" outlineLevel="0" r="25544">
      <c r="A25544" s="3" t="inlineStr">
        <is>
          <t>25439</t>
        </is>
      </c>
      <c r="B25544" s="4" t="s">
        <f>=HYPERLINK("http://anyluxury.ru/shop/posuda/kukhonnye-aksessuary/emkost-dlya-hraneniya-legio-nova-bolshaya-belaya-1482260/" , "14822.60 Емкость для хранения Legio Nova, большая, белая")</f>
      </c>
      <c r="C25544" s="4" t="n">
        <v>5590.00</v>
      </c>
      <c r="D25544" s="4"/>
    </row>
    <row collapsed="" customFormat="false" customHeight="1" hidden="" ht="14" outlineLevel="0" r="25545">
      <c r="A25545" s="3" t="inlineStr">
        <is>
          <t>25440</t>
        </is>
      </c>
      <c r="B25545" s="4" t="s">
        <f>=HYPERLINK("http://anyluxury.ru/shop/posuda/kukhonnye-aksessuary/emkost-dlya-hraneniya-toolbox-malaya-belaya-1482360/" , "14823.60 Емкость для хранения Toolbox, малая, белая")</f>
      </c>
      <c r="C25545" s="4" t="n">
        <v>6090.00</v>
      </c>
      <c r="D25545" s="4"/>
    </row>
    <row collapsed="" customFormat="false" customHeight="1" hidden="" ht="14" outlineLevel="0" r="25546">
      <c r="A25546" s="3" t="inlineStr">
        <is>
          <t>25441</t>
        </is>
      </c>
      <c r="B25546" s="4" t="s">
        <f>=HYPERLINK("http://anyluxury.ru/shop/posuda/kukhonnye-aksessuary/emkost-dlya-hraneniya-toolbox-malaya-chernaya-1482330/" , "14823.30 Емкость для хранения Toolbox, малая, черная")</f>
      </c>
      <c r="C25546" s="4" t="n">
        <v>6090.00</v>
      </c>
      <c r="D25546" s="4"/>
    </row>
    <row collapsed="" customFormat="false" customHeight="1" hidden="" ht="14" outlineLevel="0" r="25547">
      <c r="A25547" s="3" t="inlineStr">
        <is>
          <t>25442</t>
        </is>
      </c>
      <c r="B25547" s="4" t="s">
        <f>=HYPERLINK("http://anyluxury.ru/shop/posuda/kukhonnye-aksessuary/emkost-dlya-hraneniya-toolbox-bolshaya-belaya-1480860/" , "14808.60 Емкость для хранения Toolbox, большая, белая")</f>
      </c>
      <c r="C25547" s="4" t="n">
        <v>6300.00</v>
      </c>
      <c r="D25547" s="4"/>
    </row>
    <row collapsed="" customFormat="false" customHeight="1" hidden="" ht="14" outlineLevel="0" r="25548">
      <c r="A25548" s="3" t="inlineStr">
        <is>
          <t>25443</t>
        </is>
      </c>
      <c r="B25548" s="4" t="s">
        <f>=HYPERLINK("http://anyluxury.ru/shop/posuda/kukhonnye-aksessuary/zharovnya-s-reshetkoy-eva-solo-trio-malaya-1482500/" , "14825.00 Жаровня с решеткой Eva Solo Trio, малая")</f>
      </c>
      <c r="C25548" s="4" t="n">
        <v>2850.00</v>
      </c>
      <c r="D25548" s="4"/>
    </row>
    <row collapsed="" customFormat="false" customHeight="1" hidden="" ht="14" outlineLevel="0" r="25549">
      <c r="A25549" s="3" t="inlineStr">
        <is>
          <t>25444</t>
        </is>
      </c>
      <c r="B25549" s="4" t="s">
        <f>=HYPERLINK("http://anyluxury.ru/shop/posuda/kukhonnye-aksessuary/zharovnya-s-reshetkoy-eva-solo-trio-srednyaya-1482600/" , "14826.00 Жаровня с решеткой Eva Solo Trio, средняя")</f>
      </c>
      <c r="C25549" s="4" t="n">
        <v>2990.00</v>
      </c>
      <c r="D25549" s="4"/>
    </row>
    <row collapsed="" customFormat="false" customHeight="1" hidden="" ht="14" outlineLevel="0" r="25550">
      <c r="A25550" s="3" t="inlineStr">
        <is>
          <t>25445</t>
        </is>
      </c>
      <c r="B25550" s="4" t="s">
        <f>=HYPERLINK("http://anyluxury.ru/shop/posuda/kukhonnye-aksessuary/kastryulya-nordic-kitchen-malaya-1482800/" , "14828.00 Кастрюля Nordic Kitchen, малая")</f>
      </c>
      <c r="C25550" s="4" t="n">
        <v>7950.00</v>
      </c>
      <c r="D25550" s="4"/>
    </row>
    <row collapsed="" customFormat="false" customHeight="1" hidden="" ht="14" outlineLevel="0" r="25551">
      <c r="A25551" s="3" t="inlineStr">
        <is>
          <t>25446</t>
        </is>
      </c>
      <c r="B25551" s="4" t="s">
        <f>=HYPERLINK("http://anyluxury.ru/shop/posuda/kukhonnye-aksessuary/kastryulya-nordic-kitchen-srednyaya-1482900/" , "14829.00 Кастрюля Nordic Kitchen, средняя")</f>
      </c>
      <c r="C25551" s="4" t="n">
        <v>8950.00</v>
      </c>
      <c r="D25551" s="4"/>
    </row>
    <row collapsed="" customFormat="false" customHeight="1" hidden="" ht="14" outlineLevel="0" r="25552">
      <c r="A25552" s="3" t="inlineStr">
        <is>
          <t>25447</t>
        </is>
      </c>
      <c r="B25552" s="4" t="s">
        <f>=HYPERLINK("http://anyluxury.ru/shop/posuda/kukhonnye-aksessuary/kastryulya-nordic-kitchen-bolshaya-1483000/" , "14830.00 Кастрюля Nordic Kitchen, большая")</f>
      </c>
      <c r="C25552" s="4" t="n">
        <v>10950.00</v>
      </c>
      <c r="D25552" s="4"/>
    </row>
    <row collapsed="" customFormat="false" customHeight="1" hidden="" ht="14" outlineLevel="0" r="25553">
      <c r="A25553" s="3" t="inlineStr">
        <is>
          <t>25448</t>
        </is>
      </c>
      <c r="B25553" s="4" t="s">
        <f>=HYPERLINK("http://anyluxury.ru/shop/posuda/kukhonnye-aksessuary/lozhkalopatka-gravity-seraya-1484030/" , "14840.30 Ложка-лопатка Gravity, серая")</f>
      </c>
      <c r="C25553" s="4" t="n">
        <v>1590.00</v>
      </c>
      <c r="D25553" s="4"/>
    </row>
    <row collapsed="" customFormat="false" customHeight="1" hidden="" ht="14" outlineLevel="0" r="25554">
      <c r="A25554" s="3" t="inlineStr">
        <is>
          <t>25449</t>
        </is>
      </c>
      <c r="B25554" s="4" t="s">
        <f>=HYPERLINK("http://anyluxury.ru/shop/posuda/kukhonnye-aksessuary/lozhka-servirovochnaya-gravity-seraya-1484130/" , "14841.30 Ложка сервировочная Gravity, серая")</f>
      </c>
      <c r="C25554" s="4" t="n">
        <v>1590.00</v>
      </c>
      <c r="D25554" s="4"/>
    </row>
    <row collapsed="" customFormat="false" customHeight="1" hidden="" ht="14" outlineLevel="0" r="25555">
      <c r="A25555" s="3" t="inlineStr">
        <is>
          <t>25450</t>
        </is>
      </c>
      <c r="B25555" s="4" t="s">
        <f>=HYPERLINK("http://anyluxury.ru/shop/posuda/kukhonnye-aksessuary/lopatka-nordic-kitchen-chernaya-1484230/" , "14842.30 Лопатка Nordic Kitchen, черная")</f>
      </c>
      <c r="C25555" s="4" t="n">
        <v>1990.00</v>
      </c>
      <c r="D25555" s="4"/>
    </row>
    <row collapsed="" customFormat="false" customHeight="1" hidden="" ht="14" outlineLevel="0" r="25556">
      <c r="A25556" s="3" t="inlineStr">
        <is>
          <t>25451</t>
        </is>
      </c>
      <c r="B25556" s="4" t="s">
        <f>=HYPERLINK("http://anyluxury.ru/shop/posuda/kukhonnye-aksessuary/lopatka-grill-temnoseraya-1484330/" , "14843.30 Лопатка Grill, темно-серая")</f>
      </c>
      <c r="C25556" s="4" t="n">
        <v>1590.00</v>
      </c>
      <c r="D25556" s="4"/>
    </row>
    <row collapsed="" customFormat="false" customHeight="1" hidden="" ht="14" outlineLevel="0" r="25557">
      <c r="A25557" s="3" t="inlineStr">
        <is>
          <t>25452</t>
        </is>
      </c>
      <c r="B25557" s="4" t="s">
        <f>=HYPERLINK("http://anyluxury.ru/shop/posuda/kukhonnye-aksessuary/lopatkashumovka-grill-temnoseraya-1484430/" , "14844.30 Лопатка-шумовка Grill, темно-серая")</f>
      </c>
      <c r="C25557" s="4" t="n">
        <v>1450.00</v>
      </c>
      <c r="D25557" s="4"/>
    </row>
    <row collapsed="" customFormat="false" customHeight="1" hidden="" ht="14" outlineLevel="0" r="25558">
      <c r="A25558" s="3" t="inlineStr">
        <is>
          <t>25453</t>
        </is>
      </c>
      <c r="B25558" s="4" t="s">
        <f>=HYPERLINK("http://anyluxury.ru/shop/posuda/kukhonnye-aksessuary/nabor-iz-2-kastryul-i-soteynika-stainless-steel-1485600/" , "14856.00 Набор из 2 кастрюль и сотейника Stainless Steel")</f>
      </c>
      <c r="C25558" s="4" t="n">
        <v>17270.00</v>
      </c>
      <c r="D25558" s="4"/>
    </row>
    <row collapsed="" customFormat="false" customHeight="1" hidden="" ht="14" outlineLevel="0" r="25559">
      <c r="A25559" s="3" t="inlineStr">
        <is>
          <t>25454</t>
        </is>
      </c>
      <c r="B25559" s="4" t="s">
        <f>=HYPERLINK("http://anyluxury.ru/shop/posuda/kukhonnye-aksessuary/nabor-iz-2-kastryul-soteynika-i-durshlaga-stainless-steel-1485700/" , "14857.00 Набор из 2 кастрюль, сотейника и дуршлага Stainless Steel")</f>
      </c>
      <c r="C25559" s="4" t="n">
        <v>17270.00</v>
      </c>
      <c r="D25559" s="4"/>
    </row>
    <row collapsed="" customFormat="false" customHeight="1" hidden="" ht="14" outlineLevel="0" r="25560">
      <c r="A25560" s="3" t="inlineStr">
        <is>
          <t>25455</t>
        </is>
      </c>
      <c r="B25560" s="4" t="s">
        <f>=HYPERLINK("http://anyluxury.ru/shop/posuda/kukhonnye-aksessuary/nabor-iz-3-kastryul-i-soteynika-stainless-steel-1485900/" , "14859.00 Набор из 3 кастрюль и сотейника Stainless Steel")</f>
      </c>
      <c r="C25560" s="4" t="n">
        <v>17270.00</v>
      </c>
      <c r="D25560" s="4"/>
    </row>
    <row collapsed="" customFormat="false" customHeight="1" hidden="" ht="14" outlineLevel="0" r="25561">
      <c r="A25561" s="3" t="inlineStr">
        <is>
          <t>25456</t>
        </is>
      </c>
      <c r="B25561" s="4" t="s">
        <f>=HYPERLINK("http://anyluxury.ru/shop/posuda/kukhonnye-aksessuary/nabor-iz-kastryuli-skovorodi-i-soteynika-stainless-steel-1486000/" , "14860.00 Набор из кастрюли, сковороды и сотейника Stainless Steel")</f>
      </c>
      <c r="C25561" s="4" t="n">
        <v>15240.00</v>
      </c>
      <c r="D25561" s="4"/>
    </row>
    <row collapsed="" customFormat="false" customHeight="1" hidden="" ht="14" outlineLevel="0" r="25562">
      <c r="A25562" s="3" t="inlineStr">
        <is>
          <t>25457</t>
        </is>
      </c>
      <c r="B25562" s="4" t="s">
        <f>=HYPERLINK("http://anyluxury.ru/shop/posuda/kukhonnye-aksessuary/nozh-dlya-zeleni-green-tool-1486100/" , "14861.00 Нож для зелени Green Tool")</f>
      </c>
      <c r="C25562" s="4" t="n">
        <v>3300.00</v>
      </c>
      <c r="D25562" s="4"/>
    </row>
    <row collapsed="" customFormat="false" customHeight="1" hidden="" ht="14" outlineLevel="0" r="25563">
      <c r="A25563" s="3" t="inlineStr">
        <is>
          <t>25458</t>
        </is>
      </c>
      <c r="B25563" s="4" t="s">
        <f>=HYPERLINK("http://anyluxury.ru/shop/posuda/kukhonnye-aksessuary/organayzer-toolbox-maliy-cherniy-1486330/" , "14863.30 Органайзер Toolbox, малый, черный")</f>
      </c>
      <c r="C25563" s="4" t="n">
        <v>5750.00</v>
      </c>
      <c r="D25563" s="4"/>
    </row>
    <row collapsed="" customFormat="false" customHeight="1" hidden="" ht="14" outlineLevel="0" r="25564">
      <c r="A25564" s="3" t="inlineStr">
        <is>
          <t>25459</t>
        </is>
      </c>
      <c r="B25564" s="4" t="s">
        <f>=HYPERLINK("http://anyluxury.ru/shop/posuda/kukhonnye-aksessuary/organayzer-toolbox-bolshoy-beliy-1486460/" , "14864.60 Органайзер Toolbox, большой, белый")</f>
      </c>
      <c r="C25564" s="4" t="n">
        <v>5290.00</v>
      </c>
      <c r="D25564" s="4"/>
    </row>
    <row collapsed="" customFormat="false" customHeight="1" hidden="" ht="14" outlineLevel="0" r="25565">
      <c r="A25565" s="3" t="inlineStr">
        <is>
          <t>25460</t>
        </is>
      </c>
      <c r="B25565" s="4" t="s">
        <f>=HYPERLINK("http://anyluxury.ru/shop/posuda/kukhonnye-aksessuary/organayzer-toolbox-bolshoy-cherniy-1486430/" , "14864.30 Органайзер Toolbox, большой, черный")</f>
      </c>
      <c r="C25565" s="4" t="n">
        <v>5590.00</v>
      </c>
      <c r="D25565" s="4"/>
    </row>
    <row collapsed="" customFormat="false" customHeight="1" hidden="" ht="14" outlineLevel="0" r="25566">
      <c r="A25566" s="3" t="inlineStr">
        <is>
          <t>25461</t>
        </is>
      </c>
      <c r="B25566" s="4" t="s">
        <f>=HYPERLINK("http://anyluxury.ru/shop/posuda/kukhonnye-aksessuary/organayzer-dlya-kuhonnih-prinadlezhnostey-legio-nova-beliy-1486760/" , "14867.60 Органайзер для кухонных принадлежностей Legio Nova, белый")</f>
      </c>
      <c r="C25566" s="4" t="n">
        <v>2750.00</v>
      </c>
      <c r="D25566" s="4"/>
    </row>
    <row collapsed="" customFormat="false" customHeight="1" hidden="" ht="14" outlineLevel="0" r="25567">
      <c r="A25567" s="3" t="inlineStr">
        <is>
          <t>25462</t>
        </is>
      </c>
      <c r="B25567" s="4" t="s">
        <f>=HYPERLINK("http://anyluxury.ru/shop/posuda/kukhonnye-aksessuary/podstavka-dlya-nozhey-nordic-kitchen-belaya-1487160/" , "14871.60 Подставка для ножей Nordic Kitchen, белая")</f>
      </c>
      <c r="C25567" s="4" t="n">
        <v>8350.00</v>
      </c>
      <c r="D25567" s="4"/>
    </row>
    <row collapsed="" customFormat="false" customHeight="1" hidden="" ht="14" outlineLevel="0" r="25568">
      <c r="A25568" s="3" t="inlineStr">
        <is>
          <t>25463</t>
        </is>
      </c>
      <c r="B25568" s="4" t="s">
        <f>=HYPERLINK("http://anyluxury.ru/shop/posuda/kukhonnye-aksessuary/podstavka-dlya-nozhey-nordic-kitchen-chernaya-1487130/" , "14871.30 Подставка для ножей Nordic Kitchen, черная")</f>
      </c>
      <c r="C25568" s="4" t="n">
        <v>9400.00</v>
      </c>
      <c r="D25568" s="4"/>
    </row>
    <row collapsed="" customFormat="false" customHeight="1" hidden="" ht="14" outlineLevel="0" r="25569">
      <c r="A25569" s="3" t="inlineStr">
        <is>
          <t>25464</t>
        </is>
      </c>
      <c r="B25569" s="4" t="s">
        <f>=HYPERLINK("http://anyluxury.ru/shop/posuda/kukhonnye-aksessuary/podstavka-dlya-posudi-ili-plansheta-smartmat-seraya-1487211/" , "14872.11 Подставка для посуды или планшета SmartMat, серая")</f>
      </c>
      <c r="C25569" s="4" t="n">
        <v>3690.00</v>
      </c>
      <c r="D25569" s="4"/>
    </row>
    <row collapsed="" customFormat="false" customHeight="1" hidden="" ht="14" outlineLevel="0" r="25570">
      <c r="A25570" s="3" t="inlineStr">
        <is>
          <t>25465</t>
        </is>
      </c>
      <c r="B25570" s="4" t="s">
        <f>=HYPERLINK("http://anyluxury.ru/shop/posuda/kukhonnye-aksessuary/derzhatel-dlya-nozhey-stainless-steel-magnitniy-1487400/" , "14874.00 Держатель для ножей Stainless Steel, магнитный")</f>
      </c>
      <c r="C25570" s="4" t="n">
        <v>6300.00</v>
      </c>
      <c r="D25570" s="4"/>
    </row>
    <row collapsed="" customFormat="false" customHeight="1" hidden="" ht="14" outlineLevel="0" r="25571">
      <c r="A25571" s="3" t="inlineStr">
        <is>
          <t>25466</t>
        </is>
      </c>
      <c r="B25571" s="4" t="s">
        <f>=HYPERLINK("http://anyluxury.ru/shop/posuda/kukhonnye-aksessuary/podstavka-pod-goryachee-magnetic-trivet-magnitnaya-belaya-1487560/" , "14875.60 Подставка под горячее Magnetic Trivet, магнитная, белая")</f>
      </c>
      <c r="C25571" s="4" t="n">
        <v>3090.00</v>
      </c>
      <c r="D25571" s="4"/>
    </row>
    <row collapsed="" customFormat="false" customHeight="1" hidden="" ht="14" outlineLevel="0" r="25572">
      <c r="A25572" s="3" t="inlineStr">
        <is>
          <t>25467</t>
        </is>
      </c>
      <c r="B25572" s="4" t="s">
        <f>=HYPERLINK("http://anyluxury.ru/shop/posuda/kukhonnye-aksessuary/podstavka-pod-goryachee-magnetic-trivet-magnitnaya-biryuzovaya-1487541/" , "14875.41 Подставка под горячее Magnetic Trivet, магнитная, бирюзовая")</f>
      </c>
      <c r="C25572" s="4" t="n">
        <v>2650.00</v>
      </c>
      <c r="D25572" s="4"/>
    </row>
    <row collapsed="" customFormat="false" customHeight="1" hidden="" ht="14" outlineLevel="0" r="25573">
      <c r="A25573" s="3" t="inlineStr">
        <is>
          <t>25468</t>
        </is>
      </c>
      <c r="B25573" s="4" t="s">
        <f>=HYPERLINK("http://anyluxury.ru/shop/posuda/kukhonnye-aksessuary/podstavka-pod-goryachee-magnetic-trivet-magnitnaya-krasnaya-1487550/" , "14875.50 Подставка под горячее Magnetic Trivet, магнитная, красная")</f>
      </c>
      <c r="C25573" s="4" t="n">
        <v>3090.00</v>
      </c>
      <c r="D25573" s="4"/>
    </row>
    <row collapsed="" customFormat="false" customHeight="1" hidden="" ht="14" outlineLevel="0" r="25574">
      <c r="A25574" s="3" t="inlineStr">
        <is>
          <t>25469</t>
        </is>
      </c>
      <c r="B25574" s="4" t="s">
        <f>=HYPERLINK("http://anyluxury.ru/shop/posuda/kukhonnye-aksessuary/podstavka-pod-goryachee-magnetic-trivet-magnitnaya-seraya-1487511/" , "14875.11 Подставка под горячее Magnetic Trivet, магнитная, серая")</f>
      </c>
      <c r="C25574" s="4" t="n">
        <v>3090.00</v>
      </c>
      <c r="D25574" s="4"/>
    </row>
    <row collapsed="" customFormat="false" customHeight="1" hidden="" ht="14" outlineLevel="0" r="25575">
      <c r="A25575" s="3" t="inlineStr">
        <is>
          <t>25470</t>
        </is>
      </c>
      <c r="B25575" s="4" t="s">
        <f>=HYPERLINK("http://anyluxury.ru/shop/posuda/kukhonnye-aksessuary/polovnik-gravity-cherniy-1487630/" , "14876.30 Половник Gravity, черный")</f>
      </c>
      <c r="C25575" s="4" t="n">
        <v>1590.00</v>
      </c>
      <c r="D25575" s="4"/>
    </row>
    <row collapsed="" customFormat="false" customHeight="1" hidden="" ht="14" outlineLevel="0" r="25576">
      <c r="A25576" s="3" t="inlineStr">
        <is>
          <t>25471</t>
        </is>
      </c>
      <c r="B25576" s="4" t="s">
        <f>=HYPERLINK("http://anyluxury.ru/shop/posuda/kukhonnye-aksessuary/press-dlya-kotlet-green-tool-1487700/" , "14877.00 Пресс для котлет Green Tool")</f>
      </c>
      <c r="C25576" s="4" t="n">
        <v>3300.00</v>
      </c>
      <c r="D25576" s="4"/>
    </row>
    <row collapsed="" customFormat="false" customHeight="1" hidden="" ht="14" outlineLevel="0" r="25577">
      <c r="A25577" s="3" t="inlineStr">
        <is>
          <t>25472</t>
        </is>
      </c>
      <c r="B25577" s="4" t="s">
        <f>=HYPERLINK("http://anyluxury.ru/shop/posuda/kukhonnye-aksessuary/sokovizhimalka-dlya-citrusovih-green-tool-1487800/" , "14878.00 Соковыжималка для цитрусовых Green Tool")</f>
      </c>
      <c r="C25577" s="4" t="n">
        <v>3300.00</v>
      </c>
      <c r="D25577" s="4"/>
    </row>
    <row collapsed="" customFormat="false" customHeight="1" hidden="" ht="14" outlineLevel="0" r="25578">
      <c r="A25578" s="3" t="inlineStr">
        <is>
          <t>25473</t>
        </is>
      </c>
      <c r="B25578" s="4" t="s">
        <f>=HYPERLINK("http://anyluxury.ru/shop/posuda/kukhonnye-aksessuary/press-dlya-chesnoka-green-tool-1487900/" , "14879.00 Пресс для чеснока Green Tool")</f>
      </c>
      <c r="C25578" s="4" t="n">
        <v>2890.00</v>
      </c>
      <c r="D25578" s="4"/>
    </row>
    <row collapsed="" customFormat="false" customHeight="1" hidden="" ht="14" outlineLevel="0" r="25579">
      <c r="A25579" s="3" t="inlineStr">
        <is>
          <t>25474</t>
        </is>
      </c>
      <c r="B25579" s="4" t="s">
        <f>=HYPERLINK("http://anyluxury.ru/shop/posuda/kukhonnye-aksessuary/skovorodasoteynik-nordic-kitchen-24-1488100/" , "14881.00 Сковорода-сотейник Nordic Kitchen 24")</f>
      </c>
      <c r="C25579" s="4" t="n">
        <v>8920.00</v>
      </c>
      <c r="D25579" s="4"/>
    </row>
    <row collapsed="" customFormat="false" customHeight="1" hidden="" ht="14" outlineLevel="0" r="25580">
      <c r="A25580" s="3" t="inlineStr">
        <is>
          <t>25475</t>
        </is>
      </c>
      <c r="B25580" s="4" t="s">
        <f>=HYPERLINK("http://anyluxury.ru/shop/posuda/kukhonnye-aksessuary/skovoroda-nordic-kitchen-24-s-antiprigarnim-pokritiem-1488200/" , "14882.00 Сковорода Nordic Kitchen 24 с антипригарным покрытием")</f>
      </c>
      <c r="C25580" s="4" t="n">
        <v>5990.00</v>
      </c>
      <c r="D25580" s="4"/>
    </row>
    <row collapsed="" customFormat="false" customHeight="1" hidden="" ht="14" outlineLevel="0" r="25581">
      <c r="A25581" s="3" t="inlineStr">
        <is>
          <t>25476</t>
        </is>
      </c>
      <c r="B25581" s="4" t="s">
        <f>=HYPERLINK("http://anyluxury.ru/shop/posuda/kukhonnye-aksessuary/skovoroda-nordic-kitchen-24-s-derevyannoy-ruchkoy-1488300/" , "14883.00 Сковорода Nordic Kitchen 24 с деревянной ручкой")</f>
      </c>
      <c r="C25581" s="4" t="n">
        <v>9150.00</v>
      </c>
      <c r="D25581" s="4"/>
    </row>
    <row collapsed="" customFormat="false" customHeight="1" hidden="" ht="14" outlineLevel="0" r="25582">
      <c r="A25582" s="3" t="inlineStr">
        <is>
          <t>25477</t>
        </is>
      </c>
      <c r="B25582" s="4" t="s">
        <f>=HYPERLINK("http://anyluxury.ru/shop/posuda/kukhonnye-aksessuary/skovoroda-nordic-kitchen-28-s-antiprigarnim-pokritiem-1488400/" , "14884.00 Сковорода Nordic Kitchen 28 с антипригарным покрытием")</f>
      </c>
      <c r="C25582" s="4" t="n">
        <v>7990.00</v>
      </c>
      <c r="D25582" s="4"/>
    </row>
    <row collapsed="" customFormat="false" customHeight="1" hidden="" ht="14" outlineLevel="0" r="25583">
      <c r="A25583" s="3" t="inlineStr">
        <is>
          <t>25478</t>
        </is>
      </c>
      <c r="B25583" s="4" t="s">
        <f>=HYPERLINK("http://anyluxury.ru/shop/posuda/kukhonnye-aksessuary/skovoroda-professional-20-s-antiprigarnim-pokritiem-1488500/" , "14885.00 Сковорода Professional 20 с антипригарным покрытием")</f>
      </c>
      <c r="C25583" s="4" t="n">
        <v>4670.00</v>
      </c>
      <c r="D25583" s="4"/>
    </row>
    <row collapsed="" customFormat="false" customHeight="1" hidden="" ht="14" outlineLevel="0" r="25584">
      <c r="A25584" s="3" t="inlineStr">
        <is>
          <t>25479</t>
        </is>
      </c>
      <c r="B25584" s="4" t="s">
        <f>=HYPERLINK("http://anyluxury.ru/shop/posuda/kukhonnye-aksessuary/skovoroda-professional-24-s-antiprigarnim-pokritiem-1488600/" , "14886.00 Сковорода Professional 24 с антипригарным покрытием")</f>
      </c>
      <c r="C25584" s="4" t="n">
        <v>8050.00</v>
      </c>
      <c r="D25584" s="4"/>
    </row>
    <row collapsed="" customFormat="false" customHeight="1" hidden="" ht="14" outlineLevel="0" r="25585">
      <c r="A25585" s="3" t="inlineStr">
        <is>
          <t>25480</t>
        </is>
      </c>
      <c r="B25585" s="4" t="s">
        <f>=HYPERLINK("http://anyluxury.ru/shop/posuda/kukhonnye-aksessuary/skovoroda-professional-28-s-antiprigarnim-pokritiem-1488700/" , "14887.00 Сковорода Professional 28 с антипригарным покрытием")</f>
      </c>
      <c r="C25585" s="4" t="n">
        <v>10100.00</v>
      </c>
      <c r="D25585" s="4"/>
    </row>
    <row collapsed="" customFormat="false" customHeight="1" hidden="" ht="14" outlineLevel="0" r="25586">
      <c r="A25586" s="3" t="inlineStr">
        <is>
          <t>25481</t>
        </is>
      </c>
      <c r="B25586" s="4" t="s">
        <f>=HYPERLINK("http://anyluxury.ru/shop/posuda/kukhonnye-aksessuary/skovoroda-professional-30-s-antiprigarnim-pokritiem-1488800/" , "14888.00 Сковорода Professional 30 с антипригарным покрытием")</f>
      </c>
      <c r="C25586" s="4" t="n">
        <v>11300.00</v>
      </c>
      <c r="D25586" s="4"/>
    </row>
    <row collapsed="" customFormat="false" customHeight="1" hidden="" ht="14" outlineLevel="0" r="25587">
      <c r="A25587" s="3" t="inlineStr">
        <is>
          <t>25482</t>
        </is>
      </c>
      <c r="B25587" s="4" t="s">
        <f>=HYPERLINK("http://anyluxury.ru/shop/posuda/kukhonnye-aksessuary/skovoroda-stainless-steel-24-s-antiprigarnim-pokritiem-1488900/" , "14889.00 Сковорода Stainless Steel 24 с антипригарным покрытием")</f>
      </c>
      <c r="C25587" s="4" t="n">
        <v>7500.00</v>
      </c>
      <c r="D25587" s="4"/>
    </row>
    <row collapsed="" customFormat="false" customHeight="1" hidden="" ht="14" outlineLevel="0" r="25588">
      <c r="A25588" s="3" t="inlineStr">
        <is>
          <t>25483</t>
        </is>
      </c>
      <c r="B25588" s="4" t="s">
        <f>=HYPERLINK("http://anyluxury.ru/shop/posuda/kukhonnye-aksessuary/skovoroda-stainless-steel-28-s-antiprigarnim-pokritiem-1489000/" , "14890.00 Сковорода Stainless Steel 28 с антипригарным покрытием")</f>
      </c>
      <c r="C25588" s="4" t="n">
        <v>8600.00</v>
      </c>
      <c r="D25588" s="4"/>
    </row>
    <row collapsed="" customFormat="false" customHeight="1" hidden="" ht="14" outlineLevel="0" r="25589">
      <c r="A25589" s="3" t="inlineStr">
        <is>
          <t>25484</t>
        </is>
      </c>
      <c r="B25589" s="4" t="s">
        <f>=HYPERLINK("http://anyluxury.ru/shop/posuda/kukhonnye-aksessuary/skovorodagril-professional-30-s-antiprigarnim-pokritiem-1489100/" , "14891.00 Сковорода-гриль Professional 30 с антипригарным покрытием")</f>
      </c>
      <c r="C25589" s="4" t="n">
        <v>11300.00</v>
      </c>
      <c r="D25589" s="4"/>
    </row>
    <row collapsed="" customFormat="false" customHeight="1" hidden="" ht="14" outlineLevel="0" r="25590">
      <c r="A25590" s="3" t="inlineStr">
        <is>
          <t>25485</t>
        </is>
      </c>
      <c r="B25590" s="4" t="s">
        <f>=HYPERLINK("http://anyluxury.ru/shop/posuda/kukhonnye-aksessuary/soteynik-nordic-kitchen-maliy-1489200/" , "14892.00 Сотейник Nordic Kitchen, малый")</f>
      </c>
      <c r="C25590" s="4" t="n">
        <v>5500.00</v>
      </c>
      <c r="D25590" s="4"/>
    </row>
    <row collapsed="" customFormat="false" customHeight="1" hidden="" ht="14" outlineLevel="0" r="25591">
      <c r="A25591" s="3" t="inlineStr">
        <is>
          <t>25486</t>
        </is>
      </c>
      <c r="B25591" s="4" t="s">
        <f>=HYPERLINK("http://anyluxury.ru/shop/posuda/kukhonnye-aksessuary/soteynik-nordic-kitchen-bolshoy-1489300/" , "14893.00 Сотейник Nordic Kitchen, большой")</f>
      </c>
      <c r="C25591" s="4" t="n">
        <v>5990.00</v>
      </c>
      <c r="D25591" s="4"/>
    </row>
    <row collapsed="" customFormat="false" customHeight="1" hidden="" ht="14" outlineLevel="0" r="25592">
      <c r="A25592" s="3" t="inlineStr">
        <is>
          <t>25487</t>
        </is>
      </c>
      <c r="B25592" s="4" t="s">
        <f>=HYPERLINK("http://anyluxury.ru/shop/posuda/kukhonnye-aksessuary/soteynik-stainless-steel-maliy-1489400/" , "14894.00 Сотейник Stainless Steel, малый")</f>
      </c>
      <c r="C25592" s="4" t="n">
        <v>3700.00</v>
      </c>
      <c r="D25592" s="4"/>
    </row>
    <row collapsed="" customFormat="false" customHeight="1" hidden="" ht="14" outlineLevel="0" r="25593">
      <c r="A25593" s="3" t="inlineStr">
        <is>
          <t>25488</t>
        </is>
      </c>
      <c r="B25593" s="4" t="s">
        <f>=HYPERLINK("http://anyluxury.ru/shop/posuda/kukhonnye-aksessuary/soteynik-stainless-steel-bolshoy-1489500/" , "14895.00 Сотейник Stainless Steel, большой")</f>
      </c>
      <c r="C25593" s="4" t="n">
        <v>9120.00</v>
      </c>
      <c r="D25593" s="4"/>
    </row>
    <row collapsed="" customFormat="false" customHeight="1" hidden="" ht="14" outlineLevel="0" r="25594">
      <c r="A25594" s="3" t="inlineStr">
        <is>
          <t>25489</t>
        </is>
      </c>
      <c r="B25594" s="4" t="s">
        <f>=HYPERLINK("http://anyluxury.ru/shop/posuda/kukhonnye-aksessuary/soteynik-white-line-s-keramicheskim-pokritiem-beliy-1489600/" , "14896.00 Сотейник White Line с керамическим покрытием, белый")</f>
      </c>
      <c r="C25594" s="4" t="n">
        <v>7950.00</v>
      </c>
      <c r="D25594" s="4"/>
    </row>
    <row collapsed="" customFormat="false" customHeight="1" hidden="" ht="14" outlineLevel="0" r="25595">
      <c r="A25595" s="3" t="inlineStr">
        <is>
          <t>25490</t>
        </is>
      </c>
      <c r="B25595" s="4" t="s">
        <f>=HYPERLINK("http://anyluxury.ru/shop/posuda/kukhonnye-aksessuary/venchik-gravity-stalnoy-1480311/" , "14803.11 Венчик Gravity, стальной")</f>
      </c>
      <c r="C25595" s="4" t="n">
        <v>2500.00</v>
      </c>
      <c r="D25595" s="4"/>
    </row>
    <row collapsed="" customFormat="false" customHeight="1" hidden="" ht="14" outlineLevel="0" r="25596">
      <c r="A25596" s="3" t="inlineStr">
        <is>
          <t>25491</t>
        </is>
      </c>
      <c r="B25596" s="4" t="s">
        <f>=HYPERLINK("http://anyluxury.ru/shop/posuda/kukhonnye-aksessuary/filtr-dlya-zavarivaniya-chaya-bar-1498200/" , "14982.00 Фильтр для заваривания чая Bar")</f>
      </c>
      <c r="C25596" s="4" t="n">
        <v>2400.00</v>
      </c>
      <c r="D25596" s="4"/>
    </row>
    <row collapsed="" customFormat="false" customHeight="1" hidden="" ht="14" outlineLevel="0" r="25597">
      <c r="A25597" s="3" t="inlineStr">
        <is>
          <t>25492</t>
        </is>
      </c>
      <c r="B25597" s="4" t="s">
        <f>=HYPERLINK("http://anyluxury.ru/shop/posuda/kukhonnye-aksessuary/forma-dlya-vipechki-eva-trio-24-razemnaya-1498300/" , "14983.00 Форма для выпечки Eva Trio 24, разъемная")</f>
      </c>
      <c r="C25597" s="4" t="n">
        <v>2100.00</v>
      </c>
      <c r="D25597" s="4"/>
    </row>
    <row collapsed="" customFormat="false" customHeight="1" hidden="" ht="14" outlineLevel="0" r="25598">
      <c r="A25598" s="3" t="inlineStr">
        <is>
          <t>25493</t>
        </is>
      </c>
      <c r="B25598" s="4" t="s">
        <f>=HYPERLINK("http://anyluxury.ru/shop/posuda/kukhonnye-aksessuary/forma-dlya-vipechki-eva-trio-26-razemnaya-1498400/" , "14984.00 Форма для выпечки Eva Trio 26, разъемная")</f>
      </c>
      <c r="C25598" s="4" t="n">
        <v>2600.00</v>
      </c>
      <c r="D25598" s="4"/>
    </row>
    <row collapsed="" customFormat="false" customHeight="1" hidden="" ht="14" outlineLevel="0" r="25599">
      <c r="A25599" s="3" t="inlineStr">
        <is>
          <t>25494</t>
        </is>
      </c>
      <c r="B25599" s="4" t="s">
        <f>=HYPERLINK("http://anyluxury.ru/shop/posuda/kukhonnye-aksessuary/forma-dlya-vipechki-rzhanogo-hleba-eva-trio-malaya-1498500/" , "14985.00 Форма для выпечки ржаного хлеба Eva Trio, малая")</f>
      </c>
      <c r="C25599" s="4" t="n">
        <v>4500.00</v>
      </c>
      <c r="D25599" s="4"/>
    </row>
    <row collapsed="" customFormat="false" customHeight="1" hidden="" ht="14" outlineLevel="0" r="25600">
      <c r="A25600" s="3" t="inlineStr">
        <is>
          <t>25495</t>
        </is>
      </c>
      <c r="B25600" s="4" t="s">
        <f>=HYPERLINK("http://anyluxury.ru/shop/posuda/kukhonnye-aksessuary/forma-dlya-vipechki-rzhanogo-hleba-eva-trio-bolshaya-1498600/" , "14986.00 Форма для выпечки ржаного хлеба Eva Trio, большая")</f>
      </c>
      <c r="C25600" s="4" t="n">
        <v>4500.00</v>
      </c>
      <c r="D25600" s="4"/>
    </row>
    <row collapsed="" customFormat="false" customHeight="1" hidden="" ht="14" outlineLevel="0" r="25601">
      <c r="A25601" s="3" t="inlineStr">
        <is>
          <t>25496</t>
        </is>
      </c>
      <c r="B25601" s="4" t="s">
        <f>=HYPERLINK("http://anyluxury.ru/shop/posuda/kukhonnye-aksessuary/forma-dlya-vipechki-hleba-eva-trio-malaya-1498700/" , "14987.00 Форма для выпечки хлеба Eva Trio, малая")</f>
      </c>
      <c r="C25601" s="4" t="n">
        <v>1590.00</v>
      </c>
      <c r="D25601" s="4"/>
    </row>
    <row collapsed="" customFormat="false" customHeight="1" hidden="" ht="14" outlineLevel="0" r="25602">
      <c r="A25602" s="3" t="inlineStr">
        <is>
          <t>25497</t>
        </is>
      </c>
      <c r="B25602" s="4" t="s">
        <f>=HYPERLINK("http://anyluxury.ru/shop/posuda/kukhonnye-aksessuary/forma-dlya-vipechki-hleba-eva-trio-srednyaya-1498800/" , "14988.00 Форма для выпечки хлеба Eva Trio, средняя")</f>
      </c>
      <c r="C25602" s="4" t="n">
        <v>1890.00</v>
      </c>
      <c r="D25602" s="4"/>
    </row>
    <row collapsed="" customFormat="false" customHeight="1" hidden="" ht="14" outlineLevel="0" r="25603">
      <c r="A25603" s="3" t="inlineStr">
        <is>
          <t>25498</t>
        </is>
      </c>
      <c r="B25603" s="4" t="s">
        <f>=HYPERLINK("http://anyluxury.ru/shop/posuda/kukhonnye-aksessuary/forma-dlya-vipechki-hleba-eva-trio-bolshaya-1498900/" , "14989.00 Форма для выпечки хлеба Eva Trio, большая")</f>
      </c>
      <c r="C25603" s="4" t="n">
        <v>2100.00</v>
      </c>
      <c r="D25603" s="4"/>
    </row>
    <row collapsed="" customFormat="false" customHeight="1" hidden="" ht="14" outlineLevel="0" r="25604">
      <c r="A25604" s="3" t="inlineStr">
        <is>
          <t>25499</t>
        </is>
      </c>
      <c r="B25604" s="4" t="s">
        <f>=HYPERLINK("http://anyluxury.ru/shop/posuda/kukhonnye-aksessuary/derzhatel-dlya-bumazhnih-polotenec-krolik-rodzher-beliy-1345560/" , "13455.60 Держатель для бумажных полотенец «Кролик Роджер», белый")</f>
      </c>
      <c r="C25604" s="4" t="n">
        <v>2350.00</v>
      </c>
      <c r="D25604" s="4"/>
    </row>
    <row collapsed="" customFormat="false" customHeight="1" hidden="" ht="14" outlineLevel="0" r="25605">
      <c r="A25605" s="3" t="inlineStr">
        <is>
          <t>25500</t>
        </is>
      </c>
      <c r="B25605" s="4" t="s">
        <f>=HYPERLINK("http://anyluxury.ru/shop/posuda/kukhonnye-aksessuary/derzhatel-dlya-bumazhnih-polotenec-krolik-rodzher-cherniy-1345530/" , "13455.30 Держатель для бумажных полотенец «Кролик Роджер», черный")</f>
      </c>
      <c r="C25605" s="4" t="n">
        <v>2350.00</v>
      </c>
      <c r="D25605" s="4"/>
    </row>
    <row collapsed="" customFormat="false" customHeight="1" hidden="" ht="14" outlineLevel="0" r="25606">
      <c r="A25606" s="3" t="inlineStr">
        <is>
          <t>25501</t>
        </is>
      </c>
      <c r="B25606" s="4" t="s">
        <f>=HYPERLINK("http://anyluxury.ru/shop/posuda/kukhonnye-aksessuary/derzhatel-dlya-bumazhnih-polotenec-krolik-rodzher-zeleniy-1345590/" , "13455.90 Держатель для бумажных полотенец «Кролик Роджер», зеленый")</f>
      </c>
      <c r="C25606" s="4" t="n">
        <v>2290.00</v>
      </c>
      <c r="D25606" s="4"/>
    </row>
    <row collapsed="" customFormat="false" customHeight="1" hidden="" ht="14" outlineLevel="0" r="25607">
      <c r="A25607" s="3" t="inlineStr">
        <is>
          <t>25502</t>
        </is>
      </c>
      <c r="B25607" s="4" t="s">
        <f>=HYPERLINK("http://anyluxury.ru/shop/posuda/kukhonnye-aksessuary/derzhatel-dlya-bumazhnih-polotenec-miaou-beliy-1345660/" , "13456.60 Держатель для бумажных полотенец Miaou, белый")</f>
      </c>
      <c r="C25607" s="4" t="n">
        <v>2350.00</v>
      </c>
      <c r="D25607" s="4"/>
    </row>
    <row collapsed="" customFormat="false" customHeight="1" hidden="" ht="14" outlineLevel="0" r="25608">
      <c r="A25608" s="3" t="inlineStr">
        <is>
          <t>25503</t>
        </is>
      </c>
      <c r="B25608" s="4" t="s">
        <f>=HYPERLINK("http://anyluxury.ru/shop/posuda/kukhonnye-aksessuary/derzhatel-dlya-zubochistok-picnix-beliy-1345760/" , "13457.60 Держатель для зубочисток Picnix, белый")</f>
      </c>
      <c r="C25608" s="4" t="n">
        <v>1850.00</v>
      </c>
      <c r="D25608" s="4"/>
    </row>
    <row collapsed="" customFormat="false" customHeight="1" hidden="" ht="14" outlineLevel="0" r="25609">
      <c r="A25609" s="3" t="inlineStr">
        <is>
          <t>25504</t>
        </is>
      </c>
      <c r="B25609" s="4" t="s">
        <f>=HYPERLINK("http://anyluxury.ru/shop/posuda/kukhonnye-aksessuary/derzhatel-dlya-zubochistok-picnix-zeleniy-1345790/" , "13457.90 Держатель для зубочисток Picnix, зеленый")</f>
      </c>
      <c r="C25609" s="4" t="n">
        <v>1490.00</v>
      </c>
      <c r="D25609" s="4"/>
    </row>
    <row collapsed="" customFormat="false" customHeight="1" hidden="" ht="14" outlineLevel="0" r="25610">
      <c r="A25610" s="3" t="inlineStr">
        <is>
          <t>25505</t>
        </is>
      </c>
      <c r="B25610" s="4" t="s">
        <f>=HYPERLINK("http://anyluxury.ru/shop/posuda/kukhonnye-aksessuary/doska-razdelochnaya-pip-rozovaya-1345851/" , "13458.51 Доска разделочная Pip, розовая")</f>
      </c>
      <c r="C25610" s="4" t="n">
        <v>1050.00</v>
      </c>
      <c r="D25610" s="4"/>
    </row>
    <row collapsed="" customFormat="false" customHeight="1" hidden="" ht="14" outlineLevel="0" r="25611">
      <c r="A25611" s="3" t="inlineStr">
        <is>
          <t>25506</t>
        </is>
      </c>
      <c r="B25611" s="4" t="s">
        <f>=HYPERLINK("http://anyluxury.ru/shop/posuda/kukhonnye-aksessuary/doska-razdelochnaya-pip-temnozelenaya-1345890/" , "13458.90 Доска разделочная Pip, темно-зеленая")</f>
      </c>
      <c r="C25611" s="4" t="n">
        <v>900.00</v>
      </c>
      <c r="D25611" s="4"/>
    </row>
    <row collapsed="" customFormat="false" customHeight="1" hidden="" ht="14" outlineLevel="0" r="25612">
      <c r="A25612" s="3" t="inlineStr">
        <is>
          <t>25507</t>
        </is>
      </c>
      <c r="B25612" s="4" t="s">
        <f>=HYPERLINK("http://anyluxury.ru/shop/posuda/kukhonnye-aksessuary/durshlag-palsby-organic-bolshoy-rozoviy-1345951/" , "13459.51 Дуршлаг Palsby Organic, большой, розовый")</f>
      </c>
      <c r="C25612" s="4" t="n">
        <v>810.00</v>
      </c>
      <c r="D25612" s="4"/>
    </row>
    <row collapsed="" customFormat="false" customHeight="1" hidden="" ht="14" outlineLevel="0" r="25613">
      <c r="A25613" s="3" t="inlineStr">
        <is>
          <t>25508</t>
        </is>
      </c>
      <c r="B25613" s="4" t="s">
        <f>=HYPERLINK("http://anyluxury.ru/shop/posuda/kukhonnye-aksessuary/durshlag-palsby-organic-bolshoy-siniy-1345940/" , "13459.40 Дуршлаг Palsby Organic, большой, синий")</f>
      </c>
      <c r="C25613" s="4" t="n">
        <v>810.00</v>
      </c>
      <c r="D25613" s="4"/>
    </row>
    <row collapsed="" customFormat="false" customHeight="1" hidden="" ht="14" outlineLevel="0" r="25614">
      <c r="A25614" s="3" t="inlineStr">
        <is>
          <t>25509</t>
        </is>
      </c>
      <c r="B25614" s="4" t="s">
        <f>=HYPERLINK("http://anyluxury.ru/shop/posuda/kukhonnye-aksessuary/durshlag-palsby-organic-bolshoy-zeleniy-1345990/" , "13459.90 Дуршлаг Palsby Organic, большой, зеленый")</f>
      </c>
      <c r="C25614" s="4" t="n">
        <v>810.00</v>
      </c>
      <c r="D25614" s="4"/>
    </row>
    <row collapsed="" customFormat="false" customHeight="1" hidden="" ht="14" outlineLevel="0" r="25615">
      <c r="A25615" s="3" t="inlineStr">
        <is>
          <t>25510</t>
        </is>
      </c>
      <c r="B25615" s="4" t="s">
        <f>=HYPERLINK("http://anyluxury.ru/shop/posuda/kukhonnye-aksessuary/durshlag-palsby-organic-bolshoy-seriy-1345911/" , "13459.11 Дуршлаг Palsby Organic, большой, серый")</f>
      </c>
      <c r="C25615" s="4" t="n">
        <v>810.00</v>
      </c>
      <c r="D25615" s="4"/>
    </row>
    <row collapsed="" customFormat="false" customHeight="1" hidden="" ht="14" outlineLevel="0" r="25616">
      <c r="A25616" s="3" t="inlineStr">
        <is>
          <t>25511</t>
        </is>
      </c>
      <c r="B25616" s="4" t="s">
        <f>=HYPERLINK("http://anyluxury.ru/shop/posuda/kukhonnye-aksessuary/durshlag-palsby-organic-sredniy-siniy-1346040/" , "13460.40 Дуршлаг Palsby Organic, средний, синий")</f>
      </c>
      <c r="C25616" s="4" t="n">
        <v>610.00</v>
      </c>
      <c r="D25616" s="4"/>
    </row>
    <row collapsed="" customFormat="false" customHeight="1" hidden="" ht="14" outlineLevel="0" r="25617">
      <c r="A25617" s="3" t="inlineStr">
        <is>
          <t>25512</t>
        </is>
      </c>
      <c r="B25617" s="4" t="s">
        <f>=HYPERLINK("http://anyluxury.ru/shop/posuda/kukhonnye-aksessuary/durshlag-palsby-organic-sredniy-zeleniy-1346041/" , "13460.41 Дуршлаг Palsby Organic, средний, зеленый")</f>
      </c>
      <c r="C25617" s="4" t="n">
        <v>610.00</v>
      </c>
      <c r="D25617" s="4"/>
    </row>
    <row collapsed="" customFormat="false" customHeight="1" hidden="" ht="14" outlineLevel="0" r="25618">
      <c r="A25618" s="3" t="inlineStr">
        <is>
          <t>25513</t>
        </is>
      </c>
      <c r="B25618" s="4" t="s">
        <f>=HYPERLINK("http://anyluxury.ru/shop/posuda/kukhonnye-aksessuary/durshlag-palsby-organic-sredniy-rozoviy-1346051/" , "13460.51 Дуршлаг Palsby Organic, средний, розовый")</f>
      </c>
      <c r="C25618" s="4" t="n">
        <v>610.00</v>
      </c>
      <c r="D25618" s="4"/>
    </row>
    <row collapsed="" customFormat="false" customHeight="1" hidden="" ht="14" outlineLevel="0" r="25619">
      <c r="A25619" s="3" t="inlineStr">
        <is>
          <t>25514</t>
        </is>
      </c>
      <c r="B25619" s="4" t="s">
        <f>=HYPERLINK("http://anyluxury.ru/shop/posuda/kukhonnye-aksessuary/durshlag-palsby-organic-sredniy-seriy-1346011/" , "13460.11 Дуршлаг Palsby Organic, средний, серый")</f>
      </c>
      <c r="C25619" s="4" t="n">
        <v>610.00</v>
      </c>
      <c r="D25619" s="4"/>
    </row>
    <row collapsed="" customFormat="false" customHeight="1" hidden="" ht="14" outlineLevel="0" r="25620">
      <c r="A25620" s="3" t="inlineStr">
        <is>
          <t>25515</t>
        </is>
      </c>
      <c r="B25620" s="4" t="s">
        <f>=HYPERLINK("http://anyluxury.ru/shop/posuda/kukhonnye-aksessuary/emkost-dlya-zavarivaniya-miaou-belaya-1346160/" , "13461.60 Емкость для заваривания Miaou, белая")</f>
      </c>
      <c r="C25620" s="4" t="n">
        <v>760.00</v>
      </c>
      <c r="D25620" s="4"/>
    </row>
    <row collapsed="" customFormat="false" customHeight="1" hidden="" ht="14" outlineLevel="0" r="25621">
      <c r="A25621" s="3" t="inlineStr">
        <is>
          <t>25516</t>
        </is>
      </c>
      <c r="B25621" s="4" t="s">
        <f>=HYPERLINK("http://anyluxury.ru/shop/posuda/kukhonnye-aksessuary/emkost-dlya-zavarivaniya-rudolf-chernaya-1346230/" , "13462.30 Емкость для заваривания Rudolf, черная")</f>
      </c>
      <c r="C25621" s="4" t="n">
        <v>760.00</v>
      </c>
      <c r="D25621" s="4"/>
    </row>
    <row collapsed="" customFormat="false" customHeight="1" hidden="" ht="14" outlineLevel="0" r="25622">
      <c r="A25622" s="3" t="inlineStr">
        <is>
          <t>25517</t>
        </is>
      </c>
      <c r="B25622" s="4" t="s">
        <f>=HYPERLINK("http://anyluxury.ru/shop/posuda/kukhonnye-aksessuary/emkost-dlya-zavarivaniya-miaou-chernaya-1346130/" , "13461.30 Емкость для заваривания Miaou, черная")</f>
      </c>
      <c r="C25622" s="4" t="n">
        <v>760.00</v>
      </c>
      <c r="D25622" s="4"/>
    </row>
    <row collapsed="" customFormat="false" customHeight="1" hidden="" ht="14" outlineLevel="0" r="25623">
      <c r="A25623" s="3" t="inlineStr">
        <is>
          <t>25518</t>
        </is>
      </c>
      <c r="B25623" s="4" t="s">
        <f>=HYPERLINK("http://anyluxury.ru/shop/posuda/kukhonnye-aksessuary/emkost-dlya-zavarivaniya-miaou-zelenaya-1346190/" , "13461.90 Емкость для заваривания Miaou, зеленая")</f>
      </c>
      <c r="C25623" s="4" t="n">
        <v>760.00</v>
      </c>
      <c r="D25623" s="4"/>
    </row>
    <row collapsed="" customFormat="false" customHeight="1" hidden="" ht="14" outlineLevel="0" r="25624">
      <c r="A25624" s="3" t="inlineStr">
        <is>
          <t>25519</t>
        </is>
      </c>
      <c r="B25624" s="4" t="s">
        <f>=HYPERLINK("http://anyluxury.ru/shop/posuda/kukhonnye-aksessuary/emkost-dlya-zavarivaniya-rudolf-belaya-1346260/" , "13462.60 Емкость для заваривания Rudolf, белая")</f>
      </c>
      <c r="C25624" s="4" t="n">
        <v>690.00</v>
      </c>
      <c r="D25624" s="4"/>
    </row>
    <row collapsed="" customFormat="false" customHeight="1" hidden="" ht="14" outlineLevel="0" r="25625">
      <c r="A25625" s="3" t="inlineStr">
        <is>
          <t>25520</t>
        </is>
      </c>
      <c r="B25625" s="4" t="s">
        <f>=HYPERLINK("http://anyluxury.ru/shop/posuda/kukhonnye-aksessuary/emkost-dlya-zavarivaniya-rudolf-zelenaya-1346290/" , "13462.90 Емкость для заваривания Rudolf, зеленая")</f>
      </c>
      <c r="C25625" s="4" t="n">
        <v>760.00</v>
      </c>
      <c r="D25625" s="4"/>
    </row>
    <row collapsed="" customFormat="false" customHeight="1" hidden="" ht="14" outlineLevel="0" r="25626">
      <c r="A25626" s="3" t="inlineStr">
        <is>
          <t>25521</t>
        </is>
      </c>
      <c r="B25626" s="4" t="s">
        <f>=HYPERLINK("http://anyluxury.ru/shop/posuda/kukhonnye-aksessuary/emkost-dlya-hraneniya-s-lozhkoy-hot-stuff-bolshaya-seraya-1346311/" , "13463.11 Емкость для хранения с ложкой Hot Stuff, большая, серая")</f>
      </c>
      <c r="C25626" s="4" t="n">
        <v>1050.00</v>
      </c>
      <c r="D25626" s="4"/>
    </row>
    <row collapsed="" customFormat="false" customHeight="1" hidden="" ht="14" outlineLevel="0" r="25627">
      <c r="A25627" s="3" t="inlineStr">
        <is>
          <t>25522</t>
        </is>
      </c>
      <c r="B25627" s="4" t="s">
        <f>=HYPERLINK("http://anyluxury.ru/shop/posuda/kukhonnye-aksessuary/emkost-dlya-hraneniya-s-lozhkoy-hot-stuff-bolshaya-chernaya-1346330/" , "13463.30 Емкость для хранения с ложкой Hot Stuff, большая, черная")</f>
      </c>
      <c r="C25627" s="4" t="n">
        <v>1050.00</v>
      </c>
      <c r="D25627" s="4"/>
    </row>
    <row collapsed="" customFormat="false" customHeight="1" hidden="" ht="14" outlineLevel="0" r="25628">
      <c r="A25628" s="3" t="inlineStr">
        <is>
          <t>25523</t>
        </is>
      </c>
      <c r="B25628" s="4" t="s">
        <f>=HYPERLINK("http://anyluxury.ru/shop/posuda/kukhonnye-aksessuary/emkost-dlya-hraneniya-s-lozhkoy-hot-stuff-srednyaya-seraya-1346411/" , "13464.11 Емкость для хранения с ложкой Hot Stuff, средняя, серая")</f>
      </c>
      <c r="C25628" s="4" t="n">
        <v>930.00</v>
      </c>
      <c r="D25628" s="4"/>
    </row>
    <row collapsed="" customFormat="false" customHeight="1" hidden="" ht="14" outlineLevel="0" r="25629">
      <c r="A25629" s="3" t="inlineStr">
        <is>
          <t>25524</t>
        </is>
      </c>
      <c r="B25629" s="4" t="s">
        <f>=HYPERLINK("http://anyluxury.ru/shop/posuda/kukhonnye-aksessuary/emkost-dlya-hraneniya-s-lozhkoy-hot-stuff-srednyaya-chernaya-1346430/" , "13464.30 Емкость для хранения с ложкой Hot Stuff, средняя, черная")</f>
      </c>
      <c r="C25629" s="4" t="n">
        <v>930.00</v>
      </c>
      <c r="D25629" s="4"/>
    </row>
    <row collapsed="" customFormat="false" customHeight="1" hidden="" ht="14" outlineLevel="0" r="25630">
      <c r="A25630" s="3" t="inlineStr">
        <is>
          <t>25525</t>
        </is>
      </c>
      <c r="B25630" s="4" t="s">
        <f>=HYPERLINK("http://anyluxury.ru/shop/posuda/kukhonnye-aksessuary/emkost-dlya-hraneniya-s-lozhkoy-hot-stuff-srednyaya-zelenaya-1346490/" , "13464.90 Емкость для хранения с ложкой Hot Stuff, средняя, зеленая")</f>
      </c>
      <c r="C25630" s="4" t="n">
        <v>930.00</v>
      </c>
      <c r="D25630" s="4"/>
    </row>
    <row collapsed="" customFormat="false" customHeight="1" hidden="" ht="14" outlineLevel="0" r="25631">
      <c r="A25631" s="3" t="inlineStr">
        <is>
          <t>25526</t>
        </is>
      </c>
      <c r="B25631" s="4" t="s">
        <f>=HYPERLINK("http://anyluxury.ru/shop/posuda/kukhonnye-aksessuary/metallicheskoe-milo-c-podstavkoy-amanda-chernoe-1347730/" , "13477.30 Металлическое мыло c подставкой Amanda, черное")</f>
      </c>
      <c r="C25631" s="4" t="n">
        <v>2350.00</v>
      </c>
      <c r="D25631" s="4"/>
    </row>
    <row collapsed="" customFormat="false" customHeight="1" hidden="" ht="14" outlineLevel="0" r="25632">
      <c r="A25632" s="3" t="inlineStr">
        <is>
          <t>25527</t>
        </is>
      </c>
      <c r="B25632" s="4" t="s">
        <f>=HYPERLINK("http://anyluxury.ru/shop/posuda/kukhonnye-aksessuary/metallicheskoe-milo-c-podstavkoy-amanda-prozrachnoe-1347700/" , "13477.00 Металлическое мыло c подставкой Amanda, прозрачное")</f>
      </c>
      <c r="C25632" s="4" t="n">
        <v>2350.00</v>
      </c>
      <c r="D25632" s="4"/>
    </row>
    <row collapsed="" customFormat="false" customHeight="1" hidden="" ht="14" outlineLevel="0" r="25633">
      <c r="A25633" s="3" t="inlineStr">
        <is>
          <t>25528</t>
        </is>
      </c>
      <c r="B25633" s="4" t="s">
        <f>=HYPERLINK("http://anyluxury.ru/shop/posuda/kukhonnye-aksessuary/metallicheskoe-milo-c-podstavkoy-amanda-zelenoe-1347790/" , "13477.90 Металлическое мыло c подставкой Amanda, зеленое")</f>
      </c>
      <c r="C25633" s="4" t="n">
        <v>1990.00</v>
      </c>
      <c r="D25633" s="4"/>
    </row>
    <row collapsed="" customFormat="false" customHeight="1" hidden="" ht="14" outlineLevel="0" r="25634">
      <c r="A25634" s="3" t="inlineStr">
        <is>
          <t>25529</t>
        </is>
      </c>
      <c r="B25634" s="4" t="s">
        <f>=HYPERLINK("http://anyluxury.ru/shop/posuda/kukhonnye-aksessuary/miska-dlya-koshki-miaou-belaya-s-chernim-1348360/" , "13483.60 Миска для кошки Miaou, белая с черным")</f>
      </c>
      <c r="C25634" s="4" t="n">
        <v>1500.00</v>
      </c>
      <c r="D25634" s="4"/>
    </row>
    <row collapsed="" customFormat="false" customHeight="1" hidden="" ht="14" outlineLevel="0" r="25635">
      <c r="A25635" s="3" t="inlineStr">
        <is>
          <t>25530</t>
        </is>
      </c>
      <c r="B25635" s="4" t="s">
        <f>=HYPERLINK("http://anyluxury.ru/shop/posuda/kukhonnye-aksessuary/miska-dlya-koshki-miaou-chernaya-s-belim-1348330/" , "13483.30 Миска для кошки Miaou, черная с белым")</f>
      </c>
      <c r="C25635" s="4" t="n">
        <v>1500.00</v>
      </c>
      <c r="D25635" s="4"/>
    </row>
    <row collapsed="" customFormat="false" customHeight="1" hidden="" ht="14" outlineLevel="0" r="25636">
      <c r="A25636" s="3" t="inlineStr">
        <is>
          <t>25531</t>
        </is>
      </c>
      <c r="B25636" s="4" t="s">
        <f>=HYPERLINK("http://anyluxury.ru/shop/posuda/kukhonnye-aksessuary/miska-dlya-sobaki-wow-belaya-s-chernim-1348460/" , "13484.60 Миска для собаки Wow, белая с черным")</f>
      </c>
      <c r="C25636" s="4" t="n">
        <v>1750.00</v>
      </c>
      <c r="D25636" s="4"/>
    </row>
    <row collapsed="" customFormat="false" customHeight="1" hidden="" ht="14" outlineLevel="0" r="25637">
      <c r="A25637" s="3" t="inlineStr">
        <is>
          <t>25532</t>
        </is>
      </c>
      <c r="B25637" s="4" t="s">
        <f>=HYPERLINK("http://anyluxury.ru/shop/posuda/kukhonnye-aksessuary/nabor-zazhimov-dlya-paketa-birds-beliy-s-chernim-1348736/" , "13487.36 Набор зажимов для пакета Birds, белый с черным")</f>
      </c>
      <c r="C25637" s="4" t="n">
        <v>710.00</v>
      </c>
      <c r="D25637" s="4"/>
    </row>
    <row collapsed="" customFormat="false" customHeight="1" hidden="" ht="14" outlineLevel="0" r="25638">
      <c r="A25638" s="3" t="inlineStr">
        <is>
          <t>25533</t>
        </is>
      </c>
      <c r="B25638" s="4" t="s">
        <f>=HYPERLINK("http://anyluxury.ru/shop/posuda/kukhonnye-aksessuary/nabor-zazhimov-dlya-paketa-miaou-zeleniy-1348990/" , "13489.90 Набор зажимов для пакета Miaou, зеленый")</f>
      </c>
      <c r="C25638" s="4" t="n">
        <v>500.00</v>
      </c>
      <c r="D25638" s="4"/>
    </row>
    <row collapsed="" customFormat="false" customHeight="1" hidden="" ht="14" outlineLevel="0" r="25639">
      <c r="A25639" s="3" t="inlineStr">
        <is>
          <t>25534</t>
        </is>
      </c>
      <c r="B25639" s="4" t="s">
        <f>=HYPERLINK("http://anyluxury.ru/shop/posuda/kukhonnye-aksessuary/nabor-zazhimov-dlya-paketa-miaou-cherniy-s-belim-1348936/" , "13489.36 Набор зажимов для пакета Miaou, черный с белым")</f>
      </c>
      <c r="C25639" s="4" t="n">
        <v>570.00</v>
      </c>
      <c r="D25639" s="4"/>
    </row>
    <row collapsed="" customFormat="false" customHeight="1" hidden="" ht="14" outlineLevel="0" r="25640">
      <c r="A25640" s="3" t="inlineStr">
        <is>
          <t>25535</t>
        </is>
      </c>
      <c r="B25640" s="4" t="s">
        <f>=HYPERLINK("http://anyluxury.ru/shop/posuda/kukhonnye-aksessuary/nabor-mernih-emkostey-dosis-seriy-1349000/" , "13490.00 Набор мерных емкостей Dosis, серый")</f>
      </c>
      <c r="C25640" s="4" t="n">
        <v>1500.00</v>
      </c>
      <c r="D25640" s="4"/>
    </row>
    <row collapsed="" customFormat="false" customHeight="1" hidden="" ht="14" outlineLevel="0" r="25641">
      <c r="A25641" s="3" t="inlineStr">
        <is>
          <t>25536</t>
        </is>
      </c>
      <c r="B25641" s="4" t="s">
        <f>=HYPERLINK("http://anyluxury.ru/shop/posuda/kukhonnye-aksessuary/nabor-nozhey-dlya-fruktov-energy-1349100/" , "13491.00 Набор из 3 ножей для фруктов Energy")</f>
      </c>
      <c r="C25641" s="4" t="n">
        <v>820.00</v>
      </c>
      <c r="D25641" s="4"/>
    </row>
    <row collapsed="" customFormat="false" customHeight="1" hidden="" ht="14" outlineLevel="0" r="25642">
      <c r="A25642" s="3" t="inlineStr">
        <is>
          <t>25537</t>
        </is>
      </c>
      <c r="B25642" s="4" t="s">
        <f>=HYPERLINK("http://anyluxury.ru/shop/posuda/kukhonnye-aksessuary/nabor-zazhimov-dlya-paketa-birds-zeleniy-1348790/" , "13487.90 Набор зажимов для пакета Birds, зеленый")</f>
      </c>
      <c r="C25642" s="4" t="n">
        <v>630.00</v>
      </c>
      <c r="D25642" s="4"/>
    </row>
    <row collapsed="" customFormat="false" customHeight="1" hidden="" ht="14" outlineLevel="0" r="25643">
      <c r="A25643" s="3" t="inlineStr">
        <is>
          <t>25538</t>
        </is>
      </c>
      <c r="B25643" s="4" t="s">
        <f>=HYPERLINK("http://anyluxury.ru/shop/posuda/kukhonnye-aksessuary/nozhnici-s-podstavkoy-edward-chernie-1350430/" , "13504.30 Ножницы с подставкой Edward, черные")</f>
      </c>
      <c r="C25643" s="4" t="n">
        <v>1570.00</v>
      </c>
      <c r="D25643" s="4"/>
    </row>
    <row collapsed="" customFormat="false" customHeight="1" hidden="" ht="14" outlineLevel="0" r="25644">
      <c r="A25644" s="3" t="inlineStr">
        <is>
          <t>25539</t>
        </is>
      </c>
      <c r="B25644" s="4" t="s">
        <f>=HYPERLINK("http://anyluxury.ru/shop/posuda/kukhonnye-aksessuary/nozhnici-s-podstavkoy-edward-zelenie-1350490/" , "13504.90 Ножницы с подставкой Edward, зеленые")</f>
      </c>
      <c r="C25644" s="4" t="n">
        <v>1570.00</v>
      </c>
      <c r="D25644" s="4"/>
    </row>
    <row collapsed="" customFormat="false" customHeight="1" hidden="" ht="14" outlineLevel="0" r="25645">
      <c r="A25645" s="3" t="inlineStr">
        <is>
          <t>25540</t>
        </is>
      </c>
      <c r="B25645" s="4" t="s">
        <f>=HYPERLINK("http://anyluxury.ru/shop/posuda/kukhonnye-aksessuary/nozhnici-s-podstavkoy-edward-belie-1350460/" , "13504.60 Ножницы с подставкой Edward, белые")</f>
      </c>
      <c r="C25645" s="4" t="n">
        <v>1570.00</v>
      </c>
      <c r="D25645" s="4"/>
    </row>
    <row collapsed="" customFormat="false" customHeight="1" hidden="" ht="14" outlineLevel="0" r="25646">
      <c r="A25646" s="3" t="inlineStr">
        <is>
          <t>25541</t>
        </is>
      </c>
      <c r="B25646" s="4" t="s">
        <f>=HYPERLINK("http://anyluxury.ru/shop/posuda/kukhonnye-aksessuary/otkrivashka-dlya-butilok-miaou-belaya-1350560/" , "13505.60 Открывашка для бутылок Miaou, белая")</f>
      </c>
      <c r="C25646" s="4" t="n">
        <v>420.00</v>
      </c>
      <c r="D25646" s="4"/>
    </row>
    <row collapsed="" customFormat="false" customHeight="1" hidden="" ht="14" outlineLevel="0" r="25647">
      <c r="A25647" s="3" t="inlineStr">
        <is>
          <t>25542</t>
        </is>
      </c>
      <c r="B25647" s="4" t="s">
        <f>=HYPERLINK("http://anyluxury.ru/shop/posuda/kukhonnye-aksessuary/otkrivashka-dlya-butilok-miaou-chernaya-1350530/" , "13505.30 Открывашка для бутылок Miaou, черная")</f>
      </c>
      <c r="C25647" s="4" t="n">
        <v>420.00</v>
      </c>
      <c r="D25647" s="4"/>
    </row>
    <row collapsed="" customFormat="false" customHeight="1" hidden="" ht="14" outlineLevel="0" r="25648">
      <c r="A25648" s="3" t="inlineStr">
        <is>
          <t>25543</t>
        </is>
      </c>
      <c r="B25648" s="4" t="s">
        <f>=HYPERLINK("http://anyluxury.ru/shop/posuda/kukhonnye-aksessuary/otkrivashka-dlya-butilok-plopp-belaya-1350660/" , "13506.60 Открывашка для бутылок Plopp, белая")</f>
      </c>
      <c r="C25648" s="4" t="n">
        <v>420.00</v>
      </c>
      <c r="D25648" s="4"/>
    </row>
    <row collapsed="" customFormat="false" customHeight="1" hidden="" ht="14" outlineLevel="0" r="25649">
      <c r="A25649" s="3" t="inlineStr">
        <is>
          <t>25544</t>
        </is>
      </c>
      <c r="B25649" s="4" t="s">
        <f>=HYPERLINK("http://anyluxury.ru/shop/posuda/kukhonnye-aksessuary/otkrivashka-dlya-butilok-sunny-zelenaya-1350790/" , "13507.90 Открывашка для бутылок Sunny, зеленая")</f>
      </c>
      <c r="C25649" s="4" t="n">
        <v>450.00</v>
      </c>
      <c r="D25649" s="4"/>
    </row>
    <row collapsed="" customFormat="false" customHeight="1" hidden="" ht="14" outlineLevel="0" r="25650">
      <c r="A25650" s="3" t="inlineStr">
        <is>
          <t>25545</t>
        </is>
      </c>
      <c r="B25650" s="4" t="s">
        <f>=HYPERLINK("http://anyluxury.ru/shop/posuda/kukhonnye-aksessuary/otkrivashka-dlya-butilok-sunny-prozrachnaya-1350700/" , "13507.00 Открывашка для бутылок Sunny, прозрачная")</f>
      </c>
      <c r="C25650" s="4" t="n">
        <v>450.00</v>
      </c>
      <c r="D25650" s="4"/>
    </row>
    <row collapsed="" customFormat="false" customHeight="1" hidden="" ht="14" outlineLevel="0" r="25651">
      <c r="A25651" s="3" t="inlineStr">
        <is>
          <t>25546</t>
        </is>
      </c>
      <c r="B25651" s="4" t="s">
        <f>=HYPERLINK("http://anyluxury.ru/shop/posuda/kukhonnye-aksessuary/otkrivashka-dlya-butilok-sunny-seraya-1350711/" , "13507.11 Открывашка для бутылок Sunny, серая")</f>
      </c>
      <c r="C25651" s="4" t="n">
        <v>450.00</v>
      </c>
      <c r="D25651" s="4"/>
    </row>
    <row collapsed="" customFormat="false" customHeight="1" hidden="" ht="14" outlineLevel="0" r="25652">
      <c r="A25652" s="3" t="inlineStr">
        <is>
          <t>25547</t>
        </is>
      </c>
      <c r="B25652" s="4" t="s">
        <f>=HYPERLINK("http://anyluxury.ru/shop/posuda/kukhonnye-aksessuary/otkrivashka-dlya-banok-tom-prozrachnaya-1350800/" , "13508.00 Открывашка для банок Tom, прозрачная")</f>
      </c>
      <c r="C25652" s="4" t="n">
        <v>820.00</v>
      </c>
      <c r="D25652" s="4"/>
    </row>
    <row collapsed="" customFormat="false" customHeight="1" hidden="" ht="14" outlineLevel="0" r="25653">
      <c r="A25653" s="3" t="inlineStr">
        <is>
          <t>25548</t>
        </is>
      </c>
      <c r="B25653" s="4" t="s">
        <f>=HYPERLINK("http://anyluxury.ru/shop/posuda/kukhonnye-aksessuary/otkrivashka-dlya-banok-tom-seraya-1350830/" , "13508.30 Открывашка для банок Tom, серая")</f>
      </c>
      <c r="C25653" s="4" t="n">
        <v>820.00</v>
      </c>
      <c r="D25653" s="4"/>
    </row>
    <row collapsed="" customFormat="false" customHeight="1" hidden="" ht="14" outlineLevel="0" r="25654">
      <c r="A25654" s="3" t="inlineStr">
        <is>
          <t>25549</t>
        </is>
      </c>
      <c r="B25654" s="4" t="s">
        <f>=HYPERLINK("http://anyluxury.ru/shop/posuda/kukhonnye-aksessuary/otkrivashka-dlya-banok-tom-zelenaya-1350890/" , "13508.90 Открывашка для банок Tom, зеленая")</f>
      </c>
      <c r="C25654" s="4" t="n">
        <v>820.00</v>
      </c>
      <c r="D25654" s="4"/>
    </row>
    <row collapsed="" customFormat="false" customHeight="1" hidden="" ht="14" outlineLevel="0" r="25655">
      <c r="A25655" s="3" t="inlineStr">
        <is>
          <t>25550</t>
        </is>
      </c>
      <c r="B25655" s="4" t="s">
        <f>=HYPERLINK("http://anyluxury.ru/shop/posuda/kukhonnye-aksessuary/podstavka-pod-lozhku-luigi-seraya-1351160/" , "13511.60 Подставка под ложку Luigi, серая")</f>
      </c>
      <c r="C25655" s="4" t="n">
        <v>2350.00</v>
      </c>
      <c r="D25655" s="4"/>
    </row>
    <row collapsed="" customFormat="false" customHeight="1" hidden="" ht="14" outlineLevel="0" r="25656">
      <c r="A25656" s="3" t="inlineStr">
        <is>
          <t>25551</t>
        </is>
      </c>
      <c r="B25656" s="4" t="s">
        <f>=HYPERLINK("http://anyluxury.ru/shop/posuda/kukhonnye-aksessuary/razdelochnaya-doska-snap-20-organic-rozovaya-1351751/" , "13517.51 Разделочная доска Snap 2.0 Organic, розовая")</f>
      </c>
      <c r="C25656" s="4" t="n">
        <v>2400.00</v>
      </c>
      <c r="D25656" s="4"/>
    </row>
    <row collapsed="" customFormat="false" customHeight="1" hidden="" ht="14" outlineLevel="0" r="25657">
      <c r="A25657" s="3" t="inlineStr">
        <is>
          <t>25552</t>
        </is>
      </c>
      <c r="B25657" s="4" t="s">
        <f>=HYPERLINK("http://anyluxury.ru/shop/posuda/kukhonnye-aksessuary/razdelochnaya-doska-snap-bolshaya-seraya-1351811/" , "13518.11 Разделочная доска Snap, большая, серая")</f>
      </c>
      <c r="C25657" s="4" t="n">
        <v>2350.00</v>
      </c>
      <c r="D25657" s="4"/>
    </row>
    <row collapsed="" customFormat="false" customHeight="1" hidden="" ht="14" outlineLevel="0" r="25658">
      <c r="A25658" s="3" t="inlineStr">
        <is>
          <t>25553</t>
        </is>
      </c>
      <c r="B25658" s="4" t="s">
        <f>=HYPERLINK("http://anyluxury.ru/shop/posuda/kukhonnye-aksessuary/razdelochnaya-doska-snap-malaya-seraya-1351911/" , "13519.11 Разделочная доска Snap, малая, серая")</f>
      </c>
      <c r="C25658" s="4" t="n">
        <v>1150.00</v>
      </c>
      <c r="D25658" s="4"/>
    </row>
    <row collapsed="" customFormat="false" customHeight="1" hidden="" ht="14" outlineLevel="0" r="25659">
      <c r="A25659" s="3" t="inlineStr">
        <is>
          <t>25554</t>
        </is>
      </c>
      <c r="B25659" s="4" t="s">
        <f>=HYPERLINK("http://anyluxury.ru/shop/posuda/kukhonnye-aksessuary/razdelochnaya-doska-snap-malaya-zelenaya-1351990/" , "13519.90 Разделочная доска Snap, малая, зеленая")</f>
      </c>
      <c r="C25659" s="4" t="n">
        <v>1150.00</v>
      </c>
      <c r="D25659" s="4"/>
    </row>
    <row collapsed="" customFormat="false" customHeight="1" hidden="" ht="14" outlineLevel="0" r="25660">
      <c r="A25660" s="3" t="inlineStr">
        <is>
          <t>25555</t>
        </is>
      </c>
      <c r="B25660" s="4" t="s">
        <f>=HYPERLINK("http://anyluxury.ru/shop/posuda/kukhonnye-aksessuary/terka-dlya-sira-kasimir-seraya-1353300/" , "13533.00 Терка для сыра Kasimir, серая")</f>
      </c>
      <c r="C25660" s="4" t="n">
        <v>1250.00</v>
      </c>
      <c r="D25660" s="4"/>
    </row>
    <row collapsed="" customFormat="false" customHeight="1" hidden="" ht="14" outlineLevel="0" r="25661">
      <c r="A25661" s="3" t="inlineStr">
        <is>
          <t>25556</t>
        </is>
      </c>
      <c r="B25661" s="4" t="s">
        <f>=HYPERLINK("http://anyluxury.ru/shop/posuda/kukhonnye-aksessuary/emkost-dlya-hraneniya-ivalo-malaya-1458200/" , "14582.00 Емкость для хранения Ivalo, малая")</f>
      </c>
      <c r="C25661" s="4" t="n">
        <v>4450.00</v>
      </c>
      <c r="D25661" s="4"/>
    </row>
    <row collapsed="" customFormat="false" customHeight="1" hidden="" ht="14" outlineLevel="0" r="25662">
      <c r="A25662" s="3" t="inlineStr">
        <is>
          <t>25557</t>
        </is>
      </c>
      <c r="B25662" s="4" t="s">
        <f>=HYPERLINK("http://anyluxury.ru/shop/posuda/kukhonnye-aksessuary/emkost-dlya-hraneniya-ivalo-bolshaya-1458300/" , "14583.00 Емкость для хранения Ivalo, большая")</f>
      </c>
      <c r="C25662" s="4" t="n">
        <v>5950.00</v>
      </c>
      <c r="D25662" s="4"/>
    </row>
    <row collapsed="" customFormat="false" customHeight="1" hidden="" ht="14" outlineLevel="0" r="25663">
      <c r="A25663" s="3" t="inlineStr">
        <is>
          <t>25558</t>
        </is>
      </c>
      <c r="B25663" s="4" t="s">
        <f>=HYPERLINK("http://anyluxury.ru/shop/posuda/kukhonnye-aksessuary/nabor-stolovih-priborov-v-chehle-tierra-p269557/" , "P269.557 Набор столовых приборов в чехле Tierra")</f>
      </c>
      <c r="C25663" s="4" t="n">
        <v>899.00</v>
      </c>
      <c r="D25663" s="4"/>
    </row>
    <row collapsed="" customFormat="false" customHeight="1" hidden="" ht="14" outlineLevel="0" r="25664">
      <c r="A25664" s="3" t="inlineStr">
        <is>
          <t>25559</t>
        </is>
      </c>
      <c r="B25664" s="4" t="s">
        <f>=HYPERLINK("http://anyluxury.ru/shop/posuda/kukhonnye-aksessuary/nabor-stolovih-priborov-v-chehle-tierra-p269555/" , "P269.555 Набор столовых приборов в чехле Tierra")</f>
      </c>
      <c r="C25664" s="4" t="n">
        <v>899.00</v>
      </c>
      <c r="D25664" s="4"/>
    </row>
    <row collapsed="" customFormat="false" customHeight="1" hidden="" ht="14" outlineLevel="0" r="25665">
      <c r="A25665" s="3" t="inlineStr">
        <is>
          <t>25560</t>
        </is>
      </c>
      <c r="B25665" s="4" t="s">
        <f>=HYPERLINK("http://anyluxury.ru/shop/posuda/kukhonnye-aksessuary/nabor-stolovih-priborov-v-chehle-tierra-p269551/" , "P269.551 Набор столовых приборов в чехле Tierra")</f>
      </c>
      <c r="C25665" s="4" t="n">
        <v>899.00</v>
      </c>
      <c r="D25665" s="4"/>
    </row>
    <row collapsed="" customFormat="false" customHeight="1" hidden="" ht="14" outlineLevel="0" r="25666">
      <c r="A25666" s="3" t="inlineStr">
        <is>
          <t>25561</t>
        </is>
      </c>
      <c r="B25666" s="4" t="s">
        <f>=HYPERLINK("http://anyluxury.ru/shop/posuda/kukhonnye-aksessuary/pohodnaya-kruzhka-iz-nerzhaveyushhey-stali-p432447/" , "P432.447 Походная кружка из нержавеющей стали")</f>
      </c>
      <c r="C25666" s="4" t="n">
        <v>1772.00</v>
      </c>
      <c r="D25666" s="4"/>
    </row>
    <row collapsed="" customFormat="false" customHeight="1" hidden="" ht="14" outlineLevel="0" r="25667">
      <c r="A25667" s="3" t="inlineStr">
        <is>
          <t>25562</t>
        </is>
      </c>
      <c r="B25667" s="4" t="s">
        <f>=HYPERLINK("http://anyluxury.ru/shop/posuda/kukhonnye-aksessuary/pohodnaya-kruzhka-iz-nerzhaveyushhey-stali-p432445/" , "P432.445 Походная кружка из нержавеющей стали")</f>
      </c>
      <c r="C25667" s="4" t="n">
        <v>1772.00</v>
      </c>
      <c r="D25667" s="4"/>
    </row>
    <row collapsed="" customFormat="false" customHeight="1" hidden="" ht="14" outlineLevel="0" r="25668">
      <c r="A25668" s="3" t="inlineStr">
        <is>
          <t>25563</t>
        </is>
      </c>
      <c r="B25668" s="4" t="s">
        <f>=HYPERLINK("http://anyluxury.ru/shop/posuda/kukhonnye-aksessuary/pohodnaya-kruzhka-iz-nerzhaveyushhey-stali-p432442/" , "P432.442 Походная кружка из нержавеющей стали")</f>
      </c>
      <c r="C25668" s="4" t="n">
        <v>1772.00</v>
      </c>
      <c r="D25668" s="4"/>
    </row>
    <row collapsed="" customFormat="false" customHeight="1" hidden="" ht="14" outlineLevel="0" r="25669">
      <c r="A25669" s="3" t="inlineStr">
        <is>
          <t>25564</t>
        </is>
      </c>
      <c r="B25669" s="4" t="s">
        <f>=HYPERLINK("http://anyluxury.ru/shop/posuda/kukhonnye-aksessuary/nabor-nozhey-space-11781/" , "11781 Набор ножей Space")</f>
      </c>
      <c r="C25669" s="4" t="n">
        <v>8960.00</v>
      </c>
      <c r="D25669" s="4"/>
    </row>
    <row collapsed="" customFormat="false" customHeight="1" hidden="" ht="14" outlineLevel="0" r="25670">
      <c r="A25670" s="3" t="inlineStr">
        <is>
          <t>25565</t>
        </is>
      </c>
      <c r="B25670" s="4" t="s">
        <f>=HYPERLINK("http://anyluxury.ru/shop/posuda/kukhonnye-aksessuary/banka-dlya-hraneniya-bambic-s-bambukovoy-krishkoy-1284660/" , "12846.60 Банка для хранения Bambic с бамбуковой крышкой")</f>
      </c>
      <c r="C25670" s="4" t="n">
        <v>713.00</v>
      </c>
      <c r="D25670" s="4"/>
    </row>
    <row collapsed="" customFormat="false" customHeight="1" hidden="" ht="14" outlineLevel="0" r="25671">
      <c r="A25671" s="3" t="inlineStr">
        <is>
          <t>25566</t>
        </is>
      </c>
      <c r="B25671" s="4" t="s">
        <f>=HYPERLINK("http://anyluxury.ru/shop/posuda/kukhonnye-aksessuary/konteyner-dlya-hraneniya-portobello-7478100/" , "74781.00 Контейнер для хранения Portobello")</f>
      </c>
      <c r="C25671" s="4" t="n">
        <v>1874.00</v>
      </c>
      <c r="D25671" s="4"/>
    </row>
    <row collapsed="" customFormat="false" customHeight="1" hidden="" ht="14" outlineLevel="0" r="25672">
      <c r="A25672" s="3" t="inlineStr">
        <is>
          <t>25567</t>
        </is>
      </c>
      <c r="B25672" s="4" t="s">
        <f>=HYPERLINK("http://anyluxury.ru/shop/posuda/kukhonnye-aksessuary/nabor-mernih-lozhek-measure-pleasure-1270200/" , "12702.00 Набор мерных ложек Measure Pleasure")</f>
      </c>
      <c r="C25672" s="4" t="n">
        <v>599.00</v>
      </c>
      <c r="D25672" s="4"/>
    </row>
    <row collapsed="" customFormat="false" customHeight="1" hidden="" ht="14" outlineLevel="0" r="25673">
      <c r="A25673" s="3" t="inlineStr">
        <is>
          <t>25568</t>
        </is>
      </c>
      <c r="B25673" s="4" t="s">
        <f>=HYPERLINK("http://anyluxury.ru/shop/posuda/kukhonnye-aksessuary/razdelochnaya-doska-iz-bambuka-ukiyo-p261059/" , "P261.059 Разделочная доска из бамбука Ukiyo")</f>
      </c>
      <c r="C25673" s="4" t="n">
        <v>3197.00</v>
      </c>
      <c r="D25673" s="4"/>
    </row>
    <row collapsed="" customFormat="false" customHeight="1" hidden="" ht="14" outlineLevel="0" r="25674">
      <c r="A25674" s="3" t="inlineStr">
        <is>
          <t>25569</t>
        </is>
      </c>
      <c r="B25674" s="4" t="s">
        <f>=HYPERLINK("http://anyluxury.ru/shop/posuda/kukhonnye-aksessuary/servirovochnaya-doska-iz-bambuka-ukiyo-p261039/" , "P261.039 Сервировочная доска из бамбука Ukiyo")</f>
      </c>
      <c r="C25674" s="4" t="n">
        <v>3022.00</v>
      </c>
      <c r="D25674" s="4"/>
    </row>
    <row collapsed="" customFormat="false" customHeight="1" hidden="" ht="14" outlineLevel="0" r="25675">
      <c r="A25675" s="3" t="inlineStr">
        <is>
          <t>25570</t>
        </is>
      </c>
      <c r="B25675" s="4" t="s">
        <f>=HYPERLINK("http://anyluxury.ru/shop/posuda/kukhonnye-aksessuary/kruglaya-servirovochnaya-doska-iz-bambuka-ukiyo-p261029/" , "P261.029 Круглая сервировочная доска из бамбука Ukiyo")</f>
      </c>
      <c r="C25675" s="4" t="n">
        <v>3450.00</v>
      </c>
      <c r="D25675" s="4"/>
    </row>
    <row collapsed="" customFormat="false" customHeight="1" hidden="" ht="14" outlineLevel="0" r="25676">
      <c r="A25676" s="3" t="inlineStr">
        <is>
          <t>25571</t>
        </is>
      </c>
      <c r="B25676" s="4" t="s">
        <f>=HYPERLINK("http://anyluxury.ru/shop/posuda/kukhonnye-aksessuary/bolshaya-servirovochnaya-doska-iz-bambuka-ukiyo-p261019/" , "P261.019 Большая сервировочная доска из бамбука Ukiyo")</f>
      </c>
      <c r="C25676" s="4" t="n">
        <v>3022.00</v>
      </c>
      <c r="D25676" s="4"/>
    </row>
    <row collapsed="" customFormat="false" customHeight="1" hidden="" ht="14" outlineLevel="0" r="25677">
      <c r="A25677" s="3" t="inlineStr">
        <is>
          <t>25572</t>
        </is>
      </c>
      <c r="B25677" s="4" t="s">
        <f>=HYPERLINK("http://anyluxury.ru/shop/posuda/kukhonnye-aksessuary/kvadratniy-lanchboks-iz-pp-p269603/" , "P269.603 Квадратный ланч-бокс из PP")</f>
      </c>
      <c r="C25677" s="4" t="n">
        <v>899.00</v>
      </c>
      <c r="D25677" s="4"/>
    </row>
    <row collapsed="" customFormat="false" customHeight="1" hidden="" ht="14" outlineLevel="0" r="25678">
      <c r="A25678" s="3" t="inlineStr">
        <is>
          <t>25573</t>
        </is>
      </c>
      <c r="B25678" s="4" t="s">
        <f>=HYPERLINK("http://anyluxury.ru/shop/posuda/kukhonnye-aksessuary/kvadratniy-lanchboks-iz-pp-p269602/" , "P269.602 Квадратный ланч-бокс из PP")</f>
      </c>
      <c r="C25678" s="4" t="n">
        <v>899.00</v>
      </c>
      <c r="D25678" s="4"/>
    </row>
    <row collapsed="" customFormat="false" customHeight="1" hidden="" ht="14" outlineLevel="0" r="25679">
      <c r="A25679" s="3" t="inlineStr">
        <is>
          <t>25574</t>
        </is>
      </c>
      <c r="B25679" s="4" t="s">
        <f>=HYPERLINK("http://anyluxury.ru/shop/posuda/kukhonnye-aksessuary/konteyner-dlya-edi-so-stolovim-priborom-iz-pp-p269592/" , "P269.592 Контейнер для еды со столовым прибором из PP")</f>
      </c>
      <c r="C25679" s="4" t="n">
        <v>1594.00</v>
      </c>
      <c r="D25679" s="4"/>
    </row>
    <row collapsed="" customFormat="false" customHeight="1" hidden="" ht="14" outlineLevel="0" r="25680">
      <c r="A25680" s="3" t="inlineStr">
        <is>
          <t>25575</t>
        </is>
      </c>
      <c r="B25680" s="4" t="s">
        <f>=HYPERLINK("http://anyluxury.ru/shop/posuda/kukhonnye-aksessuary/venchik-menu-1587000/" , "15870.00 Венчик Menu")</f>
      </c>
      <c r="C25680" s="4" t="n">
        <v>218.00</v>
      </c>
      <c r="D25680" s="4"/>
    </row>
    <row collapsed="" customFormat="false" customHeight="1" hidden="" ht="14" outlineLevel="0" r="25681">
      <c r="A25681" s="3" t="inlineStr">
        <is>
          <t>25576</t>
        </is>
      </c>
      <c r="B25681" s="4" t="s">
        <f>=HYPERLINK("http://anyluxury.ru/shop/posuda/kukhonnye-aksessuary/venchik-acacia-1587100/" , "15871.00 Венчик Acacia")</f>
      </c>
      <c r="C25681" s="4" t="n">
        <v>232.00</v>
      </c>
      <c r="D25681" s="4"/>
    </row>
    <row collapsed="" customFormat="false" customHeight="1" hidden="" ht="14" outlineLevel="0" r="25682">
      <c r="A25682" s="3" t="inlineStr">
        <is>
          <t>25577</t>
        </is>
      </c>
      <c r="B25682" s="4" t="s">
        <f>=HYPERLINK("http://anyluxury.ru/shop/posuda/kukhonnye-aksessuary/lopatka-kuhonnaya-acacia-1587200/" , "15872.00 Лопатка кухонная Acacia")</f>
      </c>
      <c r="C25682" s="4" t="n">
        <v>304.00</v>
      </c>
      <c r="D25682" s="4"/>
    </row>
    <row collapsed="" customFormat="false" customHeight="1" hidden="" ht="14" outlineLevel="0" r="25683">
      <c r="A25683" s="3" t="inlineStr">
        <is>
          <t>25578</t>
        </is>
      </c>
      <c r="B25683" s="4" t="s">
        <f>=HYPERLINK("http://anyluxury.ru/shop/posuda/kukhonnye-aksessuary/melnica-dlya-kofe-burr-chernaya-1388200/" , "13882.00 Мельница для кофе Burr, черная")</f>
      </c>
      <c r="C25683" s="4" t="n">
        <v>1156.00</v>
      </c>
      <c r="D25683" s="4"/>
    </row>
    <row collapsed="" customFormat="false" customHeight="1" hidden="" ht="14" outlineLevel="0" r="25684">
      <c r="A25684" s="3" t="inlineStr">
        <is>
          <t>25579</t>
        </is>
      </c>
      <c r="B25684" s="4" t="s">
        <f>=HYPERLINK("http://anyluxury.ru/shop/posuda/kukhonnye-aksessuary/keramicheskaya-kruzhka-classic-p434017/" , "P434.017 Керамическая кружка Classic")</f>
      </c>
      <c r="C25684" s="4" t="n">
        <v>616.00</v>
      </c>
      <c r="D25684" s="4"/>
    </row>
    <row collapsed="" customFormat="false" customHeight="1" hidden="" ht="14" outlineLevel="0" r="25685">
      <c r="A25685" s="3" t="inlineStr">
        <is>
          <t>25580</t>
        </is>
      </c>
      <c r="B25685" s="4" t="s">
        <f>=HYPERLINK("http://anyluxury.ru/shop/posuda/kukhonnye-aksessuary/keramicheskaya-kruzhka-classic-p434015/" , "P434.015 Керамическая кружка Classic")</f>
      </c>
      <c r="C25685" s="4" t="n">
        <v>616.00</v>
      </c>
      <c r="D25685" s="4"/>
    </row>
    <row collapsed="" customFormat="false" customHeight="1" hidden="" ht="14" outlineLevel="0" r="25686">
      <c r="A25686" s="3" t="inlineStr">
        <is>
          <t>25581</t>
        </is>
      </c>
      <c r="B25686" s="4" t="s">
        <f>=HYPERLINK("http://anyluxury.ru/shop/posuda/kukhonnye-aksessuary/keramicheskaya-kruzhka-classic-p434014/" , "P434.014 Керамическая кружка Classic")</f>
      </c>
      <c r="C25686" s="4" t="n">
        <v>616.00</v>
      </c>
      <c r="D25686" s="4"/>
    </row>
    <row collapsed="" customFormat="false" customHeight="1" hidden="" ht="14" outlineLevel="0" r="25687">
      <c r="A25687" s="3" t="inlineStr">
        <is>
          <t>25582</t>
        </is>
      </c>
      <c r="B25687" s="4" t="s">
        <f>=HYPERLINK("http://anyluxury.ru/shop/posuda/kukhonnye-aksessuary/keramicheskaya-kruzhka-classic-p434013/" , "P434.013 Керамическая кружка Classic")</f>
      </c>
      <c r="C25687" s="4" t="n">
        <v>616.00</v>
      </c>
      <c r="D25687" s="4"/>
    </row>
    <row collapsed="" customFormat="false" customHeight="1" hidden="" ht="14" outlineLevel="0" r="25688">
      <c r="A25688" s="3" t="inlineStr">
        <is>
          <t>25583</t>
        </is>
      </c>
      <c r="B25688" s="4" t="s">
        <f>=HYPERLINK("http://anyluxury.ru/shop/posuda/kukhonnye-aksessuary/keramicheskaya-kruzhka-classic-p434012/" , "P434.012 Керамическая кружка Classic")</f>
      </c>
      <c r="C25688" s="4" t="n">
        <v>616.00</v>
      </c>
      <c r="D25688" s="4"/>
    </row>
    <row collapsed="" customFormat="false" customHeight="1" hidden="" ht="14" outlineLevel="0" r="25689">
      <c r="A25689" s="3" t="inlineStr">
        <is>
          <t>25584</t>
        </is>
      </c>
      <c r="B25689" s="4" t="s">
        <f>=HYPERLINK("http://anyluxury.ru/shop/posuda/kukhonnye-aksessuary/keramicheskaya-kruzhka-classic-p434011/" , "P434.011 Керамическая кружка Classic")</f>
      </c>
      <c r="C25689" s="4" t="n">
        <v>616.00</v>
      </c>
      <c r="D25689" s="4"/>
    </row>
    <row collapsed="" customFormat="false" customHeight="1" hidden="" ht="14" outlineLevel="0" r="25690">
      <c r="A25690" s="3" t="inlineStr">
        <is>
          <t>25585</t>
        </is>
      </c>
      <c r="B25690" s="4" t="s">
        <f>=HYPERLINK("http://anyluxury.ru/shop/posuda/kukhonnye-aksessuary/keramicheskaya-kruzhka-vintage-p434035/" , "P434.035 Керамическая кружка Vintage")</f>
      </c>
      <c r="C25690" s="4" t="n">
        <v>616.00</v>
      </c>
      <c r="D25690" s="4"/>
    </row>
    <row collapsed="" customFormat="false" customHeight="1" hidden="" ht="14" outlineLevel="0" r="25691">
      <c r="A25691" s="3" t="inlineStr">
        <is>
          <t>25586</t>
        </is>
      </c>
      <c r="B25691" s="4" t="s">
        <f>=HYPERLINK("http://anyluxury.ru/shop/posuda/kukhonnye-aksessuary/keramicheskaya-kruzhka-vintage-p434034/" , "P434.034 Керамическая кружка Vintage")</f>
      </c>
      <c r="C25691" s="4" t="n">
        <v>616.00</v>
      </c>
      <c r="D25691" s="4"/>
    </row>
    <row collapsed="" customFormat="false" customHeight="1" hidden="" ht="14" outlineLevel="0" r="25692">
      <c r="A25692" s="3" t="inlineStr">
        <is>
          <t>25587</t>
        </is>
      </c>
      <c r="B25692" s="4" t="s">
        <f>=HYPERLINK("http://anyluxury.ru/shop/posuda/kukhonnye-aksessuary/keramicheskaya-kruzhka-vintage-p434033/" , "P434.033 Керамическая кружка Vintage")</f>
      </c>
      <c r="C25692" s="4" t="n">
        <v>616.00</v>
      </c>
      <c r="D25692" s="4"/>
    </row>
    <row collapsed="" customFormat="false" customHeight="1" hidden="" ht="14" outlineLevel="0" r="25693">
      <c r="A25693" s="3" t="inlineStr">
        <is>
          <t>25588</t>
        </is>
      </c>
      <c r="B25693" s="4" t="s">
        <f>=HYPERLINK("http://anyluxury.ru/shop/posuda/kukhonnye-aksessuary/keramicheskaya-kruzhka-vintage-p434032/" , "P434.032 Керамическая кружка Vintage")</f>
      </c>
      <c r="C25693" s="4" t="n">
        <v>616.00</v>
      </c>
      <c r="D25693" s="4"/>
    </row>
    <row collapsed="" customFormat="false" customHeight="1" hidden="" ht="14" outlineLevel="0" r="25694">
      <c r="A25694" s="3" t="inlineStr">
        <is>
          <t>25589</t>
        </is>
      </c>
      <c r="B25694" s="4" t="s">
        <f>=HYPERLINK("http://anyluxury.ru/shop/posuda/kukhonnye-aksessuary/keramicheskaya-kruzhka-modern-p434042/" , "P434.042 Керамическая кружка Modern, 350 мл")</f>
      </c>
      <c r="C25694" s="4" t="n">
        <v>641.00</v>
      </c>
      <c r="D25694" s="4"/>
    </row>
    <row collapsed="" customFormat="false" customHeight="1" hidden="" ht="14" outlineLevel="0" r="25695">
      <c r="A25695" s="3" t="inlineStr">
        <is>
          <t>25590</t>
        </is>
      </c>
      <c r="B25695" s="4" t="s">
        <f>=HYPERLINK("http://anyluxury.ru/shop/posuda/kukhonnye-aksessuary/keramicheskaya-kruzhka-modern-p434041/" , "P434.041 Керамическая кружка Modern, 350 мл")</f>
      </c>
      <c r="C25695" s="4" t="n">
        <v>641.00</v>
      </c>
      <c r="D25695" s="4"/>
    </row>
    <row collapsed="" customFormat="false" customHeight="1" hidden="" ht="14" outlineLevel="0" r="25696">
      <c r="A25696" s="3" t="inlineStr">
        <is>
          <t>25591</t>
        </is>
      </c>
      <c r="B25696" s="4" t="s">
        <f>=HYPERLINK("http://anyluxury.ru/shop/posuda/kukhonnye-aksessuary/keramicheskaya-kruzhka-dlya-kofe-modern-p434055/" , "P434.055 Керамическая кружка для кофе Modern")</f>
      </c>
      <c r="C25696" s="4" t="n">
        <v>641.00</v>
      </c>
      <c r="D25696" s="4"/>
    </row>
    <row collapsed="" customFormat="false" customHeight="1" hidden="" ht="14" outlineLevel="0" r="25697">
      <c r="A25697" s="3" t="inlineStr">
        <is>
          <t>25592</t>
        </is>
      </c>
      <c r="B25697" s="4" t="s">
        <f>=HYPERLINK("http://anyluxury.ru/shop/posuda/kukhonnye-aksessuary/keramicheskaya-kruzhka-dlya-kofe-modern-p434054/" , "P434.054 Керамическая кружка для кофе Modern")</f>
      </c>
      <c r="C25697" s="4" t="n">
        <v>641.00</v>
      </c>
      <c r="D25697" s="4"/>
    </row>
    <row collapsed="" customFormat="false" customHeight="1" hidden="" ht="14" outlineLevel="0" r="25698">
      <c r="A25698" s="3" t="inlineStr">
        <is>
          <t>25593</t>
        </is>
      </c>
      <c r="B25698" s="4" t="s">
        <f>=HYPERLINK("http://anyluxury.ru/shop/posuda/kukhonnye-aksessuary/keramicheskaya-kruzhka-dlya-kofe-modern-p434053/" , "P434.053 Керамическая кружка для кофе Modern")</f>
      </c>
      <c r="C25698" s="4" t="n">
        <v>641.00</v>
      </c>
      <c r="D25698" s="4"/>
    </row>
    <row collapsed="" customFormat="false" customHeight="1" hidden="" ht="14" outlineLevel="0" r="25699">
      <c r="A25699" s="3" t="inlineStr">
        <is>
          <t>25594</t>
        </is>
      </c>
      <c r="B25699" s="4" t="s">
        <f>=HYPERLINK("http://anyluxury.ru/shop/posuda/kukhonnye-aksessuary/keramicheskaya-kruzhka-dlya-kofe-modern-p434052/" , "P434.052 Керамическая кружка для кофе Modern")</f>
      </c>
      <c r="C25699" s="4" t="n">
        <v>641.00</v>
      </c>
      <c r="D25699" s="4"/>
    </row>
    <row collapsed="" customFormat="false" customHeight="1" hidden="" ht="14" outlineLevel="0" r="25700">
      <c r="A25700" s="3" t="inlineStr">
        <is>
          <t>25595</t>
        </is>
      </c>
      <c r="B25700" s="4" t="s">
        <f>=HYPERLINK("http://anyluxury.ru/shop/posuda/kukhonnye-aksessuary/keramicheskaya-kruzhka-dlya-kofe-modern-p434051/" , "P434.051 Керамическая кружка для кофе Modern")</f>
      </c>
      <c r="C25700" s="4" t="n">
        <v>641.00</v>
      </c>
      <c r="D25700" s="4"/>
    </row>
    <row collapsed="" customFormat="false" customHeight="1" hidden="" ht="14" outlineLevel="0" r="25701">
      <c r="A25701" s="3" t="inlineStr">
        <is>
          <t>25596</t>
        </is>
      </c>
      <c r="B25701" s="4" t="s">
        <f>=HYPERLINK("http://anyluxury.ru/shop/posuda/kukhonnye-aksessuary/doska-razdelochnaya-lot-malaya-1320200/" , "13202.00 Доска разделочная Lot, малая")</f>
      </c>
      <c r="C25701" s="4" t="n">
        <v>234.00</v>
      </c>
      <c r="D25701" s="4"/>
    </row>
    <row collapsed="" customFormat="false" customHeight="1" hidden="" ht="14" outlineLevel="0" r="25702">
      <c r="A25702" s="3" t="inlineStr">
        <is>
          <t>25597</t>
        </is>
      </c>
      <c r="B25702" s="4" t="s">
        <f>=HYPERLINK("http://anyluxury.ru/shop/posuda/kukhonnye-aksessuary/doska-razdelochnaya-denver-s-serim-kolcom-1320311/" , "13203.11 Доска разделочная Denver, с серым кольцом")</f>
      </c>
      <c r="C25702" s="4" t="n">
        <v>305.00</v>
      </c>
      <c r="D25702" s="4"/>
    </row>
    <row collapsed="" customFormat="false" customHeight="1" hidden="" ht="14" outlineLevel="0" r="25703">
      <c r="A25703" s="3" t="inlineStr">
        <is>
          <t>25598</t>
        </is>
      </c>
      <c r="B25703" s="4" t="s">
        <f>=HYPERLINK("http://anyluxury.ru/shop/posuda/kukhonnye-aksessuary/doska-razdelochnaya-slant-1320700/" , "13207.00 Доска разделочная Slant")</f>
      </c>
      <c r="C25703" s="4" t="n">
        <v>1177.00</v>
      </c>
      <c r="D25703" s="4"/>
    </row>
    <row collapsed="" customFormat="false" customHeight="1" hidden="" ht="14" outlineLevel="0" r="25704">
      <c r="A25704" s="3" t="inlineStr">
        <is>
          <t>25599</t>
        </is>
      </c>
      <c r="B25704" s="4" t="s">
        <f>=HYPERLINK("http://anyluxury.ru/shop/posuda/kukhonnye-aksessuary/lopatka-panfry-1321100/" , "13211.00 Лопатка Panfry")</f>
      </c>
      <c r="C25704" s="4" t="n">
        <v>97.00</v>
      </c>
      <c r="D25704" s="4"/>
    </row>
    <row collapsed="" customFormat="false" customHeight="1" hidden="" ht="14" outlineLevel="0" r="25705">
      <c r="A25705" s="3" t="inlineStr">
        <is>
          <t>25600</t>
        </is>
      </c>
      <c r="B25705" s="4" t="s">
        <f>=HYPERLINK("http://anyluxury.ru/shop/posuda/kukhonnye-aksessuary/lozhka-panfry-1321200/" , "13212.00 Ложка Panfry")</f>
      </c>
      <c r="C25705" s="4" t="n">
        <v>92.00</v>
      </c>
      <c r="D25705" s="4"/>
    </row>
    <row collapsed="" customFormat="false" customHeight="1" hidden="" ht="14" outlineLevel="0" r="25706">
      <c r="A25706" s="3" t="inlineStr">
        <is>
          <t>25601</t>
        </is>
      </c>
      <c r="B25706" s="4" t="s">
        <f>=HYPERLINK("http://anyluxury.ru/shop/posuda/kukhonnye-aksessuary/nabor-kuhonnih-prinadlezhnostey-remy-1321400/" , "13214.00 Набор кухонных принадлежностей Remy")</f>
      </c>
      <c r="C25706" s="4" t="n">
        <v>670.00</v>
      </c>
      <c r="D25706" s="4"/>
    </row>
    <row collapsed="" customFormat="false" customHeight="1" hidden="" ht="14" outlineLevel="0" r="25707">
      <c r="A25707" s="3" t="inlineStr">
        <is>
          <t>25602</t>
        </is>
      </c>
      <c r="B25707" s="4" t="s">
        <f>=HYPERLINK("http://anyluxury.ru/shop/posuda/kukhonnye-aksessuary/podstavka-dlya-4-kruzhek-inset-7155311/" , "71553.11 Подставка для 4 кружек Inset")</f>
      </c>
      <c r="C25707" s="4" t="n">
        <v>411.00</v>
      </c>
      <c r="D25707" s="4"/>
    </row>
    <row collapsed="" customFormat="false" customHeight="1" hidden="" ht="14" outlineLevel="0" r="25708">
      <c r="A25708" s="3" t="inlineStr">
        <is>
          <t>25603</t>
        </is>
      </c>
      <c r="B25708" s="4" t="s">
        <f>=HYPERLINK("http://anyluxury.ru/shop/posuda/kukhonnye-aksessuary/nabor-dlya-myasa-slice-twice-s-nozhomslayserom-i-vilkoy-1318300/" , "13183.00 Набор для мяса Slice Twice с ножом-слайсером и вилкой")</f>
      </c>
      <c r="C25708" s="4" t="n">
        <v>4647.00</v>
      </c>
      <c r="D25708" s="4"/>
    </row>
    <row collapsed="" customFormat="false" customHeight="1" hidden="" ht="14" outlineLevel="0" r="25709">
      <c r="A25709" s="3" t="inlineStr">
        <is>
          <t>25604</t>
        </is>
      </c>
      <c r="B25709" s="4" t="s">
        <f>=HYPERLINK("http://anyluxury.ru/shop/posuda/kukhonnye-aksessuary/nabor-dlya-narezki-s-shefnozhom-first-chop-1318400/" , "13184.00 Набор для нарезки с шеф-ножом First Chop")</f>
      </c>
      <c r="C25709" s="4" t="n">
        <v>3768.00</v>
      </c>
      <c r="D25709" s="4"/>
    </row>
    <row collapsed="" customFormat="false" customHeight="1" hidden="" ht="14" outlineLevel="0" r="25710">
      <c r="A25710" s="3" t="inlineStr">
        <is>
          <t>25605</t>
        </is>
      </c>
      <c r="B25710" s="4" t="s">
        <f>=HYPERLINK("http://anyluxury.ru/shop/posuda/kukhonnye-aksessuary/stakan-iz-borosilikatnogo-stekla-ukiyo-s-silikonovoy-krishkoy-i-derzhatelem-p432707/" , "P432.707 Стакан из боросиликатного стекла Ukiyo с силиконовой крышкой и держателем")</f>
      </c>
      <c r="C25710" s="4" t="n">
        <v>1238.00</v>
      </c>
      <c r="D25710" s="4"/>
    </row>
    <row collapsed="" customFormat="false" customHeight="1" hidden="" ht="14" outlineLevel="0" r="25711">
      <c r="A25711" s="3" t="inlineStr">
        <is>
          <t>25606</t>
        </is>
      </c>
      <c r="B25711" s="4" t="s">
        <f>=HYPERLINK("http://anyluxury.ru/shop/posuda/kukhonnye-aksessuary/stakan-iz-borosilikatnogo-stekla-ukiyo-s-silikonovoy-krishkoy-i-derzhatelem-p432709/" , "P432.709 Стакан из боросиликатного стекла Ukiyo с силиконовой крышкой и держателем")</f>
      </c>
      <c r="C25711" s="4" t="n">
        <v>1238.00</v>
      </c>
      <c r="D25711" s="4"/>
    </row>
    <row collapsed="" customFormat="false" customHeight="1" hidden="" ht="14" outlineLevel="0" r="25712">
      <c r="A25712" s="3" t="inlineStr">
        <is>
          <t>25607</t>
        </is>
      </c>
      <c r="B25712" s="4" t="s">
        <f>=HYPERLINK("http://anyluxury.ru/shop/posuda/kukhonnye-aksessuary/stakan-iz-borosilikatnogo-stekla-ukiyo-s-silikonovoy-krishkoy-i-derzhatelem-p432705/" , "P432.705 Стакан из боросиликатного стекла Ukiyo с силиконовой крышкой и держателем")</f>
      </c>
      <c r="C25712" s="4" t="n">
        <v>1238.00</v>
      </c>
      <c r="D25712" s="4"/>
    </row>
    <row collapsed="" customFormat="false" customHeight="1" hidden="" ht="14" outlineLevel="0" r="25713">
      <c r="A25713" s="3" t="inlineStr">
        <is>
          <t>25608</t>
        </is>
      </c>
      <c r="B25713" s="4" t="s">
        <f>=HYPERLINK("http://anyluxury.ru/shop/posuda/kukhonnye-aksessuary/stakan-iz-borosilikatnogo-stekla-ukiyo-s-silikonovoy-krishkoy-i-derzhatelem-p432702/" , "P432.702 Стакан из боросиликатного стекла Ukiyo с силиконовой крышкой и держателем")</f>
      </c>
      <c r="C25713" s="4" t="n">
        <v>1238.00</v>
      </c>
      <c r="D25713" s="4"/>
    </row>
    <row collapsed="" customFormat="false" customHeight="1" hidden="" ht="14" outlineLevel="0" r="25714">
      <c r="A25714" s="3" t="inlineStr">
        <is>
          <t>25609</t>
        </is>
      </c>
      <c r="B25714" s="4" t="s">
        <f>=HYPERLINK("http://anyluxury.ru/shop/posuda/kukhonnye-aksessuary/stakan-iz-borosilikatnogo-stekla-ukiyo-s-silikonovoy-krishkoy-i-derzhatelem-p432701/" , "P432.701 Стакан из боросиликатного стекла Ukiyo с силиконовой крышкой и держателем")</f>
      </c>
      <c r="C25714" s="4" t="n">
        <v>1238.00</v>
      </c>
      <c r="D25714" s="4"/>
    </row>
    <row collapsed="" customFormat="false" customHeight="1" hidden="" ht="14" outlineLevel="0" r="25715">
      <c r="A25715" s="3" t="inlineStr">
        <is>
          <t>25610</t>
        </is>
      </c>
      <c r="B25715" s="4" t="s">
        <f>=HYPERLINK("http://anyluxury.ru/shop/posuda/kukhonnye-aksessuary/nabor-keramicheskih-chashek-ukiyo-4-sht-p432403/" , "P432.403 Набор керамических чашек Ukiyo, 4 предмета")</f>
      </c>
      <c r="C25715" s="4" t="n">
        <v>1999.00</v>
      </c>
      <c r="D25715" s="4"/>
    </row>
    <row collapsed="" customFormat="false" customHeight="1" hidden="" ht="14" outlineLevel="0" r="25716">
      <c r="A25716" s="3" t="inlineStr">
        <is>
          <t>25611</t>
        </is>
      </c>
      <c r="B25716" s="4" t="s">
        <f>=HYPERLINK("http://anyluxury.ru/shop/posuda/kukhonnye-aksessuary/grafin-ukiyo-iz-borosilikatnogo-stekla-s-bambukovoy-krishkoy-12-l-p264060/" , "P264.060 Графин Ukiyo из боросиликатного стекла с бамбуковой крышкой 1,2 л")</f>
      </c>
      <c r="C25716" s="4" t="n">
        <v>3013.00</v>
      </c>
      <c r="D25716" s="4"/>
    </row>
    <row collapsed="" customFormat="false" customHeight="1" hidden="" ht="14" outlineLevel="0" r="25717">
      <c r="A25717" s="3" t="inlineStr">
        <is>
          <t>25612</t>
        </is>
      </c>
      <c r="B25717" s="4" t="s">
        <f>=HYPERLINK("http://anyluxury.ru/shop/posuda/kukhonnye-aksessuary/keramicheskaya-salatnica-ukiyo-s-bambukovimi-priborami-p263091/" , "P263.091 Керамическая салатница Ukiyo с бамбуковыми приборами")</f>
      </c>
      <c r="C25717" s="4" t="n">
        <v>3990.00</v>
      </c>
      <c r="D25717" s="4"/>
    </row>
    <row collapsed="" customFormat="false" customHeight="1" hidden="" ht="14" outlineLevel="0" r="25718">
      <c r="A25718" s="3" t="inlineStr">
        <is>
          <t>25613</t>
        </is>
      </c>
      <c r="B25718" s="4" t="s">
        <f>=HYPERLINK("http://anyluxury.ru/shop/posuda/kukhonnye-aksessuary/nabor-dlya-servirovki-ukiyo-iz-3-predmetov-s-bambukovim-podnosom-p263061/" , "P263.061 Набор из трех мисочек Ukiyo на бамбуковом подносе")</f>
      </c>
      <c r="C25718" s="4" t="n">
        <v>2790.00</v>
      </c>
      <c r="D25718" s="4"/>
    </row>
    <row collapsed="" customFormat="false" customHeight="1" hidden="" ht="14" outlineLevel="0" r="25719">
      <c r="A25719" s="3" t="inlineStr">
        <is>
          <t>25614</t>
        </is>
      </c>
      <c r="B25719" s="4" t="s">
        <f>=HYPERLINK("http://anyluxury.ru/shop/posuda/kukhonnye-aksessuary/nabor-mehanicheskih-melnic-ukiyo-dlya-soli-i-perca-p262319/" , "P262.319 Набор механических мельниц Ukiyo для соли и перца")</f>
      </c>
      <c r="C25719" s="4" t="n">
        <v>4438.00</v>
      </c>
      <c r="D25719" s="4"/>
    </row>
    <row collapsed="" customFormat="false" customHeight="1" hidden="" ht="14" outlineLevel="0" r="25720">
      <c r="A25720" s="3" t="inlineStr">
        <is>
          <t>25615</t>
        </is>
      </c>
      <c r="B25720" s="4" t="s">
        <f>=HYPERLINK("http://anyluxury.ru/shop/posuda/kukhonnye-aksessuary/bambukoviy-nabor-dlya-salata-ukiyo-2-sht-p262069/" , "P262.069 Бамбуковый набор для салата Ukiyo, 2 предмета")</f>
      </c>
      <c r="C25720" s="4" t="n">
        <v>1238.00</v>
      </c>
      <c r="D25720" s="4"/>
    </row>
    <row collapsed="" customFormat="false" customHeight="1" hidden="" ht="14" outlineLevel="0" r="25721">
      <c r="A25721" s="3" t="inlineStr">
        <is>
          <t>25616</t>
        </is>
      </c>
      <c r="B25721" s="4" t="s">
        <f>=HYPERLINK("http://anyluxury.ru/shop/posuda/kukhonnye-aksessuary/bambukovie-shhipci-dlya-servirovki-ukiyo-p261339/" , "P261.339 Бамбуковые щипцы для сервировки Ukiyo")</f>
      </c>
      <c r="C25721" s="4" t="n">
        <v>703.00</v>
      </c>
      <c r="D25721" s="4"/>
    </row>
    <row collapsed="" customFormat="false" customHeight="1" hidden="" ht="14" outlineLevel="0" r="25722">
      <c r="A25722" s="3" t="inlineStr">
        <is>
          <t>25617</t>
        </is>
      </c>
      <c r="B25722" s="4" t="s">
        <f>=HYPERLINK("http://anyluxury.ru/shop/posuda/kukhonnye-aksessuary/nabor-servirovochnih-salfetok-ukiyo-iz-pererabotannogo-hlopka-aware-180-g-4-sht-p261257/" , "P261.257 Набор сервировочных салфеток Ukiyo из переработанного хлопка Aware™, 180 г, 4 шт.")</f>
      </c>
      <c r="C25722" s="4" t="n">
        <v>1798.00</v>
      </c>
      <c r="D25722" s="4"/>
    </row>
    <row collapsed="" customFormat="false" customHeight="1" hidden="" ht="14" outlineLevel="0" r="25723">
      <c r="A25723" s="3" t="inlineStr">
        <is>
          <t>25618</t>
        </is>
      </c>
      <c r="B25723" s="4" t="s">
        <f>=HYPERLINK("http://anyluxury.ru/shop/posuda/kukhonnye-aksessuary/nabor-servirovochnih-salfetok-ukiyo-iz-pererabotannogo-hlopka-aware-180-g-4-sht-p261255/" , "P261.255 Набор сервировочных салфеток Ukiyo из переработанного хлопка Aware™, 180 г, 4 шт.")</f>
      </c>
      <c r="C25723" s="4" t="n">
        <v>1798.00</v>
      </c>
      <c r="D25723" s="4"/>
    </row>
    <row collapsed="" customFormat="false" customHeight="1" hidden="" ht="14" outlineLevel="0" r="25724">
      <c r="A25724" s="3" t="inlineStr">
        <is>
          <t>25619</t>
        </is>
      </c>
      <c r="B25724" s="4" t="s">
        <f>=HYPERLINK("http://anyluxury.ru/shop/posuda/kukhonnye-aksessuary/nabor-servirovochnih-salfetok-ukiyo-iz-pererabotannogo-hlopka-aware-180-g-4-sht-p261252/" , "P261.252 Набор сервировочных салфеток Ukiyo из переработанного хлопка Aware™, 180 г, 4 шт.")</f>
      </c>
      <c r="C25724" s="4" t="n">
        <v>1798.00</v>
      </c>
      <c r="D25724" s="4"/>
    </row>
    <row collapsed="" customFormat="false" customHeight="1" hidden="" ht="14" outlineLevel="0" r="25725">
      <c r="A25725" s="3" t="inlineStr">
        <is>
          <t>25620</t>
        </is>
      </c>
      <c r="B25725" s="4" t="s">
        <f>=HYPERLINK("http://anyluxury.ru/shop/posuda/kukhonnye-aksessuary/nabor-servirovochnih-salfetok-ukiyo-iz-pererabotannogo-hlopka-aware-180-g-4-sht-p261251/" , "P261.251 Набор сервировочных салфеток Ukiyo из переработанного хлопка Aware™, 180 г, 4 шт.")</f>
      </c>
      <c r="C25725" s="4" t="n">
        <v>1798.00</v>
      </c>
      <c r="D25725" s="4"/>
    </row>
    <row collapsed="" customFormat="false" customHeight="1" hidden="" ht="14" outlineLevel="0" r="25726">
      <c r="A25726" s="3" t="inlineStr">
        <is>
          <t>25621</t>
        </is>
      </c>
      <c r="B25726" s="4" t="s">
        <f>=HYPERLINK("http://anyluxury.ru/shop/posuda/kukhonnye-aksessuary/nabor-servirovochnih-salfetok-ukiyo-iz-pererabotannogo-hlopka-aware-180-g-4-sht-p261250/" , "P261.250 Набор сервировочных салфеток Ukiyo из переработанного хлопка Aware™, 180 г, 4 шт.")</f>
      </c>
      <c r="C25726" s="4" t="n">
        <v>1798.00</v>
      </c>
      <c r="D25726" s="4"/>
    </row>
    <row collapsed="" customFormat="false" customHeight="1" hidden="" ht="14" outlineLevel="0" r="25727">
      <c r="A25727" s="3" t="inlineStr">
        <is>
          <t>25622</t>
        </is>
      </c>
      <c r="B25727" s="4" t="s">
        <f>=HYPERLINK("http://anyluxury.ru/shop/posuda/kukhonnye-aksessuary/nabor-keramicheskih-tarelok-ukiyo-2-sht-p263081/" , "P263.081 Набор керамических тарелок Ukiyo, 2 предмета")</f>
      </c>
      <c r="C25727" s="4" t="n">
        <v>2990.00</v>
      </c>
      <c r="D25727" s="4"/>
    </row>
    <row collapsed="" customFormat="false" customHeight="1" hidden="" ht="14" outlineLevel="0" r="25728">
      <c r="A25728" s="3" t="inlineStr">
        <is>
          <t>25623</t>
        </is>
      </c>
      <c r="B25728" s="4" t="s">
        <f>=HYPERLINK("http://anyluxury.ru/shop/posuda/kukhonnye-aksessuary/nabor-posudi-dlya-sushi-ukiyo-2-sht-p263071/" , "P263.071 Набор посуды для суши Ukiyo для двоих")</f>
      </c>
      <c r="C25728" s="4" t="n">
        <v>2990.00</v>
      </c>
      <c r="D25728" s="4"/>
    </row>
    <row collapsed="" customFormat="false" customHeight="1" hidden="" ht="14" outlineLevel="0" r="25729">
      <c r="A25729" s="3" t="inlineStr">
        <is>
          <t>25624</t>
        </is>
      </c>
      <c r="B25729" s="4" t="s">
        <f>=HYPERLINK("http://anyluxury.ru/shop/posuda/kukhonnye-aksessuary/nabor-keramicheskiy-chaynik-ukiyo-s-chashkami-p263043/" , "P263.043 Набор керамический чайник Ukiyo с чашками")</f>
      </c>
      <c r="C25729" s="4" t="n">
        <v>7190.00</v>
      </c>
      <c r="D25729" s="4"/>
    </row>
    <row collapsed="" customFormat="false" customHeight="1" hidden="" ht="14" outlineLevel="0" r="25730">
      <c r="A25730" s="3" t="inlineStr">
        <is>
          <t>25625</t>
        </is>
      </c>
      <c r="B25730" s="4" t="s">
        <f>=HYPERLINK("http://anyluxury.ru/shop/posuda/kukhonnye-aksessuary/nabor-dlya-prigotovleniya-sushi-ukiyo-p262039/" , "P262.039 Набор для приготовления суши Ukiyo")</f>
      </c>
      <c r="C25730" s="4" t="n">
        <v>1899.00</v>
      </c>
      <c r="D25730" s="4"/>
    </row>
    <row collapsed="" customFormat="false" customHeight="1" hidden="" ht="14" outlineLevel="0" r="25731">
      <c r="A25731" s="3" t="inlineStr">
        <is>
          <t>25626</t>
        </is>
      </c>
      <c r="B25731" s="4" t="s">
        <f>=HYPERLINK("http://anyluxury.ru/shop/posuda/kukhonnye-aksessuary/skatert-ukiyo-iz-pererabotannogo-hlopka-aware-180-g-250x140-sm-p261080/" , "P261.080 Скатерть Ukiyo из переработанного хлопка Aware™, 180 г, 250x140 см")</f>
      </c>
      <c r="C25731" s="4" t="n">
        <v>3599.00</v>
      </c>
      <c r="D25731" s="4"/>
    </row>
    <row collapsed="" customFormat="false" customHeight="1" hidden="" ht="14" outlineLevel="0" r="25732">
      <c r="A25732" s="3" t="inlineStr">
        <is>
          <t>25627</t>
        </is>
      </c>
      <c r="B25732" s="4" t="s">
        <f>=HYPERLINK("http://anyluxury.ru/shop/posuda/kukhonnye-aksessuary/geyzernaya-kofevarka-rimini-1340200/" , "13402.00 Гейзерная кофеварка Rimini, в коробке")</f>
      </c>
      <c r="C25732" s="4" t="n">
        <v>1408.00</v>
      </c>
      <c r="D25732" s="4"/>
    </row>
    <row collapsed="" customFormat="false" customHeight="1" hidden="" ht="14" outlineLevel="0" r="25733">
      <c r="A25733" s="3" t="inlineStr">
        <is>
          <t>25628</t>
        </is>
      </c>
      <c r="B25733" s="4" t="s">
        <f>=HYPERLINK("http://anyluxury.ru/shop/posuda/kukhonnye-aksessuary/geyzernaya-kofevarka-verona-1340400/" , "13404.00 Гейзерная кофеварка Verona, в коробке")</f>
      </c>
      <c r="C25733" s="4" t="n">
        <v>2890.00</v>
      </c>
      <c r="D25733" s="4"/>
    </row>
    <row collapsed="" customFormat="false" customHeight="1" hidden="" ht="14" outlineLevel="0" r="25734">
      <c r="A25734" s="3" t="inlineStr">
        <is>
          <t>25629</t>
        </is>
      </c>
      <c r="B25734" s="4" t="s">
        <f>=HYPERLINK("http://anyluxury.ru/shop/posuda/kukhonnye-aksessuary/kofemolka-ruchnaya-malena-1340700/" , "13407.00 Кофемолка ручная Malena, в коробке")</f>
      </c>
      <c r="C25734" s="4" t="n">
        <v>1583.00</v>
      </c>
      <c r="D25734" s="4"/>
    </row>
    <row collapsed="" customFormat="false" customHeight="1" hidden="" ht="14" outlineLevel="0" r="25735">
      <c r="A25735" s="3" t="inlineStr">
        <is>
          <t>25630</t>
        </is>
      </c>
      <c r="B25735" s="4" t="s">
        <f>=HYPERLINK("http://anyluxury.ru/shop/posuda/kukhonnye-aksessuary/vesi-kuhonnie-grammer-14090/" , "14090 Весы кухонные Grammer")</f>
      </c>
      <c r="C25735" s="4" t="n">
        <v>1999.00</v>
      </c>
      <c r="D25735" s="4"/>
    </row>
    <row collapsed="" customFormat="false" customHeight="1" hidden="" ht="14" outlineLevel="0" r="25736">
      <c r="A25736" s="3" t="inlineStr">
        <is>
          <t>25631</t>
        </is>
      </c>
      <c r="B25736" s="4" t="s">
        <f>=HYPERLINK("http://anyluxury.ru/shop/posuda/kukhonnye-aksessuary/geyzernaya-kofevarka-siena-chernaya-1340330/" , "13403.30 Гейзерная кофеварка Siena, черная")</f>
      </c>
      <c r="C25736" s="4" t="n">
        <v>1788.00</v>
      </c>
      <c r="D25736" s="4"/>
    </row>
    <row collapsed="" customFormat="false" customHeight="1" hidden="" ht="14" outlineLevel="0" r="25737">
      <c r="A25737" s="3" t="inlineStr">
        <is>
          <t>25632</t>
        </is>
      </c>
      <c r="B25737" s="4" t="s">
        <f>=HYPERLINK("http://anyluxury.ru/shop/posuda/kukhonnye-aksessuary/doska-razdelochnaya-eika-svetlaya-3347100/" , "33471.00 Доска разделочная Eika, светлая")</f>
      </c>
      <c r="C25737" s="4" t="n">
        <v>2736.00</v>
      </c>
      <c r="D25737" s="4"/>
    </row>
    <row collapsed="" customFormat="false" customHeight="1" hidden="" ht="14" outlineLevel="0" r="25738">
      <c r="A25738" s="3" t="inlineStr">
        <is>
          <t>25633</t>
        </is>
      </c>
      <c r="B25738" s="4" t="s">
        <f>=HYPERLINK("http://anyluxury.ru/shop/posuda/kukhonnye-aksessuary/doska-razdelochnaya-eika-temnaya-3347102/" , "33471.02 Доска разделочная Eika, темная")</f>
      </c>
      <c r="C25738" s="4" t="n">
        <v>1880.00</v>
      </c>
      <c r="D25738" s="4"/>
    </row>
    <row collapsed="" customFormat="false" customHeight="1" hidden="" ht="14" outlineLevel="0" r="25739">
      <c r="A25739" s="3" t="inlineStr">
        <is>
          <t>25634</t>
        </is>
      </c>
      <c r="B25739" s="4" t="s">
        <f>=HYPERLINK("http://anyluxury.ru/shop/posuda/kukhonnye-aksessuary/lanchboks-tritan-renew-15-l-p269092/" , "P269.092 Ланч-бокс Tritan™ Renew, 1,5 л")</f>
      </c>
      <c r="C25739" s="4" t="n">
        <v>1238.00</v>
      </c>
      <c r="D25739" s="4"/>
    </row>
    <row collapsed="" customFormat="false" customHeight="1" hidden="" ht="14" outlineLevel="0" r="25740">
      <c r="A25740" s="3" t="inlineStr">
        <is>
          <t>25635</t>
        </is>
      </c>
      <c r="B25740" s="4" t="s">
        <f>=HYPERLINK("http://anyluxury.ru/shop/posuda/kukhonnye-aksessuary/nozh-dlya-ovoshhey-selva-1527400/" , "15274.00 Нож для овощей Selva")</f>
      </c>
      <c r="C25740" s="4" t="n">
        <v>614.00</v>
      </c>
      <c r="D25740" s="4"/>
    </row>
    <row collapsed="" customFormat="false" customHeight="1" hidden="" ht="14" outlineLevel="0" r="25741">
      <c r="A25741" s="3" t="inlineStr">
        <is>
          <t>25636</t>
        </is>
      </c>
      <c r="B25741" s="4" t="s">
        <f>=HYPERLINK("http://anyluxury.ru/shop/posuda/kukhonnye-aksessuary/nozh-kuhonniy-selva-1527500/" , "15275.00 Нож кухонный Selva")</f>
      </c>
      <c r="C25741" s="4" t="n">
        <v>1176.00</v>
      </c>
      <c r="D25741" s="4"/>
    </row>
    <row collapsed="" customFormat="false" customHeight="1" hidden="" ht="14" outlineLevel="0" r="25742">
      <c r="A25742" s="3" t="inlineStr">
        <is>
          <t>25637</t>
        </is>
      </c>
      <c r="B25742" s="4" t="s">
        <f>=HYPERLINK("http://anyluxury.ru/shop/posuda/kukhonnye-aksessuary/nozh-universalniy-selva-1527600/" , "15276.00 Нож универсальный Selva")</f>
      </c>
      <c r="C25742" s="4" t="n">
        <v>933.00</v>
      </c>
      <c r="D25742" s="4"/>
    </row>
    <row collapsed="" customFormat="false" customHeight="1" hidden="" ht="14" outlineLevel="0" r="25743">
      <c r="A25743" s="3" t="inlineStr">
        <is>
          <t>25638</t>
        </is>
      </c>
      <c r="B25743" s="4" t="s">
        <f>=HYPERLINK("http://anyluxury.ru/shop/posuda/kukhonnye-aksessuary/nozh-povarskoy-storm-1527700/" , "15277.00 Нож поварской Storm")</f>
      </c>
      <c r="C25743" s="4" t="n">
        <v>986.00</v>
      </c>
      <c r="D25743" s="4"/>
    </row>
    <row collapsed="" customFormat="false" customHeight="1" hidden="" ht="14" outlineLevel="0" r="25744">
      <c r="A25744" s="3" t="inlineStr">
        <is>
          <t>25639</t>
        </is>
      </c>
      <c r="B25744" s="4" t="s">
        <f>=HYPERLINK("http://anyluxury.ru/shop/posuda/kukhonnye-aksessuary/nozh-dlya-myasa-storm-1527800/" , "15278.00 Нож для мяса Storm")</f>
      </c>
      <c r="C25744" s="4" t="n">
        <v>954.00</v>
      </c>
      <c r="D25744" s="4"/>
    </row>
    <row collapsed="" customFormat="false" customHeight="1" hidden="" ht="14" outlineLevel="0" r="25745">
      <c r="A25745" s="3" t="inlineStr">
        <is>
          <t>25640</t>
        </is>
      </c>
      <c r="B25745" s="4" t="s">
        <f>=HYPERLINK("http://anyluxury.ru/shop/posuda/kukhonnye-aksessuary/kastryulya-s-krishkoy-satin-touch-1527900/" , "15279.00 Кастрюля с крышкой Satin Touch")</f>
      </c>
      <c r="C25745" s="4" t="n">
        <v>2484.00</v>
      </c>
      <c r="D25745" s="4"/>
    </row>
    <row collapsed="" customFormat="false" customHeight="1" hidden="" ht="14" outlineLevel="0" r="25746">
      <c r="A25746" s="3" t="inlineStr">
        <is>
          <t>25641</t>
        </is>
      </c>
      <c r="B25746" s="4" t="s">
        <f>=HYPERLINK("http://anyluxury.ru/shop/posuda/kukhonnye-aksessuary/kovsh-s-krishkoy-satin-touch-1528000/" , "15280.00 Ковш с крышкой Satin Touch")</f>
      </c>
      <c r="C25746" s="4" t="n">
        <v>1964.00</v>
      </c>
      <c r="D25746" s="4"/>
    </row>
    <row collapsed="" customFormat="false" customHeight="1" hidden="" ht="14" outlineLevel="0" r="25747">
      <c r="A25747" s="3" t="inlineStr">
        <is>
          <t>25642</t>
        </is>
      </c>
      <c r="B25747" s="4" t="s">
        <f>=HYPERLINK("http://anyluxury.ru/shop/posuda/kukhonnye-aksessuary/skovoroda-kovanaya-satin-touch-1528100/" , "15281.00 Сковорода кованая Satin Touch")</f>
      </c>
      <c r="C25747" s="4" t="n">
        <v>1964.00</v>
      </c>
      <c r="D25747" s="4"/>
    </row>
    <row collapsed="" customFormat="false" customHeight="1" hidden="" ht="14" outlineLevel="0" r="25748">
      <c r="A25748" s="3" t="inlineStr">
        <is>
          <t>25643</t>
        </is>
      </c>
      <c r="B25748" s="4" t="s">
        <f>=HYPERLINK("http://anyluxury.ru/shop/posuda/kukhonnye-aksessuary/forma-dlya-zapekaniya-jule-verne-malaya-1528201/" , "15282.01 Форма для запекания Jule Verne, малая")</f>
      </c>
      <c r="C25748" s="4" t="n">
        <v>454.00</v>
      </c>
      <c r="D25748" s="4"/>
    </row>
    <row collapsed="" customFormat="false" customHeight="1" hidden="" ht="14" outlineLevel="0" r="25749">
      <c r="A25749" s="3" t="inlineStr">
        <is>
          <t>25644</t>
        </is>
      </c>
      <c r="B25749" s="4" t="s">
        <f>=HYPERLINK("http://anyluxury.ru/shop/posuda/kukhonnye-aksessuary/forma-dlya-zapekaniya-jule-verne-bolshaya-1528202/" , "15282.02 Форма для запекания Jule Verne, большая")</f>
      </c>
      <c r="C25749" s="4" t="n">
        <v>698.00</v>
      </c>
      <c r="D25749" s="4"/>
    </row>
    <row collapsed="" customFormat="false" customHeight="1" hidden="" ht="14" outlineLevel="0" r="25750">
      <c r="A25750" s="3" t="inlineStr">
        <is>
          <t>25645</t>
        </is>
      </c>
      <c r="B25750" s="4" t="s">
        <f>=HYPERLINK("http://anyluxury.ru/shop/posuda/kukhonnye-aksessuary/kovsh-s-krishkoy-fisso-1528300/" , "15283.00 Ковш с крышкой Fisso")</f>
      </c>
      <c r="C25750" s="4" t="n">
        <v>2943.00</v>
      </c>
      <c r="D25750" s="4"/>
    </row>
    <row collapsed="" customFormat="false" customHeight="1" hidden="" ht="14" outlineLevel="0" r="25751">
      <c r="A25751" s="3" t="inlineStr">
        <is>
          <t>25646</t>
        </is>
      </c>
      <c r="B25751" s="4" t="s">
        <f>=HYPERLINK("http://anyluxury.ru/shop/posuda/kukhonnye-aksessuary/kastryulya-s-krishkoy-fisso-1528400/" , "15284.00 Кастрюля с крышкой Fisso")</f>
      </c>
      <c r="C25751" s="4" t="n">
        <v>3375.00</v>
      </c>
      <c r="D25751" s="4"/>
    </row>
    <row collapsed="" customFormat="false" customHeight="1" hidden="" ht="14" outlineLevel="0" r="25752">
      <c r="A25752" s="3" t="inlineStr">
        <is>
          <t>25647</t>
        </is>
      </c>
      <c r="B25752" s="4" t="s">
        <f>=HYPERLINK("http://anyluxury.ru/shop/posuda/kukhonnye-aksessuary/skovoroda-litaya-qualita-universalnaya-1528500/" , "15285.00 Сковорода литая Qualita, универсальная")</f>
      </c>
      <c r="C25752" s="4" t="n">
        <v>1642.00</v>
      </c>
      <c r="D25752" s="4"/>
    </row>
    <row collapsed="" customFormat="false" customHeight="1" hidden="" ht="14" outlineLevel="0" r="25753">
      <c r="A25753" s="3" t="inlineStr">
        <is>
          <t>25648</t>
        </is>
      </c>
      <c r="B25753" s="4" t="s">
        <f>=HYPERLINK("http://anyluxury.ru/shop/posuda/kukhonnye-aksessuary/skovoroda-litaya-qualita-vok-1528600/" , "15286.00 Сковорода литая Qualita, вок")</f>
      </c>
      <c r="C25753" s="4" t="n">
        <v>2720.00</v>
      </c>
      <c r="D25753" s="4"/>
    </row>
    <row collapsed="" customFormat="false" customHeight="1" hidden="" ht="14" outlineLevel="0" r="25754">
      <c r="A25754" s="3" t="inlineStr">
        <is>
          <t>25649</t>
        </is>
      </c>
      <c r="B25754" s="4" t="s">
        <f>=HYPERLINK("http://anyluxury.ru/shop/posuda/kukhonnye-aksessuary/skovoroda-litaya-qualita-blinnaya-1528700/" , "15287.00 Сковорода литая Qualita, блинная")</f>
      </c>
      <c r="C25754" s="4" t="n">
        <v>1870.00</v>
      </c>
      <c r="D25754" s="4"/>
    </row>
    <row collapsed="" customFormat="false" customHeight="1" hidden="" ht="14" outlineLevel="0" r="25755">
      <c r="A25755" s="3" t="inlineStr">
        <is>
          <t>25650</t>
        </is>
      </c>
      <c r="B25755" s="4" t="s">
        <f>=HYPERLINK("http://anyluxury.ru/shop/posuda/kukhonnye-aksessuary/skovoroda-litaya-qualita-gril-1528800/" , "15288.00 Сковорода литая Qualita, гриль")</f>
      </c>
      <c r="C25755" s="4" t="n">
        <v>3966.00</v>
      </c>
      <c r="D25755" s="4"/>
    </row>
    <row collapsed="" customFormat="false" customHeight="1" hidden="" ht="14" outlineLevel="0" r="25756">
      <c r="A25756" s="3" t="inlineStr">
        <is>
          <t>25651</t>
        </is>
      </c>
      <c r="B25756" s="4" t="s">
        <f>=HYPERLINK("http://anyluxury.ru/shop/posuda/kukhonnye-aksessuary/banka-s-krishkoy-nordic-cube-malaya-1528901/" , "15289.01 Банка с крышкой Nordic Cube, малая")</f>
      </c>
      <c r="C25756" s="4" t="n">
        <v>652.00</v>
      </c>
      <c r="D25756" s="4"/>
    </row>
    <row collapsed="" customFormat="false" customHeight="1" hidden="" ht="14" outlineLevel="0" r="25757">
      <c r="A25757" s="3" t="inlineStr">
        <is>
          <t>25652</t>
        </is>
      </c>
      <c r="B25757" s="4" t="s">
        <f>=HYPERLINK("http://anyluxury.ru/shop/posuda/kukhonnye-aksessuary/banka-s-krishkoy-nordic-cube-srednyaya-1528902/" , "15289.02 Банка с крышкой Nordic Cube, средняя")</f>
      </c>
      <c r="C25757" s="4" t="n">
        <v>748.00</v>
      </c>
      <c r="D25757" s="4"/>
    </row>
    <row collapsed="" customFormat="false" customHeight="1" hidden="" ht="14" outlineLevel="0" r="25758">
      <c r="A25758" s="3" t="inlineStr">
        <is>
          <t>25653</t>
        </is>
      </c>
      <c r="B25758" s="4" t="s">
        <f>=HYPERLINK("http://anyluxury.ru/shop/posuda/kukhonnye-aksessuary/banka-s-krishkoy-nordic-cube-bolshaya-1528903/" , "15289.03 Банка с крышкой Nordic Cube, большая")</f>
      </c>
      <c r="C25758" s="4" t="n">
        <v>816.00</v>
      </c>
      <c r="D25758" s="4"/>
    </row>
    <row collapsed="" customFormat="false" customHeight="1" hidden="" ht="14" outlineLevel="0" r="25759">
      <c r="A25759" s="3" t="inlineStr">
        <is>
          <t>25654</t>
        </is>
      </c>
      <c r="B25759" s="4" t="s">
        <f>=HYPERLINK("http://anyluxury.ru/shop/posuda/kukhonnye-aksessuary/miska-dlya-zhivotnih-roxy-bolshaya-1529301/" , "15293.01 Миска для животных Roxy, большая")</f>
      </c>
      <c r="C25759" s="4" t="n">
        <v>328.00</v>
      </c>
      <c r="D25759" s="4"/>
    </row>
    <row collapsed="" customFormat="false" customHeight="1" hidden="" ht="14" outlineLevel="0" r="25760">
      <c r="A25760" s="3" t="inlineStr">
        <is>
          <t>25655</t>
        </is>
      </c>
      <c r="B25760" s="4" t="s">
        <f>=HYPERLINK("http://anyluxury.ru/shop/posuda/kukhonnye-aksessuary/miska-dlya-zhivotnih-roxy-malaya-1529302/" , "15293.02 Миска для животных Roxy, малая")</f>
      </c>
      <c r="C25760" s="4" t="n">
        <v>248.00</v>
      </c>
      <c r="D25760" s="4"/>
    </row>
    <row collapsed="" customFormat="false" customHeight="1" hidden="" ht="14" outlineLevel="0" r="25761">
      <c r="A25761" s="3" t="inlineStr">
        <is>
          <t>25656</t>
        </is>
      </c>
      <c r="B25761" s="4" t="s">
        <f>=HYPERLINK("http://anyluxury.ru/shop/posuda/kukhonnye-aksessuary/ruchnaya-tochilka-dlya-nozhey-pivot-pro-1432130/" , "14321.30 Ручная точилка для ножей Pivot Pro")</f>
      </c>
      <c r="C25761" s="4" t="n">
        <v>1800.00</v>
      </c>
      <c r="D25761" s="4"/>
    </row>
    <row collapsed="" customFormat="false" customHeight="1" hidden="" ht="14" outlineLevel="0" r="25762">
      <c r="A25762" s="3" t="inlineStr">
        <is>
          <t>25657</t>
        </is>
      </c>
      <c r="B25762" s="4" t="s">
        <f>=HYPERLINK("http://anyluxury.ru/shop/posuda/kukhonnye-aksessuary/elektricheskaya-tochilka-dlya-nozhey-culinary-e2-1432210/" , "14322.10 Электрическая точилка для ножей Culinary E2")</f>
      </c>
      <c r="C25762" s="4" t="n">
        <v>9900.00</v>
      </c>
      <c r="D25762" s="4"/>
    </row>
    <row collapsed="" customFormat="false" customHeight="1" hidden="" ht="14" outlineLevel="0" r="25763">
      <c r="A25763" s="3" t="inlineStr">
        <is>
          <t>25658</t>
        </is>
      </c>
      <c r="B25763" s="4" t="s">
        <f>=HYPERLINK("http://anyluxury.ru/shop/posuda/kukhonnye-aksessuary/elektricheskaya-tochilka-dlya-nozhey-combo-1432530/" , "14325.30 Электрическая точилка для ножей Combo")</f>
      </c>
      <c r="C25763" s="4" t="n">
        <v>11800.00</v>
      </c>
      <c r="D25763" s="4"/>
    </row>
    <row collapsed="" customFormat="false" customHeight="1" hidden="" ht="14" outlineLevel="0" r="25764">
      <c r="A25764" s="3" t="inlineStr">
        <is>
          <t>25659</t>
        </is>
      </c>
      <c r="B25764" s="4" t="s">
        <f>=HYPERLINK("http://anyluxury.ru/shop/posuda/kukhonnye-aksessuary/dvuhcvetnaya-keramicheskaya-kruzhka-300-ml-p434007/" , "P434.007 Двухцветная керамическая кружка, 300 мл")</f>
      </c>
      <c r="C25764" s="4" t="n">
        <v>689.00</v>
      </c>
      <c r="D25764" s="4"/>
    </row>
    <row collapsed="" customFormat="false" customHeight="1" hidden="" ht="14" outlineLevel="0" r="25765">
      <c r="A25765" s="3" t="inlineStr">
        <is>
          <t>25660</t>
        </is>
      </c>
      <c r="B25765" s="4" t="s">
        <f>=HYPERLINK("http://anyluxury.ru/shop/posuda/kukhonnye-aksessuary/dvuhcvetnaya-keramicheskaya-kruzhka-300-ml-p434003/" , "P434.003 Двухцветная керамическая кружка, 300 мл")</f>
      </c>
      <c r="C25765" s="4" t="n">
        <v>703.00</v>
      </c>
      <c r="D25765" s="4"/>
    </row>
    <row collapsed="" customFormat="false" customHeight="1" hidden="" ht="14" outlineLevel="0" r="25766">
      <c r="A25766" s="3" t="inlineStr">
        <is>
          <t>25661</t>
        </is>
      </c>
      <c r="B25766" s="4" t="s">
        <f>=HYPERLINK("http://anyluxury.ru/shop/posuda/kukhonnye-aksessuary/dvuhcvetnaya-keramicheskaya-kruzhka-300-ml-p434002/" , "P434.002 Двухцветная керамическая кружка, 300 мл")</f>
      </c>
      <c r="C25766" s="4" t="n">
        <v>703.00</v>
      </c>
      <c r="D25766" s="4"/>
    </row>
    <row collapsed="" customFormat="false" customHeight="1" hidden="" ht="14" outlineLevel="0" r="25767">
      <c r="A25767" s="3" t="inlineStr">
        <is>
          <t>25662</t>
        </is>
      </c>
      <c r="B25767" s="4" t="s">
        <f>=HYPERLINK("http://anyluxury.ru/shop/posuda/kukhonnye-aksessuary/keramicheskaya-kruzhka-dlya-sublimacii-p434103/" , "P434.103 Керамическая кружка для сублимации")</f>
      </c>
      <c r="C25767" s="4" t="n">
        <v>399.00</v>
      </c>
      <c r="D25767" s="4"/>
    </row>
    <row collapsed="" customFormat="false" customHeight="1" hidden="" ht="14" outlineLevel="0" r="25768">
      <c r="A25768" s="3" t="inlineStr">
        <is>
          <t>25663</t>
        </is>
      </c>
      <c r="B25768" s="4" t="s">
        <f>=HYPERLINK("http://anyluxury.ru/shop/posuda/kukhonnye-aksessuary/steklyanniy-konteyner-dlya-edi-s-bambukovoy-krishkoy-p269560/" , "P269.560 Стеклянный контейнер для еды с бамбуковой крышкой")</f>
      </c>
      <c r="C25768" s="4" t="n">
        <v>2303.00</v>
      </c>
      <c r="D25768" s="4"/>
    </row>
    <row collapsed="" customFormat="false" customHeight="1" hidden="" ht="14" outlineLevel="0" r="25769">
      <c r="A25769" s="3" t="inlineStr">
        <is>
          <t>25664</t>
        </is>
      </c>
      <c r="B25769" s="4" t="s">
        <f>=HYPERLINK("http://anyluxury.ru/shop/posuda/kukhonnye-aksessuary/lanchboks-iz-pererabotannogo-polipropilena-so-stolovim-priborom-standart-grs-p269052/" , "P269.052 Ланч-бокс из переработанного полипропилена со столовым прибором (стандарт GRS)")</f>
      </c>
      <c r="C25769" s="4" t="n">
        <v>1772.00</v>
      </c>
      <c r="D25769" s="4"/>
    </row>
    <row collapsed="" customFormat="false" customHeight="1" hidden="" ht="14" outlineLevel="0" r="25770">
      <c r="A25770" s="3" t="inlineStr">
        <is>
          <t>25665</t>
        </is>
      </c>
      <c r="B25770" s="4" t="s">
        <f>=HYPERLINK("http://anyluxury.ru/shop/posuda/kukhonnye-aksessuary/lanchboks-iz-pererabotannogo-polipropilena-so-stolovim-priborom-standart-grs-p269053/" , "P269.053 Ланч-бокс из переработанного полипропилена со столовым прибором (стандарт GRS)")</f>
      </c>
      <c r="C25770" s="4" t="n">
        <v>1772.00</v>
      </c>
      <c r="D25770" s="4"/>
    </row>
    <row collapsed="" customFormat="false" customHeight="1" hidden="" ht="14" outlineLevel="0" r="25771">
      <c r="A25771" s="3" t="inlineStr">
        <is>
          <t>25666</t>
        </is>
      </c>
      <c r="B25771" s="4" t="s">
        <f>=HYPERLINK("http://anyluxury.ru/shop/posuda/kukhonnye-aksessuary/lanchboks-iz-pererabotannogo-polipropilena-so-stolovim-priborom-standart-grs-p269055/" , "P269.055 Ланч-бокс из переработанного полипропилена со столовым прибором (стандарт GRS)")</f>
      </c>
      <c r="C25771" s="4" t="n">
        <v>1772.00</v>
      </c>
      <c r="D25771" s="4"/>
    </row>
    <row collapsed="" customFormat="false" customHeight="1" hidden="" ht="14" outlineLevel="0" r="25772">
      <c r="A25772" s="3" t="inlineStr">
        <is>
          <t>25667</t>
        </is>
      </c>
      <c r="B25772" s="4" t="s">
        <f>=HYPERLINK("http://anyluxury.ru/shop/posuda/kukhonnye-aksessuary/germetichniy-lanchboks-iz-pererabotannoy-nerzhaveyushhey-stali-rcs-1-l-p269082/" , "P269.082 Герметичный ланч-бокс из переработанной нержавеющей стали RCS, 1 л")</f>
      </c>
      <c r="C25772" s="4" t="n">
        <v>3197.00</v>
      </c>
      <c r="D25772" s="4"/>
    </row>
    <row collapsed="" customFormat="false" customHeight="1" hidden="" ht="14" outlineLevel="0" r="25773">
      <c r="A25773" s="3" t="inlineStr">
        <is>
          <t>25668</t>
        </is>
      </c>
      <c r="B25773" s="4" t="s">
        <f>=HYPERLINK("http://anyluxury.ru/shop/posuda/kukhonnye-aksessuary/keramicheskaya-shtabeliruemaya-kruzhka-180-ml-p434071/" , "P434.071 Керамическая штабелируемая кружка, 180 мл")</f>
      </c>
      <c r="C25773" s="4" t="n">
        <v>599.00</v>
      </c>
      <c r="D25773" s="4"/>
    </row>
    <row collapsed="" customFormat="false" customHeight="1" hidden="" ht="14" outlineLevel="0" r="25774">
      <c r="A25774" s="3" t="inlineStr">
        <is>
          <t>25669</t>
        </is>
      </c>
      <c r="B25774" s="4" t="s">
        <f>=HYPERLINK("http://anyluxury.ru/shop/posuda/kukhonnye-aksessuary/keramicheskaya-shtabeliruemaya-kruzhka-180-ml-p434072/" , "P434.072 Керамическая штабелируемая кружка, 180 мл")</f>
      </c>
      <c r="C25774" s="4" t="n">
        <v>599.00</v>
      </c>
      <c r="D25774" s="4"/>
    </row>
    <row collapsed="" customFormat="false" customHeight="1" hidden="" ht="14" outlineLevel="0" r="25775">
      <c r="A25775" s="3" t="inlineStr">
        <is>
          <t>25670</t>
        </is>
      </c>
      <c r="B25775" s="4" t="s">
        <f>=HYPERLINK("http://anyluxury.ru/shop/posuda/kukhonnye-aksessuary/keramicheskaya-shtabeliruemaya-kruzhka-180-ml-p434073/" , "P434.073 Керамическая штабелируемая кружка, 180 мл")</f>
      </c>
      <c r="C25775" s="4" t="n">
        <v>599.00</v>
      </c>
      <c r="D25775" s="4"/>
    </row>
    <row collapsed="" customFormat="false" customHeight="1" hidden="" ht="14" outlineLevel="0" r="25776">
      <c r="A25776" s="3" t="inlineStr">
        <is>
          <t>25671</t>
        </is>
      </c>
      <c r="B25776" s="4" t="s">
        <f>=HYPERLINK("http://anyluxury.ru/shop/posuda/kukhonnye-aksessuary/keramicheskaya-shtabeliruemaya-kruzhka-180-ml-p434074/" , "P434.074 Керамическая штабелируемая кружка, 180 мл")</f>
      </c>
      <c r="C25776" s="4" t="n">
        <v>599.00</v>
      </c>
      <c r="D25776" s="4"/>
    </row>
    <row collapsed="" customFormat="false" customHeight="1" hidden="" ht="14" outlineLevel="0" r="25777">
      <c r="A25777" s="3" t="inlineStr">
        <is>
          <t>25672</t>
        </is>
      </c>
      <c r="B25777" s="4" t="s">
        <f>=HYPERLINK("http://anyluxury.ru/shop/posuda/kukhonnye-aksessuary/keramicheskaya-shtabeliruemaya-kruzhka-180-ml-p434075/" , "P434.075 Керамическая штабелируемая кружка, 180 мл")</f>
      </c>
      <c r="C25777" s="4" t="n">
        <v>599.00</v>
      </c>
      <c r="D25777" s="4"/>
    </row>
    <row collapsed="" customFormat="false" customHeight="1" hidden="" ht="14" outlineLevel="0" r="25778">
      <c r="A25778" s="3" t="inlineStr">
        <is>
          <t>25673</t>
        </is>
      </c>
      <c r="B25778" s="4" t="s">
        <f>=HYPERLINK("http://anyluxury.ru/shop/posuda/kukhonnye-aksessuary/keramicheskaya-shtabeliruemaya-kruzhka-180-ml-p434077/" , "P434.077 Керамическая штабелируемая кружка, 180 мл")</f>
      </c>
      <c r="C25778" s="4" t="n">
        <v>599.00</v>
      </c>
      <c r="D25778" s="4"/>
    </row>
    <row collapsed="" customFormat="false" customHeight="1" hidden="" ht="14" outlineLevel="0" r="25779">
      <c r="A25779" s="3" t="inlineStr">
        <is>
          <t>25674</t>
        </is>
      </c>
      <c r="B25779" s="4" t="s">
        <f>=HYPERLINK("http://anyluxury.ru/shop/posuda/kukhonnye-aksessuary/keramicheskaya-kruzhka-s-probkovim-osnovaniem-280-ml-p434081/" , "P434.081 Керамическая кружка с пробковым основанием, 280 мл")</f>
      </c>
      <c r="C25779" s="4" t="n">
        <v>978.00</v>
      </c>
      <c r="D25779" s="4"/>
    </row>
    <row collapsed="" customFormat="false" customHeight="1" hidden="" ht="14" outlineLevel="0" r="25780">
      <c r="A25780" s="3" t="inlineStr">
        <is>
          <t>25675</t>
        </is>
      </c>
      <c r="B25780" s="4" t="s">
        <f>=HYPERLINK("http://anyluxury.ru/shop/posuda/kukhonnye-aksessuary/keramicheskaya-kruzhka-s-probkovim-osnovaniem-280-ml-p434083/" , "P434.083 Керамическая кружка с пробковым основанием, 280 мл")</f>
      </c>
      <c r="C25780" s="4" t="n">
        <v>978.00</v>
      </c>
      <c r="D25780" s="4"/>
    </row>
    <row collapsed="" customFormat="false" customHeight="1" hidden="" ht="14" outlineLevel="0" r="25781">
      <c r="A25781" s="3" t="inlineStr">
        <is>
          <t>25676</t>
        </is>
      </c>
      <c r="B25781" s="4" t="s">
        <f>=HYPERLINK("http://anyluxury.ru/shop/posuda/kukhonnye-aksessuary/keramicheskaya-kruzhka-s-probkovim-osnovaniem-280-ml-p434084/" , "P434.084 Керамическая кружка с пробковым основанием, 280 мл")</f>
      </c>
      <c r="C25781" s="4" t="n">
        <v>978.00</v>
      </c>
      <c r="D25781" s="4"/>
    </row>
    <row collapsed="" customFormat="false" customHeight="1" hidden="" ht="14" outlineLevel="0" r="25782">
      <c r="A25782" s="3" t="inlineStr">
        <is>
          <t>25677</t>
        </is>
      </c>
      <c r="B25782" s="4" t="s">
        <f>=HYPERLINK("http://anyluxury.ru/shop/posuda/kukhonnye-aksessuary/keramicheskaya-kruzhka-s-probkovim-osnovaniem-280-ml-p434087/" , "P434.087 Керамическая кружка с пробковым основанием, 280 мл")</f>
      </c>
      <c r="C25782" s="4" t="n">
        <v>978.00</v>
      </c>
      <c r="D25782" s="4"/>
    </row>
    <row collapsed="" customFormat="false" customHeight="1" hidden="" ht="14" outlineLevel="0" r="25783">
      <c r="A25783" s="3" t="inlineStr">
        <is>
          <t>25678</t>
        </is>
      </c>
      <c r="B25783" s="4" t="s">
        <f>=HYPERLINK("http://anyluxury.ru/shop/posuda/kukhonnye-aksessuary/keramicheskaya-kruzhka-s-probkovim-osnovaniem-280-ml-p434088/" , "P434.088 Керамическая кружка с пробковым основанием, 280 мл")</f>
      </c>
      <c r="C25783" s="4" t="n">
        <v>978.00</v>
      </c>
      <c r="D25783" s="4"/>
    </row>
    <row collapsed="" customFormat="false" customHeight="1" hidden="" ht="14" outlineLevel="0" r="25784">
      <c r="A25784" s="3" t="inlineStr">
        <is>
          <t>25679</t>
        </is>
      </c>
      <c r="B25784" s="4" t="s">
        <f>=HYPERLINK("http://anyluxury.ru/shop/posuda/kukhonnye-aksessuary/keramicheskaya-kruzhka-s-belim-obodkom-300-ml-p434091/" , "P434.091 Керамическая кружка с белым ободком, 300 мл")</f>
      </c>
      <c r="C25784" s="4" t="n">
        <v>699.00</v>
      </c>
      <c r="D25784" s="4"/>
    </row>
    <row collapsed="" customFormat="false" customHeight="1" hidden="" ht="14" outlineLevel="0" r="25785">
      <c r="A25785" s="3" t="inlineStr">
        <is>
          <t>25680</t>
        </is>
      </c>
      <c r="B25785" s="4" t="s">
        <f>=HYPERLINK("http://anyluxury.ru/shop/posuda/kukhonnye-aksessuary/keramicheskaya-kruzhka-s-belim-obodkom-300-ml-p434092/" , "P434.092 Керамическая кружка с белым ободком, 300 мл")</f>
      </c>
      <c r="C25785" s="4" t="n">
        <v>699.00</v>
      </c>
      <c r="D25785" s="4"/>
    </row>
    <row collapsed="" customFormat="false" customHeight="1" hidden="" ht="14" outlineLevel="0" r="25786">
      <c r="A25786" s="3" t="inlineStr">
        <is>
          <t>25681</t>
        </is>
      </c>
      <c r="B25786" s="4" t="s">
        <f>=HYPERLINK("http://anyluxury.ru/shop/posuda/kukhonnye-aksessuary/keramicheskaya-kruzhka-s-belim-obodkom-300-ml-p434095/" , "P434.095 Керамическая кружка с белым ободком, 300 мл")</f>
      </c>
      <c r="C25786" s="4" t="n">
        <v>699.00</v>
      </c>
      <c r="D25786" s="4"/>
    </row>
    <row collapsed="" customFormat="false" customHeight="1" hidden="" ht="14" outlineLevel="0" r="25787">
      <c r="A25787" s="3" t="inlineStr">
        <is>
          <t>25682</t>
        </is>
      </c>
      <c r="B25787" s="4" t="s">
        <f>=HYPERLINK("http://anyluxury.ru/shop/posuda/kukhonnye-aksessuary/keramicheskaya-kruzhka-s-belim-obodkom-300-ml-p434099/" , "P434.099 Керамическая кружка с белым ободком, 300 мл")</f>
      </c>
      <c r="C25787" s="4" t="n">
        <v>699.00</v>
      </c>
      <c r="D25787" s="4"/>
    </row>
    <row collapsed="" customFormat="false" customHeight="1" hidden="" ht="14" outlineLevel="0" r="25788">
      <c r="A25788" s="3" t="inlineStr">
        <is>
          <t>25683</t>
        </is>
      </c>
      <c r="B25788" s="4" t="s">
        <f>=HYPERLINK("http://anyluxury.ru/shop/posuda/kukhonnye-aksessuary/steklyannaya-kruzhka-s-dvoynimi-stenkami-i-perlamutrovim-effektom-330-ml-p433110/" , "P433.110 Стеклянная кружка с двойными стенками и перламутровым эффектом, 330 мл")</f>
      </c>
      <c r="C25788" s="4" t="n">
        <v>2303.00</v>
      </c>
      <c r="D25788" s="4"/>
    </row>
    <row collapsed="" customFormat="false" customHeight="1" hidden="" ht="14" outlineLevel="0" r="25789">
      <c r="A25789" s="3" t="inlineStr">
        <is>
          <t>25684</t>
        </is>
      </c>
      <c r="B25789" s="4" t="s">
        <f>=HYPERLINK("http://anyluxury.ru/shop/posuda/kukhonnye-aksessuary/keramicheskaya-kruzhka-glazurovannaya-360-ml-p434117/" , "P434.117 Керамическая кружка, глазурованная, 360 мл")</f>
      </c>
      <c r="C25789" s="4" t="n">
        <v>794.00</v>
      </c>
      <c r="D25789" s="4"/>
    </row>
    <row collapsed="" customFormat="false" customHeight="1" hidden="" ht="14" outlineLevel="0" r="25790">
      <c r="A25790" s="3" t="inlineStr">
        <is>
          <t>25685</t>
        </is>
      </c>
      <c r="B25790" s="4" t="s">
        <f>=HYPERLINK("http://anyluxury.ru/shop/posuda/kukhonnye-aksessuary/keramicheskaya-kruzhka-glazurovannaya-360-ml-p434115/" , "P434.115 Керамическая кружка, глазурованная, 360 мл")</f>
      </c>
      <c r="C25790" s="4" t="n">
        <v>794.00</v>
      </c>
      <c r="D25790" s="4"/>
    </row>
    <row collapsed="" customFormat="false" customHeight="1" hidden="" ht="14" outlineLevel="0" r="25791">
      <c r="A25791" s="3" t="inlineStr">
        <is>
          <t>25686</t>
        </is>
      </c>
      <c r="B25791" s="4" t="s">
        <f>=HYPERLINK("http://anyluxury.ru/shop/posuda/kukhonnye-aksessuary/keramicheskaya-kruzhka-glazurovannaya-360-ml-p434111/" , "P434.111 Керамическая кружка, глазурованная, 360 мл")</f>
      </c>
      <c r="C25791" s="4" t="n">
        <v>794.00</v>
      </c>
      <c r="D25791" s="4"/>
    </row>
    <row collapsed="" customFormat="false" customHeight="1" hidden="" ht="14" outlineLevel="0" r="25792">
      <c r="A25792" s="3" t="inlineStr">
        <is>
          <t>25687</t>
        </is>
      </c>
      <c r="B25792" s="4" t="s">
        <f>=HYPERLINK("http://anyluxury.ru/shop/posuda/kukhonnye-aksessuary/emkost-dlya-sipuchih-produktov-talpa-na-zakaz-1900101/" , "19001.01 Емкость для сыпучих продуктов Talpa на заказ")</f>
      </c>
      <c r="C25792" s="4" t="n">
        <v>153.00</v>
      </c>
      <c r="D25792" s="4"/>
    </row>
    <row collapsed="" customFormat="false" customHeight="1" hidden="" ht="14" outlineLevel="0" r="25793">
      <c r="A25793" s="3" t="inlineStr">
        <is>
          <t>25688</t>
        </is>
      </c>
      <c r="B25793" s="4" t="s">
        <f>=HYPERLINK("http://anyluxury.ru/shop/posuda/kukhonnye-aksessuary/fartuk-vinga-asado-2155/" , "2155 Фартук VINGA Asado")</f>
      </c>
      <c r="C25793" s="4" t="n">
        <v>3197.00</v>
      </c>
      <c r="D25793" s="4"/>
    </row>
    <row collapsed="" customFormat="false" customHeight="1" hidden="" ht="14" outlineLevel="0" r="25794">
      <c r="A25794" s="3" t="inlineStr">
        <is>
          <t>25689</t>
        </is>
      </c>
      <c r="B25794" s="4" t="s">
        <f>=HYPERLINK("http://anyluxury.ru/shop/posuda/kukhonnye-aksessuary/fartuk-vinga-asado-2156/" , "2156 Фартук VINGA Asado")</f>
      </c>
      <c r="C25794" s="4" t="n">
        <v>3197.00</v>
      </c>
      <c r="D25794" s="4"/>
    </row>
    <row collapsed="" customFormat="false" customHeight="1" hidden="" ht="14" outlineLevel="0" r="25795">
      <c r="A25795" s="3" t="inlineStr">
        <is>
          <t>25690</t>
        </is>
      </c>
      <c r="B25795" s="4" t="s">
        <f>=HYPERLINK("http://anyluxury.ru/shop/posuda/kukhonnye-aksessuary/fartuk-vinga-tome-2157/" , "2157 Футболка Imperial 190 оранжевая, размер XL")</f>
      </c>
      <c r="C25795" s="4" t="n">
        <v>697.00</v>
      </c>
      <c r="D25795" s="4"/>
    </row>
    <row collapsed="" customFormat="false" customHeight="1" hidden="" ht="14" outlineLevel="0" r="25796">
      <c r="A25796" s="3" t="inlineStr">
        <is>
          <t>25691</t>
        </is>
      </c>
      <c r="B25796" s="4" t="s">
        <f>=HYPERLINK("http://anyluxury.ru/shop/posuda/kukhonnye-aksessuary/fartuk-vinga-casbas-2178/" , "2178 Фартук VINGA Casbas")</f>
      </c>
      <c r="C25796" s="4" t="n">
        <v>3197.00</v>
      </c>
      <c r="D25796" s="4"/>
    </row>
    <row collapsed="" customFormat="false" customHeight="1" hidden="" ht="14" outlineLevel="0" r="25797">
      <c r="A25797" s="3" t="inlineStr">
        <is>
          <t>25692</t>
        </is>
      </c>
      <c r="B25797" s="4" t="s">
        <f>=HYPERLINK("http://anyluxury.ru/shop/posuda/kukhonnye-aksessuary/fartuk-vinga-casbas-2179/" , "2179 Футболка Regent 150 светло-бежевая, размер M")</f>
      </c>
      <c r="C25797" s="4" t="n">
        <v>531.00</v>
      </c>
      <c r="D25797" s="4"/>
    </row>
    <row collapsed="" customFormat="false" customHeight="1" hidden="" ht="14" outlineLevel="0" r="25798">
      <c r="A25798" s="3" t="inlineStr">
        <is>
          <t>25693</t>
        </is>
      </c>
      <c r="B25798" s="4" t="s">
        <f>=HYPERLINK("http://anyluxury.ru/shop/posuda/kukhonnye-aksessuary/kruglaya-servirovochnaya-doska-vinga-buscot-3181/" , "3181 Круглая сервировочная доска VINGA Buscot")</f>
      </c>
      <c r="C25798" s="4" t="n">
        <v>5697.00</v>
      </c>
      <c r="D25798" s="4"/>
    </row>
    <row collapsed="" customFormat="false" customHeight="1" hidden="" ht="14" outlineLevel="0" r="25799">
      <c r="A25799" s="3" t="inlineStr">
        <is>
          <t>25694</t>
        </is>
      </c>
      <c r="B25799" s="4" t="s">
        <f>=HYPERLINK("http://anyluxury.ru/shop/posuda/kukhonnye-aksessuary/razdelochnaya-doska-vinga-buscot-3182/" , "3182 Разделочная доска VINGA Buscot")</f>
      </c>
      <c r="C25799" s="4" t="n">
        <v>4800.00</v>
      </c>
      <c r="D25799" s="4"/>
    </row>
    <row collapsed="" customFormat="false" customHeight="1" hidden="" ht="14" outlineLevel="0" r="25800">
      <c r="A25800" s="3" t="inlineStr">
        <is>
          <t>25695</t>
        </is>
      </c>
      <c r="B25800" s="4" t="s">
        <f>=HYPERLINK("http://anyluxury.ru/shop/posuda/kukhonnye-aksessuary/servirovochnaya-doska-vinga-buscot-3183/" , "3183 Сервировочная доска VINGA Buscot")</f>
      </c>
      <c r="C25800" s="4" t="n">
        <v>4084.00</v>
      </c>
      <c r="D25800" s="4"/>
    </row>
    <row collapsed="" customFormat="false" customHeight="1" hidden="" ht="14" outlineLevel="0" r="25801">
      <c r="A25801" s="3" t="inlineStr">
        <is>
          <t>25696</t>
        </is>
      </c>
      <c r="B25801" s="4" t="s">
        <f>=HYPERLINK("http://anyluxury.ru/shop/posuda/kukhonnye-aksessuary/dlinnaya-servirovochnaya-doska-vinga-buscot-3184/" , "3184 Длинная сервировочная доска VINGA Buscot")</f>
      </c>
      <c r="C25801" s="4" t="n">
        <v>4447.00</v>
      </c>
      <c r="D25801" s="4"/>
    </row>
    <row collapsed="" customFormat="false" customHeight="1" hidden="" ht="14" outlineLevel="0" r="25802">
      <c r="A25802" s="3" t="inlineStr">
        <is>
          <t>25697</t>
        </is>
      </c>
      <c r="B25802" s="4" t="s">
        <f>=HYPERLINK("http://anyluxury.ru/shop/posuda/kukhonnye-aksessuary/kuhonnoe-polotence-vinga-sovano-50h70-sm-21460/" , "21460 Кухонное полотенце VINGA Sovano, 50х70 см")</f>
      </c>
      <c r="C25802" s="4" t="n">
        <v>649.00</v>
      </c>
      <c r="D25802" s="4"/>
    </row>
    <row collapsed="" customFormat="false" customHeight="1" hidden="" ht="14" outlineLevel="0" r="25803">
      <c r="A25803" s="3" t="inlineStr">
        <is>
          <t>25698</t>
        </is>
      </c>
      <c r="B25803" s="4" t="s">
        <f>=HYPERLINK("http://anyluxury.ru/shop/posuda/kukhonnye-aksessuary/fartuk-vinga-sovano-21500/" , "21500 Фартук VINGA Sovano")</f>
      </c>
      <c r="C25803" s="4" t="n">
        <v>2659.00</v>
      </c>
      <c r="D25803" s="4"/>
    </row>
    <row collapsed="" customFormat="false" customHeight="1" hidden="" ht="14" outlineLevel="0" r="25804">
      <c r="A25804" s="3" t="inlineStr">
        <is>
          <t>25699</t>
        </is>
      </c>
      <c r="B25804" s="4" t="s">
        <f>=HYPERLINK("http://anyluxury.ru/shop/posuda/kukhonnye-aksessuary/fartuk-vinga-sovano-21560/" , "21560 Фартук VINGA Sovano")</f>
      </c>
      <c r="C25804" s="4" t="n">
        <v>2659.00</v>
      </c>
      <c r="D25804" s="4"/>
    </row>
    <row collapsed="" customFormat="false" customHeight="1" hidden="" ht="14" outlineLevel="0" r="25805">
      <c r="A25805" s="3" t="inlineStr">
        <is>
          <t>25700</t>
        </is>
      </c>
      <c r="B25805" s="4" t="s">
        <f>=HYPERLINK("http://anyluxury.ru/shop/posuda/kukhonnye-aksessuary/shirokaya-servirovochnaya-doska-vinga-buscot-31801/" , "31801 Широкая сервировочная доска VINGA Buscot")</f>
      </c>
      <c r="C25805" s="4" t="n">
        <v>3375.00</v>
      </c>
      <c r="D25805" s="4"/>
    </row>
    <row collapsed="" customFormat="false" customHeight="1" hidden="" ht="14" outlineLevel="0" r="25806">
      <c r="A25806" s="3" t="inlineStr">
        <is>
          <t>25701</t>
        </is>
      </c>
      <c r="B25806" s="4" t="s">
        <f>=HYPERLINK("http://anyluxury.ru/shop/posuda/kukhonnye-aksessuary/servirovochnaya-doska-vinga-alcamo-31920/" , "31920 Сервировочная доска VINGA Alcamo")</f>
      </c>
      <c r="C25806" s="4" t="n">
        <v>4084.00</v>
      </c>
      <c r="D25806" s="4"/>
    </row>
    <row collapsed="" customFormat="false" customHeight="1" hidden="" ht="14" outlineLevel="0" r="25807">
      <c r="A25807" s="3" t="inlineStr">
        <is>
          <t>25702</t>
        </is>
      </c>
      <c r="B25807" s="4" t="s">
        <f>=HYPERLINK("http://anyluxury.ru/shop/posuda/kukhonnye-aksessuary/kuhonnoe-polotence-vinga-clare-iz-smesovogo-lna-50h70-sm-103201/" , "103201 Кухонное полотенце VINGA Clare из смесового льна, 50х70 см")</f>
      </c>
      <c r="C25807" s="4" t="n">
        <v>1309.00</v>
      </c>
      <c r="D25807" s="4"/>
    </row>
    <row collapsed="" customFormat="false" customHeight="1" hidden="" ht="14" outlineLevel="0" r="25808">
      <c r="A25808" s="3" t="inlineStr">
        <is>
          <t>25703</t>
        </is>
      </c>
      <c r="B25808" s="4" t="s">
        <f>=HYPERLINK("http://anyluxury.ru/shop/posuda/kukhonnye-aksessuary/kuhonnoe-polotence-vinga-clare-iz-smesovogo-lna-50h70-sm-103202/" , "103202 Кухонное полотенце VINGA Clare из смесового льна, 50х70 см")</f>
      </c>
      <c r="C25808" s="4" t="n">
        <v>1309.00</v>
      </c>
      <c r="D25808" s="4"/>
    </row>
    <row collapsed="" customFormat="false" customHeight="1" hidden="" ht="14" outlineLevel="0" r="25809">
      <c r="A25809" s="3" t="inlineStr">
        <is>
          <t>25704</t>
        </is>
      </c>
      <c r="B25809" s="4" t="s">
        <f>=HYPERLINK("http://anyluxury.ru/shop/posuda/kukhonnye-aksessuary/kuhonnoe-polotence-vinga-clare-iz-smesovogo-lna-50h70-sm-103203/" , "103203 Кухонное полотенце VINGA Clare из смесового льна, 50х70 см")</f>
      </c>
      <c r="C25809" s="4" t="n">
        <v>1309.00</v>
      </c>
      <c r="D25809" s="4"/>
    </row>
    <row collapsed="" customFormat="false" customHeight="1" hidden="" ht="14" outlineLevel="0" r="25810">
      <c r="A25810" s="3" t="inlineStr">
        <is>
          <t>25705</t>
        </is>
      </c>
      <c r="B25810" s="4" t="s">
        <f>=HYPERLINK("http://anyluxury.ru/shop/posuda/kukhonnye-aksessuary/kuhonnoe-polotence-vinga-lima-iz-smesovogo-lna-50h70-sm-103210/" , "103210 Кухонное полотенце VINGA Lima из смесового льна, 50х70 см")</f>
      </c>
      <c r="C25810" s="4" t="n">
        <v>1279.00</v>
      </c>
      <c r="D25810" s="4"/>
    </row>
    <row collapsed="" customFormat="false" customHeight="1" hidden="" ht="14" outlineLevel="0" r="25811">
      <c r="A25811" s="3" t="inlineStr">
        <is>
          <t>25706</t>
        </is>
      </c>
      <c r="B25811" s="4" t="s">
        <f>=HYPERLINK("http://anyluxury.ru/shop/posuda/kukhonnye-aksessuary/kuhonnoe-polotence-vinga-lima-iz-smesovogo-lna-50h70-sm-103211/" , "103211 Кухонное полотенце VINGA Lima из смесового льна, 50х70 см")</f>
      </c>
      <c r="C25811" s="4" t="n">
        <v>1149.00</v>
      </c>
      <c r="D25811" s="4"/>
    </row>
    <row collapsed="" customFormat="false" customHeight="1" hidden="" ht="14" outlineLevel="0" r="25812">
      <c r="A25812" s="3" t="inlineStr">
        <is>
          <t>25707</t>
        </is>
      </c>
      <c r="B25812" s="4" t="s">
        <f>=HYPERLINK("http://anyluxury.ru/shop/posuda/kukhonnye-aksessuary/nabor-vafelnih-polotenec-dlya-kuhni-vinga-cromer-2-predmeta-103230/" , "103230 Вафельные салфетки для кухни VINGA Cromer, 2 предмета")</f>
      </c>
      <c r="C25812" s="4" t="n">
        <v>1119.00</v>
      </c>
      <c r="D25812" s="4"/>
    </row>
    <row collapsed="" customFormat="false" customHeight="1" hidden="" ht="14" outlineLevel="0" r="25813">
      <c r="A25813" s="3" t="inlineStr">
        <is>
          <t>25708</t>
        </is>
      </c>
      <c r="B25813" s="4" t="s">
        <f>=HYPERLINK("http://anyluxury.ru/shop/posuda/kukhonnye-aksessuary/nabor-vafelnih-polotenec-dlya-kuhni-vinga-cromer-2-predmeta-103231/" , "103231 Вафельные салфетки для кухни VINGA Cromer, 2 предмета")</f>
      </c>
      <c r="C25813" s="4" t="n">
        <v>1119.00</v>
      </c>
      <c r="D25813" s="4"/>
    </row>
    <row collapsed="" customFormat="false" customHeight="1" hidden="" ht="14" outlineLevel="0" r="25814">
      <c r="A25814" s="3" t="inlineStr">
        <is>
          <t>25709</t>
        </is>
      </c>
      <c r="B25814" s="4" t="s">
        <f>=HYPERLINK("http://anyluxury.ru/shop/posuda/kukhonnye-aksessuary/nabor-vafelnih-polotenec-dlya-kuhni-vinga-cromer-2-predmeta-103232/" , "103232 Вафельные салфетки для кухни VINGA Cromer, 2 предмета")</f>
      </c>
      <c r="C25814" s="4" t="n">
        <v>1119.00</v>
      </c>
      <c r="D25814" s="4"/>
    </row>
    <row collapsed="" customFormat="false" customHeight="1" hidden="" ht="14" outlineLevel="0" r="25815">
      <c r="A25815" s="3" t="inlineStr">
        <is>
          <t>25710</t>
        </is>
      </c>
      <c r="B25815" s="4" t="s">
        <f>=HYPERLINK("http://anyluxury.ru/shop/posuda/kukhonnye-aksessuary/doska-razdelochnaya-brett-na-zakaz-1893101/" , "18931.01 Доска разделочная Brett на заказ")</f>
      </c>
      <c r="C25815" s="4" t="n">
        <v>136.80</v>
      </c>
      <c r="D25815" s="4"/>
    </row>
    <row collapsed="" customFormat="false" customHeight="1" hidden="" ht="14" outlineLevel="0" r="25816">
      <c r="A25816" s="3" t="inlineStr">
        <is>
          <t>25711</t>
        </is>
      </c>
      <c r="B25816" s="4" t="s">
        <f>=HYPERLINK("http://anyluxury.ru/shop/posuda/kukhonnye-aksessuary/kofemolka-ruchnaya-malena-bez-upakovki-1340701/" , "13407.01 Кофемолка ручная Malena, без упаковки")</f>
      </c>
      <c r="C25816" s="4" t="n">
        <v>1295.00</v>
      </c>
      <c r="D25816" s="4"/>
    </row>
    <row collapsed="" customFormat="false" customHeight="1" hidden="" ht="14" outlineLevel="0" r="25817">
      <c r="A25817" s="3" t="inlineStr">
        <is>
          <t>25712</t>
        </is>
      </c>
      <c r="B25817" s="4" t="s">
        <f>=HYPERLINK("http://anyluxury.ru/shop/posuda/kukhonnye-aksessuary/nabor-stolovih-priborov-iz-nerzhaveyushhey-stali-v-chehle-4-predmeta-p269632/" , "P269.632 Набор столовых приборов из нержавеющей стали в чехле, 4 предмета")</f>
      </c>
      <c r="C25817" s="4" t="n">
        <v>703.00</v>
      </c>
      <c r="D25817" s="4"/>
    </row>
    <row collapsed="" customFormat="false" customHeight="1" hidden="" ht="14" outlineLevel="0" r="25818">
      <c r="A25818" s="3" t="inlineStr">
        <is>
          <t>25713</t>
        </is>
      </c>
      <c r="B25818" s="4" t="s">
        <f>=HYPERLINK("http://anyluxury.ru/shop/posuda/kukhonnye-aksessuary/forma-dlya-pechenya-vinga-classic-3-sht-v261002/" , "V261002 Форма для печенья VINGA Classic, 3 шт.")</f>
      </c>
      <c r="C25818" s="4" t="n">
        <v>1059.00</v>
      </c>
      <c r="D25818" s="4"/>
    </row>
    <row collapsed="" customFormat="false" customHeight="1" hidden="" ht="14" outlineLevel="0" r="25819">
      <c r="A25819" s="3" t="inlineStr">
        <is>
          <t>25714</t>
        </is>
      </c>
      <c r="B25819" s="4" t="s">
        <f>=HYPERLINK("http://anyluxury.ru/shop/posuda/kukhonnye-aksessuary/forma-dlya-pechenya-vinga-nordic-5-sht-v261012/" , "V261012 Форма для печенья VINGA Nordic, 5 шт.")</f>
      </c>
      <c r="C25819" s="4" t="n">
        <v>1772.00</v>
      </c>
      <c r="D25819" s="4"/>
    </row>
    <row collapsed="" customFormat="false" customHeight="1" hidden="" ht="14" outlineLevel="0" r="25820">
      <c r="A25820" s="3" t="inlineStr">
        <is>
          <t>25715</t>
        </is>
      </c>
      <c r="B25820" s="4" t="s">
        <f>=HYPERLINK("http://anyluxury.ru/shop/posuda/kukhonnye-aksessuary/kuhonnie-vesi-woodmore-1809600/" , "18096.00 Кухонные весы Woodmore")</f>
      </c>
      <c r="C25820" s="4" t="n">
        <v>1350.00</v>
      </c>
      <c r="D25820" s="4"/>
    </row>
    <row collapsed="" customFormat="false" customHeight="1" hidden="" ht="14" outlineLevel="0" r="25821">
      <c r="A25821" s="3" t="inlineStr">
        <is>
          <t>25716</t>
        </is>
      </c>
      <c r="B25821" s="4" t="s">
        <f>=HYPERLINK("http://anyluxury.ru/shop/posuda/kukhonnye-aksessuary/geyzernaya-kofevarka-rimini-bez-upakovki-1340201/" , "13402.01 Гейзерная кофеварка Rimini, без упаковки")</f>
      </c>
      <c r="C25821" s="4" t="n">
        <v>1250.00</v>
      </c>
      <c r="D25821" s="4"/>
    </row>
    <row collapsed="" customFormat="false" customHeight="1" hidden="" ht="14" outlineLevel="0" r="25822">
      <c r="A25822" s="3" t="inlineStr">
        <is>
          <t>25717</t>
        </is>
      </c>
      <c r="B25822" s="4" t="s">
        <f>=HYPERLINK("http://anyluxury.ru/shop/posuda/kukhonnye-aksessuary/servirovochnaya-doska-vinga-veia-razmer-s-v261079/" , "V261079 Сервировочная доска VINGA Veia, размер S")</f>
      </c>
      <c r="C25822" s="4" t="n">
        <v>1772.00</v>
      </c>
      <c r="D25822" s="4"/>
    </row>
    <row collapsed="" customFormat="false" customHeight="1" hidden="" ht="14" outlineLevel="0" r="25823">
      <c r="A25823" s="3" t="inlineStr">
        <is>
          <t>25718</t>
        </is>
      </c>
      <c r="B25823" s="4" t="s">
        <f>=HYPERLINK("http://anyluxury.ru/shop/posuda/kukhonnye-aksessuary/servirovochnaya-doska-vinga-veia-razmer-m-v261089/" , "V261089 Сервировочная доска VINGA Veia, размер M")</f>
      </c>
      <c r="C25823" s="4" t="n">
        <v>2666.00</v>
      </c>
      <c r="D25823" s="4"/>
    </row>
    <row collapsed="" customFormat="false" customHeight="1" hidden="" ht="14" outlineLevel="0" r="25824">
      <c r="A25824" s="3" t="inlineStr">
        <is>
          <t>25719</t>
        </is>
      </c>
      <c r="B25824" s="4" t="s">
        <f>=HYPERLINK("http://anyluxury.ru/shop/posuda/kukhonnye-aksessuary/servirovochnaya-doska-vinga-veia-razmer-l-v261099/" , "V261099 Сервировочная доска VINGA Veia, размер L")</f>
      </c>
      <c r="C25824" s="4" t="n">
        <v>3197.00</v>
      </c>
      <c r="D25824" s="4"/>
    </row>
    <row collapsed="" customFormat="false" customHeight="1" hidden="" ht="14" outlineLevel="0" r="25825">
      <c r="A25825" s="3" t="inlineStr">
        <is>
          <t>25720</t>
        </is>
      </c>
      <c r="B25825" s="4" t="s">
        <f>=HYPERLINK("http://anyluxury.ru/shop/posuda/kukhonnye-aksessuary/elektricheskaya-tochilka-dlya-nozhey-knives-out-chernaya-1564330/" , "15643.30 Электрическая точилка для ножей Knives Out, черная")</f>
      </c>
      <c r="C25825" s="4" t="n">
        <v>855.00</v>
      </c>
      <c r="D25825" s="4"/>
    </row>
    <row collapsed="" customFormat="false" customHeight="1" hidden="" ht="14" outlineLevel="0" r="25826">
      <c r="A25826" s="3" t="inlineStr">
        <is>
          <t>25721</t>
        </is>
      </c>
      <c r="B25826" s="4" t="s">
        <f>=HYPERLINK("http://anyluxury.ru/shop/posuda/kukhonnye-aksessuary/nabor-dlya-servirovki-salata-vinga-gigaro-30711/" , "30711 Набор для сервировки салата VINGA Gigaro")</f>
      </c>
      <c r="C25826" s="4" t="n">
        <v>3197.00</v>
      </c>
      <c r="D25826" s="4"/>
    </row>
    <row collapsed="" customFormat="false" customHeight="1" hidden="" ht="14" outlineLevel="0" r="25827">
      <c r="A25827" s="3" t="inlineStr">
        <is>
          <t>25722</t>
        </is>
      </c>
      <c r="B25827" s="4" t="s">
        <f>=HYPERLINK("http://anyluxury.ru/shop/posuda/kukhonnye-aksessuary/derevyannie-pribori-dlya-servirovki-vinga-alcamo-2-sht-10244/" , "10244 Деревянные приборы для сервировки VINGA Alcamo, 2 шт.")</f>
      </c>
      <c r="C25827" s="4" t="n">
        <v>2491.00</v>
      </c>
      <c r="D25827" s="4"/>
    </row>
    <row collapsed="" customFormat="false" customHeight="1" hidden="" ht="14" outlineLevel="0" r="25828">
      <c r="A25828" s="3" t="inlineStr">
        <is>
          <t>25723</t>
        </is>
      </c>
      <c r="B25828" s="4" t="s">
        <f>=HYPERLINK("http://anyluxury.ru/shop/posuda/kukhonnye-aksessuary/prihvatka-canvas-p262831/" , "P262.831 Прихватка Canvas")</f>
      </c>
      <c r="C25828" s="4" t="n">
        <v>1772.00</v>
      </c>
      <c r="D25828" s="4"/>
    </row>
    <row collapsed="" customFormat="false" customHeight="" hidden="" ht="12.1" outlineLevel="0" r="25829">
      <c r="A25829" s="5" t="inlineStr">
        <is>
          <t> -  - Ланч-боксы</t>
        </is>
      </c>
      <c r="B25829" s="6"/>
      <c r="C25829" s="6"/>
      <c r="D25829" s="6"/>
    </row>
    <row collapsed="" customFormat="false" customHeight="1" hidden="" ht="14" outlineLevel="0" r="25830">
      <c r="A25830" s="3" t="inlineStr">
        <is>
          <t>25724</t>
        </is>
      </c>
      <c r="B25830" s="4" t="s">
        <f>=HYPERLINK("http://anyluxury.ru/shop/posuda/lanch-boksy/nabor-handy-termosumka-i-konteyner-maliy-zeleniy-1029790/" , "10297.90 Набор Handy: термосумка и контейнер, малый, зеленый")</f>
      </c>
      <c r="C25830" s="4" t="n">
        <v>2920.00</v>
      </c>
      <c r="D25830" s="4"/>
    </row>
    <row collapsed="" customFormat="false" customHeight="1" hidden="" ht="14" outlineLevel="0" r="25831">
      <c r="A25831" s="3" t="inlineStr">
        <is>
          <t>25725</t>
        </is>
      </c>
      <c r="B25831" s="4" t="s">
        <f>=HYPERLINK("http://anyluxury.ru/shop/posuda/lanch-boksy/nabor-handy-termosumka-i-konteyner-maliy-zheltiy-1029780/" , "10297.80 Набор Handy: термосумка и контейнер, малый, желтый")</f>
      </c>
      <c r="C25831" s="4" t="n">
        <v>3390.00</v>
      </c>
      <c r="D25831" s="4"/>
    </row>
    <row collapsed="" customFormat="false" customHeight="1" hidden="" ht="14" outlineLevel="0" r="25832">
      <c r="A25832" s="3" t="inlineStr">
        <is>
          <t>25726</t>
        </is>
      </c>
      <c r="B25832" s="4" t="s">
        <f>=HYPERLINK("http://anyluxury.ru/shop/posuda/lanch-boksy/lanchboks-zero-seriy-1029910/" , "10299.10 Ланчбокс Zero, серый")</f>
      </c>
      <c r="C25832" s="4" t="n">
        <v>2600.00</v>
      </c>
      <c r="D25832" s="4"/>
    </row>
    <row collapsed="" customFormat="false" customHeight="1" hidden="" ht="14" outlineLevel="0" r="25833">
      <c r="A25833" s="3" t="inlineStr">
        <is>
          <t>25727</t>
        </is>
      </c>
      <c r="B25833" s="4" t="s">
        <f>=HYPERLINK("http://anyluxury.ru/shop/posuda/lanch-boksy/lanchboks-zero-siniy-1029940/" , "10299.40 Ланчбокс Zero, синий")</f>
      </c>
      <c r="C25833" s="4" t="n">
        <v>2600.00</v>
      </c>
      <c r="D25833" s="4"/>
    </row>
    <row collapsed="" customFormat="false" customHeight="1" hidden="" ht="14" outlineLevel="0" r="25834">
      <c r="A25834" s="3" t="inlineStr">
        <is>
          <t>25728</t>
        </is>
      </c>
      <c r="B25834" s="4" t="s">
        <f>=HYPERLINK("http://anyluxury.ru/shop/posuda/lanch-boksy/lanchboks-zero-zeleniy-1029990/" , "10299.90 Ланчбокс Zero, зеленый")</f>
      </c>
      <c r="C25834" s="4" t="n">
        <v>2600.00</v>
      </c>
      <c r="D25834" s="4"/>
    </row>
    <row collapsed="" customFormat="false" customHeight="1" hidden="" ht="14" outlineLevel="0" r="25835">
      <c r="A25835" s="3" t="inlineStr">
        <is>
          <t>25729</t>
        </is>
      </c>
      <c r="B25835" s="4" t="s">
        <f>=HYPERLINK("http://anyluxury.ru/shop/posuda/lanch-boksy/lanchboks-zero-chilled-krasniy-1030050/" , "10300.50 Ланчбокс Zero Chilled, красный")</f>
      </c>
      <c r="C25835" s="4" t="n">
        <v>2700.00</v>
      </c>
      <c r="D25835" s="4"/>
    </row>
    <row collapsed="" customFormat="false" customHeight="1" hidden="" ht="14" outlineLevel="0" r="25836">
      <c r="A25836" s="3" t="inlineStr">
        <is>
          <t>25730</t>
        </is>
      </c>
      <c r="B25836" s="4" t="s">
        <f>=HYPERLINK("http://anyluxury.ru/shop/posuda/lanch-boksy/lanchboks-zero-chilled-zheltiy-1030080/" , "10300.80 Ланчбокс Zero Chilled, желтый")</f>
      </c>
      <c r="C25836" s="4" t="n">
        <v>2700.00</v>
      </c>
      <c r="D25836" s="4"/>
    </row>
    <row collapsed="" customFormat="false" customHeight="1" hidden="" ht="14" outlineLevel="0" r="25837">
      <c r="A25837" s="3" t="inlineStr">
        <is>
          <t>25731</t>
        </is>
      </c>
      <c r="B25837" s="4" t="s">
        <f>=HYPERLINK("http://anyluxury.ru/shop/posuda/lanch-boksy/lanchboks-dlya-perekusov-goeat-izumrudniy-1120994/" , "11209.94 Ланчбокс для перекусов GoEat, изумрудный")</f>
      </c>
      <c r="C25837" s="4" t="n">
        <v>990.00</v>
      </c>
      <c r="D25837" s="4"/>
    </row>
    <row collapsed="" customFormat="false" customHeight="1" hidden="" ht="14" outlineLevel="0" r="25838">
      <c r="A25838" s="3" t="inlineStr">
        <is>
          <t>25732</t>
        </is>
      </c>
      <c r="B25838" s="4" t="s">
        <f>=HYPERLINK("http://anyluxury.ru/shop/posuda/lanch-boksy/lanchboks-dlya-salatov-goeat-zeleniy-1121090/" , "11210.90 Ланчбокс для салатов GoEat, зеленый")</f>
      </c>
      <c r="C25838" s="4" t="n">
        <v>1650.00</v>
      </c>
      <c r="D25838" s="4"/>
    </row>
    <row collapsed="" customFormat="false" customHeight="1" hidden="" ht="14" outlineLevel="0" r="25839">
      <c r="A25839" s="3" t="inlineStr">
        <is>
          <t>25733</t>
        </is>
      </c>
      <c r="B25839" s="4" t="s">
        <f>=HYPERLINK("http://anyluxury.ru/shop/posuda/lanch-boksy/lanchboks-dlya-salatov-goeat-izumrudniy-1121094/" , "11210.94 Ланчбокс для салатов GoEat, изумрудный")</f>
      </c>
      <c r="C25839" s="4" t="n">
        <v>1650.00</v>
      </c>
      <c r="D25839" s="4"/>
    </row>
    <row collapsed="" customFormat="false" customHeight="1" hidden="" ht="14" outlineLevel="0" r="25840">
      <c r="A25840" s="3" t="inlineStr">
        <is>
          <t>25734</t>
        </is>
      </c>
      <c r="B25840" s="4" t="s">
        <f>=HYPERLINK("http://anyluxury.ru/shop/posuda/lanch-boksy/lanchboks-mb-original-zheltiy-gorchichniy-1125181/" , "11251.81 Ланчбокс MB Original, желтый (горчичный)")</f>
      </c>
      <c r="C25840" s="4" t="n">
        <v>3300.00</v>
      </c>
      <c r="D25840" s="4"/>
    </row>
    <row collapsed="" customFormat="false" customHeight="1" hidden="" ht="14" outlineLevel="0" r="25841">
      <c r="A25841" s="3" t="inlineStr">
        <is>
          <t>25735</t>
        </is>
      </c>
      <c r="B25841" s="4" t="s">
        <f>=HYPERLINK("http://anyluxury.ru/shop/posuda/lanch-boksy/lanchboks-mb-original-svetloseriy-1125111/" , "11251.11 Ланчбокс MB Original, светло-серый")</f>
      </c>
      <c r="C25841" s="4" t="n">
        <v>5600.00</v>
      </c>
      <c r="D25841" s="4"/>
    </row>
    <row collapsed="" customFormat="false" customHeight="1" hidden="" ht="14" outlineLevel="0" r="25842">
      <c r="A25842" s="3" t="inlineStr">
        <is>
          <t>25736</t>
        </is>
      </c>
      <c r="B25842" s="4" t="s">
        <f>=HYPERLINK("http://anyluxury.ru/shop/posuda/lanch-boksy/lanchboks-mb-original-zelenoe-yabloko-s-belim-1125190/" , "11251.90 Ланч-бокс MB Original, зеленое яблоко с белым")</f>
      </c>
      <c r="C25842" s="4" t="n">
        <v>3300.00</v>
      </c>
      <c r="D25842" s="4"/>
    </row>
    <row collapsed="" customFormat="false" customHeight="1" hidden="" ht="14" outlineLevel="0" r="25843">
      <c r="A25843" s="3" t="inlineStr">
        <is>
          <t>25737</t>
        </is>
      </c>
      <c r="B25843" s="4" t="s">
        <f>=HYPERLINK("http://anyluxury.ru/shop/posuda/lanch-boksy/lanchboks-mb-original-cherniy-1125130/" , "11251.30 Ланчбокс MB Original, черный")</f>
      </c>
      <c r="C25843" s="4" t="n">
        <v>5250.00</v>
      </c>
      <c r="D25843" s="4"/>
    </row>
    <row collapsed="" customFormat="false" customHeight="1" hidden="" ht="14" outlineLevel="0" r="25844">
      <c r="A25844" s="3" t="inlineStr">
        <is>
          <t>25738</t>
        </is>
      </c>
      <c r="B25844" s="4" t="s">
        <f>=HYPERLINK("http://anyluxury.ru/shop/posuda/lanch-boksy/lanchboks-mb-original-zelenaya-myata-1125143/" , "11251.43 Ланчбокс MB Original, зеленая мята")</f>
      </c>
      <c r="C25844" s="4" t="n">
        <v>3500.00</v>
      </c>
      <c r="D25844" s="4"/>
    </row>
    <row collapsed="" customFormat="false" customHeight="1" hidden="" ht="14" outlineLevel="0" r="25845">
      <c r="A25845" s="3" t="inlineStr">
        <is>
          <t>25739</t>
        </is>
      </c>
      <c r="B25845" s="4" t="s">
        <f>=HYPERLINK("http://anyluxury.ru/shop/posuda/lanch-boksy/lanchboks-mb-original-rozoviy-1125115/" , "11251.15 Ланчбокс MB Original, розовый")</f>
      </c>
      <c r="C25845" s="4" t="n">
        <v>5250.00</v>
      </c>
      <c r="D25845" s="4"/>
    </row>
    <row collapsed="" customFormat="false" customHeight="1" hidden="" ht="14" outlineLevel="0" r="25846">
      <c r="A25846" s="3" t="inlineStr">
        <is>
          <t>25740</t>
        </is>
      </c>
      <c r="B25846" s="4" t="s">
        <f>=HYPERLINK("http://anyluxury.ru/shop/posuda/lanch-boksy/lanchboks-mb-original-rozoviy-korall-s-belim-1125151/" , "11251.51 Ланчбокс MB Original, розовый коралл с белым")</f>
      </c>
      <c r="C25846" s="4" t="n">
        <v>4390.00</v>
      </c>
      <c r="D25846" s="4"/>
    </row>
    <row collapsed="" customFormat="false" customHeight="1" hidden="" ht="14" outlineLevel="0" r="25847">
      <c r="A25847" s="3" t="inlineStr">
        <is>
          <t>25741</t>
        </is>
      </c>
      <c r="B25847" s="4" t="s">
        <f>=HYPERLINK("http://anyluxury.ru/shop/posuda/lanch-boksy/lanchboks-mb-square-cherniy-1125330/" , "11253.30 Ланчбокс MB Square, черный")</f>
      </c>
      <c r="C25847" s="4" t="n">
        <v>5600.00</v>
      </c>
      <c r="D25847" s="4"/>
    </row>
    <row collapsed="" customFormat="false" customHeight="1" hidden="" ht="14" outlineLevel="0" r="25848">
      <c r="A25848" s="3" t="inlineStr">
        <is>
          <t>25742</t>
        </is>
      </c>
      <c r="B25848" s="4" t="s">
        <f>=HYPERLINK("http://anyluxury.ru/shop/posuda/lanch-boksy/lanchboks-mb-square-rozoviy-1125315/" , "11253.15 Ланчбокс MB Square, розовый")</f>
      </c>
      <c r="C25848" s="4" t="n">
        <v>4390.00</v>
      </c>
      <c r="D25848" s="4"/>
    </row>
    <row collapsed="" customFormat="false" customHeight="1" hidden="" ht="14" outlineLevel="0" r="25849">
      <c r="A25849" s="3" t="inlineStr">
        <is>
          <t>25743</t>
        </is>
      </c>
      <c r="B25849" s="4" t="s">
        <f>=HYPERLINK("http://anyluxury.ru/shop/posuda/lanch-boksy/lanchboks-mb-square-siniy-denim-1125340/" , "11253.40 Ланчбокс MB Square, синий (деним)")</f>
      </c>
      <c r="C25849" s="4" t="n">
        <v>5600.00</v>
      </c>
      <c r="D25849" s="4"/>
    </row>
    <row collapsed="" customFormat="false" customHeight="1" hidden="" ht="14" outlineLevel="0" r="25850">
      <c r="A25850" s="3" t="inlineStr">
        <is>
          <t>25744</t>
        </is>
      </c>
      <c r="B25850" s="4" t="s">
        <f>=HYPERLINK("http://anyluxury.ru/shop/posuda/lanch-boksy/lanchboks-mb-square-svetloseriy-1125310/" , "11253.10 Ланчбокс MB Square, светло-серый")</f>
      </c>
      <c r="C25850" s="4" t="n">
        <v>2690.00</v>
      </c>
      <c r="D25850" s="4"/>
    </row>
    <row collapsed="" customFormat="false" customHeight="1" hidden="" ht="14" outlineLevel="0" r="25851">
      <c r="A25851" s="3" t="inlineStr">
        <is>
          <t>25745</t>
        </is>
      </c>
      <c r="B25851" s="4" t="s">
        <f>=HYPERLINK("http://anyluxury.ru/shop/posuda/lanch-boksy/lanchboks-mb-square-zelenaya-myata-1125343/" , "11253.43 Ланчбокс MB Square, зеленая мята")</f>
      </c>
      <c r="C25851" s="4" t="n">
        <v>2690.00</v>
      </c>
      <c r="D25851" s="4"/>
    </row>
    <row collapsed="" customFormat="false" customHeight="1" hidden="" ht="14" outlineLevel="0" r="25852">
      <c r="A25852" s="3" t="inlineStr">
        <is>
          <t>25746</t>
        </is>
      </c>
      <c r="B25852" s="4" t="s">
        <f>=HYPERLINK("http://anyluxury.ru/shop/posuda/lanch-boksy/nabor-stolovih-priborov-mb-pocket-siniy-denim-1125540/" , "11255.40 Набор из 3 столовых приборов MB Pocket, синий (деним)")</f>
      </c>
      <c r="C25852" s="4" t="n">
        <v>1710.00</v>
      </c>
      <c r="D25852" s="4"/>
    </row>
    <row collapsed="" customFormat="false" customHeight="1" hidden="" ht="14" outlineLevel="0" r="25853">
      <c r="A25853" s="3" t="inlineStr">
        <is>
          <t>25747</t>
        </is>
      </c>
      <c r="B25853" s="4" t="s">
        <f>=HYPERLINK("http://anyluxury.ru/shop/posuda/lanch-boksy/nabor-stolovih-priborov-mb-pocket-color-goluboy-1125614/" , "11256.14 Набор столовых приборов MB Pocket Color, голубой")</f>
      </c>
      <c r="C25853" s="4" t="n">
        <v>610.00</v>
      </c>
      <c r="D25853" s="4"/>
    </row>
    <row collapsed="" customFormat="false" customHeight="1" hidden="" ht="14" outlineLevel="0" r="25854">
      <c r="A25854" s="3" t="inlineStr">
        <is>
          <t>25748</t>
        </is>
      </c>
      <c r="B25854" s="4" t="s">
        <f>=HYPERLINK("http://anyluxury.ru/shop/posuda/lanch-boksy/nabor-stolovih-priborov-mb-pocket-color-zheltiy-gorchichniy-1125681/" , "11256.81 Набор столовых приборов MB Pocket Color, желтый (горчичный)")</f>
      </c>
      <c r="C25854" s="4" t="n">
        <v>610.00</v>
      </c>
      <c r="D25854" s="4"/>
    </row>
    <row collapsed="" customFormat="false" customHeight="1" hidden="" ht="14" outlineLevel="0" r="25855">
      <c r="A25855" s="3" t="inlineStr">
        <is>
          <t>25749</t>
        </is>
      </c>
      <c r="B25855" s="4" t="s">
        <f>=HYPERLINK("http://anyluxury.ru/shop/posuda/lanch-boksy/ohlazhdayushhiy-konteyner-chill-yo-2-go-goluboy-1069514/" , "10695.14 Охлаждающий контейнер Chill Yo 2 Go, голубой")</f>
      </c>
      <c r="C25855" s="4" t="n">
        <v>850.00</v>
      </c>
      <c r="D25855" s="4"/>
    </row>
    <row collapsed="" customFormat="false" customHeight="1" hidden="" ht="14" outlineLevel="0" r="25856">
      <c r="A25856" s="3" t="inlineStr">
        <is>
          <t>25750</t>
        </is>
      </c>
      <c r="B25856" s="4" t="s">
        <f>=HYPERLINK("http://anyluxury.ru/shop/posuda/lanch-boksy/ohlazhdayushhiy-konteyner-chill-yo-2-go-rozoviy-1069515/" , "10695.15 Охлаждающий контейнер Chill Yo 2 Go, розовый")</f>
      </c>
      <c r="C25856" s="4" t="n">
        <v>850.00</v>
      </c>
      <c r="D25856" s="4"/>
    </row>
    <row collapsed="" customFormat="false" customHeight="1" hidden="" ht="14" outlineLevel="0" r="25857">
      <c r="A25857" s="3" t="inlineStr">
        <is>
          <t>25751</t>
        </is>
      </c>
      <c r="B25857" s="4" t="s">
        <f>=HYPERLINK("http://anyluxury.ru/shop/posuda/lanch-boksy/ohlazhdayushhiy-konteyner-chill-yo-2-go-fioletoviy-1069570/" , "10695.70 Охлаждающий контейнер Chill Yo 2 Go, фиолетовый")</f>
      </c>
      <c r="C25857" s="4" t="n">
        <v>850.00</v>
      </c>
      <c r="D25857" s="4"/>
    </row>
    <row collapsed="" customFormat="false" customHeight="1" hidden="" ht="14" outlineLevel="0" r="25858">
      <c r="A25858" s="3" t="inlineStr">
        <is>
          <t>25752</t>
        </is>
      </c>
      <c r="B25858" s="4" t="s">
        <f>=HYPERLINK("http://anyluxury.ru/shop/posuda/lanch-boksy/lanchboks-bento-zeleniy-1314890/" , "13148.90 Ланчбокс Bento, зеленый")</f>
      </c>
      <c r="C25858" s="4" t="n">
        <v>2280.00</v>
      </c>
      <c r="D25858" s="4"/>
    </row>
    <row collapsed="" customFormat="false" customHeight="1" hidden="" ht="14" outlineLevel="0" r="25859">
      <c r="A25859" s="3" t="inlineStr">
        <is>
          <t>25753</t>
        </is>
      </c>
      <c r="B25859" s="4" t="s">
        <f>=HYPERLINK("http://anyluxury.ru/shop/posuda/lanch-boksy/lanchboks-aladdin-maliy-zeleniy-1314990/" , "13149.90 Ланчбокс Aladdin, малый, зеленый")</f>
      </c>
      <c r="C25859" s="4" t="n">
        <v>510.00</v>
      </c>
      <c r="D25859" s="4"/>
    </row>
    <row collapsed="" customFormat="false" customHeight="1" hidden="" ht="14" outlineLevel="0" r="25860">
      <c r="A25860" s="3" t="inlineStr">
        <is>
          <t>25754</t>
        </is>
      </c>
      <c r="B25860" s="4" t="s">
        <f>=HYPERLINK("http://anyluxury.ru/shop/posuda/lanch-boksy/lanchboks-aladdin-maliy-fioletoviy-1314970/" , "13149.70 Ланчбокс Aladdin, малый, фиолетовый")</f>
      </c>
      <c r="C25860" s="4" t="n">
        <v>500.00</v>
      </c>
      <c r="D25860" s="4"/>
    </row>
    <row collapsed="" customFormat="false" customHeight="1" hidden="" ht="14" outlineLevel="0" r="25861">
      <c r="A25861" s="3" t="inlineStr">
        <is>
          <t>25755</t>
        </is>
      </c>
      <c r="B25861" s="4" t="s">
        <f>=HYPERLINK("http://anyluxury.ru/shop/posuda/lanch-boksy/lanchboks-aladdin-bolshoy-zeleniy-1315090/" , "13150.90 Ланчбокс Aladdin, большой, зеленый")</f>
      </c>
      <c r="C25861" s="4" t="n">
        <v>580.00</v>
      </c>
      <c r="D25861" s="4"/>
    </row>
    <row collapsed="" customFormat="false" customHeight="1" hidden="" ht="14" outlineLevel="0" r="25862">
      <c r="A25862" s="3" t="inlineStr">
        <is>
          <t>25756</t>
        </is>
      </c>
      <c r="B25862" s="4" t="s">
        <f>=HYPERLINK("http://anyluxury.ru/shop/posuda/lanch-boksy/termolanchboks-aladdin-krasniy-1315150/" , "13151.50 Термоланчбокс Aladdin, красный")</f>
      </c>
      <c r="C25862" s="4" t="n">
        <v>960.00</v>
      </c>
      <c r="D25862" s="4"/>
    </row>
    <row collapsed="" customFormat="false" customHeight="1" hidden="" ht="14" outlineLevel="0" r="25863">
      <c r="A25863" s="3" t="inlineStr">
        <is>
          <t>25757</t>
        </is>
      </c>
      <c r="B25863" s="4" t="s">
        <f>=HYPERLINK("http://anyluxury.ru/shop/posuda/lanch-boksy/lanchboks-neat-bento-bolshoy-rozoviy-1260615/" , "12606.15 Ланчбокс Neat Bento, большой, розовый")</f>
      </c>
      <c r="C25863" s="4" t="n">
        <v>3790.00</v>
      </c>
      <c r="D25863" s="4"/>
    </row>
    <row collapsed="" customFormat="false" customHeight="1" hidden="" ht="14" outlineLevel="0" r="25864">
      <c r="A25864" s="3" t="inlineStr">
        <is>
          <t>25758</t>
        </is>
      </c>
      <c r="B25864" s="4" t="s">
        <f>=HYPERLINK("http://anyluxury.ru/shop/posuda/lanch-boksy/nabor-konteynerov-neat-stack-1261600/" , "12616.00 Набор контейнеров Neat Stack")</f>
      </c>
      <c r="C25864" s="4" t="n">
        <v>890.00</v>
      </c>
      <c r="D25864" s="4"/>
    </row>
    <row collapsed="" customFormat="false" customHeight="1" hidden="" ht="14" outlineLevel="0" r="25865">
      <c r="A25865" s="3" t="inlineStr">
        <is>
          <t>25759</t>
        </is>
      </c>
      <c r="B25865" s="4" t="s">
        <f>=HYPERLINK("http://anyluxury.ru/shop/posuda/lanch-boksy/lanchboks-basic-organic-rozoviy-1347051/" , "13470.51 Ланчбокс Basic Organic, розовый")</f>
      </c>
      <c r="C25865" s="4" t="n">
        <v>920.00</v>
      </c>
      <c r="D25865" s="4"/>
    </row>
    <row collapsed="" customFormat="false" customHeight="1" hidden="" ht="14" outlineLevel="0" r="25866">
      <c r="A25866" s="3" t="inlineStr">
        <is>
          <t>25760</t>
        </is>
      </c>
      <c r="B25866" s="4" t="s">
        <f>=HYPERLINK("http://anyluxury.ru/shop/posuda/lanch-boksy/lanchboks-basic-organic-siniy-1347040/" , "13470.40 Ланчбокс Basic Organic, синий")</f>
      </c>
      <c r="C25866" s="4" t="n">
        <v>920.00</v>
      </c>
      <c r="D25866" s="4"/>
    </row>
    <row collapsed="" customFormat="false" customHeight="1" hidden="" ht="14" outlineLevel="0" r="25867">
      <c r="A25867" s="3" t="inlineStr">
        <is>
          <t>25761</t>
        </is>
      </c>
      <c r="B25867" s="4" t="s">
        <f>=HYPERLINK("http://anyluxury.ru/shop/posuda/lanch-boksy/lanchboks-basic-beliy-1347160/" , "13471.60 Ланчбокс Basic, белый")</f>
      </c>
      <c r="C25867" s="4" t="n">
        <v>810.00</v>
      </c>
      <c r="D25867" s="4"/>
    </row>
    <row collapsed="" customFormat="false" customHeight="1" hidden="" ht="14" outlineLevel="0" r="25868">
      <c r="A25868" s="3" t="inlineStr">
        <is>
          <t>25762</t>
        </is>
      </c>
      <c r="B25868" s="4" t="s">
        <f>=HYPERLINK("http://anyluxury.ru/shop/posuda/lanch-boksy/lanchboks-basic-rozoviy-1347151/" , "13471.51 Ланчбокс Basic, розовый")</f>
      </c>
      <c r="C25868" s="4" t="n">
        <v>720.00</v>
      </c>
      <c r="D25868" s="4"/>
    </row>
    <row collapsed="" customFormat="false" customHeight="1" hidden="" ht="14" outlineLevel="0" r="25869">
      <c r="A25869" s="3" t="inlineStr">
        <is>
          <t>25763</t>
        </is>
      </c>
      <c r="B25869" s="4" t="s">
        <f>=HYPERLINK("http://anyluxury.ru/shop/posuda/lanch-boksy/lanchboks-basic-organic-zeleniy-1347090/" , "13470.90 Ланчбокс Basic Organic, зеленый")</f>
      </c>
      <c r="C25869" s="4" t="n">
        <v>920.00</v>
      </c>
      <c r="D25869" s="4"/>
    </row>
    <row collapsed="" customFormat="false" customHeight="1" hidden="" ht="14" outlineLevel="0" r="25870">
      <c r="A25870" s="3" t="inlineStr">
        <is>
          <t>25764</t>
        </is>
      </c>
      <c r="B25870" s="4" t="s">
        <f>=HYPERLINK("http://anyluxury.ru/shop/posuda/lanch-boksy/lanchboks-basic-organic-seriy-1347011/" , "13470.11 Ланчбокс Basic Organic, серый")</f>
      </c>
      <c r="C25870" s="4" t="n">
        <v>920.00</v>
      </c>
      <c r="D25870" s="4"/>
    </row>
    <row collapsed="" customFormat="false" customHeight="1" hidden="" ht="14" outlineLevel="0" r="25871">
      <c r="A25871" s="3" t="inlineStr">
        <is>
          <t>25765</t>
        </is>
      </c>
      <c r="B25871" s="4" t="s">
        <f>=HYPERLINK("http://anyluxury.ru/shop/posuda/lanch-boksy/lanchboks-basic-seriy-1347111/" , "13471.11 Ланчбокс Basic, серый")</f>
      </c>
      <c r="C25871" s="4" t="n">
        <v>720.00</v>
      </c>
      <c r="D25871" s="4"/>
    </row>
    <row collapsed="" customFormat="false" customHeight="1" hidden="" ht="14" outlineLevel="0" r="25872">
      <c r="A25872" s="3" t="inlineStr">
        <is>
          <t>25766</t>
        </is>
      </c>
      <c r="B25872" s="4" t="s">
        <f>=HYPERLINK("http://anyluxury.ru/shop/posuda/lanch-boksy/lanchboks-basic-zeleniy-1347190/" , "13471.90 Ланчбокс Basic, зеленый")</f>
      </c>
      <c r="C25872" s="4" t="n">
        <v>720.00</v>
      </c>
      <c r="D25872" s="4"/>
    </row>
    <row collapsed="" customFormat="false" customHeight="1" hidden="" ht="14" outlineLevel="0" r="25873">
      <c r="A25873" s="3" t="inlineStr">
        <is>
          <t>25767</t>
        </is>
      </c>
      <c r="B25873" s="4" t="s">
        <f>=HYPERLINK("http://anyluxury.ru/shop/posuda/lanch-boksy/lanchboks-club-bento-organic-seriy-1354211/" , "13542.11 Ланчбокс Club Bento Organic, серый")</f>
      </c>
      <c r="C25873" s="4" t="n">
        <v>3350.00</v>
      </c>
      <c r="D25873" s="4"/>
    </row>
    <row collapsed="" customFormat="false" customHeight="1" hidden="" ht="14" outlineLevel="0" r="25874">
      <c r="A25874" s="3" t="inlineStr">
        <is>
          <t>25768</t>
        </is>
      </c>
      <c r="B25874" s="4" t="s">
        <f>=HYPERLINK("http://anyluxury.ru/shop/posuda/lanch-boksy/lanchboks-club-bento-organic-siniy-1354240/" , "13542.40 Ланчбокс Club Bento Organic, синий")</f>
      </c>
      <c r="C25874" s="4" t="n">
        <v>3350.00</v>
      </c>
      <c r="D25874" s="4"/>
    </row>
    <row collapsed="" customFormat="false" customHeight="1" hidden="" ht="14" outlineLevel="0" r="25875">
      <c r="A25875" s="3" t="inlineStr">
        <is>
          <t>25769</t>
        </is>
      </c>
      <c r="B25875" s="4" t="s">
        <f>=HYPERLINK("http://anyluxury.ru/shop/posuda/lanch-boksy/lanchboks-miaou-beliy-1347260/" , "13472.60 Ланчбокс Miaou, белый")</f>
      </c>
      <c r="C25875" s="4" t="n">
        <v>790.00</v>
      </c>
      <c r="D25875" s="4"/>
    </row>
    <row collapsed="" customFormat="false" customHeight="1" hidden="" ht="14" outlineLevel="0" r="25876">
      <c r="A25876" s="3" t="inlineStr">
        <is>
          <t>25770</t>
        </is>
      </c>
      <c r="B25876" s="4" t="s">
        <f>=HYPERLINK("http://anyluxury.ru/shop/posuda/lanch-boksy/lanchboks-pascal-organic-bolshoy-siniy-1347340/" , "13473.40 Ланчбокс Pascal Organic, большой, синий")</f>
      </c>
      <c r="C25876" s="4" t="n">
        <v>1750.00</v>
      </c>
      <c r="D25876" s="4"/>
    </row>
    <row collapsed="" customFormat="false" customHeight="1" hidden="" ht="14" outlineLevel="0" r="25877">
      <c r="A25877" s="3" t="inlineStr">
        <is>
          <t>25771</t>
        </is>
      </c>
      <c r="B25877" s="4" t="s">
        <f>=HYPERLINK("http://anyluxury.ru/shop/posuda/lanch-boksy/lanchboks-pascal-organic-bolshoy-zeleniy-1347390/" , "13473.90 Ланчбокс Pascal Organic, большой, зеленый")</f>
      </c>
      <c r="C25877" s="4" t="n">
        <v>1750.00</v>
      </c>
      <c r="D25877" s="4"/>
    </row>
    <row collapsed="" customFormat="false" customHeight="1" hidden="" ht="14" outlineLevel="0" r="25878">
      <c r="A25878" s="3" t="inlineStr">
        <is>
          <t>25772</t>
        </is>
      </c>
      <c r="B25878" s="4" t="s">
        <f>=HYPERLINK("http://anyluxury.ru/shop/posuda/lanch-boksy/lanchboks-pascal-organic-bolshoy-rozoviy-1347350/" , "13473.50 Ланчбокс Pascal Organic, большой, розовый")</f>
      </c>
      <c r="C25878" s="4" t="n">
        <v>1750.00</v>
      </c>
      <c r="D25878" s="4"/>
    </row>
    <row collapsed="" customFormat="false" customHeight="1" hidden="" ht="14" outlineLevel="0" r="25879">
      <c r="A25879" s="3" t="inlineStr">
        <is>
          <t>25773</t>
        </is>
      </c>
      <c r="B25879" s="4" t="s">
        <f>=HYPERLINK("http://anyluxury.ru/shop/posuda/lanch-boksy/lanchboks-pascal-organic-bolshoy-seriy-1347311/" , "13473.11 Ланчбокс Pascal Organic, большой, серый")</f>
      </c>
      <c r="C25879" s="4" t="n">
        <v>1750.00</v>
      </c>
      <c r="D25879" s="4"/>
    </row>
    <row collapsed="" customFormat="false" customHeight="1" hidden="" ht="14" outlineLevel="0" r="25880">
      <c r="A25880" s="3" t="inlineStr">
        <is>
          <t>25774</t>
        </is>
      </c>
      <c r="B25880" s="4" t="s">
        <f>=HYPERLINK("http://anyluxury.ru/shop/posuda/lanch-boksy/lanchboks-pascal-mini-organic-siniy-1347440/" , "13474.40 Ланчбокс Pascal Mini Organic, синий")</f>
      </c>
      <c r="C25880" s="4" t="n">
        <v>530.00</v>
      </c>
      <c r="D25880" s="4"/>
    </row>
    <row collapsed="" customFormat="false" customHeight="1" hidden="" ht="14" outlineLevel="0" r="25881">
      <c r="A25881" s="3" t="inlineStr">
        <is>
          <t>25775</t>
        </is>
      </c>
      <c r="B25881" s="4" t="s">
        <f>=HYPERLINK("http://anyluxury.ru/shop/posuda/lanch-boksy/lanchboks-pascal-mini-organic-zeleniy-1347490/" , "13474.90 Ланчбокс Pascal Mini Organic, зеленый")</f>
      </c>
      <c r="C25881" s="4" t="n">
        <v>530.00</v>
      </c>
      <c r="D25881" s="4"/>
    </row>
    <row collapsed="" customFormat="false" customHeight="1" hidden="" ht="14" outlineLevel="0" r="25882">
      <c r="A25882" s="3" t="inlineStr">
        <is>
          <t>25776</t>
        </is>
      </c>
      <c r="B25882" s="4" t="s">
        <f>=HYPERLINK("http://anyluxury.ru/shop/posuda/lanch-boksy/lanchboks-pascal-mini-organic-rozoviy-1347451/" , "13474.51 Ланчбокс Pascal Mini Organic, розовый")</f>
      </c>
      <c r="C25882" s="4" t="n">
        <v>530.00</v>
      </c>
      <c r="D25882" s="4"/>
    </row>
    <row collapsed="" customFormat="false" customHeight="1" hidden="" ht="14" outlineLevel="0" r="25883">
      <c r="A25883" s="3" t="inlineStr">
        <is>
          <t>25777</t>
        </is>
      </c>
      <c r="B25883" s="4" t="s">
        <f>=HYPERLINK("http://anyluxury.ru/shop/posuda/lanch-boksy/lanchboks-pascal-mini-organic-seriy-1347411/" , "13474.11 Ланчбокс Pascal Mini Organic, серый")</f>
      </c>
      <c r="C25883" s="4" t="n">
        <v>420.00</v>
      </c>
      <c r="D25883" s="4"/>
    </row>
    <row collapsed="" customFormat="false" customHeight="1" hidden="" ht="14" outlineLevel="0" r="25884">
      <c r="A25884" s="3" t="inlineStr">
        <is>
          <t>25778</t>
        </is>
      </c>
      <c r="B25884" s="4" t="s">
        <f>=HYPERLINK("http://anyluxury.ru/shop/posuda/lanch-boksy/lanchboks-pascal-mini-beliy-1347460/" , "13474.60 Ланчбокс Pascal Mini, белый")</f>
      </c>
      <c r="C25884" s="4" t="n">
        <v>420.00</v>
      </c>
      <c r="D25884" s="4"/>
    </row>
    <row collapsed="" customFormat="false" customHeight="1" hidden="" ht="14" outlineLevel="0" r="25885">
      <c r="A25885" s="3" t="inlineStr">
        <is>
          <t>25779</t>
        </is>
      </c>
      <c r="B25885" s="4" t="s">
        <f>=HYPERLINK("http://anyluxury.ru/shop/posuda/lanch-boksy/lanchboks-pascal-mini-cherniy-1347430/" , "13474.30 Ланчбокс Pascal Mini, черный")</f>
      </c>
      <c r="C25885" s="4" t="n">
        <v>420.00</v>
      </c>
      <c r="D25885" s="4"/>
    </row>
    <row collapsed="" customFormat="false" customHeight="1" hidden="" ht="14" outlineLevel="0" r="25886">
      <c r="A25886" s="3" t="inlineStr">
        <is>
          <t>25780</t>
        </is>
      </c>
      <c r="B25886" s="4" t="s">
        <f>=HYPERLINK("http://anyluxury.ru/shop/posuda/lanch-boksy/lanchboks-pascal-organic-maliy-siniy-1347540/" , "13475.40 Ланчбокс Pascal Organic, малый, синий")</f>
      </c>
      <c r="C25886" s="4" t="n">
        <v>850.00</v>
      </c>
      <c r="D25886" s="4"/>
    </row>
    <row collapsed="" customFormat="false" customHeight="1" hidden="" ht="14" outlineLevel="0" r="25887">
      <c r="A25887" s="3" t="inlineStr">
        <is>
          <t>25781</t>
        </is>
      </c>
      <c r="B25887" s="4" t="s">
        <f>=HYPERLINK("http://anyluxury.ru/shop/posuda/lanch-boksy/lanchboks-pascal-organic-maliy-zeleniy-1347590/" , "13475.90 Ланчбокс Pascal Organic, малый, зеленый")</f>
      </c>
      <c r="C25887" s="4" t="n">
        <v>850.00</v>
      </c>
      <c r="D25887" s="4"/>
    </row>
    <row collapsed="" customFormat="false" customHeight="1" hidden="" ht="14" outlineLevel="0" r="25888">
      <c r="A25888" s="3" t="inlineStr">
        <is>
          <t>25782</t>
        </is>
      </c>
      <c r="B25888" s="4" t="s">
        <f>=HYPERLINK("http://anyluxury.ru/shop/posuda/lanch-boksy/lanchboks-pascal-organic-maliy-rozoviy-1347551/" , "13475.51 Ланчбокс Pascal Organic, малый, розовый")</f>
      </c>
      <c r="C25888" s="4" t="n">
        <v>850.00</v>
      </c>
      <c r="D25888" s="4"/>
    </row>
    <row collapsed="" customFormat="false" customHeight="1" hidden="" ht="14" outlineLevel="0" r="25889">
      <c r="A25889" s="3" t="inlineStr">
        <is>
          <t>25783</t>
        </is>
      </c>
      <c r="B25889" s="4" t="s">
        <f>=HYPERLINK("http://anyluxury.ru/shop/posuda/lanch-boksy/lanchboks-pascal-organic-maliy-seriy-1347511/" , "13475.11 Ланчбокс Pascal Organic, малый, серый")</f>
      </c>
      <c r="C25889" s="4" t="n">
        <v>850.00</v>
      </c>
      <c r="D25889" s="4"/>
    </row>
    <row collapsed="" customFormat="false" customHeight="1" hidden="" ht="14" outlineLevel="0" r="25890">
      <c r="A25890" s="3" t="inlineStr">
        <is>
          <t>25784</t>
        </is>
      </c>
      <c r="B25890" s="4" t="s">
        <f>=HYPERLINK("http://anyluxury.ru/shop/posuda/lanch-boksy/nabor-lanchboksov-so-stolovimi-priborami-pascal-organic-zeleniy-1349290/" , "13492.90 Набор ланчбоксов со столовыми приборами Pascal Organic, зеленый")</f>
      </c>
      <c r="C25890" s="4" t="n">
        <v>3350.00</v>
      </c>
      <c r="D25890" s="4"/>
    </row>
    <row collapsed="" customFormat="false" customHeight="1" hidden="" ht="14" outlineLevel="0" r="25891">
      <c r="A25891" s="3" t="inlineStr">
        <is>
          <t>25785</t>
        </is>
      </c>
      <c r="B25891" s="4" t="s">
        <f>=HYPERLINK("http://anyluxury.ru/shop/posuda/lanch-boksy/nabor-lanchboksov-so-stolovimi-priborami-pascal-organic-rozoviy-1349251/" , "13492.51 Набор ланчбоксов со столовыми приборами Pascal Organic, розовый")</f>
      </c>
      <c r="C25891" s="4" t="n">
        <v>3350.00</v>
      </c>
      <c r="D25891" s="4"/>
    </row>
    <row collapsed="" customFormat="false" customHeight="1" hidden="" ht="14" outlineLevel="0" r="25892">
      <c r="A25892" s="3" t="inlineStr">
        <is>
          <t>25786</t>
        </is>
      </c>
      <c r="B25892" s="4" t="s">
        <f>=HYPERLINK("http://anyluxury.ru/shop/posuda/lanch-boksy/nabor-lanchboksov-so-stolovimi-priborami-pascal-organic-seriy-1349211/" , "13492.11 Набор ланчбоксов со столовыми приборами Pascal Organic, серый")</f>
      </c>
      <c r="C25892" s="4" t="n">
        <v>3350.00</v>
      </c>
      <c r="D25892" s="4"/>
    </row>
    <row collapsed="" customFormat="false" customHeight="1" hidden="" ht="14" outlineLevel="0" r="25893">
      <c r="A25893" s="3" t="inlineStr">
        <is>
          <t>25787</t>
        </is>
      </c>
      <c r="B25893" s="4" t="s">
        <f>=HYPERLINK("http://anyluxury.ru/shop/posuda/lanch-boksy/nabor-lanchboksov-so-stolovimi-priborami-pascal-organic-siniy-1349240/" , "13492.40 Набор ланчбоксов со столовыми приборами Pascal Organic, синий")</f>
      </c>
      <c r="C25893" s="4" t="n">
        <v>3350.00</v>
      </c>
      <c r="D25893" s="4"/>
    </row>
    <row collapsed="" customFormat="false" customHeight="1" hidden="" ht="14" outlineLevel="0" r="25894">
      <c r="A25894" s="3" t="inlineStr">
        <is>
          <t>25788</t>
        </is>
      </c>
      <c r="B25894" s="4" t="s">
        <f>=HYPERLINK("http://anyluxury.ru/shop/posuda/lanch-boksy/nabor-stolovih-priborov-v-chehle-personals-1270100/" , "12701.00 Набор столовых приборов в чехле Personals")</f>
      </c>
      <c r="C25894" s="4" t="n">
        <v>759.00</v>
      </c>
      <c r="D25894" s="4"/>
    </row>
    <row collapsed="" customFormat="false" customHeight="1" hidden="" ht="14" outlineLevel="0" r="25895">
      <c r="A25895" s="3" t="inlineStr">
        <is>
          <t>25789</t>
        </is>
      </c>
      <c r="B25895" s="4" t="s">
        <f>=HYPERLINK("http://anyluxury.ru/shop/posuda/lanch-boksy/lanchboks-s-pechatyu-sompleto-na-zakaz-1896401/" , "18964.01 Ланчбокс с печатью Сompleto на заказ")</f>
      </c>
      <c r="C25895" s="4" t="n">
        <v>224.00</v>
      </c>
      <c r="D25895" s="4"/>
    </row>
    <row collapsed="" customFormat="false" customHeight="1" hidden="" ht="14" outlineLevel="0" r="25896">
      <c r="A25896" s="3" t="inlineStr">
        <is>
          <t>25790</t>
        </is>
      </c>
      <c r="B25896" s="4" t="s">
        <f>=HYPERLINK("http://anyluxury.ru/shop/posuda/lanch-boksy/lanchboks-s-pechatyu-travel-box-na-zakaz-1895801/" , "18958.01 Ланчбокс с печатью Travel Box на заказ")</f>
      </c>
      <c r="C25896" s="4" t="n">
        <v>201.20</v>
      </c>
      <c r="D25896" s="4"/>
    </row>
    <row collapsed="" customFormat="false" customHeight="1" hidden="" ht="14" outlineLevel="0" r="25897">
      <c r="A25897" s="3" t="inlineStr">
        <is>
          <t>25791</t>
        </is>
      </c>
      <c r="B25897" s="4" t="s">
        <f>=HYPERLINK("http://anyluxury.ru/shop/posuda/lanch-boksy/lanchboks-pure-cherniy-1533630/" , "15336.30 Ланчбокс Pure, черный")</f>
      </c>
      <c r="C25897" s="4" t="n">
        <v>696.00</v>
      </c>
      <c r="D25897" s="4"/>
    </row>
    <row collapsed="" customFormat="false" customHeight="1" hidden="" ht="14" outlineLevel="0" r="25898">
      <c r="A25898" s="3" t="inlineStr">
        <is>
          <t>25792</t>
        </is>
      </c>
      <c r="B25898" s="4" t="s">
        <f>=HYPERLINK("http://anyluxury.ru/shop/posuda/lanch-boksy/lanchboks-pure-zeleniy-1533690/" , "15336.90 Ланчбокс Pure, зеленый")</f>
      </c>
      <c r="C25898" s="4" t="n">
        <v>696.00</v>
      </c>
      <c r="D25898" s="4"/>
    </row>
    <row collapsed="" customFormat="false" customHeight="1" hidden="" ht="14" outlineLevel="0" r="25899">
      <c r="A25899" s="3" t="inlineStr">
        <is>
          <t>25793</t>
        </is>
      </c>
      <c r="B25899" s="4" t="s">
        <f>=HYPERLINK("http://anyluxury.ru/shop/posuda/lanch-boksy/konteynerkruzhka-s-klapanom-loki-na-zakaz-1899901/" , "18999.01 Контейнер-кружка с клапаном Loki на заказ")</f>
      </c>
      <c r="C25899" s="4" t="n">
        <v>140.00</v>
      </c>
      <c r="D25899" s="4"/>
    </row>
    <row collapsed="" customFormat="false" customHeight="1" hidden="" ht="14" outlineLevel="0" r="25900">
      <c r="A25900" s="3" t="inlineStr">
        <is>
          <t>25794</t>
        </is>
      </c>
      <c r="B25900" s="4" t="s">
        <f>=HYPERLINK("http://anyluxury.ru/shop/posuda/lanch-boksy/konteyner-dlya-produktov-kontti-na-zakaz-1892901/" , "18929.01 Контейнер для продуктов Kontti на заказ")</f>
      </c>
      <c r="C25900" s="4" t="n">
        <v>118.80</v>
      </c>
      <c r="D25900" s="4"/>
    </row>
    <row collapsed="" customFormat="false" customHeight="1" hidden="" ht="14" outlineLevel="0" r="25901">
      <c r="A25901" s="3" t="inlineStr">
        <is>
          <t>25795</t>
        </is>
      </c>
      <c r="B25901" s="4" t="s">
        <f>=HYPERLINK("http://anyluxury.ru/shop/posuda/lanch-boksy/lanchboks-pod-sublimaciyu-imagery-beliy-1546861/" , "15468.61 Ланчбокс под сублимацию Imagery, белый")</f>
      </c>
      <c r="C25901" s="4" t="n">
        <v>838.30</v>
      </c>
      <c r="D25901" s="4"/>
    </row>
    <row collapsed="" customFormat="false" customHeight="1" hidden="" ht="14" outlineLevel="0" r="25902">
      <c r="A25902" s="3" t="inlineStr">
        <is>
          <t>25796</t>
        </is>
      </c>
      <c r="B25902" s="4" t="s">
        <f>=HYPERLINK("http://anyluxury.ru/shop/posuda/lanch-boksy/lanchboks-s-pechatyu-lunch-time-na-zakaz-1853801/" , "18538.01 Ланчбокс с печатью Lunch Time на заказ")</f>
      </c>
      <c r="C25902" s="4" t="n">
        <v>156.00</v>
      </c>
      <c r="D25902" s="4"/>
    </row>
    <row collapsed="" customFormat="false" customHeight="1" hidden="" ht="14" outlineLevel="0" r="25903">
      <c r="A25903" s="3" t="inlineStr">
        <is>
          <t>25797</t>
        </is>
      </c>
      <c r="B25903" s="4" t="s">
        <f>=HYPERLINK("http://anyluxury.ru/shop/posuda/lanch-boksy/konteyner-dlya-buterbrodov-panini-na-zakaz-1853901/" , "18539.01 Контейнер для бутербродов Panini на заказ")</f>
      </c>
      <c r="C25903" s="4" t="n">
        <v>152.80</v>
      </c>
      <c r="D25903" s="4"/>
    </row>
    <row collapsed="" customFormat="false" customHeight="" hidden="" ht="12.1" outlineLevel="0" r="25904">
      <c r="A25904" s="5" t="inlineStr">
        <is>
          <t> -  - Наборы посуды</t>
        </is>
      </c>
      <c r="B25904" s="6"/>
      <c r="C25904" s="6"/>
      <c r="D25904" s="6"/>
    </row>
    <row collapsed="" customFormat="false" customHeight="1" hidden="" ht="14" outlineLevel="0" r="25905">
      <c r="A25905" s="3" t="inlineStr">
        <is>
          <t>25798</t>
        </is>
      </c>
      <c r="B25905" s="4" t="s">
        <f>=HYPERLINK("http://anyluxury.ru/shop/posuda/nabory-posudy/chaynaya-para-maxim-diamond-molochnobelaya-3870/" , "3870 Чайная пара Maxim Diamond, молочно-белая")</f>
      </c>
      <c r="C25905" s="4" t="n">
        <v>2157.00</v>
      </c>
      <c r="D25905" s="4"/>
    </row>
    <row collapsed="" customFormat="false" customHeight="1" hidden="" ht="14" outlineLevel="0" r="25906">
      <c r="A25906" s="3" t="inlineStr">
        <is>
          <t>25799</t>
        </is>
      </c>
      <c r="B25906" s="4" t="s">
        <f>=HYPERLINK("http://anyluxury.ru/shop/posuda/nabory-posudy/kofeynaya-para-venice-3874/" , "3874 Кофейная пара Venice")</f>
      </c>
      <c r="C25906" s="4" t="n">
        <v>1050.00</v>
      </c>
      <c r="D25906" s="4"/>
    </row>
    <row collapsed="" customFormat="false" customHeight="1" hidden="" ht="14" outlineLevel="0" r="25907">
      <c r="A25907" s="3" t="inlineStr">
        <is>
          <t>25800</t>
        </is>
      </c>
      <c r="B25907" s="4" t="s">
        <f>=HYPERLINK("http://anyluxury.ru/shop/posuda/nabory-posudy/chaynaya-para-effekto-ver2-554701/" , "5547.01 Чайная пара «Эффекто», ver.2")</f>
      </c>
      <c r="C25907" s="4" t="n">
        <v>394.00</v>
      </c>
      <c r="D25907" s="4"/>
    </row>
    <row collapsed="" customFormat="false" customHeight="1" hidden="" ht="14" outlineLevel="0" r="25908">
      <c r="A25908" s="3" t="inlineStr">
        <is>
          <t>25801</t>
        </is>
      </c>
      <c r="B25908" s="4" t="s">
        <f>=HYPERLINK("http://anyluxury.ru/shop/posuda/nabory-posudy/chaynaya-para-diamante-bianco-belaya-793060/" , "7930.60 Чайная пара Diamante Bianco, белая")</f>
      </c>
      <c r="C25908" s="4" t="n">
        <v>815.70</v>
      </c>
      <c r="D25908" s="4"/>
    </row>
    <row collapsed="" customFormat="false" customHeight="1" hidden="" ht="14" outlineLevel="0" r="25909">
      <c r="A25909" s="3" t="inlineStr">
        <is>
          <t>25802</t>
        </is>
      </c>
      <c r="B25909" s="4" t="s">
        <f>=HYPERLINK("http://anyluxury.ru/shop/posuda/nabory-posudy/nabor-diamante-bianco-na-1-personu-maliy-5555501/" , "55555.01 Набор Diamante Bianco на 1 персону, малый")</f>
      </c>
      <c r="C25909" s="4" t="n">
        <v>2208.00</v>
      </c>
      <c r="D25909" s="4"/>
    </row>
    <row collapsed="" customFormat="false" customHeight="1" hidden="" ht="14" outlineLevel="0" r="25910">
      <c r="A25910" s="3" t="inlineStr">
        <is>
          <t>25803</t>
        </is>
      </c>
      <c r="B25910" s="4" t="s">
        <f>=HYPERLINK("http://anyluxury.ru/shop/posuda/nabory-posudy/nabor-riposo-na-2-personi-bolshoy-5555722/" , "55557.22 Набор Riposo на 2 персоны, большой")</f>
      </c>
      <c r="C25910" s="4" t="n">
        <v>4529.00</v>
      </c>
      <c r="D25910" s="4"/>
    </row>
    <row collapsed="" customFormat="false" customHeight="1" hidden="" ht="14" outlineLevel="0" r="25911">
      <c r="A25911" s="3" t="inlineStr">
        <is>
          <t>25804</t>
        </is>
      </c>
      <c r="B25911" s="4" t="s">
        <f>=HYPERLINK("http://anyluxury.ru/shop/posuda/nabory-posudy/nabor-riposo-na-2-personi-maliy-5555702/" , "55557.02 Набор Riposo на 2 персоны, малый")</f>
      </c>
      <c r="C25911" s="4" t="n">
        <v>3834.00</v>
      </c>
      <c r="D25911" s="4"/>
    </row>
    <row collapsed="" customFormat="false" customHeight="1" hidden="" ht="14" outlineLevel="0" r="25912">
      <c r="A25912" s="3" t="inlineStr">
        <is>
          <t>25805</t>
        </is>
      </c>
      <c r="B25912" s="4" t="s">
        <f>=HYPERLINK("http://anyluxury.ru/shop/posuda/nabory-posudy/chayniy-nabor-crystal-clear-7387400/" , "73874.00 Чайный набор Crystal Clear")</f>
      </c>
      <c r="C25912" s="4" t="n">
        <v>1850.00</v>
      </c>
      <c r="D25912" s="4"/>
    </row>
    <row collapsed="" customFormat="false" customHeight="1" hidden="" ht="14" outlineLevel="0" r="25913">
      <c r="A25913" s="3" t="inlineStr">
        <is>
          <t>25806</t>
        </is>
      </c>
      <c r="B25913" s="4" t="s">
        <f>=HYPERLINK("http://anyluxury.ru/shop/posuda/nabory-posudy/chaynaya-para-v-podarochnoy-upakovke-1/" , "BR-M4 Чайная пара в подарочной упаковке")</f>
      </c>
      <c r="C25913" s="4" t="n">
        <v>1460.00</v>
      </c>
      <c r="D25913" s="4"/>
    </row>
    <row collapsed="" customFormat="false" customHeight="1" hidden="" ht="14" outlineLevel="0" r="25914">
      <c r="A25914" s="3" t="inlineStr">
        <is>
          <t>25807</t>
        </is>
      </c>
      <c r="B25914" s="4" t="s">
        <f>=HYPERLINK("http://anyluxury.ru/shop/posuda/nabory-posudy/chayniy-nabor-egoist-ver2-beliy-647961/" , "6479.61 Чайный набор «Эгоист», белый")</f>
      </c>
      <c r="C25914" s="4" t="n">
        <v>1169.00</v>
      </c>
      <c r="D25914" s="4"/>
    </row>
    <row collapsed="" customFormat="false" customHeight="1" hidden="" ht="14" outlineLevel="0" r="25915">
      <c r="A25915" s="3" t="inlineStr">
        <is>
          <t>25808</t>
        </is>
      </c>
      <c r="B25915" s="4" t="s">
        <f>=HYPERLINK("http://anyluxury.ru/shop/posuda/nabory-posudy/nabor-piacente-saharnica-i-kruzhka-1794260/" , "17942.60 Набор Piacente: сахарница и кружка")</f>
      </c>
      <c r="C25915" s="4" t="n">
        <v>2840.00</v>
      </c>
      <c r="D25915" s="4"/>
    </row>
    <row collapsed="" customFormat="false" customHeight="1" hidden="" ht="14" outlineLevel="0" r="25916">
      <c r="A25916" s="3" t="inlineStr">
        <is>
          <t>25809</t>
        </is>
      </c>
      <c r="B25916" s="4" t="s">
        <f>=HYPERLINK("http://anyluxury.ru/shop/posuda/nabory-posudy/chaynaya-para-mansion-fretwork-1092860/" , "10928.60 Чайная пара Mansion Fretwork")</f>
      </c>
      <c r="C25916" s="4" t="n">
        <v>1115.00</v>
      </c>
      <c r="D25916" s="4"/>
    </row>
    <row collapsed="" customFormat="false" customHeight="1" hidden="" ht="14" outlineLevel="0" r="25917">
      <c r="A25917" s="3" t="inlineStr">
        <is>
          <t>25810</t>
        </is>
      </c>
      <c r="B25917" s="4" t="s">
        <f>=HYPERLINK("http://anyluxury.ru/shop/posuda/nabory-posudy/nabor-kruzhek-s-dvoynimi-stenkami-gap-1167300/" , "11673.00 Набор из 2 кружек с двойными стенками Gap")</f>
      </c>
      <c r="C25917" s="4" t="n">
        <v>1557.00</v>
      </c>
      <c r="D25917" s="4"/>
    </row>
    <row collapsed="" customFormat="false" customHeight="1" hidden="" ht="14" outlineLevel="0" r="25918">
      <c r="A25918" s="3" t="inlineStr">
        <is>
          <t>25811</t>
        </is>
      </c>
      <c r="B25918" s="4" t="s">
        <f>=HYPERLINK("http://anyluxury.ru/shop/posuda/nabory-posudy/nabor-chashek-legio-nova-beliy-1485860/" , "14858.60 Набор из 2 чашек Legio Nova, белый")</f>
      </c>
      <c r="C25918" s="4" t="n">
        <v>3790.00</v>
      </c>
      <c r="D25918" s="4"/>
    </row>
    <row collapsed="" customFormat="false" customHeight="1" hidden="" ht="14" outlineLevel="0" r="25919">
      <c r="A25919" s="3" t="inlineStr">
        <is>
          <t>25812</t>
        </is>
      </c>
      <c r="B25919" s="4" t="s">
        <f>=HYPERLINK("http://anyluxury.ru/shop/posuda/nabory-posudy/nabor-chashek-dlya-kofe-utility-seriy-1451200/" , "14512.00 Набор из 2 чашек для кофе Utility, серый")</f>
      </c>
      <c r="C25919" s="4" t="n">
        <v>2750.00</v>
      </c>
      <c r="D25919" s="4"/>
    </row>
    <row collapsed="" customFormat="false" customHeight="1" hidden="" ht="14" outlineLevel="0" r="25920">
      <c r="A25920" s="3" t="inlineStr">
        <is>
          <t>25813</t>
        </is>
      </c>
      <c r="B25920" s="4" t="s">
        <f>=HYPERLINK("http://anyluxury.ru/shop/posuda/nabory-posudy/nabor-chashek-dlya-espresso-utility-seriy-1451300/" , "14513.00 Набор из 2 чашек для эспрессо Utility, серый")</f>
      </c>
      <c r="C25920" s="4" t="n">
        <v>2390.00</v>
      </c>
      <c r="D25920" s="4"/>
    </row>
    <row collapsed="" customFormat="false" customHeight="1" hidden="" ht="14" outlineLevel="0" r="25921">
      <c r="A25921" s="3" t="inlineStr">
        <is>
          <t>25814</t>
        </is>
      </c>
      <c r="B25921" s="4" t="s">
        <f>=HYPERLINK("http://anyluxury.ru/shop/posuda/nabory-posudy/nabor-malih-chashek-s-blyudcem-dine-beliy-1454960/" , "14549.60 Набор из 4 малых чашек с блюдцем Dine, белый")</f>
      </c>
      <c r="C25921" s="4" t="n">
        <v>4790.00</v>
      </c>
      <c r="D25921" s="4"/>
    </row>
    <row collapsed="" customFormat="false" customHeight="1" hidden="" ht="14" outlineLevel="0" r="25922">
      <c r="A25922" s="3" t="inlineStr">
        <is>
          <t>25815</t>
        </is>
      </c>
      <c r="B25922" s="4" t="s">
        <f>=HYPERLINK("http://anyluxury.ru/shop/posuda/nabory-posudy/nabor-bolshih-chashek-s-blyudcem-dine-beliy-1455060/" , "14550.60 Набор больших чашек с блюдцем Dine, белый")</f>
      </c>
      <c r="C25922" s="4" t="n">
        <v>5300.00</v>
      </c>
      <c r="D25922" s="4"/>
    </row>
    <row collapsed="" customFormat="false" customHeight="1" hidden="" ht="14" outlineLevel="0" r="25923">
      <c r="A25923" s="3" t="inlineStr">
        <is>
          <t>25816</t>
        </is>
      </c>
      <c r="B25923" s="4" t="s">
        <f>=HYPERLINK("http://anyluxury.ru/shop/posuda/nabory-posudy/nabor-kofeynih-par-dlya-espresso-dine-beliy-1456260/" , "14562.60 Набор из 4 кофейных пар для эспрессо Dine, белый")</f>
      </c>
      <c r="C25923" s="4" t="n">
        <v>3200.00</v>
      </c>
      <c r="D25923" s="4"/>
    </row>
    <row collapsed="" customFormat="false" customHeight="1" hidden="" ht="14" outlineLevel="0" r="25924">
      <c r="A25924" s="3" t="inlineStr">
        <is>
          <t>25817</t>
        </is>
      </c>
      <c r="B25924" s="4" t="s">
        <f>=HYPERLINK("http://anyluxury.ru/shop/posuda/nabory-posudy/nabor-kofeynih-par-dine-beliy-1456360/" , "14563.60 Набор кофейных пар Dine, белый")</f>
      </c>
      <c r="C25924" s="4" t="n">
        <v>2990.00</v>
      </c>
      <c r="D25924" s="4"/>
    </row>
    <row collapsed="" customFormat="false" customHeight="1" hidden="" ht="14" outlineLevel="0" r="25925">
      <c r="A25925" s="3" t="inlineStr">
        <is>
          <t>25818</t>
        </is>
      </c>
      <c r="B25925" s="4" t="s">
        <f>=HYPERLINK("http://anyluxury.ru/shop/posuda/nabory-posudy/nabor-chashek-s-blyudcem-dine-beliy-1456460/" , "14564.60 Набор из 4 чашек с блюдцем Dine, белый")</f>
      </c>
      <c r="C25925" s="4" t="n">
        <v>5750.00</v>
      </c>
      <c r="D25925" s="4"/>
    </row>
    <row collapsed="" customFormat="false" customHeight="1" hidden="" ht="14" outlineLevel="0" r="25926">
      <c r="A25926" s="3" t="inlineStr">
        <is>
          <t>25819</t>
        </is>
      </c>
      <c r="B25926" s="4" t="s">
        <f>=HYPERLINK("http://anyluxury.ru/shop/posuda/nabory-posudy/kofeynaya-para-medina-1505460/" , "15054.60 Кофейная пара Medina")</f>
      </c>
      <c r="C25926" s="4" t="n">
        <v>4027.00</v>
      </c>
      <c r="D25926" s="4"/>
    </row>
    <row collapsed="" customFormat="false" customHeight="1" hidden="" ht="14" outlineLevel="0" r="25927">
      <c r="A25927" s="3" t="inlineStr">
        <is>
          <t>25820</t>
        </is>
      </c>
      <c r="B25927" s="4" t="s">
        <f>=HYPERLINK("http://anyluxury.ru/shop/posuda/nabory-posudy/chaynaya-para-maxim-diamond-v-podarochnoy-upakovke-1319260/" , "13192.60 Чайная пара Maxim Diamond в подарочной упаковке")</f>
      </c>
      <c r="C25927" s="4" t="n">
        <v>2786.00</v>
      </c>
      <c r="D25927" s="4"/>
    </row>
    <row collapsed="" customFormat="false" customHeight="1" hidden="" ht="14" outlineLevel="0" r="25928">
      <c r="A25928" s="3" t="inlineStr">
        <is>
          <t>25821</t>
        </is>
      </c>
      <c r="B25928" s="4" t="s">
        <f>=HYPERLINK("http://anyluxury.ru/shop/posuda/nabory-posudy/kofeynaya-para-maxim-diamond-dlya-kapuchino-v-podarochnoy-upakovke-1319360/" , "13193.60 Кофейная пара Maxim Diamond для капучино в подарочной упаковке")</f>
      </c>
      <c r="C25928" s="4" t="n">
        <v>2696.00</v>
      </c>
      <c r="D25928" s="4"/>
    </row>
    <row collapsed="" customFormat="false" customHeight="1" hidden="" ht="14" outlineLevel="0" r="25929">
      <c r="A25929" s="3" t="inlineStr">
        <is>
          <t>25822</t>
        </is>
      </c>
      <c r="B25929" s="4" t="s">
        <f>=HYPERLINK("http://anyluxury.ru/shop/posuda/nabory-posudy/kofeynaya-para-venice-v-podarochnoy-upakovke-1319560/" , "13195.60 Кофейная пара Venice в подарочной упаковке")</f>
      </c>
      <c r="C25929" s="4" t="n">
        <v>1679.00</v>
      </c>
      <c r="D25929" s="4"/>
    </row>
    <row collapsed="" customFormat="false" customHeight="1" hidden="" ht="14" outlineLevel="0" r="25930">
      <c r="A25930" s="3" t="inlineStr">
        <is>
          <t>25823</t>
        </is>
      </c>
      <c r="B25930" s="4" t="s">
        <f>=HYPERLINK("http://anyluxury.ru/shop/posuda/nabory-posudy/chaynaya-para-small-talk-belaya-1313760/" , "13137.60 Чайная пара Small Talk, белая")</f>
      </c>
      <c r="C25930" s="4" t="n">
        <v>440.00</v>
      </c>
      <c r="D25930" s="4"/>
    </row>
    <row collapsed="" customFormat="false" customHeight="1" hidden="" ht="14" outlineLevel="0" r="25931">
      <c r="A25931" s="3" t="inlineStr">
        <is>
          <t>25824</t>
        </is>
      </c>
      <c r="B25931" s="4" t="s">
        <f>=HYPERLINK("http://anyluxury.ru/shop/posuda/nabory-posudy/nabor-kruzhek-promo-beliy-2332360/" , "23323.60 Набор из 6 кружек Promo, белый")</f>
      </c>
      <c r="C25931" s="4" t="n">
        <v>1787.00</v>
      </c>
      <c r="D25931" s="4"/>
    </row>
    <row collapsed="" customFormat="false" customHeight="1" hidden="" ht="14" outlineLevel="0" r="25932">
      <c r="A25932" s="3" t="inlineStr">
        <is>
          <t>25825</t>
        </is>
      </c>
      <c r="B25932" s="4" t="s">
        <f>=HYPERLINK("http://anyluxury.ru/shop/posuda/nabory-posudy/nabor-kruzhek-promo-oranzheviy-2332320/" , "23323.20 Набор из 6 кружек Promo, оранжевый")</f>
      </c>
      <c r="C25932" s="4" t="n">
        <v>2105.00</v>
      </c>
      <c r="D25932" s="4"/>
    </row>
    <row collapsed="" customFormat="false" customHeight="1" hidden="" ht="14" outlineLevel="0" r="25933">
      <c r="A25933" s="3" t="inlineStr">
        <is>
          <t>25826</t>
        </is>
      </c>
      <c r="B25933" s="4" t="s">
        <f>=HYPERLINK("http://anyluxury.ru/shop/posuda/nabory-posudy/nabor-kruzhek-promo-zheltiy-2332380/" , "23323.80 Набор из 6 кружек Promo, желтый")</f>
      </c>
      <c r="C25933" s="4" t="n">
        <v>2105.00</v>
      </c>
      <c r="D25933" s="4"/>
    </row>
    <row collapsed="" customFormat="false" customHeight="1" hidden="" ht="14" outlineLevel="0" r="25934">
      <c r="A25934" s="3" t="inlineStr">
        <is>
          <t>25827</t>
        </is>
      </c>
      <c r="B25934" s="4" t="s">
        <f>=HYPERLINK("http://anyluxury.ru/shop/posuda/nabory-posudy/nabor-kruzhek-promo-zeleniy-2332390/" , "23323.90 Набор из 6 кружек Promo, зеленый")</f>
      </c>
      <c r="C25934" s="4" t="n">
        <v>2105.00</v>
      </c>
      <c r="D25934" s="4"/>
    </row>
    <row collapsed="" customFormat="false" customHeight="1" hidden="" ht="14" outlineLevel="0" r="25935">
      <c r="A25935" s="3" t="inlineStr">
        <is>
          <t>25828</t>
        </is>
      </c>
      <c r="B25935" s="4" t="s">
        <f>=HYPERLINK("http://anyluxury.ru/shop/posuda/nabory-posudy/nabor-kruzhek-promo-siniy-2332344/" , "23323.44 Набор из 6 кружек Promo, синий")</f>
      </c>
      <c r="C25935" s="4" t="n">
        <v>2105.00</v>
      </c>
      <c r="D25935" s="4"/>
    </row>
    <row collapsed="" customFormat="false" customHeight="1" hidden="" ht="14" outlineLevel="0" r="25936">
      <c r="A25936" s="3" t="inlineStr">
        <is>
          <t>25829</t>
        </is>
      </c>
      <c r="B25936" s="4" t="s">
        <f>=HYPERLINK("http://anyluxury.ru/shop/posuda/nabory-posudy/nabor-kruzhek-promo-temnosiniy-2332340/" , "23323.40 Набор из 6 кружек Promo, темно-синий")</f>
      </c>
      <c r="C25936" s="4" t="n">
        <v>2105.00</v>
      </c>
      <c r="D25936" s="4"/>
    </row>
    <row collapsed="" customFormat="false" customHeight="1" hidden="" ht="14" outlineLevel="0" r="25937">
      <c r="A25937" s="3" t="inlineStr">
        <is>
          <t>25830</t>
        </is>
      </c>
      <c r="B25937" s="4" t="s">
        <f>=HYPERLINK("http://anyluxury.ru/shop/posuda/nabory-posudy/nabor-kruzhek-promo-krasniy-2332350/" , "23323.50 Набор из 6 кружек Promo, красный")</f>
      </c>
      <c r="C25937" s="4" t="n">
        <v>2105.00</v>
      </c>
      <c r="D25937" s="4"/>
    </row>
    <row collapsed="" customFormat="false" customHeight="1" hidden="" ht="14" outlineLevel="0" r="25938">
      <c r="A25938" s="3" t="inlineStr">
        <is>
          <t>25831</t>
        </is>
      </c>
      <c r="B25938" s="4" t="s">
        <f>=HYPERLINK("http://anyluxury.ru/shop/posuda/nabory-posudy/nabor-kruzhek-promo-cherniy-2332330/" , "23323.30 Набор из 6 кружек Promo, черный")</f>
      </c>
      <c r="C25938" s="4" t="n">
        <v>2105.00</v>
      </c>
      <c r="D25938" s="4"/>
    </row>
    <row collapsed="" customFormat="false" customHeight="1" hidden="" ht="14" outlineLevel="0" r="25939">
      <c r="A25939" s="3" t="inlineStr">
        <is>
          <t>25832</t>
        </is>
      </c>
      <c r="B25939" s="4" t="s">
        <f>=HYPERLINK("http://anyluxury.ru/shop/posuda/nabory-posudy/nabor-kruzhekhameleonov-on-display-oranzhevocherniy-2332420/" , "23324.20 Набор из 6 кружек-хамелеонов On Display, оранжево-черный")</f>
      </c>
      <c r="C25939" s="4" t="n">
        <v>2927.00</v>
      </c>
      <c r="D25939" s="4"/>
    </row>
    <row collapsed="" customFormat="false" customHeight="1" hidden="" ht="14" outlineLevel="0" r="25940">
      <c r="A25940" s="3" t="inlineStr">
        <is>
          <t>25833</t>
        </is>
      </c>
      <c r="B25940" s="4" t="s">
        <f>=HYPERLINK("http://anyluxury.ru/shop/posuda/nabory-posudy/nabor-kruzhekhameleonov-on-display-cherniy-2332430/" , "23324.30 Набор из 6 кружек-хамелеонов On Display, черный")</f>
      </c>
      <c r="C25940" s="4" t="n">
        <v>2927.00</v>
      </c>
      <c r="D25940" s="4"/>
    </row>
    <row collapsed="" customFormat="false" customHeight="1" hidden="" ht="14" outlineLevel="0" r="25941">
      <c r="A25941" s="3" t="inlineStr">
        <is>
          <t>25834</t>
        </is>
      </c>
      <c r="B25941" s="4" t="s">
        <f>=HYPERLINK("http://anyluxury.ru/shop/posuda/nabory-posudy/nabor-kruzhekhameleonov-on-display-sinecherniy-2332440/" , "23324.40 Набор из 6 кружек-хамелеонов On Display, сине-черный")</f>
      </c>
      <c r="C25941" s="4" t="n">
        <v>2927.00</v>
      </c>
      <c r="D25941" s="4"/>
    </row>
    <row collapsed="" customFormat="false" customHeight="1" hidden="" ht="14" outlineLevel="0" r="25942">
      <c r="A25942" s="3" t="inlineStr">
        <is>
          <t>25835</t>
        </is>
      </c>
      <c r="B25942" s="4" t="s">
        <f>=HYPERLINK("http://anyluxury.ru/shop/posuda/nabory-posudy/nabor-kruzhekhameleonov-on-display-krasnocherniy-2332450/" , "23324.50 Набор из 6 кружек-хамелеонов On Display, красно-черный")</f>
      </c>
      <c r="C25942" s="4" t="n">
        <v>2927.00</v>
      </c>
      <c r="D25942" s="4"/>
    </row>
    <row collapsed="" customFormat="false" customHeight="1" hidden="" ht="14" outlineLevel="0" r="25943">
      <c r="A25943" s="3" t="inlineStr">
        <is>
          <t>25836</t>
        </is>
      </c>
      <c r="B25943" s="4" t="s">
        <f>=HYPERLINK("http://anyluxury.ru/shop/posuda/nabory-posudy/nabor-kruzhekhameleonov-on-display-zheltocherniy-2332480/" , "23324.80 Набор из 6 кружек-хамелеонов On Display, желто-черный")</f>
      </c>
      <c r="C25943" s="4" t="n">
        <v>2927.00</v>
      </c>
      <c r="D25943" s="4"/>
    </row>
    <row collapsed="" customFormat="false" customHeight="1" hidden="" ht="14" outlineLevel="0" r="25944">
      <c r="A25944" s="3" t="inlineStr">
        <is>
          <t>25837</t>
        </is>
      </c>
      <c r="B25944" s="4" t="s">
        <f>=HYPERLINK("http://anyluxury.ru/shop/posuda/nabory-posudy/nabor-kruzhekhameleonov-on-display-zelenocherniy-2332490/" , "23324.90 Набор из 6 кружек-хамелеонов On Display, зелено-черный")</f>
      </c>
      <c r="C25944" s="4" t="n">
        <v>2927.00</v>
      </c>
      <c r="D25944" s="4"/>
    </row>
    <row collapsed="" customFormat="false" customHeight="1" hidden="" ht="14" outlineLevel="0" r="25945">
      <c r="A25945" s="3" t="inlineStr">
        <is>
          <t>25838</t>
        </is>
      </c>
      <c r="B25945" s="4" t="s">
        <f>=HYPERLINK("http://anyluxury.ru/shop/posuda/nabory-posudy/chaynaya-para-cozy-morning-krasnaya-7913450/" , "79134.50 Чайная пара Cozy Morning, красная")</f>
      </c>
      <c r="C25945" s="4" t="n">
        <v>540.00</v>
      </c>
      <c r="D25945" s="4"/>
    </row>
    <row collapsed="" customFormat="false" customHeight="1" hidden="" ht="14" outlineLevel="0" r="25946">
      <c r="A25946" s="3" t="inlineStr">
        <is>
          <t>25839</t>
        </is>
      </c>
      <c r="B25946" s="4" t="s">
        <f>=HYPERLINK("http://anyluxury.ru/shop/posuda/nabory-posudy/chaynaya-para-cozy-morning-sinyaya-7913440/" , "79134.40 Чайная пара Cozy Morning, синяя")</f>
      </c>
      <c r="C25946" s="4" t="n">
        <v>540.00</v>
      </c>
      <c r="D25946" s="4"/>
    </row>
    <row collapsed="" customFormat="false" customHeight="1" hidden="" ht="14" outlineLevel="0" r="25947">
      <c r="A25947" s="3" t="inlineStr">
        <is>
          <t>25840</t>
        </is>
      </c>
      <c r="B25947" s="4" t="s">
        <f>=HYPERLINK("http://anyluxury.ru/shop/posuda/nabory-posudy/chaynaya-para-cozy-morning-krasnaya-s-belim-7913456/" , "79134.56 Чайная пара Cozy Morning, красная с белым")</f>
      </c>
      <c r="C25947" s="4" t="n">
        <v>540.00</v>
      </c>
      <c r="D25947" s="4"/>
    </row>
    <row collapsed="" customFormat="false" customHeight="1" hidden="" ht="14" outlineLevel="0" r="25948">
      <c r="A25948" s="3" t="inlineStr">
        <is>
          <t>25841</t>
        </is>
      </c>
      <c r="B25948" s="4" t="s">
        <f>=HYPERLINK("http://anyluxury.ru/shop/posuda/nabory-posudy/chaynaya-para-cozy-morning-sinyaya-s-belim-7913446/" , "79134.46 Чайная пара Cozy Morning, синяя с белым")</f>
      </c>
      <c r="C25948" s="4" t="n">
        <v>540.00</v>
      </c>
      <c r="D25948" s="4"/>
    </row>
    <row collapsed="" customFormat="false" customHeight="1" hidden="" ht="14" outlineLevel="0" r="25949">
      <c r="A25949" s="3" t="inlineStr">
        <is>
          <t>25842</t>
        </is>
      </c>
      <c r="B25949" s="4" t="s">
        <f>=HYPERLINK("http://anyluxury.ru/shop/posuda/nabory-posudy/chaynaya-para-cozy-morning-seraya-s-belim-7913416/" , "79134.16 Чайная пара Cozy Morning, серая с белым")</f>
      </c>
      <c r="C25949" s="4" t="n">
        <v>540.00</v>
      </c>
      <c r="D25949" s="4"/>
    </row>
    <row collapsed="" customFormat="false" customHeight="1" hidden="" ht="14" outlineLevel="0" r="25950">
      <c r="A25950" s="3" t="inlineStr">
        <is>
          <t>25843</t>
        </is>
      </c>
      <c r="B25950" s="4" t="s">
        <f>=HYPERLINK("http://anyluxury.ru/shop/posuda/nabory-posudy/chaynaya-para-cozy-morning-seraya-s-krasnim-7913415/" , "79134.15 Чайная пара Cozy Morning, серая с красным")</f>
      </c>
      <c r="C25950" s="4" t="n">
        <v>540.00</v>
      </c>
      <c r="D25950" s="4"/>
    </row>
    <row collapsed="" customFormat="false" customHeight="1" hidden="" ht="14" outlineLevel="0" r="25951">
      <c r="A25951" s="3" t="inlineStr">
        <is>
          <t>25844</t>
        </is>
      </c>
      <c r="B25951" s="4" t="s">
        <f>=HYPERLINK("http://anyluxury.ru/shop/posuda/nabory-posudy/chaynaya-para-cozy-morning-seraya-s-sinim-7913414/" , "79134.14 Чайная пара Cozy Morning, серая с синим")</f>
      </c>
      <c r="C25951" s="4" t="n">
        <v>540.00</v>
      </c>
      <c r="D25951" s="4"/>
    </row>
    <row collapsed="" customFormat="false" customHeight="1" hidden="" ht="14" outlineLevel="0" r="25952">
      <c r="A25952" s="3" t="inlineStr">
        <is>
          <t>25845</t>
        </is>
      </c>
      <c r="B25952" s="4" t="s">
        <f>=HYPERLINK("http://anyluxury.ru/shop/posuda/nabory-posudy/serviz-chayniy-mansion-na-2-personi-maliy-1580702/" , "15807.02 Сервиз чайный Mansion на 2 персоны, малый")</f>
      </c>
      <c r="C25952" s="4" t="n">
        <v>1863.00</v>
      </c>
      <c r="D25952" s="4"/>
    </row>
    <row collapsed="" customFormat="false" customHeight="1" hidden="" ht="14" outlineLevel="0" r="25953">
      <c r="A25953" s="3" t="inlineStr">
        <is>
          <t>25846</t>
        </is>
      </c>
      <c r="B25953" s="4" t="s">
        <f>=HYPERLINK("http://anyluxury.ru/shop/posuda/nabory-posudy/serviz-chayniy-mansion-na-2-personi-bolshoy-1580703/" , "15807.03 Сервиз чайный Mansion на 2 персоны, большой")</f>
      </c>
      <c r="C25953" s="4" t="n">
        <v>1997.00</v>
      </c>
      <c r="D25953" s="4"/>
    </row>
    <row collapsed="" customFormat="false" customHeight="1" hidden="" ht="14" outlineLevel="0" r="25954">
      <c r="A25954" s="3" t="inlineStr">
        <is>
          <t>25847</t>
        </is>
      </c>
      <c r="B25954" s="4" t="s">
        <f>=HYPERLINK("http://anyluxury.ru/shop/posuda/nabory-posudy/nabor-iz-2-kruzhek-contour-beliy-2511260/" , "25112.60 Набор из 2 кружек Contour, белый")</f>
      </c>
      <c r="C25954" s="4" t="n">
        <v>850.00</v>
      </c>
      <c r="D25954" s="4"/>
    </row>
    <row collapsed="" customFormat="false" customHeight="1" hidden="" ht="14" outlineLevel="0" r="25955">
      <c r="A25955" s="3" t="inlineStr">
        <is>
          <t>25848</t>
        </is>
      </c>
      <c r="B25955" s="4" t="s">
        <f>=HYPERLINK("http://anyluxury.ru/shop/posuda/nabory-posudy/nabor-chaynih-par-antique-25114/" , "25114 Набор из 2 чайных пар Antique")</f>
      </c>
      <c r="C25955" s="4" t="n">
        <v>1750.00</v>
      </c>
      <c r="D25955" s="4"/>
    </row>
    <row collapsed="" customFormat="false" customHeight="1" hidden="" ht="14" outlineLevel="0" r="25956">
      <c r="A25956" s="3" t="inlineStr">
        <is>
          <t>25849</t>
        </is>
      </c>
      <c r="B25956" s="4" t="s">
        <f>=HYPERLINK("http://anyluxury.ru/shop/posuda/nabory-posudy/nabor-chaynih-par-contour-25116/" , "25116 Набор из 2 чайных пар Contour")</f>
      </c>
      <c r="C25956" s="4" t="n">
        <v>1400.00</v>
      </c>
      <c r="D25956" s="4"/>
    </row>
    <row collapsed="" customFormat="false" customHeight="1" hidden="" ht="14" outlineLevel="0" r="25957">
      <c r="A25957" s="3" t="inlineStr">
        <is>
          <t>25850</t>
        </is>
      </c>
      <c r="B25957" s="4" t="s">
        <f>=HYPERLINK("http://anyluxury.ru/shop/posuda/nabory-posudy/chaynaya-para-cosmic-kitchen-25119/" , "25119 Чайная пара Cosmic Kitchen")</f>
      </c>
      <c r="C25957" s="4" t="n">
        <v>650.00</v>
      </c>
      <c r="D25957" s="4"/>
    </row>
    <row collapsed="" customFormat="false" customHeight="1" hidden="" ht="14" outlineLevel="0" r="25958">
      <c r="A25958" s="3" t="inlineStr">
        <is>
          <t>25851</t>
        </is>
      </c>
      <c r="B25958" s="4" t="s">
        <f>=HYPERLINK("http://anyluxury.ru/shop/posuda/nabory-posudy/nabor-kruzhek-inset-s-podstavkoy-beliy-1588460/" , "15884.60 Набор из 4 кружек Inset с подставкой, белый")</f>
      </c>
      <c r="C25958" s="4" t="n">
        <v>1171.00</v>
      </c>
      <c r="D25958" s="4"/>
    </row>
    <row collapsed="" customFormat="false" customHeight="1" hidden="" ht="14" outlineLevel="0" r="25959">
      <c r="A25959" s="3" t="inlineStr">
        <is>
          <t>25852</t>
        </is>
      </c>
      <c r="B25959" s="4" t="s">
        <f>=HYPERLINK("http://anyluxury.ru/shop/posuda/nabory-posudy/nabor-kruzhek-inset-s-podstavkoy-cherniy-1588430/" , "15884.30 Набор из 4 кружек Inset с подставкой, черный")</f>
      </c>
      <c r="C25959" s="4" t="n">
        <v>1215.00</v>
      </c>
      <c r="D25959" s="4"/>
    </row>
    <row collapsed="" customFormat="false" customHeight="1" hidden="" ht="14" outlineLevel="0" r="25960">
      <c r="A25960" s="3" t="inlineStr">
        <is>
          <t>25853</t>
        </is>
      </c>
      <c r="B25960" s="4" t="s">
        <f>=HYPERLINK("http://anyluxury.ru/shop/posuda/nabory-posudy/nabor-kruzhek-inset-s-podstavkoy-raznocvetniy-1588400/" , "15884.00 Набор из 4 кружек Inset с подставкой, разноцветный")</f>
      </c>
      <c r="C25960" s="4" t="n">
        <v>1204.00</v>
      </c>
      <c r="D25960" s="4"/>
    </row>
    <row collapsed="" customFormat="false" customHeight="1" hidden="" ht="14" outlineLevel="0" r="25961">
      <c r="A25961" s="3" t="inlineStr">
        <is>
          <t>25854</t>
        </is>
      </c>
      <c r="B25961" s="4" t="s">
        <f>=HYPERLINK("http://anyluxury.ru/shop/posuda/nabory-posudy/nabor-kruzhek-inset-s-podstavkoy-krasniy-1588450/" , "15884.50 Набор из 4 кружек Inset с подставкой, красный")</f>
      </c>
      <c r="C25961" s="4" t="n">
        <v>1215.00</v>
      </c>
      <c r="D25961" s="4"/>
    </row>
    <row collapsed="" customFormat="false" customHeight="1" hidden="" ht="14" outlineLevel="0" r="25962">
      <c r="A25962" s="3" t="inlineStr">
        <is>
          <t>25855</t>
        </is>
      </c>
      <c r="B25962" s="4" t="s">
        <f>=HYPERLINK("http://anyluxury.ru/shop/posuda/nabory-posudy/nabor-kruzhek-inset-s-podstavkoy-siniy-1588440/" , "15884.40 Набор из 4 кружек Inset с подставкой, синий")</f>
      </c>
      <c r="C25962" s="4" t="n">
        <v>1215.00</v>
      </c>
      <c r="D25962" s="4"/>
    </row>
    <row collapsed="" customFormat="false" customHeight="1" hidden="" ht="14" outlineLevel="0" r="25963">
      <c r="A25963" s="3" t="inlineStr">
        <is>
          <t>25856</t>
        </is>
      </c>
      <c r="B25963" s="4" t="s">
        <f>=HYPERLINK("http://anyluxury.ru/shop/posuda/nabory-posudy/nabor-diamante-bianco-na-2-personi-bolshoy-5555512/" , "55555.12 Набор Diamante Bianco на 2 персоны, большой")</f>
      </c>
      <c r="C25963" s="4" t="n">
        <v>3950.00</v>
      </c>
      <c r="D25963" s="4"/>
    </row>
    <row collapsed="" customFormat="false" customHeight="1" hidden="" ht="14" outlineLevel="0" r="25964">
      <c r="A25964" s="3" t="inlineStr">
        <is>
          <t>25857</t>
        </is>
      </c>
      <c r="B25964" s="4" t="s">
        <f>=HYPERLINK("http://anyluxury.ru/shop/posuda/nabory-posudy/nabor-diamante-bianco-na-1-personu-bolshoy-5555504/" , "55555.04 Набор Diamante Bianco на 1 персону, большой")</f>
      </c>
      <c r="C25964" s="4" t="n">
        <v>4157.00</v>
      </c>
      <c r="D25964" s="4"/>
    </row>
    <row collapsed="" customFormat="false" customHeight="1" hidden="" ht="14" outlineLevel="0" r="25965">
      <c r="A25965" s="3" t="inlineStr">
        <is>
          <t>25858</t>
        </is>
      </c>
      <c r="B25965" s="4" t="s">
        <f>=HYPERLINK("http://anyluxury.ru/shop/posuda/nabory-posudy/chaynaya-para-best-morning-sinyaya-1400140/" , "14001.40 Чайная пара Best Morning, синяя")</f>
      </c>
      <c r="C25965" s="4" t="n">
        <v>592.00</v>
      </c>
      <c r="D25965" s="4"/>
    </row>
    <row collapsed="" customFormat="false" customHeight="1" hidden="" ht="14" outlineLevel="0" r="25966">
      <c r="A25966" s="3" t="inlineStr">
        <is>
          <t>25859</t>
        </is>
      </c>
      <c r="B25966" s="4" t="s">
        <f>=HYPERLINK("http://anyluxury.ru/shop/posuda/nabory-posudy/chaynaya-para-best-morning-chernaya-1400130/" , "14001.30 Чайная пара Best Morning, черная")</f>
      </c>
      <c r="C25966" s="4" t="n">
        <v>592.00</v>
      </c>
      <c r="D25966" s="4"/>
    </row>
    <row collapsed="" customFormat="false" customHeight="1" hidden="" ht="14" outlineLevel="0" r="25967">
      <c r="A25967" s="3" t="inlineStr">
        <is>
          <t>25860</t>
        </is>
      </c>
      <c r="B25967" s="4" t="s">
        <f>=HYPERLINK("http://anyluxury.ru/shop/posuda/nabory-posudy/chaynaya-para-best-morning-krasnaya-1400150/" , "14001.50 Чайная пара Best Morning, красная")</f>
      </c>
      <c r="C25967" s="4" t="n">
        <v>592.00</v>
      </c>
      <c r="D25967" s="4"/>
    </row>
    <row collapsed="" customFormat="false" customHeight="1" hidden="" ht="14" outlineLevel="0" r="25968">
      <c r="A25968" s="3" t="inlineStr">
        <is>
          <t>25861</t>
        </is>
      </c>
      <c r="B25968" s="4" t="s">
        <f>=HYPERLINK("http://anyluxury.ru/shop/posuda/nabory-posudy/chaynaya-para-best-morning-oranzhevaya-1400120/" , "14001.20 Чайная пара Best Morning, оранжевая")</f>
      </c>
      <c r="C25968" s="4" t="n">
        <v>592.00</v>
      </c>
      <c r="D25968" s="4"/>
    </row>
    <row collapsed="" customFormat="false" customHeight="1" hidden="" ht="14" outlineLevel="0" r="25969">
      <c r="A25969" s="3" t="inlineStr">
        <is>
          <t>25862</t>
        </is>
      </c>
      <c r="B25969" s="4" t="s">
        <f>=HYPERLINK("http://anyluxury.ru/shop/posuda/nabory-posudy/chaynaya-para-best-morning-zelenaya-1400190/" , "14001.90 Чайная пара Best Morning, зеленая")</f>
      </c>
      <c r="C25969" s="4" t="n">
        <v>592.00</v>
      </c>
      <c r="D25969" s="4"/>
    </row>
    <row collapsed="" customFormat="false" customHeight="1" hidden="" ht="14" outlineLevel="0" r="25970">
      <c r="A25970" s="3" t="inlineStr">
        <is>
          <t>25863</t>
        </is>
      </c>
      <c r="B25970" s="4" t="s">
        <f>=HYPERLINK("http://anyluxury.ru/shop/posuda/nabory-posudy/nabor-dlya-kofe-dacha-siniy-1697240/" , "16972.40 Набор для кофе Dacha, синий")</f>
      </c>
      <c r="C25970" s="4" t="n">
        <v>2061.00</v>
      </c>
      <c r="D25970" s="4"/>
    </row>
    <row collapsed="" customFormat="false" customHeight="1" hidden="" ht="14" outlineLevel="0" r="25971">
      <c r="A25971" s="3" t="inlineStr">
        <is>
          <t>25864</t>
        </is>
      </c>
      <c r="B25971" s="4" t="s">
        <f>=HYPERLINK("http://anyluxury.ru/shop/posuda/nabory-posudy/nabor-dlya-kofe-dacha-krasniy-1697250/" , "16972.50 Набор для кофе Dacha, красный")</f>
      </c>
      <c r="C25971" s="4" t="n">
        <v>2061.00</v>
      </c>
      <c r="D25971" s="4"/>
    </row>
    <row collapsed="" customFormat="false" customHeight="1" hidden="" ht="14" outlineLevel="0" r="25972">
      <c r="A25972" s="3" t="inlineStr">
        <is>
          <t>25865</t>
        </is>
      </c>
      <c r="B25972" s="4" t="s">
        <f>=HYPERLINK("http://anyluxury.ru/shop/posuda/nabory-posudy/nabor-dlya-kofe-dacha-beliy-1697260/" , "16972.60 Набор для кофе Dacha, белый")</f>
      </c>
      <c r="C25972" s="4" t="n">
        <v>2061.00</v>
      </c>
      <c r="D25972" s="4"/>
    </row>
    <row collapsed="" customFormat="false" customHeight="1" hidden="" ht="14" outlineLevel="0" r="25973">
      <c r="A25973" s="3" t="inlineStr">
        <is>
          <t>25866</t>
        </is>
      </c>
      <c r="B25973" s="4" t="s">
        <f>=HYPERLINK("http://anyluxury.ru/shop/posuda/nabory-posudy/nabor-dlya-kofe-pairy-beliy-1697360/" , "16973.60 Набор для кофе Pairy, белый")</f>
      </c>
      <c r="C25973" s="4" t="n">
        <v>2169.60</v>
      </c>
      <c r="D25973" s="4"/>
    </row>
    <row collapsed="" customFormat="false" customHeight="1" hidden="" ht="14" outlineLevel="0" r="25974">
      <c r="A25974" s="3" t="inlineStr">
        <is>
          <t>25867</t>
        </is>
      </c>
      <c r="B25974" s="4" t="s">
        <f>=HYPERLINK("http://anyluxury.ru/shop/posuda/nabory-posudy/nabor-dlya-kofe-pairy-siniy-1697340/" , "16973.40 Набор для кофе Pairy, синий")</f>
      </c>
      <c r="C25974" s="4" t="n">
        <v>2172.00</v>
      </c>
      <c r="D25974" s="4"/>
    </row>
    <row collapsed="" customFormat="false" customHeight="1" hidden="" ht="14" outlineLevel="0" r="25975">
      <c r="A25975" s="3" t="inlineStr">
        <is>
          <t>25868</t>
        </is>
      </c>
      <c r="B25975" s="4" t="s">
        <f>=HYPERLINK("http://anyluxury.ru/shop/posuda/nabory-posudy/nabor-dlya-kofe-pairy-krasniy-1697350/" , "16973.50 Набор для кофе Pairy, красный")</f>
      </c>
      <c r="C25975" s="4" t="n">
        <v>2164.00</v>
      </c>
      <c r="D25975" s="4"/>
    </row>
    <row collapsed="" customFormat="false" customHeight="1" hidden="" ht="14" outlineLevel="0" r="25976">
      <c r="A25976" s="3" t="inlineStr">
        <is>
          <t>25869</t>
        </is>
      </c>
      <c r="B25976" s="4" t="s">
        <f>=HYPERLINK("http://anyluxury.ru/shop/posuda/nabory-posudy/nabor-dlya-kofe-pairy-oranzheviy-1697320/" , "16973.20 Набор для кофе Pairy, оранжевый")</f>
      </c>
      <c r="C25976" s="4" t="n">
        <v>2185.60</v>
      </c>
      <c r="D25976" s="4"/>
    </row>
    <row collapsed="" customFormat="false" customHeight="1" hidden="" ht="14" outlineLevel="0" r="25977">
      <c r="A25977" s="3" t="inlineStr">
        <is>
          <t>25870</t>
        </is>
      </c>
      <c r="B25977" s="4" t="s">
        <f>=HYPERLINK("http://anyluxury.ru/shop/posuda/nabory-posudy/nabor-dlya-chaya-sentiment-beliy-1697900/" , "16979.00 Набор для чая Sentiment, белый")</f>
      </c>
      <c r="C25977" s="4" t="n">
        <v>2061.00</v>
      </c>
      <c r="D25977" s="4"/>
    </row>
    <row collapsed="" customFormat="false" customHeight="1" hidden="" ht="14" outlineLevel="0" r="25978">
      <c r="A25978" s="3" t="inlineStr">
        <is>
          <t>25871</t>
        </is>
      </c>
      <c r="B25978" s="4" t="s">
        <f>=HYPERLINK("http://anyluxury.ru/shop/posuda/nabory-posudy/chaynaya-para-attimo-1581560/" , "15815.60 Чайная пара Attimo")</f>
      </c>
      <c r="C25978" s="4" t="n">
        <v>2363.00</v>
      </c>
      <c r="D25978" s="4"/>
    </row>
    <row collapsed="" customFormat="false" customHeight="1" hidden="" ht="14" outlineLevel="0" r="25979">
      <c r="A25979" s="3" t="inlineStr">
        <is>
          <t>25872</t>
        </is>
      </c>
      <c r="B25979" s="4" t="s">
        <f>=HYPERLINK("http://anyluxury.ru/shop/posuda/nabory-posudy/kofeynaya-para-mansion-select-belaya-s-zolotistoy-otvodkoy-1377500/" , "13775.00 Кофейная пара Select, белая с золотистой отводкой")</f>
      </c>
      <c r="C25979" s="4" t="n">
        <v>1305.00</v>
      </c>
      <c r="D25979" s="4"/>
    </row>
    <row collapsed="" customFormat="false" customHeight="1" hidden="" ht="14" outlineLevel="0" r="25980">
      <c r="A25980" s="3" t="inlineStr">
        <is>
          <t>25873</t>
        </is>
      </c>
      <c r="B25980" s="4" t="s">
        <f>=HYPERLINK("http://anyluxury.ru/shop/posuda/nabory-posudy/kofeynaya-para-mansion-select-belaya-s-serebristoy-otvodkoy-1377511/" , "13775.11 Кофейная пара Select, белая с серебристой отводкой")</f>
      </c>
      <c r="C25980" s="4" t="n">
        <v>1587.00</v>
      </c>
      <c r="D25980" s="4"/>
    </row>
    <row collapsed="" customFormat="false" customHeight="1" hidden="" ht="14" outlineLevel="0" r="25981">
      <c r="A25981" s="3" t="inlineStr">
        <is>
          <t>25874</t>
        </is>
      </c>
      <c r="B25981" s="4" t="s">
        <f>=HYPERLINK("http://anyluxury.ru/shop/posuda/nabory-posudy/nabor-na-2-personi-mansion-select-beliy-s-zolotistoy-otvodkoy-1377600/" , "13776.00 Набор на 2 персоны Select, белый с золотистой отводкой")</f>
      </c>
      <c r="C25981" s="4" t="n">
        <v>2948.00</v>
      </c>
      <c r="D25981" s="4"/>
    </row>
    <row collapsed="" customFormat="false" customHeight="1" hidden="" ht="14" outlineLevel="0" r="25982">
      <c r="A25982" s="3" t="inlineStr">
        <is>
          <t>25875</t>
        </is>
      </c>
      <c r="B25982" s="4" t="s">
        <f>=HYPERLINK("http://anyluxury.ru/shop/posuda/nabory-posudy/nabor-na-2-personi-mansion-select-beliy-s-serebristoy-otvodkoy-1377611/" , "13776.11 Набор на 2 персоны Select, белый с серебристой отводкой")</f>
      </c>
      <c r="C25982" s="4" t="n">
        <v>2948.00</v>
      </c>
      <c r="D25982" s="4"/>
    </row>
    <row collapsed="" customFormat="false" customHeight="1" hidden="" ht="14" outlineLevel="0" r="25983">
      <c r="A25983" s="3" t="inlineStr">
        <is>
          <t>25876</t>
        </is>
      </c>
      <c r="B25983" s="4" t="s">
        <f>=HYPERLINK("http://anyluxury.ru/shop/posuda/nabory-posudy/nabor-dlya-chaya-laconi-krasniy-1697655/" , "16976.55 Набор для чая Laconi, красный")</f>
      </c>
      <c r="C25983" s="4" t="n">
        <v>1809.00</v>
      </c>
      <c r="D25983" s="4"/>
    </row>
    <row collapsed="" customFormat="false" customHeight="1" hidden="" ht="14" outlineLevel="0" r="25984">
      <c r="A25984" s="3" t="inlineStr">
        <is>
          <t>25877</t>
        </is>
      </c>
      <c r="B25984" s="4" t="s">
        <f>=HYPERLINK("http://anyluxury.ru/shop/posuda/nabory-posudy/nabor-dlya-chaya-laconi-seriy-1697611/" , "16976.11 Набор для чая Laconi, серый")</f>
      </c>
      <c r="C25984" s="4" t="n">
        <v>1809.00</v>
      </c>
      <c r="D25984" s="4"/>
    </row>
    <row collapsed="" customFormat="false" customHeight="1" hidden="" ht="14" outlineLevel="0" r="25985">
      <c r="A25985" s="3" t="inlineStr">
        <is>
          <t>25878</t>
        </is>
      </c>
      <c r="B25985" s="4" t="s">
        <f>=HYPERLINK("http://anyluxury.ru/shop/posuda/nabory-posudy/nabor-dlya-chaya-laconi-siniy-1697640/" , "16976.40 Набор для чая Laconi, синий")</f>
      </c>
      <c r="C25985" s="4" t="n">
        <v>1809.00</v>
      </c>
      <c r="D25985" s="4"/>
    </row>
    <row collapsed="" customFormat="false" customHeight="1" hidden="" ht="14" outlineLevel="0" r="25986">
      <c r="A25986" s="3" t="inlineStr">
        <is>
          <t>25879</t>
        </is>
      </c>
      <c r="B25986" s="4" t="s">
        <f>=HYPERLINK("http://anyluxury.ru/shop/posuda/nabory-posudy/nabor-dlya-chaya-laconi-cherniy-1697630/" , "16976.30 Набор для чая Laconi, черный")</f>
      </c>
      <c r="C25986" s="4" t="n">
        <v>1809.00</v>
      </c>
      <c r="D25986" s="4"/>
    </row>
    <row collapsed="" customFormat="false" customHeight="1" hidden="" ht="14" outlineLevel="0" r="25987">
      <c r="A25987" s="3" t="inlineStr">
        <is>
          <t>25880</t>
        </is>
      </c>
      <c r="B25987" s="4" t="s">
        <f>=HYPERLINK("http://anyluxury.ru/shop/posuda/nabory-posudy/nabor-dlya-chaya-small-talk-1690200/" , "16902.00 Набор для чая Small Talk")</f>
      </c>
      <c r="C25987" s="4" t="n">
        <v>1981.00</v>
      </c>
      <c r="D25987" s="4"/>
    </row>
    <row collapsed="" customFormat="false" customHeight="1" hidden="" ht="14" outlineLevel="0" r="25988">
      <c r="A25988" s="3" t="inlineStr">
        <is>
          <t>25881</t>
        </is>
      </c>
      <c r="B25988" s="4" t="s">
        <f>=HYPERLINK("http://anyluxury.ru/shop/posuda/nabory-posudy/nabor-dlya-kofe-verona-1690300/" , "16903.00 Набор для кофе Verona")</f>
      </c>
      <c r="C25988" s="4" t="n">
        <v>3713.00</v>
      </c>
      <c r="D25988" s="4"/>
    </row>
    <row collapsed="" customFormat="false" customHeight="1" hidden="" ht="14" outlineLevel="0" r="25989">
      <c r="A25989" s="3" t="inlineStr">
        <is>
          <t>25882</t>
        </is>
      </c>
      <c r="B25989" s="4" t="s">
        <f>=HYPERLINK("http://anyluxury.ru/shop/posuda/nabory-posudy/nabor-kruzhek-good-morning-c-pokritiem-softtach-yarkokrasniy-2332655/" , "23326.55 Набор кружек Good Morning c покрытием софт-тач, ярко-красный")</f>
      </c>
      <c r="C25989" s="4" t="n">
        <v>2705.00</v>
      </c>
      <c r="D25989" s="4"/>
    </row>
    <row collapsed="" customFormat="false" customHeight="1" hidden="" ht="14" outlineLevel="0" r="25990">
      <c r="A25990" s="3" t="inlineStr">
        <is>
          <t>25883</t>
        </is>
      </c>
      <c r="B25990" s="4" t="s">
        <f>=HYPERLINK("http://anyluxury.ru/shop/posuda/nabory-posudy/nabor-kruzhek-good-morning-c-pokritiem-softtach-goluboy-2332614/" , "23326.14 Набор кружек Good Morning c покрытием софт-тач, голубой")</f>
      </c>
      <c r="C25990" s="4" t="n">
        <v>2705.00</v>
      </c>
      <c r="D25990" s="4"/>
    </row>
    <row collapsed="" customFormat="false" customHeight="1" hidden="" ht="14" outlineLevel="0" r="25991">
      <c r="A25991" s="3" t="inlineStr">
        <is>
          <t>25884</t>
        </is>
      </c>
      <c r="B25991" s="4" t="s">
        <f>=HYPERLINK("http://anyluxury.ru/shop/posuda/nabory-posudy/nabor-kruzhek-good-morning-c-pokritiem-softtach-siniy-2332640/" , "23326.40 Набор кружек Good Morning c покрытием софт-тач, синий")</f>
      </c>
      <c r="C25991" s="4" t="n">
        <v>2705.00</v>
      </c>
      <c r="D25991" s="4"/>
    </row>
    <row collapsed="" customFormat="false" customHeight="1" hidden="" ht="14" outlineLevel="0" r="25992">
      <c r="A25992" s="3" t="inlineStr">
        <is>
          <t>25885</t>
        </is>
      </c>
      <c r="B25992" s="4" t="s">
        <f>=HYPERLINK("http://anyluxury.ru/shop/posuda/nabory-posudy/nabor-kruzhek-good-morning-c-pokritiem-softtach-fioletoviy-2332657/" , "23326.57 Набор кружек Good Morning c покрытием софт-тач, фиолетовый")</f>
      </c>
      <c r="C25992" s="4" t="n">
        <v>2705.00</v>
      </c>
      <c r="D25992" s="4"/>
    </row>
    <row collapsed="" customFormat="false" customHeight="1" hidden="" ht="14" outlineLevel="0" r="25993">
      <c r="A25993" s="3" t="inlineStr">
        <is>
          <t>25886</t>
        </is>
      </c>
      <c r="B25993" s="4" t="s">
        <f>=HYPERLINK("http://anyluxury.ru/shop/posuda/nabory-posudy/nabor-kruzhek-good-morning-c-pokritiem-softtach-fuksiya-2332677/" , "23326.77 Набор кружек Good Morning c покрытием софт-тач, фуксия")</f>
      </c>
      <c r="C25993" s="4" t="n">
        <v>2705.00</v>
      </c>
      <c r="D25993" s="4"/>
    </row>
    <row collapsed="" customFormat="false" customHeight="1" hidden="" ht="14" outlineLevel="0" r="25994">
      <c r="A25994" s="3" t="inlineStr">
        <is>
          <t>25887</t>
        </is>
      </c>
      <c r="B25994" s="4" t="s">
        <f>=HYPERLINK("http://anyluxury.ru/shop/posuda/nabory-posudy/nabor-kruzhek-good-morning-c-pokritiem-softtach-mnogocvetniy-2332600/" , "23326.00 Набор кружек Good Morning c покрытием софт-тач, многоцветный")</f>
      </c>
      <c r="C25994" s="4" t="n">
        <v>2705.00</v>
      </c>
      <c r="D25994" s="4"/>
    </row>
    <row collapsed="" customFormat="false" customHeight="1" hidden="" ht="14" outlineLevel="0" r="25995">
      <c r="A25995" s="3" t="inlineStr">
        <is>
          <t>25888</t>
        </is>
      </c>
      <c r="B25995" s="4" t="s">
        <f>=HYPERLINK("http://anyluxury.ru/shop/posuda/nabory-posudy/nabor-kruzhekhameleonov-on-display-mnogocvetniy-2332400/" , "23324.00 Набор кружек-хамелеонов On Display, многоцветный")</f>
      </c>
      <c r="C25995" s="4" t="n">
        <v>2927.00</v>
      </c>
      <c r="D25995" s="4"/>
    </row>
    <row collapsed="" customFormat="false" customHeight="1" hidden="" ht="14" outlineLevel="0" r="25996">
      <c r="A25996" s="3" t="inlineStr">
        <is>
          <t>25889</t>
        </is>
      </c>
      <c r="B25996" s="4" t="s">
        <f>=HYPERLINK("http://anyluxury.ru/shop/posuda/nabory-posudy/chayniy-nabor-fusion-na-2-personi-1791560/" , "17915.60 Чайный набор Fusion на 2 персоны")</f>
      </c>
      <c r="C25996" s="4" t="n">
        <v>1350.00</v>
      </c>
      <c r="D25996" s="4"/>
    </row>
    <row collapsed="" customFormat="false" customHeight="1" hidden="" ht="14" outlineLevel="0" r="25997">
      <c r="A25997" s="3" t="inlineStr">
        <is>
          <t>25890</t>
        </is>
      </c>
      <c r="B25997" s="4" t="s">
        <f>=HYPERLINK("http://anyluxury.ru/shop/posuda/nabory-posudy/chaynaya-para-silk-bolshaya-1791601/" , "17916.01 Чайная пара Silk, большая")</f>
      </c>
      <c r="C25997" s="4" t="n">
        <v>890.00</v>
      </c>
      <c r="D25997" s="4"/>
    </row>
    <row collapsed="" customFormat="false" customHeight="1" hidden="" ht="14" outlineLevel="0" r="25998">
      <c r="A25998" s="3" t="inlineStr">
        <is>
          <t>25891</t>
        </is>
      </c>
      <c r="B25998" s="4" t="s">
        <f>=HYPERLINK("http://anyluxury.ru/shop/posuda/nabory-posudy/chayniy-nabor-lefard-na-6-person-1791810/" , "17918.10 Чайный набор Lefard на 6 персон")</f>
      </c>
      <c r="C25998" s="4" t="n">
        <v>5196.00</v>
      </c>
      <c r="D25998" s="4"/>
    </row>
    <row collapsed="" customFormat="false" customHeight="1" hidden="" ht="14" outlineLevel="0" r="25999">
      <c r="A25999" s="3" t="inlineStr">
        <is>
          <t>25892</t>
        </is>
      </c>
      <c r="B25999" s="4" t="s">
        <f>=HYPERLINK("http://anyluxury.ru/shop/posuda/nabory-posudy/chaynaya-para-ajour-1791960/" , "17919.60 Чайная пара Ajoure")</f>
      </c>
      <c r="C25999" s="4" t="n">
        <v>813.00</v>
      </c>
      <c r="D25999" s="4"/>
    </row>
    <row collapsed="" customFormat="false" customHeight="1" hidden="" ht="14" outlineLevel="0" r="26000">
      <c r="A26000" s="3" t="inlineStr">
        <is>
          <t>25893</t>
        </is>
      </c>
      <c r="B26000" s="4" t="s">
        <f>=HYPERLINK("http://anyluxury.ru/shop/posuda/nabory-posudy/nabor-small-talk-na-2-personi-2335102/" , "23351.02 Набор Small Talk на 2 персоны")</f>
      </c>
      <c r="C26000" s="4" t="n">
        <v>1212.70</v>
      </c>
      <c r="D26000" s="4"/>
    </row>
    <row collapsed="" customFormat="false" customHeight="1" hidden="" ht="14" outlineLevel="0" r="26001">
      <c r="A26001" s="3" t="inlineStr">
        <is>
          <t>25894</t>
        </is>
      </c>
      <c r="B26001" s="4" t="s">
        <f>=HYPERLINK("http://anyluxury.ru/shop/posuda/nabory-posudy/nabor-small-talk-na-4-personi-2335104/" , "23351.04 Набор Small Talk на 4 персоны")</f>
      </c>
      <c r="C26001" s="4" t="n">
        <v>2288.20</v>
      </c>
      <c r="D26001" s="4"/>
    </row>
    <row collapsed="" customFormat="false" customHeight="1" hidden="" ht="14" outlineLevel="0" r="26002">
      <c r="A26002" s="3" t="inlineStr">
        <is>
          <t>25895</t>
        </is>
      </c>
      <c r="B26002" s="4" t="s">
        <f>=HYPERLINK("http://anyluxury.ru/shop/posuda/nabory-posudy/kofeyniy-nabor-amber-coffee-maker-set-oranzheviy-s-chernim-1618403/" , "16184.03 Кофейный набор Amber Coffee Maker Set, оранжевый с черным")</f>
      </c>
      <c r="C26002" s="4" t="n">
        <v>13025.00</v>
      </c>
      <c r="D26002" s="4"/>
    </row>
    <row collapsed="" customFormat="false" customHeight="1" hidden="" ht="14" outlineLevel="0" r="26003">
      <c r="A26003" s="3" t="inlineStr">
        <is>
          <t>25896</t>
        </is>
      </c>
      <c r="B26003" s="4" t="s">
        <f>=HYPERLINK("http://anyluxury.ru/shop/posuda/nabory-posudy/nabor-morning-melody-1734100/" , "17341.00 Набор Morning Melody")</f>
      </c>
      <c r="C26003" s="4" t="n">
        <v>1010.00</v>
      </c>
      <c r="D26003" s="4"/>
    </row>
    <row collapsed="" customFormat="false" customHeight="1" hidden="" ht="14" outlineLevel="0" r="26004">
      <c r="A26004" s="3" t="inlineStr">
        <is>
          <t>25897</t>
        </is>
      </c>
      <c r="B26004" s="4" t="s">
        <f>=HYPERLINK("http://anyluxury.ru/shop/posuda/nabory-posudy/chaynaya-para-olivia-1721800/" , "17218.00 Чайная пара Olivia")</f>
      </c>
      <c r="C26004" s="4" t="n">
        <v>588.00</v>
      </c>
      <c r="D26004" s="4"/>
    </row>
    <row collapsed="" customFormat="false" customHeight="1" hidden="" ht="14" outlineLevel="0" r="26005">
      <c r="A26005" s="3" t="inlineStr">
        <is>
          <t>25898</t>
        </is>
      </c>
      <c r="B26005" s="4" t="s">
        <f>=HYPERLINK("http://anyluxury.ru/shop/posuda/nabory-posudy/kofeynaya-para-cuppucino-1721900/" , "17219.00 Кофейная пара Cuppucino")</f>
      </c>
      <c r="C26005" s="4" t="n">
        <v>493.00</v>
      </c>
      <c r="D26005" s="4"/>
    </row>
    <row collapsed="" customFormat="false" customHeight="1" hidden="" ht="14" outlineLevel="0" r="26006">
      <c r="A26006" s="3" t="inlineStr">
        <is>
          <t>25899</t>
        </is>
      </c>
      <c r="B26006" s="4" t="s">
        <f>=HYPERLINK("http://anyluxury.ru/shop/posuda/nabory-posudy/chayniy-nabor-teafony-1733600/" , "17336.00 Чайный набор Teafony")</f>
      </c>
      <c r="C26006" s="4" t="n">
        <v>5004.00</v>
      </c>
      <c r="D26006" s="4"/>
    </row>
    <row collapsed="" customFormat="false" customHeight="1" hidden="" ht="14" outlineLevel="0" r="26007">
      <c r="A26007" s="3" t="inlineStr">
        <is>
          <t>25900</t>
        </is>
      </c>
      <c r="B26007" s="4" t="s">
        <f>=HYPERLINK("http://anyluxury.ru/shop/posuda/nabory-posudy/chaynaya-para-mansion-ver2-malaya-2022160/" , "20221.60 Чайная пара Mansion, ver.2, малая")</f>
      </c>
      <c r="C26007" s="4" t="n">
        <v>497.00</v>
      </c>
      <c r="D26007" s="4"/>
    </row>
    <row collapsed="" customFormat="false" customHeight="1" hidden="" ht="14" outlineLevel="0" r="26008">
      <c r="A26008" s="3" t="inlineStr">
        <is>
          <t>25901</t>
        </is>
      </c>
      <c r="B26008" s="4" t="s">
        <f>=HYPERLINK("http://anyluxury.ru/shop/posuda/nabory-posudy/kofeynaya-para-mansion-ver2-2021960/" , "20219.60 Кофейная пара Mansion ver.2")</f>
      </c>
      <c r="C26008" s="4" t="n">
        <v>346.00</v>
      </c>
      <c r="D26008" s="4"/>
    </row>
    <row collapsed="" customFormat="false" customHeight="" hidden="" ht="12.1" outlineLevel="0" r="26009">
      <c r="A26009" s="5" t="inlineStr">
        <is>
          <t> -  - Предметы сервировки</t>
        </is>
      </c>
      <c r="B26009" s="6"/>
      <c r="C26009" s="6"/>
      <c r="D26009" s="6"/>
    </row>
    <row collapsed="" customFormat="false" customHeight="1" hidden="" ht="14" outlineLevel="0" r="26010">
      <c r="A26010" s="3" t="inlineStr">
        <is>
          <t>25902</t>
        </is>
      </c>
      <c r="B26010" s="4" t="s">
        <f>=HYPERLINK("http://anyluxury.ru/shop/posuda/predmety-servirovki/tarelka-iz-serii-hod-konem-z1603560/" , "Z16035.60 Тарелка из серии «Ход конем»")</f>
      </c>
      <c r="C26010" s="4" t="n">
        <v>349.00</v>
      </c>
      <c r="D26010" s="4"/>
    </row>
    <row collapsed="" customFormat="false" customHeight="1" hidden="" ht="14" outlineLevel="0" r="26011">
      <c r="A26011" s="3" t="inlineStr">
        <is>
          <t>25903</t>
        </is>
      </c>
      <c r="B26011" s="4" t="s">
        <f>=HYPERLINK("http://anyluxury.ru/shop/posuda/predmety-servirovki/slivochnik-maxim-diamond-molochnobeliy-3868/" , "3868 Сливочник Maxim Diamond, молочно-белый")</f>
      </c>
      <c r="C26011" s="4" t="n">
        <v>1088.00</v>
      </c>
      <c r="D26011" s="4"/>
    </row>
    <row collapsed="" customFormat="false" customHeight="1" hidden="" ht="14" outlineLevel="0" r="26012">
      <c r="A26012" s="3" t="inlineStr">
        <is>
          <t>25904</t>
        </is>
      </c>
      <c r="B26012" s="4" t="s">
        <f>=HYPERLINK("http://anyluxury.ru/shop/posuda/predmety-servirovki/piala-good-morning-krasnaya-684350/" , "6843.50 Пиала Good Morning, красная")</f>
      </c>
      <c r="C26012" s="4" t="n">
        <v>130.00</v>
      </c>
      <c r="D26012" s="4"/>
    </row>
    <row collapsed="" customFormat="false" customHeight="1" hidden="" ht="14" outlineLevel="0" r="26013">
      <c r="A26013" s="3" t="inlineStr">
        <is>
          <t>25905</t>
        </is>
      </c>
      <c r="B26013" s="4" t="s">
        <f>=HYPERLINK("http://anyluxury.ru/shop/posuda/predmety-servirovki/nabor-kosterov-sagano-691700/" , "6917.00 Набор костеров «Сагано»")</f>
      </c>
      <c r="C26013" s="4" t="n">
        <v>743.00</v>
      </c>
      <c r="D26013" s="4"/>
    </row>
    <row collapsed="" customFormat="false" customHeight="1" hidden="" ht="14" outlineLevel="0" r="26014">
      <c r="A26014" s="3" t="inlineStr">
        <is>
          <t>25906</t>
        </is>
      </c>
      <c r="B26014" s="4" t="s">
        <f>=HYPERLINK("http://anyluxury.ru/shop/posuda/predmety-servirovki/korzina-corona-malaya-serogolubaya-791114/" , "7911.14 Корзина Corona, малая, серо-голубая")</f>
      </c>
      <c r="C26014" s="4" t="n">
        <v>765.00</v>
      </c>
      <c r="D26014" s="4"/>
    </row>
    <row collapsed="" customFormat="false" customHeight="1" hidden="" ht="14" outlineLevel="0" r="26015">
      <c r="A26015" s="3" t="inlineStr">
        <is>
          <t>25907</t>
        </is>
      </c>
      <c r="B26015" s="4" t="s">
        <f>=HYPERLINK("http://anyluxury.ru/shop/posuda/predmety-servirovki/korzina-corona-malaya-korichnevaya-791159/" , "7911.59 Корзина Corona, малая, коричневая")</f>
      </c>
      <c r="C26015" s="4" t="n">
        <v>765.00</v>
      </c>
      <c r="D26015" s="4"/>
    </row>
    <row collapsed="" customFormat="false" customHeight="1" hidden="" ht="14" outlineLevel="0" r="26016">
      <c r="A26016" s="3" t="inlineStr">
        <is>
          <t>25908</t>
        </is>
      </c>
      <c r="B26016" s="4" t="s">
        <f>=HYPERLINK("http://anyluxury.ru/shop/posuda/predmety-servirovki/korzina-corona-bolshaya-rozovaya-791215/" , "7912.15 Корзина Corona, большая, розовая")</f>
      </c>
      <c r="C26016" s="4" t="n">
        <v>940.00</v>
      </c>
      <c r="D26016" s="4"/>
    </row>
    <row collapsed="" customFormat="false" customHeight="1" hidden="" ht="14" outlineLevel="0" r="26017">
      <c r="A26017" s="3" t="inlineStr">
        <is>
          <t>25909</t>
        </is>
      </c>
      <c r="B26017" s="4" t="s">
        <f>=HYPERLINK("http://anyluxury.ru/shop/posuda/predmety-servirovki/korzina-corona-bolshaya-serogolubaya-791214/" , "7912.14 Корзина Corona, большая, серо-голубая")</f>
      </c>
      <c r="C26017" s="4" t="n">
        <v>940.00</v>
      </c>
      <c r="D26017" s="4"/>
    </row>
    <row collapsed="" customFormat="false" customHeight="1" hidden="" ht="14" outlineLevel="0" r="26018">
      <c r="A26018" s="3" t="inlineStr">
        <is>
          <t>25910</t>
        </is>
      </c>
      <c r="B26018" s="4" t="s">
        <f>=HYPERLINK("http://anyluxury.ru/shop/posuda/predmety-servirovki/saharnica-diamante-bianco-belaya-793360/" , "7933.60 Сахарница Diamante Bianco, белая")</f>
      </c>
      <c r="C26018" s="4" t="n">
        <v>808.00</v>
      </c>
      <c r="D26018" s="4"/>
    </row>
    <row collapsed="" customFormat="false" customHeight="1" hidden="" ht="14" outlineLevel="0" r="26019">
      <c r="A26019" s="3" t="inlineStr">
        <is>
          <t>25911</t>
        </is>
      </c>
      <c r="B26019" s="4" t="s">
        <f>=HYPERLINK("http://anyluxury.ru/shop/posuda/predmety-servirovki/saharnica-riposo-belaya-793560/" , "7935.60 Сахарница Riposo, белая")</f>
      </c>
      <c r="C26019" s="4" t="n">
        <v>1060.00</v>
      </c>
      <c r="D26019" s="4"/>
    </row>
    <row collapsed="" customFormat="false" customHeight="1" hidden="" ht="14" outlineLevel="0" r="26020">
      <c r="A26020" s="3" t="inlineStr">
        <is>
          <t>25912</t>
        </is>
      </c>
      <c r="B26020" s="4" t="s">
        <f>=HYPERLINK("http://anyluxury.ru/shop/posuda/predmety-servirovki/nabor-cream-and-sugar-11987/" , "11987 Набор Cream and Sugar")</f>
      </c>
      <c r="C26020" s="4" t="n">
        <v>3859.00</v>
      </c>
      <c r="D26020" s="4"/>
    </row>
    <row collapsed="" customFormat="false" customHeight="1" hidden="" ht="14" outlineLevel="0" r="26021">
      <c r="A26021" s="3" t="inlineStr">
        <is>
          <t>25913</t>
        </is>
      </c>
      <c r="B26021" s="4" t="s">
        <f>=HYPERLINK("http://anyluxury.ru/shop/posuda/predmety-servirovki/dorozhka-na-stol-essential-seraya-1059510/" , "10595.10 Дорожка на стол Essential, серая")</f>
      </c>
      <c r="C26021" s="4" t="n">
        <v>1790.00</v>
      </c>
      <c r="D26021" s="4"/>
    </row>
    <row collapsed="" customFormat="false" customHeight="1" hidden="" ht="14" outlineLevel="0" r="26022">
      <c r="A26022" s="3" t="inlineStr">
        <is>
          <t>25914</t>
        </is>
      </c>
      <c r="B26022" s="4" t="s">
        <f>=HYPERLINK("http://anyluxury.ru/shop/posuda/predmety-servirovki/dorozhka-na-stol-essential-deco-bordovaya-1059755/" , "10597.55 Дорожка на стол Essential Deco, бордовая")</f>
      </c>
      <c r="C26022" s="4" t="n">
        <v>2100.00</v>
      </c>
      <c r="D26022" s="4"/>
    </row>
    <row collapsed="" customFormat="false" customHeight="1" hidden="" ht="14" outlineLevel="0" r="26023">
      <c r="A26023" s="3" t="inlineStr">
        <is>
          <t>25915</t>
        </is>
      </c>
      <c r="B26023" s="4" t="s">
        <f>=HYPERLINK("http://anyluxury.ru/shop/posuda/predmety-servirovki/dorozhka-na-stol-essential-deco-gorchichnaya-1059780/" , "10597.80 Дорожка на стол Essential Deco, горчичная")</f>
      </c>
      <c r="C26023" s="4" t="n">
        <v>2100.00</v>
      </c>
      <c r="D26023" s="4"/>
    </row>
    <row collapsed="" customFormat="false" customHeight="1" hidden="" ht="14" outlineLevel="0" r="26024">
      <c r="A26024" s="3" t="inlineStr">
        <is>
          <t>25916</t>
        </is>
      </c>
      <c r="B26024" s="4" t="s">
        <f>=HYPERLINK("http://anyluxury.ru/shop/posuda/predmety-servirovki/dorozhka-na-stol-iz-umyagchennogo-lna-s-dekorativnoy-obrabotkoy-temnoseraya-1059710/" , "10597.10 Дорожка на стол из умягченного льна с декоративной обработкой, темно-серая")</f>
      </c>
      <c r="C26024" s="4" t="n">
        <v>2100.00</v>
      </c>
      <c r="D26024" s="4"/>
    </row>
    <row collapsed="" customFormat="false" customHeight="1" hidden="" ht="14" outlineLevel="0" r="26025">
      <c r="A26025" s="3" t="inlineStr">
        <is>
          <t>25917</t>
        </is>
      </c>
      <c r="B26025" s="4" t="s">
        <f>=HYPERLINK("http://anyluxury.ru/shop/posuda/predmety-servirovki/butilka-dlya-masla-i-uksusa-tear-drop-1047600/" , "10476.00 Бутылка для масла и уксуса Tear Drop")</f>
      </c>
      <c r="C26025" s="4" t="n">
        <v>1800.00</v>
      </c>
      <c r="D26025" s="4"/>
    </row>
    <row collapsed="" customFormat="false" customHeight="1" hidden="" ht="14" outlineLevel="0" r="26026">
      <c r="A26026" s="3" t="inlineStr">
        <is>
          <t>25918</t>
        </is>
      </c>
      <c r="B26026" s="4" t="s">
        <f>=HYPERLINK("http://anyluxury.ru/shop/posuda/predmety-servirovki/butilka-dlya-masla-frosted-1047700/" , "10477.00 Бутылка для масла Frosted")</f>
      </c>
      <c r="C26026" s="4" t="n">
        <v>990.00</v>
      </c>
      <c r="D26026" s="4"/>
    </row>
    <row collapsed="" customFormat="false" customHeight="1" hidden="" ht="14" outlineLevel="0" r="26027">
      <c r="A26027" s="3" t="inlineStr">
        <is>
          <t>25919</t>
        </is>
      </c>
      <c r="B26027" s="4" t="s">
        <f>=HYPERLINK("http://anyluxury.ru/shop/posuda/predmety-servirovki/butilka-dlya-masla-silhouette-1048000/" , "10480.00 Бутылка для масла Silhouette")</f>
      </c>
      <c r="C26027" s="4" t="n">
        <v>890.00</v>
      </c>
      <c r="D26027" s="4"/>
    </row>
    <row collapsed="" customFormat="false" customHeight="1" hidden="" ht="14" outlineLevel="0" r="26028">
      <c r="A26028" s="3" t="inlineStr">
        <is>
          <t>25920</t>
        </is>
      </c>
      <c r="B26028" s="4" t="s">
        <f>=HYPERLINK("http://anyluxury.ru/shop/posuda/predmety-servirovki/podnos-banquet-7382900/" , "73829.00 Поднос Banquet")</f>
      </c>
      <c r="C26028" s="4" t="n">
        <v>683.00</v>
      </c>
      <c r="D26028" s="4"/>
    </row>
    <row collapsed="" customFormat="false" customHeight="1" hidden="" ht="14" outlineLevel="0" r="26029">
      <c r="A26029" s="3" t="inlineStr">
        <is>
          <t>25921</t>
        </is>
      </c>
      <c r="B26029" s="4" t="s">
        <f>=HYPERLINK("http://anyluxury.ru/shop/posuda/predmety-servirovki/tarelka-servirovochnaya-dimension-7396800/" , "73968.00 Тарелка сервировочная Dimension")</f>
      </c>
      <c r="C26029" s="4" t="n">
        <v>1514.00</v>
      </c>
      <c r="D26029" s="4"/>
    </row>
    <row collapsed="" customFormat="false" customHeight="1" hidden="" ht="14" outlineLevel="0" r="26030">
      <c r="A26030" s="3" t="inlineStr">
        <is>
          <t>25922</t>
        </is>
      </c>
      <c r="B26030" s="4" t="s">
        <f>=HYPERLINK("http://anyluxury.ru/shop/posuda/predmety-servirovki/nabor-lozhek-diet-7396900/" , "73969.00 Набор ложек для салата Diet")</f>
      </c>
      <c r="C26030" s="4" t="n">
        <v>399.00</v>
      </c>
      <c r="D26030" s="4"/>
    </row>
    <row collapsed="" customFormat="false" customHeight="1" hidden="" ht="14" outlineLevel="0" r="26031">
      <c r="A26031" s="3" t="inlineStr">
        <is>
          <t>25923</t>
        </is>
      </c>
      <c r="B26031" s="4" t="s">
        <f>=HYPERLINK("http://anyluxury.ru/shop/posuda/predmety-servirovki/servirovochnoe-blyudo-in-a-row-7386100/" , "73861.00 Сервировочное блюдо In a Row")</f>
      </c>
      <c r="C26031" s="4" t="n">
        <v>898.00</v>
      </c>
      <c r="D26031" s="4"/>
    </row>
    <row collapsed="" customFormat="false" customHeight="1" hidden="" ht="14" outlineLevel="0" r="26032">
      <c r="A26032" s="3" t="inlineStr">
        <is>
          <t>25924</t>
        </is>
      </c>
      <c r="B26032" s="4" t="s">
        <f>=HYPERLINK("http://anyluxury.ru/shop/posuda/predmety-servirovki/butilka-dlya-masla-i-uksusa-salsa-7387500/" , "73875.00 Бутылка для масла и уксуса Salsa")</f>
      </c>
      <c r="C26032" s="4" t="n">
        <v>1311.00</v>
      </c>
      <c r="D26032" s="4"/>
    </row>
    <row collapsed="" customFormat="false" customHeight="1" hidden="" ht="14" outlineLevel="0" r="26033">
      <c r="A26033" s="3" t="inlineStr">
        <is>
          <t>25925</t>
        </is>
      </c>
      <c r="B26033" s="4" t="s">
        <f>=HYPERLINK("http://anyluxury.ru/shop/posuda/predmety-servirovki/nabor-kolec-dlya-salfetok-proper-way-7387700/" , "73877.00 Набор колец для салфеток Proper Way")</f>
      </c>
      <c r="C26033" s="4" t="n">
        <v>350.00</v>
      </c>
      <c r="D26033" s="4"/>
    </row>
    <row collapsed="" customFormat="false" customHeight="1" hidden="" ht="14" outlineLevel="0" r="26034">
      <c r="A26034" s="3" t="inlineStr">
        <is>
          <t>25926</t>
        </is>
      </c>
      <c r="B26034" s="4" t="s">
        <f>=HYPERLINK("http://anyluxury.ru/shop/posuda/predmety-servirovki/doska-dlya-steyka-meating-4500600/" , "45006.00 Доска для стейка Meating")</f>
      </c>
      <c r="C26034" s="4" t="n">
        <v>2363.00</v>
      </c>
      <c r="D26034" s="4"/>
    </row>
    <row collapsed="" customFormat="false" customHeight="1" hidden="" ht="14" outlineLevel="0" r="26035">
      <c r="A26035" s="3" t="inlineStr">
        <is>
          <t>25927</t>
        </is>
      </c>
      <c r="B26035" s="4" t="s">
        <f>=HYPERLINK("http://anyluxury.ru/shop/posuda/predmety-servirovki/salfetnica-napking-1279900/" , "12799.00 Салфетница NapKing")</f>
      </c>
      <c r="C26035" s="4" t="n">
        <v>435.00</v>
      </c>
      <c r="D26035" s="4"/>
    </row>
    <row collapsed="" customFormat="false" customHeight="1" hidden="" ht="14" outlineLevel="0" r="26036">
      <c r="A26036" s="3" t="inlineStr">
        <is>
          <t>25928</t>
        </is>
      </c>
      <c r="B26036" s="4" t="s">
        <f>=HYPERLINK("http://anyluxury.ru/shop/posuda/predmety-servirovki/miska-servirovochnaya-kastehelmi-prozrachnaya-1251100/" , "12511.00 Миска сервировочная Kastehelmi, прозрачная")</f>
      </c>
      <c r="C26036" s="4" t="n">
        <v>1860.00</v>
      </c>
      <c r="D26036" s="4"/>
    </row>
    <row collapsed="" customFormat="false" customHeight="1" hidden="" ht="14" outlineLevel="0" r="26037">
      <c r="A26037" s="3" t="inlineStr">
        <is>
          <t>25929</t>
        </is>
      </c>
      <c r="B26037" s="4" t="s">
        <f>=HYPERLINK("http://anyluxury.ru/shop/posuda/predmety-servirovki/miska-servirovochnaya-kastehelmi-seraya-1251111/" , "12511.11 Миска сервировочная Kastehelmi, серая")</f>
      </c>
      <c r="C26037" s="4" t="n">
        <v>1860.00</v>
      </c>
      <c r="D26037" s="4"/>
    </row>
    <row collapsed="" customFormat="false" customHeight="1" hidden="" ht="14" outlineLevel="0" r="26038">
      <c r="A26038" s="3" t="inlineStr">
        <is>
          <t>25930</t>
        </is>
      </c>
      <c r="B26038" s="4" t="s">
        <f>=HYPERLINK("http://anyluxury.ru/shop/posuda/predmety-servirovki/miska-servirovochnaya-kastehelmi-krasnaya-1251150/" , "12511.50 Миска сервировочная Kastehelmi, красная")</f>
      </c>
      <c r="C26038" s="4" t="n">
        <v>2790.00</v>
      </c>
      <c r="D26038" s="4"/>
    </row>
    <row collapsed="" customFormat="false" customHeight="1" hidden="" ht="14" outlineLevel="0" r="26039">
      <c r="A26039" s="3" t="inlineStr">
        <is>
          <t>25931</t>
        </is>
      </c>
      <c r="B26039" s="4" t="s">
        <f>=HYPERLINK("http://anyluxury.ru/shop/posuda/predmety-servirovki/miska-servirovochnaya-kastehelmi-olivkovaya-1251190/" , "12511.90 Миска сервировочная Kastehelmi, оливковая")</f>
      </c>
      <c r="C26039" s="4" t="n">
        <v>1860.00</v>
      </c>
      <c r="D26039" s="4"/>
    </row>
    <row collapsed="" customFormat="false" customHeight="1" hidden="" ht="14" outlineLevel="0" r="26040">
      <c r="A26040" s="3" t="inlineStr">
        <is>
          <t>25932</t>
        </is>
      </c>
      <c r="B26040" s="4" t="s">
        <f>=HYPERLINK("http://anyluxury.ru/shop/posuda/predmety-servirovki/miska-servirovochnaya-kastehelmi-sinyaya-1251140/" , "12511.40 Миска сервировочная Kastehelmi, синяя")</f>
      </c>
      <c r="C26040" s="4" t="n">
        <v>1860.00</v>
      </c>
      <c r="D26040" s="4"/>
    </row>
    <row collapsed="" customFormat="false" customHeight="1" hidden="" ht="14" outlineLevel="0" r="26041">
      <c r="A26041" s="3" t="inlineStr">
        <is>
          <t>25933</t>
        </is>
      </c>
      <c r="B26041" s="4" t="s">
        <f>=HYPERLINK("http://anyluxury.ru/shop/posuda/predmety-servirovki/vaza-servirovochnaya-kastehelmi-prozrachnaya-1251200/" , "12512.00 Ваза сервировочная Kastehelmi, прозрачная")</f>
      </c>
      <c r="C26041" s="4" t="n">
        <v>2237.00</v>
      </c>
      <c r="D26041" s="4"/>
    </row>
    <row collapsed="" customFormat="false" customHeight="1" hidden="" ht="14" outlineLevel="0" r="26042">
      <c r="A26042" s="3" t="inlineStr">
        <is>
          <t>25934</t>
        </is>
      </c>
      <c r="B26042" s="4" t="s">
        <f>=HYPERLINK("http://anyluxury.ru/shop/posuda/predmety-servirovki/vaza-servirovochnaya-kastehelmi-seraya-1251211/" , "12512.11 Ваза сервировочная Kastehelmi, серая")</f>
      </c>
      <c r="C26042" s="4" t="n">
        <v>2347.00</v>
      </c>
      <c r="D26042" s="4"/>
    </row>
    <row collapsed="" customFormat="false" customHeight="1" hidden="" ht="14" outlineLevel="0" r="26043">
      <c r="A26043" s="3" t="inlineStr">
        <is>
          <t>25935</t>
        </is>
      </c>
      <c r="B26043" s="4" t="s">
        <f>=HYPERLINK("http://anyluxury.ru/shop/posuda/predmety-servirovki/blyudo-dlya-torta-kastehelmi-bolshoe-1251300/" , "12513.00 Блюдо для торта Kastehelmi, большое")</f>
      </c>
      <c r="C26043" s="4" t="n">
        <v>9345.00</v>
      </c>
      <c r="D26043" s="4"/>
    </row>
    <row collapsed="" customFormat="false" customHeight="1" hidden="" ht="14" outlineLevel="0" r="26044">
      <c r="A26044" s="3" t="inlineStr">
        <is>
          <t>25936</t>
        </is>
      </c>
      <c r="B26044" s="4" t="s">
        <f>=HYPERLINK("http://anyluxury.ru/shop/posuda/predmety-servirovki/blyudo-dlya-torta-kastehelmi-maloe-1251400/" , "12514.00 Блюдо для торта Kastehelmi, малое")</f>
      </c>
      <c r="C26044" s="4" t="n">
        <v>7795.00</v>
      </c>
      <c r="D26044" s="4"/>
    </row>
    <row collapsed="" customFormat="false" customHeight="1" hidden="" ht="14" outlineLevel="0" r="26045">
      <c r="A26045" s="3" t="inlineStr">
        <is>
          <t>25937</t>
        </is>
      </c>
      <c r="B26045" s="4" t="s">
        <f>=HYPERLINK("http://anyluxury.ru/shop/posuda/predmety-servirovki/vaza-dlya-fruktov-kastehelmi-1251500/" , "12515.00 Ваза для фруктов Kastehelmi")</f>
      </c>
      <c r="C26045" s="4" t="n">
        <v>2947.00</v>
      </c>
      <c r="D26045" s="4"/>
    </row>
    <row collapsed="" customFormat="false" customHeight="1" hidden="" ht="14" outlineLevel="0" r="26046">
      <c r="A26046" s="3" t="inlineStr">
        <is>
          <t>25938</t>
        </is>
      </c>
      <c r="B26046" s="4" t="s">
        <f>=HYPERLINK("http://anyluxury.ru/shop/posuda/predmety-servirovki/podstavka-pod-yayco-origo-1251800/" , "12518.00 Подставка под яйцо Origo")</f>
      </c>
      <c r="C26046" s="4" t="n">
        <v>1072.00</v>
      </c>
      <c r="D26046" s="4"/>
    </row>
    <row collapsed="" customFormat="false" customHeight="1" hidden="" ht="14" outlineLevel="0" r="26047">
      <c r="A26047" s="3" t="inlineStr">
        <is>
          <t>25939</t>
        </is>
      </c>
      <c r="B26047" s="4" t="s">
        <f>=HYPERLINK("http://anyluxury.ru/shop/posuda/predmety-servirovki/servirovochnaya-miska-teema-malaya-belaya-1253260/" , "12532.60 Сервировочная миска Teema, малая, белая")</f>
      </c>
      <c r="C26047" s="4" t="n">
        <v>2395.00</v>
      </c>
      <c r="D26047" s="4"/>
    </row>
    <row collapsed="" customFormat="false" customHeight="1" hidden="" ht="14" outlineLevel="0" r="26048">
      <c r="A26048" s="3" t="inlineStr">
        <is>
          <t>25940</t>
        </is>
      </c>
      <c r="B26048" s="4" t="s">
        <f>=HYPERLINK("http://anyluxury.ru/shop/posuda/predmety-servirovki/salatnik-teema-maliy-1253660/" , "12536.60 Салатник Teema, малый")</f>
      </c>
      <c r="C26048" s="4" t="n">
        <v>3538.00</v>
      </c>
      <c r="D26048" s="4"/>
    </row>
    <row collapsed="" customFormat="false" customHeight="1" hidden="" ht="14" outlineLevel="0" r="26049">
      <c r="A26049" s="3" t="inlineStr">
        <is>
          <t>25941</t>
        </is>
      </c>
      <c r="B26049" s="4" t="s">
        <f>=HYPERLINK("http://anyluxury.ru/shop/posuda/predmety-servirovki/servirovochnaya-miska-teema-bolshaya-belaya-1253760/" , "12537.60 Сервировочная миска Teema, большая, белая")</f>
      </c>
      <c r="C26049" s="4" t="n">
        <v>8361.00</v>
      </c>
      <c r="D26049" s="4"/>
    </row>
    <row collapsed="" customFormat="false" customHeight="1" hidden="" ht="14" outlineLevel="0" r="26050">
      <c r="A26050" s="3" t="inlineStr">
        <is>
          <t>25942</t>
        </is>
      </c>
      <c r="B26050" s="4" t="s">
        <f>=HYPERLINK("http://anyluxury.ru/shop/posuda/predmety-servirovki/salatnik-teema-bolshoy-1253860/" , "12538.60 Салатник Teema, большой")</f>
      </c>
      <c r="C26050" s="4" t="n">
        <v>8900.00</v>
      </c>
      <c r="D26050" s="4"/>
    </row>
    <row collapsed="" customFormat="false" customHeight="1" hidden="" ht="14" outlineLevel="0" r="26051">
      <c r="A26051" s="3" t="inlineStr">
        <is>
          <t>25943</t>
        </is>
      </c>
      <c r="B26051" s="4" t="s">
        <f>=HYPERLINK("http://anyluxury.ru/shop/posuda/predmety-servirovki/slivochnik-teema-beliy-1254160/" , "12541.60 Сливочник Teema, белый")</f>
      </c>
      <c r="C26051" s="4" t="n">
        <v>2842.00</v>
      </c>
      <c r="D26051" s="4"/>
    </row>
    <row collapsed="" customFormat="false" customHeight="1" hidden="" ht="14" outlineLevel="0" r="26052">
      <c r="A26052" s="3" t="inlineStr">
        <is>
          <t>25944</t>
        </is>
      </c>
      <c r="B26052" s="4" t="s">
        <f>=HYPERLINK("http://anyluxury.ru/shop/posuda/predmety-servirovki/servirovochnaya-miska-teema-malaya-chernaya-1253230/" , "12532.30 Сервировочная миска Teema, малая, черная")</f>
      </c>
      <c r="C26052" s="4" t="n">
        <v>3271.00</v>
      </c>
      <c r="D26052" s="4"/>
    </row>
    <row collapsed="" customFormat="false" customHeight="1" hidden="" ht="14" outlineLevel="0" r="26053">
      <c r="A26053" s="3" t="inlineStr">
        <is>
          <t>25945</t>
        </is>
      </c>
      <c r="B26053" s="4" t="s">
        <f>=HYPERLINK("http://anyluxury.ru/shop/posuda/predmety-servirovki/servirovochnaya-miska-teema-malaya-seraya-1253211/" , "12532.11 Сервировочная миска Teema, малая, серая")</f>
      </c>
      <c r="C26053" s="4" t="n">
        <v>3271.00</v>
      </c>
      <c r="D26053" s="4"/>
    </row>
    <row collapsed="" customFormat="false" customHeight="1" hidden="" ht="14" outlineLevel="0" r="26054">
      <c r="A26054" s="3" t="inlineStr">
        <is>
          <t>25946</t>
        </is>
      </c>
      <c r="B26054" s="4" t="s">
        <f>=HYPERLINK("http://anyluxury.ru/shop/posuda/predmety-servirovki/servirovochnaya-miska-teema-malaya-krasnaya-1253250/" , "12532.50 Сервировочная миска Teema, малая, красная")</f>
      </c>
      <c r="C26054" s="4" t="n">
        <v>3274.00</v>
      </c>
      <c r="D26054" s="4"/>
    </row>
    <row collapsed="" customFormat="false" customHeight="1" hidden="" ht="14" outlineLevel="0" r="26055">
      <c r="A26055" s="3" t="inlineStr">
        <is>
          <t>25947</t>
        </is>
      </c>
      <c r="B26055" s="4" t="s">
        <f>=HYPERLINK("http://anyluxury.ru/shop/posuda/predmety-servirovki/miska-servirovochnaya-aino-aalto-1255400/" , "12554.00 Миска сервировочная Aino Aalto")</f>
      </c>
      <c r="C26055" s="4" t="n">
        <v>1635.00</v>
      </c>
      <c r="D26055" s="4"/>
    </row>
    <row collapsed="" customFormat="false" customHeight="1" hidden="" ht="14" outlineLevel="0" r="26056">
      <c r="A26056" s="3" t="inlineStr">
        <is>
          <t>25948</t>
        </is>
      </c>
      <c r="B26056" s="4" t="s">
        <f>=HYPERLINK("http://anyluxury.ru/shop/posuda/predmety-servirovki/vaza-servirovochnaya-ultima-thule-malaya-1258400/" , "12584.00 Ваза сервировочная Ultima Thule, малая")</f>
      </c>
      <c r="C26056" s="4" t="n">
        <v>8226.00</v>
      </c>
      <c r="D26056" s="4"/>
    </row>
    <row collapsed="" customFormat="false" customHeight="1" hidden="" ht="14" outlineLevel="0" r="26057">
      <c r="A26057" s="3" t="inlineStr">
        <is>
          <t>25949</t>
        </is>
      </c>
      <c r="B26057" s="4" t="s">
        <f>=HYPERLINK("http://anyluxury.ru/shop/posuda/predmety-servirovki/vaza-servirovochnaya-ultima-thule-bolshaya-1258500/" , "12585.00 Ваза сервировочная Ultima Thule, большая")</f>
      </c>
      <c r="C26057" s="4" t="n">
        <v>15024.00</v>
      </c>
      <c r="D26057" s="4"/>
    </row>
    <row collapsed="" customFormat="false" customHeight="1" hidden="" ht="14" outlineLevel="0" r="26058">
      <c r="A26058" s="3" t="inlineStr">
        <is>
          <t>25950</t>
        </is>
      </c>
      <c r="B26058" s="4" t="s">
        <f>=HYPERLINK("http://anyluxury.ru/shop/posuda/predmety-servirovki/miska-servirovochnaya-origo-1251900/" , "12519.00 Миска сервировочная Origo")</f>
      </c>
      <c r="C26058" s="4" t="n">
        <v>1334.00</v>
      </c>
      <c r="D26058" s="4"/>
    </row>
    <row collapsed="" customFormat="false" customHeight="1" hidden="" ht="14" outlineLevel="0" r="26059">
      <c r="A26059" s="3" t="inlineStr">
        <is>
          <t>25951</t>
        </is>
      </c>
      <c r="B26059" s="4" t="s">
        <f>=HYPERLINK("http://anyluxury.ru/shop/posuda/predmety-servirovki/tarelka-servirovochnaya-origo-1259100/" , "12591.00 Тарелка сервировочная Origo")</f>
      </c>
      <c r="C26059" s="4" t="n">
        <v>5443.00</v>
      </c>
      <c r="D26059" s="4"/>
    </row>
    <row collapsed="" customFormat="false" customHeight="1" hidden="" ht="14" outlineLevel="0" r="26060">
      <c r="A26060" s="3" t="inlineStr">
        <is>
          <t>25952</t>
        </is>
      </c>
      <c r="B26060" s="4" t="s">
        <f>=HYPERLINK("http://anyluxury.ru/shop/posuda/predmety-servirovki/emkost-s-krishkoy-legio-nova-belaya-1477660/" , "14776.60 Емкость с крышкой Legio Nova, белая")</f>
      </c>
      <c r="C26060" s="4" t="n">
        <v>4090.00</v>
      </c>
      <c r="D26060" s="4"/>
    </row>
    <row collapsed="" customFormat="false" customHeight="1" hidden="" ht="14" outlineLevel="0" r="26061">
      <c r="A26061" s="3" t="inlineStr">
        <is>
          <t>25953</t>
        </is>
      </c>
      <c r="B26061" s="4" t="s">
        <f>=HYPERLINK("http://anyluxury.ru/shop/posuda/predmety-servirovki/miska-servirovochnaya-legio-nova-malaya-belaya-1478060/" , "14780.60 Миска сервировочная Legio Nova, малая, белая")</f>
      </c>
      <c r="C26061" s="4" t="n">
        <v>1590.00</v>
      </c>
      <c r="D26061" s="4"/>
    </row>
    <row collapsed="" customFormat="false" customHeight="1" hidden="" ht="14" outlineLevel="0" r="26062">
      <c r="A26062" s="3" t="inlineStr">
        <is>
          <t>25954</t>
        </is>
      </c>
      <c r="B26062" s="4" t="s">
        <f>=HYPERLINK("http://anyluxury.ru/shop/posuda/predmety-servirovki/miska-servirovochnaya-legio-nova-srednyaya-belaya-1478160/" , "14781.60 Миска сервировочная Legio Nova, средняя, белая")</f>
      </c>
      <c r="C26062" s="4" t="n">
        <v>4550.00</v>
      </c>
      <c r="D26062" s="4"/>
    </row>
    <row collapsed="" customFormat="false" customHeight="1" hidden="" ht="14" outlineLevel="0" r="26063">
      <c r="A26063" s="3" t="inlineStr">
        <is>
          <t>25955</t>
        </is>
      </c>
      <c r="B26063" s="4" t="s">
        <f>=HYPERLINK("http://anyluxury.ru/shop/posuda/predmety-servirovki/miska-servirovochnaya-legio-nova-bolshaya-belaya-1478260/" , "14782.60 Миска сервировочная Legio Nova, большая, белая")</f>
      </c>
      <c r="C26063" s="4" t="n">
        <v>6000.00</v>
      </c>
      <c r="D26063" s="4"/>
    </row>
    <row collapsed="" customFormat="false" customHeight="1" hidden="" ht="14" outlineLevel="0" r="26064">
      <c r="A26064" s="3" t="inlineStr">
        <is>
          <t>25956</t>
        </is>
      </c>
      <c r="B26064" s="4" t="s">
        <f>=HYPERLINK("http://anyluxury.ru/shop/posuda/predmety-servirovki/doska-dlya-servirovki-nordic-kitchen-1481800/" , "14818.00 Доска для сервировки Nordic Kitchen")</f>
      </c>
      <c r="C26064" s="4" t="n">
        <v>1650.00</v>
      </c>
      <c r="D26064" s="4"/>
    </row>
    <row collapsed="" customFormat="false" customHeight="1" hidden="" ht="14" outlineLevel="0" r="26065">
      <c r="A26065" s="3" t="inlineStr">
        <is>
          <t>25957</t>
        </is>
      </c>
      <c r="B26065" s="4" t="s">
        <f>=HYPERLINK("http://anyluxury.ru/shop/posuda/predmety-servirovki/miska-legio-nova-bolshaya-belaya-1484660/" , "14846.60 Миска Legio Nova, большая, белая")</f>
      </c>
      <c r="C26065" s="4" t="n">
        <v>4250.00</v>
      </c>
      <c r="D26065" s="4"/>
    </row>
    <row collapsed="" customFormat="false" customHeight="1" hidden="" ht="14" outlineLevel="0" r="26066">
      <c r="A26066" s="3" t="inlineStr">
        <is>
          <t>25958</t>
        </is>
      </c>
      <c r="B26066" s="4" t="s">
        <f>=HYPERLINK("http://anyluxury.ru/shop/posuda/predmety-servirovki/miska-nordic-kitchen-malaya-chernaya-1484730/" , "14847.30 Миска Nordic Kitchen, малая, черная")</f>
      </c>
      <c r="C26066" s="4" t="n">
        <v>1850.00</v>
      </c>
      <c r="D26066" s="4"/>
    </row>
    <row collapsed="" customFormat="false" customHeight="1" hidden="" ht="14" outlineLevel="0" r="26067">
      <c r="A26067" s="3" t="inlineStr">
        <is>
          <t>25959</t>
        </is>
      </c>
      <c r="B26067" s="4" t="s">
        <f>=HYPERLINK("http://anyluxury.ru/shop/posuda/predmety-servirovki/miska-s-ruchkami-nordic-kitchen-malaya-chernaya-1484830/" , "14848.30 Миска с ручками Nordic Kitchen, малая, черная")</f>
      </c>
      <c r="C26067" s="4" t="n">
        <v>2200.00</v>
      </c>
      <c r="D26067" s="4"/>
    </row>
    <row collapsed="" customFormat="false" customHeight="1" hidden="" ht="14" outlineLevel="0" r="26068">
      <c r="A26068" s="3" t="inlineStr">
        <is>
          <t>25960</t>
        </is>
      </c>
      <c r="B26068" s="4" t="s">
        <f>=HYPERLINK("http://anyluxury.ru/shop/posuda/predmety-servirovki/miska-s-ruchkami-nordic-kitchen-bolshaya-chernaya-1484930/" , "14849.30 Миска с ручками Nordic Kitchen, большая, черная")</f>
      </c>
      <c r="C26068" s="4" t="n">
        <v>2790.00</v>
      </c>
      <c r="D26068" s="4"/>
    </row>
    <row collapsed="" customFormat="false" customHeight="1" hidden="" ht="14" outlineLevel="0" r="26069">
      <c r="A26069" s="3" t="inlineStr">
        <is>
          <t>25961</t>
        </is>
      </c>
      <c r="B26069" s="4" t="s">
        <f>=HYPERLINK("http://anyluxury.ru/shop/posuda/predmety-servirovki/miska-nordic-kitchen-bolshaya-chernaya-1485030/" , "14850.30 Миска Nordic Kitchen, большая, черная")</f>
      </c>
      <c r="C26069" s="4" t="n">
        <v>5500.00</v>
      </c>
      <c r="D26069" s="4"/>
    </row>
    <row collapsed="" customFormat="false" customHeight="1" hidden="" ht="14" outlineLevel="0" r="26070">
      <c r="A26070" s="3" t="inlineStr">
        <is>
          <t>25962</t>
        </is>
      </c>
      <c r="B26070" s="4" t="s">
        <f>=HYPERLINK("http://anyluxury.ru/shop/posuda/predmety-servirovki/miska-dlya-salata-legio-nova-belaya-1485160/" , "14851.60 Миска для салата Legio Nova, белая")</f>
      </c>
      <c r="C26070" s="4" t="n">
        <v>6990.00</v>
      </c>
      <c r="D26070" s="4"/>
    </row>
    <row collapsed="" customFormat="false" customHeight="1" hidden="" ht="14" outlineLevel="0" r="26071">
      <c r="A26071" s="3" t="inlineStr">
        <is>
          <t>25963</t>
        </is>
      </c>
      <c r="B26071" s="4" t="s">
        <f>=HYPERLINK("http://anyluxury.ru/shop/posuda/predmety-servirovki/nabor-granenih-misok-table-1485200/" , "14852.00 Набор из 4 граненых мисок Table")</f>
      </c>
      <c r="C26071" s="4" t="n">
        <v>3300.00</v>
      </c>
      <c r="D26071" s="4"/>
    </row>
    <row collapsed="" customFormat="false" customHeight="1" hidden="" ht="14" outlineLevel="0" r="26072">
      <c r="A26072" s="3" t="inlineStr">
        <is>
          <t>25964</t>
        </is>
      </c>
      <c r="B26072" s="4" t="s">
        <f>=HYPERLINK("http://anyluxury.ru/shop/posuda/predmety-servirovki/nabor-dlya-salata-table-1485300/" , "14853.00 Набор для салата Table")</f>
      </c>
      <c r="C26072" s="4" t="n">
        <v>2890.00</v>
      </c>
      <c r="D26072" s="4"/>
    </row>
    <row collapsed="" customFormat="false" customHeight="1" hidden="" ht="14" outlineLevel="0" r="26073">
      <c r="A26073" s="3" t="inlineStr">
        <is>
          <t>25965</t>
        </is>
      </c>
      <c r="B26073" s="4" t="s">
        <f>=HYPERLINK("http://anyluxury.ru/shop/posuda/predmety-servirovki/nabor-dlya-sahara-i-slivok-drip-free-1485400/" , "14854.00 Набор для сахара и сливок Drip Free")</f>
      </c>
      <c r="C26073" s="4" t="n">
        <v>8450.00</v>
      </c>
      <c r="D26073" s="4"/>
    </row>
    <row collapsed="" customFormat="false" customHeight="1" hidden="" ht="14" outlineLevel="0" r="26074">
      <c r="A26074" s="3" t="inlineStr">
        <is>
          <t>25966</t>
        </is>
      </c>
      <c r="B26074" s="4" t="s">
        <f>=HYPERLINK("http://anyluxury.ru/shop/posuda/predmety-servirovki/podnos-dlya-servirovki-kitchen-cherniy-1487030/" , "14870.30 Поднос для сервировки Kitchen, черный")</f>
      </c>
      <c r="C26074" s="4" t="n">
        <v>12590.00</v>
      </c>
      <c r="D26074" s="4"/>
    </row>
    <row collapsed="" customFormat="false" customHeight="1" hidden="" ht="14" outlineLevel="0" r="26075">
      <c r="A26075" s="3" t="inlineStr">
        <is>
          <t>25967</t>
        </is>
      </c>
      <c r="B26075" s="4" t="s">
        <f>=HYPERLINK("http://anyluxury.ru/shop/posuda/predmety-servirovki/podstavka-dlya-yayca-legio-nova-belaya-1487360/" , "14873.60 Подставка для яйца Legio Nova, белая")</f>
      </c>
      <c r="C26075" s="4" t="n">
        <v>1850.00</v>
      </c>
      <c r="D26075" s="4"/>
    </row>
    <row collapsed="" customFormat="false" customHeight="1" hidden="" ht="14" outlineLevel="0" r="26076">
      <c r="A26076" s="3" t="inlineStr">
        <is>
          <t>25968</t>
        </is>
      </c>
      <c r="B26076" s="4" t="s">
        <f>=HYPERLINK("http://anyluxury.ru/shop/posuda/predmety-servirovki/sousnik-legio-nova-beliy-1489760/" , "14897.60 Соусник Legio Nova, белый")</f>
      </c>
      <c r="C26076" s="4" t="n">
        <v>3300.00</v>
      </c>
      <c r="D26076" s="4"/>
    </row>
    <row collapsed="" customFormat="false" customHeight="1" hidden="" ht="14" outlineLevel="0" r="26077">
      <c r="A26077" s="3" t="inlineStr">
        <is>
          <t>25969</t>
        </is>
      </c>
      <c r="B26077" s="4" t="s">
        <f>=HYPERLINK("http://anyluxury.ru/shop/posuda/predmety-servirovki/butilka-dlya-masla-myflavour-1481100/" , "14811.00 Бутылка для масла MyFlavour")</f>
      </c>
      <c r="C26077" s="4" t="n">
        <v>4990.00</v>
      </c>
      <c r="D26077" s="4"/>
    </row>
    <row collapsed="" customFormat="false" customHeight="1" hidden="" ht="14" outlineLevel="0" r="26078">
      <c r="A26078" s="3" t="inlineStr">
        <is>
          <t>25970</t>
        </is>
      </c>
      <c r="B26078" s="4" t="s">
        <f>=HYPERLINK("http://anyluxury.ru/shop/posuda/predmety-servirovki/butilka-dlya-masla-i-uksusa-drip-free-1481200/" , "14812.00 Бутылка для масла и уксуса Drip Free")</f>
      </c>
      <c r="C26078" s="4" t="n">
        <v>4450.00</v>
      </c>
      <c r="D26078" s="4"/>
    </row>
    <row collapsed="" customFormat="false" customHeight="1" hidden="" ht="14" outlineLevel="0" r="26079">
      <c r="A26079" s="3" t="inlineStr">
        <is>
          <t>25971</t>
        </is>
      </c>
      <c r="B26079" s="4" t="s">
        <f>=HYPERLINK("http://anyluxury.ru/shop/posuda/predmety-servirovki/gril-nastolniy-grill-beliy-1481360/" , "14813.60 Гриль настольный Grill, белый")</f>
      </c>
      <c r="C26079" s="4" t="n">
        <v>44280.00</v>
      </c>
      <c r="D26079" s="4"/>
    </row>
    <row collapsed="" customFormat="false" customHeight="1" hidden="" ht="14" outlineLevel="0" r="26080">
      <c r="A26080" s="3" t="inlineStr">
        <is>
          <t>25972</t>
        </is>
      </c>
      <c r="B26080" s="4" t="s">
        <f>=HYPERLINK("http://anyluxury.ru/shop/posuda/predmety-servirovki/blyudo-dlya-torta-ili-zakusok-legio-nova-beloe-1498160/" , "14981.60 Блюдо для торта или закусок Legio Nova, белое")</f>
      </c>
      <c r="C26080" s="4" t="n">
        <v>8850.00</v>
      </c>
      <c r="D26080" s="4"/>
    </row>
    <row collapsed="" customFormat="false" customHeight="1" hidden="" ht="14" outlineLevel="0" r="26081">
      <c r="A26081" s="3" t="inlineStr">
        <is>
          <t>25973</t>
        </is>
      </c>
      <c r="B26081" s="4" t="s">
        <f>=HYPERLINK("http://anyluxury.ru/shop/posuda/predmety-servirovki/sheyker-dlya-salatnoy-zapravki-drip-free-1501200/" , "15012.00 Шейкер для салатной заправки Drip Free")</f>
      </c>
      <c r="C26081" s="4" t="n">
        <v>4400.00</v>
      </c>
      <c r="D26081" s="4"/>
    </row>
    <row collapsed="" customFormat="false" customHeight="1" hidden="" ht="14" outlineLevel="0" r="26082">
      <c r="A26082" s="3" t="inlineStr">
        <is>
          <t>25974</t>
        </is>
      </c>
      <c r="B26082" s="4" t="s">
        <f>=HYPERLINK("http://anyluxury.ru/shop/posuda/predmety-servirovki/etazherka-legio-nova-belaya-1500700/" , "15007.00 Этажерка Legio Nova, белая")</f>
      </c>
      <c r="C26082" s="4" t="n">
        <v>8850.00</v>
      </c>
      <c r="D26082" s="4"/>
    </row>
    <row collapsed="" customFormat="false" customHeight="1" hidden="" ht="14" outlineLevel="0" r="26083">
      <c r="A26083" s="3" t="inlineStr">
        <is>
          <t>25975</t>
        </is>
      </c>
      <c r="B26083" s="4" t="s">
        <f>=HYPERLINK("http://anyluxury.ru/shop/posuda/predmety-servirovki/blyudo-dlya-fruktov-anemone-chernoe-1344600/" , "13446.00 Блюдо для фруктов Anemone, черное")</f>
      </c>
      <c r="C26083" s="4" t="n">
        <v>2300.00</v>
      </c>
      <c r="D26083" s="4"/>
    </row>
    <row collapsed="" customFormat="false" customHeight="1" hidden="" ht="14" outlineLevel="0" r="26084">
      <c r="A26084" s="3" t="inlineStr">
        <is>
          <t>25976</t>
        </is>
      </c>
      <c r="B26084" s="4" t="s">
        <f>=HYPERLINK("http://anyluxury.ru/shop/posuda/predmety-servirovki/blyudo-dlya-fruktov-eve-beloe-1344760/" , "13447.60 Блюдо для фруктов Eve, белое")</f>
      </c>
      <c r="C26084" s="4" t="n">
        <v>2350.00</v>
      </c>
      <c r="D26084" s="4"/>
    </row>
    <row collapsed="" customFormat="false" customHeight="1" hidden="" ht="14" outlineLevel="0" r="26085">
      <c r="A26085" s="3" t="inlineStr">
        <is>
          <t>25977</t>
        </is>
      </c>
      <c r="B26085" s="4" t="s">
        <f>=HYPERLINK("http://anyluxury.ru/shop/posuda/predmety-servirovki/blyudo-dlya-fruktov-eve-chernoe-1344730/" , "13447.30 Блюдо для фруктов Eve, черное")</f>
      </c>
      <c r="C26085" s="4" t="n">
        <v>2350.00</v>
      </c>
      <c r="D26085" s="4"/>
    </row>
    <row collapsed="" customFormat="false" customHeight="1" hidden="" ht="14" outlineLevel="0" r="26086">
      <c r="A26086" s="3" t="inlineStr">
        <is>
          <t>25978</t>
        </is>
      </c>
      <c r="B26086" s="4" t="s">
        <f>=HYPERLINK("http://anyluxury.ru/shop/posuda/predmety-servirovki/blyudo-dlya-fruktov-big-apple-beloe-s-chernim-1344800/" , "13448.00 Блюдо для фруктов Big Apple, белое с черным")</f>
      </c>
      <c r="C26086" s="4" t="n">
        <v>2350.00</v>
      </c>
      <c r="D26086" s="4"/>
    </row>
    <row collapsed="" customFormat="false" customHeight="1" hidden="" ht="14" outlineLevel="0" r="26087">
      <c r="A26087" s="3" t="inlineStr">
        <is>
          <t>25979</t>
        </is>
      </c>
      <c r="B26087" s="4" t="s">
        <f>=HYPERLINK("http://anyluxury.ru/shop/posuda/predmety-servirovki/menazhnica-club-belaya-1347660/" , "13476.60 Менажница Club, белая")</f>
      </c>
      <c r="C26087" s="4" t="n">
        <v>760.00</v>
      </c>
      <c r="D26087" s="4"/>
    </row>
    <row collapsed="" customFormat="false" customHeight="1" hidden="" ht="14" outlineLevel="0" r="26088">
      <c r="A26088" s="3" t="inlineStr">
        <is>
          <t>25980</t>
        </is>
      </c>
      <c r="B26088" s="4" t="s">
        <f>=HYPERLINK("http://anyluxury.ru/shop/posuda/predmety-servirovki/menazhnica-club-rozovaya-1347651/" , "13476.51 Менажница Club, розовая")</f>
      </c>
      <c r="C26088" s="4" t="n">
        <v>630.00</v>
      </c>
      <c r="D26088" s="4"/>
    </row>
    <row collapsed="" customFormat="false" customHeight="1" hidden="" ht="14" outlineLevel="0" r="26089">
      <c r="A26089" s="3" t="inlineStr">
        <is>
          <t>25981</t>
        </is>
      </c>
      <c r="B26089" s="4" t="s">
        <f>=HYPERLINK("http://anyluxury.ru/shop/posuda/predmety-servirovki/menazhnica-club-chernaya-1347630/" , "13476.30 Менажница Club, черная")</f>
      </c>
      <c r="C26089" s="4" t="n">
        <v>760.00</v>
      </c>
      <c r="D26089" s="4"/>
    </row>
    <row collapsed="" customFormat="false" customHeight="1" hidden="" ht="14" outlineLevel="0" r="26090">
      <c r="A26090" s="3" t="inlineStr">
        <is>
          <t>25982</t>
        </is>
      </c>
      <c r="B26090" s="4" t="s">
        <f>=HYPERLINK("http://anyluxury.ru/shop/posuda/predmety-servirovki/menazhnica-club-zelenaya-1347690/" , "13476.90 Менажница Club, зеленая")</f>
      </c>
      <c r="C26090" s="4" t="n">
        <v>630.00</v>
      </c>
      <c r="D26090" s="4"/>
    </row>
    <row collapsed="" customFormat="false" customHeight="1" hidden="" ht="14" outlineLevel="0" r="26091">
      <c r="A26091" s="3" t="inlineStr">
        <is>
          <t>25983</t>
        </is>
      </c>
      <c r="B26091" s="4" t="s">
        <f>=HYPERLINK("http://anyluxury.ru/shop/posuda/predmety-servirovki/miska-club-organic-rozovaya-1347851/" , "13478.51 Миска Club Organic, розовая")</f>
      </c>
      <c r="C26091" s="4" t="n">
        <v>790.00</v>
      </c>
      <c r="D26091" s="4"/>
    </row>
    <row collapsed="" customFormat="false" customHeight="1" hidden="" ht="14" outlineLevel="0" r="26092">
      <c r="A26092" s="3" t="inlineStr">
        <is>
          <t>25984</t>
        </is>
      </c>
      <c r="B26092" s="4" t="s">
        <f>=HYPERLINK("http://anyluxury.ru/shop/posuda/predmety-servirovki/miska-club-organic-seraya-1347811/" , "13478.11 Миска Club Organic, серая")</f>
      </c>
      <c r="C26092" s="4" t="n">
        <v>790.00</v>
      </c>
      <c r="D26092" s="4"/>
    </row>
    <row collapsed="" customFormat="false" customHeight="1" hidden="" ht="14" outlineLevel="0" r="26093">
      <c r="A26093" s="3" t="inlineStr">
        <is>
          <t>25985</t>
        </is>
      </c>
      <c r="B26093" s="4" t="s">
        <f>=HYPERLINK("http://anyluxury.ru/shop/posuda/predmety-servirovki/miska-club-belaya-1347860/" , "13478.60 Миска Club, белая")</f>
      </c>
      <c r="C26093" s="4" t="n">
        <v>760.00</v>
      </c>
      <c r="D26093" s="4"/>
    </row>
    <row collapsed="" customFormat="false" customHeight="1" hidden="" ht="14" outlineLevel="0" r="26094">
      <c r="A26094" s="3" t="inlineStr">
        <is>
          <t>25986</t>
        </is>
      </c>
      <c r="B26094" s="4" t="s">
        <f>=HYPERLINK("http://anyluxury.ru/shop/posuda/predmety-servirovki/miska-palsby-organic-bolshaya-sinyaya-1347940/" , "13479.40 Миска Palsby Organic, большая, синяя")</f>
      </c>
      <c r="C26094" s="4" t="n">
        <v>870.00</v>
      </c>
      <c r="D26094" s="4"/>
    </row>
    <row collapsed="" customFormat="false" customHeight="1" hidden="" ht="14" outlineLevel="0" r="26095">
      <c r="A26095" s="3" t="inlineStr">
        <is>
          <t>25987</t>
        </is>
      </c>
      <c r="B26095" s="4" t="s">
        <f>=HYPERLINK("http://anyluxury.ru/shop/posuda/predmety-servirovki/miska-palsby-organic-bolshaya-zelenaya-1347990/" , "13479.90 Миска Palsby Organic, большая, зеленая")</f>
      </c>
      <c r="C26095" s="4" t="n">
        <v>870.00</v>
      </c>
      <c r="D26095" s="4"/>
    </row>
    <row collapsed="" customFormat="false" customHeight="1" hidden="" ht="14" outlineLevel="0" r="26096">
      <c r="A26096" s="3" t="inlineStr">
        <is>
          <t>25988</t>
        </is>
      </c>
      <c r="B26096" s="4" t="s">
        <f>=HYPERLINK("http://anyluxury.ru/shop/posuda/predmety-servirovki/miska-palsby-organic-bolshaya-rozovaya-1347951/" , "13479.51 Миска Palsby Organic, большая, розовая")</f>
      </c>
      <c r="C26096" s="4" t="n">
        <v>870.00</v>
      </c>
      <c r="D26096" s="4"/>
    </row>
    <row collapsed="" customFormat="false" customHeight="1" hidden="" ht="14" outlineLevel="0" r="26097">
      <c r="A26097" s="3" t="inlineStr">
        <is>
          <t>25989</t>
        </is>
      </c>
      <c r="B26097" s="4" t="s">
        <f>=HYPERLINK("http://anyluxury.ru/shop/posuda/predmety-servirovki/miska-palsby-organic-bolshaya-seraya-1347911/" , "13479.11 Миска Palsby Organic, большая, серая")</f>
      </c>
      <c r="C26097" s="4" t="n">
        <v>870.00</v>
      </c>
      <c r="D26097" s="4"/>
    </row>
    <row collapsed="" customFormat="false" customHeight="1" hidden="" ht="14" outlineLevel="0" r="26098">
      <c r="A26098" s="3" t="inlineStr">
        <is>
          <t>25990</t>
        </is>
      </c>
      <c r="B26098" s="4" t="s">
        <f>=HYPERLINK("http://anyluxury.ru/shop/posuda/predmety-servirovki/miska-palsby-organic-srednyaya-sinyaya-1348040/" , "13480.40 Миска Palsby Organic, средняя, синяя")</f>
      </c>
      <c r="C26098" s="4" t="n">
        <v>660.00</v>
      </c>
      <c r="D26098" s="4"/>
    </row>
    <row collapsed="" customFormat="false" customHeight="1" hidden="" ht="14" outlineLevel="0" r="26099">
      <c r="A26099" s="3" t="inlineStr">
        <is>
          <t>25991</t>
        </is>
      </c>
      <c r="B26099" s="4" t="s">
        <f>=HYPERLINK("http://anyluxury.ru/shop/posuda/predmety-servirovki/miska-palsby-organic-srednyaya-zelenaya-1348090/" , "13480.90 Миска Palsby Organic, средняя, зеленая")</f>
      </c>
      <c r="C26099" s="4" t="n">
        <v>660.00</v>
      </c>
      <c r="D26099" s="4"/>
    </row>
    <row collapsed="" customFormat="false" customHeight="1" hidden="" ht="14" outlineLevel="0" r="26100">
      <c r="A26100" s="3" t="inlineStr">
        <is>
          <t>25992</t>
        </is>
      </c>
      <c r="B26100" s="4" t="s">
        <f>=HYPERLINK("http://anyluxury.ru/shop/posuda/predmety-servirovki/miska-palsby-organic-srednyaya-rozovaya-1348051/" , "13480.51 Миска Palsby Organic, средняя, розовая")</f>
      </c>
      <c r="C26100" s="4" t="n">
        <v>660.00</v>
      </c>
      <c r="D26100" s="4"/>
    </row>
    <row collapsed="" customFormat="false" customHeight="1" hidden="" ht="14" outlineLevel="0" r="26101">
      <c r="A26101" s="3" t="inlineStr">
        <is>
          <t>25993</t>
        </is>
      </c>
      <c r="B26101" s="4" t="s">
        <f>=HYPERLINK("http://anyluxury.ru/shop/posuda/predmety-servirovki/miska-palsby-organic-srednyaya-seraya-1348011/" , "13480.11 Миска Palsby Organic, средняя, серая")</f>
      </c>
      <c r="C26101" s="4" t="n">
        <v>660.00</v>
      </c>
      <c r="D26101" s="4"/>
    </row>
    <row collapsed="" customFormat="false" customHeight="1" hidden="" ht="14" outlineLevel="0" r="26102">
      <c r="A26102" s="3" t="inlineStr">
        <is>
          <t>25994</t>
        </is>
      </c>
      <c r="B26102" s="4" t="s">
        <f>=HYPERLINK("http://anyluxury.ru/shop/posuda/predmety-servirovki/miska-palsby-organic-malaya-seraya-1348111/" , "13481.11 Миска Palsby Organic, малая, серая")</f>
      </c>
      <c r="C26102" s="4" t="n">
        <v>400.00</v>
      </c>
      <c r="D26102" s="4"/>
    </row>
    <row collapsed="" customFormat="false" customHeight="1" hidden="" ht="14" outlineLevel="0" r="26103">
      <c r="A26103" s="3" t="inlineStr">
        <is>
          <t>25995</t>
        </is>
      </c>
      <c r="B26103" s="4" t="s">
        <f>=HYPERLINK("http://anyluxury.ru/shop/posuda/predmety-servirovki/miska-palsby-organic-malaya-sinyaya-1348140/" , "13481.40 Миска Palsby Organic, малая, синяя")</f>
      </c>
      <c r="C26103" s="4" t="n">
        <v>400.00</v>
      </c>
      <c r="D26103" s="4"/>
    </row>
    <row collapsed="" customFormat="false" customHeight="1" hidden="" ht="14" outlineLevel="0" r="26104">
      <c r="A26104" s="3" t="inlineStr">
        <is>
          <t>25996</t>
        </is>
      </c>
      <c r="B26104" s="4" t="s">
        <f>=HYPERLINK("http://anyluxury.ru/shop/posuda/predmety-servirovki/miska-shadow-belaya-1348260/" , "13482.60 Миска Shadow, белая")</f>
      </c>
      <c r="C26104" s="4" t="n">
        <v>790.00</v>
      </c>
      <c r="D26104" s="4"/>
    </row>
    <row collapsed="" customFormat="false" customHeight="1" hidden="" ht="14" outlineLevel="0" r="26105">
      <c r="A26105" s="3" t="inlineStr">
        <is>
          <t>25997</t>
        </is>
      </c>
      <c r="B26105" s="4" t="s">
        <f>=HYPERLINK("http://anyluxury.ru/shop/posuda/predmety-servirovki/nabor-shpazhek-club-rozoviy-1349615/" , "13496.15 Набор шпажек Club, розовый")</f>
      </c>
      <c r="C26105" s="4" t="n">
        <v>520.00</v>
      </c>
      <c r="D26105" s="4"/>
    </row>
    <row collapsed="" customFormat="false" customHeight="1" hidden="" ht="14" outlineLevel="0" r="26106">
      <c r="A26106" s="3" t="inlineStr">
        <is>
          <t>25998</t>
        </is>
      </c>
      <c r="B26106" s="4" t="s">
        <f>=HYPERLINK("http://anyluxury.ru/shop/posuda/predmety-servirovki/nabor-dlya-soli-i-perca-eiei-seriy-1348811/" , "13488.11 Набор для соли и перца Eiei, серый")</f>
      </c>
      <c r="C26106" s="4" t="n">
        <v>1630.00</v>
      </c>
      <c r="D26106" s="4"/>
    </row>
    <row collapsed="" customFormat="false" customHeight="1" hidden="" ht="14" outlineLevel="0" r="26107">
      <c r="A26107" s="3" t="inlineStr">
        <is>
          <t>25999</t>
        </is>
      </c>
      <c r="B26107" s="4" t="s">
        <f>=HYPERLINK("http://anyluxury.ru/shop/posuda/predmety-servirovki/nabor-dlya-soli-i-perca-eiei-cherniy-1348830/" , "13488.30 Набор для соли и перца Eiei, черный")</f>
      </c>
      <c r="C26107" s="4" t="n">
        <v>1630.00</v>
      </c>
      <c r="D26107" s="4"/>
    </row>
    <row collapsed="" customFormat="false" customHeight="1" hidden="" ht="14" outlineLevel="0" r="26108">
      <c r="A26108" s="3" t="inlineStr">
        <is>
          <t>26000</t>
        </is>
      </c>
      <c r="B26108" s="4" t="s">
        <f>=HYPERLINK("http://anyluxury.ru/shop/posuda/predmety-servirovki/nabor-dlya-soli-i-perca-eiei-zeleniy-1348890/" , "13488.90 Набор для соли и перца Eiei, зеленый")</f>
      </c>
      <c r="C26108" s="4" t="n">
        <v>1630.00</v>
      </c>
      <c r="D26108" s="4"/>
    </row>
    <row collapsed="" customFormat="false" customHeight="1" hidden="" ht="14" outlineLevel="0" r="26109">
      <c r="A26109" s="3" t="inlineStr">
        <is>
          <t>26001</t>
        </is>
      </c>
      <c r="B26109" s="4" t="s">
        <f>=HYPERLINK("http://anyluxury.ru/shop/posuda/predmety-servirovki/nabor-stolovih-priborov-klikk-organic-siniy-1349340/" , "13493.40 Набор столовых приборов Klikk Organic, синий")</f>
      </c>
      <c r="C26109" s="4" t="n">
        <v>1100.00</v>
      </c>
      <c r="D26109" s="4"/>
    </row>
    <row collapsed="" customFormat="false" customHeight="1" hidden="" ht="14" outlineLevel="0" r="26110">
      <c r="A26110" s="3" t="inlineStr">
        <is>
          <t>26002</t>
        </is>
      </c>
      <c r="B26110" s="4" t="s">
        <f>=HYPERLINK("http://anyluxury.ru/shop/posuda/predmety-servirovki/nabor-stolovih-priborov-klikk-organic-zeleniy-1349390/" , "13493.90 Набор столовых приборов Klikk Organic, зеленый")</f>
      </c>
      <c r="C26110" s="4" t="n">
        <v>1100.00</v>
      </c>
      <c r="D26110" s="4"/>
    </row>
    <row collapsed="" customFormat="false" customHeight="1" hidden="" ht="14" outlineLevel="0" r="26111">
      <c r="A26111" s="3" t="inlineStr">
        <is>
          <t>26003</t>
        </is>
      </c>
      <c r="B26111" s="4" t="s">
        <f>=HYPERLINK("http://anyluxury.ru/shop/posuda/predmety-servirovki/nabor-stolovih-priborov-klikk-organic-rozoviy-1349351/" , "13493.51 Набор столовых приборов Klikk Organic, розовый")</f>
      </c>
      <c r="C26111" s="4" t="n">
        <v>1100.00</v>
      </c>
      <c r="D26111" s="4"/>
    </row>
    <row collapsed="" customFormat="false" customHeight="1" hidden="" ht="14" outlineLevel="0" r="26112">
      <c r="A26112" s="3" t="inlineStr">
        <is>
          <t>26004</t>
        </is>
      </c>
      <c r="B26112" s="4" t="s">
        <f>=HYPERLINK("http://anyluxury.ru/shop/posuda/predmety-servirovki/nabor-stolovih-priborov-klikk-organic-seriy-1349311/" , "13493.11 Набор столовых приборов Klikk Organic, серый")</f>
      </c>
      <c r="C26112" s="4" t="n">
        <v>1100.00</v>
      </c>
      <c r="D26112" s="4"/>
    </row>
    <row collapsed="" customFormat="false" customHeight="1" hidden="" ht="14" outlineLevel="0" r="26113">
      <c r="A26113" s="3" t="inlineStr">
        <is>
          <t>26005</t>
        </is>
      </c>
      <c r="B26113" s="4" t="s">
        <f>=HYPERLINK("http://anyluxury.ru/shop/posuda/predmety-servirovki/nabor-lozhek-april-1349400/" , "13494.00 Набор ложек A-pril")</f>
      </c>
      <c r="C26113" s="4" t="n">
        <v>730.00</v>
      </c>
      <c r="D26113" s="4"/>
    </row>
    <row collapsed="" customFormat="false" customHeight="1" hidden="" ht="14" outlineLevel="0" r="26114">
      <c r="A26114" s="3" t="inlineStr">
        <is>
          <t>26006</t>
        </is>
      </c>
      <c r="B26114" s="4" t="s">
        <f>=HYPERLINK("http://anyluxury.ru/shop/posuda/predmety-servirovki/nabor-lozhek-miaou-cherniy-s-belim-1349500/" , "13495.00 Набор из 4 ложек Miaou, черный с белым")</f>
      </c>
      <c r="C26114" s="4" t="n">
        <v>870.00</v>
      </c>
      <c r="D26114" s="4"/>
    </row>
    <row collapsed="" customFormat="false" customHeight="1" hidden="" ht="14" outlineLevel="0" r="26115">
      <c r="A26115" s="3" t="inlineStr">
        <is>
          <t>26007</t>
        </is>
      </c>
      <c r="B26115" s="4" t="s">
        <f>=HYPERLINK("http://anyluxury.ru/shop/posuda/predmety-servirovki/nabor-shpazhek-club-zeleniy-1349690/" , "13496.90 Набор шпажек Club, зеленый")</f>
      </c>
      <c r="C26115" s="4" t="n">
        <v>520.00</v>
      </c>
      <c r="D26115" s="4"/>
    </row>
    <row collapsed="" customFormat="false" customHeight="1" hidden="" ht="14" outlineLevel="0" r="26116">
      <c r="A26116" s="3" t="inlineStr">
        <is>
          <t>26008</t>
        </is>
      </c>
      <c r="B26116" s="4" t="s">
        <f>=HYPERLINK("http://anyluxury.ru/shop/posuda/predmety-servirovki/nabor-shpazhek-club-seriy-1349630/" , "13496.30 Набор шпажек Club, серый")</f>
      </c>
      <c r="C26116" s="4" t="n">
        <v>570.00</v>
      </c>
      <c r="D26116" s="4"/>
    </row>
    <row collapsed="" customFormat="false" customHeight="1" hidden="" ht="14" outlineLevel="0" r="26117">
      <c r="A26117" s="3" t="inlineStr">
        <is>
          <t>26009</t>
        </is>
      </c>
      <c r="B26117" s="4" t="s">
        <f>=HYPERLINK("http://anyluxury.ru/shop/posuda/predmety-servirovki/nabor-shpazhek-miaou-cherniy-s-belim-1349730/" , "13497.30 Набор шпажек Miaou, черный с белым")</f>
      </c>
      <c r="C26117" s="4" t="n">
        <v>790.00</v>
      </c>
      <c r="D26117" s="4"/>
    </row>
    <row collapsed="" customFormat="false" customHeight="1" hidden="" ht="14" outlineLevel="0" r="26118">
      <c r="A26118" s="3" t="inlineStr">
        <is>
          <t>26010</t>
        </is>
      </c>
      <c r="B26118" s="4" t="s">
        <f>=HYPERLINK("http://anyluxury.ru/shop/posuda/predmety-servirovki/nabor-shpazhek-birds-1349800/" , "13498.00 Набор шпажек Birds")</f>
      </c>
      <c r="C26118" s="4" t="n">
        <v>790.00</v>
      </c>
      <c r="D26118" s="4"/>
    </row>
    <row collapsed="" customFormat="false" customHeight="1" hidden="" ht="14" outlineLevel="0" r="26119">
      <c r="A26119" s="3" t="inlineStr">
        <is>
          <t>26011</t>
        </is>
      </c>
      <c r="B26119" s="4" t="s">
        <f>=HYPERLINK("http://anyluxury.ru/shop/posuda/predmety-servirovki/nabor-shpazhek-april-1349900/" , "13499.00 Набор шпажек A-pril")</f>
      </c>
      <c r="C26119" s="4" t="n">
        <v>790.00</v>
      </c>
      <c r="D26119" s="4"/>
    </row>
    <row collapsed="" customFormat="false" customHeight="1" hidden="" ht="14" outlineLevel="0" r="26120">
      <c r="A26120" s="3" t="inlineStr">
        <is>
          <t>26012</t>
        </is>
      </c>
      <c r="B26120" s="4" t="s">
        <f>=HYPERLINK("http://anyluxury.ru/shop/posuda/predmety-servirovki/nabor-shpazhek-s-derzhatelem-birds-beliy-1350000/" , "13500.00 Набор шпажек с держателем Birds, белый")</f>
      </c>
      <c r="C26120" s="4" t="n">
        <v>1990.00</v>
      </c>
      <c r="D26120" s="4"/>
    </row>
    <row collapsed="" customFormat="false" customHeight="1" hidden="" ht="14" outlineLevel="0" r="26121">
      <c r="A26121" s="3" t="inlineStr">
        <is>
          <t>26013</t>
        </is>
      </c>
      <c r="B26121" s="4" t="s">
        <f>=HYPERLINK("http://anyluxury.ru/shop/posuda/predmety-servirovki/nabor-shpazhek-s-derzhatelem-april-beliy-1350100/" , "13501.00 Набор шпажек с держателем A-pril, белый")</f>
      </c>
      <c r="C26121" s="4" t="n">
        <v>1990.00</v>
      </c>
      <c r="D26121" s="4"/>
    </row>
    <row collapsed="" customFormat="false" customHeight="1" hidden="" ht="14" outlineLevel="0" r="26122">
      <c r="A26122" s="3" t="inlineStr">
        <is>
          <t>26014</t>
        </is>
      </c>
      <c r="B26122" s="4" t="s">
        <f>=HYPERLINK("http://anyluxury.ru/shop/posuda/predmety-servirovki/nabor-shpazhek-s-derzhatelem-miaou-beliy-s-chernim-1350200/" , "13502.00 Набор шпажек с держателем Miaou, белый с черным")</f>
      </c>
      <c r="C26122" s="4" t="n">
        <v>2350.00</v>
      </c>
      <c r="D26122" s="4"/>
    </row>
    <row collapsed="" customFormat="false" customHeight="1" hidden="" ht="14" outlineLevel="0" r="26123">
      <c r="A26123" s="3" t="inlineStr">
        <is>
          <t>26015</t>
        </is>
      </c>
      <c r="B26123" s="4" t="s">
        <f>=HYPERLINK("http://anyluxury.ru/shop/posuda/predmety-servirovki/nabor-podstavok-leafon-organic-1350300/" , "13503.00 Набор из 4 подставок Leaf-on Organic")</f>
      </c>
      <c r="C26123" s="4" t="n">
        <v>1210.00</v>
      </c>
      <c r="D26123" s="4"/>
    </row>
    <row collapsed="" customFormat="false" customHeight="1" hidden="" ht="14" outlineLevel="0" r="26124">
      <c r="A26124" s="3" t="inlineStr">
        <is>
          <t>26016</t>
        </is>
      </c>
      <c r="B26124" s="4" t="s">
        <f>=HYPERLINK("http://anyluxury.ru/shop/posuda/predmety-servirovki/podstavka-dlya-yayca-columbus-belaya-1351060/" , "13510.60 Подставка для яйца Columbus, белая")</f>
      </c>
      <c r="C26124" s="4" t="n">
        <v>450.00</v>
      </c>
      <c r="D26124" s="4"/>
    </row>
    <row collapsed="" customFormat="false" customHeight="1" hidden="" ht="14" outlineLevel="0" r="26125">
      <c r="A26125" s="3" t="inlineStr">
        <is>
          <t>26017</t>
        </is>
      </c>
      <c r="B26125" s="4" t="s">
        <f>=HYPERLINK("http://anyluxury.ru/shop/posuda/predmety-servirovki/pribori-dlya-salata-crystal-salad-prozrachnie-1351260/" , "13512.60 Приборы для салата Crystal Salad, прозрачные")</f>
      </c>
      <c r="C26125" s="4" t="n">
        <v>930.00</v>
      </c>
      <c r="D26125" s="4"/>
    </row>
    <row collapsed="" customFormat="false" customHeight="1" hidden="" ht="14" outlineLevel="0" r="26126">
      <c r="A26126" s="3" t="inlineStr">
        <is>
          <t>26018</t>
        </is>
      </c>
      <c r="B26126" s="4" t="s">
        <f>=HYPERLINK("http://anyluxury.ru/shop/posuda/predmety-servirovki/pribori-dlya-salata-palsby-organic-malie-serie-1351311/" , "13513.11 Приборы для салата Palsby Organic, малые, серые")</f>
      </c>
      <c r="C26126" s="4" t="n">
        <v>610.00</v>
      </c>
      <c r="D26126" s="4"/>
    </row>
    <row collapsed="" customFormat="false" customHeight="1" hidden="" ht="14" outlineLevel="0" r="26127">
      <c r="A26127" s="3" t="inlineStr">
        <is>
          <t>26019</t>
        </is>
      </c>
      <c r="B26127" s="4" t="s">
        <f>=HYPERLINK("http://anyluxury.ru/shop/posuda/predmety-servirovki/pribori-dlya-salata-palsby-organic-malie-sinie-1351340/" , "13513.40 Приборы для салата Palsby Organic, малые, синие")</f>
      </c>
      <c r="C26127" s="4" t="n">
        <v>610.00</v>
      </c>
      <c r="D26127" s="4"/>
    </row>
    <row collapsed="" customFormat="false" customHeight="1" hidden="" ht="14" outlineLevel="0" r="26128">
      <c r="A26128" s="3" t="inlineStr">
        <is>
          <t>26020</t>
        </is>
      </c>
      <c r="B26128" s="4" t="s">
        <f>=HYPERLINK("http://anyluxury.ru/shop/posuda/predmety-servirovki/pribori-dlya-salata-palsby-organic-bolshie-serie-1351411/" , "13514.11 Приборы для салата Palsby Organic, большие, серые")</f>
      </c>
      <c r="C26128" s="4" t="n">
        <v>740.00</v>
      </c>
      <c r="D26128" s="4"/>
    </row>
    <row collapsed="" customFormat="false" customHeight="1" hidden="" ht="14" outlineLevel="0" r="26129">
      <c r="A26129" s="3" t="inlineStr">
        <is>
          <t>26021</t>
        </is>
      </c>
      <c r="B26129" s="4" t="s">
        <f>=HYPERLINK("http://anyluxury.ru/shop/posuda/predmety-servirovki/pribori-dlya-salata-palsby-organic-bolshie-sinie-1351440/" , "13514.40 Приборы для салата Palsby Organic, большие, синие")</f>
      </c>
      <c r="C26129" s="4" t="n">
        <v>740.00</v>
      </c>
      <c r="D26129" s="4"/>
    </row>
    <row collapsed="" customFormat="false" customHeight="1" hidden="" ht="14" outlineLevel="0" r="26130">
      <c r="A26130" s="3" t="inlineStr">
        <is>
          <t>26022</t>
        </is>
      </c>
      <c r="B26130" s="4" t="s">
        <f>=HYPERLINK("http://anyluxury.ru/shop/posuda/predmety-servirovki/pribori-dlya-salata-shadow-belie-1351560/" , "13515.60 Приборы для салата Shadow, белые")</f>
      </c>
      <c r="C26130" s="4" t="n">
        <v>1050.00</v>
      </c>
      <c r="D26130" s="4"/>
    </row>
    <row collapsed="" customFormat="false" customHeight="1" hidden="" ht="14" outlineLevel="0" r="26131">
      <c r="A26131" s="3" t="inlineStr">
        <is>
          <t>26023</t>
        </is>
      </c>
      <c r="B26131" s="4" t="s">
        <f>=HYPERLINK("http://anyluxury.ru/shop/posuda/predmety-servirovki/pribori-dlya-salata-shadow-temnozelenie-1351590/" , "13515.90 Приборы для салата Shadow, темно-зеленые")</f>
      </c>
      <c r="C26131" s="4" t="n">
        <v>1050.00</v>
      </c>
      <c r="D26131" s="4"/>
    </row>
    <row collapsed="" customFormat="false" customHeight="1" hidden="" ht="14" outlineLevel="0" r="26132">
      <c r="A26132" s="3" t="inlineStr">
        <is>
          <t>26024</t>
        </is>
      </c>
      <c r="B26132" s="4" t="s">
        <f>=HYPERLINK("http://anyluxury.ru/shop/posuda/predmety-servirovki/salatnik-club-prozrachniy-1352200/" , "13522.00 Салатник Club, прозрачный")</f>
      </c>
      <c r="C26132" s="4" t="n">
        <v>1290.00</v>
      </c>
      <c r="D26132" s="4"/>
    </row>
    <row collapsed="" customFormat="false" customHeight="1" hidden="" ht="14" outlineLevel="0" r="26133">
      <c r="A26133" s="3" t="inlineStr">
        <is>
          <t>26025</t>
        </is>
      </c>
      <c r="B26133" s="4" t="s">
        <f>=HYPERLINK("http://anyluxury.ru/shop/posuda/predmety-servirovki/salatnik-s-priborami-leaf-20-beliy-s-zelenim-1352390/" , "13523.90 Салатник с приборами Leaf 2.0, белый с зеленым")</f>
      </c>
      <c r="C26133" s="4" t="n">
        <v>4200.00</v>
      </c>
      <c r="D26133" s="4"/>
    </row>
    <row collapsed="" customFormat="false" customHeight="1" hidden="" ht="14" outlineLevel="0" r="26134">
      <c r="A26134" s="3" t="inlineStr">
        <is>
          <t>26026</t>
        </is>
      </c>
      <c r="B26134" s="4" t="s">
        <f>=HYPERLINK("http://anyluxury.ru/shop/posuda/predmety-servirovki/salatnik-s-priborami-leaf-20-beliy-s-serim-1352311/" , "13523.11 Салатник с приборами Leaf 2.0, белый с серым")</f>
      </c>
      <c r="C26134" s="4" t="n">
        <v>4650.00</v>
      </c>
      <c r="D26134" s="4"/>
    </row>
    <row collapsed="" customFormat="false" customHeight="1" hidden="" ht="14" outlineLevel="0" r="26135">
      <c r="A26135" s="3" t="inlineStr">
        <is>
          <t>26027</t>
        </is>
      </c>
      <c r="B26135" s="4" t="s">
        <f>=HYPERLINK("http://anyluxury.ru/shop/posuda/predmety-servirovki/salatnik-s-priborami-leaf-l-beliy-s-zelenim-1352490/" , "13524.90 Салатник с приборами Leaf L+, белый с зеленым")</f>
      </c>
      <c r="C26135" s="4" t="n">
        <v>3650.00</v>
      </c>
      <c r="D26135" s="4"/>
    </row>
    <row collapsed="" customFormat="false" customHeight="1" hidden="" ht="14" outlineLevel="0" r="26136">
      <c r="A26136" s="3" t="inlineStr">
        <is>
          <t>26028</t>
        </is>
      </c>
      <c r="B26136" s="4" t="s">
        <f>=HYPERLINK("http://anyluxury.ru/shop/posuda/predmety-servirovki/salatnik-s-priborami-leaf-l-beliy-s-serim-1352411/" , "13524.11 Салатник с приборами Leaf L+, белый с серым")</f>
      </c>
      <c r="C26136" s="4" t="n">
        <v>4100.00</v>
      </c>
      <c r="D26136" s="4"/>
    </row>
    <row collapsed="" customFormat="false" customHeight="1" hidden="" ht="14" outlineLevel="0" r="26137">
      <c r="A26137" s="3" t="inlineStr">
        <is>
          <t>26029</t>
        </is>
      </c>
      <c r="B26137" s="4" t="s">
        <f>=HYPERLINK("http://anyluxury.ru/shop/posuda/predmety-servirovki/etazherka-babell-mini-belaya-1354060/" , "13540.60 Этажерка Babell Mini, белая")</f>
      </c>
      <c r="C26137" s="4" t="n">
        <v>1630.00</v>
      </c>
      <c r="D26137" s="4"/>
    </row>
    <row collapsed="" customFormat="false" customHeight="1" hidden="" ht="14" outlineLevel="0" r="26138">
      <c r="A26138" s="3" t="inlineStr">
        <is>
          <t>26030</t>
        </is>
      </c>
      <c r="B26138" s="4" t="s">
        <f>=HYPERLINK("http://anyluxury.ru/shop/posuda/predmety-servirovki/etazherka-babell-mini-temnoseraya-1354030/" , "13540.30 Этажерка Babell Mini, темно-серая")</f>
      </c>
      <c r="C26138" s="4" t="n">
        <v>1360.00</v>
      </c>
      <c r="D26138" s="4"/>
    </row>
    <row collapsed="" customFormat="false" customHeight="1" hidden="" ht="14" outlineLevel="0" r="26139">
      <c r="A26139" s="3" t="inlineStr">
        <is>
          <t>26031</t>
        </is>
      </c>
      <c r="B26139" s="4" t="s">
        <f>=HYPERLINK("http://anyluxury.ru/shop/posuda/predmety-servirovki/banka-dlya-meda-s-derevyannoy-lozhkoy-serve-1440300/" , "14403.00 Банка для меда с деревянной ложкой Serve")</f>
      </c>
      <c r="C26139" s="4" t="n">
        <v>4750.00</v>
      </c>
      <c r="D26139" s="4"/>
    </row>
    <row collapsed="" customFormat="false" customHeight="1" hidden="" ht="14" outlineLevel="0" r="26140">
      <c r="A26140" s="3" t="inlineStr">
        <is>
          <t>26032</t>
        </is>
      </c>
      <c r="B26140" s="4" t="s">
        <f>=HYPERLINK("http://anyluxury.ru/shop/posuda/predmety-servirovki/salatnik-dine-s-derevyannimi-priborami-beliy-1440460/" , "14404.60 Салатник Dine с деревянными приборами, белый")</f>
      </c>
      <c r="C26140" s="4" t="n">
        <v>6950.00</v>
      </c>
      <c r="D26140" s="4"/>
    </row>
    <row collapsed="" customFormat="false" customHeight="1" hidden="" ht="14" outlineLevel="0" r="26141">
      <c r="A26141" s="3" t="inlineStr">
        <is>
          <t>26033</t>
        </is>
      </c>
      <c r="B26141" s="4" t="s">
        <f>=HYPERLINK("http://anyluxury.ru/shop/posuda/predmety-servirovki/blyudo-glubokoe-pleat-1440500/" , "14405.00 Блюдо глубокое Pleat")</f>
      </c>
      <c r="C26141" s="4" t="n">
        <v>7450.00</v>
      </c>
      <c r="D26141" s="4"/>
    </row>
    <row collapsed="" customFormat="false" customHeight="1" hidden="" ht="14" outlineLevel="0" r="26142">
      <c r="A26142" s="3" t="inlineStr">
        <is>
          <t>26034</t>
        </is>
      </c>
      <c r="B26142" s="4" t="s">
        <f>=HYPERLINK("http://anyluxury.ru/shop/posuda/predmety-servirovki/salatnik-utility-s-derevyannimi-priborami-1440600/" , "14406.00 Салатник Utility с деревянными приборами")</f>
      </c>
      <c r="C26142" s="4" t="n">
        <v>8900.00</v>
      </c>
      <c r="D26142" s="4"/>
    </row>
    <row collapsed="" customFormat="false" customHeight="1" hidden="" ht="14" outlineLevel="0" r="26143">
      <c r="A26143" s="3" t="inlineStr">
        <is>
          <t>26035</t>
        </is>
      </c>
      <c r="B26143" s="4" t="s">
        <f>=HYPERLINK("http://anyluxury.ru/shop/posuda/predmety-servirovki/blyudo-servirovochnoe-s-krishkoy-vienna-maloe-1440700/" , "14407.00 Блюдо сервировочное с крышкой Vienna, малое")</f>
      </c>
      <c r="C26143" s="4" t="n">
        <v>7450.00</v>
      </c>
      <c r="D26143" s="4"/>
    </row>
    <row collapsed="" customFormat="false" customHeight="1" hidden="" ht="14" outlineLevel="0" r="26144">
      <c r="A26144" s="3" t="inlineStr">
        <is>
          <t>26036</t>
        </is>
      </c>
      <c r="B26144" s="4" t="s">
        <f>=HYPERLINK("http://anyluxury.ru/shop/posuda/predmety-servirovki/blyudo-servirovochnoe-s-krishkoy-vienna-bolshoe-1440800/" , "14408.00 Блюдо сервировочное с крышкой Vienna, большое")</f>
      </c>
      <c r="C26144" s="4" t="n">
        <v>9400.00</v>
      </c>
      <c r="D26144" s="4"/>
    </row>
    <row collapsed="" customFormat="false" customHeight="1" hidden="" ht="14" outlineLevel="0" r="26145">
      <c r="A26145" s="3" t="inlineStr">
        <is>
          <t>26037</t>
        </is>
      </c>
      <c r="B26145" s="4" t="s">
        <f>=HYPERLINK("http://anyluxury.ru/shop/posuda/predmety-servirovki/doska-servirovochnaya-s-krishkoy-paddle-1440900/" , "14409.00 Доска сервировочная с крышкой Paddle")</f>
      </c>
      <c r="C26145" s="4" t="n">
        <v>5300.00</v>
      </c>
      <c r="D26145" s="4"/>
    </row>
    <row collapsed="" customFormat="false" customHeight="1" hidden="" ht="14" outlineLevel="0" r="26146">
      <c r="A26146" s="3" t="inlineStr">
        <is>
          <t>26038</t>
        </is>
      </c>
      <c r="B26146" s="4" t="s">
        <f>=HYPERLINK("http://anyluxury.ru/shop/posuda/predmety-servirovki/blyudo-servirovochnoe-s-krishkoy-aurelia-1441000/" , "14410.00 Блюдо сервировочное с крышкой Aurelia")</f>
      </c>
      <c r="C26146" s="4" t="n">
        <v>7150.00</v>
      </c>
      <c r="D26146" s="4"/>
    </row>
    <row collapsed="" customFormat="false" customHeight="1" hidden="" ht="14" outlineLevel="0" r="26147">
      <c r="A26147" s="3" t="inlineStr">
        <is>
          <t>26039</t>
        </is>
      </c>
      <c r="B26147" s="4" t="s">
        <f>=HYPERLINK("http://anyluxury.ru/shop/posuda/predmety-servirovki/blyudo-servirovochnoe-s-krishkoy-city-1441100/" , "14411.00 Блюдо сервировочное с крышкой City")</f>
      </c>
      <c r="C26147" s="4" t="n">
        <v>9400.00</v>
      </c>
      <c r="D26147" s="4"/>
    </row>
    <row collapsed="" customFormat="false" customHeight="1" hidden="" ht="14" outlineLevel="0" r="26148">
      <c r="A26148" s="3" t="inlineStr">
        <is>
          <t>26040</t>
        </is>
      </c>
      <c r="B26148" s="4" t="s">
        <f>=HYPERLINK("http://anyluxury.ru/shop/posuda/predmety-servirovki/blyudo-servirovochnoe-s-krishkoy-serve-1441200/" , "14412.00 Блюдо сервировочное с крышкой Serve")</f>
      </c>
      <c r="C26148" s="4" t="n">
        <v>7650.00</v>
      </c>
      <c r="D26148" s="4"/>
    </row>
    <row collapsed="" customFormat="false" customHeight="1" hidden="" ht="14" outlineLevel="0" r="26149">
      <c r="A26149" s="3" t="inlineStr">
        <is>
          <t>26041</t>
        </is>
      </c>
      <c r="B26149" s="4" t="s">
        <f>=HYPERLINK("http://anyluxury.ru/shop/posuda/predmety-servirovki/konfetnica-serve-1441400/" , "14414.00 Конфетница Serve")</f>
      </c>
      <c r="C26149" s="4" t="n">
        <v>5750.00</v>
      </c>
      <c r="D26149" s="4"/>
    </row>
    <row collapsed="" customFormat="false" customHeight="1" hidden="" ht="14" outlineLevel="0" r="26150">
      <c r="A26150" s="3" t="inlineStr">
        <is>
          <t>26042</t>
        </is>
      </c>
      <c r="B26150" s="4" t="s">
        <f>=HYPERLINK("http://anyluxury.ru/shop/posuda/predmety-servirovki/butilka-dlya-masla-void-1441500/" , "14415.00 Бутылка для масла Void")</f>
      </c>
      <c r="C26150" s="4" t="n">
        <v>3990.00</v>
      </c>
      <c r="D26150" s="4"/>
    </row>
    <row collapsed="" customFormat="false" customHeight="1" hidden="" ht="14" outlineLevel="0" r="26151">
      <c r="A26151" s="3" t="inlineStr">
        <is>
          <t>26043</t>
        </is>
      </c>
      <c r="B26151" s="4" t="s">
        <f>=HYPERLINK("http://anyluxury.ru/shop/posuda/predmety-servirovki/vaza-dlya-desertov-serve-1441600/" , "14416.00 Ваза для десертов Serve")</f>
      </c>
      <c r="C26151" s="4" t="n">
        <v>5350.00</v>
      </c>
      <c r="D26151" s="4"/>
    </row>
    <row collapsed="" customFormat="false" customHeight="1" hidden="" ht="14" outlineLevel="0" r="26152">
      <c r="A26152" s="3" t="inlineStr">
        <is>
          <t>26044</t>
        </is>
      </c>
      <c r="B26152" s="4" t="s">
        <f>=HYPERLINK("http://anyluxury.ru/shop/posuda/predmety-servirovki/maslenka-serve-1444000/" , "14440.00 Масленка Serve")</f>
      </c>
      <c r="C26152" s="4" t="n">
        <v>4150.00</v>
      </c>
      <c r="D26152" s="4"/>
    </row>
    <row collapsed="" customFormat="false" customHeight="1" hidden="" ht="14" outlineLevel="0" r="26153">
      <c r="A26153" s="3" t="inlineStr">
        <is>
          <t>26045</t>
        </is>
      </c>
      <c r="B26153" s="4" t="s">
        <f>=HYPERLINK("http://anyluxury.ru/shop/posuda/predmety-servirovki/maslenka-dine-1444100/" , "14441.00 Масленка Dine")</f>
      </c>
      <c r="C26153" s="4" t="n">
        <v>4500.00</v>
      </c>
      <c r="D26153" s="4"/>
    </row>
    <row collapsed="" customFormat="false" customHeight="1" hidden="" ht="14" outlineLevel="0" r="26154">
      <c r="A26154" s="3" t="inlineStr">
        <is>
          <t>26046</t>
        </is>
      </c>
      <c r="B26154" s="4" t="s">
        <f>=HYPERLINK("http://anyluxury.ru/shop/posuda/predmety-servirovki/menazhnica-serve-kruglaya-1444200/" , "14442.00 Менажница Serve, круглая")</f>
      </c>
      <c r="C26154" s="4" t="n">
        <v>7450.00</v>
      </c>
      <c r="D26154" s="4"/>
    </row>
    <row collapsed="" customFormat="false" customHeight="1" hidden="" ht="14" outlineLevel="0" r="26155">
      <c r="A26155" s="3" t="inlineStr">
        <is>
          <t>26047</t>
        </is>
      </c>
      <c r="B26155" s="4" t="s">
        <f>=HYPERLINK("http://anyluxury.ru/shop/posuda/predmety-servirovki/menazhnica-serve-pryamougolnaya-1444300/" , "14443.00 Менажница Serve, прямоугольная")</f>
      </c>
      <c r="C26155" s="4" t="n">
        <v>4150.00</v>
      </c>
      <c r="D26155" s="4"/>
    </row>
    <row collapsed="" customFormat="false" customHeight="1" hidden="" ht="14" outlineLevel="0" r="26156">
      <c r="A26156" s="3" t="inlineStr">
        <is>
          <t>26048</t>
        </is>
      </c>
      <c r="B26156" s="4" t="s">
        <f>=HYPERLINK("http://anyluxury.ru/shop/posuda/predmety-servirovki/menazhnica-serve-kvadratnaya-1444400/" , "14444.00 Менажница Serve, квадратная")</f>
      </c>
      <c r="C26156" s="4" t="n">
        <v>5450.00</v>
      </c>
      <c r="D26156" s="4"/>
    </row>
    <row collapsed="" customFormat="false" customHeight="1" hidden="" ht="14" outlineLevel="0" r="26157">
      <c r="A26157" s="3" t="inlineStr">
        <is>
          <t>26049</t>
        </is>
      </c>
      <c r="B26157" s="4" t="s">
        <f>=HYPERLINK("http://anyluxury.ru/shop/posuda/predmety-servirovki/miska-host-1444500/" , "14445.00 Миска Host")</f>
      </c>
      <c r="C26157" s="4" t="n">
        <v>6150.00</v>
      </c>
      <c r="D26157" s="4"/>
    </row>
    <row collapsed="" customFormat="false" customHeight="1" hidden="" ht="14" outlineLevel="0" r="26158">
      <c r="A26158" s="3" t="inlineStr">
        <is>
          <t>26050</t>
        </is>
      </c>
      <c r="B26158" s="4" t="s">
        <f>=HYPERLINK("http://anyluxury.ru/shop/posuda/predmety-servirovki/nabor-butilok-dlya-masla-i-uksusa-serve-1444700/" , "14447.00 Набор бутылок для масла и уксуса Serve")</f>
      </c>
      <c r="C26158" s="4" t="n">
        <v>6200.00</v>
      </c>
      <c r="D26158" s="4"/>
    </row>
    <row collapsed="" customFormat="false" customHeight="1" hidden="" ht="14" outlineLevel="0" r="26159">
      <c r="A26159" s="3" t="inlineStr">
        <is>
          <t>26051</t>
        </is>
      </c>
      <c r="B26159" s="4" t="s">
        <f>=HYPERLINK("http://anyluxury.ru/shop/posuda/predmety-servirovki/nabor-dlya-shampanskogo-prosecco-1445100/" , "14451.00 Набор для шампанского Prosecco")</f>
      </c>
      <c r="C26159" s="4" t="n">
        <v>7450.00</v>
      </c>
      <c r="D26159" s="4"/>
    </row>
    <row collapsed="" customFormat="false" customHeight="1" hidden="" ht="14" outlineLevel="0" r="26160">
      <c r="A26160" s="3" t="inlineStr">
        <is>
          <t>26052</t>
        </is>
      </c>
      <c r="B26160" s="4" t="s">
        <f>=HYPERLINK("http://anyluxury.ru/shop/posuda/predmety-servirovki/grafin-dlya-vina-wine-maliy-1442100/" , "14421.00 Графин для вина Wine, малый")</f>
      </c>
      <c r="C26160" s="4" t="n">
        <v>5250.00</v>
      </c>
      <c r="D26160" s="4"/>
    </row>
    <row collapsed="" customFormat="false" customHeight="1" hidden="" ht="14" outlineLevel="0" r="26161">
      <c r="A26161" s="3" t="inlineStr">
        <is>
          <t>26053</t>
        </is>
      </c>
      <c r="B26161" s="4" t="s">
        <f>=HYPERLINK("http://anyluxury.ru/shop/posuda/predmety-servirovki/grafin-dlya-vina-wine-bolshoy-1442200/" , "14422.00 Графин для вина Wine, большой")</f>
      </c>
      <c r="C26161" s="4" t="n">
        <v>5250.00</v>
      </c>
      <c r="D26161" s="4"/>
    </row>
    <row collapsed="" customFormat="false" customHeight="1" hidden="" ht="14" outlineLevel="0" r="26162">
      <c r="A26162" s="3" t="inlineStr">
        <is>
          <t>26054</t>
        </is>
      </c>
      <c r="B26162" s="4" t="s">
        <f>=HYPERLINK("http://anyluxury.ru/shop/posuda/predmety-servirovki/butilka-dlya-masla-ili-uksusa-serve-1442400/" , "14424.00 Бутылка для масла или уксуса Serve")</f>
      </c>
      <c r="C26162" s="4" t="n">
        <v>3950.00</v>
      </c>
      <c r="D26162" s="4"/>
    </row>
    <row collapsed="" customFormat="false" customHeight="1" hidden="" ht="14" outlineLevel="0" r="26163">
      <c r="A26163" s="3" t="inlineStr">
        <is>
          <t>26055</t>
        </is>
      </c>
      <c r="B26163" s="4" t="s">
        <f>=HYPERLINK("http://anyluxury.ru/shop/posuda/predmety-servirovki/nabor-stopok-na-podstavke-paddle-prozrachniy-1456600/" , "14566.00 Набор из 6 стопок на подставке Paddle, прозрачный")</f>
      </c>
      <c r="C26163" s="4" t="n">
        <v>5250.00</v>
      </c>
      <c r="D26163" s="4"/>
    </row>
    <row collapsed="" customFormat="false" customHeight="1" hidden="" ht="14" outlineLevel="0" r="26164">
      <c r="A26164" s="3" t="inlineStr">
        <is>
          <t>26056</t>
        </is>
      </c>
      <c r="B26164" s="4" t="s">
        <f>=HYPERLINK("http://anyluxury.ru/shop/posuda/predmety-servirovki/nabor-stopok-na-podstavke-paddle-raznocvetniy-1456653/" , "14566.53 Набор из 6 стопок на подставке Paddle, разноцветный")</f>
      </c>
      <c r="C26164" s="4" t="n">
        <v>6400.00</v>
      </c>
      <c r="D26164" s="4"/>
    </row>
    <row collapsed="" customFormat="false" customHeight="1" hidden="" ht="14" outlineLevel="0" r="26165">
      <c r="A26165" s="3" t="inlineStr">
        <is>
          <t>26057</t>
        </is>
      </c>
      <c r="B26165" s="4" t="s">
        <f>=HYPERLINK("http://anyluxury.ru/shop/posuda/predmety-servirovki/servirovochniy-nabor-na-podstavke-paddle-beliy-1456800/" , "14568.00 Сервировочный набор на подставке Paddle, белый")</f>
      </c>
      <c r="C26165" s="4" t="n">
        <v>11400.00</v>
      </c>
      <c r="D26165" s="4"/>
    </row>
    <row collapsed="" customFormat="false" customHeight="1" hidden="" ht="14" outlineLevel="0" r="26166">
      <c r="A26166" s="3" t="inlineStr">
        <is>
          <t>26058</t>
        </is>
      </c>
      <c r="B26166" s="4" t="s">
        <f>=HYPERLINK("http://anyluxury.ru/shop/posuda/predmety-servirovki/podstavka-dlya-torta-serve-1457300/" , "14573.00 Подставка для торта Serve")</f>
      </c>
      <c r="C26166" s="4" t="n">
        <v>7700.00</v>
      </c>
      <c r="D26166" s="4"/>
    </row>
    <row collapsed="" customFormat="false" customHeight="1" hidden="" ht="14" outlineLevel="0" r="26167">
      <c r="A26167" s="3" t="inlineStr">
        <is>
          <t>26059</t>
        </is>
      </c>
      <c r="B26167" s="4" t="s">
        <f>=HYPERLINK("http://anyluxury.ru/shop/posuda/predmety-servirovki/podstavka-dlya-torta-s-krishkoy-pearl-1457400/" , "14574.00 Подставка для торта с крышкой Pearl")</f>
      </c>
      <c r="C26167" s="4" t="n">
        <v>11800.00</v>
      </c>
      <c r="D26167" s="4"/>
    </row>
    <row collapsed="" customFormat="false" customHeight="1" hidden="" ht="14" outlineLevel="0" r="26168">
      <c r="A26168" s="3" t="inlineStr">
        <is>
          <t>26060</t>
        </is>
      </c>
      <c r="B26168" s="4" t="s">
        <f>=HYPERLINK("http://anyluxury.ru/shop/posuda/predmety-servirovki/sousnik-dine-1457500/" , "14575.00 Соусник Dine")</f>
      </c>
      <c r="C26168" s="4" t="n">
        <v>4750.00</v>
      </c>
      <c r="D26168" s="4"/>
    </row>
    <row collapsed="" customFormat="false" customHeight="1" hidden="" ht="14" outlineLevel="0" r="26169">
      <c r="A26169" s="3" t="inlineStr">
        <is>
          <t>26061</t>
        </is>
      </c>
      <c r="B26169" s="4" t="s">
        <f>=HYPERLINK("http://anyluxury.ru/shop/posuda/predmety-servirovki/nabor-servirovochnih-misok-na-podstavke-serve-1451600/" , "14516.00 Набор из 3 сервировочных мисок на подставке Serve")</f>
      </c>
      <c r="C26169" s="4" t="n">
        <v>7650.00</v>
      </c>
      <c r="D26169" s="4"/>
    </row>
    <row collapsed="" customFormat="false" customHeight="1" hidden="" ht="14" outlineLevel="0" r="26170">
      <c r="A26170" s="3" t="inlineStr">
        <is>
          <t>26062</t>
        </is>
      </c>
      <c r="B26170" s="4" t="s">
        <f>=HYPERLINK("http://anyluxury.ru/shop/posuda/predmety-servirovki/nabor-servirovochnih-misok-na-podstavke-paddle-1451700/" , "14517.00 Набор из 3 сервировочных мисок на подставке Paddle")</f>
      </c>
      <c r="C26170" s="4" t="n">
        <v>5100.00</v>
      </c>
      <c r="D26170" s="4"/>
    </row>
    <row collapsed="" customFormat="false" customHeight="1" hidden="" ht="14" outlineLevel="0" r="26171">
      <c r="A26171" s="3" t="inlineStr">
        <is>
          <t>26063</t>
        </is>
      </c>
      <c r="B26171" s="4" t="s">
        <f>=HYPERLINK("http://anyluxury.ru/shop/posuda/predmety-servirovki/doska-servirovochnaya-elements-mramor-i-akaciya-pryamougolnaya-1492000/" , "14920.00 Доска сервировочная Elements, мрамор и акация, прямоугольная")</f>
      </c>
      <c r="C26171" s="4" t="n">
        <v>2950.00</v>
      </c>
      <c r="D26171" s="4"/>
    </row>
    <row collapsed="" customFormat="false" customHeight="1" hidden="" ht="14" outlineLevel="0" r="26172">
      <c r="A26172" s="3" t="inlineStr">
        <is>
          <t>26064</t>
        </is>
      </c>
      <c r="B26172" s="4" t="s">
        <f>=HYPERLINK("http://anyluxury.ru/shop/posuda/predmety-servirovki/doska-servirovochnaya-elements-hexagonal-kamen-1492100/" , "14921.00 Доска сервировочная Elements Hexagonal, камень")</f>
      </c>
      <c r="C26172" s="4" t="n">
        <v>1850.00</v>
      </c>
      <c r="D26172" s="4"/>
    </row>
    <row collapsed="" customFormat="false" customHeight="1" hidden="" ht="14" outlineLevel="0" r="26173">
      <c r="A26173" s="3" t="inlineStr">
        <is>
          <t>26065</t>
        </is>
      </c>
      <c r="B26173" s="4" t="s">
        <f>=HYPERLINK("http://anyluxury.ru/shop/posuda/predmety-servirovki/doska-servirovochnaya-elements-kamen-i-akaciya-1492200/" , "14922.00 Доска сервировочная Elements, камень и акация")</f>
      </c>
      <c r="C26173" s="4" t="n">
        <v>3200.00</v>
      </c>
      <c r="D26173" s="4"/>
    </row>
    <row collapsed="" customFormat="false" customHeight="1" hidden="" ht="14" outlineLevel="0" r="26174">
      <c r="A26174" s="3" t="inlineStr">
        <is>
          <t>26066</t>
        </is>
      </c>
      <c r="B26174" s="4" t="s">
        <f>=HYPERLINK("http://anyluxury.ru/shop/posuda/predmety-servirovki/doska-servirovochnaya-elements-mramor-i-akaciya-kruglaya-1492300/" , "14923.00 Доска сервировочная Elements, мрамор и акация, круглая")</f>
      </c>
      <c r="C26174" s="4" t="n">
        <v>2750.00</v>
      </c>
      <c r="D26174" s="4"/>
    </row>
    <row collapsed="" customFormat="false" customHeight="1" hidden="" ht="14" outlineLevel="0" r="26175">
      <c r="A26175" s="3" t="inlineStr">
        <is>
          <t>26067</t>
        </is>
      </c>
      <c r="B26175" s="4" t="s">
        <f>=HYPERLINK("http://anyluxury.ru/shop/posuda/predmety-servirovki/doska-servirovochnaya-elements-mramor-i-kamen-1492400/" , "14924.00 Доска сервировочная Elements, мрамор и камень")</f>
      </c>
      <c r="C26175" s="4" t="n">
        <v>2450.00</v>
      </c>
      <c r="D26175" s="4"/>
    </row>
    <row collapsed="" customFormat="false" customHeight="1" hidden="" ht="14" outlineLevel="0" r="26176">
      <c r="A26176" s="3" t="inlineStr">
        <is>
          <t>26068</t>
        </is>
      </c>
      <c r="B26176" s="4" t="s">
        <f>=HYPERLINK("http://anyluxury.ru/shop/posuda/predmety-servirovki/saharnica-cafe-concept-seraya-1492711/" , "14927.11 Сахарница Cafe Concept, серая")</f>
      </c>
      <c r="C26176" s="4" t="n">
        <v>700.00</v>
      </c>
      <c r="D26176" s="4"/>
    </row>
    <row collapsed="" customFormat="false" customHeight="1" hidden="" ht="14" outlineLevel="0" r="26177">
      <c r="A26177" s="3" t="inlineStr">
        <is>
          <t>26069</t>
        </is>
      </c>
      <c r="B26177" s="4" t="s">
        <f>=HYPERLINK("http://anyluxury.ru/shop/posuda/predmety-servirovki/chasha-mesh-1605202/" , "16052.02 Чаша Mesh")</f>
      </c>
      <c r="C26177" s="4" t="n">
        <v>2977.00</v>
      </c>
      <c r="D26177" s="4"/>
    </row>
    <row collapsed="" customFormat="false" customHeight="1" hidden="" ht="14" outlineLevel="0" r="26178">
      <c r="A26178" s="3" t="inlineStr">
        <is>
          <t>26070</t>
        </is>
      </c>
      <c r="B26178" s="4" t="s">
        <f>=HYPERLINK("http://anyluxury.ru/shop/posuda/predmety-servirovki/servirovochnaya-doska-baumstein-1880700/" , "18807.00 Сервировочная доска Baumstein")</f>
      </c>
      <c r="C26178" s="4" t="n">
        <v>1490.00</v>
      </c>
      <c r="D26178" s="4"/>
    </row>
    <row collapsed="" customFormat="false" customHeight="1" hidden="" ht="14" outlineLevel="0" r="26179">
      <c r="A26179" s="3" t="inlineStr">
        <is>
          <t>26071</t>
        </is>
      </c>
      <c r="B26179" s="4" t="s">
        <f>=HYPERLINK("http://anyluxury.ru/shop/posuda/predmety-servirovki/nabor-dlya-torta-paletta-1587500/" , "15875.00 Набор для торта Paletta")</f>
      </c>
      <c r="C26179" s="4" t="n">
        <v>461.00</v>
      </c>
      <c r="D26179" s="4"/>
    </row>
    <row collapsed="" customFormat="false" customHeight="1" hidden="" ht="14" outlineLevel="0" r="26180">
      <c r="A26180" s="3" t="inlineStr">
        <is>
          <t>26072</t>
        </is>
      </c>
      <c r="B26180" s="4" t="s">
        <f>=HYPERLINK("http://anyluxury.ru/shop/posuda/predmety-servirovki/nozh-stoloviy-galateo-5504900/" , "55049.00 Нож столовый Galateo")</f>
      </c>
      <c r="C26180" s="4" t="n">
        <v>227.00</v>
      </c>
      <c r="D26180" s="4"/>
    </row>
    <row collapsed="" customFormat="false" customHeight="1" hidden="" ht="14" outlineLevel="0" r="26181">
      <c r="A26181" s="3" t="inlineStr">
        <is>
          <t>26073</t>
        </is>
      </c>
      <c r="B26181" s="4" t="s">
        <f>=HYPERLINK("http://anyluxury.ru/shop/posuda/predmety-servirovki/vilka-stolovaya-galateo-5505000/" , "55050.00 Вилка столовая Galateo")</f>
      </c>
      <c r="C26181" s="4" t="n">
        <v>273.00</v>
      </c>
      <c r="D26181" s="4"/>
    </row>
    <row collapsed="" customFormat="false" customHeight="1" hidden="" ht="14" outlineLevel="0" r="26182">
      <c r="A26182" s="3" t="inlineStr">
        <is>
          <t>26074</t>
        </is>
      </c>
      <c r="B26182" s="4" t="s">
        <f>=HYPERLINK("http://anyluxury.ru/shop/posuda/predmety-servirovki/lozhka-stolovaya-galateo-5505100/" , "55051.00 Ложка столовая Galateo")</f>
      </c>
      <c r="C26182" s="4" t="n">
        <v>273.00</v>
      </c>
      <c r="D26182" s="4"/>
    </row>
    <row collapsed="" customFormat="false" customHeight="1" hidden="" ht="14" outlineLevel="0" r="26183">
      <c r="A26183" s="3" t="inlineStr">
        <is>
          <t>26075</t>
        </is>
      </c>
      <c r="B26183" s="4" t="s">
        <f>=HYPERLINK("http://anyluxury.ru/shop/posuda/predmety-servirovki/nabor-stolovih-priborov-na-6-person-galateo-5505300/" , "55053.00 Набор столовых приборов на 6 персон Galateo")</f>
      </c>
      <c r="C26183" s="4" t="n">
        <v>6020.00</v>
      </c>
      <c r="D26183" s="4"/>
    </row>
    <row collapsed="" customFormat="false" customHeight="1" hidden="" ht="14" outlineLevel="0" r="26184">
      <c r="A26184" s="3" t="inlineStr">
        <is>
          <t>26076</t>
        </is>
      </c>
      <c r="B26184" s="4" t="s">
        <f>=HYPERLINK("http://anyluxury.ru/shop/posuda/predmety-servirovki/nabor-stolovih-nozhey-galateo-5505400/" , "55054.00 Набор из 6 столовых ножей Galateo")</f>
      </c>
      <c r="C26184" s="4" t="n">
        <v>1563.00</v>
      </c>
      <c r="D26184" s="4"/>
    </row>
    <row collapsed="" customFormat="false" customHeight="1" hidden="" ht="14" outlineLevel="0" r="26185">
      <c r="A26185" s="3" t="inlineStr">
        <is>
          <t>26077</t>
        </is>
      </c>
      <c r="B26185" s="4" t="s">
        <f>=HYPERLINK("http://anyluxury.ru/shop/posuda/predmety-servirovki/nabor-stolovih-vilok-galateo-5505500/" , "55055.00 Набор из 6 столовых вилок Galateo")</f>
      </c>
      <c r="C26185" s="4" t="n">
        <v>1833.00</v>
      </c>
      <c r="D26185" s="4"/>
    </row>
    <row collapsed="" customFormat="false" customHeight="1" hidden="" ht="14" outlineLevel="0" r="26186">
      <c r="A26186" s="3" t="inlineStr">
        <is>
          <t>26078</t>
        </is>
      </c>
      <c r="B26186" s="4" t="s">
        <f>=HYPERLINK("http://anyluxury.ru/shop/posuda/predmety-servirovki/nabor-stolovih-lozhek-galateo-5505600/" , "55056.00 Набор из 6 столовых ложек Galateo")</f>
      </c>
      <c r="C26186" s="4" t="n">
        <v>1833.00</v>
      </c>
      <c r="D26186" s="4"/>
    </row>
    <row collapsed="" customFormat="false" customHeight="1" hidden="" ht="14" outlineLevel="0" r="26187">
      <c r="A26187" s="3" t="inlineStr">
        <is>
          <t>26079</t>
        </is>
      </c>
      <c r="B26187" s="4" t="s">
        <f>=HYPERLINK("http://anyluxury.ru/shop/posuda/predmety-servirovki/blyudo-dlya-zakusok-scala-13362/" , "13362 Блюдо для закусок Scala")</f>
      </c>
      <c r="C26187" s="4" t="n">
        <v>16982.00</v>
      </c>
      <c r="D26187" s="4"/>
    </row>
    <row collapsed="" customFormat="false" customHeight="1" hidden="" ht="14" outlineLevel="0" r="26188">
      <c r="A26188" s="3" t="inlineStr">
        <is>
          <t>26080</t>
        </is>
      </c>
      <c r="B26188" s="4" t="s">
        <f>=HYPERLINK("http://anyluxury.ru/shop/posuda/predmety-servirovki/blyudo-fleuron-maloe-1580901/" , "15809.01 Блюдо Fleuron, малое")</f>
      </c>
      <c r="C26188" s="4" t="n">
        <v>4957.00</v>
      </c>
      <c r="D26188" s="4"/>
    </row>
    <row collapsed="" customFormat="false" customHeight="1" hidden="" ht="14" outlineLevel="0" r="26189">
      <c r="A26189" s="3" t="inlineStr">
        <is>
          <t>26081</t>
        </is>
      </c>
      <c r="B26189" s="4" t="s">
        <f>=HYPERLINK("http://anyluxury.ru/shop/posuda/predmety-servirovki/blyudo-fleuron-bolshoe-1580902/" , "15809.02 Блюдо Fleuron, большое")</f>
      </c>
      <c r="C26189" s="4" t="n">
        <v>6200.00</v>
      </c>
      <c r="D26189" s="4"/>
    </row>
    <row collapsed="" customFormat="false" customHeight="1" hidden="" ht="14" outlineLevel="0" r="26190">
      <c r="A26190" s="3" t="inlineStr">
        <is>
          <t>26082</t>
        </is>
      </c>
      <c r="B26190" s="4" t="s">
        <f>=HYPERLINK("http://anyluxury.ru/shop/posuda/predmety-servirovki/saharnica-s-goluboy-kaemochkoy-1884500/" , "18845.00 Сахарница «С голубой каемочкой!»")</f>
      </c>
      <c r="C26190" s="4" t="n">
        <v>273.00</v>
      </c>
      <c r="D26190" s="4"/>
    </row>
    <row collapsed="" customFormat="false" customHeight="1" hidden="" ht="14" outlineLevel="0" r="26191">
      <c r="A26191" s="3" t="inlineStr">
        <is>
          <t>26083</t>
        </is>
      </c>
      <c r="B26191" s="4" t="s">
        <f>=HYPERLINK("http://anyluxury.ru/shop/posuda/predmety-servirovki/salfetka-servirovochnaya-fabric-dvuhstoronnyaya-myatnaya-1797895/" , "17978.95 Салфетка сервировочная Fabric, двухсторонняя, мятная")</f>
      </c>
      <c r="C26191" s="4" t="n">
        <v>750.00</v>
      </c>
      <c r="D26191" s="4"/>
    </row>
    <row collapsed="" customFormat="false" customHeight="1" hidden="" ht="14" outlineLevel="0" r="26192">
      <c r="A26192" s="3" t="inlineStr">
        <is>
          <t>26084</t>
        </is>
      </c>
      <c r="B26192" s="4" t="s">
        <f>=HYPERLINK("http://anyluxury.ru/shop/posuda/predmety-servirovki/salfetka-servirovochnaya-fabric-dvuhstoronnyaya-seraya-1797811/" , "17978.11 Салфетка сервировочная Fabric, двухсторонняя, серая")</f>
      </c>
      <c r="C26192" s="4" t="n">
        <v>750.00</v>
      </c>
      <c r="D26192" s="4"/>
    </row>
    <row collapsed="" customFormat="false" customHeight="1" hidden="" ht="14" outlineLevel="0" r="26193">
      <c r="A26193" s="3" t="inlineStr">
        <is>
          <t>26085</t>
        </is>
      </c>
      <c r="B26193" s="4" t="s">
        <f>=HYPERLINK("http://anyluxury.ru/shop/posuda/predmety-servirovki/salfetka-servirovochnaya-fabric-dvuhstoronnyaya-sinyaya-1797840/" , "17978.40 Салфетка сервировочная Fabric, двухсторонняя, синяя")</f>
      </c>
      <c r="C26193" s="4" t="n">
        <v>750.00</v>
      </c>
      <c r="D26193" s="4"/>
    </row>
    <row collapsed="" customFormat="false" customHeight="1" hidden="" ht="14" outlineLevel="0" r="26194">
      <c r="A26194" s="3" t="inlineStr">
        <is>
          <t>26086</t>
        </is>
      </c>
      <c r="B26194" s="4" t="s">
        <f>=HYPERLINK("http://anyluxury.ru/shop/posuda/predmety-servirovki/salfetka-servirovochnaya-fabric-dvuhstoronnyaya-temnoseraya-1797813/" , "17978.13 Салфетка сервировочная Fabric, двухсторонняя, темно-серая")</f>
      </c>
      <c r="C26194" s="4" t="n">
        <v>750.00</v>
      </c>
      <c r="D26194" s="4"/>
    </row>
    <row collapsed="" customFormat="false" customHeight="1" hidden="" ht="14" outlineLevel="0" r="26195">
      <c r="A26195" s="3" t="inlineStr">
        <is>
          <t>26087</t>
        </is>
      </c>
      <c r="B26195" s="4" t="s">
        <f>=HYPERLINK("http://anyluxury.ru/shop/posuda/predmety-servirovki/doska-servirovochnaya-deli-1320530/" , "13205.30 Доска сервировочная Deli")</f>
      </c>
      <c r="C26195" s="4" t="n">
        <v>1165.00</v>
      </c>
      <c r="D26195" s="4"/>
    </row>
    <row collapsed="" customFormat="false" customHeight="1" hidden="" ht="14" outlineLevel="0" r="26196">
      <c r="A26196" s="3" t="inlineStr">
        <is>
          <t>26088</t>
        </is>
      </c>
      <c r="B26196" s="4" t="s">
        <f>=HYPERLINK("http://anyluxury.ru/shop/posuda/predmety-servirovki/nabor-iz-solonki-i-perechnici-piacente-beliy-1412260/" , "14122.60 Набор из солонки и перечницы Piacente, белый")</f>
      </c>
      <c r="C26196" s="4" t="n">
        <v>1275.30</v>
      </c>
      <c r="D26196" s="4"/>
    </row>
    <row collapsed="" customFormat="false" customHeight="1" hidden="" ht="14" outlineLevel="0" r="26197">
      <c r="A26197" s="3" t="inlineStr">
        <is>
          <t>26089</t>
        </is>
      </c>
      <c r="B26197" s="4" t="s">
        <f>=HYPERLINK("http://anyluxury.ru/shop/posuda/predmety-servirovki/salfetnica-mappa-temnaya-1521000/" , "15210.00 Салфетница Mappa, темная")</f>
      </c>
      <c r="C26197" s="4" t="n">
        <v>1287.00</v>
      </c>
      <c r="D26197" s="4"/>
    </row>
    <row collapsed="" customFormat="false" customHeight="1" hidden="" ht="14" outlineLevel="0" r="26198">
      <c r="A26198" s="3" t="inlineStr">
        <is>
          <t>26090</t>
        </is>
      </c>
      <c r="B26198" s="4" t="s">
        <f>=HYPERLINK("http://anyluxury.ru/shop/posuda/predmety-servirovki/nabor-dlya-podachi-blyud-na-shampurah-brochette-7777400/" , "77774.00 Набор для подачи блюд на шампурах Brochette")</f>
      </c>
      <c r="C26198" s="4" t="n">
        <v>5040.00</v>
      </c>
      <c r="D26198" s="4"/>
    </row>
    <row collapsed="" customFormat="false" customHeight="1" hidden="" ht="14" outlineLevel="0" r="26199">
      <c r="A26199" s="3" t="inlineStr">
        <is>
          <t>26091</t>
        </is>
      </c>
      <c r="B26199" s="4" t="s">
        <f>=HYPERLINK("http://anyluxury.ru/shop/posuda/predmety-servirovki/nabor-iz-2-chaynih-lozhek-madeno-1527200/" , "15272.00 Набор из 2 чайных ложек Madeno")</f>
      </c>
      <c r="C26199" s="4" t="n">
        <v>396.00</v>
      </c>
      <c r="D26199" s="4"/>
    </row>
    <row collapsed="" customFormat="false" customHeight="1" hidden="" ht="14" outlineLevel="0" r="26200">
      <c r="A26200" s="3" t="inlineStr">
        <is>
          <t>26092</t>
        </is>
      </c>
      <c r="B26200" s="4" t="s">
        <f>=HYPERLINK("http://anyluxury.ru/shop/posuda/predmety-servirovki/nabor-stolovih-priborov-lungo-na-6-person-1527300/" , "15273.00 Набор столовых приборов Lungo на 6 персон")</f>
      </c>
      <c r="C26200" s="4" t="n">
        <v>7927.00</v>
      </c>
      <c r="D26200" s="4"/>
    </row>
    <row collapsed="" customFormat="false" customHeight="1" hidden="" ht="14" outlineLevel="0" r="26201">
      <c r="A26201" s="3" t="inlineStr">
        <is>
          <t>26093</t>
        </is>
      </c>
      <c r="B26201" s="4" t="s">
        <f>=HYPERLINK("http://anyluxury.ru/shop/posuda/predmety-servirovki/miska-sky-1529100/" , "15291.00 Миска Sky")</f>
      </c>
      <c r="C26201" s="4" t="n">
        <v>359.00</v>
      </c>
      <c r="D26201" s="4"/>
    </row>
    <row collapsed="" customFormat="false" customHeight="1" hidden="" ht="14" outlineLevel="0" r="26202">
      <c r="A26202" s="3" t="inlineStr">
        <is>
          <t>26094</t>
        </is>
      </c>
      <c r="B26202" s="4" t="s">
        <f>=HYPERLINK("http://anyluxury.ru/shop/posuda/predmety-servirovki/saharnica-attimo-1591260/" , "15912.60 Сахарница Attimo")</f>
      </c>
      <c r="C26202" s="4" t="n">
        <v>1879.20</v>
      </c>
      <c r="D26202" s="4"/>
    </row>
    <row collapsed="" customFormat="false" customHeight="1" hidden="" ht="14" outlineLevel="0" r="26203">
      <c r="A26203" s="3" t="inlineStr">
        <is>
          <t>26095</t>
        </is>
      </c>
      <c r="B26203" s="4" t="s">
        <f>=HYPERLINK("http://anyluxury.ru/shop/posuda/predmety-servirovki/tarelka-servirovochnaya-flattisch-1435800/" , "14358.00 Тарелка сервировочная Flattisch")</f>
      </c>
      <c r="C26203" s="4" t="n">
        <v>2280.00</v>
      </c>
      <c r="D26203" s="4"/>
    </row>
    <row collapsed="" customFormat="false" customHeight="1" hidden="" ht="14" outlineLevel="0" r="26204">
      <c r="A26204" s="3" t="inlineStr">
        <is>
          <t>26096</t>
        </is>
      </c>
      <c r="B26204" s="4" t="s">
        <f>=HYPERLINK("http://anyluxury.ru/shop/posuda/predmety-servirovki/doska-dlya-podachi-lotta-1436000/" , "14360.00 Доска для подачи Lotta")</f>
      </c>
      <c r="C26204" s="4" t="n">
        <v>3108.00</v>
      </c>
      <c r="D26204" s="4"/>
    </row>
    <row collapsed="" customFormat="false" customHeight="1" hidden="" ht="14" outlineLevel="0" r="26205">
      <c r="A26205" s="3" t="inlineStr">
        <is>
          <t>26097</t>
        </is>
      </c>
      <c r="B26205" s="4" t="s">
        <f>=HYPERLINK("http://anyluxury.ru/shop/posuda/predmety-servirovki/sousnik-sauce-dose-1436100/" , "14361.00 Соусник Sauce Dose")</f>
      </c>
      <c r="C26205" s="4" t="n">
        <v>187.00</v>
      </c>
      <c r="D26205" s="4"/>
    </row>
    <row collapsed="" customFormat="false" customHeight="1" hidden="" ht="14" outlineLevel="0" r="26206">
      <c r="A26206" s="3" t="inlineStr">
        <is>
          <t>26098</t>
        </is>
      </c>
      <c r="B26206" s="4" t="s">
        <f>=HYPERLINK("http://anyluxury.ru/shop/posuda/predmety-servirovki/doska-dlya-podachi-ovalli-malaya-1436200/" , "14362.00 Доска для подачи Ovalli, малая")</f>
      </c>
      <c r="C26206" s="4" t="n">
        <v>1008.00</v>
      </c>
      <c r="D26206" s="4"/>
    </row>
    <row collapsed="" customFormat="false" customHeight="1" hidden="" ht="14" outlineLevel="0" r="26207">
      <c r="A26207" s="3" t="inlineStr">
        <is>
          <t>26099</t>
        </is>
      </c>
      <c r="B26207" s="4" t="s">
        <f>=HYPERLINK("http://anyluxury.ru/shop/posuda/predmety-servirovki/stolik-vinniy-chat-mode-1435501/" , "14355.01 Столик винный Chat Mode")</f>
      </c>
      <c r="C26207" s="4" t="n">
        <v>7980.00</v>
      </c>
      <c r="D26207" s="4"/>
    </row>
    <row collapsed="" customFormat="false" customHeight="1" hidden="" ht="14" outlineLevel="0" r="26208">
      <c r="A26208" s="3" t="inlineStr">
        <is>
          <t>26100</t>
        </is>
      </c>
      <c r="B26208" s="4" t="s">
        <f>=HYPERLINK("http://anyluxury.ru/shop/posuda/predmety-servirovki/doska-servirovochnaya-heimstre-1435602/" , "14356.02 Доска сервировочная Heimstre")</f>
      </c>
      <c r="C26208" s="4" t="n">
        <v>2736.00</v>
      </c>
      <c r="D26208" s="4"/>
    </row>
    <row collapsed="" customFormat="false" customHeight="1" hidden="" ht="14" outlineLevel="0" r="26209">
      <c r="A26209" s="3" t="inlineStr">
        <is>
          <t>26101</t>
        </is>
      </c>
      <c r="B26209" s="4" t="s">
        <f>=HYPERLINK("http://anyluxury.ru/shop/posuda/predmety-servirovki/podstavkakoster-palleta-1435703/" , "14357.03 Подставка-костер «Паллета»")</f>
      </c>
      <c r="C26209" s="4" t="n">
        <v>972.00</v>
      </c>
      <c r="D26209" s="4"/>
    </row>
    <row collapsed="" customFormat="false" customHeight="1" hidden="" ht="14" outlineLevel="0" r="26210">
      <c r="A26210" s="3" t="inlineStr">
        <is>
          <t>26102</t>
        </is>
      </c>
      <c r="B26210" s="4" t="s">
        <f>=HYPERLINK("http://anyluxury.ru/shop/posuda/predmety-servirovki/podnos-c-pechatyu-bakke-na-zakaz-1895901/" , "18959.01 Поднос c печатью Bakke на заказ")</f>
      </c>
      <c r="C26210" s="4" t="n">
        <v>320.60</v>
      </c>
      <c r="D26210" s="4"/>
    </row>
    <row collapsed="" customFormat="false" customHeight="1" hidden="" ht="14" outlineLevel="0" r="26211">
      <c r="A26211" s="3" t="inlineStr">
        <is>
          <t>26103</t>
        </is>
      </c>
      <c r="B26211" s="4" t="s">
        <f>=HYPERLINK("http://anyluxury.ru/shop/posuda/predmety-servirovki/podstavka-pod-yayco-korolevskoe-utro-1568200/" , "15682.00 Подставка под яйцо «Королевское утро»")</f>
      </c>
      <c r="C26211" s="4" t="n">
        <v>126.00</v>
      </c>
      <c r="D26211" s="4"/>
    </row>
    <row collapsed="" customFormat="false" customHeight="1" hidden="" ht="14" outlineLevel="0" r="26212">
      <c r="A26212" s="3" t="inlineStr">
        <is>
          <t>26104</t>
        </is>
      </c>
      <c r="B26212" s="4" t="s">
        <f>=HYPERLINK("http://anyluxury.ru/shop/posuda/predmety-servirovki/manzheta-na-kruzhku-manicotto-net-na-zakaz-1824101/" , "18241.01 Манжета на кружку Manicotto Net на заказ")</f>
      </c>
      <c r="C26212" s="4" t="n">
        <v>258.00</v>
      </c>
      <c r="D26212" s="4"/>
    </row>
    <row collapsed="" customFormat="false" customHeight="1" hidden="" ht="14" outlineLevel="0" r="26213">
      <c r="A26213" s="3" t="inlineStr">
        <is>
          <t>26105</t>
        </is>
      </c>
      <c r="B26213" s="4" t="s">
        <f>=HYPERLINK("http://anyluxury.ru/shop/posuda/predmety-servirovki/butilka-dlya-masla-i-uksusa-bubble-up-1770800/" , "17708.00 Бутылка для масла и уксуса Bubble Up")</f>
      </c>
      <c r="C26213" s="4" t="n">
        <v>873.00</v>
      </c>
      <c r="D26213" s="4"/>
    </row>
    <row collapsed="" customFormat="false" customHeight="" hidden="" ht="12.1" outlineLevel="0" r="26214">
      <c r="A26214" s="5" t="inlineStr">
        <is>
          <t> -  - Сервизы</t>
        </is>
      </c>
      <c r="B26214" s="6"/>
      <c r="C26214" s="6"/>
      <c r="D26214" s="6"/>
    </row>
    <row collapsed="" customFormat="false" customHeight="" hidden="" ht="12.1" outlineLevel="0" r="26215">
      <c r="A26215" s="5" t="inlineStr">
        <is>
          <t> -  - Тарелки</t>
        </is>
      </c>
      <c r="B26215" s="6"/>
      <c r="C26215" s="6"/>
      <c r="D26215" s="6"/>
    </row>
    <row collapsed="" customFormat="false" customHeight="1" hidden="" ht="14" outlineLevel="0" r="26216">
      <c r="A26216" s="3" t="inlineStr">
        <is>
          <t>26106</t>
        </is>
      </c>
      <c r="B26216" s="4" t="s">
        <f>=HYPERLINK("http://anyluxury.ru/shop/posuda/tarelki/tarelka-taika-belaya-1252060/" , "12520.60 Тарелка Taika, белая")</f>
      </c>
      <c r="C26216" s="4" t="n">
        <v>4122.00</v>
      </c>
      <c r="D26216" s="4"/>
    </row>
    <row collapsed="" customFormat="false" customHeight="1" hidden="" ht="14" outlineLevel="0" r="26217">
      <c r="A26217" s="3" t="inlineStr">
        <is>
          <t>26107</t>
        </is>
      </c>
      <c r="B26217" s="4" t="s">
        <f>=HYPERLINK("http://anyluxury.ru/shop/posuda/tarelki/blyudce-taika-pod-kofeynuyu-chashku-dlya-espresso-beloe-1252260/" , "12522.60 Блюдце Taika под кофейную чашку для эспрессо, белое")</f>
      </c>
      <c r="C26217" s="4" t="n">
        <v>1054.00</v>
      </c>
      <c r="D26217" s="4"/>
    </row>
    <row collapsed="" customFormat="false" customHeight="1" hidden="" ht="14" outlineLevel="0" r="26218">
      <c r="A26218" s="3" t="inlineStr">
        <is>
          <t>26108</t>
        </is>
      </c>
      <c r="B26218" s="4" t="s">
        <f>=HYPERLINK("http://anyluxury.ru/shop/posuda/tarelki/blyudce-taika-pod-kofeynuyu-chashku-beloe-1252360/" , "12523.60 Блюдце Taika под кофейную чашку, белое")</f>
      </c>
      <c r="C26218" s="4" t="n">
        <v>1355.00</v>
      </c>
      <c r="D26218" s="4"/>
    </row>
    <row collapsed="" customFormat="false" customHeight="1" hidden="" ht="14" outlineLevel="0" r="26219">
      <c r="A26219" s="3" t="inlineStr">
        <is>
          <t>26109</t>
        </is>
      </c>
      <c r="B26219" s="4" t="s">
        <f>=HYPERLINK("http://anyluxury.ru/shop/posuda/tarelki/tarelka-servirovochnaya-taika-belaya-1252660/" , "12526.60 Тарелка сервировочная Taika, белая")</f>
      </c>
      <c r="C26219" s="4" t="n">
        <v>11427.00</v>
      </c>
      <c r="D26219" s="4"/>
    </row>
    <row collapsed="" customFormat="false" customHeight="1" hidden="" ht="14" outlineLevel="0" r="26220">
      <c r="A26220" s="3" t="inlineStr">
        <is>
          <t>26110</t>
        </is>
      </c>
      <c r="B26220" s="4" t="s">
        <f>=HYPERLINK("http://anyluxury.ru/shop/posuda/tarelki/tarelka-taika-sinyaya-1252040/" , "12520.40 Тарелка Taika, синяя")</f>
      </c>
      <c r="C26220" s="4" t="n">
        <v>4122.00</v>
      </c>
      <c r="D26220" s="4"/>
    </row>
    <row collapsed="" customFormat="false" customHeight="1" hidden="" ht="14" outlineLevel="0" r="26221">
      <c r="A26221" s="3" t="inlineStr">
        <is>
          <t>26111</t>
        </is>
      </c>
      <c r="B26221" s="4" t="s">
        <f>=HYPERLINK("http://anyluxury.ru/shop/posuda/tarelki/blyudce-taika-pod-kofeynuyu-chashku-dlya-espresso-sinee-1252240/" , "12522.40 Блюдце Taika под кофейную чашку для эспрессо, синее")</f>
      </c>
      <c r="C26221" s="4" t="n">
        <v>1054.00</v>
      </c>
      <c r="D26221" s="4"/>
    </row>
    <row collapsed="" customFormat="false" customHeight="1" hidden="" ht="14" outlineLevel="0" r="26222">
      <c r="A26222" s="3" t="inlineStr">
        <is>
          <t>26112</t>
        </is>
      </c>
      <c r="B26222" s="4" t="s">
        <f>=HYPERLINK("http://anyluxury.ru/shop/posuda/tarelki/blyudce-taika-pod-kofeynuyu-chashku-sinee-1252340/" , "12523.40 Блюдце Taika под кофейную чашку, синее")</f>
      </c>
      <c r="C26222" s="4" t="n">
        <v>1355.00</v>
      </c>
      <c r="D26222" s="4"/>
    </row>
    <row collapsed="" customFormat="false" customHeight="1" hidden="" ht="14" outlineLevel="0" r="26223">
      <c r="A26223" s="3" t="inlineStr">
        <is>
          <t>26113</t>
        </is>
      </c>
      <c r="B26223" s="4" t="s">
        <f>=HYPERLINK("http://anyluxury.ru/shop/posuda/tarelki/tarelka-servirovochnaya-taika-cinyaya-1252640/" , "12526.40 Тарелка сервировочная Taika, cиняя")</f>
      </c>
      <c r="C26223" s="4" t="n">
        <v>11427.00</v>
      </c>
      <c r="D26223" s="4"/>
    </row>
    <row collapsed="" customFormat="false" customHeight="1" hidden="" ht="14" outlineLevel="0" r="26224">
      <c r="A26224" s="3" t="inlineStr">
        <is>
          <t>26114</t>
        </is>
      </c>
      <c r="B26224" s="4" t="s">
        <f>=HYPERLINK("http://anyluxury.ru/shop/posuda/tarelki/blyudce-taika-pod-kofeynuyu-chashku-chernoe-1252330/" , "12523.30 Блюдце Taika под кофейную чашку, черное")</f>
      </c>
      <c r="C26224" s="4" t="n">
        <v>1355.00</v>
      </c>
      <c r="D26224" s="4"/>
    </row>
    <row collapsed="" customFormat="false" customHeight="1" hidden="" ht="14" outlineLevel="0" r="26225">
      <c r="A26225" s="3" t="inlineStr">
        <is>
          <t>26115</t>
        </is>
      </c>
      <c r="B26225" s="4" t="s">
        <f>=HYPERLINK("http://anyluxury.ru/shop/posuda/tarelki/tarelka-teema-bolshaya-belaya-1252760/" , "12527.60 Тарелка Teema, большая, белая")</f>
      </c>
      <c r="C26225" s="4" t="n">
        <v>2660.00</v>
      </c>
      <c r="D26225" s="4"/>
    </row>
    <row collapsed="" customFormat="false" customHeight="1" hidden="" ht="14" outlineLevel="0" r="26226">
      <c r="A26226" s="3" t="inlineStr">
        <is>
          <t>26116</t>
        </is>
      </c>
      <c r="B26226" s="4" t="s">
        <f>=HYPERLINK("http://anyluxury.ru/shop/posuda/tarelki/tarelka-teema-srednyaya-belaya-1252860/" , "12528.60 Тарелка Teema, средняя, белая")</f>
      </c>
      <c r="C26226" s="4" t="n">
        <v>2109.00</v>
      </c>
      <c r="D26226" s="4"/>
    </row>
    <row collapsed="" customFormat="false" customHeight="1" hidden="" ht="14" outlineLevel="0" r="26227">
      <c r="A26227" s="3" t="inlineStr">
        <is>
          <t>26117</t>
        </is>
      </c>
      <c r="B26227" s="4" t="s">
        <f>=HYPERLINK("http://anyluxury.ru/shop/posuda/tarelki/tarelka-teema-malaya-belaya-1252960/" , "12529.60 Тарелка Teema, малая, белая")</f>
      </c>
      <c r="C26227" s="4" t="n">
        <v>1950.00</v>
      </c>
      <c r="D26227" s="4"/>
    </row>
    <row collapsed="" customFormat="false" customHeight="1" hidden="" ht="14" outlineLevel="0" r="26228">
      <c r="A26228" s="3" t="inlineStr">
        <is>
          <t>26118</t>
        </is>
      </c>
      <c r="B26228" s="4" t="s">
        <f>=HYPERLINK("http://anyluxury.ru/shop/posuda/tarelki/blyudce-teema-beloe-1253060/" , "12530.60 Блюдце Teema, белое")</f>
      </c>
      <c r="C26228" s="4" t="n">
        <v>1986.00</v>
      </c>
      <c r="D26228" s="4"/>
    </row>
    <row collapsed="" customFormat="false" customHeight="1" hidden="" ht="14" outlineLevel="0" r="26229">
      <c r="A26229" s="3" t="inlineStr">
        <is>
          <t>26119</t>
        </is>
      </c>
      <c r="B26229" s="4" t="s">
        <f>=HYPERLINK("http://anyluxury.ru/shop/posuda/tarelki/glubokaya-tarelka-teema-belaya-1253160/" , "12531.60 Глубокая тарелка Teema, белая")</f>
      </c>
      <c r="C26229" s="4" t="n">
        <v>2276.00</v>
      </c>
      <c r="D26229" s="4"/>
    </row>
    <row collapsed="" customFormat="false" customHeight="1" hidden="" ht="14" outlineLevel="0" r="26230">
      <c r="A26230" s="3" t="inlineStr">
        <is>
          <t>26120</t>
        </is>
      </c>
      <c r="B26230" s="4" t="s">
        <f>=HYPERLINK("http://anyluxury.ru/shop/posuda/tarelki/blyudo-servirovochnoe-teema-maloe-beloe-1253960/" , "12539.60 Блюдо сервировочное Teema, малое, белое")</f>
      </c>
      <c r="C26230" s="4" t="n">
        <v>4356.00</v>
      </c>
      <c r="D26230" s="4"/>
    </row>
    <row collapsed="" customFormat="false" customHeight="1" hidden="" ht="14" outlineLevel="0" r="26231">
      <c r="A26231" s="3" t="inlineStr">
        <is>
          <t>26121</t>
        </is>
      </c>
      <c r="B26231" s="4" t="s">
        <f>=HYPERLINK("http://anyluxury.ru/shop/posuda/tarelki/blyudo-servirovochnoe-teema-bolshoe-beloe-1254060/" , "12540.60 Блюдо сервировочное Teema, большое, белое")</f>
      </c>
      <c r="C26231" s="4" t="n">
        <v>5751.00</v>
      </c>
      <c r="D26231" s="4"/>
    </row>
    <row collapsed="" customFormat="false" customHeight="1" hidden="" ht="14" outlineLevel="0" r="26232">
      <c r="A26232" s="3" t="inlineStr">
        <is>
          <t>26122</t>
        </is>
      </c>
      <c r="B26232" s="4" t="s">
        <f>=HYPERLINK("http://anyluxury.ru/shop/posuda/tarelki/tarelka-teema-kvadratnaya-belaya-1254360/" , "12543.60 Тарелка Teema, квадратная, белая")</f>
      </c>
      <c r="C26232" s="4" t="n">
        <v>1492.00</v>
      </c>
      <c r="D26232" s="4"/>
    </row>
    <row collapsed="" customFormat="false" customHeight="1" hidden="" ht="14" outlineLevel="0" r="26233">
      <c r="A26233" s="3" t="inlineStr">
        <is>
          <t>26123</t>
        </is>
      </c>
      <c r="B26233" s="4" t="s">
        <f>=HYPERLINK("http://anyluxury.ru/shop/posuda/tarelki/tarelka-teema-treugolnaya-belaya-1254460/" , "12544.60 Тарелка Teema, треугольная, белая")</f>
      </c>
      <c r="C26233" s="4" t="n">
        <v>1177.00</v>
      </c>
      <c r="D26233" s="4"/>
    </row>
    <row collapsed="" customFormat="false" customHeight="1" hidden="" ht="14" outlineLevel="0" r="26234">
      <c r="A26234" s="3" t="inlineStr">
        <is>
          <t>26124</t>
        </is>
      </c>
      <c r="B26234" s="4" t="s">
        <f>=HYPERLINK("http://anyluxury.ru/shop/posuda/tarelki/nabor-teema-iz-treh-tarelok-beliy-1254560/" , "12545.60 Набор Teema из трех тарелок, белый")</f>
      </c>
      <c r="C26234" s="4" t="n">
        <v>5196.00</v>
      </c>
      <c r="D26234" s="4"/>
    </row>
    <row collapsed="" customFormat="false" customHeight="1" hidden="" ht="14" outlineLevel="0" r="26235">
      <c r="A26235" s="3" t="inlineStr">
        <is>
          <t>26125</t>
        </is>
      </c>
      <c r="B26235" s="4" t="s">
        <f>=HYPERLINK("http://anyluxury.ru/shop/posuda/tarelki/tarelka-teema-bolshaya-chernaya-1252730/" , "12527.30 Тарелка Teema, большая, черная")</f>
      </c>
      <c r="C26235" s="4" t="n">
        <v>3102.00</v>
      </c>
      <c r="D26235" s="4"/>
    </row>
    <row collapsed="" customFormat="false" customHeight="1" hidden="" ht="14" outlineLevel="0" r="26236">
      <c r="A26236" s="3" t="inlineStr">
        <is>
          <t>26126</t>
        </is>
      </c>
      <c r="B26236" s="4" t="s">
        <f>=HYPERLINK("http://anyluxury.ru/shop/posuda/tarelki/tarelka-teema-srednyaya-chernaya-1252830/" , "12528.30 Тарелка Teema, средняя, черная")</f>
      </c>
      <c r="C26236" s="4" t="n">
        <v>2559.00</v>
      </c>
      <c r="D26236" s="4"/>
    </row>
    <row collapsed="" customFormat="false" customHeight="1" hidden="" ht="14" outlineLevel="0" r="26237">
      <c r="A26237" s="3" t="inlineStr">
        <is>
          <t>26127</t>
        </is>
      </c>
      <c r="B26237" s="4" t="s">
        <f>=HYPERLINK("http://anyluxury.ru/shop/posuda/tarelki/tarelka-teema-malaya-chernaya-1252930/" , "12529.30 Тарелка Teema, малая, черная")</f>
      </c>
      <c r="C26237" s="4" t="n">
        <v>2370.00</v>
      </c>
      <c r="D26237" s="4"/>
    </row>
    <row collapsed="" customFormat="false" customHeight="1" hidden="" ht="14" outlineLevel="0" r="26238">
      <c r="A26238" s="3" t="inlineStr">
        <is>
          <t>26128</t>
        </is>
      </c>
      <c r="B26238" s="4" t="s">
        <f>=HYPERLINK("http://anyluxury.ru/shop/posuda/tarelki/glubokaya-tarelka-teema-chernaya-1253130/" , "12531.30 Глубокая тарелка Teema, черная")</f>
      </c>
      <c r="C26238" s="4" t="n">
        <v>2779.00</v>
      </c>
      <c r="D26238" s="4"/>
    </row>
    <row collapsed="" customFormat="false" customHeight="1" hidden="" ht="14" outlineLevel="0" r="26239">
      <c r="A26239" s="3" t="inlineStr">
        <is>
          <t>26129</t>
        </is>
      </c>
      <c r="B26239" s="4" t="s">
        <f>=HYPERLINK("http://anyluxury.ru/shop/posuda/tarelki/tarelka-teema-bolshaya-seraya-1252711/" , "12527.11 Тарелка Teema, большая, серая")</f>
      </c>
      <c r="C26239" s="4" t="n">
        <v>3102.00</v>
      </c>
      <c r="D26239" s="4"/>
    </row>
    <row collapsed="" customFormat="false" customHeight="1" hidden="" ht="14" outlineLevel="0" r="26240">
      <c r="A26240" s="3" t="inlineStr">
        <is>
          <t>26130</t>
        </is>
      </c>
      <c r="B26240" s="4" t="s">
        <f>=HYPERLINK("http://anyluxury.ru/shop/posuda/tarelki/tarelka-teema-srednyaya-seraya-1252811/" , "12528.11 Тарелка Teema, средняя, серая")</f>
      </c>
      <c r="C26240" s="4" t="n">
        <v>2559.00</v>
      </c>
      <c r="D26240" s="4"/>
    </row>
    <row collapsed="" customFormat="false" customHeight="1" hidden="" ht="14" outlineLevel="0" r="26241">
      <c r="A26241" s="3" t="inlineStr">
        <is>
          <t>26131</t>
        </is>
      </c>
      <c r="B26241" s="4" t="s">
        <f>=HYPERLINK("http://anyluxury.ru/shop/posuda/tarelki/tarelka-teema-malaya-seraya-1252911/" , "12529.11 Тарелка Teema, малая, серая")</f>
      </c>
      <c r="C26241" s="4" t="n">
        <v>2370.00</v>
      </c>
      <c r="D26241" s="4"/>
    </row>
    <row collapsed="" customFormat="false" customHeight="1" hidden="" ht="14" outlineLevel="0" r="26242">
      <c r="A26242" s="3" t="inlineStr">
        <is>
          <t>26132</t>
        </is>
      </c>
      <c r="B26242" s="4" t="s">
        <f>=HYPERLINK("http://anyluxury.ru/shop/posuda/tarelki/glubokaya-tarelka-teema-seraya-1253111/" , "12531.11 Глубокая тарелка Teema, серая")</f>
      </c>
      <c r="C26242" s="4" t="n">
        <v>2779.00</v>
      </c>
      <c r="D26242" s="4"/>
    </row>
    <row collapsed="" customFormat="false" customHeight="1" hidden="" ht="14" outlineLevel="0" r="26243">
      <c r="A26243" s="3" t="inlineStr">
        <is>
          <t>26133</t>
        </is>
      </c>
      <c r="B26243" s="4" t="s">
        <f>=HYPERLINK("http://anyluxury.ru/shop/posuda/tarelki/tarelka-teema-malaya-krasnaya-1252950/" , "12529.50 Тарелка Teema, малая, красная")</f>
      </c>
      <c r="C26243" s="4" t="n">
        <v>2370.00</v>
      </c>
      <c r="D26243" s="4"/>
    </row>
    <row collapsed="" customFormat="false" customHeight="1" hidden="" ht="14" outlineLevel="0" r="26244">
      <c r="A26244" s="3" t="inlineStr">
        <is>
          <t>26134</t>
        </is>
      </c>
      <c r="B26244" s="4" t="s">
        <f>=HYPERLINK("http://anyluxury.ru/shop/posuda/tarelki/tarelka-teema-srednyaya-krasnaya-1252850/" , "12528.50 Тарелка Teema, средняя, красная")</f>
      </c>
      <c r="C26244" s="4" t="n">
        <v>2559.00</v>
      </c>
      <c r="D26244" s="4"/>
    </row>
    <row collapsed="" customFormat="false" customHeight="1" hidden="" ht="14" outlineLevel="0" r="26245">
      <c r="A26245" s="3" t="inlineStr">
        <is>
          <t>26135</t>
        </is>
      </c>
      <c r="B26245" s="4" t="s">
        <f>=HYPERLINK("http://anyluxury.ru/shop/posuda/tarelki/glubokaya-tarelka-teema-krasnaya-1253150/" , "12531.50 Глубокая тарелка Teema, красная")</f>
      </c>
      <c r="C26245" s="4" t="n">
        <v>2779.00</v>
      </c>
      <c r="D26245" s="4"/>
    </row>
    <row collapsed="" customFormat="false" customHeight="1" hidden="" ht="14" outlineLevel="0" r="26246">
      <c r="A26246" s="3" t="inlineStr">
        <is>
          <t>26136</t>
        </is>
      </c>
      <c r="B26246" s="4" t="s">
        <f>=HYPERLINK("http://anyluxury.ru/shop/posuda/tarelki/tarelka-aino-aalto-1255500/" , "12555.00 Тарелка Aino Aalto")</f>
      </c>
      <c r="C26246" s="4" t="n">
        <v>1701.00</v>
      </c>
      <c r="D26246" s="4"/>
    </row>
    <row collapsed="" customFormat="false" customHeight="1" hidden="" ht="14" outlineLevel="0" r="26247">
      <c r="A26247" s="3" t="inlineStr">
        <is>
          <t>26137</t>
        </is>
      </c>
      <c r="B26247" s="4" t="s">
        <f>=HYPERLINK("http://anyluxury.ru/shop/posuda/tarelki/nabor-tarelok-riposo-1195760/" , "11957.60 Набор тарелок Riposo")</f>
      </c>
      <c r="C26247" s="4" t="n">
        <v>2327.00</v>
      </c>
      <c r="D26247" s="4"/>
    </row>
    <row collapsed="" customFormat="false" customHeight="1" hidden="" ht="14" outlineLevel="0" r="26248">
      <c r="A26248" s="3" t="inlineStr">
        <is>
          <t>26138</t>
        </is>
      </c>
      <c r="B26248" s="4" t="s">
        <f>=HYPERLINK("http://anyluxury.ru/shop/posuda/tarelki/tarelka-nordic-kitchen-malaya-chernaya-1477730/" , "14777.30 Тарелка Nordic Kitchen, малая, черная")</f>
      </c>
      <c r="C26248" s="4" t="n">
        <v>1550.00</v>
      </c>
      <c r="D26248" s="4"/>
    </row>
    <row collapsed="" customFormat="false" customHeight="1" hidden="" ht="14" outlineLevel="0" r="26249">
      <c r="A26249" s="3" t="inlineStr">
        <is>
          <t>26139</t>
        </is>
      </c>
      <c r="B26249" s="4" t="s">
        <f>=HYPERLINK("http://anyluxury.ru/shop/posuda/tarelki/tarelka-nordic-kitchen-srednyaya-chernaya-1477830/" , "14778.30 Тарелка Nordic Kitchen, средняя, черная")</f>
      </c>
      <c r="C26249" s="4" t="n">
        <v>2290.00</v>
      </c>
      <c r="D26249" s="4"/>
    </row>
    <row collapsed="" customFormat="false" customHeight="1" hidden="" ht="14" outlineLevel="0" r="26250">
      <c r="A26250" s="3" t="inlineStr">
        <is>
          <t>26140</t>
        </is>
      </c>
      <c r="B26250" s="4" t="s">
        <f>=HYPERLINK("http://anyluxury.ru/shop/posuda/tarelki/tarelka-nordic-kitchen-bolshaya-chernaya-1477930/" , "14779.30 Тарелка Nordic Kitchen, большая, черная")</f>
      </c>
      <c r="C26250" s="4" t="n">
        <v>2390.00</v>
      </c>
      <c r="D26250" s="4"/>
    </row>
    <row collapsed="" customFormat="false" customHeight="1" hidden="" ht="14" outlineLevel="0" r="26251">
      <c r="A26251" s="3" t="inlineStr">
        <is>
          <t>26141</t>
        </is>
      </c>
      <c r="B26251" s="4" t="s">
        <f>=HYPERLINK("http://anyluxury.ru/shop/posuda/tarelki/blyudo-servirovochnoe-nordic-kitchen-chernoe-1478330/" , "14783.30 Блюдо сервировочное Nordic Kitchen, черное")</f>
      </c>
      <c r="C26251" s="4" t="n">
        <v>4280.00</v>
      </c>
      <c r="D26251" s="4"/>
    </row>
    <row collapsed="" customFormat="false" customHeight="1" hidden="" ht="14" outlineLevel="0" r="26252">
      <c r="A26252" s="3" t="inlineStr">
        <is>
          <t>26142</t>
        </is>
      </c>
      <c r="B26252" s="4" t="s">
        <f>=HYPERLINK("http://anyluxury.ru/shop/posuda/tarelki/blyudce-legio-beloe-1478460/" , "14784.60 Блюдце Legio, белое")</f>
      </c>
      <c r="C26252" s="4" t="n">
        <v>800.00</v>
      </c>
      <c r="D26252" s="4"/>
    </row>
    <row collapsed="" customFormat="false" customHeight="1" hidden="" ht="14" outlineLevel="0" r="26253">
      <c r="A26253" s="3" t="inlineStr">
        <is>
          <t>26143</t>
        </is>
      </c>
      <c r="B26253" s="4" t="s">
        <f>=HYPERLINK("http://anyluxury.ru/shop/posuda/tarelki/tarelka-supovaya-legio-nova-malaya-belaya-1490760/" , "14907.60 Тарелка суповая Legio Nova, малая, белая")</f>
      </c>
      <c r="C26253" s="4" t="n">
        <v>1700.00</v>
      </c>
      <c r="D26253" s="4"/>
    </row>
    <row collapsed="" customFormat="false" customHeight="1" hidden="" ht="14" outlineLevel="0" r="26254">
      <c r="A26254" s="3" t="inlineStr">
        <is>
          <t>26144</t>
        </is>
      </c>
      <c r="B26254" s="4" t="s">
        <f>=HYPERLINK("http://anyluxury.ru/shop/posuda/tarelki/tarelka-glubokaya-nordic-kitchen-chernaya-1490830/" , "14908.30 Тарелка глубокая Nordic Kitchen, черная")</f>
      </c>
      <c r="C26254" s="4" t="n">
        <v>1650.00</v>
      </c>
      <c r="D26254" s="4"/>
    </row>
    <row collapsed="" customFormat="false" customHeight="1" hidden="" ht="14" outlineLevel="0" r="26255">
      <c r="A26255" s="3" t="inlineStr">
        <is>
          <t>26145</t>
        </is>
      </c>
      <c r="B26255" s="4" t="s">
        <f>=HYPERLINK("http://anyluxury.ru/shop/posuda/tarelki/tarelka-legio-nova-malaya-belaya-1490960/" , "14909.60 Тарелка Legio Nova, малая, белая")</f>
      </c>
      <c r="C26255" s="4" t="n">
        <v>1700.00</v>
      </c>
      <c r="D26255" s="4"/>
    </row>
    <row collapsed="" customFormat="false" customHeight="1" hidden="" ht="14" outlineLevel="0" r="26256">
      <c r="A26256" s="3" t="inlineStr">
        <is>
          <t>26146</t>
        </is>
      </c>
      <c r="B26256" s="4" t="s">
        <f>=HYPERLINK("http://anyluxury.ru/shop/posuda/tarelki/tarelka-legio-nova-srednyaya-belaya-1491060/" , "14910.60 Тарелка Legio Nova, средняя, белая")</f>
      </c>
      <c r="C26256" s="4" t="n">
        <v>2220.00</v>
      </c>
      <c r="D26256" s="4"/>
    </row>
    <row collapsed="" customFormat="false" customHeight="1" hidden="" ht="14" outlineLevel="0" r="26257">
      <c r="A26257" s="3" t="inlineStr">
        <is>
          <t>26147</t>
        </is>
      </c>
      <c r="B26257" s="4" t="s">
        <f>=HYPERLINK("http://anyluxury.ru/shop/posuda/tarelki/tarelka-legio-nova-bolshaya-belaya-1491160/" , "14911.60 Тарелка Legio Nova, большая, белая")</f>
      </c>
      <c r="C26257" s="4" t="n">
        <v>1750.00</v>
      </c>
      <c r="D26257" s="4"/>
    </row>
    <row collapsed="" customFormat="false" customHeight="1" hidden="" ht="14" outlineLevel="0" r="26258">
      <c r="A26258" s="3" t="inlineStr">
        <is>
          <t>26148</t>
        </is>
      </c>
      <c r="B26258" s="4" t="s">
        <f>=HYPERLINK("http://anyluxury.ru/shop/posuda/tarelki/tarelka-ovalnaya-legio-nova-belaya-1491260/" , "14912.60 Тарелка овальная Legio Nova, белая")</f>
      </c>
      <c r="C26258" s="4" t="n">
        <v>2390.00</v>
      </c>
      <c r="D26258" s="4"/>
    </row>
    <row collapsed="" customFormat="false" customHeight="1" hidden="" ht="14" outlineLevel="0" r="26259">
      <c r="A26259" s="3" t="inlineStr">
        <is>
          <t>26149</t>
        </is>
      </c>
      <c r="B26259" s="4" t="s">
        <f>=HYPERLINK("http://anyluxury.ru/shop/posuda/tarelki/tarelka-supovaya-legio-nova-bolshaya-belaya-1491360/" , "14913.60 Тарелка суповая Legio Nova, большая, белая")</f>
      </c>
      <c r="C26259" s="4" t="n">
        <v>1750.00</v>
      </c>
      <c r="D26259" s="4"/>
    </row>
    <row collapsed="" customFormat="false" customHeight="1" hidden="" ht="14" outlineLevel="0" r="26260">
      <c r="A26260" s="3" t="inlineStr">
        <is>
          <t>26150</t>
        </is>
      </c>
      <c r="B26260" s="4" t="s">
        <f>=HYPERLINK("http://anyluxury.ru/shop/posuda/tarelki/tarelka-supovaya-ovalnaya-legio-nova-malaya-belaya-1491460/" , "14914.60 Тарелка суповая овальная Legio Nova, малая, белая")</f>
      </c>
      <c r="C26260" s="4" t="n">
        <v>1890.00</v>
      </c>
      <c r="D26260" s="4"/>
    </row>
    <row collapsed="" customFormat="false" customHeight="1" hidden="" ht="14" outlineLevel="0" r="26261">
      <c r="A26261" s="3" t="inlineStr">
        <is>
          <t>26151</t>
        </is>
      </c>
      <c r="B26261" s="4" t="s">
        <f>=HYPERLINK("http://anyluxury.ru/shop/posuda/tarelki/tarelka-supovaya-ovalnaya-legio-nova-bolshaya-belaya-1491560/" , "14915.60 Тарелка суповая овальная Legio Nova, большая, белая")</f>
      </c>
      <c r="C26261" s="4" t="n">
        <v>2200.00</v>
      </c>
      <c r="D26261" s="4"/>
    </row>
    <row collapsed="" customFormat="false" customHeight="1" hidden="" ht="14" outlineLevel="0" r="26262">
      <c r="A26262" s="3" t="inlineStr">
        <is>
          <t>26152</t>
        </is>
      </c>
      <c r="B26262" s="4" t="s">
        <f>=HYPERLINK("http://anyluxury.ru/shop/posuda/tarelki/tarelka-club-organic-zelenaya-1353190/" , "13531.90 Тарелка Club Organic, зеленая")</f>
      </c>
      <c r="C26262" s="4" t="n">
        <v>790.00</v>
      </c>
      <c r="D26262" s="4"/>
    </row>
    <row collapsed="" customFormat="false" customHeight="1" hidden="" ht="14" outlineLevel="0" r="26263">
      <c r="A26263" s="3" t="inlineStr">
        <is>
          <t>26153</t>
        </is>
      </c>
      <c r="B26263" s="4" t="s">
        <f>=HYPERLINK("http://anyluxury.ru/shop/posuda/tarelki/tarelka-club-organic-rozovaya-1353151/" , "13531.51 Тарелка Club Organic, розовая")</f>
      </c>
      <c r="C26263" s="4" t="n">
        <v>790.00</v>
      </c>
      <c r="D26263" s="4"/>
    </row>
    <row collapsed="" customFormat="false" customHeight="1" hidden="" ht="14" outlineLevel="0" r="26264">
      <c r="A26264" s="3" t="inlineStr">
        <is>
          <t>26154</t>
        </is>
      </c>
      <c r="B26264" s="4" t="s">
        <f>=HYPERLINK("http://anyluxury.ru/shop/posuda/tarelki/tarelka-club-organic-seraya-1353111/" , "13531.11 Тарелка Club Organic, серая")</f>
      </c>
      <c r="C26264" s="4" t="n">
        <v>790.00</v>
      </c>
      <c r="D26264" s="4"/>
    </row>
    <row collapsed="" customFormat="false" customHeight="1" hidden="" ht="14" outlineLevel="0" r="26265">
      <c r="A26265" s="3" t="inlineStr">
        <is>
          <t>26155</t>
        </is>
      </c>
      <c r="B26265" s="4" t="s">
        <f>=HYPERLINK("http://anyluxury.ru/shop/posuda/tarelki/tarelka-club-belaya-1353160/" , "13531.60 Тарелка Club, белая")</f>
      </c>
      <c r="C26265" s="4" t="n">
        <v>760.00</v>
      </c>
      <c r="D26265" s="4"/>
    </row>
    <row collapsed="" customFormat="false" customHeight="1" hidden="" ht="14" outlineLevel="0" r="26266">
      <c r="A26266" s="3" t="inlineStr">
        <is>
          <t>26156</t>
        </is>
      </c>
      <c r="B26266" s="4" t="s">
        <f>=HYPERLINK("http://anyluxury.ru/shop/posuda/tarelki/tarelka-supovaya-club-organic-seraya-1353211/" , "13532.11 Тарелка суповая Club Organic, серая")</f>
      </c>
      <c r="C26266" s="4" t="n">
        <v>790.00</v>
      </c>
      <c r="D26266" s="4"/>
    </row>
    <row collapsed="" customFormat="false" customHeight="1" hidden="" ht="14" outlineLevel="0" r="26267">
      <c r="A26267" s="3" t="inlineStr">
        <is>
          <t>26157</t>
        </is>
      </c>
      <c r="B26267" s="4" t="s">
        <f>=HYPERLINK("http://anyluxury.ru/shop/posuda/tarelki/tarelka-supovaya-club-organic-zelenaya-1353290/" , "13532.90 Тарелка суповая Club Organic, зеленая")</f>
      </c>
      <c r="C26267" s="4" t="n">
        <v>790.00</v>
      </c>
      <c r="D26267" s="4"/>
    </row>
    <row collapsed="" customFormat="false" customHeight="1" hidden="" ht="14" outlineLevel="0" r="26268">
      <c r="A26268" s="3" t="inlineStr">
        <is>
          <t>26158</t>
        </is>
      </c>
      <c r="B26268" s="4" t="s">
        <f>=HYPERLINK("http://anyluxury.ru/shop/posuda/tarelki/tarelka-supovaya-club-organic-rozovaya-1353251/" , "13532.51 Тарелка суповая Club Organic, розовая")</f>
      </c>
      <c r="C26268" s="4" t="n">
        <v>790.00</v>
      </c>
      <c r="D26268" s="4"/>
    </row>
    <row collapsed="" customFormat="false" customHeight="1" hidden="" ht="14" outlineLevel="0" r="26269">
      <c r="A26269" s="3" t="inlineStr">
        <is>
          <t>26159</t>
        </is>
      </c>
      <c r="B26269" s="4" t="s">
        <f>=HYPERLINK("http://anyluxury.ru/shop/posuda/tarelki/tarelka-supovaya-club-belaya-1353260/" , "13532.60 Тарелка суповая Club, белая")</f>
      </c>
      <c r="C26269" s="4" t="n">
        <v>760.00</v>
      </c>
      <c r="D26269" s="4"/>
    </row>
    <row collapsed="" customFormat="false" customHeight="1" hidden="" ht="14" outlineLevel="0" r="26270">
      <c r="A26270" s="3" t="inlineStr">
        <is>
          <t>26160</t>
        </is>
      </c>
      <c r="B26270" s="4" t="s">
        <f>=HYPERLINK("http://anyluxury.ru/shop/posuda/tarelki/nabor-iz-12-tarelok-dine-beliy-1445260/" , "14452.60 Набор из 12 тарелок Dine, белый")</f>
      </c>
      <c r="C26270" s="4" t="n">
        <v>9990.00</v>
      </c>
      <c r="D26270" s="4"/>
    </row>
    <row collapsed="" customFormat="false" customHeight="1" hidden="" ht="14" outlineLevel="0" r="26271">
      <c r="A26271" s="3" t="inlineStr">
        <is>
          <t>26161</t>
        </is>
      </c>
      <c r="B26271" s="4" t="s">
        <f>=HYPERLINK("http://anyluxury.ru/shop/posuda/tarelki/nabor-glubokih-tarelok-dine-beliy-1454260/" , "14542.60 Набор глубоких тарелок Dine, белый")</f>
      </c>
      <c r="C26271" s="4" t="n">
        <v>6950.00</v>
      </c>
      <c r="D26271" s="4"/>
    </row>
    <row collapsed="" customFormat="false" customHeight="1" hidden="" ht="14" outlineLevel="0" r="26272">
      <c r="A26272" s="3" t="inlineStr">
        <is>
          <t>26162</t>
        </is>
      </c>
      <c r="B26272" s="4" t="s">
        <f>=HYPERLINK("http://anyluxury.ru/shop/posuda/tarelki/nabor-misok-dine-beliy-1454460/" , "14544.60 Набор из 4 мисок Dine, белый")</f>
      </c>
      <c r="C26272" s="4" t="n">
        <v>4990.00</v>
      </c>
      <c r="D26272" s="4"/>
    </row>
    <row collapsed="" customFormat="false" customHeight="1" hidden="" ht="14" outlineLevel="0" r="26273">
      <c r="A26273" s="3" t="inlineStr">
        <is>
          <t>26163</t>
        </is>
      </c>
      <c r="B26273" s="4" t="s">
        <f>=HYPERLINK("http://anyluxury.ru/shop/posuda/tarelki/nabor-malih-tarelok-dine-beliy-1454560/" , "14545.60 Набор из 4 малых тарелок Dine, белый")</f>
      </c>
      <c r="C26273" s="4" t="n">
        <v>4200.00</v>
      </c>
      <c r="D26273" s="4"/>
    </row>
    <row collapsed="" customFormat="false" customHeight="1" hidden="" ht="14" outlineLevel="0" r="26274">
      <c r="A26274" s="3" t="inlineStr">
        <is>
          <t>26164</t>
        </is>
      </c>
      <c r="B26274" s="4" t="s">
        <f>=HYPERLINK("http://anyluxury.ru/shop/posuda/tarelki/nabor-bolshih-tarelok-dine-beliy-1454660/" , "14546.60 Набор из 4 больших тарелок Dine, белый")</f>
      </c>
      <c r="C26274" s="4" t="n">
        <v>4200.00</v>
      </c>
      <c r="D26274" s="4"/>
    </row>
    <row collapsed="" customFormat="false" customHeight="1" hidden="" ht="14" outlineLevel="0" r="26275">
      <c r="A26275" s="3" t="inlineStr">
        <is>
          <t>26165</t>
        </is>
      </c>
      <c r="B26275" s="4" t="s">
        <f>=HYPERLINK("http://anyluxury.ru/shop/posuda/tarelki/nabor-desertnih-tarelok-dine-beliy-1456060/" , "14560.60 Набор из 4 десертных тарелок Dine, белый")</f>
      </c>
      <c r="C26275" s="4" t="n">
        <v>3600.00</v>
      </c>
      <c r="D26275" s="4"/>
    </row>
    <row collapsed="" customFormat="false" customHeight="1" hidden="" ht="14" outlineLevel="0" r="26276">
      <c r="A26276" s="3" t="inlineStr">
        <is>
          <t>26166</t>
        </is>
      </c>
      <c r="B26276" s="4" t="s">
        <f>=HYPERLINK("http://anyluxury.ru/shop/posuda/tarelki/nabor-dine-iz-16-predmetov-beliy-1457160/" , "14571.60 Набор Dine из 16 предметов, белый")</f>
      </c>
      <c r="C26276" s="4" t="n">
        <v>12800.00</v>
      </c>
      <c r="D26276" s="4"/>
    </row>
    <row collapsed="" customFormat="false" customHeight="1" hidden="" ht="14" outlineLevel="0" r="26277">
      <c r="A26277" s="3" t="inlineStr">
        <is>
          <t>26167</t>
        </is>
      </c>
      <c r="B26277" s="4" t="s">
        <f>=HYPERLINK("http://anyluxury.ru/shop/posuda/tarelki/nabor-tarelok-riposo-maliy-1271560/" , "12715.60 Набор из 3 тарелок Riposo, малый")</f>
      </c>
      <c r="C26277" s="4" t="n">
        <v>1971.00</v>
      </c>
      <c r="D26277" s="4"/>
    </row>
    <row collapsed="" customFormat="false" customHeight="1" hidden="" ht="14" outlineLevel="0" r="26278">
      <c r="A26278" s="3" t="inlineStr">
        <is>
          <t>26168</t>
        </is>
      </c>
      <c r="B26278" s="4" t="s">
        <f>=HYPERLINK("http://anyluxury.ru/shop/posuda/tarelki/nabor-tarelok-riposo-sredniy-1271760/" , "12717.60 Набор из 3 тарелок Riposo, средний")</f>
      </c>
      <c r="C26278" s="4" t="n">
        <v>2566.00</v>
      </c>
      <c r="D26278" s="4"/>
    </row>
    <row collapsed="" customFormat="false" customHeight="1" hidden="" ht="14" outlineLevel="0" r="26279">
      <c r="A26279" s="3" t="inlineStr">
        <is>
          <t>26169</t>
        </is>
      </c>
      <c r="B26279" s="4" t="s">
        <f>=HYPERLINK("http://anyluxury.ru/shop/posuda/tarelki/blyudo-riposo-beloe-1271860/" , "12718.60 Блюдо Riposo, белое")</f>
      </c>
      <c r="C26279" s="4" t="n">
        <v>1250.00</v>
      </c>
      <c r="D26279" s="4"/>
    </row>
    <row collapsed="" customFormat="false" customHeight="1" hidden="" ht="14" outlineLevel="0" r="26280">
      <c r="A26280" s="3" t="inlineStr">
        <is>
          <t>26170</t>
        </is>
      </c>
      <c r="B26280" s="4" t="s">
        <f>=HYPERLINK("http://anyluxury.ru/shop/posuda/tarelki/tarelka-desertnaya-pie-time-belaya-1902160/" , "19021.60 Тарелка десертная Pie Time, белая")</f>
      </c>
      <c r="C26280" s="4" t="n">
        <v>366.00</v>
      </c>
      <c r="D26280" s="4"/>
    </row>
    <row collapsed="" customFormat="false" customHeight="1" hidden="" ht="14" outlineLevel="0" r="26281">
      <c r="A26281" s="3" t="inlineStr">
        <is>
          <t>26171</t>
        </is>
      </c>
      <c r="B26281" s="4" t="s">
        <f>=HYPERLINK("http://anyluxury.ru/shop/posuda/tarelki/tarelka-sky-1529200/" , "15292.00 Тарелка Sky")</f>
      </c>
      <c r="C26281" s="4" t="n">
        <v>358.00</v>
      </c>
      <c r="D26281" s="4"/>
    </row>
    <row collapsed="" customFormat="false" customHeight="" hidden="" ht="12.1" outlineLevel="0" r="26282">
      <c r="A26282" s="5" t="inlineStr">
        <is>
          <t> -  - Термостаканы</t>
        </is>
      </c>
      <c r="B26282" s="6"/>
      <c r="C26282" s="6"/>
      <c r="D26282" s="6"/>
    </row>
    <row collapsed="" customFormat="false" customHeight="1" hidden="" ht="14" outlineLevel="0" r="26283">
      <c r="A26283" s="3" t="inlineStr">
        <is>
          <t>26172</t>
        </is>
      </c>
      <c r="B26283" s="4" t="s">
        <f>=HYPERLINK("http://anyluxury.ru/shop/posuda/termostakany/vakuumnaya-termokruzhka-beliy-p432123/" , "P432.123 Вакуумная термокружка, белый")</f>
      </c>
      <c r="C26283" s="4" t="n">
        <v>850.00</v>
      </c>
      <c r="D26283" s="4"/>
    </row>
    <row collapsed="" customFormat="false" customHeight="1" hidden="" ht="14" outlineLevel="0" r="26284">
      <c r="A26284" s="3" t="inlineStr">
        <is>
          <t>26173</t>
        </is>
      </c>
      <c r="B26284" s="4" t="s">
        <f>=HYPERLINK("http://anyluxury.ru/shop/posuda/termostakany/vakuumnaya-termokruzhka-serebryaniy-p432122/" , "P432.122 Вакуумная термокружка, серебряный")</f>
      </c>
      <c r="C26284" s="4" t="n">
        <v>850.00</v>
      </c>
      <c r="D26284" s="4"/>
    </row>
    <row collapsed="" customFormat="false" customHeight="1" hidden="" ht="14" outlineLevel="0" r="26285">
      <c r="A26285" s="3" t="inlineStr">
        <is>
          <t>26174</t>
        </is>
      </c>
      <c r="B26285" s="4" t="s">
        <f>=HYPERLINK("http://anyluxury.ru/shop/posuda/termostakany/stakan-s-krishkoy-pla-350-ml-salatoviy-p432886/" , "P432.886 Стакан с крышкой PLA, 350 мл, салатовый")</f>
      </c>
      <c r="C26285" s="4" t="n">
        <v>1199.00</v>
      </c>
      <c r="D26285" s="4"/>
    </row>
    <row collapsed="" customFormat="false" customHeight="1" hidden="" ht="14" outlineLevel="0" r="26286">
      <c r="A26286" s="3" t="inlineStr">
        <is>
          <t>26175</t>
        </is>
      </c>
      <c r="B26286" s="4" t="s">
        <f>=HYPERLINK("http://anyluxury.ru/shop/posuda/termostakany/termokruzhka-s-dvoynimi-stenkami-p432877/" , "P432.877 Термокружка с двойными стенками")</f>
      </c>
      <c r="C26286" s="4" t="n">
        <v>715.00</v>
      </c>
      <c r="D26286" s="4"/>
    </row>
    <row collapsed="" customFormat="false" customHeight="1" hidden="" ht="14" outlineLevel="0" r="26287">
      <c r="A26287" s="3" t="inlineStr">
        <is>
          <t>26176</t>
        </is>
      </c>
      <c r="B26287" s="4" t="s">
        <f>=HYPERLINK("http://anyluxury.ru/shop/posuda/termostakany/termokruzhka-400-ml-p432391/" , "P432.391 Термокружка, 400 мл")</f>
      </c>
      <c r="C26287" s="4" t="n">
        <v>1030.00</v>
      </c>
      <c r="D26287" s="4"/>
    </row>
    <row collapsed="" customFormat="false" customHeight="1" hidden="" ht="14" outlineLevel="0" r="26288">
      <c r="A26288" s="3" t="inlineStr">
        <is>
          <t>26177</t>
        </is>
      </c>
      <c r="B26288" s="4" t="s">
        <f>=HYPERLINK("http://anyluxury.ru/shop/posuda/termostakany/termokruzhka-400-ml-p432395/" , "P432.395 Термокружка, 400 мл")</f>
      </c>
      <c r="C26288" s="4" t="n">
        <v>1178.00</v>
      </c>
      <c r="D26288" s="4"/>
    </row>
    <row collapsed="" customFormat="false" customHeight="1" hidden="" ht="14" outlineLevel="0" r="26289">
      <c r="A26289" s="3" t="inlineStr">
        <is>
          <t>26178</t>
        </is>
      </c>
      <c r="B26289" s="4" t="s">
        <f>=HYPERLINK("http://anyluxury.ru/shop/posuda/termostakany/termokruzhka-400-ml-p432397/" , "P432.397 Термокружка, 400 мл")</f>
      </c>
      <c r="C26289" s="4" t="n">
        <v>1095.00</v>
      </c>
      <c r="D26289" s="4"/>
    </row>
    <row collapsed="" customFormat="false" customHeight="1" hidden="" ht="14" outlineLevel="0" r="26290">
      <c r="A26290" s="3" t="inlineStr">
        <is>
          <t>26179</t>
        </is>
      </c>
      <c r="B26290" s="4" t="s">
        <f>=HYPERLINK("http://anyluxury.ru/shop/posuda/termostakany/termokruzhka-clik-225-ml-beliy-p432063/" , "P432.063 Термокружка Clik, 225 мл, белый")</f>
      </c>
      <c r="C26290" s="4" t="n">
        <v>394.00</v>
      </c>
      <c r="D26290" s="4"/>
    </row>
    <row collapsed="" customFormat="false" customHeight="1" hidden="" ht="14" outlineLevel="0" r="26291">
      <c r="A26291" s="3" t="inlineStr">
        <is>
          <t>26180</t>
        </is>
      </c>
      <c r="B26291" s="4" t="s">
        <f>=HYPERLINK("http://anyluxury.ru/shop/posuda/termostakany/termokruzhka-fliplid-belaya-p432953/" , "P432.953 Термокружка Flip-lid, белая")</f>
      </c>
      <c r="C26291" s="4" t="n">
        <v>559.00</v>
      </c>
      <c r="D26291" s="4"/>
    </row>
    <row collapsed="" customFormat="false" customHeight="1" hidden="" ht="14" outlineLevel="0" r="26292">
      <c r="A26292" s="3" t="inlineStr">
        <is>
          <t>26181</t>
        </is>
      </c>
      <c r="B26292" s="4" t="s">
        <f>=HYPERLINK("http://anyluxury.ru/shop/posuda/termostakany/termokruzhka-urban-400-ml-salatoviy-p432007/" , "P432.007 Термокружка Urban, 400 мл, салатовый")</f>
      </c>
      <c r="C26292" s="4" t="n">
        <v>748.00</v>
      </c>
      <c r="D26292" s="4"/>
    </row>
    <row collapsed="" customFormat="false" customHeight="1" hidden="" ht="14" outlineLevel="0" r="26293">
      <c r="A26293" s="3" t="inlineStr">
        <is>
          <t>26182</t>
        </is>
      </c>
      <c r="B26293" s="4" t="s">
        <f>=HYPERLINK("http://anyluxury.ru/shop/posuda/termostakany/termokruzhka-iz-nerzhaveyushhey-stali-350-ml-cherniy-p432131/" , "P432.131 Термокружка из нержавеющей стали, 350 мл")</f>
      </c>
      <c r="C26293" s="4" t="n">
        <v>749.00</v>
      </c>
      <c r="D26293" s="4"/>
    </row>
    <row collapsed="" customFormat="false" customHeight="1" hidden="" ht="14" outlineLevel="0" r="26294">
      <c r="A26294" s="3" t="inlineStr">
        <is>
          <t>26183</t>
        </is>
      </c>
      <c r="B26294" s="4" t="s">
        <f>=HYPERLINK("http://anyluxury.ru/shop/posuda/termostakany/termokruzhka-iz-nerzhaveyushhey-stali-350-ml-salatoviy-p432139/" , "P432.139 Термокружка из нержавеющей стали, 350 мл, салатовый")</f>
      </c>
      <c r="C26294" s="4" t="n">
        <v>642.00</v>
      </c>
      <c r="D26294" s="4"/>
    </row>
    <row collapsed="" customFormat="false" customHeight="1" hidden="" ht="14" outlineLevel="0" r="26295">
      <c r="A26295" s="3" t="inlineStr">
        <is>
          <t>26184</t>
        </is>
      </c>
      <c r="B26295" s="4" t="s">
        <f>=HYPERLINK("http://anyluxury.ru/shop/posuda/termostakany/termokruzhka-metro-300-ml-serebryaniy-p432192/" , "P432.192 Термокружка Metro, 300 мл")</f>
      </c>
      <c r="C26295" s="4" t="n">
        <v>839.00</v>
      </c>
      <c r="D26295" s="4"/>
    </row>
    <row collapsed="" customFormat="false" customHeight="1" hidden="" ht="14" outlineLevel="0" r="26296">
      <c r="A26296" s="3" t="inlineStr">
        <is>
          <t>26185</t>
        </is>
      </c>
      <c r="B26296" s="4" t="s">
        <f>=HYPERLINK("http://anyluxury.ru/shop/posuda/termostakany/germetichnaya-termokruzhka-easy-400-ml-krasniy-p432464/" , "P432.464 Герметичная термокружка Easy, 400 мл, красный")</f>
      </c>
      <c r="C26296" s="4" t="n">
        <v>759.00</v>
      </c>
      <c r="D26296" s="4"/>
    </row>
    <row collapsed="" customFormat="false" customHeight="1" hidden="" ht="14" outlineLevel="0" r="26297">
      <c r="A26297" s="3" t="inlineStr">
        <is>
          <t>26186</t>
        </is>
      </c>
      <c r="B26297" s="4" t="s">
        <f>=HYPERLINK("http://anyluxury.ru/shop/posuda/termostakany/termokruzhka-highland-350-ml-krasniy-p432514/" , "P432.514 Термокружка Highland, 350 мл, красный")</f>
      </c>
      <c r="C26297" s="4" t="n">
        <v>910.00</v>
      </c>
      <c r="D26297" s="4"/>
    </row>
    <row collapsed="" customFormat="false" customHeight="1" hidden="" ht="14" outlineLevel="0" r="26298">
      <c r="A26298" s="3" t="inlineStr">
        <is>
          <t>26187</t>
        </is>
      </c>
      <c r="B26298" s="4" t="s">
        <f>=HYPERLINK("http://anyluxury.ru/shop/posuda/termostakany/termokruzhka-contour-350-ml-seriy-p432532/" , "P432.532 Термокружка Contour, 350 мл")</f>
      </c>
      <c r="C26298" s="4" t="n">
        <v>1699.00</v>
      </c>
      <c r="D26298" s="4"/>
    </row>
    <row collapsed="" customFormat="false" customHeight="1" hidden="" ht="14" outlineLevel="0" r="26299">
      <c r="A26299" s="3" t="inlineStr">
        <is>
          <t>26188</t>
        </is>
      </c>
      <c r="B26299" s="4" t="s">
        <f>=HYPERLINK("http://anyluxury.ru/shop/posuda/termostakany/termostakan-poster-s-chernoy-krishkoy-663230/" , "6632.30 Термостакан Poster, с черной крышкой")</f>
      </c>
      <c r="C26299" s="4" t="n">
        <v>521.00</v>
      </c>
      <c r="D26299" s="4"/>
    </row>
    <row collapsed="" customFormat="false" customHeight="1" hidden="" ht="14" outlineLevel="0" r="26300">
      <c r="A26300" s="3" t="inlineStr">
        <is>
          <t>26189</t>
        </is>
      </c>
      <c r="B26300" s="4" t="s">
        <f>=HYPERLINK("http://anyluxury.ru/shop/posuda/termostakany/termostakan-gems-blue-topaz-siniy-topaz-190777/" , "1907.77 Термостакан Gems Blue Topaz, синий топаз")</f>
      </c>
      <c r="C26300" s="4" t="n">
        <v>1436.00</v>
      </c>
      <c r="D26300" s="4"/>
    </row>
    <row collapsed="" customFormat="false" customHeight="1" hidden="" ht="14" outlineLevel="0" r="26301">
      <c r="A26301" s="3" t="inlineStr">
        <is>
          <t>26190</t>
        </is>
      </c>
      <c r="B26301" s="4" t="s">
        <f>=HYPERLINK("http://anyluxury.ru/shop/posuda/termostakany/termostakan-underway-beliy-314660/" , "3146.60 Термостакан Underway, белый")</f>
      </c>
      <c r="C26301" s="4" t="n">
        <v>591.00</v>
      </c>
      <c r="D26301" s="4"/>
    </row>
    <row collapsed="" customFormat="false" customHeight="1" hidden="" ht="14" outlineLevel="0" r="26302">
      <c r="A26302" s="3" t="inlineStr">
        <is>
          <t>26191</t>
        </is>
      </c>
      <c r="B26302" s="4" t="s">
        <f>=HYPERLINK("http://anyluxury.ru/shop/posuda/termostakany/termostakan-underway-krasniy-314650/" , "3146.50 Термостакан Underway, красный")</f>
      </c>
      <c r="C26302" s="4" t="n">
        <v>591.00</v>
      </c>
      <c r="D26302" s="4"/>
    </row>
    <row collapsed="" customFormat="false" customHeight="1" hidden="" ht="14" outlineLevel="0" r="26303">
      <c r="A26303" s="3" t="inlineStr">
        <is>
          <t>26192</t>
        </is>
      </c>
      <c r="B26303" s="4" t="s">
        <f>=HYPERLINK("http://anyluxury.ru/shop/posuda/termostakany/termostakan-underway-siniy-314640/" , "3146.40 Термостакан Underway, синий")</f>
      </c>
      <c r="C26303" s="4" t="n">
        <v>591.00</v>
      </c>
      <c r="D26303" s="4"/>
    </row>
    <row collapsed="" customFormat="false" customHeight="1" hidden="" ht="14" outlineLevel="0" r="26304">
      <c r="A26304" s="3" t="inlineStr">
        <is>
          <t>26193</t>
        </is>
      </c>
      <c r="B26304" s="4" t="s">
        <f>=HYPERLINK("http://anyluxury.ru/shop/posuda/termostakany/termostakan-flyer-3369/" , "3369 Термостакан Flyer")</f>
      </c>
      <c r="C26304" s="4" t="n">
        <v>361.00</v>
      </c>
      <c r="D26304" s="4"/>
    </row>
    <row collapsed="" customFormat="false" customHeight="1" hidden="" ht="14" outlineLevel="0" r="26305">
      <c r="A26305" s="3" t="inlineStr">
        <is>
          <t>26194</t>
        </is>
      </c>
      <c r="B26305" s="4" t="s">
        <f>=HYPERLINK("http://anyluxury.ru/shop/posuda/termostakany/termostakan-tralee-biryuzoviy-689845/" , "6898.45 Термостакан Tralee, бирюзовый")</f>
      </c>
      <c r="C26305" s="4" t="n">
        <v>1348.00</v>
      </c>
      <c r="D26305" s="4"/>
    </row>
    <row collapsed="" customFormat="false" customHeight="1" hidden="" ht="14" outlineLevel="0" r="26306">
      <c r="A26306" s="3" t="inlineStr">
        <is>
          <t>26195</t>
        </is>
      </c>
      <c r="B26306" s="4" t="s">
        <f>=HYPERLINK("http://anyluxury.ru/shop/posuda/termostakany/termostakan-tralee-cherniy-689830/" , "6898.30 Термостакан Tralee, черный")</f>
      </c>
      <c r="C26306" s="4" t="n">
        <v>1497.00</v>
      </c>
      <c r="D26306" s="4"/>
    </row>
    <row collapsed="" customFormat="false" customHeight="1" hidden="" ht="14" outlineLevel="0" r="26307">
      <c r="A26307" s="3" t="inlineStr">
        <is>
          <t>26196</t>
        </is>
      </c>
      <c r="B26307" s="4" t="s">
        <f>=HYPERLINK("http://anyluxury.ru/shop/posuda/termostakany/termostakan-solingen-vakuumniy-germetichniy-beliy-517560/" , "5175.60 Термостакан Solingen, вакуумный, герметичный, белый")</f>
      </c>
      <c r="C26307" s="4" t="n">
        <v>1409.00</v>
      </c>
      <c r="D26307" s="4"/>
    </row>
    <row collapsed="" customFormat="false" customHeight="1" hidden="" ht="14" outlineLevel="0" r="26308">
      <c r="A26308" s="3" t="inlineStr">
        <is>
          <t>26197</t>
        </is>
      </c>
      <c r="B26308" s="4" t="s">
        <f>=HYPERLINK("http://anyluxury.ru/shop/posuda/termostakany/termostakan-smoothy-krasniy-65650/" , "656.50 Термостакан Smoothy, красный")</f>
      </c>
      <c r="C26308" s="4" t="n">
        <v>1090.00</v>
      </c>
      <c r="D26308" s="4"/>
    </row>
    <row collapsed="" customFormat="false" customHeight="1" hidden="" ht="14" outlineLevel="0" r="26309">
      <c r="A26309" s="3" t="inlineStr">
        <is>
          <t>26198</t>
        </is>
      </c>
      <c r="B26309" s="4" t="s">
        <f>=HYPERLINK("http://anyluxury.ru/shop/posuda/termostakany/termostakan-tansley-germetichniy-vakuumniy-serostalnoy-662213/" , "6622.13 Термостакан Tansley, герметичный, вакуумный, серо-стальной")</f>
      </c>
      <c r="C26309" s="4" t="n">
        <v>1450.00</v>
      </c>
      <c r="D26309" s="4"/>
    </row>
    <row collapsed="" customFormat="false" customHeight="1" hidden="" ht="14" outlineLevel="0" r="26310">
      <c r="A26310" s="3" t="inlineStr">
        <is>
          <t>26199</t>
        </is>
      </c>
      <c r="B26310" s="4" t="s">
        <f>=HYPERLINK("http://anyluxury.ru/shop/posuda/termostakany/termostakan-sagga-beliy-1139060/" , "11390.60 Термостакан Sagga, белый")</f>
      </c>
      <c r="C26310" s="4" t="n">
        <v>399.00</v>
      </c>
      <c r="D26310" s="4"/>
    </row>
    <row collapsed="" customFormat="false" customHeight="1" hidden="" ht="14" outlineLevel="0" r="26311">
      <c r="A26311" s="3" t="inlineStr">
        <is>
          <t>26200</t>
        </is>
      </c>
      <c r="B26311" s="4" t="s">
        <f>=HYPERLINK("http://anyluxury.ru/shop/posuda/termostakany/termostakan-sagga-krasniy-1139050/" , "11390.50 Термостакан Sagga, красный")</f>
      </c>
      <c r="C26311" s="4" t="n">
        <v>399.00</v>
      </c>
      <c r="D26311" s="4"/>
    </row>
    <row collapsed="" customFormat="false" customHeight="1" hidden="" ht="14" outlineLevel="0" r="26312">
      <c r="A26312" s="3" t="inlineStr">
        <is>
          <t>26201</t>
        </is>
      </c>
      <c r="B26312" s="4" t="s">
        <f>=HYPERLINK("http://anyluxury.ru/shop/posuda/termostakany/termostakan-sagga-oranzheviy-1139020/" , "11390.20 Термостакан Sagga, оранжевый")</f>
      </c>
      <c r="C26312" s="4" t="n">
        <v>399.00</v>
      </c>
      <c r="D26312" s="4"/>
    </row>
    <row collapsed="" customFormat="false" customHeight="1" hidden="" ht="14" outlineLevel="0" r="26313">
      <c r="A26313" s="3" t="inlineStr">
        <is>
          <t>26202</t>
        </is>
      </c>
      <c r="B26313" s="4" t="s">
        <f>=HYPERLINK("http://anyluxury.ru/shop/posuda/termostakany/termostakan-sagga-siniy-1139040/" , "11390.40 Термостакан Sagga, синий")</f>
      </c>
      <c r="C26313" s="4" t="n">
        <v>399.00</v>
      </c>
      <c r="D26313" s="4"/>
    </row>
    <row collapsed="" customFormat="false" customHeight="1" hidden="" ht="14" outlineLevel="0" r="26314">
      <c r="A26314" s="3" t="inlineStr">
        <is>
          <t>26203</t>
        </is>
      </c>
      <c r="B26314" s="4" t="s">
        <f>=HYPERLINK("http://anyluxury.ru/shop/posuda/termostakany/termostakan-sagga-cherniy-1139030/" , "11390.30 Термостакан Sagga, черный")</f>
      </c>
      <c r="C26314" s="4" t="n">
        <v>399.00</v>
      </c>
      <c r="D26314" s="4"/>
    </row>
    <row collapsed="" customFormat="false" customHeight="1" hidden="" ht="14" outlineLevel="0" r="26315">
      <c r="A26315" s="3" t="inlineStr">
        <is>
          <t>26204</t>
        </is>
      </c>
      <c r="B26315" s="4" t="s">
        <f>=HYPERLINK("http://anyluxury.ru/shop/posuda/termostakany/termostakan-sagga-zeleniy-1139090/" , "11390.90 Термостакан Sagga, зеленый")</f>
      </c>
      <c r="C26315" s="4" t="n">
        <v>399.00</v>
      </c>
      <c r="D26315" s="4"/>
    </row>
    <row collapsed="" customFormat="false" customHeight="1" hidden="" ht="14" outlineLevel="0" r="26316">
      <c r="A26316" s="3" t="inlineStr">
        <is>
          <t>26205</t>
        </is>
      </c>
      <c r="B26316" s="4" t="s">
        <f>=HYPERLINK("http://anyluxury.ru/shop/posuda/termostakany/termostakan-forma-siniy-1139140/" , "11391.40 Термостакан Forma, синий")</f>
      </c>
      <c r="C26316" s="4" t="n">
        <v>676.00</v>
      </c>
      <c r="D26316" s="4"/>
    </row>
    <row collapsed="" customFormat="false" customHeight="1" hidden="" ht="14" outlineLevel="0" r="26317">
      <c r="A26317" s="3" t="inlineStr">
        <is>
          <t>26206</t>
        </is>
      </c>
      <c r="B26317" s="4" t="s">
        <f>=HYPERLINK("http://anyluxury.ru/shop/posuda/termostakany/termostakan-forma-oranzheviy-1139120/" , "11391.20 Термостакан Forma, оранжевый")</f>
      </c>
      <c r="C26317" s="4" t="n">
        <v>676.00</v>
      </c>
      <c r="D26317" s="4"/>
    </row>
    <row collapsed="" customFormat="false" customHeight="1" hidden="" ht="14" outlineLevel="0" r="26318">
      <c r="A26318" s="3" t="inlineStr">
        <is>
          <t>26207</t>
        </is>
      </c>
      <c r="B26318" s="4" t="s">
        <f>=HYPERLINK("http://anyluxury.ru/shop/posuda/termostakany/termostakan-forma-krasniy-1139150/" , "11391.50 Термостакан Forma, красный")</f>
      </c>
      <c r="C26318" s="4" t="n">
        <v>676.00</v>
      </c>
      <c r="D26318" s="4"/>
    </row>
    <row collapsed="" customFormat="false" customHeight="1" hidden="" ht="14" outlineLevel="0" r="26319">
      <c r="A26319" s="3" t="inlineStr">
        <is>
          <t>26208</t>
        </is>
      </c>
      <c r="B26319" s="4" t="s">
        <f>=HYPERLINK("http://anyluxury.ru/shop/posuda/termostakany/termostakan-forma-zeleniy-1139190/" , "11391.90 Термостакан Forma, зеленый")</f>
      </c>
      <c r="C26319" s="4" t="n">
        <v>676.00</v>
      </c>
      <c r="D26319" s="4"/>
    </row>
    <row collapsed="" customFormat="false" customHeight="1" hidden="" ht="14" outlineLevel="0" r="26320">
      <c r="A26320" s="3" t="inlineStr">
        <is>
          <t>26209</t>
        </is>
      </c>
      <c r="B26320" s="4" t="s">
        <f>=HYPERLINK("http://anyluxury.ru/shop/posuda/termostakany/termostakan-forma-cherniy-1139130/" , "11391.30 Термостакан Forma, черный")</f>
      </c>
      <c r="C26320" s="4" t="n">
        <v>676.00</v>
      </c>
      <c r="D26320" s="4"/>
    </row>
    <row collapsed="" customFormat="false" customHeight="1" hidden="" ht="14" outlineLevel="0" r="26321">
      <c r="A26321" s="3" t="inlineStr">
        <is>
          <t>26210</t>
        </is>
      </c>
      <c r="B26321" s="4" t="s">
        <f>=HYPERLINK("http://anyluxury.ru/shop/posuda/termostakany/termostakan-emsa-travel-cup-siniy-1042340/" , "10423.40 Термостакан Emsa Travel Cup, синий")</f>
      </c>
      <c r="C26321" s="4" t="n">
        <v>1499.00</v>
      </c>
      <c r="D26321" s="4"/>
    </row>
    <row collapsed="" customFormat="false" customHeight="1" hidden="" ht="14" outlineLevel="0" r="26322">
      <c r="A26322" s="3" t="inlineStr">
        <is>
          <t>26211</t>
        </is>
      </c>
      <c r="B26322" s="4" t="s">
        <f>=HYPERLINK("http://anyluxury.ru/shop/posuda/termostakany/termostakan-emsa-travel-cup-krasniy-1042350/" , "10423.50 Термостакан Emsa Travel Cup, красный")</f>
      </c>
      <c r="C26322" s="4" t="n">
        <v>1499.00</v>
      </c>
      <c r="D26322" s="4"/>
    </row>
    <row collapsed="" customFormat="false" customHeight="1" hidden="" ht="14" outlineLevel="0" r="26323">
      <c r="A26323" s="3" t="inlineStr">
        <is>
          <t>26212</t>
        </is>
      </c>
      <c r="B26323" s="4" t="s">
        <f>=HYPERLINK("http://anyluxury.ru/shop/posuda/termostakany/termostakan-emsa-travel-cup-beliy-1042360/" , "10423.60 Термостакан Emsa Travel Cup, белый")</f>
      </c>
      <c r="C26323" s="4" t="n">
        <v>1499.00</v>
      </c>
      <c r="D26323" s="4"/>
    </row>
    <row collapsed="" customFormat="false" customHeight="1" hidden="" ht="14" outlineLevel="0" r="26324">
      <c r="A26324" s="3" t="inlineStr">
        <is>
          <t>26213</t>
        </is>
      </c>
      <c r="B26324" s="4" t="s">
        <f>=HYPERLINK("http://anyluxury.ru/shop/posuda/termostakany/termostakan-emsa-travel-cup-zeleniy-1042390/" , "10423.90 Термостакан Emsa Travel Cup, зеленый")</f>
      </c>
      <c r="C26324" s="4" t="n">
        <v>1499.00</v>
      </c>
      <c r="D26324" s="4"/>
    </row>
    <row collapsed="" customFormat="false" customHeight="1" hidden="" ht="14" outlineLevel="0" r="26325">
      <c r="A26325" s="3" t="inlineStr">
        <is>
          <t>26214</t>
        </is>
      </c>
      <c r="B26325" s="4" t="s">
        <f>=HYPERLINK("http://anyluxury.ru/shop/posuda/termostakany/termostakan-emsa-travel-cup-rozoviy-1042315/" , "10423.15 Термостакан Emsa Travel Cup, розовый")</f>
      </c>
      <c r="C26325" s="4" t="n">
        <v>1499.00</v>
      </c>
      <c r="D26325" s="4"/>
    </row>
    <row collapsed="" customFormat="false" customHeight="1" hidden="" ht="14" outlineLevel="0" r="26326">
      <c r="A26326" s="3" t="inlineStr">
        <is>
          <t>26215</t>
        </is>
      </c>
      <c r="B26326" s="4" t="s">
        <f>=HYPERLINK("http://anyluxury.ru/shop/posuda/termostakany/termostakan-emsa-travel-mug-grande-siniy-1042440/" , "10424.40 Термостакан Emsa Travel Mug Grande, синий")</f>
      </c>
      <c r="C26326" s="4" t="n">
        <v>2999.00</v>
      </c>
      <c r="D26326" s="4"/>
    </row>
    <row collapsed="" customFormat="false" customHeight="1" hidden="" ht="14" outlineLevel="0" r="26327">
      <c r="A26327" s="3" t="inlineStr">
        <is>
          <t>26216</t>
        </is>
      </c>
      <c r="B26327" s="4" t="s">
        <f>=HYPERLINK("http://anyluxury.ru/shop/posuda/termostakany/termostakan-emsa-travel-mug-grande-krasniy-1042450/" , "10424.50 Термостакан Emsa Travel Mug Grande, красный")</f>
      </c>
      <c r="C26327" s="4" t="n">
        <v>2999.00</v>
      </c>
      <c r="D26327" s="4"/>
    </row>
    <row collapsed="" customFormat="false" customHeight="1" hidden="" ht="14" outlineLevel="0" r="26328">
      <c r="A26328" s="3" t="inlineStr">
        <is>
          <t>26217</t>
        </is>
      </c>
      <c r="B26328" s="4" t="s">
        <f>=HYPERLINK("http://anyluxury.ru/shop/posuda/termostakany/termostakan-emsa-travel-mug-grande-beliy-1042460/" , "10424.60 Термостакан Emsa Travel Mug Grande, белый")</f>
      </c>
      <c r="C26328" s="4" t="n">
        <v>2999.00</v>
      </c>
      <c r="D26328" s="4"/>
    </row>
    <row collapsed="" customFormat="false" customHeight="1" hidden="" ht="14" outlineLevel="0" r="26329">
      <c r="A26329" s="3" t="inlineStr">
        <is>
          <t>26218</t>
        </is>
      </c>
      <c r="B26329" s="4" t="s">
        <f>=HYPERLINK("http://anyluxury.ru/shop/posuda/termostakany/termostakan-emsa-travel-mug-grande-cherniy-1042430/" , "10424.30 Термостакан Emsa Travel Mug Grande, черный")</f>
      </c>
      <c r="C26329" s="4" t="n">
        <v>2999.00</v>
      </c>
      <c r="D26329" s="4"/>
    </row>
    <row collapsed="" customFormat="false" customHeight="1" hidden="" ht="14" outlineLevel="0" r="26330">
      <c r="A26330" s="3" t="inlineStr">
        <is>
          <t>26219</t>
        </is>
      </c>
      <c r="B26330" s="4" t="s">
        <f>=HYPERLINK("http://anyluxury.ru/shop/posuda/termostakany/termostakan-emsa-travel-mug-grande-korichneviy-1042459/" , "10424.59 Термостакан Emsa Travel Mug Grande, коричневый")</f>
      </c>
      <c r="C26330" s="4" t="n">
        <v>2999.00</v>
      </c>
      <c r="D26330" s="4"/>
    </row>
    <row collapsed="" customFormat="false" customHeight="1" hidden="" ht="14" outlineLevel="0" r="26331">
      <c r="A26331" s="3" t="inlineStr">
        <is>
          <t>26220</t>
        </is>
      </c>
      <c r="B26331" s="4" t="s">
        <f>=HYPERLINK("http://anyluxury.ru/shop/posuda/termostakany/termostakan-emsa-travel-mug-siniy-1042540/" , "10425.40 Термостакан Emsa Travel Mug, синий")</f>
      </c>
      <c r="C26331" s="4" t="n">
        <v>2499.00</v>
      </c>
      <c r="D26331" s="4"/>
    </row>
    <row collapsed="" customFormat="false" customHeight="1" hidden="" ht="14" outlineLevel="0" r="26332">
      <c r="A26332" s="3" t="inlineStr">
        <is>
          <t>26221</t>
        </is>
      </c>
      <c r="B26332" s="4" t="s">
        <f>=HYPERLINK("http://anyluxury.ru/shop/posuda/termostakany/termostakan-emsa-travel-mug-krasniy-1042550/" , "10425.50 Термостакан Emsa Travel Mug, красный")</f>
      </c>
      <c r="C26332" s="4" t="n">
        <v>2499.00</v>
      </c>
      <c r="D26332" s="4"/>
    </row>
    <row collapsed="" customFormat="false" customHeight="1" hidden="" ht="14" outlineLevel="0" r="26333">
      <c r="A26333" s="3" t="inlineStr">
        <is>
          <t>26222</t>
        </is>
      </c>
      <c r="B26333" s="4" t="s">
        <f>=HYPERLINK("http://anyluxury.ru/shop/posuda/termostakany/termostakan-emsa-travel-mug-cherniy-1042530/" , "10425.30 Термостакан Emsa Travel Mug, черный")</f>
      </c>
      <c r="C26333" s="4" t="n">
        <v>2499.00</v>
      </c>
      <c r="D26333" s="4"/>
    </row>
    <row collapsed="" customFormat="false" customHeight="1" hidden="" ht="14" outlineLevel="0" r="26334">
      <c r="A26334" s="3" t="inlineStr">
        <is>
          <t>26223</t>
        </is>
      </c>
      <c r="B26334" s="4" t="s">
        <f>=HYPERLINK("http://anyluxury.ru/shop/posuda/termostakany/termostakan-emsa-travel-mug-beliy-1042560/" , "10425.60 Термостакан Emsa Travel Mug, белый")</f>
      </c>
      <c r="C26334" s="4" t="n">
        <v>2499.00</v>
      </c>
      <c r="D26334" s="4"/>
    </row>
    <row collapsed="" customFormat="false" customHeight="1" hidden="" ht="14" outlineLevel="0" r="26335">
      <c r="A26335" s="3" t="inlineStr">
        <is>
          <t>26224</t>
        </is>
      </c>
      <c r="B26335" s="4" t="s">
        <f>=HYPERLINK("http://anyluxury.ru/shop/posuda/termostakany/termostakan-emsa-travel-mug-zeleniy-1042590/" , "10425.90 Термостакан Emsa Travel Mug, зеленый")</f>
      </c>
      <c r="C26335" s="4" t="n">
        <v>2499.00</v>
      </c>
      <c r="D26335" s="4"/>
    </row>
    <row collapsed="" customFormat="false" customHeight="1" hidden="" ht="14" outlineLevel="0" r="26336">
      <c r="A26336" s="3" t="inlineStr">
        <is>
          <t>26225</t>
        </is>
      </c>
      <c r="B26336" s="4" t="s">
        <f>=HYPERLINK("http://anyluxury.ru/shop/posuda/termostakany/termostakan-travel-mug-vakuumniy-serebristiy-1042710/" , "10427.10 Термостакан Travel Mug, вакуумный, серебристый")</f>
      </c>
      <c r="C26336" s="4" t="n">
        <v>1699.00</v>
      </c>
      <c r="D26336" s="4"/>
    </row>
    <row collapsed="" customFormat="false" customHeight="1" hidden="" ht="14" outlineLevel="0" r="26337">
      <c r="A26337" s="3" t="inlineStr">
        <is>
          <t>26226</t>
        </is>
      </c>
      <c r="B26337" s="4" t="s">
        <f>=HYPERLINK("http://anyluxury.ru/shop/posuda/termostakany/termostakan-emsa-travel-mug-rozoviy-1042515/" , "10425.15 Термостакан Emsa Travel Mug, розовый")</f>
      </c>
      <c r="C26337" s="4" t="n">
        <v>2499.00</v>
      </c>
      <c r="D26337" s="4"/>
    </row>
    <row collapsed="" customFormat="false" customHeight="1" hidden="" ht="14" outlineLevel="0" r="26338">
      <c r="A26338" s="3" t="inlineStr">
        <is>
          <t>26227</t>
        </is>
      </c>
      <c r="B26338" s="4" t="s">
        <f>=HYPERLINK("http://anyluxury.ru/shop/posuda/termostakany/termostakan-emsa-travel-mug-fioletoviy-1042578/" , "10425.78 Термостакан Emsa Travel Mug, фиолетовый")</f>
      </c>
      <c r="C26338" s="4" t="n">
        <v>2499.00</v>
      </c>
      <c r="D26338" s="4"/>
    </row>
    <row collapsed="" customFormat="false" customHeight="1" hidden="" ht="14" outlineLevel="0" r="26339">
      <c r="A26339" s="3" t="inlineStr">
        <is>
          <t>26228</t>
        </is>
      </c>
      <c r="B26339" s="4" t="s">
        <f>=HYPERLINK("http://anyluxury.ru/shop/posuda/termostakany/termostakan-coffee-to-go-serebristiy-s-serim-klapanom-1042611/" , "10426.11 Термостакан Coffee To Go, серебристый с серым клапаном")</f>
      </c>
      <c r="C26339" s="4" t="n">
        <v>1299.00</v>
      </c>
      <c r="D26339" s="4"/>
    </row>
    <row collapsed="" customFormat="false" customHeight="1" hidden="" ht="14" outlineLevel="0" r="26340">
      <c r="A26340" s="3" t="inlineStr">
        <is>
          <t>26229</t>
        </is>
      </c>
      <c r="B26340" s="4" t="s">
        <f>=HYPERLINK("http://anyluxury.ru/shop/posuda/termostakany/termostakan-coffee-to-go-serebristiy-s-zelenim-klapanom-1042619/" , "10426.19 Термостакан Coffee To Go, серебристый с зеленым клапаном")</f>
      </c>
      <c r="C26340" s="4" t="n">
        <v>1299.00</v>
      </c>
      <c r="D26340" s="4"/>
    </row>
    <row collapsed="" customFormat="false" customHeight="1" hidden="" ht="14" outlineLevel="0" r="26341">
      <c r="A26341" s="3" t="inlineStr">
        <is>
          <t>26230</t>
        </is>
      </c>
      <c r="B26341" s="4" t="s">
        <f>=HYPERLINK("http://anyluxury.ru/shop/posuda/termostakany/termostakan-coffee-to-go-serebristiy-s-rozovim-klapanom-1042616/" , "10426.16 Термостакан Coffee To Go, серебристый с розовым клапаном")</f>
      </c>
      <c r="C26341" s="4" t="n">
        <v>1299.00</v>
      </c>
      <c r="D26341" s="4"/>
    </row>
    <row collapsed="" customFormat="false" customHeight="1" hidden="" ht="14" outlineLevel="0" r="26342">
      <c r="A26342" s="3" t="inlineStr">
        <is>
          <t>26231</t>
        </is>
      </c>
      <c r="B26342" s="4" t="s">
        <f>=HYPERLINK("http://anyluxury.ru/shop/posuda/termostakany/termostakan-emsa-travel-mug-korichneviy-1042559/" , "10425.59 Термостакан Emsa Travel Mug, коричневый")</f>
      </c>
      <c r="C26342" s="4" t="n">
        <v>2499.00</v>
      </c>
      <c r="D26342" s="4"/>
    </row>
    <row collapsed="" customFormat="false" customHeight="1" hidden="" ht="14" outlineLevel="0" r="26343">
      <c r="A26343" s="3" t="inlineStr">
        <is>
          <t>26232</t>
        </is>
      </c>
      <c r="B26343" s="4" t="s">
        <f>=HYPERLINK("http://anyluxury.ru/shop/posuda/termostakany/termostakan-5th-avenue-korichneviy-1069859/" , "10698.59 Термостакан 5th Avenue, коричневый")</f>
      </c>
      <c r="C26343" s="4" t="n">
        <v>2310.00</v>
      </c>
      <c r="D26343" s="4"/>
    </row>
    <row collapsed="" customFormat="false" customHeight="1" hidden="" ht="14" outlineLevel="0" r="26344">
      <c r="A26344" s="3" t="inlineStr">
        <is>
          <t>26233</t>
        </is>
      </c>
      <c r="B26344" s="4" t="s">
        <f>=HYPERLINK("http://anyluxury.ru/shop/posuda/termostakany/termostakan-5th-avenue-stalnoy-1069813/" , "10698.13 Термостакан 5th Avenue, стальной")</f>
      </c>
      <c r="C26344" s="4" t="n">
        <v>1995.00</v>
      </c>
      <c r="D26344" s="4"/>
    </row>
    <row collapsed="" customFormat="false" customHeight="1" hidden="" ht="14" outlineLevel="0" r="26345">
      <c r="A26345" s="3" t="inlineStr">
        <is>
          <t>26234</t>
        </is>
      </c>
      <c r="B26345" s="4" t="s">
        <f>=HYPERLINK("http://anyluxury.ru/shop/posuda/termostakany/termostakan-diva-sup-korichneviy-1069959/" , "10699.59 Термостакан Diva Сup, коричневый")</f>
      </c>
      <c r="C26345" s="4" t="n">
        <v>2020.00</v>
      </c>
      <c r="D26345" s="4"/>
    </row>
    <row collapsed="" customFormat="false" customHeight="1" hidden="" ht="14" outlineLevel="0" r="26346">
      <c r="A26346" s="3" t="inlineStr">
        <is>
          <t>26235</t>
        </is>
      </c>
      <c r="B26346" s="4" t="s">
        <f>=HYPERLINK("http://anyluxury.ru/shop/posuda/termostakany/termostakan-diva-sup-rozoviy-1069915/" , "10699.15 Термостакан Diva Сup, розовый")</f>
      </c>
      <c r="C26346" s="4" t="n">
        <v>2020.00</v>
      </c>
      <c r="D26346" s="4"/>
    </row>
    <row collapsed="" customFormat="false" customHeight="1" hidden="" ht="14" outlineLevel="0" r="26347">
      <c r="A26347" s="3" t="inlineStr">
        <is>
          <t>26236</t>
        </is>
      </c>
      <c r="B26347" s="4" t="s">
        <f>=HYPERLINK("http://anyluxury.ru/shop/posuda/termostakany/pivnaya-kruzhka-stanley-adventure-belaya-1079560/" , "10795.60 Пивная кружка Stanley Adventure, белая")</f>
      </c>
      <c r="C26347" s="4" t="n">
        <v>2160.00</v>
      </c>
      <c r="D26347" s="4"/>
    </row>
    <row collapsed="" customFormat="false" customHeight="1" hidden="" ht="14" outlineLevel="0" r="26348">
      <c r="A26348" s="3" t="inlineStr">
        <is>
          <t>26237</t>
        </is>
      </c>
      <c r="B26348" s="4" t="s">
        <f>=HYPERLINK("http://anyluxury.ru/shop/posuda/termostakany/pivnaya-kruzhka-stanley-adventure-zelenaya-1079590/" , "10795.90 Пивная кружка Stanley Adventure, зеленая")</f>
      </c>
      <c r="C26348" s="4" t="n">
        <v>2200.00</v>
      </c>
      <c r="D26348" s="4"/>
    </row>
    <row collapsed="" customFormat="false" customHeight="1" hidden="" ht="14" outlineLevel="0" r="26349">
      <c r="A26349" s="3" t="inlineStr">
        <is>
          <t>26238</t>
        </is>
      </c>
      <c r="B26349" s="4" t="s">
        <f>=HYPERLINK("http://anyluxury.ru/shop/posuda/termostakany/termokruzhka-stanley-adventure-350-chernaya-1079930/" , "10799.30 Термокружка Stanley Adventure 350, черная")</f>
      </c>
      <c r="C26349" s="4" t="n">
        <v>2580.00</v>
      </c>
      <c r="D26349" s="4"/>
    </row>
    <row collapsed="" customFormat="false" customHeight="1" hidden="" ht="14" outlineLevel="0" r="26350">
      <c r="A26350" s="3" t="inlineStr">
        <is>
          <t>26239</t>
        </is>
      </c>
      <c r="B26350" s="4" t="s">
        <f>=HYPERLINK("http://anyluxury.ru/shop/posuda/termostakany/termokruzhka-stanley-adventure-470-belaya-1080060/" , "10800.60 Термокружка Stanley Adventure 470, белая")</f>
      </c>
      <c r="C26350" s="4" t="n">
        <v>2930.00</v>
      </c>
      <c r="D26350" s="4"/>
    </row>
    <row collapsed="" customFormat="false" customHeight="1" hidden="" ht="14" outlineLevel="0" r="26351">
      <c r="A26351" s="3" t="inlineStr">
        <is>
          <t>26240</t>
        </is>
      </c>
      <c r="B26351" s="4" t="s">
        <f>=HYPERLINK("http://anyluxury.ru/shop/posuda/termostakany/termokruzhka-stanley-adventure-470-chernaya-1080030/" , "10800.30 Термокружка Stanley Adventure 470, черная")</f>
      </c>
      <c r="C26351" s="4" t="n">
        <v>2930.00</v>
      </c>
      <c r="D26351" s="4"/>
    </row>
    <row collapsed="" customFormat="false" customHeight="1" hidden="" ht="14" outlineLevel="0" r="26352">
      <c r="A26352" s="3" t="inlineStr">
        <is>
          <t>26241</t>
        </is>
      </c>
      <c r="B26352" s="4" t="s">
        <f>=HYPERLINK("http://anyluxury.ru/shop/posuda/termostakany/termostakan-stanley-ceramivac-480-serogoluboy-1080814/" , "10808.14 Термостакан Stanley Ceramivac 480, серо-голубой")</f>
      </c>
      <c r="C26352" s="4" t="n">
        <v>2356.00</v>
      </c>
      <c r="D26352" s="4"/>
    </row>
    <row collapsed="" customFormat="false" customHeight="1" hidden="" ht="14" outlineLevel="0" r="26353">
      <c r="A26353" s="3" t="inlineStr">
        <is>
          <t>26242</t>
        </is>
      </c>
      <c r="B26353" s="4" t="s">
        <f>=HYPERLINK("http://anyluxury.ru/shop/posuda/termostakany/termostakan-stanley-ceramivac-480-seriy-1080811/" , "10808.11 Термостакан Stanley Ceramivac 480, серый")</f>
      </c>
      <c r="C26353" s="4" t="n">
        <v>2356.00</v>
      </c>
      <c r="D26353" s="4"/>
    </row>
    <row collapsed="" customFormat="false" customHeight="1" hidden="" ht="14" outlineLevel="0" r="26354">
      <c r="A26354" s="3" t="inlineStr">
        <is>
          <t>26243</t>
        </is>
      </c>
      <c r="B26354" s="4" t="s">
        <f>=HYPERLINK("http://anyluxury.ru/shop/posuda/termostakany/termostakan-stanley-ceramivac-480-siniy-1080840/" , "10808.40 Термостакан Stanley Ceramivac 480, синий")</f>
      </c>
      <c r="C26354" s="4" t="n">
        <v>2356.00</v>
      </c>
      <c r="D26354" s="4"/>
    </row>
    <row collapsed="" customFormat="false" customHeight="1" hidden="" ht="14" outlineLevel="0" r="26355">
      <c r="A26355" s="3" t="inlineStr">
        <is>
          <t>26244</t>
        </is>
      </c>
      <c r="B26355" s="4" t="s">
        <f>=HYPERLINK("http://anyluxury.ru/shop/posuda/termostakany/termokruzhka-stanley-classic-one-hand-20-malaya-zelenaya-1081090/" , "10810.90 Термокружка Stanley Classic One Hand 2.0, малая, зеленая")</f>
      </c>
      <c r="C26355" s="4" t="n">
        <v>2390.00</v>
      </c>
      <c r="D26355" s="4"/>
    </row>
    <row collapsed="" customFormat="false" customHeight="1" hidden="" ht="14" outlineLevel="0" r="26356">
      <c r="A26356" s="3" t="inlineStr">
        <is>
          <t>26245</t>
        </is>
      </c>
      <c r="B26356" s="4" t="s">
        <f>=HYPERLINK("http://anyluxury.ru/shop/posuda/termostakany/termokruzhka-stanley-classic-one-hand-20-malaya-olivkovaya-1081092/" , "10810.92 Термокружка Stanley Classic One Hand 2.0, малая, оливковая")</f>
      </c>
      <c r="C26356" s="4" t="n">
        <v>2390.00</v>
      </c>
      <c r="D26356" s="4"/>
    </row>
    <row collapsed="" customFormat="false" customHeight="1" hidden="" ht="14" outlineLevel="0" r="26357">
      <c r="A26357" s="3" t="inlineStr">
        <is>
          <t>26246</t>
        </is>
      </c>
      <c r="B26357" s="4" t="s">
        <f>=HYPERLINK("http://anyluxury.ru/shop/posuda/termostakany/termokruzhka-stanley-classic-one-hand-20-malaya-chernaya-1081030/" , "10810.30 Термокружка Stanley Classic One Hand 2.0, малая, черная")</f>
      </c>
      <c r="C26357" s="4" t="n">
        <v>2390.00</v>
      </c>
      <c r="D26357" s="4"/>
    </row>
    <row collapsed="" customFormat="false" customHeight="1" hidden="" ht="14" outlineLevel="0" r="26358">
      <c r="A26358" s="3" t="inlineStr">
        <is>
          <t>26247</t>
        </is>
      </c>
      <c r="B26358" s="4" t="s">
        <f>=HYPERLINK("http://anyluxury.ru/shop/posuda/termostakany/termokruzhka-stanley-classic-twin-lock-zelenaya-1081290/" , "10812.90 Термокружка Stanley Classic Twin Lock, зеленая")</f>
      </c>
      <c r="C26358" s="4" t="n">
        <v>1920.00</v>
      </c>
      <c r="D26358" s="4"/>
    </row>
    <row collapsed="" customFormat="false" customHeight="1" hidden="" ht="14" outlineLevel="0" r="26359">
      <c r="A26359" s="3" t="inlineStr">
        <is>
          <t>26248</t>
        </is>
      </c>
      <c r="B26359" s="4" t="s">
        <f>=HYPERLINK("http://anyluxury.ru/shop/posuda/termostakany/termokruzhka-s-frenchpressom-stanley-classic-temnozelenaya-1081390/" , "10813.90 Термокружка с френч-прессом Stanley Classic, темно-зеленая")</f>
      </c>
      <c r="C26359" s="4" t="n">
        <v>3910.00</v>
      </c>
      <c r="D26359" s="4"/>
    </row>
    <row collapsed="" customFormat="false" customHeight="1" hidden="" ht="14" outlineLevel="0" r="26360">
      <c r="A26360" s="3" t="inlineStr">
        <is>
          <t>26249</t>
        </is>
      </c>
      <c r="B26360" s="4" t="s">
        <f>=HYPERLINK("http://anyluxury.ru/shop/posuda/termostakany/termokruzhka-stanley-mountain-chernaya-1082930/" , "10829.30 Термокружка Stanley Mountain, черная")</f>
      </c>
      <c r="C26360" s="4" t="n">
        <v>2398.00</v>
      </c>
      <c r="D26360" s="4"/>
    </row>
    <row collapsed="" customFormat="false" customHeight="1" hidden="" ht="14" outlineLevel="0" r="26361">
      <c r="A26361" s="3" t="inlineStr">
        <is>
          <t>26250</t>
        </is>
      </c>
      <c r="B26361" s="4" t="s">
        <f>=HYPERLINK("http://anyluxury.ru/shop/posuda/termostakany/termostakan-tralee-siniy-689840/" , "6898.40 Термостакан Tralee, синий")</f>
      </c>
      <c r="C26361" s="4" t="n">
        <v>1497.00</v>
      </c>
      <c r="D26361" s="4"/>
    </row>
    <row collapsed="" customFormat="false" customHeight="1" hidden="" ht="14" outlineLevel="0" r="26362">
      <c r="A26362" s="3" t="inlineStr">
        <is>
          <t>26251</t>
        </is>
      </c>
      <c r="B26362" s="4" t="s">
        <f>=HYPERLINK("http://anyluxury.ru/shop/posuda/termostakany/termostakan-tralee-beliy-689860/" , "6898.60 Термостакан Tralee, белый")</f>
      </c>
      <c r="C26362" s="4" t="n">
        <v>1497.00</v>
      </c>
      <c r="D26362" s="4"/>
    </row>
    <row collapsed="" customFormat="false" customHeight="1" hidden="" ht="14" outlineLevel="0" r="26363">
      <c r="A26363" s="3" t="inlineStr">
        <is>
          <t>26252</t>
        </is>
      </c>
      <c r="B26363" s="4" t="s">
        <f>=HYPERLINK("http://anyluxury.ru/shop/posuda/termostakany/termokruzhka-latte-zelenaya-1315890/" , "13158.90 Термокружка Latte, зеленая")</f>
      </c>
      <c r="C26363" s="4" t="n">
        <v>1000.00</v>
      </c>
      <c r="D26363" s="4"/>
    </row>
    <row collapsed="" customFormat="false" customHeight="1" hidden="" ht="14" outlineLevel="0" r="26364">
      <c r="A26364" s="3" t="inlineStr">
        <is>
          <t>26253</t>
        </is>
      </c>
      <c r="B26364" s="4" t="s">
        <f>=HYPERLINK("http://anyluxury.ru/shop/posuda/termostakany/termokruzhka-latte-sinyaya-1315840/" , "13158.40 Термокружка Latte, синяя")</f>
      </c>
      <c r="C26364" s="4" t="n">
        <v>1000.00</v>
      </c>
      <c r="D26364" s="4"/>
    </row>
    <row collapsed="" customFormat="false" customHeight="1" hidden="" ht="14" outlineLevel="0" r="26365">
      <c r="A26365" s="3" t="inlineStr">
        <is>
          <t>26254</t>
        </is>
      </c>
      <c r="B26365" s="4" t="s">
        <f>=HYPERLINK("http://anyluxury.ru/shop/posuda/termostakany/termokruzhka-aladdin-350-zelenaya-1316190/" , "13161.90 Термокружка Aladdin 350, зеленая")</f>
      </c>
      <c r="C26365" s="4" t="n">
        <v>1610.00</v>
      </c>
      <c r="D26365" s="4"/>
    </row>
    <row collapsed="" customFormat="false" customHeight="1" hidden="" ht="14" outlineLevel="0" r="26366">
      <c r="A26366" s="3" t="inlineStr">
        <is>
          <t>26255</t>
        </is>
      </c>
      <c r="B26366" s="4" t="s">
        <f>=HYPERLINK("http://anyluxury.ru/shop/posuda/termostakany/termokruzhka-leaklock-belaya-1316260/" , "13162.60 Термокружка Leak-Lock, белая")</f>
      </c>
      <c r="C26366" s="4" t="n">
        <v>1900.00</v>
      </c>
      <c r="D26366" s="4"/>
    </row>
    <row collapsed="" customFormat="false" customHeight="1" hidden="" ht="14" outlineLevel="0" r="26367">
      <c r="A26367" s="3" t="inlineStr">
        <is>
          <t>26256</t>
        </is>
      </c>
      <c r="B26367" s="4" t="s">
        <f>=HYPERLINK("http://anyluxury.ru/shop/posuda/termostakany/termokruzhka-leaklock-zelenaya-1316290/" , "13162.90 Термокружка Leak-Lock, зеленая")</f>
      </c>
      <c r="C26367" s="4" t="n">
        <v>1900.00</v>
      </c>
      <c r="D26367" s="4"/>
    </row>
    <row collapsed="" customFormat="false" customHeight="1" hidden="" ht="14" outlineLevel="0" r="26368">
      <c r="A26368" s="3" t="inlineStr">
        <is>
          <t>26257</t>
        </is>
      </c>
      <c r="B26368" s="4" t="s">
        <f>=HYPERLINK("http://anyluxury.ru/shop/posuda/termostakany/termokruzhka-aladdin-470-zelenaya-1316390/" , "13163.90 Термокружка Aladdin 470, зеленая")</f>
      </c>
      <c r="C26368" s="4" t="n">
        <v>1450.00</v>
      </c>
      <c r="D26368" s="4"/>
    </row>
    <row collapsed="" customFormat="false" customHeight="1" hidden="" ht="14" outlineLevel="0" r="26369">
      <c r="A26369" s="3" t="inlineStr">
        <is>
          <t>26258</t>
        </is>
      </c>
      <c r="B26369" s="4" t="s">
        <f>=HYPERLINK("http://anyluxury.ru/shop/posuda/termostakany/termokruzhka-aladdin-470-sinyaya-1316340/" , "13163.40 Термокружка Aladdin 470, синяя")</f>
      </c>
      <c r="C26369" s="4" t="n">
        <v>1450.00</v>
      </c>
      <c r="D26369" s="4"/>
    </row>
    <row collapsed="" customFormat="false" customHeight="1" hidden="" ht="14" outlineLevel="0" r="26370">
      <c r="A26370" s="3" t="inlineStr">
        <is>
          <t>26259</t>
        </is>
      </c>
      <c r="B26370" s="4" t="s">
        <f>=HYPERLINK("http://anyluxury.ru/shop/posuda/termostakany/stakan-iz-pla-dlya-kofe-s-soboy-280-ml-p432892/" , "P432.892 Стакан из PLA для кофе с собой, 280 мл")</f>
      </c>
      <c r="C26370" s="4" t="n">
        <v>929.00</v>
      </c>
      <c r="D26370" s="4"/>
    </row>
    <row collapsed="" customFormat="false" customHeight="1" hidden="" ht="14" outlineLevel="0" r="26371">
      <c r="A26371" s="3" t="inlineStr">
        <is>
          <t>26260</t>
        </is>
      </c>
      <c r="B26371" s="4" t="s">
        <f>=HYPERLINK("http://anyluxury.ru/shop/posuda/termostakany/mnogorazoviy-stakan-dlya-kofe-s-dvoynimi-stenkami-300-ml-p432695/" , "P432.695 Стакан для кофе с двойными стенками, 300 мл")</f>
      </c>
      <c r="C26371" s="4" t="n">
        <v>529.00</v>
      </c>
      <c r="D26371" s="4"/>
    </row>
    <row collapsed="" customFormat="false" customHeight="1" hidden="" ht="14" outlineLevel="0" r="26372">
      <c r="A26372" s="3" t="inlineStr">
        <is>
          <t>26261</t>
        </is>
      </c>
      <c r="B26372" s="4" t="s">
        <f>=HYPERLINK("http://anyluxury.ru/shop/posuda/termostakany/termobutilka-vakuumnaya-germetichnaya-portobello-garda-530-ml-belaya-201521100/" , "201521.100 Термобутылка вакуумная герметичная Garda, белая")</f>
      </c>
      <c r="C26372" s="4" t="n">
        <v>1105.00</v>
      </c>
      <c r="D26372" s="4"/>
    </row>
    <row collapsed="" customFormat="false" customHeight="1" hidden="" ht="14" outlineLevel="0" r="26373">
      <c r="A26373" s="3" t="inlineStr">
        <is>
          <t>26262</t>
        </is>
      </c>
      <c r="B26373" s="4" t="s">
        <f>=HYPERLINK("http://anyluxury.ru/shop/posuda/termostakany/termobutilka-vakuumnaya-germetichnaya-portobello-lago-530-ml-belayaseraya-201526100080/" , "201526.100.080 Термобутылка вакуумная герметичная Portobello, Lago, 530 ml, белая-серая")</f>
      </c>
      <c r="C26373" s="4" t="n">
        <v>1175.00</v>
      </c>
      <c r="D26373" s="4"/>
    </row>
    <row collapsed="" customFormat="false" customHeight="1" hidden="" ht="14" outlineLevel="0" r="26374">
      <c r="A26374" s="3" t="inlineStr">
        <is>
          <t>26263</t>
        </is>
      </c>
      <c r="B26374" s="4" t="s">
        <f>=HYPERLINK("http://anyluxury.ru/shop/posuda/termostakany/termobutilka-vakuumnaya-germetichnaya-portobello-lago-530-ml-sinyaya-201526030/" , "201526.030 Термобутылка вакуумная герметичная Portobello, Lago, 530 ml, синяя")</f>
      </c>
      <c r="C26374" s="4" t="n">
        <v>1175.00</v>
      </c>
      <c r="D26374" s="4"/>
    </row>
    <row collapsed="" customFormat="false" customHeight="1" hidden="" ht="14" outlineLevel="0" r="26375">
      <c r="A26375" s="3" t="inlineStr">
        <is>
          <t>26264</t>
        </is>
      </c>
      <c r="B26375" s="4" t="s">
        <f>=HYPERLINK("http://anyluxury.ru/shop/posuda/termostakany/termobutilka-vakuumnaya-germetichnaya-portobello-somo-350-ml-akva-201528600/" , "201528.600 Термобутылка вакуумная герметичная Portobello, Сomo, 350 ml, аква")</f>
      </c>
      <c r="C26375" s="4" t="n">
        <v>1273.00</v>
      </c>
      <c r="D26375" s="4"/>
    </row>
    <row collapsed="" customFormat="false" customHeight="1" hidden="" ht="14" outlineLevel="0" r="26376">
      <c r="A26376" s="3" t="inlineStr">
        <is>
          <t>26265</t>
        </is>
      </c>
      <c r="B26376" s="4" t="s">
        <f>=HYPERLINK("http://anyluxury.ru/shop/posuda/termostakany/termobutilka-vakuumnaya-germetichnaya-portobello-somo-350-ml-seraya-201528080/" , "201528.080 Термобутылка вакуумная герметичная Portobello, Сomo, 350 ml, серая")</f>
      </c>
      <c r="C26376" s="4" t="n">
        <v>1273.00</v>
      </c>
      <c r="D26376" s="4"/>
    </row>
    <row collapsed="" customFormat="false" customHeight="1" hidden="" ht="14" outlineLevel="0" r="26377">
      <c r="A26377" s="3" t="inlineStr">
        <is>
          <t>26266</t>
        </is>
      </c>
      <c r="B26377" s="4" t="s">
        <f>=HYPERLINK("http://anyluxury.ru/shop/posuda/termostakany/termobutilka-vakuumnaya-germetichnaya-portobello-somo-350-ml-sinyaya-201528030/" , "201528.030 Термобутылка вакуумная герметичная Portobello, Сomo, 350 ml, синяя")</f>
      </c>
      <c r="C26377" s="4" t="n">
        <v>1273.00</v>
      </c>
      <c r="D26377" s="4"/>
    </row>
    <row collapsed="" customFormat="false" customHeight="1" hidden="" ht="14" outlineLevel="0" r="26378">
      <c r="A26378" s="3" t="inlineStr">
        <is>
          <t>26267</t>
        </is>
      </c>
      <c r="B26378" s="4" t="s">
        <f>=HYPERLINK("http://anyluxury.ru/shop/posuda/termostakany/termokruzhka-liberty-canteen-chernaya-s-zolotistim-1182000/" , "11820.00 Термокружка Liberty Canteen, черная с золотистым")</f>
      </c>
      <c r="C26378" s="4" t="n">
        <v>1890.00</v>
      </c>
      <c r="D26378" s="4"/>
    </row>
    <row collapsed="" customFormat="false" customHeight="1" hidden="" ht="14" outlineLevel="0" r="26379">
      <c r="A26379" s="3" t="inlineStr">
        <is>
          <t>26268</t>
        </is>
      </c>
      <c r="B26379" s="4" t="s">
        <f>=HYPERLINK("http://anyluxury.ru/shop/posuda/termostakany/termokruzhka-liberty-canteen-chernaya-so-stalnim-1182013/" , "11820.13 Термокружка Liberty Canteen, черная со стальным")</f>
      </c>
      <c r="C26379" s="4" t="n">
        <v>1890.00</v>
      </c>
      <c r="D26379" s="4"/>
    </row>
    <row collapsed="" customFormat="false" customHeight="1" hidden="" ht="14" outlineLevel="0" r="26380">
      <c r="A26380" s="3" t="inlineStr">
        <is>
          <t>26269</t>
        </is>
      </c>
      <c r="B26380" s="4" t="s">
        <f>=HYPERLINK("http://anyluxury.ru/shop/posuda/termostakany/termokruzhka-liberty-canteen-chernaya-s-serim-1182011/" , "11820.11 Термокружка Liberty Canteen, черная с серым")</f>
      </c>
      <c r="C26380" s="4" t="n">
        <v>1890.00</v>
      </c>
      <c r="D26380" s="4"/>
    </row>
    <row collapsed="" customFormat="false" customHeight="1" hidden="" ht="14" outlineLevel="0" r="26381">
      <c r="A26381" s="3" t="inlineStr">
        <is>
          <t>26270</t>
        </is>
      </c>
      <c r="B26381" s="4" t="s">
        <f>=HYPERLINK("http://anyluxury.ru/shop/posuda/termostakany/termokruzhka-mini-diva-chernaya-1182130/" , "11821.30 Термокружка Mini Diva, черная")</f>
      </c>
      <c r="C26381" s="4" t="n">
        <v>1400.00</v>
      </c>
      <c r="D26381" s="4"/>
    </row>
    <row collapsed="" customFormat="false" customHeight="1" hidden="" ht="14" outlineLevel="0" r="26382">
      <c r="A26382" s="3" t="inlineStr">
        <is>
          <t>26271</t>
        </is>
      </c>
      <c r="B26382" s="4" t="s">
        <f>=HYPERLINK("http://anyluxury.ru/shop/posuda/termostakany/termokruzhka-mini-diva-oranzhevaya-1182120/" , "11821.20 Термокружка Mini Diva, оранжевая")</f>
      </c>
      <c r="C26382" s="4" t="n">
        <v>1400.00</v>
      </c>
      <c r="D26382" s="4"/>
    </row>
    <row collapsed="" customFormat="false" customHeight="1" hidden="" ht="14" outlineLevel="0" r="26383">
      <c r="A26383" s="3" t="inlineStr">
        <is>
          <t>26272</t>
        </is>
      </c>
      <c r="B26383" s="4" t="s">
        <f>=HYPERLINK("http://anyluxury.ru/shop/posuda/termostakany/termokruzhka-mini-diva-golubaya-1182114/" , "11821.14 Термокружка Mini Diva, голубая")</f>
      </c>
      <c r="C26383" s="4" t="n">
        <v>1400.00</v>
      </c>
      <c r="D26383" s="4"/>
    </row>
    <row collapsed="" customFormat="false" customHeight="1" hidden="" ht="14" outlineLevel="0" r="26384">
      <c r="A26384" s="3" t="inlineStr">
        <is>
          <t>26273</t>
        </is>
      </c>
      <c r="B26384" s="4" t="s">
        <f>=HYPERLINK("http://anyluxury.ru/shop/posuda/termostakany/termokruzhka-mini-diva-belaya-1182160/" , "11821.60 Термокружка Mini Diva, белая")</f>
      </c>
      <c r="C26384" s="4" t="n">
        <v>1400.00</v>
      </c>
      <c r="D26384" s="4"/>
    </row>
    <row collapsed="" customFormat="false" customHeight="1" hidden="" ht="14" outlineLevel="0" r="26385">
      <c r="A26385" s="3" t="inlineStr">
        <is>
          <t>26274</t>
        </is>
      </c>
      <c r="B26385" s="4" t="s">
        <f>=HYPERLINK("http://anyluxury.ru/shop/posuda/termostakany/termokruzhka-easy-access-sinyaya-1182240/" , "11822.40 Термокружка Easy Access, синяя")</f>
      </c>
      <c r="C26385" s="4" t="n">
        <v>2450.00</v>
      </c>
      <c r="D26385" s="4"/>
    </row>
    <row collapsed="" customFormat="false" customHeight="1" hidden="" ht="14" outlineLevel="0" r="26386">
      <c r="A26386" s="3" t="inlineStr">
        <is>
          <t>26275</t>
        </is>
      </c>
      <c r="B26386" s="4" t="s">
        <f>=HYPERLINK("http://anyluxury.ru/shop/posuda/termostakany/termokruzhka-easy-access-krasnaya-1182250/" , "11822.50 Термокружка Easy Access, красная")</f>
      </c>
      <c r="C26386" s="4" t="n">
        <v>2450.00</v>
      </c>
      <c r="D26386" s="4"/>
    </row>
    <row collapsed="" customFormat="false" customHeight="1" hidden="" ht="14" outlineLevel="0" r="26387">
      <c r="A26387" s="3" t="inlineStr">
        <is>
          <t>26276</t>
        </is>
      </c>
      <c r="B26387" s="4" t="s">
        <f>=HYPERLINK("http://anyluxury.ru/shop/posuda/termostakany/termokruzhka-easy-access-serebristaya-1182211/" , "11822.11 Термокружка Easy Access, серебристая")</f>
      </c>
      <c r="C26387" s="4" t="n">
        <v>2450.00</v>
      </c>
      <c r="D26387" s="4"/>
    </row>
    <row collapsed="" customFormat="false" customHeight="1" hidden="" ht="14" outlineLevel="0" r="26388">
      <c r="A26388" s="3" t="inlineStr">
        <is>
          <t>26277</t>
        </is>
      </c>
      <c r="B26388" s="4" t="s">
        <f>=HYPERLINK("http://anyluxury.ru/shop/posuda/termostakany/termokruzhka-easy-access-belaya-1182260/" , "11822.60 Термокружка Easy Access, белая")</f>
      </c>
      <c r="C26388" s="4" t="n">
        <v>2450.00</v>
      </c>
      <c r="D26388" s="4"/>
    </row>
    <row collapsed="" customFormat="false" customHeight="1" hidden="" ht="14" outlineLevel="0" r="26389">
      <c r="A26389" s="3" t="inlineStr">
        <is>
          <t>26278</t>
        </is>
      </c>
      <c r="B26389" s="4" t="s">
        <f>=HYPERLINK("http://anyluxury.ru/shop/posuda/termostakany/termostakan-relief-cherniy-s-sinim-1075934/" , "10759.34 Термостакан Relief, черный с синим")</f>
      </c>
      <c r="C26389" s="4" t="n">
        <v>848.00</v>
      </c>
      <c r="D26389" s="4"/>
    </row>
    <row collapsed="" customFormat="false" customHeight="1" hidden="" ht="14" outlineLevel="0" r="26390">
      <c r="A26390" s="3" t="inlineStr">
        <is>
          <t>26279</t>
        </is>
      </c>
      <c r="B26390" s="4" t="s">
        <f>=HYPERLINK("http://anyluxury.ru/shop/posuda/termostakany/termokruzhka-vakuumnaya-portobello-palermo-480-ml-akva-208002600/" , "208002.600 Термокружка вакуумная Palermo, аква")</f>
      </c>
      <c r="C26390" s="4" t="n">
        <v>1519.00</v>
      </c>
      <c r="D26390" s="4"/>
    </row>
    <row collapsed="" customFormat="false" customHeight="1" hidden="" ht="14" outlineLevel="0" r="26391">
      <c r="A26391" s="3" t="inlineStr">
        <is>
          <t>26280</t>
        </is>
      </c>
      <c r="B26391" s="4" t="s">
        <f>=HYPERLINK("http://anyluxury.ru/shop/posuda/termostakany/termokruzhka-vakuumnaya-portobello-palermo-480-ml-belaya-208002100/" , "208002.100 Термокружка вакуумная Palermo, белая")</f>
      </c>
      <c r="C26391" s="4" t="n">
        <v>1519.00</v>
      </c>
      <c r="D26391" s="4"/>
    </row>
    <row collapsed="" customFormat="false" customHeight="1" hidden="" ht="14" outlineLevel="0" r="26392">
      <c r="A26392" s="3" t="inlineStr">
        <is>
          <t>26281</t>
        </is>
      </c>
      <c r="B26392" s="4" t="s">
        <f>=HYPERLINK("http://anyluxury.ru/shop/posuda/termostakany/termokruzhka-vakuumnaya-portobello-palermo-480-ml-seraya-208002080/" , "208002.080 Термокружка вакуумная Palermo, серая")</f>
      </c>
      <c r="C26392" s="4" t="n">
        <v>1519.00</v>
      </c>
      <c r="D26392" s="4"/>
    </row>
    <row collapsed="" customFormat="false" customHeight="1" hidden="" ht="14" outlineLevel="0" r="26393">
      <c r="A26393" s="3" t="inlineStr">
        <is>
          <t>26282</t>
        </is>
      </c>
      <c r="B26393" s="4" t="s">
        <f>=HYPERLINK("http://anyluxury.ru/shop/posuda/termostakany/termokruzhka-vakuumnaya-portobello-palermo-480-ml-sinyaya-208002030/" , "208002.030 Термокружка вакуумная Palermo, синяя")</f>
      </c>
      <c r="C26393" s="4" t="n">
        <v>1519.00</v>
      </c>
      <c r="D26393" s="4"/>
    </row>
    <row collapsed="" customFormat="false" customHeight="1" hidden="" ht="14" outlineLevel="0" r="26394">
      <c r="A26394" s="3" t="inlineStr">
        <is>
          <t>26283</t>
        </is>
      </c>
      <c r="B26394" s="4" t="s">
        <f>=HYPERLINK("http://anyluxury.ru/shop/posuda/termostakany/termokruzhka-vakuumnaya-portobello-palermo-480-ml-chernaya-208002010/" , "208002.010 Термокружка вакуумная Palermo, черная")</f>
      </c>
      <c r="C26394" s="4" t="n">
        <v>1519.00</v>
      </c>
      <c r="D26394" s="4"/>
    </row>
    <row collapsed="" customFormat="false" customHeight="1" hidden="" ht="14" outlineLevel="0" r="26395">
      <c r="A26395" s="3" t="inlineStr">
        <is>
          <t>26284</t>
        </is>
      </c>
      <c r="B26395" s="4" t="s">
        <f>=HYPERLINK("http://anyluxury.ru/shop/posuda/termostakany/termokruzhka-vakuumnaya-portobello-palermo-480-ml-akva-2080026002/" , "208002.600.2 Термокружка вакуумная Portobello, Palermo, 480 ml, аква")</f>
      </c>
      <c r="C26395" s="4" t="n">
        <v>0.00</v>
      </c>
      <c r="D26395" s="4"/>
    </row>
    <row collapsed="" customFormat="false" customHeight="1" hidden="" ht="14" outlineLevel="0" r="26396">
      <c r="A26396" s="3" t="inlineStr">
        <is>
          <t>26285</t>
        </is>
      </c>
      <c r="B26396" s="4" t="s">
        <f>=HYPERLINK("http://anyluxury.ru/shop/posuda/termostakany/termokruzhka-vakuumnaya-portobello-viva-400-ml-belaya-19901100/" , "19901.100 Термокружка вакуумная Portobello, Viva, 400 ml, белая")</f>
      </c>
      <c r="C26396" s="4" t="n">
        <v>980.00</v>
      </c>
      <c r="D26396" s="4"/>
    </row>
    <row collapsed="" customFormat="false" customHeight="1" hidden="" ht="14" outlineLevel="0" r="26397">
      <c r="A26397" s="3" t="inlineStr">
        <is>
          <t>26286</t>
        </is>
      </c>
      <c r="B26397" s="4" t="s">
        <f>=HYPERLINK("http://anyluxury.ru/shop/posuda/termostakany/termokruzhka-vakuumnaya-germetichnaya-portobello-baleo-450-ml-matovoe-pokritie-chernaya-20043010/" , "20043.010 Термокружка вакуумная герметичная Baleo, черная")</f>
      </c>
      <c r="C26397" s="4" t="n">
        <v>1925.00</v>
      </c>
      <c r="D26397" s="4"/>
    </row>
    <row collapsed="" customFormat="false" customHeight="1" hidden="" ht="14" outlineLevel="0" r="26398">
      <c r="A26398" s="3" t="inlineStr">
        <is>
          <t>26287</t>
        </is>
      </c>
      <c r="B26398" s="4" t="s">
        <f>=HYPERLINK("http://anyluxury.ru/shop/posuda/termostakany/termokruzhka-vakuumnaya-portobello-crown-590-ml-matovoe-pokritie-chernaya-205391010/" , "205391.010 Термокружка вакуумная Crown, черная")</f>
      </c>
      <c r="C26398" s="4" t="n">
        <v>1485.00</v>
      </c>
      <c r="D26398" s="4"/>
    </row>
    <row collapsed="" customFormat="false" customHeight="1" hidden="" ht="14" outlineLevel="0" r="26399">
      <c r="A26399" s="3" t="inlineStr">
        <is>
          <t>26288</t>
        </is>
      </c>
      <c r="B26399" s="4" t="s">
        <f>=HYPERLINK("http://anyluxury.ru/shop/posuda/termostakany/termokruzhka-zoku-belaya-1262560/" , "12625.60 Термокружка Zoku, белая")</f>
      </c>
      <c r="C26399" s="4" t="n">
        <v>2990.00</v>
      </c>
      <c r="D26399" s="4"/>
    </row>
    <row collapsed="" customFormat="false" customHeight="1" hidden="" ht="14" outlineLevel="0" r="26400">
      <c r="A26400" s="3" t="inlineStr">
        <is>
          <t>26289</t>
        </is>
      </c>
      <c r="B26400" s="4" t="s">
        <f>=HYPERLINK("http://anyluxury.ru/shop/posuda/termostakany/termokruzhka-zoku-biryuzovaya-1262542/" , "12625.42 Термокружка Zoku, бирюзовая")</f>
      </c>
      <c r="C26400" s="4" t="n">
        <v>2490.00</v>
      </c>
      <c r="D26400" s="4"/>
    </row>
    <row collapsed="" customFormat="false" customHeight="1" hidden="" ht="14" outlineLevel="0" r="26401">
      <c r="A26401" s="3" t="inlineStr">
        <is>
          <t>26290</t>
        </is>
      </c>
      <c r="B26401" s="4" t="s">
        <f>=HYPERLINK("http://anyluxury.ru/shop/posuda/termostakany/termokruzhka-zoku-golubaya-1262514/" , "12625.14 Термокружка Zoku, голубая")</f>
      </c>
      <c r="C26401" s="4" t="n">
        <v>2490.00</v>
      </c>
      <c r="D26401" s="4"/>
    </row>
    <row collapsed="" customFormat="false" customHeight="1" hidden="" ht="14" outlineLevel="0" r="26402">
      <c r="A26402" s="3" t="inlineStr">
        <is>
          <t>26291</t>
        </is>
      </c>
      <c r="B26402" s="4" t="s">
        <f>=HYPERLINK("http://anyluxury.ru/shop/posuda/termostakany/termokruzhka-zoku-stalnaya-1262511/" , "12625.11 Термокружка Zoku, стальная")</f>
      </c>
      <c r="C26402" s="4" t="n">
        <v>2990.00</v>
      </c>
      <c r="D26402" s="4"/>
    </row>
    <row collapsed="" customFormat="false" customHeight="1" hidden="" ht="14" outlineLevel="0" r="26403">
      <c r="A26403" s="3" t="inlineStr">
        <is>
          <t>26292</t>
        </is>
      </c>
      <c r="B26403" s="4" t="s">
        <f>=HYPERLINK("http://anyluxury.ru/shop/posuda/termostakany/termokruzhka-zoku-seraya-1262510/" , "12625.10 Термокружка Zoku, серая")</f>
      </c>
      <c r="C26403" s="4" t="n">
        <v>2990.00</v>
      </c>
      <c r="D26403" s="4"/>
    </row>
    <row collapsed="" customFormat="false" customHeight="1" hidden="" ht="14" outlineLevel="0" r="26404">
      <c r="A26404" s="3" t="inlineStr">
        <is>
          <t>26293</t>
        </is>
      </c>
      <c r="B26404" s="4" t="s">
        <f>=HYPERLINK("http://anyluxury.ru/shop/posuda/termostakany/termokruzhka-zoku-fioletovaya-1262570/" , "12625.70 Термокружка Zoku, фиолетовая")</f>
      </c>
      <c r="C26404" s="4" t="n">
        <v>2490.00</v>
      </c>
      <c r="D26404" s="4"/>
    </row>
    <row collapsed="" customFormat="false" customHeight="1" hidden="" ht="14" outlineLevel="0" r="26405">
      <c r="A26405" s="3" t="inlineStr">
        <is>
          <t>26294</t>
        </is>
      </c>
      <c r="B26405" s="4" t="s">
        <f>=HYPERLINK("http://anyluxury.ru/shop/posuda/termostakany/termokruzhka-vakuumnaya-portobello-viva-400-ml-belaya-20901100/" , "20901.100 Термокружка вакуумная Viva, белая")</f>
      </c>
      <c r="C26405" s="4" t="n">
        <v>1510.00</v>
      </c>
      <c r="D26405" s="4"/>
    </row>
    <row collapsed="" customFormat="false" customHeight="1" hidden="" ht="14" outlineLevel="0" r="26406">
      <c r="A26406" s="3" t="inlineStr">
        <is>
          <t>26295</t>
        </is>
      </c>
      <c r="B26406" s="4" t="s">
        <f>=HYPERLINK("http://anyluxury.ru/shop/posuda/termostakany/termokruzhka-nordic-kitchen-chernaya-1497230/" , "14972.30 Термокружка Nordic Kitchen, черная")</f>
      </c>
      <c r="C26406" s="4" t="n">
        <v>7090.00</v>
      </c>
      <c r="D26406" s="4"/>
    </row>
    <row collapsed="" customFormat="false" customHeight="1" hidden="" ht="14" outlineLevel="0" r="26407">
      <c r="A26407" s="3" t="inlineStr">
        <is>
          <t>26296</t>
        </is>
      </c>
      <c r="B26407" s="4" t="s">
        <f>=HYPERLINK("http://anyluxury.ru/shop/posuda/termostakany/termokruzhka-eva-solo-to-go-biryuzovaya-1497744/" , "14977.44 Термокружка Eva Solo To Go, бирюзовая")</f>
      </c>
      <c r="C26407" s="4" t="n">
        <v>3350.00</v>
      </c>
      <c r="D26407" s="4"/>
    </row>
    <row collapsed="" customFormat="false" customHeight="1" hidden="" ht="14" outlineLevel="0" r="26408">
      <c r="A26408" s="3" t="inlineStr">
        <is>
          <t>26297</t>
        </is>
      </c>
      <c r="B26408" s="4" t="s">
        <f>=HYPERLINK("http://anyluxury.ru/shop/posuda/termostakany/termokruzhka-eva-solo-to-go-golubaya-1497741/" , "14977.41 Термокружка Eva Solo To Go, голубая")</f>
      </c>
      <c r="C26408" s="4" t="n">
        <v>3850.00</v>
      </c>
      <c r="D26408" s="4"/>
    </row>
    <row collapsed="" customFormat="false" customHeight="1" hidden="" ht="14" outlineLevel="0" r="26409">
      <c r="A26409" s="3" t="inlineStr">
        <is>
          <t>26298</t>
        </is>
      </c>
      <c r="B26409" s="4" t="s">
        <f>=HYPERLINK("http://anyluxury.ru/shop/posuda/termostakany/termokruzhka-eva-solo-to-go-seraya-1497713/" , "14977.13 Термокружка Eva Solo To Go, серая")</f>
      </c>
      <c r="C26409" s="4" t="n">
        <v>3850.00</v>
      </c>
      <c r="D26409" s="4"/>
    </row>
    <row collapsed="" customFormat="false" customHeight="1" hidden="" ht="14" outlineLevel="0" r="26410">
      <c r="A26410" s="3" t="inlineStr">
        <is>
          <t>26299</t>
        </is>
      </c>
      <c r="B26410" s="4" t="s">
        <f>=HYPERLINK("http://anyluxury.ru/shop/posuda/termostakany/termokruzhka-eva-solo-to-go-svetlooranzhevaya-1497721/" , "14977.21 Термокружка Eva Solo To Go, светло-оранжевая")</f>
      </c>
      <c r="C26410" s="4" t="n">
        <v>3850.00</v>
      </c>
      <c r="D26410" s="4"/>
    </row>
    <row collapsed="" customFormat="false" customHeight="1" hidden="" ht="14" outlineLevel="0" r="26411">
      <c r="A26411" s="3" t="inlineStr">
        <is>
          <t>26300</t>
        </is>
      </c>
      <c r="B26411" s="4" t="s">
        <f>=HYPERLINK("http://anyluxury.ru/shop/posuda/termostakany/termokruzhka-eva-solo-to-go-svetloseraya-1497716/" , "14977.16 Термокружка Eva Solo To Go, светло-серая")</f>
      </c>
      <c r="C26411" s="4" t="n">
        <v>3350.00</v>
      </c>
      <c r="D26411" s="4"/>
    </row>
    <row collapsed="" customFormat="false" customHeight="1" hidden="" ht="14" outlineLevel="0" r="26412">
      <c r="A26412" s="3" t="inlineStr">
        <is>
          <t>26301</t>
        </is>
      </c>
      <c r="B26412" s="4" t="s">
        <f>=HYPERLINK("http://anyluxury.ru/shop/posuda/termostakany/termokruzhka-eva-solo-to-go-svetlozelenaya-1497794/" , "14977.94 Термокружка Eva Solo To Go, светло-зеленая")</f>
      </c>
      <c r="C26412" s="4" t="n">
        <v>3350.00</v>
      </c>
      <c r="D26412" s="4"/>
    </row>
    <row collapsed="" customFormat="false" customHeight="1" hidden="" ht="14" outlineLevel="0" r="26413">
      <c r="A26413" s="3" t="inlineStr">
        <is>
          <t>26302</t>
        </is>
      </c>
      <c r="B26413" s="4" t="s">
        <f>=HYPERLINK("http://anyluxury.ru/shop/posuda/termostakany/termokruzhka-eva-solo-to-go-svetlosinyaya-1497740/" , "14977.40 Термокружка Eva Solo To Go, светло-синяя")</f>
      </c>
      <c r="C26413" s="4" t="n">
        <v>3350.00</v>
      </c>
      <c r="D26413" s="4"/>
    </row>
    <row collapsed="" customFormat="false" customHeight="1" hidden="" ht="14" outlineLevel="0" r="26414">
      <c r="A26414" s="3" t="inlineStr">
        <is>
          <t>26303</t>
        </is>
      </c>
      <c r="B26414" s="4" t="s">
        <f>=HYPERLINK("http://anyluxury.ru/shop/posuda/termostakany/termokruzhka-eva-solo-to-go-temnoseraya-1497711/" , "14977.11 Термокружка Eva Solo To Go, темно-серая")</f>
      </c>
      <c r="C26414" s="4" t="n">
        <v>3850.00</v>
      </c>
      <c r="D26414" s="4"/>
    </row>
    <row collapsed="" customFormat="false" customHeight="1" hidden="" ht="14" outlineLevel="0" r="26415">
      <c r="A26415" s="3" t="inlineStr">
        <is>
          <t>26304</t>
        </is>
      </c>
      <c r="B26415" s="4" t="s">
        <f>=HYPERLINK("http://anyluxury.ru/shop/posuda/termostakany/termokruzhka-eva-solo-to-go-temnosinyaya-1497743/" , "14977.43 Термокружка Eva Solo To Go, темно-синяя")</f>
      </c>
      <c r="C26415" s="4" t="n">
        <v>3850.00</v>
      </c>
      <c r="D26415" s="4"/>
    </row>
    <row collapsed="" customFormat="false" customHeight="1" hidden="" ht="14" outlineLevel="0" r="26416">
      <c r="A26416" s="3" t="inlineStr">
        <is>
          <t>26305</t>
        </is>
      </c>
      <c r="B26416" s="4" t="s">
        <f>=HYPERLINK("http://anyluxury.ru/shop/posuda/termostakany/termokruzhka-eva-solo-to-go-chernaya-1497730/" , "14977.30 Термокружка Eva Solo To Go, черная")</f>
      </c>
      <c r="C26416" s="4" t="n">
        <v>4240.00</v>
      </c>
      <c r="D26416" s="4"/>
    </row>
    <row collapsed="" customFormat="false" customHeight="1" hidden="" ht="14" outlineLevel="0" r="26417">
      <c r="A26417" s="3" t="inlineStr">
        <is>
          <t>26306</t>
        </is>
      </c>
      <c r="B26417" s="4" t="s">
        <f>=HYPERLINK("http://anyluxury.ru/shop/posuda/termostakany/termokruzhka-urban-to-go-bezhevaya-1497800/" , "14978.00 Термокружка Urban To Go, бежевая")</f>
      </c>
      <c r="C26417" s="4" t="n">
        <v>3350.00</v>
      </c>
      <c r="D26417" s="4"/>
    </row>
    <row collapsed="" customFormat="false" customHeight="1" hidden="" ht="14" outlineLevel="0" r="26418">
      <c r="A26418" s="3" t="inlineStr">
        <is>
          <t>26307</t>
        </is>
      </c>
      <c r="B26418" s="4" t="s">
        <f>=HYPERLINK("http://anyluxury.ru/shop/posuda/termostakany/termokruzhka-urban-to-go-golubaya-1497814/" , "14978.14 Термокружка Urban To Go, голубая")</f>
      </c>
      <c r="C26418" s="4" t="n">
        <v>3850.00</v>
      </c>
      <c r="D26418" s="4"/>
    </row>
    <row collapsed="" customFormat="false" customHeight="1" hidden="" ht="14" outlineLevel="0" r="26419">
      <c r="A26419" s="3" t="inlineStr">
        <is>
          <t>26308</t>
        </is>
      </c>
      <c r="B26419" s="4" t="s">
        <f>=HYPERLINK("http://anyluxury.ru/shop/posuda/termostakany/termokruzhka-urban-to-go-svetlooranzhevaya-1497821/" , "14978.21 Термокружка Urban To Go, светло-оранжевая")</f>
      </c>
      <c r="C26419" s="4" t="n">
        <v>3850.00</v>
      </c>
      <c r="D26419" s="4"/>
    </row>
    <row collapsed="" customFormat="false" customHeight="1" hidden="" ht="14" outlineLevel="0" r="26420">
      <c r="A26420" s="3" t="inlineStr">
        <is>
          <t>26309</t>
        </is>
      </c>
      <c r="B26420" s="4" t="s">
        <f>=HYPERLINK("http://anyluxury.ru/shop/posuda/termostakany/termokruzhka-urban-to-go-seraya-1497811/" , "14978.11 Термокружка Urban To Go, серая")</f>
      </c>
      <c r="C26420" s="4" t="n">
        <v>4890.00</v>
      </c>
      <c r="D26420" s="4"/>
    </row>
    <row collapsed="" customFormat="false" customHeight="1" hidden="" ht="14" outlineLevel="0" r="26421">
      <c r="A26421" s="3" t="inlineStr">
        <is>
          <t>26310</t>
        </is>
      </c>
      <c r="B26421" s="4" t="s">
        <f>=HYPERLINK("http://anyluxury.ru/shop/posuda/termostakany/termokruzhka-aroma-to-go-20-organic-rozovaya-1353451/" , "13534.51 Термокружка Aroma To Go 2.0 Organic, розовая")</f>
      </c>
      <c r="C26421" s="4" t="n">
        <v>1850.00</v>
      </c>
      <c r="D26421" s="4"/>
    </row>
    <row collapsed="" customFormat="false" customHeight="1" hidden="" ht="14" outlineLevel="0" r="26422">
      <c r="A26422" s="3" t="inlineStr">
        <is>
          <t>26311</t>
        </is>
      </c>
      <c r="B26422" s="4" t="s">
        <f>=HYPERLINK("http://anyluxury.ru/shop/posuda/termostakany/termokruzhka-aroma-to-go-20-organic-sinyaya-1353440/" , "13534.40 Термокружка Aroma To Go 2.0 Organic, синяя")</f>
      </c>
      <c r="C26422" s="4" t="n">
        <v>1850.00</v>
      </c>
      <c r="D26422" s="4"/>
    </row>
    <row collapsed="" customFormat="false" customHeight="1" hidden="" ht="14" outlineLevel="0" r="26423">
      <c r="A26423" s="3" t="inlineStr">
        <is>
          <t>26312</t>
        </is>
      </c>
      <c r="B26423" s="4" t="s">
        <f>=HYPERLINK("http://anyluxury.ru/shop/posuda/termostakany/termokruzhka-aroma-to-go-20-organic-zelenaya-1353490/" , "13534.90 Термокружка Aroma To Go 2.0 Organic, зеленая")</f>
      </c>
      <c r="C26423" s="4" t="n">
        <v>1850.00</v>
      </c>
      <c r="D26423" s="4"/>
    </row>
    <row collapsed="" customFormat="false" customHeight="1" hidden="" ht="14" outlineLevel="0" r="26424">
      <c r="A26424" s="3" t="inlineStr">
        <is>
          <t>26313</t>
        </is>
      </c>
      <c r="B26424" s="4" t="s">
        <f>=HYPERLINK("http://anyluxury.ru/shop/posuda/termostakany/termokruzhka-aroma-to-go-20-organic-seraya-1353411/" , "13534.11 Термокружка Aroma To Go 2.0 Organic, серая")</f>
      </c>
      <c r="C26424" s="4" t="n">
        <v>1850.00</v>
      </c>
      <c r="D26424" s="4"/>
    </row>
    <row collapsed="" customFormat="false" customHeight="1" hidden="" ht="14" outlineLevel="0" r="26425">
      <c r="A26425" s="3" t="inlineStr">
        <is>
          <t>26314</t>
        </is>
      </c>
      <c r="B26425" s="4" t="s">
        <f>=HYPERLINK("http://anyluxury.ru/shop/posuda/termostakany/termokruzhka-aroma-to-go-20-chernaya-1353430/" , "13534.30 Термокружка Aroma To Go 2.0, черная")</f>
      </c>
      <c r="C26425" s="4" t="n">
        <v>1250.00</v>
      </c>
      <c r="D26425" s="4"/>
    </row>
    <row collapsed="" customFormat="false" customHeight="1" hidden="" ht="14" outlineLevel="0" r="26426">
      <c r="A26426" s="3" t="inlineStr">
        <is>
          <t>26315</t>
        </is>
      </c>
      <c r="B26426" s="4" t="s">
        <f>=HYPERLINK("http://anyluxury.ru/shop/posuda/termostakany/termokruzhka-safe-to-go-zelenaya-1353590/" , "13535.90 Термокружка Safe To Go, зеленая")</f>
      </c>
      <c r="C26426" s="4" t="n">
        <v>1390.00</v>
      </c>
      <c r="D26426" s="4"/>
    </row>
    <row collapsed="" customFormat="false" customHeight="1" hidden="" ht="14" outlineLevel="0" r="26427">
      <c r="A26427" s="3" t="inlineStr">
        <is>
          <t>26316</t>
        </is>
      </c>
      <c r="B26427" s="4" t="s">
        <f>=HYPERLINK("http://anyluxury.ru/shop/posuda/termostakany/termokruzhka-safe-to-go-rozovaya-1353551/" , "13535.51 Термокружка Safe To Go, розовая")</f>
      </c>
      <c r="C26427" s="4" t="n">
        <v>1630.00</v>
      </c>
      <c r="D26427" s="4"/>
    </row>
    <row collapsed="" customFormat="false" customHeight="1" hidden="" ht="14" outlineLevel="0" r="26428">
      <c r="A26428" s="3" t="inlineStr">
        <is>
          <t>26317</t>
        </is>
      </c>
      <c r="B26428" s="4" t="s">
        <f>=HYPERLINK("http://anyluxury.ru/shop/posuda/termostakany/termokruzhka-safe-to-go-seraya-1353530/" , "13535.30 Термокружка Safe To Go, серая")</f>
      </c>
      <c r="C26428" s="4" t="n">
        <v>1500.00</v>
      </c>
      <c r="D26428" s="4"/>
    </row>
    <row collapsed="" customFormat="false" customHeight="1" hidden="" ht="14" outlineLevel="0" r="26429">
      <c r="A26429" s="3" t="inlineStr">
        <is>
          <t>26318</t>
        </is>
      </c>
      <c r="B26429" s="4" t="s">
        <f>=HYPERLINK("http://anyluxury.ru/shop/posuda/termostakany/termokruzhka-hot-cap-600-belaya-1266460/" , "12664.60 Термокружка Hot Cap 600, белая")</f>
      </c>
      <c r="C26429" s="4" t="n">
        <v>2950.00</v>
      </c>
      <c r="D26429" s="4"/>
    </row>
    <row collapsed="" customFormat="false" customHeight="1" hidden="" ht="14" outlineLevel="0" r="26430">
      <c r="A26430" s="3" t="inlineStr">
        <is>
          <t>26319</t>
        </is>
      </c>
      <c r="B26430" s="4" t="s">
        <f>=HYPERLINK("http://anyluxury.ru/shop/posuda/termostakany/termokruzhka-hot-cap-600-krasnaya-1266450/" , "12664.50 Термокружка Hot Cap 600, красная")</f>
      </c>
      <c r="C26430" s="4" t="n">
        <v>2950.00</v>
      </c>
      <c r="D26430" s="4"/>
    </row>
    <row collapsed="" customFormat="false" customHeight="1" hidden="" ht="14" outlineLevel="0" r="26431">
      <c r="A26431" s="3" t="inlineStr">
        <is>
          <t>26320</t>
        </is>
      </c>
      <c r="B26431" s="4" t="s">
        <f>=HYPERLINK("http://anyluxury.ru/shop/posuda/termostakany/termobutilka-vakuumnaya-germetichnaya-fresco-neo-500-ml-belaya-201011100/" , "201011.100 Термобутылка вакуумная герметичная Fresco Neo, белая")</f>
      </c>
      <c r="C26431" s="4" t="n">
        <v>1670.00</v>
      </c>
      <c r="D26431" s="4"/>
    </row>
    <row collapsed="" customFormat="false" customHeight="1" hidden="" ht="14" outlineLevel="0" r="26432">
      <c r="A26432" s="3" t="inlineStr">
        <is>
          <t>26321</t>
        </is>
      </c>
      <c r="B26432" s="4" t="s">
        <f>=HYPERLINK("http://anyluxury.ru/shop/posuda/termostakany/termobutilka-vakuumnaya-germetichnaya-fresco-neo-500-ml-seraya-201011080/" , "201011.080 Термобутылка вакуумная герметичная Fresco Neo, серая")</f>
      </c>
      <c r="C26432" s="4" t="n">
        <v>1670.00</v>
      </c>
      <c r="D26432" s="4"/>
    </row>
    <row collapsed="" customFormat="false" customHeight="1" hidden="" ht="14" outlineLevel="0" r="26433">
      <c r="A26433" s="3" t="inlineStr">
        <is>
          <t>26322</t>
        </is>
      </c>
      <c r="B26433" s="4" t="s">
        <f>=HYPERLINK("http://anyluxury.ru/shop/posuda/termostakany/termobutilka-vakuumnaya-germetichnaya-fresco-neo-500-ml-chernaya-201011010/" , "201011.010 Термобутылка вакуумная герметичная Fresco Neo, черная")</f>
      </c>
      <c r="C26433" s="4" t="n">
        <v>1670.00</v>
      </c>
      <c r="D26433" s="4"/>
    </row>
    <row collapsed="" customFormat="false" customHeight="1" hidden="" ht="14" outlineLevel="0" r="26434">
      <c r="A26434" s="3" t="inlineStr">
        <is>
          <t>26323</t>
        </is>
      </c>
      <c r="B26434" s="4" t="s">
        <f>=HYPERLINK("http://anyluxury.ru/shop/posuda/termostakany/termokruzhka-vakuumnaya-viva-400-ml-seraya-19901080/" , "19901.080 Термокружка вакуумная Viva, серая")</f>
      </c>
      <c r="C26434" s="4" t="n">
        <v>1510.00</v>
      </c>
      <c r="D26434" s="4"/>
    </row>
    <row collapsed="" customFormat="false" customHeight="1" hidden="" ht="14" outlineLevel="0" r="26435">
      <c r="A26435" s="3" t="inlineStr">
        <is>
          <t>26324</t>
        </is>
      </c>
      <c r="B26435" s="4" t="s">
        <f>=HYPERLINK("http://anyluxury.ru/shop/posuda/termostakany/termokruzhka-vakuumnaya-germetichnaya-baleo-450-ml-matovoe-pokritie-sinyaya-19043030/" , "19043.030 Термокружка вакуумная герметичная Baleo, синяя")</f>
      </c>
      <c r="C26435" s="4" t="n">
        <v>1925.00</v>
      </c>
      <c r="D26435" s="4"/>
    </row>
    <row collapsed="" customFormat="false" customHeight="1" hidden="" ht="14" outlineLevel="0" r="26436">
      <c r="A26436" s="3" t="inlineStr">
        <is>
          <t>26325</t>
        </is>
      </c>
      <c r="B26436" s="4" t="s">
        <f>=HYPERLINK("http://anyluxury.ru/shop/posuda/termostakany/termokruzhka-vakuumnaya-crown-590-ml-matovoe-pokritie-sinyaya-195391030/" , "195391.030 Термокружка вакуумная Crown, синяя")</f>
      </c>
      <c r="C26436" s="4" t="n">
        <v>1485.00</v>
      </c>
      <c r="D26436" s="4"/>
    </row>
    <row collapsed="" customFormat="false" customHeight="1" hidden="" ht="14" outlineLevel="0" r="26437">
      <c r="A26437" s="3" t="inlineStr">
        <is>
          <t>26326</t>
        </is>
      </c>
      <c r="B26437" s="4" t="s">
        <f>=HYPERLINK("http://anyluxury.ru/shop/posuda/termostakany/termokruzhka-vakuumnaya-viva-400-ml-sinyaya-19901030/" , "19901.030 Термокружка вакуумная Viva, синяя")</f>
      </c>
      <c r="C26437" s="4" t="n">
        <v>1510.00</v>
      </c>
      <c r="D26437" s="4"/>
    </row>
    <row collapsed="" customFormat="false" customHeight="1" hidden="" ht="14" outlineLevel="0" r="26438">
      <c r="A26438" s="3" t="inlineStr">
        <is>
          <t>26327</t>
        </is>
      </c>
      <c r="B26438" s="4" t="s">
        <f>=HYPERLINK("http://anyluxury.ru/shop/posuda/termostakany/termokruzhka-s-ruchkoy-coffeetogo-siniy-p432945/" , "P432.945 Термокружка Coffee-to-go, синий")</f>
      </c>
      <c r="C26438" s="4" t="n">
        <v>759.00</v>
      </c>
      <c r="D26438" s="4"/>
    </row>
    <row collapsed="" customFormat="false" customHeight="1" hidden="" ht="14" outlineLevel="0" r="26439">
      <c r="A26439" s="3" t="inlineStr">
        <is>
          <t>26328</t>
        </is>
      </c>
      <c r="B26439" s="4" t="s">
        <f>=HYPERLINK("http://anyluxury.ru/shop/posuda/termostakany/termobutilka-vakuumnaya-germetichnaya-fresco-500-ml-sinyaya-19801030/" , "19801.030 Термобутылка вакуумная герметичная Fresco, синяя")</f>
      </c>
      <c r="C26439" s="4" t="n">
        <v>1727.00</v>
      </c>
      <c r="D26439" s="4"/>
    </row>
    <row collapsed="" customFormat="false" customHeight="1" hidden="" ht="14" outlineLevel="0" r="26440">
      <c r="A26440" s="3" t="inlineStr">
        <is>
          <t>26329</t>
        </is>
      </c>
      <c r="B26440" s="4" t="s">
        <f>=HYPERLINK("http://anyluxury.ru/shop/posuda/termostakany/termobutilka-vakuumnaya-germetichnaya-libra-500-ml-belaya-211033100/" , "211033.100 Термобутылка вакуумная герметичная Libra, белая")</f>
      </c>
      <c r="C26440" s="4" t="n">
        <v>1628.00</v>
      </c>
      <c r="D26440" s="4"/>
    </row>
    <row collapsed="" customFormat="false" customHeight="1" hidden="" ht="14" outlineLevel="0" r="26441">
      <c r="A26441" s="3" t="inlineStr">
        <is>
          <t>26330</t>
        </is>
      </c>
      <c r="B26441" s="4" t="s">
        <f>=HYPERLINK("http://anyluxury.ru/shop/posuda/termostakany/termobutilka-vakuumnaya-germetichnaya-libra-500-ml-seraya-211033080/" , "211033.080 Термобутылка вакуумная герметичная Libra, серая")</f>
      </c>
      <c r="C26441" s="4" t="n">
        <v>1628.00</v>
      </c>
      <c r="D26441" s="4"/>
    </row>
    <row collapsed="" customFormat="false" customHeight="1" hidden="" ht="14" outlineLevel="0" r="26442">
      <c r="A26442" s="3" t="inlineStr">
        <is>
          <t>26331</t>
        </is>
      </c>
      <c r="B26442" s="4" t="s">
        <f>=HYPERLINK("http://anyluxury.ru/shop/posuda/termostakany/termobutilka-vakuumnaya-germetichnaya-libra-500-ml-sinyaya-211033030/" , "211033.030 Термобутылка вакуумная герметичная Libra, синяя")</f>
      </c>
      <c r="C26442" s="4" t="n">
        <v>1628.00</v>
      </c>
      <c r="D26442" s="4"/>
    </row>
    <row collapsed="" customFormat="false" customHeight="1" hidden="" ht="14" outlineLevel="0" r="26443">
      <c r="A26443" s="3" t="inlineStr">
        <is>
          <t>26332</t>
        </is>
      </c>
      <c r="B26443" s="4" t="s">
        <f>=HYPERLINK("http://anyluxury.ru/shop/posuda/termostakany/termokruzhka-vakuumnaya-forte-500-ml-seraya-205516080/" , "205516.080 Термокружка вакуумная Forte, серая")</f>
      </c>
      <c r="C26443" s="4" t="n">
        <v>1100.00</v>
      </c>
      <c r="D26443" s="4"/>
    </row>
    <row collapsed="" customFormat="false" customHeight="1" hidden="" ht="14" outlineLevel="0" r="26444">
      <c r="A26444" s="3" t="inlineStr">
        <is>
          <t>26333</t>
        </is>
      </c>
      <c r="B26444" s="4" t="s">
        <f>=HYPERLINK("http://anyluxury.ru/shop/posuda/termostakany/termokruzhka-vakuumnaya-polo-500-ml-seraya-211041080/" , "211041.080 Термокружка вакуумная Polo, серая")</f>
      </c>
      <c r="C26444" s="4" t="n">
        <v>1700.00</v>
      </c>
      <c r="D26444" s="4"/>
    </row>
    <row collapsed="" customFormat="false" customHeight="1" hidden="" ht="14" outlineLevel="0" r="26445">
      <c r="A26445" s="3" t="inlineStr">
        <is>
          <t>26334</t>
        </is>
      </c>
      <c r="B26445" s="4" t="s">
        <f>=HYPERLINK("http://anyluxury.ru/shop/posuda/termostakany/termokruzhka-vakuumnaya-polo-500-ml-chernaya-211041010/" , "211041.010 Термокружка вакуумная Polo, черная (серая манжета)")</f>
      </c>
      <c r="C26445" s="4" t="n">
        <v>1700.00</v>
      </c>
      <c r="D26445" s="4"/>
    </row>
    <row collapsed="" customFormat="false" customHeight="1" hidden="" ht="14" outlineLevel="0" r="26446">
      <c r="A26446" s="3" t="inlineStr">
        <is>
          <t>26335</t>
        </is>
      </c>
      <c r="B26446" s="4" t="s">
        <f>=HYPERLINK("http://anyluxury.ru/shop/posuda/termostakany/termokruzhka-vakuumnaya-parma-590-ml-glyancevoe-pokritie-belaya-195391100/" , "195391.100 Термокружка вакуумная Parma, белая")</f>
      </c>
      <c r="C26446" s="4" t="n">
        <v>1200.00</v>
      </c>
      <c r="D26446" s="4"/>
    </row>
    <row collapsed="" customFormat="false" customHeight="1" hidden="" ht="14" outlineLevel="0" r="26447">
      <c r="A26447" s="3" t="inlineStr">
        <is>
          <t>26336</t>
        </is>
      </c>
      <c r="B26447" s="4" t="s">
        <f>=HYPERLINK("http://anyluxury.ru/shop/posuda/termostakany/termokruzhka-vakuumnaya-parma-590-ml-glyancevoe-pokritie-seraya-195391080/" , "195391.080 Термокружка вакуумная Parma, серая")</f>
      </c>
      <c r="C26447" s="4" t="n">
        <v>1200.00</v>
      </c>
      <c r="D26447" s="4"/>
    </row>
    <row collapsed="" customFormat="false" customHeight="1" hidden="" ht="14" outlineLevel="0" r="26448">
      <c r="A26448" s="3" t="inlineStr">
        <is>
          <t>26337</t>
        </is>
      </c>
      <c r="B26448" s="4" t="s">
        <f>=HYPERLINK("http://anyluxury.ru/shop/posuda/termostakany/termokruzhka-vakuumnaya-viva-400-ml-akva-19901600/" , "19901.600 Термокружка вакуумная Viva, аква")</f>
      </c>
      <c r="C26448" s="4" t="n">
        <v>1510.00</v>
      </c>
      <c r="D26448" s="4"/>
    </row>
    <row collapsed="" customFormat="false" customHeight="1" hidden="" ht="14" outlineLevel="0" r="26449">
      <c r="A26449" s="3" t="inlineStr">
        <is>
          <t>26338</t>
        </is>
      </c>
      <c r="B26449" s="4" t="s">
        <f>=HYPERLINK("http://anyluxury.ru/shop/posuda/termostakany/termostakan-canella-siniy-1239440/" , "12394.40 Термостакан Canella, синий")</f>
      </c>
      <c r="C26449" s="4" t="n">
        <v>436.00</v>
      </c>
      <c r="D26449" s="4"/>
    </row>
    <row collapsed="" customFormat="false" customHeight="1" hidden="" ht="14" outlineLevel="0" r="26450">
      <c r="A26450" s="3" t="inlineStr">
        <is>
          <t>26339</t>
        </is>
      </c>
      <c r="B26450" s="4" t="s">
        <f>=HYPERLINK("http://anyluxury.ru/shop/posuda/termostakany/termostakan-canella-krasniy-1239450/" , "12394.50 Термостакан Canella, красный")</f>
      </c>
      <c r="C26450" s="4" t="n">
        <v>436.00</v>
      </c>
      <c r="D26450" s="4"/>
    </row>
    <row collapsed="" customFormat="false" customHeight="1" hidden="" ht="14" outlineLevel="0" r="26451">
      <c r="A26451" s="3" t="inlineStr">
        <is>
          <t>26340</t>
        </is>
      </c>
      <c r="B26451" s="4" t="s">
        <f>=HYPERLINK("http://anyluxury.ru/shop/posuda/termostakany/termostakan-canella-oranzheviy-1239420/" , "12394.20 Термостакан Canella, оранжевый")</f>
      </c>
      <c r="C26451" s="4" t="n">
        <v>436.00</v>
      </c>
      <c r="D26451" s="4"/>
    </row>
    <row collapsed="" customFormat="false" customHeight="1" hidden="" ht="14" outlineLevel="0" r="26452">
      <c r="A26452" s="3" t="inlineStr">
        <is>
          <t>26341</t>
        </is>
      </c>
      <c r="B26452" s="4" t="s">
        <f>=HYPERLINK("http://anyluxury.ru/shop/posuda/termostakany/termostakan-canella-cherniy-1239430/" , "12394.30 Термостакан Canella, черный")</f>
      </c>
      <c r="C26452" s="4" t="n">
        <v>436.00</v>
      </c>
      <c r="D26452" s="4"/>
    </row>
    <row collapsed="" customFormat="false" customHeight="1" hidden="" ht="14" outlineLevel="0" r="26453">
      <c r="A26453" s="3" t="inlineStr">
        <is>
          <t>26342</t>
        </is>
      </c>
      <c r="B26453" s="4" t="s">
        <f>=HYPERLINK("http://anyluxury.ru/shop/posuda/termostakany/termostakan-canella-beliy-1239460/" , "12394.60 Термостакан Canella, белый")</f>
      </c>
      <c r="C26453" s="4" t="n">
        <v>436.00</v>
      </c>
      <c r="D26453" s="4"/>
    </row>
    <row collapsed="" customFormat="false" customHeight="1" hidden="" ht="14" outlineLevel="0" r="26454">
      <c r="A26454" s="3" t="inlineStr">
        <is>
          <t>26343</t>
        </is>
      </c>
      <c r="B26454" s="4" t="s">
        <f>=HYPERLINK("http://anyluxury.ru/shop/posuda/termostakany/termostakan-prism-siniy-1239540/" , "12395.40 Термостакан Prism, синий")</f>
      </c>
      <c r="C26454" s="4" t="n">
        <v>586.00</v>
      </c>
      <c r="D26454" s="4"/>
    </row>
    <row collapsed="" customFormat="false" customHeight="1" hidden="" ht="14" outlineLevel="0" r="26455">
      <c r="A26455" s="3" t="inlineStr">
        <is>
          <t>26344</t>
        </is>
      </c>
      <c r="B26455" s="4" t="s">
        <f>=HYPERLINK("http://anyluxury.ru/shop/posuda/termostakany/termostakan-prism-oranzheviy-1239520/" , "12395.20 Термостакан Prism, оранжевый")</f>
      </c>
      <c r="C26455" s="4" t="n">
        <v>586.00</v>
      </c>
      <c r="D26455" s="4"/>
    </row>
    <row collapsed="" customFormat="false" customHeight="1" hidden="" ht="14" outlineLevel="0" r="26456">
      <c r="A26456" s="3" t="inlineStr">
        <is>
          <t>26345</t>
        </is>
      </c>
      <c r="B26456" s="4" t="s">
        <f>=HYPERLINK("http://anyluxury.ru/shop/posuda/termostakany/termostakan-prism-cherniy-1239530/" , "12395.30 Термостакан Prism, черный")</f>
      </c>
      <c r="C26456" s="4" t="n">
        <v>586.00</v>
      </c>
      <c r="D26456" s="4"/>
    </row>
    <row collapsed="" customFormat="false" customHeight="1" hidden="" ht="14" outlineLevel="0" r="26457">
      <c r="A26457" s="3" t="inlineStr">
        <is>
          <t>26346</t>
        </is>
      </c>
      <c r="B26457" s="4" t="s">
        <f>=HYPERLINK("http://anyluxury.ru/shop/posuda/termostakany/termostakan-prism-beliy-1239560/" , "12395.60 Термостакан Prism, белый")</f>
      </c>
      <c r="C26457" s="4" t="n">
        <v>586.00</v>
      </c>
      <c r="D26457" s="4"/>
    </row>
    <row collapsed="" customFormat="false" customHeight="1" hidden="" ht="14" outlineLevel="0" r="26458">
      <c r="A26458" s="3" t="inlineStr">
        <is>
          <t>26347</t>
        </is>
      </c>
      <c r="B26458" s="4" t="s">
        <f>=HYPERLINK("http://anyluxury.ru/shop/posuda/termostakany/termokruzhka-vakuumnaya-portobello-twist-600-ml-sinyaya-s-logo-tommi2-tm19055030tom/" , "TM19055-030/Tom Термокружка вакуумная Portobello, Twist, 600 ml, синяя с лого Томми2")</f>
      </c>
      <c r="C26458" s="4" t="n">
        <v>0.00</v>
      </c>
      <c r="D26458" s="4"/>
    </row>
    <row collapsed="" customFormat="false" customHeight="1" hidden="" ht="14" outlineLevel="0" r="26459">
      <c r="A26459" s="3" t="inlineStr">
        <is>
          <t>26348</t>
        </is>
      </c>
      <c r="B26459" s="4" t="s">
        <f>=HYPERLINK("http://anyluxury.ru/shop/posuda/termostakany/besprovodnaya-kolonka-s-zashhitoy-ot-mikrobov-3-vt-p329033/" , "P329.033 Беспроводная колонка с защитой от микробов, 3 Вт")</f>
      </c>
      <c r="C26459" s="4" t="n">
        <v>1699.00</v>
      </c>
      <c r="D26459" s="4"/>
    </row>
    <row collapsed="" customFormat="false" customHeight="1" hidden="" ht="14" outlineLevel="0" r="26460">
      <c r="A26460" s="3" t="inlineStr">
        <is>
          <t>26349</t>
        </is>
      </c>
      <c r="B26460" s="4" t="s">
        <f>=HYPERLINK("http://anyluxury.ru/shop/posuda/termostakany/termokruzhka-cork-p432773/" , "P432.773 Термокружка Cork")</f>
      </c>
      <c r="C26460" s="4" t="n">
        <v>1249.00</v>
      </c>
      <c r="D26460" s="4"/>
    </row>
    <row collapsed="" customFormat="false" customHeight="1" hidden="" ht="14" outlineLevel="0" r="26461">
      <c r="A26461" s="3" t="inlineStr">
        <is>
          <t>26350</t>
        </is>
      </c>
      <c r="B26461" s="4" t="s">
        <f>=HYPERLINK("http://anyluxury.ru/shop/posuda/termostakany/termostakan-superb-sippy-s-trubochkoy-biryuzoviy-1333542/" , "13335.42 Термостакан Superb Sippy с трубочкой, бирюзовый")</f>
      </c>
      <c r="C26461" s="4" t="n">
        <v>2300.00</v>
      </c>
      <c r="D26461" s="4"/>
    </row>
    <row collapsed="" customFormat="false" customHeight="1" hidden="" ht="14" outlineLevel="0" r="26462">
      <c r="A26462" s="3" t="inlineStr">
        <is>
          <t>26351</t>
        </is>
      </c>
      <c r="B26462" s="4" t="s">
        <f>=HYPERLINK("http://anyluxury.ru/shop/posuda/termostakany/termostakan-superb-sippy-s-trubochkoy-beliy-1333560/" , "13335.60 Термостакан Superb Sippy с трубочкой, белый")</f>
      </c>
      <c r="C26462" s="4" t="n">
        <v>2300.00</v>
      </c>
      <c r="D26462" s="4"/>
    </row>
    <row collapsed="" customFormat="false" customHeight="1" hidden="" ht="14" outlineLevel="0" r="26463">
      <c r="A26463" s="3" t="inlineStr">
        <is>
          <t>26352</t>
        </is>
      </c>
      <c r="B26463" s="4" t="s">
        <f>=HYPERLINK("http://anyluxury.ru/shop/posuda/termostakany/termostakan-superb-sippy-s-trubochkoy-cherniy-1333530/" , "13335.30 Термостакан Superb Sippy с трубочкой, черный")</f>
      </c>
      <c r="C26463" s="4" t="n">
        <v>2300.00</v>
      </c>
      <c r="D26463" s="4"/>
    </row>
    <row collapsed="" customFormat="false" customHeight="1" hidden="" ht="14" outlineLevel="0" r="26464">
      <c r="A26464" s="3" t="inlineStr">
        <is>
          <t>26353</t>
        </is>
      </c>
      <c r="B26464" s="4" t="s">
        <f>=HYPERLINK("http://anyluxury.ru/shop/posuda/termostakany/termostakan-superb-sippy-s-trubochkoy-oranzheviy-1333520/" , "13335.20 Термостакан Superb Sippy с трубочкой, оранжевый")</f>
      </c>
      <c r="C26464" s="4" t="n">
        <v>2300.00</v>
      </c>
      <c r="D26464" s="4"/>
    </row>
    <row collapsed="" customFormat="false" customHeight="1" hidden="" ht="14" outlineLevel="0" r="26465">
      <c r="A26465" s="3" t="inlineStr">
        <is>
          <t>26354</t>
        </is>
      </c>
      <c r="B26465" s="4" t="s">
        <f>=HYPERLINK("http://anyluxury.ru/shop/posuda/termostakany/termokruzhka-ultimate-chernaya-1333630/" , "13336.30 Термокружка Ultimate, черная")</f>
      </c>
      <c r="C26465" s="4" t="n">
        <v>2580.00</v>
      </c>
      <c r="D26465" s="4"/>
    </row>
    <row collapsed="" customFormat="false" customHeight="1" hidden="" ht="14" outlineLevel="0" r="26466">
      <c r="A26466" s="3" t="inlineStr">
        <is>
          <t>26355</t>
        </is>
      </c>
      <c r="B26466" s="4" t="s">
        <f>=HYPERLINK("http://anyluxury.ru/shop/posuda/termostakany/termokruzhka-ultimate-belaya-1333660/" , "13336.60 Термокружка Ultimate, белая")</f>
      </c>
      <c r="C26466" s="4" t="n">
        <v>2580.00</v>
      </c>
      <c r="D26466" s="4"/>
    </row>
    <row collapsed="" customFormat="false" customHeight="1" hidden="" ht="14" outlineLevel="0" r="26467">
      <c r="A26467" s="3" t="inlineStr">
        <is>
          <t>26356</t>
        </is>
      </c>
      <c r="B26467" s="4" t="s">
        <f>=HYPERLINK("http://anyluxury.ru/shop/posuda/termostakany/termokruzhka-ultimate-golubaya-1333614/" , "13336.14 Термокружка Ultimate, голубая")</f>
      </c>
      <c r="C26467" s="4" t="n">
        <v>2580.00</v>
      </c>
      <c r="D26467" s="4"/>
    </row>
    <row collapsed="" customFormat="false" customHeight="1" hidden="" ht="14" outlineLevel="0" r="26468">
      <c r="A26468" s="3" t="inlineStr">
        <is>
          <t>26357</t>
        </is>
      </c>
      <c r="B26468" s="4" t="s">
        <f>=HYPERLINK("http://anyluxury.ru/shop/posuda/termostakany/termokruzhka-ultimate-bordovaya-1333655/" , "13336.55 Термокружка Ultimate, бордовая")</f>
      </c>
      <c r="C26468" s="4" t="n">
        <v>2580.00</v>
      </c>
      <c r="D26468" s="4"/>
    </row>
    <row collapsed="" customFormat="false" customHeight="1" hidden="" ht="14" outlineLevel="0" r="26469">
      <c r="A26469" s="3" t="inlineStr">
        <is>
          <t>26358</t>
        </is>
      </c>
      <c r="B26469" s="4" t="s">
        <f>=HYPERLINK("http://anyluxury.ru/shop/posuda/termostakany/termobutilka-vakuumnaya-germetichnaya-fresco-500-ml-belaya-19801100/" , "19801.100 Термобутылка вакуумная герметичная Fresco, белая")</f>
      </c>
      <c r="C26469" s="4" t="n">
        <v>1727.00</v>
      </c>
      <c r="D26469" s="4"/>
    </row>
    <row collapsed="" customFormat="false" customHeight="1" hidden="" ht="14" outlineLevel="0" r="26470">
      <c r="A26470" s="3" t="inlineStr">
        <is>
          <t>26359</t>
        </is>
      </c>
      <c r="B26470" s="4" t="s">
        <f>=HYPERLINK("http://anyluxury.ru/shop/posuda/termostakany/termos-dlya-edi-vitto-700-ml-seriy-201801080/" , "201801.080 Термос для еды Vitto, серый")</f>
      </c>
      <c r="C26470" s="4" t="n">
        <v>2255.00</v>
      </c>
      <c r="D26470" s="4"/>
    </row>
    <row collapsed="" customFormat="false" customHeight="1" hidden="" ht="14" outlineLevel="0" r="26471">
      <c r="A26471" s="3" t="inlineStr">
        <is>
          <t>26360</t>
        </is>
      </c>
      <c r="B26471" s="4" t="s">
        <f>=HYPERLINK("http://anyluxury.ru/shop/posuda/termostakany/termokruzhka-vakuumnaya-germetichnaya-lavita-450-ml-pokritie-glyanec-belaya-19042100/" , "19042.100 Термокружка вакуумная герметичная Lavita, белая")</f>
      </c>
      <c r="C26471" s="4" t="n">
        <v>1450.00</v>
      </c>
      <c r="D26471" s="4"/>
    </row>
    <row collapsed="" customFormat="false" customHeight="1" hidden="" ht="14" outlineLevel="0" r="26472">
      <c r="A26472" s="3" t="inlineStr">
        <is>
          <t>26361</t>
        </is>
      </c>
      <c r="B26472" s="4" t="s">
        <f>=HYPERLINK("http://anyluxury.ru/shop/posuda/termostakany/termokruzhka-vakuumnaya-germetichnaya-lavita-450-ml-pokritie-metallik-sinyaya-19042030/" , "19042.030 Термокружка вакуумная герметичная Lavita, синяя")</f>
      </c>
      <c r="C26472" s="4" t="n">
        <v>1450.00</v>
      </c>
      <c r="D26472" s="4"/>
    </row>
    <row collapsed="" customFormat="false" customHeight="1" hidden="" ht="14" outlineLevel="0" r="26473">
      <c r="A26473" s="3" t="inlineStr">
        <is>
          <t>26362</t>
        </is>
      </c>
      <c r="B26473" s="4" t="s">
        <f>=HYPERLINK("http://anyluxury.ru/shop/posuda/termostakany/termokruzhka-vakuumnaya-germetichnaya-lavita-450-ml-pokritie-glyanec-seraya-19042080/" , "19042.080 Термокружка вакуумная герметичная Lavita, серая")</f>
      </c>
      <c r="C26473" s="4" t="n">
        <v>1450.00</v>
      </c>
      <c r="D26473" s="4"/>
    </row>
    <row collapsed="" customFormat="false" customHeight="1" hidden="" ht="14" outlineLevel="0" r="26474">
      <c r="A26474" s="3" t="inlineStr">
        <is>
          <t>26363</t>
        </is>
      </c>
      <c r="B26474" s="4" t="s">
        <f>=HYPERLINK("http://anyluxury.ru/shop/posuda/termostakany/termokruzhka-lima-500ml-seraya-210047080/" , "210047.080 Термокружка Lima, серая")</f>
      </c>
      <c r="C26474" s="4" t="n">
        <v>650.00</v>
      </c>
      <c r="D26474" s="4"/>
    </row>
    <row collapsed="" customFormat="false" customHeight="1" hidden="" ht="14" outlineLevel="0" r="26475">
      <c r="A26475" s="3" t="inlineStr">
        <is>
          <t>26364</t>
        </is>
      </c>
      <c r="B26475" s="4" t="s">
        <f>=HYPERLINK("http://anyluxury.ru/shop/posuda/termostakany/termobutilka-vakuumnaya-germetichnaya-asti-500-ml-seraya-211901080/" , "211901.080 Термобутылка вакуумная герметичная Asti, серая")</f>
      </c>
      <c r="C26475" s="4" t="n">
        <v>1350.00</v>
      </c>
      <c r="D26475" s="4"/>
    </row>
    <row collapsed="" customFormat="false" customHeight="1" hidden="" ht="14" outlineLevel="0" r="26476">
      <c r="A26476" s="3" t="inlineStr">
        <is>
          <t>26365</t>
        </is>
      </c>
      <c r="B26476" s="4" t="s">
        <f>=HYPERLINK("http://anyluxury.ru/shop/posuda/termostakany/termobutilka-vakuumnaya-germetichnaya-asti-500-ml-zheltaya-211901075/" , "211901.075 Термобутылка вакуумная герметичная Asti, желтая")</f>
      </c>
      <c r="C26476" s="4" t="n">
        <v>1350.00</v>
      </c>
      <c r="D26476" s="4"/>
    </row>
    <row collapsed="" customFormat="false" customHeight="1" hidden="" ht="14" outlineLevel="0" r="26477">
      <c r="A26477" s="3" t="inlineStr">
        <is>
          <t>26366</t>
        </is>
      </c>
      <c r="B26477" s="4" t="s">
        <f>=HYPERLINK("http://anyluxury.ru/shop/posuda/termostakany/termostakan-forma-zheltiy-1139180/" , "11391.80 Термостакан Forma, желтый")</f>
      </c>
      <c r="C26477" s="4" t="n">
        <v>676.00</v>
      </c>
      <c r="D26477" s="4"/>
    </row>
    <row collapsed="" customFormat="false" customHeight="1" hidden="" ht="14" outlineLevel="0" r="26478">
      <c r="A26478" s="3" t="inlineStr">
        <is>
          <t>26367</t>
        </is>
      </c>
      <c r="B26478" s="4" t="s">
        <f>=HYPERLINK("http://anyluxury.ru/shop/posuda/termostakany/termostakan-forma-seriy-1139110/" , "11391.10 Термостакан Forma, серый")</f>
      </c>
      <c r="C26478" s="4" t="n">
        <v>676.00</v>
      </c>
      <c r="D26478" s="4"/>
    </row>
    <row collapsed="" customFormat="false" customHeight="1" hidden="" ht="14" outlineLevel="0" r="26479">
      <c r="A26479" s="3" t="inlineStr">
        <is>
          <t>26368</t>
        </is>
      </c>
      <c r="B26479" s="4" t="s">
        <f>=HYPERLINK("http://anyluxury.ru/shop/posuda/termostakany/termostakan-underway-zheltiy-314680/" , "3146.80 Термостакан Underway, желтый")</f>
      </c>
      <c r="C26479" s="4" t="n">
        <v>591.00</v>
      </c>
      <c r="D26479" s="4"/>
    </row>
    <row collapsed="" customFormat="false" customHeight="1" hidden="" ht="14" outlineLevel="0" r="26480">
      <c r="A26480" s="3" t="inlineStr">
        <is>
          <t>26369</t>
        </is>
      </c>
      <c r="B26480" s="4" t="s">
        <f>=HYPERLINK("http://anyluxury.ru/shop/posuda/termostakany/termostakan-underway-seriy-314610/" , "3146.10 Термостакан Underway, серый")</f>
      </c>
      <c r="C26480" s="4" t="n">
        <v>591.00</v>
      </c>
      <c r="D26480" s="4"/>
    </row>
    <row collapsed="" customFormat="false" customHeight="1" hidden="" ht="14" outlineLevel="0" r="26481">
      <c r="A26481" s="3" t="inlineStr">
        <is>
          <t>26370</t>
        </is>
      </c>
      <c r="B26481" s="4" t="s">
        <f>=HYPERLINK("http://anyluxury.ru/shop/posuda/termostakany/termostakan-solingen-grip-serostalnoy-1307713/" , "13077.13 Термостакан Solingen Grip, серо-стальной")</f>
      </c>
      <c r="C26481" s="4" t="n">
        <v>1947.00</v>
      </c>
      <c r="D26481" s="4"/>
    </row>
    <row collapsed="" customFormat="false" customHeight="1" hidden="" ht="14" outlineLevel="0" r="26482">
      <c r="A26482" s="3" t="inlineStr">
        <is>
          <t>26371</t>
        </is>
      </c>
      <c r="B26482" s="4" t="s">
        <f>=HYPERLINK("http://anyluxury.ru/shop/posuda/termostakany/termostakan-hub-cherniy-1307830/" , "13078.30 Термостакан Hub, черный")</f>
      </c>
      <c r="C26482" s="4" t="n">
        <v>1916.00</v>
      </c>
      <c r="D26482" s="4"/>
    </row>
    <row collapsed="" customFormat="false" customHeight="1" hidden="" ht="14" outlineLevel="0" r="26483">
      <c r="A26483" s="3" t="inlineStr">
        <is>
          <t>26372</t>
        </is>
      </c>
      <c r="B26483" s="4" t="s">
        <f>=HYPERLINK("http://anyluxury.ru/shop/posuda/termostakany/stakan-corky-takeaway-1378300/" , "13783.00 Стакан Corky Takeaway")</f>
      </c>
      <c r="C26483" s="4" t="n">
        <v>379.00</v>
      </c>
      <c r="D26483" s="4"/>
    </row>
    <row collapsed="" customFormat="false" customHeight="1" hidden="" ht="14" outlineLevel="0" r="26484">
      <c r="A26484" s="3" t="inlineStr">
        <is>
          <t>26373</t>
        </is>
      </c>
      <c r="B26484" s="4" t="s">
        <f>=HYPERLINK("http://anyluxury.ru/shop/posuda/termostakany/termostakan-goodtight-380-beliy-1330760/" , "13307.60 Термостакан goodTight 380, белый")</f>
      </c>
      <c r="C26484" s="4" t="n">
        <v>1726.00</v>
      </c>
      <c r="D26484" s="4"/>
    </row>
    <row collapsed="" customFormat="false" customHeight="1" hidden="" ht="14" outlineLevel="0" r="26485">
      <c r="A26485" s="3" t="inlineStr">
        <is>
          <t>26374</t>
        </is>
      </c>
      <c r="B26485" s="4" t="s">
        <f>=HYPERLINK("http://anyluxury.ru/shop/posuda/termostakany/kapelnaya-kofevarka-fanky-3-v-1-chernaya-1388100/" , "13881.00 Капельная кофеварка Fanky 3 в 1, черная, в упаковке")</f>
      </c>
      <c r="C26485" s="4" t="n">
        <v>1995.00</v>
      </c>
      <c r="D26485" s="4"/>
    </row>
    <row collapsed="" customFormat="false" customHeight="1" hidden="" ht="14" outlineLevel="0" r="26486">
      <c r="A26486" s="3" t="inlineStr">
        <is>
          <t>26375</t>
        </is>
      </c>
      <c r="B26486" s="4" t="s">
        <f>=HYPERLINK("http://anyluxury.ru/shop/posuda/termostakany/termos-dlya-edi-vitto-700-ml-beliy-201801100/" , "201801.100 Термос для еды Vitto, белый")</f>
      </c>
      <c r="C26486" s="4" t="n">
        <v>2255.00</v>
      </c>
      <c r="D26486" s="4"/>
    </row>
    <row collapsed="" customFormat="false" customHeight="1" hidden="" ht="14" outlineLevel="0" r="26487">
      <c r="A26487" s="3" t="inlineStr">
        <is>
          <t>26376</t>
        </is>
      </c>
      <c r="B26487" s="4" t="s">
        <f>=HYPERLINK("http://anyluxury.ru/shop/posuda/termostakany/termokruzhka-s-ruchkoy-arktika-500-stalnaya-1366910/" , "13669.10 Термокружка с ручкой «Арктика 500», стальная")</f>
      </c>
      <c r="C26487" s="4" t="n">
        <v>860.00</v>
      </c>
      <c r="D26487" s="4"/>
    </row>
    <row collapsed="" customFormat="false" customHeight="1" hidden="" ht="14" outlineLevel="0" r="26488">
      <c r="A26488" s="3" t="inlineStr">
        <is>
          <t>26377</t>
        </is>
      </c>
      <c r="B26488" s="4" t="s">
        <f>=HYPERLINK("http://anyluxury.ru/shop/posuda/termostakany/termokruzhka-arktika-500-stalnaya-1367110/" , "13671.10 Термокружка «Арктика 500», стальная")</f>
      </c>
      <c r="C26488" s="4" t="n">
        <v>1147.00</v>
      </c>
      <c r="D26488" s="4"/>
    </row>
    <row collapsed="" customFormat="false" customHeight="1" hidden="" ht="14" outlineLevel="0" r="26489">
      <c r="A26489" s="3" t="inlineStr">
        <is>
          <t>26378</t>
        </is>
      </c>
      <c r="B26489" s="4" t="s">
        <f>=HYPERLINK("http://anyluxury.ru/shop/posuda/termostakany/termobutilka-vakuumnaya-germetichnaya-fresco-500-ml-akva-19801600/" , "19801.600 Термобутылка вакуумная герметичная Fresco, аква")</f>
      </c>
      <c r="C26489" s="4" t="n">
        <v>1727.00</v>
      </c>
      <c r="D26489" s="4"/>
    </row>
    <row collapsed="" customFormat="false" customHeight="1" hidden="" ht="14" outlineLevel="0" r="26490">
      <c r="A26490" s="3" t="inlineStr">
        <is>
          <t>26379</t>
        </is>
      </c>
      <c r="B26490" s="4" t="s">
        <f>=HYPERLINK("http://anyluxury.ru/shop/posuda/termostakany/termokruzhka-vakuumnaya-pico-320-ml-serebryanaya-225354110/" , "225354.110 Термокружка вакуумная c керамическим покрытием Pico, серебряная")</f>
      </c>
      <c r="C26490" s="4" t="n">
        <v>1350.00</v>
      </c>
      <c r="D26490" s="4"/>
    </row>
    <row collapsed="" customFormat="false" customHeight="1" hidden="" ht="14" outlineLevel="0" r="26491">
      <c r="A26491" s="3" t="inlineStr">
        <is>
          <t>26380</t>
        </is>
      </c>
      <c r="B26491" s="4" t="s">
        <f>=HYPERLINK("http://anyluxury.ru/shop/posuda/termostakany/termokruzhka-vakuumnaya-viva-400-ml-chernaya-20901010/" , "20901.010 Термокружка вакуумная Viva, черная")</f>
      </c>
      <c r="C26491" s="4" t="n">
        <v>1510.00</v>
      </c>
      <c r="D26491" s="4"/>
    </row>
    <row collapsed="" customFormat="false" customHeight="1" hidden="" ht="14" outlineLevel="0" r="26492">
      <c r="A26492" s="3" t="inlineStr">
        <is>
          <t>26381</t>
        </is>
      </c>
      <c r="B26492" s="4" t="s">
        <f>=HYPERLINK("http://anyluxury.ru/shop/posuda/termostakany/termos-argento-500-ml-serebryaniy-22503110/" , "22503.110 Термос Argento, серебряный")</f>
      </c>
      <c r="C26492" s="4" t="n">
        <v>1075.00</v>
      </c>
      <c r="D26492" s="4"/>
    </row>
    <row collapsed="" customFormat="false" customHeight="1" hidden="" ht="14" outlineLevel="0" r="26493">
      <c r="A26493" s="3" t="inlineStr">
        <is>
          <t>26382</t>
        </is>
      </c>
      <c r="B26493" s="4" t="s">
        <f>=HYPERLINK("http://anyluxury.ru/shop/posuda/termostakany/termostakan-edda-cherniy-1376330/" , "13763.30 Термостакан Edda, черный")</f>
      </c>
      <c r="C26493" s="4" t="n">
        <v>598.00</v>
      </c>
      <c r="D26493" s="4"/>
    </row>
    <row collapsed="" customFormat="false" customHeight="1" hidden="" ht="14" outlineLevel="0" r="26494">
      <c r="A26494" s="3" t="inlineStr">
        <is>
          <t>26383</t>
        </is>
      </c>
      <c r="B26494" s="4" t="s">
        <f>=HYPERLINK("http://anyluxury.ru/shop/posuda/termostakany/termostakan-edda-siniy-1376340/" , "13763.40 Термостакан Edda, синий")</f>
      </c>
      <c r="C26494" s="4" t="n">
        <v>598.00</v>
      </c>
      <c r="D26494" s="4"/>
    </row>
    <row collapsed="" customFormat="false" customHeight="1" hidden="" ht="14" outlineLevel="0" r="26495">
      <c r="A26495" s="3" t="inlineStr">
        <is>
          <t>26384</t>
        </is>
      </c>
      <c r="B26495" s="4" t="s">
        <f>=HYPERLINK("http://anyluxury.ru/shop/posuda/termostakany/termostakan-edda-krasniy-1376350/" , "13763.50 Термостакан Edda, красный")</f>
      </c>
      <c r="C26495" s="4" t="n">
        <v>598.00</v>
      </c>
      <c r="D26495" s="4"/>
    </row>
    <row collapsed="" customFormat="false" customHeight="1" hidden="" ht="14" outlineLevel="0" r="26496">
      <c r="A26496" s="3" t="inlineStr">
        <is>
          <t>26385</t>
        </is>
      </c>
      <c r="B26496" s="4" t="s">
        <f>=HYPERLINK("http://anyluxury.ru/shop/posuda/termostakany/termostakan-edda-beliy-1376360/" , "13763.60 Термостакан Edda, белый")</f>
      </c>
      <c r="C26496" s="4" t="n">
        <v>598.00</v>
      </c>
      <c r="D26496" s="4"/>
    </row>
    <row collapsed="" customFormat="false" customHeight="1" hidden="" ht="14" outlineLevel="0" r="26497">
      <c r="A26497" s="3" t="inlineStr">
        <is>
          <t>26386</t>
        </is>
      </c>
      <c r="B26497" s="4" t="s">
        <f>=HYPERLINK("http://anyluxury.ru/shop/posuda/termostakany/termobutilka-vakuumnaya-germetichnaya-prima-ultramarine-500-ml-yarkosinyaya-211022130/" , "211022.130 Термобутылка вакуумная герметичная Prima Ultramarine, ярко-синяя")</f>
      </c>
      <c r="C26497" s="4" t="n">
        <v>1550.00</v>
      </c>
      <c r="D26497" s="4"/>
    </row>
    <row collapsed="" customFormat="false" customHeight="1" hidden="" ht="14" outlineLevel="0" r="26498">
      <c r="A26498" s="3" t="inlineStr">
        <is>
          <t>26387</t>
        </is>
      </c>
      <c r="B26498" s="4" t="s">
        <f>=HYPERLINK("http://anyluxury.ru/shop/posuda/termostakany/termobutilka-vakuumnaya-germetichnaya-libra-lemoni-500-ml-zheltaya-211033175/" , "211033.175 Термобутылка вакуумная герметичная Libra Lemoni, желтая")</f>
      </c>
      <c r="C26498" s="4" t="n">
        <v>1150.00</v>
      </c>
      <c r="D26498" s="4"/>
    </row>
    <row collapsed="" customFormat="false" customHeight="1" hidden="" ht="14" outlineLevel="0" r="26499">
      <c r="A26499" s="3" t="inlineStr">
        <is>
          <t>26388</t>
        </is>
      </c>
      <c r="B26499" s="4" t="s">
        <f>=HYPERLINK("http://anyluxury.ru/shop/posuda/termostakany/termobutilka-vakuumnaya-germetichnaya-prima-500-ml-seraya-2110220801/" , "211022.080.1 Термобутылка вакуумная герметичная Prima, серая")</f>
      </c>
      <c r="C26499" s="4" t="n">
        <v>1550.00</v>
      </c>
      <c r="D26499" s="4"/>
    </row>
    <row collapsed="" customFormat="false" customHeight="1" hidden="" ht="14" outlineLevel="0" r="26500">
      <c r="A26500" s="3" t="inlineStr">
        <is>
          <t>26389</t>
        </is>
      </c>
      <c r="B26500" s="4" t="s">
        <f>=HYPERLINK("http://anyluxury.ru/shop/posuda/termostakany/termobutilka-vakuumnaya-germetichnaya-prima-500-ml-sinyaya-2110220301/" , "211022.030.1 Термобутылка вакуумная герметичная Prima, синяя")</f>
      </c>
      <c r="C26500" s="4" t="n">
        <v>1550.00</v>
      </c>
      <c r="D26500" s="4"/>
    </row>
    <row collapsed="" customFormat="false" customHeight="1" hidden="" ht="14" outlineLevel="0" r="26501">
      <c r="A26501" s="3" t="inlineStr">
        <is>
          <t>26390</t>
        </is>
      </c>
      <c r="B26501" s="4" t="s">
        <f>=HYPERLINK("http://anyluxury.ru/shop/posuda/termostakany/termostakan-hub-temnosiniy-1307840/" , "13078.40 Термостакан Hub, темно-синий")</f>
      </c>
      <c r="C26501" s="4" t="n">
        <v>1916.00</v>
      </c>
      <c r="D26501" s="4"/>
    </row>
    <row collapsed="" customFormat="false" customHeight="1" hidden="" ht="14" outlineLevel="0" r="26502">
      <c r="A26502" s="3" t="inlineStr">
        <is>
          <t>26391</t>
        </is>
      </c>
      <c r="B26502" s="4" t="s">
        <f>=HYPERLINK("http://anyluxury.ru/shop/posuda/termostakany/termostakan-hub-seriy-1307810/" , "13078.10 Термостакан Hub, серый")</f>
      </c>
      <c r="C26502" s="4" t="n">
        <v>1916.00</v>
      </c>
      <c r="D26502" s="4"/>
    </row>
    <row collapsed="" customFormat="false" customHeight="1" hidden="" ht="14" outlineLevel="0" r="26503">
      <c r="A26503" s="3" t="inlineStr">
        <is>
          <t>26392</t>
        </is>
      </c>
      <c r="B26503" s="4" t="s">
        <f>=HYPERLINK("http://anyluxury.ru/shop/posuda/termostakany/termokruzhka-arktika-200-zelenaya-haki-1398890/" , "13988.90 Термокружка «Арктика 200», зеленая (хаки)")</f>
      </c>
      <c r="C26503" s="4" t="n">
        <v>512.00</v>
      </c>
      <c r="D26503" s="4"/>
    </row>
    <row collapsed="" customFormat="false" customHeight="1" hidden="" ht="14" outlineLevel="0" r="26504">
      <c r="A26504" s="3" t="inlineStr">
        <is>
          <t>26393</t>
        </is>
      </c>
      <c r="B26504" s="4" t="s">
        <f>=HYPERLINK("http://anyluxury.ru/shop/posuda/termostakany/termokruzhka-arktika-200-krasnaya-1398850/" , "13988.50 Термокружка «Арктика 200», красная")</f>
      </c>
      <c r="C26504" s="4" t="n">
        <v>512.00</v>
      </c>
      <c r="D26504" s="4"/>
    </row>
    <row collapsed="" customFormat="false" customHeight="1" hidden="" ht="14" outlineLevel="0" r="26505">
      <c r="A26505" s="3" t="inlineStr">
        <is>
          <t>26394</t>
        </is>
      </c>
      <c r="B26505" s="4" t="s">
        <f>=HYPERLINK("http://anyluxury.ru/shop/posuda/termostakany/termokruzhka-arktika-200-sinyaya-1398840/" , "13988.40 Термокружка «Арктика 200», синяя")</f>
      </c>
      <c r="C26505" s="4" t="n">
        <v>512.00</v>
      </c>
      <c r="D26505" s="4"/>
    </row>
    <row collapsed="" customFormat="false" customHeight="1" hidden="" ht="14" outlineLevel="0" r="26506">
      <c r="A26506" s="3" t="inlineStr">
        <is>
          <t>26395</t>
        </is>
      </c>
      <c r="B26506" s="4" t="s">
        <f>=HYPERLINK("http://anyluxury.ru/shop/posuda/termostakany/termokruzhka-vakuumnaya-forte-500-ml-svetlosinyaya-2055160301/" , "205516.030.1 Термокружка вакуумная Forte, светло-синяя")</f>
      </c>
      <c r="C26506" s="4" t="n">
        <v>1100.00</v>
      </c>
      <c r="D26506" s="4"/>
    </row>
    <row collapsed="" customFormat="false" customHeight="1" hidden="" ht="14" outlineLevel="0" r="26507">
      <c r="A26507" s="3" t="inlineStr">
        <is>
          <t>26396</t>
        </is>
      </c>
      <c r="B26507" s="4" t="s">
        <f>=HYPERLINK("http://anyluxury.ru/shop/posuda/termostakany/termokruzhka-vakuumnaya-polo-500-ml-chernaya-2110410101/" , "211041.010.1 Термокружка вакуумная Polo, черная")</f>
      </c>
      <c r="C26507" s="4" t="n">
        <v>1700.00</v>
      </c>
      <c r="D26507" s="4"/>
    </row>
    <row collapsed="" customFormat="false" customHeight="1" hidden="" ht="14" outlineLevel="0" r="26508">
      <c r="A26508" s="3" t="inlineStr">
        <is>
          <t>26397</t>
        </is>
      </c>
      <c r="B26508" s="4" t="s">
        <f>=HYPERLINK("http://anyluxury.ru/shop/posuda/termostakany/termokruzhka-vakuumnaya-polo-500-ml-sinyaya-2110410301/" , "211041.030.1 Термокружка вакуумная Polo, синяя")</f>
      </c>
      <c r="C26508" s="4" t="n">
        <v>1700.00</v>
      </c>
      <c r="D26508" s="4"/>
    </row>
    <row collapsed="" customFormat="false" customHeight="1" hidden="" ht="14" outlineLevel="0" r="26509">
      <c r="A26509" s="3" t="inlineStr">
        <is>
          <t>26398</t>
        </is>
      </c>
      <c r="B26509" s="4" t="s">
        <f>=HYPERLINK("http://anyluxury.ru/shop/posuda/termostakany/termobutilka-vakuumnaya-germetichnaya-fresco-500-ml-chernaya-22801010/" , "22801.010 Термобутылка вакуумная герметичная Fresco, черная")</f>
      </c>
      <c r="C26509" s="4" t="n">
        <v>1727.00</v>
      </c>
      <c r="D26509" s="4"/>
    </row>
    <row collapsed="" customFormat="false" customHeight="1" hidden="" ht="14" outlineLevel="0" r="26510">
      <c r="A26510" s="3" t="inlineStr">
        <is>
          <t>26399</t>
        </is>
      </c>
      <c r="B26510" s="4" t="s">
        <f>=HYPERLINK("http://anyluxury.ru/shop/posuda/termostakany/termostakan-tumbler-350-vakuumniy-cherniy-1470430/" , "14704.30 Термостакан Tumbler 350, вакуумный, черный")</f>
      </c>
      <c r="C26510" s="4" t="n">
        <v>3990.00</v>
      </c>
      <c r="D26510" s="4"/>
    </row>
    <row collapsed="" customFormat="false" customHeight="1" hidden="" ht="14" outlineLevel="0" r="26511">
      <c r="A26511" s="3" t="inlineStr">
        <is>
          <t>26400</t>
        </is>
      </c>
      <c r="B26511" s="4" t="s">
        <f>=HYPERLINK("http://anyluxury.ru/shop/posuda/termostakany/termostakan-tumbler-350-vakuumniy-oranzheviy-1470420/" , "14704.20 Термостакан Tumbler 350, вакуумный, оранжевый")</f>
      </c>
      <c r="C26511" s="4" t="n">
        <v>3990.00</v>
      </c>
      <c r="D26511" s="4"/>
    </row>
    <row collapsed="" customFormat="false" customHeight="1" hidden="" ht="14" outlineLevel="0" r="26512">
      <c r="A26512" s="3" t="inlineStr">
        <is>
          <t>26401</t>
        </is>
      </c>
      <c r="B26512" s="4" t="s">
        <f>=HYPERLINK("http://anyluxury.ru/shop/posuda/termostakany/termostakan-tumbler-350-vakuumniy-stalnoy-zerkalniy-1470410/" , "14704.10 Термостакан Tumbler 350, вакуумный, стальной зеркальный")</f>
      </c>
      <c r="C26512" s="4" t="n">
        <v>3790.00</v>
      </c>
      <c r="D26512" s="4"/>
    </row>
    <row collapsed="" customFormat="false" customHeight="1" hidden="" ht="14" outlineLevel="0" r="26513">
      <c r="A26513" s="3" t="inlineStr">
        <is>
          <t>26402</t>
        </is>
      </c>
      <c r="B26513" s="4" t="s">
        <f>=HYPERLINK("http://anyluxury.ru/shop/posuda/termostakany/termostakan-tumbler-350-vakuumniy-beliy-1470460/" , "14704.60 Термостакан Tumbler 350, вакуумный, белый")</f>
      </c>
      <c r="C26513" s="4" t="n">
        <v>3990.00</v>
      </c>
      <c r="D26513" s="4"/>
    </row>
    <row collapsed="" customFormat="false" customHeight="1" hidden="" ht="14" outlineLevel="0" r="26514">
      <c r="A26514" s="3" t="inlineStr">
        <is>
          <t>26403</t>
        </is>
      </c>
      <c r="B26514" s="4" t="s">
        <f>=HYPERLINK("http://anyluxury.ru/shop/posuda/termostakany/termostakan-tumbler-350-vakuumniy-stalnoy-matoviy-1470411/" , "14704.11 Термостакан Tumbler 350, вакуумный, стальной матовый")</f>
      </c>
      <c r="C26514" s="4" t="n">
        <v>3790.00</v>
      </c>
      <c r="D26514" s="4"/>
    </row>
    <row collapsed="" customFormat="false" customHeight="1" hidden="" ht="14" outlineLevel="0" r="26515">
      <c r="A26515" s="3" t="inlineStr">
        <is>
          <t>26404</t>
        </is>
      </c>
      <c r="B26515" s="4" t="s">
        <f>=HYPERLINK("http://anyluxury.ru/shop/posuda/termostakany/termostakan-tumbler-350-vakuumniy-zeleniy-1470490/" , "14704.90 Термостакан Tumbler 350, вакуумный, зеленый")</f>
      </c>
      <c r="C26515" s="4" t="n">
        <v>3990.00</v>
      </c>
      <c r="D26515" s="4"/>
    </row>
    <row collapsed="" customFormat="false" customHeight="1" hidden="" ht="14" outlineLevel="0" r="26516">
      <c r="A26516" s="3" t="inlineStr">
        <is>
          <t>26405</t>
        </is>
      </c>
      <c r="B26516" s="4" t="s">
        <f>=HYPERLINK("http://anyluxury.ru/shop/posuda/termostakany/termostakan-tumbler-470-vakuumniy-cherniy-1470530/" , "14705.30 Термостакан Tumbler 470, вакуумный, черный")</f>
      </c>
      <c r="C26516" s="4" t="n">
        <v>4190.00</v>
      </c>
      <c r="D26516" s="4"/>
    </row>
    <row collapsed="" customFormat="false" customHeight="1" hidden="" ht="14" outlineLevel="0" r="26517">
      <c r="A26517" s="3" t="inlineStr">
        <is>
          <t>26406</t>
        </is>
      </c>
      <c r="B26517" s="4" t="s">
        <f>=HYPERLINK("http://anyluxury.ru/shop/posuda/termostakany/termostakan-tumbler-470-vakuumniy-oranzheviy-1470520/" , "14705.20 Термостакан Tumbler 470, вакуумный, оранжевый")</f>
      </c>
      <c r="C26517" s="4" t="n">
        <v>4190.00</v>
      </c>
      <c r="D26517" s="4"/>
    </row>
    <row collapsed="" customFormat="false" customHeight="1" hidden="" ht="14" outlineLevel="0" r="26518">
      <c r="A26518" s="3" t="inlineStr">
        <is>
          <t>26407</t>
        </is>
      </c>
      <c r="B26518" s="4" t="s">
        <f>=HYPERLINK("http://anyluxury.ru/shop/posuda/termostakany/termostakan-tumbler-470-vakuumniy-stalnoy-zerkalniy-1470510/" , "14705.10 Термостакан Tumbler 470, вакуумный, стальной зеркальный")</f>
      </c>
      <c r="C26518" s="4" t="n">
        <v>3990.00</v>
      </c>
      <c r="D26518" s="4"/>
    </row>
    <row collapsed="" customFormat="false" customHeight="1" hidden="" ht="14" outlineLevel="0" r="26519">
      <c r="A26519" s="3" t="inlineStr">
        <is>
          <t>26408</t>
        </is>
      </c>
      <c r="B26519" s="4" t="s">
        <f>=HYPERLINK("http://anyluxury.ru/shop/posuda/termostakany/termostakan-tumbler-470-vakuumniy-beliy-1470560/" , "14705.60 Термостакан Tumbler 470, вакуумный, белый")</f>
      </c>
      <c r="C26519" s="4" t="n">
        <v>4190.00</v>
      </c>
      <c r="D26519" s="4"/>
    </row>
    <row collapsed="" customFormat="false" customHeight="1" hidden="" ht="14" outlineLevel="0" r="26520">
      <c r="A26520" s="3" t="inlineStr">
        <is>
          <t>26409</t>
        </is>
      </c>
      <c r="B26520" s="4" t="s">
        <f>=HYPERLINK("http://anyluxury.ru/shop/posuda/termostakany/termostakan-tumbler-470-vakuumniy-stalnoy-matoviy-1470511/" , "14705.11 Термостакан Tumbler 470, вакуумный, стальной матовый")</f>
      </c>
      <c r="C26520" s="4" t="n">
        <v>3990.00</v>
      </c>
      <c r="D26520" s="4"/>
    </row>
    <row collapsed="" customFormat="false" customHeight="1" hidden="" ht="14" outlineLevel="0" r="26521">
      <c r="A26521" s="3" t="inlineStr">
        <is>
          <t>26410</t>
        </is>
      </c>
      <c r="B26521" s="4" t="s">
        <f>=HYPERLINK("http://anyluxury.ru/shop/posuda/termostakany/termostakan-tumbler-470-vakuumniy-zeleniy-1470590/" , "14705.90 Термостакан Tumbler 470, вакуумный, зеленый")</f>
      </c>
      <c r="C26521" s="4" t="n">
        <v>4190.00</v>
      </c>
      <c r="D26521" s="4"/>
    </row>
    <row collapsed="" customFormat="false" customHeight="1" hidden="" ht="14" outlineLevel="0" r="26522">
      <c r="A26522" s="3" t="inlineStr">
        <is>
          <t>26411</t>
        </is>
      </c>
      <c r="B26522" s="4" t="s">
        <f>=HYPERLINK("http://anyluxury.ru/shop/posuda/termostakany/termostakan-no-leak-infuser-siniy-1365040/" , "13650.40 Термостакан с ситечком No Leak Infuser, синий")</f>
      </c>
      <c r="C26522" s="4" t="n">
        <v>999.00</v>
      </c>
      <c r="D26522" s="4"/>
    </row>
    <row collapsed="" customFormat="false" customHeight="1" hidden="" ht="14" outlineLevel="0" r="26523">
      <c r="A26523" s="3" t="inlineStr">
        <is>
          <t>26412</t>
        </is>
      </c>
      <c r="B26523" s="4" t="s">
        <f>=HYPERLINK("http://anyluxury.ru/shop/posuda/termostakany/termostakan-no-leak-infuser-cherniy-1365030/" , "13650.30 Термостакан с ситечком No Leak Infuser, черный")</f>
      </c>
      <c r="C26523" s="4" t="n">
        <v>999.00</v>
      </c>
      <c r="D26523" s="4"/>
    </row>
    <row collapsed="" customFormat="false" customHeight="1" hidden="" ht="14" outlineLevel="0" r="26524">
      <c r="A26524" s="3" t="inlineStr">
        <is>
          <t>26413</t>
        </is>
      </c>
      <c r="B26524" s="4" t="s">
        <f>=HYPERLINK("http://anyluxury.ru/shop/posuda/termostakany/termostakan-no-leak-infuser-beliy-1365060/" , "13650.60 Термостакан с ситечком No Leak Infuser, белый")</f>
      </c>
      <c r="C26524" s="4" t="n">
        <v>999.00</v>
      </c>
      <c r="D26524" s="4"/>
    </row>
    <row collapsed="" customFormat="false" customHeight="1" hidden="" ht="14" outlineLevel="0" r="26525">
      <c r="A26525" s="3" t="inlineStr">
        <is>
          <t>26414</t>
        </is>
      </c>
      <c r="B26525" s="4" t="s">
        <f>=HYPERLINK("http://anyluxury.ru/shop/posuda/termostakany/termostakan-no-leak-infuser-zeleniy-1365090/" , "13650.90 Термостакан с ситечком No Leak Infuser, зеленый")</f>
      </c>
      <c r="C26525" s="4" t="n">
        <v>999.00</v>
      </c>
      <c r="D26525" s="4"/>
    </row>
    <row collapsed="" customFormat="false" customHeight="1" hidden="" ht="14" outlineLevel="0" r="26526">
      <c r="A26526" s="3" t="inlineStr">
        <is>
          <t>26415</t>
        </is>
      </c>
      <c r="B26526" s="4" t="s">
        <f>=HYPERLINK("http://anyluxury.ru/shop/posuda/termostakany/termostakan-iconymug-seriy-749816/" , "7498.16 Термостакан iconyMug, серый")</f>
      </c>
      <c r="C26526" s="4" t="n">
        <v>1940.00</v>
      </c>
      <c r="D26526" s="4"/>
    </row>
    <row collapsed="" customFormat="false" customHeight="1" hidden="" ht="14" outlineLevel="0" r="26527">
      <c r="A26527" s="3" t="inlineStr">
        <is>
          <t>26416</t>
        </is>
      </c>
      <c r="B26527" s="4" t="s">
        <f>=HYPERLINK("http://anyluxury.ru/shop/posuda/termostakany/termostakan-iconymug-temnosiniy-749840/" , "7498.40 Термостакан iconyMug, темно-синий")</f>
      </c>
      <c r="C26527" s="4" t="n">
        <v>1940.00</v>
      </c>
      <c r="D26527" s="4"/>
    </row>
    <row collapsed="" customFormat="false" customHeight="1" hidden="" ht="14" outlineLevel="0" r="26528">
      <c r="A26528" s="3" t="inlineStr">
        <is>
          <t>26417</t>
        </is>
      </c>
      <c r="B26528" s="4" t="s">
        <f>=HYPERLINK("http://anyluxury.ru/shop/posuda/termostakany/termokruzhka-stanley-classic-one-hand-20-bolshaya-chernaya-1081130/" , "10811.30 Термокружка Stanley Classic One Hand 2.0, большая, черная")</f>
      </c>
      <c r="C26528" s="4" t="n">
        <v>2520.00</v>
      </c>
      <c r="D26528" s="4"/>
    </row>
    <row collapsed="" customFormat="false" customHeight="1" hidden="" ht="14" outlineLevel="0" r="26529">
      <c r="A26529" s="3" t="inlineStr">
        <is>
          <t>26418</t>
        </is>
      </c>
      <c r="B26529" s="4" t="s">
        <f>=HYPERLINK("http://anyluxury.ru/shop/posuda/termostakany/termokruzhka-stanley-classic-one-hand-20-bolshaya-sinyaya-1081140/" , "10811.40 Термокружка Stanley Classic One Hand 2.0, большая, синяя")</f>
      </c>
      <c r="C26529" s="4" t="n">
        <v>2520.00</v>
      </c>
      <c r="D26529" s="4"/>
    </row>
    <row collapsed="" customFormat="false" customHeight="1" hidden="" ht="14" outlineLevel="0" r="26530">
      <c r="A26530" s="3" t="inlineStr">
        <is>
          <t>26419</t>
        </is>
      </c>
      <c r="B26530" s="4" t="s">
        <f>=HYPERLINK("http://anyluxury.ru/shop/posuda/termostakany/termokruzhka-stanley-classic-one-hand-20-bolshaya-bordovaya-1081155/" , "10811.55 Термокружка Stanley Classic One Hand 2.0, большая, бордовая")</f>
      </c>
      <c r="C26530" s="4" t="n">
        <v>2520.00</v>
      </c>
      <c r="D26530" s="4"/>
    </row>
    <row collapsed="" customFormat="false" customHeight="1" hidden="" ht="14" outlineLevel="0" r="26531">
      <c r="A26531" s="3" t="inlineStr">
        <is>
          <t>26420</t>
        </is>
      </c>
      <c r="B26531" s="4" t="s">
        <f>=HYPERLINK("http://anyluxury.ru/shop/posuda/termostakany/termokruzhka-stanley-classic-one-hand-20-bolshaya-zelenaya-1081190/" , "10811.90 Термокружка Stanley Classic One Hand 2.0, большая, зеленая")</f>
      </c>
      <c r="C26531" s="4" t="n">
        <v>2520.00</v>
      </c>
      <c r="D26531" s="4"/>
    </row>
    <row collapsed="" customFormat="false" customHeight="1" hidden="" ht="14" outlineLevel="0" r="26532">
      <c r="A26532" s="3" t="inlineStr">
        <is>
          <t>26421</t>
        </is>
      </c>
      <c r="B26532" s="4" t="s">
        <f>=HYPERLINK("http://anyluxury.ru/shop/posuda/termostakany/termokruzhka-stanley-classic-one-hand-20-250-belaya-1432760/" , "14327.60 Термокружка Stanley Classic One Hand 2.0 250, белая")</f>
      </c>
      <c r="C26532" s="4" t="n">
        <v>2270.00</v>
      </c>
      <c r="D26532" s="4"/>
    </row>
    <row collapsed="" customFormat="false" customHeight="1" hidden="" ht="14" outlineLevel="0" r="26533">
      <c r="A26533" s="3" t="inlineStr">
        <is>
          <t>26422</t>
        </is>
      </c>
      <c r="B26533" s="4" t="s">
        <f>=HYPERLINK("http://anyluxury.ru/shop/posuda/termostakany/termokruzhka-stanley-classic-one-hand-20-250-bordovaya-1432755/" , "14327.55 Термокружка Stanley Classic Trigger Action 250 One hand 2.0, бордовая")</f>
      </c>
      <c r="C26533" s="4" t="n">
        <v>2270.00</v>
      </c>
      <c r="D26533" s="4"/>
    </row>
    <row collapsed="" customFormat="false" customHeight="1" hidden="" ht="14" outlineLevel="0" r="26534">
      <c r="A26534" s="3" t="inlineStr">
        <is>
          <t>26423</t>
        </is>
      </c>
      <c r="B26534" s="4" t="s">
        <f>=HYPERLINK("http://anyluxury.ru/shop/posuda/termostakany/termokruzhka-stanley-classic-one-hand-20-250-zelenaya-1432790/" , "14327.90 Термокружка Stanley Classic One Hand 2.0 250, зеленая")</f>
      </c>
      <c r="C26534" s="4" t="n">
        <v>2270.00</v>
      </c>
      <c r="D26534" s="4"/>
    </row>
    <row collapsed="" customFormat="false" customHeight="1" hidden="" ht="14" outlineLevel="0" r="26535">
      <c r="A26535" s="3" t="inlineStr">
        <is>
          <t>26424</t>
        </is>
      </c>
      <c r="B26535" s="4" t="s">
        <f>=HYPERLINK("http://anyluxury.ru/shop/posuda/termostakany/termokruzhka-stanley-classic-one-hand-20-250-sinyaya-1432740/" , "14327.40 Термокружка Stanley Classic One Hand 2.0 250, синяя")</f>
      </c>
      <c r="C26535" s="4" t="n">
        <v>2270.00</v>
      </c>
      <c r="D26535" s="4"/>
    </row>
    <row collapsed="" customFormat="false" customHeight="1" hidden="" ht="14" outlineLevel="0" r="26536">
      <c r="A26536" s="3" t="inlineStr">
        <is>
          <t>26425</t>
        </is>
      </c>
      <c r="B26536" s="4" t="s">
        <f>=HYPERLINK("http://anyluxury.ru/shop/posuda/termostakany/butilka-tritan-renew-05-l-p433461/" , "P433.461 Бутылка Tritan™ Renew, 0,5 л")</f>
      </c>
      <c r="C26536" s="4" t="n">
        <v>699.00</v>
      </c>
      <c r="D26536" s="4"/>
    </row>
    <row collapsed="" customFormat="false" customHeight="1" hidden="" ht="14" outlineLevel="0" r="26537">
      <c r="A26537" s="3" t="inlineStr">
        <is>
          <t>26426</t>
        </is>
      </c>
      <c r="B26537" s="4" t="s">
        <f>=HYPERLINK("http://anyluxury.ru/shop/posuda/termostakany/butilka-tritan-renew-05-l-p433462/" , "P433.462 Бутылка Tritan™ Renew, 0,5 л")</f>
      </c>
      <c r="C26537" s="4" t="n">
        <v>699.00</v>
      </c>
      <c r="D26537" s="4"/>
    </row>
    <row collapsed="" customFormat="false" customHeight="1" hidden="" ht="14" outlineLevel="0" r="26538">
      <c r="A26538" s="3" t="inlineStr">
        <is>
          <t>26427</t>
        </is>
      </c>
      <c r="B26538" s="4" t="s">
        <f>=HYPERLINK("http://anyluxury.ru/shop/posuda/termostakany/butilka-tritan-renew-05-l-p433463/" , "P433.463 Бутылка Tritan™ Renew, 0,5 л")</f>
      </c>
      <c r="C26538" s="4" t="n">
        <v>699.00</v>
      </c>
      <c r="D26538" s="4"/>
    </row>
    <row collapsed="" customFormat="false" customHeight="1" hidden="" ht="14" outlineLevel="0" r="26539">
      <c r="A26539" s="3" t="inlineStr">
        <is>
          <t>26428</t>
        </is>
      </c>
      <c r="B26539" s="4" t="s">
        <f>=HYPERLINK("http://anyluxury.ru/shop/posuda/termostakany/butilka-tritan-renew-05-l-p433465/" , "P433.465 Бутылка Tritan™ Renew, 0,5 л")</f>
      </c>
      <c r="C26539" s="4" t="n">
        <v>699.00</v>
      </c>
      <c r="D26539" s="4"/>
    </row>
    <row collapsed="" customFormat="false" customHeight="1" hidden="" ht="14" outlineLevel="0" r="26540">
      <c r="A26540" s="3" t="inlineStr">
        <is>
          <t>26429</t>
        </is>
      </c>
      <c r="B26540" s="4" t="s">
        <f>=HYPERLINK("http://anyluxury.ru/shop/posuda/termostakany/butilka-tritan-renew-05-l-p433467/" , "P433.467 Бутылка Tritan™ Renew, 0,5 л")</f>
      </c>
      <c r="C26540" s="4" t="n">
        <v>699.00</v>
      </c>
      <c r="D26540" s="4"/>
    </row>
    <row collapsed="" customFormat="false" customHeight="1" hidden="" ht="14" outlineLevel="0" r="26541">
      <c r="A26541" s="3" t="inlineStr">
        <is>
          <t>26430</t>
        </is>
      </c>
      <c r="B26541" s="4" t="s">
        <f>=HYPERLINK("http://anyluxury.ru/shop/posuda/termostakany/butilka-tritan-renew-075-l-p433473/" , "P433.473 Бутылка Tritan™ Renew, 0,75 л")</f>
      </c>
      <c r="C26541" s="4" t="n">
        <v>869.00</v>
      </c>
      <c r="D26541" s="4"/>
    </row>
    <row collapsed="" customFormat="false" customHeight="1" hidden="" ht="14" outlineLevel="0" r="26542">
      <c r="A26542" s="3" t="inlineStr">
        <is>
          <t>26431</t>
        </is>
      </c>
      <c r="B26542" s="4" t="s">
        <f>=HYPERLINK("http://anyluxury.ru/shop/posuda/termostakany/butilka-tritan-renew-075-l-p433475/" , "P433.475 Бутылка Tritan™ Renew, 0,75 л")</f>
      </c>
      <c r="C26542" s="4" t="n">
        <v>869.00</v>
      </c>
      <c r="D26542" s="4"/>
    </row>
    <row collapsed="" customFormat="false" customHeight="1" hidden="" ht="14" outlineLevel="0" r="26543">
      <c r="A26543" s="3" t="inlineStr">
        <is>
          <t>26432</t>
        </is>
      </c>
      <c r="B26543" s="4" t="s">
        <f>=HYPERLINK("http://anyluxury.ru/shop/posuda/termostakany/butilka-tritan-renew-075-l-p433477/" , "P433.477 Бутылка Tritan™ Renew, 0,75 л")</f>
      </c>
      <c r="C26543" s="4" t="n">
        <v>869.00</v>
      </c>
      <c r="D26543" s="4"/>
    </row>
    <row collapsed="" customFormat="false" customHeight="1" hidden="" ht="14" outlineLevel="0" r="26544">
      <c r="A26544" s="3" t="inlineStr">
        <is>
          <t>26433</t>
        </is>
      </c>
      <c r="B26544" s="4" t="s">
        <f>=HYPERLINK("http://anyluxury.ru/shop/posuda/termostakany/termokruzhka-vakuumnaya-s-keramicheskim-pokritiem-arctic-380-ml-beliyakva-221013600/" , "221013.600 Термокружка вакуумная с керамическим покрытием Arctic, белый/аква")</f>
      </c>
      <c r="C26544" s="4" t="n">
        <v>1650.00</v>
      </c>
      <c r="D26544" s="4"/>
    </row>
    <row collapsed="" customFormat="false" customHeight="1" hidden="" ht="14" outlineLevel="0" r="26545">
      <c r="A26545" s="3" t="inlineStr">
        <is>
          <t>26434</t>
        </is>
      </c>
      <c r="B26545" s="4" t="s">
        <f>=HYPERLINK("http://anyluxury.ru/shop/posuda/termostakany/termokruzhka-vakuumnaya-s-keramicheskim-pokritiem-arctic-380-ml-beliykrasniy-221013060/" , "221013.060 Термокружка вакуумная с керамическим покрытием Arctic, белый/красный")</f>
      </c>
      <c r="C26545" s="4" t="n">
        <v>1650.00</v>
      </c>
      <c r="D26545" s="4"/>
    </row>
    <row collapsed="" customFormat="false" customHeight="1" hidden="" ht="14" outlineLevel="0" r="26546">
      <c r="A26546" s="3" t="inlineStr">
        <is>
          <t>26435</t>
        </is>
      </c>
      <c r="B26546" s="4" t="s">
        <f>=HYPERLINK("http://anyluxury.ru/shop/posuda/termostakany/termokruzhka-vakuumnaya-s-keramicheskim-pokritiem-arctic-380-ml-beliyseriy-221013080/" , "221013.080 Термокружка вакуумная с керамическим покрытием Arctic, белый/серый")</f>
      </c>
      <c r="C26546" s="4" t="n">
        <v>1650.00</v>
      </c>
      <c r="D26546" s="4"/>
    </row>
    <row collapsed="" customFormat="false" customHeight="1" hidden="" ht="14" outlineLevel="0" r="26547">
      <c r="A26547" s="3" t="inlineStr">
        <is>
          <t>26436</t>
        </is>
      </c>
      <c r="B26547" s="4" t="s">
        <f>=HYPERLINK("http://anyluxury.ru/shop/posuda/termostakany/termokruzhka-vakuumnaya-s-keramicheskim-pokritiem-arctic-380-ml-beliysiniy-221013030/" , "221013.030 Термокружка вакуумная с керамическим покрытием Arctic, белый/синий")</f>
      </c>
      <c r="C26547" s="4" t="n">
        <v>1650.00</v>
      </c>
      <c r="D26547" s="4"/>
    </row>
    <row collapsed="" customFormat="false" customHeight="1" hidden="" ht="14" outlineLevel="0" r="26548">
      <c r="A26548" s="3" t="inlineStr">
        <is>
          <t>26437</t>
        </is>
      </c>
      <c r="B26548" s="4" t="s">
        <f>=HYPERLINK("http://anyluxury.ru/shop/posuda/termostakany/termokruzhka-vakuumnaya-crown-660-ml-matovoe-pokritie-akva-195391600/" , "195391.600 Термокружка вакуумная Crown, аква")</f>
      </c>
      <c r="C26548" s="4" t="n">
        <v>1485.00</v>
      </c>
      <c r="D26548" s="4"/>
    </row>
    <row collapsed="" customFormat="false" customHeight="1" hidden="" ht="14" outlineLevel="0" r="26549">
      <c r="A26549" s="3" t="inlineStr">
        <is>
          <t>26438</t>
        </is>
      </c>
      <c r="B26549" s="4" t="s">
        <f>=HYPERLINK("http://anyluxury.ru/shop/posuda/termostakany/termokruzhka-s-karabinom-arktika-400-stalnaya-1433610/" , "14336.10 Термокружка с карабином «Арктика 400», стальная")</f>
      </c>
      <c r="C26549" s="4" t="n">
        <v>608.00</v>
      </c>
      <c r="D26549" s="4"/>
    </row>
    <row collapsed="" customFormat="false" customHeight="1" hidden="" ht="14" outlineLevel="0" r="26550">
      <c r="A26550" s="3" t="inlineStr">
        <is>
          <t>26439</t>
        </is>
      </c>
      <c r="B26550" s="4" t="s">
        <f>=HYPERLINK("http://anyluxury.ru/shop/posuda/termostakany/termostakan-forma-fioletoviy-1139178/" , "11391.78 Термостакан Forma, фиолетовый")</f>
      </c>
      <c r="C26550" s="4" t="n">
        <v>676.00</v>
      </c>
      <c r="D26550" s="4"/>
    </row>
    <row collapsed="" customFormat="false" customHeight="1" hidden="" ht="14" outlineLevel="0" r="26551">
      <c r="A26551" s="3" t="inlineStr">
        <is>
          <t>26440</t>
        </is>
      </c>
      <c r="B26551" s="4" t="s">
        <f>=HYPERLINK("http://anyluxury.ru/shop/posuda/termostakany/termostakan-forma-zelenoe-yabloko-1139189/" , "11391.89 Термостакан Forma, зеленое яблоко")</f>
      </c>
      <c r="C26551" s="4" t="n">
        <v>676.00</v>
      </c>
      <c r="D26551" s="4"/>
    </row>
    <row collapsed="" customFormat="false" customHeight="1" hidden="" ht="14" outlineLevel="0" r="26552">
      <c r="A26552" s="3" t="inlineStr">
        <is>
          <t>26441</t>
        </is>
      </c>
      <c r="B26552" s="4" t="s">
        <f>=HYPERLINK("http://anyluxury.ru/shop/posuda/termostakany/termostakan-forma-temnosiniy-1139144/" , "11391.44 Термостакан Forma, темно-синий")</f>
      </c>
      <c r="C26552" s="4" t="n">
        <v>676.00</v>
      </c>
      <c r="D26552" s="4"/>
    </row>
    <row collapsed="" customFormat="false" customHeight="1" hidden="" ht="14" outlineLevel="0" r="26553">
      <c r="A26553" s="3" t="inlineStr">
        <is>
          <t>26442</t>
        </is>
      </c>
      <c r="B26553" s="4" t="s">
        <f>=HYPERLINK("http://anyluxury.ru/shop/posuda/termostakany/termostakan-underway-fioletoviy-314678/" , "3146.78 Термостакан Underway, фиолетовый")</f>
      </c>
      <c r="C26553" s="4" t="n">
        <v>591.00</v>
      </c>
      <c r="D26553" s="4"/>
    </row>
    <row collapsed="" customFormat="false" customHeight="1" hidden="" ht="14" outlineLevel="0" r="26554">
      <c r="A26554" s="3" t="inlineStr">
        <is>
          <t>26443</t>
        </is>
      </c>
      <c r="B26554" s="4" t="s">
        <f>=HYPERLINK("http://anyluxury.ru/shop/posuda/termostakany/termostakan-underway-zelenoe-yabloko-314689/" , "3146.89 Термостакан Underway, зеленое яблоко")</f>
      </c>
      <c r="C26554" s="4" t="n">
        <v>591.00</v>
      </c>
      <c r="D26554" s="4"/>
    </row>
    <row collapsed="" customFormat="false" customHeight="1" hidden="" ht="14" outlineLevel="0" r="26555">
      <c r="A26555" s="3" t="inlineStr">
        <is>
          <t>26444</t>
        </is>
      </c>
      <c r="B26555" s="4" t="s">
        <f>=HYPERLINK("http://anyluxury.ru/shop/posuda/termostakany/termostakan-underway-temnosiniy-314644/" , "3146.44 Термостакан Underway, темно-синий")</f>
      </c>
      <c r="C26555" s="4" t="n">
        <v>591.00</v>
      </c>
      <c r="D26555" s="4"/>
    </row>
    <row collapsed="" customFormat="false" customHeight="1" hidden="" ht="14" outlineLevel="0" r="26556">
      <c r="A26556" s="3" t="inlineStr">
        <is>
          <t>26445</t>
        </is>
      </c>
      <c r="B26556" s="4" t="s">
        <f>=HYPERLINK("http://anyluxury.ru/shop/posuda/termostakany/termokruzhka-juta-chernaya-1463830/" , "14638.30 Термокружка Juta, черная")</f>
      </c>
      <c r="C26556" s="4" t="n">
        <v>2499.00</v>
      </c>
      <c r="D26556" s="4"/>
    </row>
    <row collapsed="" customFormat="false" customHeight="1" hidden="" ht="14" outlineLevel="0" r="26557">
      <c r="A26557" s="3" t="inlineStr">
        <is>
          <t>26446</t>
        </is>
      </c>
      <c r="B26557" s="4" t="s">
        <f>=HYPERLINK("http://anyluxury.ru/shop/posuda/termostakany/termokruzhka-juta-zelenaya-myatnaya-1463890/" , "14638.90 Термокружка Juta, зеленая (мятная)")</f>
      </c>
      <c r="C26557" s="4" t="n">
        <v>2499.00</v>
      </c>
      <c r="D26557" s="4"/>
    </row>
    <row collapsed="" customFormat="false" customHeight="1" hidden="" ht="14" outlineLevel="0" r="26558">
      <c r="A26558" s="3" t="inlineStr">
        <is>
          <t>26447</t>
        </is>
      </c>
      <c r="B26558" s="4" t="s">
        <f>=HYPERLINK("http://anyluxury.ru/shop/posuda/termostakany/termokruzhka-juta-seraya-1463810/" , "14638.10 Термокружка Juta, серая")</f>
      </c>
      <c r="C26558" s="4" t="n">
        <v>2499.00</v>
      </c>
      <c r="D26558" s="4"/>
    </row>
    <row collapsed="" customFormat="false" customHeight="1" hidden="" ht="14" outlineLevel="0" r="26559">
      <c r="A26559" s="3" t="inlineStr">
        <is>
          <t>26448</t>
        </is>
      </c>
      <c r="B26559" s="4" t="s">
        <f>=HYPERLINK("http://anyluxury.ru/shop/posuda/termostakany/termokruzhka-juta-bezhevaya-1463812/" , "14638.12 Термокружка Juta, бежевая")</f>
      </c>
      <c r="C26559" s="4" t="n">
        <v>2499.00</v>
      </c>
      <c r="D26559" s="4"/>
    </row>
    <row collapsed="" customFormat="false" customHeight="1" hidden="" ht="14" outlineLevel="0" r="26560">
      <c r="A26560" s="3" t="inlineStr">
        <is>
          <t>26449</t>
        </is>
      </c>
      <c r="B26560" s="4" t="s">
        <f>=HYPERLINK("http://anyluxury.ru/shop/posuda/termostakany/termokruzhka-iz-pererabotannoy-nerzhaveyushhey-stali-standart-rcs-360-ml-p433065/" , "P433.065 Термокружка из переработанной нержавеющей стали (стандарт RCS), 360 мл")</f>
      </c>
      <c r="C26560" s="4" t="n">
        <v>2089.00</v>
      </c>
      <c r="D26560" s="4"/>
    </row>
    <row collapsed="" customFormat="false" customHeight="1" hidden="" ht="14" outlineLevel="0" r="26561">
      <c r="A26561" s="3" t="inlineStr">
        <is>
          <t>26450</t>
        </is>
      </c>
      <c r="B26561" s="4" t="s">
        <f>=HYPERLINK("http://anyluxury.ru/shop/posuda/termostakany/termokruzhka-iz-pererabotannoy-nerzhaveyushhey-stali-standart-rcs-360-ml-p433063/" , "P433.063 Термокружка из переработанной нержавеющей стали (стандарт RCS), 360 мл")</f>
      </c>
      <c r="C26561" s="4" t="n">
        <v>2089.00</v>
      </c>
      <c r="D26561" s="4"/>
    </row>
    <row collapsed="" customFormat="false" customHeight="1" hidden="" ht="14" outlineLevel="0" r="26562">
      <c r="A26562" s="3" t="inlineStr">
        <is>
          <t>26451</t>
        </is>
      </c>
      <c r="B26562" s="4" t="s">
        <f>=HYPERLINK("http://anyluxury.ru/shop/posuda/termostakany/termokruzhka-iz-pererabotannogo-polipropilena-grs-i-nerzhaveyushhey-stali-s-ruchkoy-480-ml-p433231/" , "P433.231 Термокружка из переработанного полипропилена GRS и нержавеющей стали с ручкой, 480 мл")</f>
      </c>
      <c r="C26562" s="4" t="n">
        <v>1569.00</v>
      </c>
      <c r="D26562" s="4"/>
    </row>
    <row collapsed="" customFormat="false" customHeight="1" hidden="" ht="14" outlineLevel="0" r="26563">
      <c r="A26563" s="3" t="inlineStr">
        <is>
          <t>26452</t>
        </is>
      </c>
      <c r="B26563" s="4" t="s">
        <f>=HYPERLINK("http://anyluxury.ru/shop/posuda/termostakany/termokruzhka-iz-pererabotannogo-polipropilena-grs-i-nerzhaveyushhey-stali-s-ruchkoy-480-ml-p433233/" , "P433.233 Термокружка из переработанного полипропилена GRS и нержавеющей стали с ручкой, 480 мл")</f>
      </c>
      <c r="C26563" s="4" t="n">
        <v>1569.00</v>
      </c>
      <c r="D26563" s="4"/>
    </row>
    <row collapsed="" customFormat="false" customHeight="1" hidden="" ht="14" outlineLevel="0" r="26564">
      <c r="A26564" s="3" t="inlineStr">
        <is>
          <t>26453</t>
        </is>
      </c>
      <c r="B26564" s="4" t="s">
        <f>=HYPERLINK("http://anyluxury.ru/shop/posuda/termostakany/termobutilka-vakuumnaya-germetichnaya-fresco-500-ml-oranzhevaya-19801070/" , "19801.070 Термобутылка вакуумная герметичная Fresco, оранжевая")</f>
      </c>
      <c r="C26564" s="4" t="n">
        <v>1727.00</v>
      </c>
      <c r="D26564" s="4"/>
    </row>
    <row collapsed="" customFormat="false" customHeight="1" hidden="" ht="14" outlineLevel="0" r="26565">
      <c r="A26565" s="3" t="inlineStr">
        <is>
          <t>26454</t>
        </is>
      </c>
      <c r="B26565" s="4" t="s">
        <f>=HYPERLINK("http://anyluxury.ru/shop/posuda/termostakany/termobutilka-vakuumnaya-germetichnaya-prima-500-ml-zelenaya-211022040/" , "211022.040 Термобутылка вакуумная герметичная Prima, зеленая")</f>
      </c>
      <c r="C26565" s="4" t="n">
        <v>1550.00</v>
      </c>
      <c r="D26565" s="4"/>
    </row>
    <row collapsed="" customFormat="false" customHeight="1" hidden="" ht="14" outlineLevel="0" r="26566">
      <c r="A26566" s="3" t="inlineStr">
        <is>
          <t>26455</t>
        </is>
      </c>
      <c r="B26566" s="4" t="s">
        <f>=HYPERLINK("http://anyluxury.ru/shop/posuda/termostakany/termostakan-sititerm-cherniy-1473830/" , "14738.30 Термостакан «Сититерм», черный")</f>
      </c>
      <c r="C26566" s="4" t="n">
        <v>1719.00</v>
      </c>
      <c r="D26566" s="4"/>
    </row>
    <row collapsed="" customFormat="false" customHeight="1" hidden="" ht="14" outlineLevel="0" r="26567">
      <c r="A26567" s="3" t="inlineStr">
        <is>
          <t>26456</t>
        </is>
      </c>
      <c r="B26567" s="4" t="s">
        <f>=HYPERLINK("http://anyluxury.ru/shop/posuda/termostakany/termobutilka-vinga-lean-450-ml-50951/" , "50951 Термобутылка VINGA Lean, 450 мл")</f>
      </c>
      <c r="C26567" s="4" t="n">
        <v>1529.00</v>
      </c>
      <c r="D26567" s="4"/>
    </row>
    <row collapsed="" customFormat="false" customHeight="1" hidden="" ht="14" outlineLevel="0" r="26568">
      <c r="A26568" s="3" t="inlineStr">
        <is>
          <t>26457</t>
        </is>
      </c>
      <c r="B26568" s="4" t="s">
        <f>=HYPERLINK("http://anyluxury.ru/shop/posuda/termostakany/termobutilka-vinga-lean-450-ml-50950/" , "50950 Термобутылка VINGA Lean, 450 мл")</f>
      </c>
      <c r="C26568" s="4" t="n">
        <v>1529.00</v>
      </c>
      <c r="D26568" s="4"/>
    </row>
    <row collapsed="" customFormat="false" customHeight="1" hidden="" ht="14" outlineLevel="0" r="26569">
      <c r="A26569" s="3" t="inlineStr">
        <is>
          <t>26458</t>
        </is>
      </c>
      <c r="B26569" s="4" t="s">
        <f>=HYPERLINK("http://anyluxury.ru/shop/posuda/termostakany/termobutilka-vinga-lean-450-ml-50952/" , "50952 Термобутылка VINGA Lean, 450 мл")</f>
      </c>
      <c r="C26569" s="4" t="n">
        <v>1529.00</v>
      </c>
      <c r="D26569" s="4"/>
    </row>
    <row collapsed="" customFormat="false" customHeight="1" hidden="" ht="14" outlineLevel="0" r="26570">
      <c r="A26570" s="3" t="inlineStr">
        <is>
          <t>26459</t>
        </is>
      </c>
      <c r="B26570" s="4" t="s">
        <f>=HYPERLINK("http://anyluxury.ru/shop/posuda/termostakany/termobutilka-vinga-lean-450-ml-50953bk/" , "50953BK Термобутылка VINGA Lean, 450 мл")</f>
      </c>
      <c r="C26570" s="4" t="n">
        <v>1529.00</v>
      </c>
      <c r="D26570" s="4"/>
    </row>
    <row collapsed="" customFormat="false" customHeight="1" hidden="" ht="14" outlineLevel="0" r="26571">
      <c r="A26571" s="3" t="inlineStr">
        <is>
          <t>26460</t>
        </is>
      </c>
      <c r="B26571" s="4" t="s">
        <f>=HYPERLINK("http://anyluxury.ru/shop/posuda/termostakany/termobutilka-vinga-lean-450-ml-50953db/" , "50953DB Термобутылка VINGA Lean, 450 мл")</f>
      </c>
      <c r="C26571" s="4" t="n">
        <v>1529.00</v>
      </c>
      <c r="D26571" s="4"/>
    </row>
    <row collapsed="" customFormat="false" customHeight="1" hidden="" ht="14" outlineLevel="0" r="26572">
      <c r="A26572" s="3" t="inlineStr">
        <is>
          <t>26461</t>
        </is>
      </c>
      <c r="B26572" s="4" t="s">
        <f>=HYPERLINK("http://anyluxury.ru/shop/posuda/termostakany/termobutilka-vinga-lean-450-ml-50953dg/" , "50953DG Термобутылка VINGA Lean, 450 мл")</f>
      </c>
      <c r="C26572" s="4" t="n">
        <v>1529.00</v>
      </c>
      <c r="D26572" s="4"/>
    </row>
    <row collapsed="" customFormat="false" customHeight="1" hidden="" ht="14" outlineLevel="0" r="26573">
      <c r="A26573" s="3" t="inlineStr">
        <is>
          <t>26462</t>
        </is>
      </c>
      <c r="B26573" s="4" t="s">
        <f>=HYPERLINK("http://anyluxury.ru/shop/posuda/termostakany/termobutilka-vinga-lean-450-ml-50953g/" , "50953G Термобутылка VINGA Lean, 450 мл")</f>
      </c>
      <c r="C26573" s="4" t="n">
        <v>1529.00</v>
      </c>
      <c r="D26573" s="4"/>
    </row>
    <row collapsed="" customFormat="false" customHeight="1" hidden="" ht="14" outlineLevel="0" r="26574">
      <c r="A26574" s="3" t="inlineStr">
        <is>
          <t>26463</t>
        </is>
      </c>
      <c r="B26574" s="4" t="s">
        <f>=HYPERLINK("http://anyluxury.ru/shop/posuda/termostakany/termobutilka-vinga-lean-450-ml-50953r/" , "50953R Термобутылка VINGA Lean, 450 мл")</f>
      </c>
      <c r="C26574" s="4" t="n">
        <v>1529.00</v>
      </c>
      <c r="D26574" s="4"/>
    </row>
    <row collapsed="" customFormat="false" customHeight="1" hidden="" ht="14" outlineLevel="0" r="26575">
      <c r="A26575" s="3" t="inlineStr">
        <is>
          <t>26464</t>
        </is>
      </c>
      <c r="B26575" s="4" t="s">
        <f>=HYPERLINK("http://anyluxury.ru/shop/posuda/termostakany/termobutilka-vinga-miles-1-l-5054/" , "5054 Термобутылка VINGA Miles, 1 л")</f>
      </c>
      <c r="C26575" s="4" t="n">
        <v>2659.00</v>
      </c>
      <c r="D26575" s="4"/>
    </row>
    <row collapsed="" customFormat="false" customHeight="1" hidden="" ht="14" outlineLevel="0" r="26576">
      <c r="A26576" s="3" t="inlineStr">
        <is>
          <t>26465</t>
        </is>
      </c>
      <c r="B26576" s="4" t="s">
        <f>=HYPERLINK("http://anyluxury.ru/shop/posuda/termostakany/termobutilka-vinga-miles-1-l-5058/" , "5058 Термобутылка VINGA Miles, 1 л")</f>
      </c>
      <c r="C26576" s="4" t="n">
        <v>2659.00</v>
      </c>
      <c r="D26576" s="4"/>
    </row>
    <row collapsed="" customFormat="false" customHeight="1" hidden="" ht="14" outlineLevel="0" r="26577">
      <c r="A26577" s="3" t="inlineStr">
        <is>
          <t>26466</t>
        </is>
      </c>
      <c r="B26577" s="4" t="s">
        <f>=HYPERLINK("http://anyluxury.ru/shop/posuda/termostakany/termobutilka-vinga-miles-500-ml-5042/" , "5042 Термобутылка VINGA Miles, 500 мл")</f>
      </c>
      <c r="C26577" s="4" t="n">
        <v>1739.00</v>
      </c>
      <c r="D26577" s="4"/>
    </row>
    <row collapsed="" customFormat="false" customHeight="1" hidden="" ht="14" outlineLevel="0" r="26578">
      <c r="A26578" s="3" t="inlineStr">
        <is>
          <t>26467</t>
        </is>
      </c>
      <c r="B26578" s="4" t="s">
        <f>=HYPERLINK("http://anyluxury.ru/shop/posuda/termostakany/termobutilka-vinga-miles-500-ml-5043/" , "5043 Термобутылка VINGA Miles, 500 мл")</f>
      </c>
      <c r="C26578" s="4" t="n">
        <v>1739.00</v>
      </c>
      <c r="D26578" s="4"/>
    </row>
    <row collapsed="" customFormat="false" customHeight="1" hidden="" ht="14" outlineLevel="0" r="26579">
      <c r="A26579" s="3" t="inlineStr">
        <is>
          <t>26468</t>
        </is>
      </c>
      <c r="B26579" s="4" t="s">
        <f>=HYPERLINK("http://anyluxury.ru/shop/posuda/termostakany/termobutilka-vinga-miles-500-ml-5044/" , "5044 Термобутылка VINGA Miles, 500 мл")</f>
      </c>
      <c r="C26579" s="4" t="n">
        <v>1739.00</v>
      </c>
      <c r="D26579" s="4"/>
    </row>
    <row collapsed="" customFormat="false" customHeight="1" hidden="" ht="14" outlineLevel="0" r="26580">
      <c r="A26580" s="3" t="inlineStr">
        <is>
          <t>26469</t>
        </is>
      </c>
      <c r="B26580" s="4" t="s">
        <f>=HYPERLINK("http://anyluxury.ru/shop/posuda/termostakany/termobutilka-vinga-miles-500-ml-5048/" , "5048 Термобутылка VINGA Miles, 500 мл")</f>
      </c>
      <c r="C26580" s="4" t="n">
        <v>1739.00</v>
      </c>
      <c r="D26580" s="4"/>
    </row>
    <row collapsed="" customFormat="false" customHeight="1" hidden="" ht="14" outlineLevel="0" r="26581">
      <c r="A26581" s="3" t="inlineStr">
        <is>
          <t>26470</t>
        </is>
      </c>
      <c r="B26581" s="4" t="s">
        <f>=HYPERLINK("http://anyluxury.ru/shop/posuda/termostakany/termobutilka-vinga-miles-500-ml-5053/" , "5053 Термобутылка VINGA Miles, 500 мл")</f>
      </c>
      <c r="C26581" s="4" t="n">
        <v>1739.00</v>
      </c>
      <c r="D26581" s="4"/>
    </row>
    <row collapsed="" customFormat="false" customHeight="1" hidden="" ht="14" outlineLevel="0" r="26582">
      <c r="A26582" s="3" t="inlineStr">
        <is>
          <t>26471</t>
        </is>
      </c>
      <c r="B26582" s="4" t="s">
        <f>=HYPERLINK("http://anyluxury.ru/shop/posuda/termostakany/termobutilka-vinga-miles-500-ml-5059/" , "5059 Термобутылка VINGA Miles, 500 мл")</f>
      </c>
      <c r="C26582" s="4" t="n">
        <v>1739.00</v>
      </c>
      <c r="D26582" s="4"/>
    </row>
    <row collapsed="" customFormat="false" customHeight="1" hidden="" ht="14" outlineLevel="0" r="26583">
      <c r="A26583" s="3" t="inlineStr">
        <is>
          <t>26472</t>
        </is>
      </c>
      <c r="B26583" s="4" t="s">
        <f>=HYPERLINK("http://anyluxury.ru/shop/posuda/termostakany/termostakan-tralee-oranzheviy-689820/" , "6898.20 Термостакан Tralee, оранжевый")</f>
      </c>
      <c r="C26583" s="4" t="n">
        <v>1497.00</v>
      </c>
      <c r="D26583" s="4"/>
    </row>
    <row collapsed="" customFormat="false" customHeight="1" hidden="" ht="14" outlineLevel="0" r="26584">
      <c r="A26584" s="3" t="inlineStr">
        <is>
          <t>26473</t>
        </is>
      </c>
      <c r="B26584" s="4" t="s">
        <f>=HYPERLINK("http://anyluxury.ru/shop/posuda/termostakany/termostakan-tralee-krasniy-689850/" , "6898.50 Термостакан Tralee, красный")</f>
      </c>
      <c r="C26584" s="4" t="n">
        <v>1497.00</v>
      </c>
      <c r="D26584" s="4"/>
    </row>
    <row collapsed="" customFormat="false" customHeight="1" hidden="" ht="14" outlineLevel="0" r="26585">
      <c r="A26585" s="3" t="inlineStr">
        <is>
          <t>26474</t>
        </is>
      </c>
      <c r="B26585" s="4" t="s">
        <f>=HYPERLINK("http://anyluxury.ru/shop/posuda/termostakany/termostakan-tralee-zeleniy-689890/" , "6898.90 Термостакан Tralee, зеленый")</f>
      </c>
      <c r="C26585" s="4" t="n">
        <v>1497.00</v>
      </c>
      <c r="D26585" s="4"/>
    </row>
    <row collapsed="" customFormat="false" customHeight="1" hidden="" ht="14" outlineLevel="0" r="26586">
      <c r="A26586" s="3" t="inlineStr">
        <is>
          <t>26475</t>
        </is>
      </c>
      <c r="B26586" s="4" t="s">
        <f>=HYPERLINK("http://anyluxury.ru/shop/posuda/termostakany/termobutilka-vakuumnaya-germetichnaya-prima-500-ml-fioletovaya-211022034/" , "211022.034 Термобутылка вакуумная герметичная Prima, фиолетовая")</f>
      </c>
      <c r="C26586" s="4" t="n">
        <v>1550.00</v>
      </c>
      <c r="D26586" s="4"/>
    </row>
    <row collapsed="" customFormat="false" customHeight="1" hidden="" ht="14" outlineLevel="0" r="26587">
      <c r="A26587" s="3" t="inlineStr">
        <is>
          <t>26476</t>
        </is>
      </c>
      <c r="B26587" s="4" t="s">
        <f>=HYPERLINK("http://anyluxury.ru/shop/posuda/termostakany/termobutilka-vakuumnaya-germetichnaya-modena-500-ml-seraya-230001080/" , "230001.080 Термобутылка вакуумная герметичная Modena, серая")</f>
      </c>
      <c r="C26587" s="4" t="n">
        <v>1549.00</v>
      </c>
      <c r="D26587" s="4"/>
    </row>
    <row collapsed="" customFormat="false" customHeight="1" hidden="" ht="14" outlineLevel="0" r="26588">
      <c r="A26588" s="3" t="inlineStr">
        <is>
          <t>26477</t>
        </is>
      </c>
      <c r="B26588" s="4" t="s">
        <f>=HYPERLINK("http://anyluxury.ru/shop/posuda/termostakany/termobutilka-vakuumnaya-germetichnaya-modena-500-ml-sinyaya-230001030/" , "230001.030 Термобутылка вакуумная герметичная Modena, синяя")</f>
      </c>
      <c r="C26588" s="4" t="n">
        <v>1549.00</v>
      </c>
      <c r="D26588" s="4"/>
    </row>
    <row collapsed="" customFormat="false" customHeight="1" hidden="" ht="14" outlineLevel="0" r="26589">
      <c r="A26589" s="3" t="inlineStr">
        <is>
          <t>26478</t>
        </is>
      </c>
      <c r="B26589" s="4" t="s">
        <f>=HYPERLINK("http://anyluxury.ru/shop/posuda/termostakany/termobutilka-vakuumnaya-germetichnaya-modena-500-ml-chernaya-230001010/" , "230001.010 Термобутылка вакуумная герметичная Modena, черная")</f>
      </c>
      <c r="C26589" s="4" t="n">
        <v>1549.00</v>
      </c>
      <c r="D26589" s="4"/>
    </row>
    <row collapsed="" customFormat="false" customHeight="1" hidden="" ht="14" outlineLevel="0" r="26590">
      <c r="A26590" s="3" t="inlineStr">
        <is>
          <t>26479</t>
        </is>
      </c>
      <c r="B26590" s="4" t="s">
        <f>=HYPERLINK("http://anyluxury.ru/shop/posuda/termostakany/butilka-steklyannaya-s-dvoynimi-stenkami-bianca-300-ml-chernaya-224198010/" , "224198.010 Бутылка стеклянная с двойными стенками Bianca, черная")</f>
      </c>
      <c r="C26590" s="4" t="n">
        <v>1292.00</v>
      </c>
      <c r="D26590" s="4"/>
    </row>
    <row collapsed="" customFormat="false" customHeight="1" hidden="" ht="14" outlineLevel="0" r="26591">
      <c r="A26591" s="3" t="inlineStr">
        <is>
          <t>26480</t>
        </is>
      </c>
      <c r="B26591" s="4" t="s">
        <f>=HYPERLINK("http://anyluxury.ru/shop/posuda/termostakany/termokruzhka-relaxika-belaya-1552060/" , "15520.60 Термокружка Relaxika, белая")</f>
      </c>
      <c r="C26591" s="4" t="n">
        <v>1390.00</v>
      </c>
      <c r="D26591" s="4"/>
    </row>
    <row collapsed="" customFormat="false" customHeight="1" hidden="" ht="14" outlineLevel="0" r="26592">
      <c r="A26592" s="3" t="inlineStr">
        <is>
          <t>26481</t>
        </is>
      </c>
      <c r="B26592" s="4" t="s">
        <f>=HYPERLINK("http://anyluxury.ru/shop/posuda/termostakany/termokruzhka-relaxika-sinyaya-1552040/" , "15520.40 Термокружка Relaxika, синяя")</f>
      </c>
      <c r="C26592" s="4" t="n">
        <v>1390.00</v>
      </c>
      <c r="D26592" s="4"/>
    </row>
    <row collapsed="" customFormat="false" customHeight="1" hidden="" ht="14" outlineLevel="0" r="26593">
      <c r="A26593" s="3" t="inlineStr">
        <is>
          <t>26482</t>
        </is>
      </c>
      <c r="B26593" s="4" t="s">
        <f>=HYPERLINK("http://anyluxury.ru/shop/posuda/termostakany/termokruzhka-relaxika-chernaya-1552030/" , "15520.30 Термокружка Relaxika, черная")</f>
      </c>
      <c r="C26593" s="4" t="n">
        <v>1390.00</v>
      </c>
      <c r="D26593" s="4"/>
    </row>
    <row collapsed="" customFormat="false" customHeight="1" hidden="" ht="14" outlineLevel="0" r="26594">
      <c r="A26594" s="3" t="inlineStr">
        <is>
          <t>26483</t>
        </is>
      </c>
      <c r="B26594" s="4" t="s">
        <f>=HYPERLINK("http://anyluxury.ru/shop/posuda/termostakany/termobutilka-vakuumnaya-germetichnaya-sorento-500-ml-akva-23802600/" , "23802.600 Термобутылка вакуумная герметичная Sorento, аква")</f>
      </c>
      <c r="C26594" s="4" t="n">
        <v>1507.00</v>
      </c>
      <c r="D26594" s="4"/>
    </row>
    <row collapsed="" customFormat="false" customHeight="1" hidden="" ht="14" outlineLevel="0" r="26595">
      <c r="A26595" s="3" t="inlineStr">
        <is>
          <t>26484</t>
        </is>
      </c>
      <c r="B26595" s="4" t="s">
        <f>=HYPERLINK("http://anyluxury.ru/shop/posuda/termostakany/termobutilka-vakuumnaya-germetichnaya-sorento-500-ml-seraya-23802080/" , "23802.080 Термобутылка вакуумная герметичная Sorento, серая")</f>
      </c>
      <c r="C26595" s="4" t="n">
        <v>1507.00</v>
      </c>
      <c r="D26595" s="4"/>
    </row>
    <row collapsed="" customFormat="false" customHeight="1" hidden="" ht="14" outlineLevel="0" r="26596">
      <c r="A26596" s="3" t="inlineStr">
        <is>
          <t>26485</t>
        </is>
      </c>
      <c r="B26596" s="4" t="s">
        <f>=HYPERLINK("http://anyluxury.ru/shop/posuda/termostakany/termobutilka-vakuumnaya-germetichnaya-sorento-500-ml-sinyaya-23802030/" , "23802.030 Термобутылка вакуумная герметичная Sorento, синяя")</f>
      </c>
      <c r="C26596" s="4" t="n">
        <v>1507.00</v>
      </c>
      <c r="D26596" s="4"/>
    </row>
    <row collapsed="" customFormat="false" customHeight="1" hidden="" ht="14" outlineLevel="0" r="26597">
      <c r="A26597" s="3" t="inlineStr">
        <is>
          <t>26486</t>
        </is>
      </c>
      <c r="B26597" s="4" t="s">
        <f>=HYPERLINK("http://anyluxury.ru/shop/posuda/termostakany/termobutilka-vakuumnaya-germetichnaya-sorento-500-ml-chernaya-23802010/" , "23802.010 Термобутылка вакуумная герметичная Sorento, черная")</f>
      </c>
      <c r="C26597" s="4" t="n">
        <v>1507.00</v>
      </c>
      <c r="D26597" s="4"/>
    </row>
    <row collapsed="" customFormat="false" customHeight="1" hidden="" ht="14" outlineLevel="0" r="26598">
      <c r="A26598" s="3" t="inlineStr">
        <is>
          <t>26487</t>
        </is>
      </c>
      <c r="B26598" s="4" t="s">
        <f>=HYPERLINK("http://anyluxury.ru/shop/posuda/termostakany/termobutilka-vakuumnaya-germetichnaya-prima-500-ml-krasnaya-231022060/" , "231022.060 Термобутылка вакуумная герметичная Prima, красная")</f>
      </c>
      <c r="C26598" s="4" t="n">
        <v>1550.00</v>
      </c>
      <c r="D26598" s="4"/>
    </row>
    <row collapsed="" customFormat="false" customHeight="1" hidden="" ht="14" outlineLevel="0" r="26599">
      <c r="A26599" s="3" t="inlineStr">
        <is>
          <t>26488</t>
        </is>
      </c>
      <c r="B26599" s="4" t="s">
        <f>=HYPERLINK("http://anyluxury.ru/shop/posuda/termostakany/termokruzhka-vakuumnaya-palermo-480-ml-zelenaya-208002040/" , "208002.040 Термокружка вакуумная Palermo, зеленая")</f>
      </c>
      <c r="C26599" s="4" t="n">
        <v>1519.00</v>
      </c>
      <c r="D26599" s="4"/>
    </row>
    <row collapsed="" customFormat="false" customHeight="1" hidden="" ht="14" outlineLevel="0" r="26600">
      <c r="A26600" s="3" t="inlineStr">
        <is>
          <t>26489</t>
        </is>
      </c>
      <c r="B26600" s="4" t="s">
        <f>=HYPERLINK("http://anyluxury.ru/shop/posuda/termostakany/termokruzhka-vakuumnaya-palermo-480-ml-krasnaya-208002060/" , "208002.060 Термокружка вакуумная Palermo, красная")</f>
      </c>
      <c r="C26600" s="4" t="n">
        <v>1519.00</v>
      </c>
      <c r="D26600" s="4"/>
    </row>
    <row collapsed="" customFormat="false" customHeight="1" hidden="" ht="14" outlineLevel="0" r="26601">
      <c r="A26601" s="3" t="inlineStr">
        <is>
          <t>26490</t>
        </is>
      </c>
      <c r="B26601" s="4" t="s">
        <f>=HYPERLINK("http://anyluxury.ru/shop/posuda/termostakany/vakuumnaya-termokruzhka-cork-iz-pererabotannoy-nerzhaveyushhey-stali-rcs-180-ml-p435053/" , "P435.053 Вакуумная термокружка Cork из переработанной нержавеющей стали RCS, 180 мл")</f>
      </c>
      <c r="C26601" s="4" t="n">
        <v>2389.00</v>
      </c>
      <c r="D26601" s="4"/>
    </row>
    <row collapsed="" customFormat="false" customHeight="1" hidden="" ht="14" outlineLevel="0" r="26602">
      <c r="A26602" s="3" t="inlineStr">
        <is>
          <t>26491</t>
        </is>
      </c>
      <c r="B26602" s="4" t="s">
        <f>=HYPERLINK("http://anyluxury.ru/shop/posuda/termostakany/vakuumnaya-termokruzhka-cork-iz-pererabotannoy-nerzhaveyushhey-stali-rcs-180-ml-p435051/" , "P435.051 Вакуумная термокружка Cork из переработанной нержавеющей стали RCS, 180 мл")</f>
      </c>
      <c r="C26602" s="4" t="n">
        <v>2389.00</v>
      </c>
      <c r="D26602" s="4"/>
    </row>
    <row collapsed="" customFormat="false" customHeight="1" hidden="" ht="14" outlineLevel="0" r="26603">
      <c r="A26603" s="3" t="inlineStr">
        <is>
          <t>26492</t>
        </is>
      </c>
      <c r="B26603" s="4" t="s">
        <f>=HYPERLINK("http://anyluxury.ru/shop/posuda/termostakany/vakuumnaya-termokruzhka-cork-iz-pererabotannoy-nerzhaveyushhey-stali-rcs-180-ml-p435052/" , "P435.052 Вакуумная термокружка Cork из переработанной нержавеющей стали RCS, 180 мл")</f>
      </c>
      <c r="C26603" s="4" t="n">
        <v>2389.00</v>
      </c>
      <c r="D26603" s="4"/>
    </row>
    <row collapsed="" customFormat="false" customHeight="1" hidden="" ht="14" outlineLevel="0" r="26604">
      <c r="A26604" s="3" t="inlineStr">
        <is>
          <t>26493</t>
        </is>
      </c>
      <c r="B26604" s="4" t="s">
        <f>=HYPERLINK("http://anyluxury.ru/shop/posuda/termostakany/vakuumnaya-termokruzhka-cork-iz-pererabotannoy-nerzhaveyushhey-stali-rcs-180-ml-p435055/" , "P435.055 Вакуумная термокружка Cork из переработанной нержавеющей стали RCS, 180 мл")</f>
      </c>
      <c r="C26604" s="4" t="n">
        <v>2389.00</v>
      </c>
      <c r="D26604" s="4"/>
    </row>
    <row collapsed="" customFormat="false" customHeight="1" hidden="" ht="14" outlineLevel="0" r="26605">
      <c r="A26605" s="3" t="inlineStr">
        <is>
          <t>26494</t>
        </is>
      </c>
      <c r="B26605" s="4" t="s">
        <f>=HYPERLINK("http://anyluxury.ru/shop/posuda/termostakany/termobutilka-vakuumnaya-germetichnaya-prima-500-ml-chernaya-231022010/" , "231022.010 Термобутылка вакуумная герметичная Prima, черная")</f>
      </c>
      <c r="C26605" s="4" t="n">
        <v>1550.00</v>
      </c>
      <c r="D26605" s="4"/>
    </row>
    <row collapsed="" customFormat="false" customHeight="1" hidden="" ht="14" outlineLevel="0" r="26606">
      <c r="A26606" s="3" t="inlineStr">
        <is>
          <t>26495</t>
        </is>
      </c>
      <c r="B26606" s="4" t="s">
        <f>=HYPERLINK("http://anyluxury.ru/shop/posuda/termostakany/termokruzhka-stanley-classic-neverleak-250-zelenaya-1537190/" , "15371.90 Термокружка Stanley Classic Neverleak 250, зеленая")</f>
      </c>
      <c r="C26606" s="4" t="n">
        <v>2320.00</v>
      </c>
      <c r="D26606" s="4"/>
    </row>
    <row collapsed="" customFormat="false" customHeight="1" hidden="" ht="14" outlineLevel="0" r="26607">
      <c r="A26607" s="3" t="inlineStr">
        <is>
          <t>26496</t>
        </is>
      </c>
      <c r="B26607" s="4" t="s">
        <f>=HYPERLINK("http://anyluxury.ru/shop/posuda/termostakany/termokruzhka-stanley-classic-neverleak-250-golubaya-1537114/" , "15371.14 Термокружка Stanley Classic Neverleak 250, голубая")</f>
      </c>
      <c r="C26607" s="4" t="n">
        <v>2320.00</v>
      </c>
      <c r="D26607" s="4"/>
    </row>
    <row collapsed="" customFormat="false" customHeight="1" hidden="" ht="14" outlineLevel="0" r="26608">
      <c r="A26608" s="3" t="inlineStr">
        <is>
          <t>26497</t>
        </is>
      </c>
      <c r="B26608" s="4" t="s">
        <f>=HYPERLINK("http://anyluxury.ru/shop/posuda/termostakany/termokruzhka-stanley-classic-neverleak-250-temnoyantarnaya-1537120/" , "15371.20 Термокружка Stanley Classic Neverleak 250, темно-янтарная")</f>
      </c>
      <c r="C26608" s="4" t="n">
        <v>2320.00</v>
      </c>
      <c r="D26608" s="4"/>
    </row>
    <row collapsed="" customFormat="false" customHeight="1" hidden="" ht="14" outlineLevel="0" r="26609">
      <c r="A26609" s="3" t="inlineStr">
        <is>
          <t>26498</t>
        </is>
      </c>
      <c r="B26609" s="4" t="s">
        <f>=HYPERLINK("http://anyluxury.ru/shop/posuda/termostakany/termokruzhka-stanley-classic-neverleak-250-chernaya-1537130/" , "15371.30 Термокружка Stanley Classic Neverleak 250, черная")</f>
      </c>
      <c r="C26609" s="4" t="n">
        <v>2320.00</v>
      </c>
      <c r="D26609" s="4"/>
    </row>
    <row collapsed="" customFormat="false" customHeight="1" hidden="" ht="14" outlineLevel="0" r="26610">
      <c r="A26610" s="3" t="inlineStr">
        <is>
          <t>26499</t>
        </is>
      </c>
      <c r="B26610" s="4" t="s">
        <f>=HYPERLINK("http://anyluxury.ru/shop/posuda/termostakany/termokruzhka-stanley-classic-neverleak-350-golubaya-1519914/" , "15199.14 Термокружка Stanley Classic Neverleak 350, голубая")</f>
      </c>
      <c r="C26610" s="4" t="n">
        <v>3060.00</v>
      </c>
      <c r="D26610" s="4"/>
    </row>
    <row collapsed="" customFormat="false" customHeight="1" hidden="" ht="14" outlineLevel="0" r="26611">
      <c r="A26611" s="3" t="inlineStr">
        <is>
          <t>26500</t>
        </is>
      </c>
      <c r="B26611" s="4" t="s">
        <f>=HYPERLINK("http://anyluxury.ru/shop/posuda/termostakany/termokruzhka-stanley-classic-neverleak-350-temnoyantarnaya-1519920/" , "15199.20 Термокружка Stanley Classic Neverleak 350, темно-янтарная")</f>
      </c>
      <c r="C26611" s="4" t="n">
        <v>3060.00</v>
      </c>
      <c r="D26611" s="4"/>
    </row>
    <row collapsed="" customFormat="false" customHeight="1" hidden="" ht="14" outlineLevel="0" r="26612">
      <c r="A26612" s="3" t="inlineStr">
        <is>
          <t>26501</t>
        </is>
      </c>
      <c r="B26612" s="4" t="s">
        <f>=HYPERLINK("http://anyluxury.ru/shop/posuda/termostakany/termokruzhka-s-karabinom-arktika-300-stalnaya-1566310/" , "15663.10 Термокружка с карабином «Арктика 300», стальная")</f>
      </c>
      <c r="C26612" s="4" t="n">
        <v>591.00</v>
      </c>
      <c r="D26612" s="4"/>
    </row>
    <row collapsed="" customFormat="false" customHeight="1" hidden="" ht="14" outlineLevel="0" r="26613">
      <c r="A26613" s="3" t="inlineStr">
        <is>
          <t>26502</t>
        </is>
      </c>
      <c r="B26613" s="4" t="s">
        <f>=HYPERLINK("http://anyluxury.ru/shop/posuda/termostakany/butilka-steklyannaya-s-dvoynimi-stenkami-aravia-380-ml-sinyaya-224194030/" , "224194.030 Бутылка стеклянная с двойными стенками Aravia, синяя")</f>
      </c>
      <c r="C26613" s="4" t="n">
        <v>1185.00</v>
      </c>
      <c r="D26613" s="4"/>
    </row>
    <row collapsed="" customFormat="false" customHeight="1" hidden="" ht="14" outlineLevel="0" r="26614">
      <c r="A26614" s="3" t="inlineStr">
        <is>
          <t>26503</t>
        </is>
      </c>
      <c r="B26614" s="4" t="s">
        <f>=HYPERLINK("http://anyluxury.ru/shop/posuda/termostakany/butilka-steklyannaya-s-dvoynimi-stenkami-terso-300-ml-chernaya-224196010/" , "224196.010 Бутылка стеклянная с двойными стенками Terso, черная")</f>
      </c>
      <c r="C26614" s="4" t="n">
        <v>1459.00</v>
      </c>
      <c r="D26614" s="4"/>
    </row>
    <row collapsed="" customFormat="false" customHeight="1" hidden="" ht="14" outlineLevel="0" r="26615">
      <c r="A26615" s="3" t="inlineStr">
        <is>
          <t>26504</t>
        </is>
      </c>
      <c r="B26615" s="4" t="s">
        <f>=HYPERLINK("http://anyluxury.ru/shop/posuda/termostakany/termokruzhka-vakuumnaya-palermo-480-ml-sinyaya-2080020301/" , "208002.030.1 Термокружка вакуумная Palermo, синяя")</f>
      </c>
      <c r="C26615" s="4" t="n">
        <v>1519.00</v>
      </c>
      <c r="D26615" s="4"/>
    </row>
    <row collapsed="" customFormat="false" customHeight="1" hidden="" ht="14" outlineLevel="0" r="26616">
      <c r="A26616" s="3" t="inlineStr">
        <is>
          <t>26505</t>
        </is>
      </c>
      <c r="B26616" s="4" t="s">
        <f>=HYPERLINK("http://anyluxury.ru/shop/posuda/termostakany/smartstakan-tellmug-beliy-1561860/" , "15618.60 Смарт-стакан tellMug с заменяемой батареей, белый")</f>
      </c>
      <c r="C26616" s="4" t="n">
        <v>1299.00</v>
      </c>
      <c r="D26616" s="4"/>
    </row>
    <row collapsed="" customFormat="false" customHeight="1" hidden="" ht="14" outlineLevel="0" r="26617">
      <c r="A26617" s="3" t="inlineStr">
        <is>
          <t>26506</t>
        </is>
      </c>
      <c r="B26617" s="4" t="s">
        <f>=HYPERLINK("http://anyluxury.ru/shop/posuda/termostakany/termostakan-canella-zelenoe-yabloko-1239498/" , "12394.98 Термостакан Canella, зеленый матовый (яблоко)")</f>
      </c>
      <c r="C26617" s="4" t="n">
        <v>436.00</v>
      </c>
      <c r="D26617" s="4"/>
    </row>
    <row collapsed="" customFormat="false" customHeight="1" hidden="" ht="14" outlineLevel="0" r="26618">
      <c r="A26618" s="3" t="inlineStr">
        <is>
          <t>26507</t>
        </is>
      </c>
      <c r="B26618" s="4" t="s">
        <f>=HYPERLINK("http://anyluxury.ru/shop/posuda/termostakany/termostakan-canella-seriy-1239411/" , "12394.11 Термостакан Canella, серый матовый")</f>
      </c>
      <c r="C26618" s="4" t="n">
        <v>436.00</v>
      </c>
      <c r="D26618" s="4"/>
    </row>
    <row collapsed="" customFormat="false" customHeight="1" hidden="" ht="14" outlineLevel="0" r="26619">
      <c r="A26619" s="3" t="inlineStr">
        <is>
          <t>26508</t>
        </is>
      </c>
      <c r="B26619" s="4" t="s">
        <f>=HYPERLINK("http://anyluxury.ru/shop/posuda/termostakany/termostakan-canella-serebristiy-1239410/" , "12394.10 Термостакан Canella, серебристый")</f>
      </c>
      <c r="C26619" s="4" t="n">
        <v>436.00</v>
      </c>
      <c r="D26619" s="4"/>
    </row>
    <row collapsed="" customFormat="false" customHeight="1" hidden="" ht="14" outlineLevel="0" r="26620">
      <c r="A26620" s="3" t="inlineStr">
        <is>
          <t>26509</t>
        </is>
      </c>
      <c r="B26620" s="4" t="s">
        <f>=HYPERLINK("http://anyluxury.ru/shop/posuda/termostakany/termostakan-prism-seriy-1239510/" , "12395.10 Термостакан Prism, серый")</f>
      </c>
      <c r="C26620" s="4" t="n">
        <v>586.00</v>
      </c>
      <c r="D26620" s="4"/>
    </row>
    <row collapsed="" customFormat="false" customHeight="1" hidden="" ht="14" outlineLevel="0" r="26621">
      <c r="A26621" s="3" t="inlineStr">
        <is>
          <t>26510</t>
        </is>
      </c>
      <c r="B26621" s="4" t="s">
        <f>=HYPERLINK("http://anyluxury.ru/shop/posuda/termostakany/termostakan-prism-zeleniy-1239590/" , "12395.90 Термостакан Prism, зеленый")</f>
      </c>
      <c r="C26621" s="4" t="n">
        <v>586.00</v>
      </c>
      <c r="D26621" s="4"/>
    </row>
    <row collapsed="" customFormat="false" customHeight="1" hidden="" ht="14" outlineLevel="0" r="26622">
      <c r="A26622" s="3" t="inlineStr">
        <is>
          <t>26511</t>
        </is>
      </c>
      <c r="B26622" s="4" t="s">
        <f>=HYPERLINK("http://anyluxury.ru/shop/posuda/termostakany/termostakan-prism-temnosiniy-1239544/" , "12395.44 Термостакан Prism, темно-синий")</f>
      </c>
      <c r="C26622" s="4" t="n">
        <v>586.00</v>
      </c>
      <c r="D26622" s="4"/>
    </row>
    <row collapsed="" customFormat="false" customHeight="1" hidden="" ht="14" outlineLevel="0" r="26623">
      <c r="A26623" s="3" t="inlineStr">
        <is>
          <t>26512</t>
        </is>
      </c>
      <c r="B26623" s="4" t="s">
        <f>=HYPERLINK("http://anyluxury.ru/shop/posuda/termostakany/termostakan-prism-zheltiy-1239580/" , "12395.80 Термостакан Prism, желтый")</f>
      </c>
      <c r="C26623" s="4" t="n">
        <v>586.00</v>
      </c>
      <c r="D26623" s="4"/>
    </row>
    <row collapsed="" customFormat="false" customHeight="1" hidden="" ht="14" outlineLevel="0" r="26624">
      <c r="A26624" s="3" t="inlineStr">
        <is>
          <t>26513</t>
        </is>
      </c>
      <c r="B26624" s="4" t="s">
        <f>=HYPERLINK("http://anyluxury.ru/shop/posuda/termostakany/termostakan-s-sitechkom-no-leak-infuser-oranzheviy-1365020/" , "13650.20 Термостакан с ситечком No Leak Infuser, оранжевый")</f>
      </c>
      <c r="C26624" s="4" t="n">
        <v>999.00</v>
      </c>
      <c r="D26624" s="4"/>
    </row>
    <row collapsed="" customFormat="false" customHeight="1" hidden="" ht="14" outlineLevel="0" r="26625">
      <c r="A26625" s="3" t="inlineStr">
        <is>
          <t>26514</t>
        </is>
      </c>
      <c r="B26625" s="4" t="s">
        <f>=HYPERLINK("http://anyluxury.ru/shop/posuda/termostakany/termostakan-s-sitechkom-no-leak-infuser-seriy-1365010/" , "13650.10 Термостакан с ситечком No Leak Infuser, серый")</f>
      </c>
      <c r="C26625" s="4" t="n">
        <v>999.00</v>
      </c>
      <c r="D26625" s="4"/>
    </row>
    <row collapsed="" customFormat="false" customHeight="1" hidden="" ht="14" outlineLevel="0" r="26626">
      <c r="A26626" s="3" t="inlineStr">
        <is>
          <t>26515</t>
        </is>
      </c>
      <c r="B26626" s="4" t="s">
        <f>=HYPERLINK("http://anyluxury.ru/shop/posuda/termostakany/termostakan-tralee-xl-seriy-1542511/" , "15425.11 Термостакан Tralee XL, серый")</f>
      </c>
      <c r="C26626" s="4" t="n">
        <v>1759.00</v>
      </c>
      <c r="D26626" s="4"/>
    </row>
    <row collapsed="" customFormat="false" customHeight="1" hidden="" ht="14" outlineLevel="0" r="26627">
      <c r="A26627" s="3" t="inlineStr">
        <is>
          <t>26516</t>
        </is>
      </c>
      <c r="B26627" s="4" t="s">
        <f>=HYPERLINK("http://anyluxury.ru/shop/posuda/termostakany/termostakan-tralee-xl-siniy-1542540/" , "15425.40 Термостакан Tralee XL, синий")</f>
      </c>
      <c r="C26627" s="4" t="n">
        <v>1759.00</v>
      </c>
      <c r="D26627" s="4"/>
    </row>
    <row collapsed="" customFormat="false" customHeight="1" hidden="" ht="14" outlineLevel="0" r="26628">
      <c r="A26628" s="3" t="inlineStr">
        <is>
          <t>26517</t>
        </is>
      </c>
      <c r="B26628" s="4" t="s">
        <f>=HYPERLINK("http://anyluxury.ru/shop/posuda/termostakany/termostakan-tralee-xl-cherniy-1542530/" , "15425.30 Термостакан Tralee XL, черный")</f>
      </c>
      <c r="C26628" s="4" t="n">
        <v>1759.00</v>
      </c>
      <c r="D26628" s="4"/>
    </row>
    <row collapsed="" customFormat="false" customHeight="1" hidden="" ht="14" outlineLevel="0" r="26629">
      <c r="A26629" s="3" t="inlineStr">
        <is>
          <t>26518</t>
        </is>
      </c>
      <c r="B26629" s="4" t="s">
        <f>=HYPERLINK("http://anyluxury.ru/shop/posuda/termostakany/termostakan-tralee-xl-krasniy-1542550/" , "15425.50 Термостакан Tralee XL, красный")</f>
      </c>
      <c r="C26629" s="4" t="n">
        <v>1759.00</v>
      </c>
      <c r="D26629" s="4"/>
    </row>
    <row collapsed="" customFormat="false" customHeight="1" hidden="" ht="14" outlineLevel="0" r="26630">
      <c r="A26630" s="3" t="inlineStr">
        <is>
          <t>26519</t>
        </is>
      </c>
      <c r="B26630" s="4" t="s">
        <f>=HYPERLINK("http://anyluxury.ru/shop/posuda/termostakany/termostakan-tralee-xl-zeleniy-1542590/" , "15425.90 Термостакан Tralee XL, зеленый")</f>
      </c>
      <c r="C26630" s="4" t="n">
        <v>1759.00</v>
      </c>
      <c r="D26630" s="4"/>
    </row>
    <row collapsed="" customFormat="false" customHeight="1" hidden="" ht="14" outlineLevel="0" r="26631">
      <c r="A26631" s="3" t="inlineStr">
        <is>
          <t>26520</t>
        </is>
      </c>
      <c r="B26631" s="4" t="s">
        <f>=HYPERLINK("http://anyluxury.ru/shop/posuda/termostakany/termostakan-tralee-xl-serebristiy-1542510/" , "15425.10 Термостакан Tralee XL, серебристый")</f>
      </c>
      <c r="C26631" s="4" t="n">
        <v>1759.00</v>
      </c>
      <c r="D26631" s="4"/>
    </row>
    <row collapsed="" customFormat="false" customHeight="1" hidden="" ht="14" outlineLevel="0" r="26632">
      <c r="A26632" s="3" t="inlineStr">
        <is>
          <t>26521</t>
        </is>
      </c>
      <c r="B26632" s="4" t="s">
        <f>=HYPERLINK("http://anyluxury.ru/shop/posuda/termostakany/termostakan-gems-blue-topaz-siniy-190778/" , "1907.78 Термостакан Gems Blue Topaz, синий")</f>
      </c>
      <c r="C26632" s="4" t="n">
        <v>1250.00</v>
      </c>
      <c r="D26632" s="4"/>
    </row>
    <row collapsed="" customFormat="false" customHeight="1" hidden="" ht="14" outlineLevel="0" r="26633">
      <c r="A26633" s="3" t="inlineStr">
        <is>
          <t>26522</t>
        </is>
      </c>
      <c r="B26633" s="4" t="s">
        <f>=HYPERLINK("http://anyluxury.ru/shop/posuda/termostakany/termokruzhka-relaxika-bordovaya-1552055/" , "15520.55 Термокружка Relaxika, бордовая")</f>
      </c>
      <c r="C26633" s="4" t="n">
        <v>1390.00</v>
      </c>
      <c r="D26633" s="4"/>
    </row>
    <row collapsed="" customFormat="false" customHeight="1" hidden="" ht="14" outlineLevel="0" r="26634">
      <c r="A26634" s="3" t="inlineStr">
        <is>
          <t>26523</t>
        </is>
      </c>
      <c r="B26634" s="4" t="s">
        <f>=HYPERLINK("http://anyluxury.ru/shop/posuda/termostakany/termokruzhka-relaxika-haki-1552098/" , "15520.98 Термокружка Relaxika, хаки")</f>
      </c>
      <c r="C26634" s="4" t="n">
        <v>1390.00</v>
      </c>
      <c r="D26634" s="4"/>
    </row>
    <row collapsed="" customFormat="false" customHeight="1" hidden="" ht="14" outlineLevel="0" r="26635">
      <c r="A26635" s="3" t="inlineStr">
        <is>
          <t>26524</t>
        </is>
      </c>
      <c r="B26635" s="4" t="s">
        <f>=HYPERLINK("http://anyluxury.ru/shop/posuda/termostakany/termobutilka-vakuumnaya-germetichnaya-prima-500-ml-krasnaya-2110220601/" , "211022.060.1 Термобутылка вакуумная герметичная Prima, красная")</f>
      </c>
      <c r="C26635" s="4" t="n">
        <v>1550.00</v>
      </c>
      <c r="D26635" s="4"/>
    </row>
    <row collapsed="" customFormat="false" customHeight="1" hidden="" ht="14" outlineLevel="0" r="26636">
      <c r="A26636" s="3" t="inlineStr">
        <is>
          <t>26525</t>
        </is>
      </c>
      <c r="B26636" s="4" t="s">
        <f>=HYPERLINK("http://anyluxury.ru/shop/posuda/termostakany/butilka-steklyannaya-s-dvoynimi-stenkami-bianca-300-ml-belaya-224198100/" , "224198.100 Бутылка стеклянная с двойными стенками Bianca, белая")</f>
      </c>
      <c r="C26636" s="4" t="n">
        <v>1292.00</v>
      </c>
      <c r="D26636" s="4"/>
    </row>
    <row collapsed="" customFormat="false" customHeight="1" hidden="" ht="14" outlineLevel="0" r="26637">
      <c r="A26637" s="3" t="inlineStr">
        <is>
          <t>26526</t>
        </is>
      </c>
      <c r="B26637" s="4" t="s">
        <f>=HYPERLINK("http://anyluxury.ru/shop/posuda/termostakany/termokruzhka-vakuumnaya-palermo-480-ml-fioletovaya-208002034/" , "208002.034 Термокружка вакуумная Palermo, фиолетовая")</f>
      </c>
      <c r="C26637" s="4" t="n">
        <v>1519.00</v>
      </c>
      <c r="D26637" s="4"/>
    </row>
    <row collapsed="" customFormat="false" customHeight="1" hidden="" ht="14" outlineLevel="0" r="26638">
      <c r="A26638" s="3" t="inlineStr">
        <is>
          <t>26527</t>
        </is>
      </c>
      <c r="B26638" s="4" t="s">
        <f>=HYPERLINK("http://anyluxury.ru/shop/posuda/termostakany/termobutilka-vakuumnaya-germetichnaya-prima-500-ml-chernaya-matovaya-211022010/" , "211022.010 Термобутылка вакуумная герметичная, Prima, 500 ml, черная матовая")</f>
      </c>
      <c r="C26638" s="4" t="n">
        <v>1584.00</v>
      </c>
      <c r="D26638" s="4"/>
    </row>
    <row collapsed="" customFormat="false" customHeight="1" hidden="" ht="14" outlineLevel="0" r="26639">
      <c r="A26639" s="3" t="inlineStr">
        <is>
          <t>26528</t>
        </is>
      </c>
      <c r="B26639" s="4" t="s">
        <f>=HYPERLINK("http://anyluxury.ru/shop/posuda/termostakany/termokruzhka-vakuumnaya-crown-590-ml-matovoe-pokritie-sinyaya-1953910301/" , "195391.030.1 Термокружка вакуумная Crown, синяя")</f>
      </c>
      <c r="C26639" s="4" t="n">
        <v>1485.00</v>
      </c>
      <c r="D26639" s="4"/>
    </row>
    <row collapsed="" customFormat="false" customHeight="1" hidden="" ht="14" outlineLevel="0" r="26640">
      <c r="A26640" s="3" t="inlineStr">
        <is>
          <t>26529</t>
        </is>
      </c>
      <c r="B26640" s="4" t="s">
        <f>=HYPERLINK("http://anyluxury.ru/shop/posuda/termostakany/termobutilka-vakuumnaya-germetichnaya-fresco-500-ml-sinyaya-198010301/" , "19801.030.1 Термобутылка вакуумная герметичная Fresco, синяя")</f>
      </c>
      <c r="C26640" s="4" t="n">
        <v>1727.00</v>
      </c>
      <c r="D26640" s="4"/>
    </row>
    <row collapsed="" customFormat="false" customHeight="1" hidden="" ht="14" outlineLevel="0" r="26641">
      <c r="A26641" s="3" t="inlineStr">
        <is>
          <t>26530</t>
        </is>
      </c>
      <c r="B26641" s="4" t="s">
        <f>=HYPERLINK("http://anyluxury.ru/shop/posuda/termostakany/termobutilka-vakuumnaya-germetichnaya-prima-zelenaya-2110220401/" , "211022.040.1 Термобутылка вакуумная герметичная Prima, зеленая")</f>
      </c>
      <c r="C26641" s="4" t="n">
        <v>1550.00</v>
      </c>
      <c r="D26641" s="4"/>
    </row>
    <row collapsed="" customFormat="false" customHeight="1" hidden="" ht="14" outlineLevel="0" r="26642">
      <c r="A26642" s="3" t="inlineStr">
        <is>
          <t>26531</t>
        </is>
      </c>
      <c r="B26642" s="4" t="s">
        <f>=HYPERLINK("http://anyluxury.ru/shop/posuda/termostakany/termobutilka-vakuumnaya-germetichnaya-prima-sinyaya-2110220302/" , "211022.030.2 Термобутылка вакуумная герметичная Prima, синяя")</f>
      </c>
      <c r="C26642" s="4" t="n">
        <v>1550.00</v>
      </c>
      <c r="D26642" s="4"/>
    </row>
    <row collapsed="" customFormat="false" customHeight="1" hidden="" ht="14" outlineLevel="0" r="26643">
      <c r="A26643" s="3" t="inlineStr">
        <is>
          <t>26532</t>
        </is>
      </c>
      <c r="B26643" s="4" t="s">
        <f>=HYPERLINK("http://anyluxury.ru/shop/posuda/termostakany/termokruzhka-vakuumnaya-germetichnaya-baleo-chernaya-200430101/" , "20043.010.1 Термокружка вакуумная герметичная Baleo, черная")</f>
      </c>
      <c r="C26643" s="4" t="n">
        <v>1925.00</v>
      </c>
      <c r="D26643" s="4"/>
    </row>
    <row collapsed="" customFormat="false" customHeight="" hidden="" ht="12.1" outlineLevel="0" r="26644">
      <c r="A26644" s="5" t="inlineStr">
        <is>
          <t> -  - Термосы</t>
        </is>
      </c>
      <c r="B26644" s="6"/>
      <c r="C26644" s="6"/>
      <c r="D26644" s="6"/>
    </row>
    <row collapsed="" customFormat="false" customHeight="1" hidden="" ht="14" outlineLevel="0" r="26645">
      <c r="A26645" s="3" t="inlineStr">
        <is>
          <t>26533</t>
        </is>
      </c>
      <c r="B26645" s="4" t="s">
        <f>=HYPERLINK("http://anyluxury.ru/shop/posuda/termosy/termos-torre-500-ml-p433384/" , "P433.384 Термос Torre, 500 мл")</f>
      </c>
      <c r="C26645" s="4" t="n">
        <v>849.00</v>
      </c>
      <c r="D26645" s="4"/>
    </row>
    <row collapsed="" customFormat="false" customHeight="1" hidden="" ht="14" outlineLevel="0" r="26646">
      <c r="A26646" s="3" t="inlineStr">
        <is>
          <t>26534</t>
        </is>
      </c>
      <c r="B26646" s="4" t="s">
        <f>=HYPERLINK("http://anyluxury.ru/shop/posuda/termosy/termokruzhka-s-dvoynimi-stenkami-modern-siniy-p432725/" , "P432.725 Термокружка с двойными стенками Modern, синий")</f>
      </c>
      <c r="C26646" s="4" t="n">
        <v>585.00</v>
      </c>
      <c r="D26646" s="4"/>
    </row>
    <row collapsed="" customFormat="false" customHeight="1" hidden="" ht="14" outlineLevel="0" r="26647">
      <c r="A26647" s="3" t="inlineStr">
        <is>
          <t>26535</t>
        </is>
      </c>
      <c r="B26647" s="4" t="s">
        <f>=HYPERLINK("http://anyluxury.ru/shop/posuda/termosy/termokruzhka-s-dvoynimi-stenkami-modern-krasniy-p432724/" , "P432.724 Термокружка с двойными стенками Modern, красный")</f>
      </c>
      <c r="C26647" s="4" t="n">
        <v>531.00</v>
      </c>
      <c r="D26647" s="4"/>
    </row>
    <row collapsed="" customFormat="false" customHeight="1" hidden="" ht="14" outlineLevel="0" r="26648">
      <c r="A26648" s="3" t="inlineStr">
        <is>
          <t>26536</t>
        </is>
      </c>
      <c r="B26648" s="4" t="s">
        <f>=HYPERLINK("http://anyluxury.ru/shop/posuda/termosy/termokruzhka-s-dvoynimi-stenkami-modern-beliy-p432723/" , "P432.723 Термокружка с двойными стенками Modern, белый")</f>
      </c>
      <c r="C26648" s="4" t="n">
        <v>531.00</v>
      </c>
      <c r="D26648" s="4"/>
    </row>
    <row collapsed="" customFormat="false" customHeight="1" hidden="" ht="14" outlineLevel="0" r="26649">
      <c r="A26649" s="3" t="inlineStr">
        <is>
          <t>26537</t>
        </is>
      </c>
      <c r="B26649" s="4" t="s">
        <f>=HYPERLINK("http://anyluxury.ru/shop/posuda/termosy/termos-iz-nerzhaveyushhey-stali-500-ml-cherniy-p430111/" , "P430.111 Термос из нержавеющей стали, 500 мл")</f>
      </c>
      <c r="C26649" s="4" t="n">
        <v>1219.00</v>
      </c>
      <c r="D26649" s="4"/>
    </row>
    <row collapsed="" customFormat="false" customHeight="1" hidden="" ht="14" outlineLevel="0" r="26650">
      <c r="A26650" s="3" t="inlineStr">
        <is>
          <t>26538</t>
        </is>
      </c>
      <c r="B26650" s="4" t="s">
        <f>=HYPERLINK("http://anyluxury.ru/shop/posuda/termosy/termos-iz-nerzhaveyushhey-stali-500-ml-beliy-p430113/" , "P430.113 Термос из нержавеющей стали, 500 мл")</f>
      </c>
      <c r="C26650" s="4" t="n">
        <v>1219.00</v>
      </c>
      <c r="D26650" s="4"/>
    </row>
    <row collapsed="" customFormat="false" customHeight="1" hidden="" ht="14" outlineLevel="0" r="26651">
      <c r="A26651" s="3" t="inlineStr">
        <is>
          <t>26539</t>
        </is>
      </c>
      <c r="B26651" s="4" t="s">
        <f>=HYPERLINK("http://anyluxury.ru/shop/posuda/termosy/termos-iz-nerzhaveyushhey-stali-500-ml-seriy-p430120/" , "P430.120 Термос из нержавеющей стали, 500 мл, серый")</f>
      </c>
      <c r="C26651" s="4" t="n">
        <v>709.00</v>
      </c>
      <c r="D26651" s="4"/>
    </row>
    <row collapsed="" customFormat="false" customHeight="1" hidden="" ht="14" outlineLevel="0" r="26652">
      <c r="A26652" s="3" t="inlineStr">
        <is>
          <t>26540</t>
        </is>
      </c>
      <c r="B26652" s="4" t="s">
        <f>=HYPERLINK("http://anyluxury.ru/shop/posuda/termosy/termos-plain-750-364910/" , "3649.10 Термос Plain 750, серебристый")</f>
      </c>
      <c r="C26652" s="4" t="n">
        <v>1052.00</v>
      </c>
      <c r="D26652" s="4"/>
    </row>
    <row collapsed="" customFormat="false" customHeight="1" hidden="" ht="14" outlineLevel="0" r="26653">
      <c r="A26653" s="3" t="inlineStr">
        <is>
          <t>26541</t>
        </is>
      </c>
      <c r="B26653" s="4" t="s">
        <f>=HYPERLINK("http://anyluxury.ru/shop/posuda/termosy/termos-gems-black-morion-cherniy-morion-786930/" , "7869.30 Термос Gems Black Morion, черный морион")</f>
      </c>
      <c r="C26653" s="4" t="n">
        <v>1904.00</v>
      </c>
      <c r="D26653" s="4"/>
    </row>
    <row collapsed="" customFormat="false" customHeight="1" hidden="" ht="14" outlineLevel="0" r="26654">
      <c r="A26654" s="3" t="inlineStr">
        <is>
          <t>26542</t>
        </is>
      </c>
      <c r="B26654" s="4" t="s">
        <f>=HYPERLINK("http://anyluxury.ru/shop/posuda/termosy/termos-stanley-adventure-750-serebristiy-1058310/" , "10583.10 Термос Stanley Adventure 750, серебристый")</f>
      </c>
      <c r="C26654" s="4" t="n">
        <v>2858.00</v>
      </c>
      <c r="D26654" s="4"/>
    </row>
    <row collapsed="" customFormat="false" customHeight="1" hidden="" ht="14" outlineLevel="0" r="26655">
      <c r="A26655" s="3" t="inlineStr">
        <is>
          <t>26543</t>
        </is>
      </c>
      <c r="B26655" s="4" t="s">
        <f>=HYPERLINK("http://anyluxury.ru/shop/posuda/termosy/termos-stanley-adventure-1300-serebristiy-1058410/" , "10584.10 Термос Stanley Adventure 1300, серебристый")</f>
      </c>
      <c r="C26655" s="4" t="n">
        <v>3413.00</v>
      </c>
      <c r="D26655" s="4"/>
    </row>
    <row collapsed="" customFormat="false" customHeight="1" hidden="" ht="14" outlineLevel="0" r="26656">
      <c r="A26656" s="3" t="inlineStr">
        <is>
          <t>26544</t>
        </is>
      </c>
      <c r="B26656" s="4" t="s">
        <f>=HYPERLINK("http://anyluxury.ru/shop/posuda/termosy/termos-thermos-fbb500-temnosiniy-1058640/" , "10586.40 Термос Thermos FBB500, темно-синий")</f>
      </c>
      <c r="C26656" s="4" t="n">
        <v>3999.00</v>
      </c>
      <c r="D26656" s="4"/>
    </row>
    <row collapsed="" customFormat="false" customHeight="1" hidden="" ht="14" outlineLevel="0" r="26657">
      <c r="A26657" s="3" t="inlineStr">
        <is>
          <t>26545</t>
        </is>
      </c>
      <c r="B26657" s="4" t="s">
        <f>=HYPERLINK("http://anyluxury.ru/shop/posuda/termosy/termos-thermos-sk2010-krasniy-malinoviy-1058755/" , "10587.55 Термос Thermos SK2010, красный (малиновый)")</f>
      </c>
      <c r="C26657" s="4" t="n">
        <v>6290.00</v>
      </c>
      <c r="D26657" s="4"/>
    </row>
    <row collapsed="" customFormat="false" customHeight="1" hidden="" ht="14" outlineLevel="0" r="26658">
      <c r="A26658" s="3" t="inlineStr">
        <is>
          <t>26546</t>
        </is>
      </c>
      <c r="B26658" s="4" t="s">
        <f>=HYPERLINK("http://anyluxury.ru/shop/posuda/termosy/termos-dlya-edi-thermos-sk3020-cherniy-1058830/" , "10588.30 Термос для еды Thermos SK3020, черный")</f>
      </c>
      <c r="C26658" s="4" t="n">
        <v>5599.00</v>
      </c>
      <c r="D26658" s="4"/>
    </row>
    <row collapsed="" customFormat="false" customHeight="1" hidden="" ht="14" outlineLevel="0" r="26659">
      <c r="A26659" s="3" t="inlineStr">
        <is>
          <t>26547</t>
        </is>
      </c>
      <c r="B26659" s="4" t="s">
        <f>=HYPERLINK("http://anyluxury.ru/shop/posuda/termosy/termos-dlya-edi-thermos-sk3000-cherniy-1058930/" , "10589.30 Термос для еды Thermos SK3000, черный")</f>
      </c>
      <c r="C26659" s="4" t="n">
        <v>4999.00</v>
      </c>
      <c r="D26659" s="4"/>
    </row>
    <row collapsed="" customFormat="false" customHeight="1" hidden="" ht="14" outlineLevel="0" r="26660">
      <c r="A26660" s="3" t="inlineStr">
        <is>
          <t>26548</t>
        </is>
      </c>
      <c r="B26660" s="4" t="s">
        <f>=HYPERLINK("http://anyluxury.ru/shop/posuda/termosy/termos-stanley-adventure-1000-beliy-1057860/" , "10578.60 Термос Stanley Adventure 1000, белый")</f>
      </c>
      <c r="C26660" s="4" t="n">
        <v>4160.00</v>
      </c>
      <c r="D26660" s="4"/>
    </row>
    <row collapsed="" customFormat="false" customHeight="1" hidden="" ht="14" outlineLevel="0" r="26661">
      <c r="A26661" s="3" t="inlineStr">
        <is>
          <t>26549</t>
        </is>
      </c>
      <c r="B26661" s="4" t="s">
        <f>=HYPERLINK("http://anyluxury.ru/shop/posuda/termosy/termos-dlya-edi-stanley-adventure-700-beliy-1080260/" , "10802.60 Термос для еды Stanley Adventure 700, белый")</f>
      </c>
      <c r="C26661" s="4" t="n">
        <v>3260.00</v>
      </c>
      <c r="D26661" s="4"/>
    </row>
    <row collapsed="" customFormat="false" customHeight="1" hidden="" ht="14" outlineLevel="0" r="26662">
      <c r="A26662" s="3" t="inlineStr">
        <is>
          <t>26550</t>
        </is>
      </c>
      <c r="B26662" s="4" t="s">
        <f>=HYPERLINK("http://anyluxury.ru/shop/posuda/termosy/termos-dlya-edi-stanley-adventure-700-zeleniy-1080290/" , "10802.90 Термос для еды Stanley Adventure 700, зеленый")</f>
      </c>
      <c r="C26662" s="4" t="n">
        <v>3260.00</v>
      </c>
      <c r="D26662" s="4"/>
    </row>
    <row collapsed="" customFormat="false" customHeight="1" hidden="" ht="14" outlineLevel="0" r="26663">
      <c r="A26663" s="3" t="inlineStr">
        <is>
          <t>26551</t>
        </is>
      </c>
      <c r="B26663" s="4" t="s">
        <f>=HYPERLINK("http://anyluxury.ru/shop/posuda/termosy/turisticheskiy-nabor-dlya-chaya-i-kofe-stanley-adventure-500-stalnoy-1080313/" , "10803.13 Туристический набор для чая и кофе Stanley Adventure 500, стальной")</f>
      </c>
      <c r="C26663" s="4" t="n">
        <v>4800.00</v>
      </c>
      <c r="D26663" s="4"/>
    </row>
    <row collapsed="" customFormat="false" customHeight="1" hidden="" ht="14" outlineLevel="0" r="26664">
      <c r="A26664" s="3" t="inlineStr">
        <is>
          <t>26552</t>
        </is>
      </c>
      <c r="B26664" s="4" t="s">
        <f>=HYPERLINK("http://anyluxury.ru/shop/posuda/termosy/termos-stanley-ceramivac-480-seraya-1080611/" , "10806.11 Термос Stanley Ceramivac 480, серая")</f>
      </c>
      <c r="C26664" s="4" t="n">
        <v>2356.00</v>
      </c>
      <c r="D26664" s="4"/>
    </row>
    <row collapsed="" customFormat="false" customHeight="1" hidden="" ht="14" outlineLevel="0" r="26665">
      <c r="A26665" s="3" t="inlineStr">
        <is>
          <t>26553</t>
        </is>
      </c>
      <c r="B26665" s="4" t="s">
        <f>=HYPERLINK("http://anyluxury.ru/shop/posuda/termosy/termos-stanley-ceramivac-480-sinyaya-1080640/" , "10806.40 Термос Stanley Ceramivac 480, синяя")</f>
      </c>
      <c r="C26665" s="4" t="n">
        <v>2356.00</v>
      </c>
      <c r="D26665" s="4"/>
    </row>
    <row collapsed="" customFormat="false" customHeight="1" hidden="" ht="14" outlineLevel="0" r="26666">
      <c r="A26666" s="3" t="inlineStr">
        <is>
          <t>26554</t>
        </is>
      </c>
      <c r="B26666" s="4" t="s">
        <f>=HYPERLINK("http://anyluxury.ru/shop/posuda/termosy/termos-stanley-ceramivac-700-serogoluboy-1080714/" , "10807.14 Термос Stanley Ceramivac 700, серо-голубой")</f>
      </c>
      <c r="C26666" s="4" t="n">
        <v>2754.00</v>
      </c>
      <c r="D26666" s="4"/>
    </row>
    <row collapsed="" customFormat="false" customHeight="1" hidden="" ht="14" outlineLevel="0" r="26667">
      <c r="A26667" s="3" t="inlineStr">
        <is>
          <t>26555</t>
        </is>
      </c>
      <c r="B26667" s="4" t="s">
        <f>=HYPERLINK("http://anyluxury.ru/shop/posuda/termosy/termos-stanley-legendary-classic-750-zeleniy-1080990/" , "10809.90 Термос Stanley Legendary Classic 750, зеленый")</f>
      </c>
      <c r="C26667" s="4" t="n">
        <v>3430.00</v>
      </c>
      <c r="D26667" s="4"/>
    </row>
    <row collapsed="" customFormat="false" customHeight="1" hidden="" ht="14" outlineLevel="0" r="26668">
      <c r="A26668" s="3" t="inlineStr">
        <is>
          <t>26556</t>
        </is>
      </c>
      <c r="B26668" s="4" t="s">
        <f>=HYPERLINK("http://anyluxury.ru/shop/posuda/termosy/termos-stanley-legendary-classic-750-siniy-1080940/" , "10809.40 Термос Stanley Legendary Classic 750, синий")</f>
      </c>
      <c r="C26668" s="4" t="n">
        <v>3430.00</v>
      </c>
      <c r="D26668" s="4"/>
    </row>
    <row collapsed="" customFormat="false" customHeight="1" hidden="" ht="14" outlineLevel="0" r="26669">
      <c r="A26669" s="3" t="inlineStr">
        <is>
          <t>26557</t>
        </is>
      </c>
      <c r="B26669" s="4" t="s">
        <f>=HYPERLINK("http://anyluxury.ru/shop/posuda/termosy/termos-stanley-legendary-classic-470-siniy-1086440/" , "10864.40 Термос Stanley Legendary Classic 470, синий")</f>
      </c>
      <c r="C26669" s="4" t="n">
        <v>2911.00</v>
      </c>
      <c r="D26669" s="4"/>
    </row>
    <row collapsed="" customFormat="false" customHeight="1" hidden="" ht="14" outlineLevel="0" r="26670">
      <c r="A26670" s="3" t="inlineStr">
        <is>
          <t>26558</t>
        </is>
      </c>
      <c r="B26670" s="4" t="s">
        <f>=HYPERLINK("http://anyluxury.ru/shop/posuda/termosy/termos-stanley-classic-470-cherniy-1081430/" , "10814.30 Термос Stanley Classic 470, черный")</f>
      </c>
      <c r="C26670" s="4" t="n">
        <v>4960.00</v>
      </c>
      <c r="D26670" s="4"/>
    </row>
    <row collapsed="" customFormat="false" customHeight="1" hidden="" ht="14" outlineLevel="0" r="26671">
      <c r="A26671" s="3" t="inlineStr">
        <is>
          <t>26559</t>
        </is>
      </c>
      <c r="B26671" s="4" t="s">
        <f>=HYPERLINK("http://anyluxury.ru/shop/posuda/termosy/termos-stanley-classic-750-cherniy-1081530/" , "10815.30 Термос Stanley Classic 750, черный")</f>
      </c>
      <c r="C26671" s="4" t="n">
        <v>4450.00</v>
      </c>
      <c r="D26671" s="4"/>
    </row>
    <row collapsed="" customFormat="false" customHeight="1" hidden="" ht="14" outlineLevel="0" r="26672">
      <c r="A26672" s="3" t="inlineStr">
        <is>
          <t>26560</t>
        </is>
      </c>
      <c r="B26672" s="4" t="s">
        <f>=HYPERLINK("http://anyluxury.ru/shop/posuda/termosy/termos-stanley-classic-1000-cherniy-1081630/" , "10816.30 Термос Stanley Classic 1000, черный")</f>
      </c>
      <c r="C26672" s="4" t="n">
        <v>5735.00</v>
      </c>
      <c r="D26672" s="4"/>
    </row>
    <row collapsed="" customFormat="false" customHeight="1" hidden="" ht="14" outlineLevel="0" r="26673">
      <c r="A26673" s="3" t="inlineStr">
        <is>
          <t>26561</t>
        </is>
      </c>
      <c r="B26673" s="4" t="s">
        <f>=HYPERLINK("http://anyluxury.ru/shop/posuda/termosy/termos-stanley-classic-1000-temnozeleniy-1081690/" , "10816.90 Термос Stanley Classic 1000, темно-зеленый")</f>
      </c>
      <c r="C26673" s="4" t="n">
        <v>4900.00</v>
      </c>
      <c r="D26673" s="4"/>
    </row>
    <row collapsed="" customFormat="false" customHeight="1" hidden="" ht="14" outlineLevel="0" r="26674">
      <c r="A26674" s="3" t="inlineStr">
        <is>
          <t>26562</t>
        </is>
      </c>
      <c r="B26674" s="4" t="s">
        <f>=HYPERLINK("http://anyluxury.ru/shop/posuda/termosy/termos-stanley-classic-1400-temnozeleniy-1081790/" , "10817.90 Термос Stanley Classic 1400, темно-зеленый")</f>
      </c>
      <c r="C26674" s="4" t="n">
        <v>4250.00</v>
      </c>
      <c r="D26674" s="4"/>
    </row>
    <row collapsed="" customFormat="false" customHeight="1" hidden="" ht="14" outlineLevel="0" r="26675">
      <c r="A26675" s="3" t="inlineStr">
        <is>
          <t>26563</t>
        </is>
      </c>
      <c r="B26675" s="4" t="s">
        <f>=HYPERLINK("http://anyluxury.ru/shop/posuda/termosy/termos-stanley-classic-19-l-temnozeleniy-1081890/" , "10818.90 Термос Stanley Classic 1,9 л, темно-зеленый")</f>
      </c>
      <c r="C26675" s="4" t="n">
        <v>6230.00</v>
      </c>
      <c r="D26675" s="4"/>
    </row>
    <row collapsed="" customFormat="false" customHeight="1" hidden="" ht="14" outlineLevel="0" r="26676">
      <c r="A26676" s="3" t="inlineStr">
        <is>
          <t>26564</t>
        </is>
      </c>
      <c r="B26676" s="4" t="s">
        <f>=HYPERLINK("http://anyluxury.ru/shop/posuda/termosy/termos-stanley-classic-19-l-cherniy-1081830/" , "10818.30 Термос Stanley Classic 1,9 л, черный")</f>
      </c>
      <c r="C26676" s="4" t="n">
        <v>6230.00</v>
      </c>
      <c r="D26676" s="4"/>
    </row>
    <row collapsed="" customFormat="false" customHeight="1" hidden="" ht="14" outlineLevel="0" r="26677">
      <c r="A26677" s="3" t="inlineStr">
        <is>
          <t>26565</t>
        </is>
      </c>
      <c r="B26677" s="4" t="s">
        <f>=HYPERLINK("http://anyluxury.ru/shop/posuda/termosy/termos-dlya-edi-stanley-classic-700-temnozeleniy-1081990/" , "10819.90 Термос для еды Stanley Classic 700, темно-зеленый")</f>
      </c>
      <c r="C26677" s="4" t="n">
        <v>3300.00</v>
      </c>
      <c r="D26677" s="4"/>
    </row>
    <row collapsed="" customFormat="false" customHeight="1" hidden="" ht="14" outlineLevel="0" r="26678">
      <c r="A26678" s="3" t="inlineStr">
        <is>
          <t>26566</t>
        </is>
      </c>
      <c r="B26678" s="4" t="s">
        <f>=HYPERLINK("http://anyluxury.ru/shop/posuda/termosy/termos-dlya-piva-stanley-classic-19-l-temnozeleniy-1082190/" , "10821.90 Термос для пива Stanley Classic 1,9 л, темно-зеленый")</f>
      </c>
      <c r="C26678" s="4" t="n">
        <v>7010.00</v>
      </c>
      <c r="D26678" s="4"/>
    </row>
    <row collapsed="" customFormat="false" customHeight="1" hidden="" ht="14" outlineLevel="0" r="26679">
      <c r="A26679" s="3" t="inlineStr">
        <is>
          <t>26567</t>
        </is>
      </c>
      <c r="B26679" s="4" t="s">
        <f>=HYPERLINK("http://anyluxury.ru/shop/posuda/termosy/termos-stanley-legendary-classic-1000-zeleniy-1082390/" , "10823.90 Термос Stanley Legendary Classic 1000, зеленый")</f>
      </c>
      <c r="C26679" s="4" t="n">
        <v>3518.00</v>
      </c>
      <c r="D26679" s="4"/>
    </row>
    <row collapsed="" customFormat="false" customHeight="1" hidden="" ht="14" outlineLevel="0" r="26680">
      <c r="A26680" s="3" t="inlineStr">
        <is>
          <t>26568</t>
        </is>
      </c>
      <c r="B26680" s="4" t="s">
        <f>=HYPERLINK("http://anyluxury.ru/shop/posuda/termosy/termos-stanley-master-750-cherniy-1082630/" , "10826.30 Термос Stanley Master 750, черный")</f>
      </c>
      <c r="C26680" s="4" t="n">
        <v>5490.00</v>
      </c>
      <c r="D26680" s="4"/>
    </row>
    <row collapsed="" customFormat="false" customHeight="1" hidden="" ht="14" outlineLevel="0" r="26681">
      <c r="A26681" s="3" t="inlineStr">
        <is>
          <t>26569</t>
        </is>
      </c>
      <c r="B26681" s="4" t="s">
        <f>=HYPERLINK("http://anyluxury.ru/shop/posuda/termosy/termos-dlya-edi-stanley-master-cherniy-1082830/" , "10828.30 Термос для еды Stanley Master, черный")</f>
      </c>
      <c r="C26681" s="4" t="n">
        <v>5937.00</v>
      </c>
      <c r="D26681" s="4"/>
    </row>
    <row collapsed="" customFormat="false" customHeight="1" hidden="" ht="14" outlineLevel="0" r="26682">
      <c r="A26682" s="3" t="inlineStr">
        <is>
          <t>26570</t>
        </is>
      </c>
      <c r="B26682" s="4" t="s">
        <f>=HYPERLINK("http://anyluxury.ru/shop/posuda/termosy/termos-heater-siniy-1087340/" , "10873.40 Термос Heater, синий")</f>
      </c>
      <c r="C26682" s="4" t="n">
        <v>1608.00</v>
      </c>
      <c r="D26682" s="4"/>
    </row>
    <row collapsed="" customFormat="false" customHeight="1" hidden="" ht="14" outlineLevel="0" r="26683">
      <c r="A26683" s="3" t="inlineStr">
        <is>
          <t>26571</t>
        </is>
      </c>
      <c r="B26683" s="4" t="s">
        <f>=HYPERLINK("http://anyluxury.ru/shop/posuda/termosy/termos-heater-krasniy-1087350/" , "10873.50 Термос Heater, красный")</f>
      </c>
      <c r="C26683" s="4" t="n">
        <v>1608.00</v>
      </c>
      <c r="D26683" s="4"/>
    </row>
    <row collapsed="" customFormat="false" customHeight="1" hidden="" ht="14" outlineLevel="0" r="26684">
      <c r="A26684" s="3" t="inlineStr">
        <is>
          <t>26572</t>
        </is>
      </c>
      <c r="B26684" s="4" t="s">
        <f>=HYPERLINK("http://anyluxury.ru/shop/posuda/termosy/termos-heater-beliy-1087360/" , "10873.60 Термос Heater, белый")</f>
      </c>
      <c r="C26684" s="4" t="n">
        <v>1608.00</v>
      </c>
      <c r="D26684" s="4"/>
    </row>
    <row collapsed="" customFormat="false" customHeight="1" hidden="" ht="14" outlineLevel="0" r="26685">
      <c r="A26685" s="3" t="inlineStr">
        <is>
          <t>26573</t>
        </is>
      </c>
      <c r="B26685" s="4" t="s">
        <f>=HYPERLINK("http://anyluxury.ru/shop/posuda/termosy/termos-dlya-edi-migo-beliy-1315560/" , "13155.60 Термос для еды Migo, белый")</f>
      </c>
      <c r="C26685" s="4" t="n">
        <v>1130.00</v>
      </c>
      <c r="D26685" s="4"/>
    </row>
    <row collapsed="" customFormat="false" customHeight="1" hidden="" ht="14" outlineLevel="0" r="26686">
      <c r="A26686" s="3" t="inlineStr">
        <is>
          <t>26574</t>
        </is>
      </c>
      <c r="B26686" s="4" t="s">
        <f>=HYPERLINK("http://anyluxury.ru/shop/posuda/termosy/termos-le-canal-cherniy-s-golubim-1182314/" , "11823.14 Термос Le Canal, черный с голубым")</f>
      </c>
      <c r="C26686" s="4" t="n">
        <v>2100.00</v>
      </c>
      <c r="D26686" s="4"/>
    </row>
    <row collapsed="" customFormat="false" customHeight="1" hidden="" ht="14" outlineLevel="0" r="26687">
      <c r="A26687" s="3" t="inlineStr">
        <is>
          <t>26575</t>
        </is>
      </c>
      <c r="B26687" s="4" t="s">
        <f>=HYPERLINK("http://anyluxury.ru/shop/posuda/termosy/termos-le-canal-cherniy-s-krasnim-1182350/" , "11823.50 Термос Le Canal, черный с красным")</f>
      </c>
      <c r="C26687" s="4" t="n">
        <v>2100.00</v>
      </c>
      <c r="D26687" s="4"/>
    </row>
    <row collapsed="" customFormat="false" customHeight="1" hidden="" ht="14" outlineLevel="0" r="26688">
      <c r="A26688" s="3" t="inlineStr">
        <is>
          <t>26576</t>
        </is>
      </c>
      <c r="B26688" s="4" t="s">
        <f>=HYPERLINK("http://anyluxury.ru/shop/posuda/termosy/termobutilka-hot-and-cold-300-belaya-1285360/" , "12853.60 Термобутылка Hot &amp; Cold 300, белая")</f>
      </c>
      <c r="C26688" s="4" t="n">
        <v>2000.00</v>
      </c>
      <c r="D26688" s="4"/>
    </row>
    <row collapsed="" customFormat="false" customHeight="1" hidden="" ht="14" outlineLevel="0" r="26689">
      <c r="A26689" s="3" t="inlineStr">
        <is>
          <t>26577</t>
        </is>
      </c>
      <c r="B26689" s="4" t="s">
        <f>=HYPERLINK("http://anyluxury.ru/shop/posuda/termosy/termobutilka-hot-and-cold-300-stalnaya-1285311/" , "12853.11 Термобутылка Hot &amp; Cold 300, стальная")</f>
      </c>
      <c r="C26689" s="4" t="n">
        <v>2000.00</v>
      </c>
      <c r="D26689" s="4"/>
    </row>
    <row collapsed="" customFormat="false" customHeight="1" hidden="" ht="14" outlineLevel="0" r="26690">
      <c r="A26690" s="3" t="inlineStr">
        <is>
          <t>26578</t>
        </is>
      </c>
      <c r="B26690" s="4" t="s">
        <f>=HYPERLINK("http://anyluxury.ru/shop/posuda/termosy/termobutilka-s-chashkoy-hot-and-cold-500-belaya-1285460/" , "12854.60 Термобутылка с чашкой Hot &amp; Cold 500, белая")</f>
      </c>
      <c r="C26690" s="4" t="n">
        <v>2900.00</v>
      </c>
      <c r="D26690" s="4"/>
    </row>
    <row collapsed="" customFormat="false" customHeight="1" hidden="" ht="14" outlineLevel="0" r="26691">
      <c r="A26691" s="3" t="inlineStr">
        <is>
          <t>26579</t>
        </is>
      </c>
      <c r="B26691" s="4" t="s">
        <f>=HYPERLINK("http://anyluxury.ru/shop/posuda/termosy/termobutilka-s-chashkoy-hot-and-cold-500-stalnaya-1285411/" , "12854.11 Термобутылка с чашкой Hot &amp; Cold 500, стальная")</f>
      </c>
      <c r="C26691" s="4" t="n">
        <v>2900.00</v>
      </c>
      <c r="D26691" s="4"/>
    </row>
    <row collapsed="" customFormat="false" customHeight="1" hidden="" ht="14" outlineLevel="0" r="26692">
      <c r="A26692" s="3" t="inlineStr">
        <is>
          <t>26580</t>
        </is>
      </c>
      <c r="B26692" s="4" t="s">
        <f>=HYPERLINK("http://anyluxury.ru/shop/posuda/termosy/termobutilka-hot-and-cold-500-belaya-1285560/" , "12855.60 Термобутылка Hot &amp; Cold 500, белая")</f>
      </c>
      <c r="C26692" s="4" t="n">
        <v>2500.00</v>
      </c>
      <c r="D26692" s="4"/>
    </row>
    <row collapsed="" customFormat="false" customHeight="1" hidden="" ht="14" outlineLevel="0" r="26693">
      <c r="A26693" s="3" t="inlineStr">
        <is>
          <t>26581</t>
        </is>
      </c>
      <c r="B26693" s="4" t="s">
        <f>=HYPERLINK("http://anyluxury.ru/shop/posuda/termosy/termobutilka-hot-and-cold-one-300-stalnaya-1285910/" , "12859.10 Термобутылка Hot &amp; Cold One 300, стальная")</f>
      </c>
      <c r="C26693" s="4" t="n">
        <v>2600.00</v>
      </c>
      <c r="D26693" s="4"/>
    </row>
    <row collapsed="" customFormat="false" customHeight="1" hidden="" ht="14" outlineLevel="0" r="26694">
      <c r="A26694" s="3" t="inlineStr">
        <is>
          <t>26582</t>
        </is>
      </c>
      <c r="B26694" s="4" t="s">
        <f>=HYPERLINK("http://anyluxury.ru/shop/posuda/termosy/termos-dlya-edi-hot-and-cold-food-jar-300-stalnoy-1287011/" , "12870.11 Термос для еды Hot &amp; Cold Food Jar 300, стальной")</f>
      </c>
      <c r="C26694" s="4" t="n">
        <v>2900.00</v>
      </c>
      <c r="D26694" s="4"/>
    </row>
    <row collapsed="" customFormat="false" customHeight="1" hidden="" ht="14" outlineLevel="0" r="26695">
      <c r="A26695" s="3" t="inlineStr">
        <is>
          <t>26583</t>
        </is>
      </c>
      <c r="B26695" s="4" t="s">
        <f>=HYPERLINK("http://anyluxury.ru/shop/posuda/termosy/termos-dlya-edi-hot-and-cold-food-jar-zeleniy-1287190/" , "12871.90 Термос для еды Hot &amp; Cold Food Jar, зеленый")</f>
      </c>
      <c r="C26695" s="4" t="n">
        <v>3900.00</v>
      </c>
      <c r="D26695" s="4"/>
    </row>
    <row collapsed="" customFormat="false" customHeight="1" hidden="" ht="14" outlineLevel="0" r="26696">
      <c r="A26696" s="3" t="inlineStr">
        <is>
          <t>26584</t>
        </is>
      </c>
      <c r="B26696" s="4" t="s">
        <f>=HYPERLINK("http://anyluxury.ru/shop/posuda/termosy/termos-dlya-edi-hot-and-cold-food-jar-stalnoy-1287111/" , "12871.11 Термос для еды Hot &amp; Cold Food Jar, стальной")</f>
      </c>
      <c r="C26696" s="4" t="n">
        <v>3900.00</v>
      </c>
      <c r="D26696" s="4"/>
    </row>
    <row collapsed="" customFormat="false" customHeight="1" hidden="" ht="14" outlineLevel="0" r="26697">
      <c r="A26697" s="3" t="inlineStr">
        <is>
          <t>26585</t>
        </is>
      </c>
      <c r="B26697" s="4" t="s">
        <f>=HYPERLINK("http://anyluxury.ru/shop/posuda/termosy/termos-dlya-edi-hot-and-cold-food-jar-500-stalnoy-1287211/" , "12872.11 Термос для еды Hot &amp; Cold Food Jar 500, стальной")</f>
      </c>
      <c r="C26697" s="4" t="n">
        <v>3200.00</v>
      </c>
      <c r="D26697" s="4"/>
    </row>
    <row collapsed="" customFormat="false" customHeight="1" hidden="" ht="14" outlineLevel="0" r="26698">
      <c r="A26698" s="3" t="inlineStr">
        <is>
          <t>26586</t>
        </is>
      </c>
      <c r="B26698" s="4" t="s">
        <f>=HYPERLINK("http://anyluxury.ru/shop/posuda/termosy/vakuumniy-konteyner-neat-stack-maliy-biryuzoviy-1260442/" , "12604.42 Вакуумный контейнер Neat Stack, малый, бирюзовый")</f>
      </c>
      <c r="C26698" s="4" t="n">
        <v>2190.00</v>
      </c>
      <c r="D26698" s="4"/>
    </row>
    <row collapsed="" customFormat="false" customHeight="1" hidden="" ht="14" outlineLevel="0" r="26699">
      <c r="A26699" s="3" t="inlineStr">
        <is>
          <t>26587</t>
        </is>
      </c>
      <c r="B26699" s="4" t="s">
        <f>=HYPERLINK("http://anyluxury.ru/shop/posuda/termosy/vakuumniy-konteyner-neat-stack-maliy-zeleniy-1260490/" , "12604.90 Вакуумный контейнер Neat Stack, малый, зеленый")</f>
      </c>
      <c r="C26699" s="4" t="n">
        <v>2190.00</v>
      </c>
      <c r="D26699" s="4"/>
    </row>
    <row collapsed="" customFormat="false" customHeight="1" hidden="" ht="14" outlineLevel="0" r="26700">
      <c r="A26700" s="3" t="inlineStr">
        <is>
          <t>26588</t>
        </is>
      </c>
      <c r="B26700" s="4" t="s">
        <f>=HYPERLINK("http://anyluxury.ru/shop/posuda/termosy/vakuumniy-konteyner-neat-stack-maliy-oranzheviy-1260420/" , "12604.20 Вакуумный контейнер Neat Stack, малый, оранжевый")</f>
      </c>
      <c r="C26700" s="4" t="n">
        <v>2190.00</v>
      </c>
      <c r="D26700" s="4"/>
    </row>
    <row collapsed="" customFormat="false" customHeight="1" hidden="" ht="14" outlineLevel="0" r="26701">
      <c r="A26701" s="3" t="inlineStr">
        <is>
          <t>26589</t>
        </is>
      </c>
      <c r="B26701" s="4" t="s">
        <f>=HYPERLINK("http://anyluxury.ru/shop/posuda/termosy/vakuumniy-konteyner-neat-stack-bolshoy-biryuzoviy-1260542/" , "12605.42 Вакуумный контейнер Neat Stack, большой, бирюзовый")</f>
      </c>
      <c r="C26701" s="4" t="n">
        <v>2450.00</v>
      </c>
      <c r="D26701" s="4"/>
    </row>
    <row collapsed="" customFormat="false" customHeight="1" hidden="" ht="14" outlineLevel="0" r="26702">
      <c r="A26702" s="3" t="inlineStr">
        <is>
          <t>26590</t>
        </is>
      </c>
      <c r="B26702" s="4" t="s">
        <f>=HYPERLINK("http://anyluxury.ru/shop/posuda/termosy/vakuumniy-konteyner-neat-stack-bolshoy-zeleniy-1260590/" , "12605.90 Вакуумный контейнер Neat Stack, большой, зеленый")</f>
      </c>
      <c r="C26702" s="4" t="n">
        <v>2450.00</v>
      </c>
      <c r="D26702" s="4"/>
    </row>
    <row collapsed="" customFormat="false" customHeight="1" hidden="" ht="14" outlineLevel="0" r="26703">
      <c r="A26703" s="3" t="inlineStr">
        <is>
          <t>26591</t>
        </is>
      </c>
      <c r="B26703" s="4" t="s">
        <f>=HYPERLINK("http://anyluxury.ru/shop/posuda/termosy/vakuumniy-konteyner-neat-stack-bolshoy-oranzheviy-1260520/" , "12605.20 Вакуумный контейнер Neat Stack, большой, оранжевый")</f>
      </c>
      <c r="C26703" s="4" t="n">
        <v>2450.00</v>
      </c>
      <c r="D26703" s="4"/>
    </row>
    <row collapsed="" customFormat="false" customHeight="1" hidden="" ht="14" outlineLevel="0" r="26704">
      <c r="A26704" s="3" t="inlineStr">
        <is>
          <t>26592</t>
        </is>
      </c>
      <c r="B26704" s="4" t="s">
        <f>=HYPERLINK("http://anyluxury.ru/shop/posuda/termosy/termos-zoku-350-beliy-1262660/" , "12626.60 Термос Zoku 350, белый")</f>
      </c>
      <c r="C26704" s="4" t="n">
        <v>2300.00</v>
      </c>
      <c r="D26704" s="4"/>
    </row>
    <row collapsed="" customFormat="false" customHeight="1" hidden="" ht="14" outlineLevel="0" r="26705">
      <c r="A26705" s="3" t="inlineStr">
        <is>
          <t>26593</t>
        </is>
      </c>
      <c r="B26705" s="4" t="s">
        <f>=HYPERLINK("http://anyluxury.ru/shop/posuda/termosy/termos-zoku-350-biryuzoviy-1262642/" , "12626.42 Термос Zoku 350, бирюзовый")</f>
      </c>
      <c r="C26705" s="4" t="n">
        <v>2300.00</v>
      </c>
      <c r="D26705" s="4"/>
    </row>
    <row collapsed="" customFormat="false" customHeight="1" hidden="" ht="14" outlineLevel="0" r="26706">
      <c r="A26706" s="3" t="inlineStr">
        <is>
          <t>26594</t>
        </is>
      </c>
      <c r="B26706" s="4" t="s">
        <f>=HYPERLINK("http://anyluxury.ru/shop/posuda/termosy/termos-zoku-350-krasniy-1262650/" , "12626.50 Термос Zoku 350, красный")</f>
      </c>
      <c r="C26706" s="4" t="n">
        <v>2750.00</v>
      </c>
      <c r="D26706" s="4"/>
    </row>
    <row collapsed="" customFormat="false" customHeight="1" hidden="" ht="14" outlineLevel="0" r="26707">
      <c r="A26707" s="3" t="inlineStr">
        <is>
          <t>26595</t>
        </is>
      </c>
      <c r="B26707" s="4" t="s">
        <f>=HYPERLINK("http://anyluxury.ru/shop/posuda/termosy/termos-zoku-350-stalnoy-1262611/" , "12626.11 Термос Zoku 350, стальной")</f>
      </c>
      <c r="C26707" s="4" t="n">
        <v>3390.00</v>
      </c>
      <c r="D26707" s="4"/>
    </row>
    <row collapsed="" customFormat="false" customHeight="1" hidden="" ht="14" outlineLevel="0" r="26708">
      <c r="A26708" s="3" t="inlineStr">
        <is>
          <t>26596</t>
        </is>
      </c>
      <c r="B26708" s="4" t="s">
        <f>=HYPERLINK("http://anyluxury.ru/shop/posuda/termosy/termos-zoku-350-oranzheviy-1262620/" , "12626.20 Термос Zoku 350, оранжевый")</f>
      </c>
      <c r="C26708" s="4" t="n">
        <v>2300.00</v>
      </c>
      <c r="D26708" s="4"/>
    </row>
    <row collapsed="" customFormat="false" customHeight="1" hidden="" ht="14" outlineLevel="0" r="26709">
      <c r="A26709" s="3" t="inlineStr">
        <is>
          <t>26597</t>
        </is>
      </c>
      <c r="B26709" s="4" t="s">
        <f>=HYPERLINK("http://anyluxury.ru/shop/posuda/termosy/termos-zoku-350-seriy-1262610/" , "12626.10 Термос Zoku 350, серый")</f>
      </c>
      <c r="C26709" s="4" t="n">
        <v>2300.00</v>
      </c>
      <c r="D26709" s="4"/>
    </row>
    <row collapsed="" customFormat="false" customHeight="1" hidden="" ht="14" outlineLevel="0" r="26710">
      <c r="A26710" s="3" t="inlineStr">
        <is>
          <t>26598</t>
        </is>
      </c>
      <c r="B26710" s="4" t="s">
        <f>=HYPERLINK("http://anyluxury.ru/shop/posuda/termosy/termos-zoku-350-siniy-1262640/" , "12626.40 Термос Zoku 350, синий")</f>
      </c>
      <c r="C26710" s="4" t="n">
        <v>2300.00</v>
      </c>
      <c r="D26710" s="4"/>
    </row>
    <row collapsed="" customFormat="false" customHeight="1" hidden="" ht="14" outlineLevel="0" r="26711">
      <c r="A26711" s="3" t="inlineStr">
        <is>
          <t>26599</t>
        </is>
      </c>
      <c r="B26711" s="4" t="s">
        <f>=HYPERLINK("http://anyluxury.ru/shop/posuda/termosy/termos-zoku-350-fioletoviy-1262670/" , "12626.70 Термос Zoku 350, фиолетовый")</f>
      </c>
      <c r="C26711" s="4" t="n">
        <v>2300.00</v>
      </c>
      <c r="D26711" s="4"/>
    </row>
    <row collapsed="" customFormat="false" customHeight="1" hidden="" ht="14" outlineLevel="0" r="26712">
      <c r="A26712" s="3" t="inlineStr">
        <is>
          <t>26600</t>
        </is>
      </c>
      <c r="B26712" s="4" t="s">
        <f>=HYPERLINK("http://anyluxury.ru/shop/posuda/termosy/termos-zoku-500-beliy-1262760/" , "12627.60 Термос Zoku 500, белый")</f>
      </c>
      <c r="C26712" s="4" t="n">
        <v>2650.00</v>
      </c>
      <c r="D26712" s="4"/>
    </row>
    <row collapsed="" customFormat="false" customHeight="1" hidden="" ht="14" outlineLevel="0" r="26713">
      <c r="A26713" s="3" t="inlineStr">
        <is>
          <t>26601</t>
        </is>
      </c>
      <c r="B26713" s="4" t="s">
        <f>=HYPERLINK("http://anyluxury.ru/shop/posuda/termosy/termos-zoku-500-oranzheviy-1262720/" , "12627.20 Термос Zoku 500, оранжевый")</f>
      </c>
      <c r="C26713" s="4" t="n">
        <v>2650.00</v>
      </c>
      <c r="D26713" s="4"/>
    </row>
    <row collapsed="" customFormat="false" customHeight="1" hidden="" ht="14" outlineLevel="0" r="26714">
      <c r="A26714" s="3" t="inlineStr">
        <is>
          <t>26602</t>
        </is>
      </c>
      <c r="B26714" s="4" t="s">
        <f>=HYPERLINK("http://anyluxury.ru/shop/posuda/termosy/termos-zoku-500-seriy-1262710/" , "12627.10 Термос Zoku 500, серый")</f>
      </c>
      <c r="C26714" s="4" t="n">
        <v>2650.00</v>
      </c>
      <c r="D26714" s="4"/>
    </row>
    <row collapsed="" customFormat="false" customHeight="1" hidden="" ht="14" outlineLevel="0" r="26715">
      <c r="A26715" s="3" t="inlineStr">
        <is>
          <t>26603</t>
        </is>
      </c>
      <c r="B26715" s="4" t="s">
        <f>=HYPERLINK("http://anyluxury.ru/shop/posuda/termosy/termos-zoku-500-siniy-1262740/" , "12627.40 Термос Zoku 500, синий")</f>
      </c>
      <c r="C26715" s="4" t="n">
        <v>2650.00</v>
      </c>
      <c r="D26715" s="4"/>
    </row>
    <row collapsed="" customFormat="false" customHeight="1" hidden="" ht="14" outlineLevel="0" r="26716">
      <c r="A26716" s="3" t="inlineStr">
        <is>
          <t>26604</t>
        </is>
      </c>
      <c r="B26716" s="4" t="s">
        <f>=HYPERLINK("http://anyluxury.ru/shop/posuda/termosy/termos-zoku-500-fioletoviy-1262770/" , "12627.70 Термос Zoku 500, фиолетовый")</f>
      </c>
      <c r="C26716" s="4" t="n">
        <v>2650.00</v>
      </c>
      <c r="D26716" s="4"/>
    </row>
    <row collapsed="" customFormat="false" customHeight="1" hidden="" ht="14" outlineLevel="0" r="26717">
      <c r="A26717" s="3" t="inlineStr">
        <is>
          <t>26605</t>
        </is>
      </c>
      <c r="B26717" s="4" t="s">
        <f>=HYPERLINK("http://anyluxury.ru/shop/posuda/termosy/termos-zoku-750-beliy-1262860/" , "12628.60 Термос Zoku 750, белый")</f>
      </c>
      <c r="C26717" s="4" t="n">
        <v>2990.00</v>
      </c>
      <c r="D26717" s="4"/>
    </row>
    <row collapsed="" customFormat="false" customHeight="1" hidden="" ht="14" outlineLevel="0" r="26718">
      <c r="A26718" s="3" t="inlineStr">
        <is>
          <t>26606</t>
        </is>
      </c>
      <c r="B26718" s="4" t="s">
        <f>=HYPERLINK("http://anyluxury.ru/shop/posuda/termosy/termos-zoku-750-siniy-1262840/" , "12628.40 Термос Zoku 750, синий")</f>
      </c>
      <c r="C26718" s="4" t="n">
        <v>2990.00</v>
      </c>
      <c r="D26718" s="4"/>
    </row>
    <row collapsed="" customFormat="false" customHeight="1" hidden="" ht="14" outlineLevel="0" r="26719">
      <c r="A26719" s="3" t="inlineStr">
        <is>
          <t>26607</t>
        </is>
      </c>
      <c r="B26719" s="4" t="s">
        <f>=HYPERLINK("http://anyluxury.ru/shop/posuda/termosy/termos-zoku-750-fioletoviy-1262870/" , "12628.70 Термос Zoku 750, фиолетовый")</f>
      </c>
      <c r="C26719" s="4" t="n">
        <v>2990.00</v>
      </c>
      <c r="D26719" s="4"/>
    </row>
    <row collapsed="" customFormat="false" customHeight="1" hidden="" ht="14" outlineLevel="0" r="26720">
      <c r="A26720" s="3" t="inlineStr">
        <is>
          <t>26608</t>
        </is>
      </c>
      <c r="B26720" s="4" t="s">
        <f>=HYPERLINK("http://anyluxury.ru/shop/posuda/termosy/termokuvshin-vacuum-visokiy-glyanceviy-krasniy-1497450/" , "14974.50 Термокувшин Vacuum, высокий, глянцевый красный")</f>
      </c>
      <c r="C26720" s="4" t="n">
        <v>6100.00</v>
      </c>
      <c r="D26720" s="4"/>
    </row>
    <row collapsed="" customFormat="false" customHeight="1" hidden="" ht="14" outlineLevel="0" r="26721">
      <c r="A26721" s="3" t="inlineStr">
        <is>
          <t>26609</t>
        </is>
      </c>
      <c r="B26721" s="4" t="s">
        <f>=HYPERLINK("http://anyluxury.ru/shop/posuda/termosy/termokuvshin-vacuum-visokiy-glyanceviy-beliy-1497460/" , "14974.60 Термокувшин Vacuum, высокий, глянцевый белый")</f>
      </c>
      <c r="C26721" s="4" t="n">
        <v>6100.00</v>
      </c>
      <c r="D26721" s="4"/>
    </row>
    <row collapsed="" customFormat="false" customHeight="1" hidden="" ht="14" outlineLevel="0" r="26722">
      <c r="A26722" s="3" t="inlineStr">
        <is>
          <t>26610</t>
        </is>
      </c>
      <c r="B26722" s="4" t="s">
        <f>=HYPERLINK("http://anyluxury.ru/shop/posuda/termosy/termokuvshin-vacuum-visokiy-glyanceviy-cherniy-1497430/" , "14974.30 Термокувшин Vacuum, высокий, глянцевый черный")</f>
      </c>
      <c r="C26722" s="4" t="n">
        <v>6100.00</v>
      </c>
      <c r="D26722" s="4"/>
    </row>
    <row collapsed="" customFormat="false" customHeight="1" hidden="" ht="14" outlineLevel="0" r="26723">
      <c r="A26723" s="3" t="inlineStr">
        <is>
          <t>26611</t>
        </is>
      </c>
      <c r="B26723" s="4" t="s">
        <f>=HYPERLINK("http://anyluxury.ru/shop/posuda/termosy/termokuvshin-vacuum-nizkiy-cherniy-1497530/" , "14975.30 Термокувшин Vacuum, низкий, черный")</f>
      </c>
      <c r="C26723" s="4" t="n">
        <v>5690.00</v>
      </c>
      <c r="D26723" s="4"/>
    </row>
    <row collapsed="" customFormat="false" customHeight="1" hidden="" ht="14" outlineLevel="0" r="26724">
      <c r="A26724" s="3" t="inlineStr">
        <is>
          <t>26612</t>
        </is>
      </c>
      <c r="B26724" s="4" t="s">
        <f>=HYPERLINK("http://anyluxury.ru/shop/posuda/termosy/termokuvshin-vacuum-nizkiy-beliy-1497560/" , "14975.60 Термокувшин Vacuum, низкий, белый")</f>
      </c>
      <c r="C26724" s="4" t="n">
        <v>5690.00</v>
      </c>
      <c r="D26724" s="4"/>
    </row>
    <row collapsed="" customFormat="false" customHeight="1" hidden="" ht="14" outlineLevel="0" r="26725">
      <c r="A26725" s="3" t="inlineStr">
        <is>
          <t>26613</t>
        </is>
      </c>
      <c r="B26725" s="4" t="s">
        <f>=HYPERLINK("http://anyluxury.ru/shop/posuda/termosy/termokuvshin-vacuum-visokiy-matoviy-bezheviy-1497400/" , "14974.00 Термокувшин Vacuum, высокий, матовый бежевый")</f>
      </c>
      <c r="C26725" s="4" t="n">
        <v>5690.00</v>
      </c>
      <c r="D26725" s="4"/>
    </row>
    <row collapsed="" customFormat="false" customHeight="1" hidden="" ht="14" outlineLevel="0" r="26726">
      <c r="A26726" s="3" t="inlineStr">
        <is>
          <t>26614</t>
        </is>
      </c>
      <c r="B26726" s="4" t="s">
        <f>=HYPERLINK("http://anyluxury.ru/shop/posuda/termosy/termokuvshin-vacuum-visokiy-matoviy-beliy-1497461/" , "14974.61 Термокувшин Vacuum, высокий, матовый белый")</f>
      </c>
      <c r="C26726" s="4" t="n">
        <v>6100.00</v>
      </c>
      <c r="D26726" s="4"/>
    </row>
    <row collapsed="" customFormat="false" customHeight="1" hidden="" ht="14" outlineLevel="0" r="26727">
      <c r="A26727" s="3" t="inlineStr">
        <is>
          <t>26615</t>
        </is>
      </c>
      <c r="B26727" s="4" t="s">
        <f>=HYPERLINK("http://anyluxury.ru/shop/posuda/termosy/termokuvshin-vacuum-visokiy-matoviy-biryuzoviy-1497441/" , "14974.41 Термокувшин Vacuum, высокий, матовый бирюзовый")</f>
      </c>
      <c r="C26727" s="4" t="n">
        <v>5690.00</v>
      </c>
      <c r="D26727" s="4"/>
    </row>
    <row collapsed="" customFormat="false" customHeight="1" hidden="" ht="14" outlineLevel="0" r="26728">
      <c r="A26728" s="3" t="inlineStr">
        <is>
          <t>26616</t>
        </is>
      </c>
      <c r="B26728" s="4" t="s">
        <f>=HYPERLINK("http://anyluxury.ru/shop/posuda/termosy/termokuvshin-vacuum-visokiy-matoviy-goluboy-1497414/" , "14974.14 Термокувшин Vacuum, высокий, матовый голубой")</f>
      </c>
      <c r="C26728" s="4" t="n">
        <v>6300.00</v>
      </c>
      <c r="D26728" s="4"/>
    </row>
    <row collapsed="" customFormat="false" customHeight="1" hidden="" ht="14" outlineLevel="0" r="26729">
      <c r="A26729" s="3" t="inlineStr">
        <is>
          <t>26617</t>
        </is>
      </c>
      <c r="B26729" s="4" t="s">
        <f>=HYPERLINK("http://anyluxury.ru/shop/posuda/termosy/termokuvshin-vacuum-visokiy-matoviy-svetlooranzheviy-1497421/" , "14974.21 Термокувшин Vacuum, высокий, матовый светло-оранжевый")</f>
      </c>
      <c r="C26729" s="4" t="n">
        <v>6300.00</v>
      </c>
      <c r="D26729" s="4"/>
    </row>
    <row collapsed="" customFormat="false" customHeight="1" hidden="" ht="14" outlineLevel="0" r="26730">
      <c r="A26730" s="3" t="inlineStr">
        <is>
          <t>26618</t>
        </is>
      </c>
      <c r="B26730" s="4" t="s">
        <f>=HYPERLINK("http://anyluxury.ru/shop/posuda/termosy/termokuvshin-vacuum-visokiy-matoviy-seriy-1497411/" , "14974.11 Термокувшин Vacuum, высокий, матовый серый")</f>
      </c>
      <c r="C26730" s="4" t="n">
        <v>6100.00</v>
      </c>
      <c r="D26730" s="4"/>
    </row>
    <row collapsed="" customFormat="false" customHeight="1" hidden="" ht="14" outlineLevel="0" r="26731">
      <c r="A26731" s="3" t="inlineStr">
        <is>
          <t>26619</t>
        </is>
      </c>
      <c r="B26731" s="4" t="s">
        <f>=HYPERLINK("http://anyluxury.ru/shop/posuda/termosy/termokuvshin-vacuum-visokiy-stalnoy-1480400/" , "14804.00 Термокувшин Vacuum, высокий, стальной")</f>
      </c>
      <c r="C26731" s="4" t="n">
        <v>11050.00</v>
      </c>
      <c r="D26731" s="4"/>
    </row>
    <row collapsed="" customFormat="false" customHeight="1" hidden="" ht="14" outlineLevel="0" r="26732">
      <c r="A26732" s="3" t="inlineStr">
        <is>
          <t>26620</t>
        </is>
      </c>
      <c r="B26732" s="4" t="s">
        <f>=HYPERLINK("http://anyluxury.ru/shop/posuda/termosy/termokuvshin-vacuum-visokiy-matoviy-cherniy-1497431/" , "14974.31 Термокувшин Vacuum, высокий, матовый черный")</f>
      </c>
      <c r="C26732" s="4" t="n">
        <v>6100.00</v>
      </c>
      <c r="D26732" s="4"/>
    </row>
    <row collapsed="" customFormat="false" customHeight="1" hidden="" ht="14" outlineLevel="0" r="26733">
      <c r="A26733" s="3" t="inlineStr">
        <is>
          <t>26621</t>
        </is>
      </c>
      <c r="B26733" s="4" t="s">
        <f>=HYPERLINK("http://anyluxury.ru/shop/posuda/termosy/termokuvshin-vacuum-visokiy-matoviy-temnoseriy-1497413/" , "14974.13 Термокувшин Vacuum, высокий, матовый темно-серый")</f>
      </c>
      <c r="C26733" s="4" t="n">
        <v>6100.00</v>
      </c>
      <c r="D26733" s="4"/>
    </row>
    <row collapsed="" customFormat="false" customHeight="1" hidden="" ht="14" outlineLevel="0" r="26734">
      <c r="A26734" s="3" t="inlineStr">
        <is>
          <t>26622</t>
        </is>
      </c>
      <c r="B26734" s="4" t="s">
        <f>=HYPERLINK("http://anyluxury.ru/shop/posuda/termosy/termokuvshin-vacuum-visokiy-matoviy-temnosiniy-1497440/" , "14974.40 Термокувшин Vacuum, высокий, матовый темно-синий")</f>
      </c>
      <c r="C26734" s="4" t="n">
        <v>6100.00</v>
      </c>
      <c r="D26734" s="4"/>
    </row>
    <row collapsed="" customFormat="false" customHeight="1" hidden="" ht="14" outlineLevel="0" r="26735">
      <c r="A26735" s="3" t="inlineStr">
        <is>
          <t>26623</t>
        </is>
      </c>
      <c r="B26735" s="4" t="s">
        <f>=HYPERLINK("http://anyluxury.ru/shop/posuda/termosy/termos-s-mehanicheskoy-pompoy-pump-cherniy-1497930/" , "14979.30 Термос с механической помпой Pump, черный")</f>
      </c>
      <c r="C26735" s="4" t="n">
        <v>13990.00</v>
      </c>
      <c r="D26735" s="4"/>
    </row>
    <row collapsed="" customFormat="false" customHeight="1" hidden="" ht="14" outlineLevel="0" r="26736">
      <c r="A26736" s="3" t="inlineStr">
        <is>
          <t>26624</t>
        </is>
      </c>
      <c r="B26736" s="4" t="s">
        <f>=HYPERLINK("http://anyluxury.ru/shop/posuda/termosy/termos-skinny-mini-cherniy-1332530/" , "13325.30 Термос Skinny Mini, черный")</f>
      </c>
      <c r="C26736" s="4" t="n">
        <v>2150.00</v>
      </c>
      <c r="D26736" s="4"/>
    </row>
    <row collapsed="" customFormat="false" customHeight="1" hidden="" ht="14" outlineLevel="0" r="26737">
      <c r="A26737" s="3" t="inlineStr">
        <is>
          <t>26625</t>
        </is>
      </c>
      <c r="B26737" s="4" t="s">
        <f>=HYPERLINK("http://anyluxury.ru/shop/posuda/termosy/termos-skinny-mini-biryuzoviy-1332542/" , "13325.42 Термос Skinny Mini, бирюзовый")</f>
      </c>
      <c r="C26737" s="4" t="n">
        <v>2150.00</v>
      </c>
      <c r="D26737" s="4"/>
    </row>
    <row collapsed="" customFormat="false" customHeight="1" hidden="" ht="14" outlineLevel="0" r="26738">
      <c r="A26738" s="3" t="inlineStr">
        <is>
          <t>26626</t>
        </is>
      </c>
      <c r="B26738" s="4" t="s">
        <f>=HYPERLINK("http://anyluxury.ru/shop/posuda/termosy/termos-orb-siniy-1332640/" , "13326.40 Термос Orb, синий")</f>
      </c>
      <c r="C26738" s="4" t="n">
        <v>2700.00</v>
      </c>
      <c r="D26738" s="4"/>
    </row>
    <row collapsed="" customFormat="false" customHeight="1" hidden="" ht="14" outlineLevel="0" r="26739">
      <c r="A26739" s="3" t="inlineStr">
        <is>
          <t>26627</t>
        </is>
      </c>
      <c r="B26739" s="4" t="s">
        <f>=HYPERLINK("http://anyluxury.ru/shop/posuda/termosy/termos-orb-stalnoy-1332611/" , "13326.11 Термос Orb, стальной")</f>
      </c>
      <c r="C26739" s="4" t="n">
        <v>2700.00</v>
      </c>
      <c r="D26739" s="4"/>
    </row>
    <row collapsed="" customFormat="false" customHeight="1" hidden="" ht="14" outlineLevel="0" r="26740">
      <c r="A26740" s="3" t="inlineStr">
        <is>
          <t>26628</t>
        </is>
      </c>
      <c r="B26740" s="4" t="s">
        <f>=HYPERLINK("http://anyluxury.ru/shop/posuda/termosy/termos-orb-cherniy-1332630/" , "13326.30 Термос Orb, черный")</f>
      </c>
      <c r="C26740" s="4" t="n">
        <v>2700.00</v>
      </c>
      <c r="D26740" s="4"/>
    </row>
    <row collapsed="" customFormat="false" customHeight="1" hidden="" ht="14" outlineLevel="0" r="26741">
      <c r="A26741" s="3" t="inlineStr">
        <is>
          <t>26629</t>
        </is>
      </c>
      <c r="B26741" s="4" t="s">
        <f>=HYPERLINK("http://anyluxury.ru/shop/posuda/termosy/termos-orb-zheltiy-1332680/" , "13326.80 Термос Orb, желтый")</f>
      </c>
      <c r="C26741" s="4" t="n">
        <v>2700.00</v>
      </c>
      <c r="D26741" s="4"/>
    </row>
    <row collapsed="" customFormat="false" customHeight="1" hidden="" ht="14" outlineLevel="0" r="26742">
      <c r="A26742" s="3" t="inlineStr">
        <is>
          <t>26630</t>
        </is>
      </c>
      <c r="B26742" s="4" t="s">
        <f>=HYPERLINK("http://anyluxury.ru/shop/posuda/termosy/termos-orb-beliy-1332660/" , "13326.60 Термос Orb, белый")</f>
      </c>
      <c r="C26742" s="4" t="n">
        <v>2700.00</v>
      </c>
      <c r="D26742" s="4"/>
    </row>
    <row collapsed="" customFormat="false" customHeight="1" hidden="" ht="14" outlineLevel="0" r="26743">
      <c r="A26743" s="3" t="inlineStr">
        <is>
          <t>26631</t>
        </is>
      </c>
      <c r="B26743" s="4" t="s">
        <f>=HYPERLINK("http://anyluxury.ru/shop/posuda/termosy/termos-skinny-mini-beliy-1332560/" , "13325.60 Термос Skinny Mini, белый")</f>
      </c>
      <c r="C26743" s="4" t="n">
        <v>2150.00</v>
      </c>
      <c r="D26743" s="4"/>
    </row>
    <row collapsed="" customFormat="false" customHeight="1" hidden="" ht="14" outlineLevel="0" r="26744">
      <c r="A26744" s="3" t="inlineStr">
        <is>
          <t>26632</t>
        </is>
      </c>
      <c r="B26744" s="4" t="s">
        <f>=HYPERLINK("http://anyluxury.ru/shop/posuda/termosy/termos-skinny-mini-rozoviy-1332515/" , "13325.15 Термос Skinny Mini, розовый")</f>
      </c>
      <c r="C26744" s="4" t="n">
        <v>2150.00</v>
      </c>
      <c r="D26744" s="4"/>
    </row>
    <row collapsed="" customFormat="false" customHeight="1" hidden="" ht="14" outlineLevel="0" r="26745">
      <c r="A26745" s="3" t="inlineStr">
        <is>
          <t>26633</t>
        </is>
      </c>
      <c r="B26745" s="4" t="s">
        <f>=HYPERLINK("http://anyluxury.ru/shop/posuda/termosy/termos-relaxika-350-stalnoy-1317510/" , "13175.10 Термос Relaxika 350, стальной")</f>
      </c>
      <c r="C26745" s="4" t="n">
        <v>990.00</v>
      </c>
      <c r="D26745" s="4"/>
    </row>
    <row collapsed="" customFormat="false" customHeight="1" hidden="" ht="14" outlineLevel="0" r="26746">
      <c r="A26746" s="3" t="inlineStr">
        <is>
          <t>26634</t>
        </is>
      </c>
      <c r="B26746" s="4" t="s">
        <f>=HYPERLINK("http://anyluxury.ru/shop/posuda/termosy/termos-relaxika-500-stalnoy-1317610/" , "13176.10 Термос Relaxika 500, стальной")</f>
      </c>
      <c r="C26746" s="4" t="n">
        <v>1090.00</v>
      </c>
      <c r="D26746" s="4"/>
    </row>
    <row collapsed="" customFormat="false" customHeight="1" hidden="" ht="14" outlineLevel="0" r="26747">
      <c r="A26747" s="3" t="inlineStr">
        <is>
          <t>26635</t>
        </is>
      </c>
      <c r="B26747" s="4" t="s">
        <f>=HYPERLINK("http://anyluxury.ru/shop/posuda/termosy/termos-relaxika-750-stalnoy-1317710/" , "13177.10 Термос Relaxika 750, стальной")</f>
      </c>
      <c r="C26747" s="4" t="n">
        <v>1290.00</v>
      </c>
      <c r="D26747" s="4"/>
    </row>
    <row collapsed="" customFormat="false" customHeight="1" hidden="" ht="14" outlineLevel="0" r="26748">
      <c r="A26748" s="3" t="inlineStr">
        <is>
          <t>26636</t>
        </is>
      </c>
      <c r="B26748" s="4" t="s">
        <f>=HYPERLINK("http://anyluxury.ru/shop/posuda/termosy/termos-relaxika-1000-stalnoy-1317810/" , "13178.10 Термос Relaxika 1000, стальной")</f>
      </c>
      <c r="C26748" s="4" t="n">
        <v>1490.00</v>
      </c>
      <c r="D26748" s="4"/>
    </row>
    <row collapsed="" customFormat="false" customHeight="1" hidden="" ht="14" outlineLevel="0" r="26749">
      <c r="A26749" s="3" t="inlineStr">
        <is>
          <t>26637</t>
        </is>
      </c>
      <c r="B26749" s="4" t="s">
        <f>=HYPERLINK("http://anyluxury.ru/shop/posuda/termosy/termos-relaxika-duo-500-stalnoy-1317910/" , "13179.10 Термос Relaxika Duo 500, стальной")</f>
      </c>
      <c r="C26749" s="4" t="n">
        <v>1190.00</v>
      </c>
      <c r="D26749" s="4"/>
    </row>
    <row collapsed="" customFormat="false" customHeight="1" hidden="" ht="14" outlineLevel="0" r="26750">
      <c r="A26750" s="3" t="inlineStr">
        <is>
          <t>26638</t>
        </is>
      </c>
      <c r="B26750" s="4" t="s">
        <f>=HYPERLINK("http://anyluxury.ru/shop/posuda/termosy/termos-relaxika-duo-750-stalnoy-1318010/" , "13180.10 Термос Relaxika Duo 750, стальной")</f>
      </c>
      <c r="C26750" s="4" t="n">
        <v>1490.00</v>
      </c>
      <c r="D26750" s="4"/>
    </row>
    <row collapsed="" customFormat="false" customHeight="1" hidden="" ht="14" outlineLevel="0" r="26751">
      <c r="A26751" s="3" t="inlineStr">
        <is>
          <t>26639</t>
        </is>
      </c>
      <c r="B26751" s="4" t="s">
        <f>=HYPERLINK("http://anyluxury.ru/shop/posuda/termosy/termos-relaxika-duo-1000-stalnoy-1318110/" , "13181.10 Термос Relaxika Duo 1000, стальной")</f>
      </c>
      <c r="C26751" s="4" t="n">
        <v>1590.00</v>
      </c>
      <c r="D26751" s="4"/>
    </row>
    <row collapsed="" customFormat="false" customHeight="1" hidden="" ht="14" outlineLevel="0" r="26752">
      <c r="A26752" s="3" t="inlineStr">
        <is>
          <t>26640</t>
        </is>
      </c>
      <c r="B26752" s="4" t="s">
        <f>=HYPERLINK("http://anyluxury.ru/shop/posuda/termosy/termos-relaxika-duo-1200-stalnoy-1318210/" , "13182.10 Термос Relaxika Duo 1200, стальной")</f>
      </c>
      <c r="C26752" s="4" t="n">
        <v>1690.00</v>
      </c>
      <c r="D26752" s="4"/>
    </row>
    <row collapsed="" customFormat="false" customHeight="1" hidden="" ht="14" outlineLevel="0" r="26753">
      <c r="A26753" s="3" t="inlineStr">
        <is>
          <t>26641</t>
        </is>
      </c>
      <c r="B26753" s="4" t="s">
        <f>=HYPERLINK("http://anyluxury.ru/shop/posuda/termosy/termobutilka-thermocafe-bolino-2-izumrudnozelenaya-1326690/" , "13266.90 Термобутылка Thermocafe Bolino 2, изумрудно-зеленая")</f>
      </c>
      <c r="C26753" s="4" t="n">
        <v>1999.00</v>
      </c>
      <c r="D26753" s="4"/>
    </row>
    <row collapsed="" customFormat="false" customHeight="1" hidden="" ht="14" outlineLevel="0" r="26754">
      <c r="A26754" s="3" t="inlineStr">
        <is>
          <t>26642</t>
        </is>
      </c>
      <c r="B26754" s="4" t="s">
        <f>=HYPERLINK("http://anyluxury.ru/shop/posuda/termosy/termos-dlya-edi-thermos-work-2345gm-grafitoviy-1326730/" , "13267.30 Термос для еды Thermos Work 2345GM, графитовый")</f>
      </c>
      <c r="C26754" s="4" t="n">
        <v>4699.00</v>
      </c>
      <c r="D26754" s="4"/>
    </row>
    <row collapsed="" customFormat="false" customHeight="1" hidden="" ht="14" outlineLevel="0" r="26755">
      <c r="A26755" s="3" t="inlineStr">
        <is>
          <t>26643</t>
        </is>
      </c>
      <c r="B26755" s="4" t="s">
        <f>=HYPERLINK("http://anyluxury.ru/shop/posuda/termosy/termos-thermos-fdh-stalnoy-1326810/" , "13268.10 Термос Thermos FDH, стальной")</f>
      </c>
      <c r="C26755" s="4" t="n">
        <v>7199.00</v>
      </c>
      <c r="D26755" s="4"/>
    </row>
    <row collapsed="" customFormat="false" customHeight="1" hidden="" ht="14" outlineLevel="0" r="26756">
      <c r="A26756" s="3" t="inlineStr">
        <is>
          <t>26644</t>
        </is>
      </c>
      <c r="B26756" s="4" t="s">
        <f>=HYPERLINK("http://anyluxury.ru/shop/posuda/termosy/termos-thermos-thermocafe-hamfk700-seriy-1326910/" , "13269.10 Термос Thermos Thermocafe HAMFK700, серый")</f>
      </c>
      <c r="C26756" s="4" t="n">
        <v>1999.00</v>
      </c>
      <c r="D26756" s="4"/>
    </row>
    <row collapsed="" customFormat="false" customHeight="1" hidden="" ht="14" outlineLevel="0" r="26757">
      <c r="A26757" s="3" t="inlineStr">
        <is>
          <t>26645</t>
        </is>
      </c>
      <c r="B26757" s="4" t="s">
        <f>=HYPERLINK("http://anyluxury.ru/shop/posuda/termosy/termos-dlya-edi-thermos-jbq400-krasniy-1327050/" , "13270.50 Термос для еды Thermos JBQ400, красный")</f>
      </c>
      <c r="C26757" s="4" t="n">
        <v>3499.00</v>
      </c>
      <c r="D26757" s="4"/>
    </row>
    <row collapsed="" customFormat="false" customHeight="1" hidden="" ht="14" outlineLevel="0" r="26758">
      <c r="A26758" s="3" t="inlineStr">
        <is>
          <t>26646</t>
        </is>
      </c>
      <c r="B26758" s="4" t="s">
        <f>=HYPERLINK("http://anyluxury.ru/shop/posuda/termosy/termos-thermos-jni402-cherniy-1328230/" , "13282.30 Термос Thermos JNI402, черный")</f>
      </c>
      <c r="C26758" s="4" t="n">
        <v>3699.00</v>
      </c>
      <c r="D26758" s="4"/>
    </row>
    <row collapsed="" customFormat="false" customHeight="1" hidden="" ht="14" outlineLevel="0" r="26759">
      <c r="A26759" s="3" t="inlineStr">
        <is>
          <t>26647</t>
        </is>
      </c>
      <c r="B26759" s="4" t="s">
        <f>=HYPERLINK("http://anyluxury.ru/shop/posuda/termosy/termos-thermos-jnl402-siniy-1327240/" , "13272.40 Термос Thermos JNL402, синий")</f>
      </c>
      <c r="C26759" s="4" t="n">
        <v>3599.00</v>
      </c>
      <c r="D26759" s="4"/>
    </row>
    <row collapsed="" customFormat="false" customHeight="1" hidden="" ht="14" outlineLevel="0" r="26760">
      <c r="A26760" s="3" t="inlineStr">
        <is>
          <t>26648</t>
        </is>
      </c>
      <c r="B26760" s="4" t="s">
        <f>=HYPERLINK("http://anyluxury.ru/shop/posuda/termosy/termos-thermos-jno501-zeleniy-myatniy-1327395/" , "13273.95 Термос Thermos JNO501, зеленый (мятный)")</f>
      </c>
      <c r="C26760" s="4" t="n">
        <v>3699.00</v>
      </c>
      <c r="D26760" s="4"/>
    </row>
    <row collapsed="" customFormat="false" customHeight="1" hidden="" ht="14" outlineLevel="0" r="26761">
      <c r="A26761" s="3" t="inlineStr">
        <is>
          <t>26649</t>
        </is>
      </c>
      <c r="B26761" s="4" t="s">
        <f>=HYPERLINK("http://anyluxury.ru/shop/posuda/termosy/termos-thermos-jns450-goluboy-1327414/" , "13274.14 Термос Thermos JNS450, голубой")</f>
      </c>
      <c r="C26761" s="4" t="n">
        <v>4199.00</v>
      </c>
      <c r="D26761" s="4"/>
    </row>
    <row collapsed="" customFormat="false" customHeight="1" hidden="" ht="14" outlineLevel="0" r="26762">
      <c r="A26762" s="3" t="inlineStr">
        <is>
          <t>26650</t>
        </is>
      </c>
      <c r="B26762" s="4" t="s">
        <f>=HYPERLINK("http://anyluxury.ru/shop/posuda/termosy/termos-thermos-jns450-rozoviy-1327415/" , "13274.15 Термос Thermos JNS450, розовый")</f>
      </c>
      <c r="C26762" s="4" t="n">
        <v>4199.00</v>
      </c>
      <c r="D26762" s="4"/>
    </row>
    <row collapsed="" customFormat="false" customHeight="1" hidden="" ht="14" outlineLevel="0" r="26763">
      <c r="A26763" s="3" t="inlineStr">
        <is>
          <t>26651</t>
        </is>
      </c>
      <c r="B26763" s="4" t="s">
        <f>=HYPERLINK("http://anyluxury.ru/shop/posuda/termosy/termos-thermos-sk2010-siniy-1058740/" , "10587.40 Термос Thermos SK2010, синий")</f>
      </c>
      <c r="C26763" s="4" t="n">
        <v>6499.00</v>
      </c>
      <c r="D26763" s="4"/>
    </row>
    <row collapsed="" customFormat="false" customHeight="1" hidden="" ht="14" outlineLevel="0" r="26764">
      <c r="A26764" s="3" t="inlineStr">
        <is>
          <t>26652</t>
        </is>
      </c>
      <c r="B26764" s="4" t="s">
        <f>=HYPERLINK("http://anyluxury.ru/shop/posuda/termosy/termos-dlya-edi-thermos-sk3000-siniy-1058940/" , "10589.40 Термос для еды Thermos SK3000, синий")</f>
      </c>
      <c r="C26764" s="4" t="n">
        <v>4999.00</v>
      </c>
      <c r="D26764" s="4"/>
    </row>
    <row collapsed="" customFormat="false" customHeight="1" hidden="" ht="14" outlineLevel="0" r="26765">
      <c r="A26765" s="3" t="inlineStr">
        <is>
          <t>26653</t>
        </is>
      </c>
      <c r="B26765" s="4" t="s">
        <f>=HYPERLINK("http://anyluxury.ru/shop/posuda/termosy/termos-dlya-edi-thermos-sk3000-svetlozeleniy-1058919/" , "10589.19 Термос для еды Thermos SK3000, светло-зеленый")</f>
      </c>
      <c r="C26765" s="4" t="n">
        <v>4999.00</v>
      </c>
      <c r="D26765" s="4"/>
    </row>
    <row collapsed="" customFormat="false" customHeight="1" hidden="" ht="14" outlineLevel="0" r="26766">
      <c r="A26766" s="3" t="inlineStr">
        <is>
          <t>26654</t>
        </is>
      </c>
      <c r="B26766" s="4" t="s">
        <f>=HYPERLINK("http://anyluxury.ru/shop/posuda/termosy/termos-dlya-edi-thermos-sk3000-rozoviy-1058915/" , "10589.15 Термос для еды Thermos SK3000, розовый")</f>
      </c>
      <c r="C26766" s="4" t="n">
        <v>4999.00</v>
      </c>
      <c r="D26766" s="4"/>
    </row>
    <row collapsed="" customFormat="false" customHeight="1" hidden="" ht="14" outlineLevel="0" r="26767">
      <c r="A26767" s="3" t="inlineStr">
        <is>
          <t>26655</t>
        </is>
      </c>
      <c r="B26767" s="4" t="s">
        <f>=HYPERLINK("http://anyluxury.ru/shop/posuda/termosy/termos-dlya-edi-thermos-sk3000-serebristiy-1058910/" , "10589.10 Термос для еды Thermos SK3000, серебристый")</f>
      </c>
      <c r="C26767" s="4" t="n">
        <v>4999.00</v>
      </c>
      <c r="D26767" s="4"/>
    </row>
    <row collapsed="" customFormat="false" customHeight="1" hidden="" ht="14" outlineLevel="0" r="26768">
      <c r="A26768" s="3" t="inlineStr">
        <is>
          <t>26656</t>
        </is>
      </c>
      <c r="B26768" s="4" t="s">
        <f>=HYPERLINK("http://anyluxury.ru/shop/posuda/termosy/termos-dlya-edi-thermos-sk3020-siniy-1058840/" , "10588.40 Термос для еды Thermos SK3020, синий")</f>
      </c>
      <c r="C26768" s="4" t="n">
        <v>5599.00</v>
      </c>
      <c r="D26768" s="4"/>
    </row>
    <row collapsed="" customFormat="false" customHeight="1" hidden="" ht="14" outlineLevel="0" r="26769">
      <c r="A26769" s="3" t="inlineStr">
        <is>
          <t>26657</t>
        </is>
      </c>
      <c r="B26769" s="4" t="s">
        <f>=HYPERLINK("http://anyluxury.ru/shop/posuda/termosy/termos-thermos-sk2020-cherniy-matoviy-1327530/" , "13275.30 Термос Thermos SK2020, черный матовый")</f>
      </c>
      <c r="C26769" s="4" t="n">
        <v>9490.00</v>
      </c>
      <c r="D26769" s="4"/>
    </row>
    <row collapsed="" customFormat="false" customHeight="1" hidden="" ht="14" outlineLevel="0" r="26770">
      <c r="A26770" s="3" t="inlineStr">
        <is>
          <t>26658</t>
        </is>
      </c>
      <c r="B26770" s="4" t="s">
        <f>=HYPERLINK("http://anyluxury.ru/shop/posuda/termosy/termos-thermos-sk4000-siniy-1327640/" , "13276.40 Термос Thermos SK4000, синий")</f>
      </c>
      <c r="C26770" s="4" t="n">
        <v>6599.00</v>
      </c>
      <c r="D26770" s="4"/>
    </row>
    <row collapsed="" customFormat="false" customHeight="1" hidden="" ht="14" outlineLevel="0" r="26771">
      <c r="A26771" s="3" t="inlineStr">
        <is>
          <t>26659</t>
        </is>
      </c>
      <c r="B26771" s="4" t="s">
        <f>=HYPERLINK("http://anyluxury.ru/shop/posuda/termosy/termos-thermos-sk4000-cherniy-1327630/" , "13276.30 Термос Thermos SK4000, черный")</f>
      </c>
      <c r="C26771" s="4" t="n">
        <v>6599.00</v>
      </c>
      <c r="D26771" s="4"/>
    </row>
    <row collapsed="" customFormat="false" customHeight="1" hidden="" ht="14" outlineLevel="0" r="26772">
      <c r="A26772" s="3" t="inlineStr">
        <is>
          <t>26660</t>
        </is>
      </c>
      <c r="B26772" s="4" t="s">
        <f>=HYPERLINK("http://anyluxury.ru/shop/posuda/termosy/termos-dlya-edi-thermos-tcld720s-temnosiniy-1327740/" , "13277.40 Термос для еды Thermos TCLD720S, темно-синий")</f>
      </c>
      <c r="C26772" s="4" t="n">
        <v>5899.00</v>
      </c>
      <c r="D26772" s="4"/>
    </row>
    <row collapsed="" customFormat="false" customHeight="1" hidden="" ht="14" outlineLevel="0" r="26773">
      <c r="A26773" s="3" t="inlineStr">
        <is>
          <t>26661</t>
        </is>
      </c>
      <c r="B26773" s="4" t="s">
        <f>=HYPERLINK("http://anyluxury.ru/shop/posuda/termosy/termos-thermos-ts2706-cherniy-1327830/" , "13278.30 Термос Thermos TS2706, черный")</f>
      </c>
      <c r="C26773" s="4" t="n">
        <v>4999.00</v>
      </c>
      <c r="D26773" s="4"/>
    </row>
    <row collapsed="" customFormat="false" customHeight="1" hidden="" ht="14" outlineLevel="0" r="26774">
      <c r="A26774" s="3" t="inlineStr">
        <is>
          <t>26662</t>
        </is>
      </c>
      <c r="B26774" s="4" t="s">
        <f>=HYPERLINK("http://anyluxury.ru/shop/posuda/termosy/termos-dlya-edi-thermocafe-detc400-svetlozeleniy-1327919/" , "13279.19 Термос для еды Thermocafe DETC400, светло-зеленый")</f>
      </c>
      <c r="C26774" s="4" t="n">
        <v>1999.00</v>
      </c>
      <c r="D26774" s="4"/>
    </row>
    <row collapsed="" customFormat="false" customHeight="1" hidden="" ht="14" outlineLevel="0" r="26775">
      <c r="A26775" s="3" t="inlineStr">
        <is>
          <t>26663</t>
        </is>
      </c>
      <c r="B26775" s="4" t="s">
        <f>=HYPERLINK("http://anyluxury.ru/shop/posuda/termosy/termos-thermos-jno501-korichneviy-1327359/" , "13273.59 Термос Thermos JNO501, коричневый")</f>
      </c>
      <c r="C26775" s="4" t="n">
        <v>3699.00</v>
      </c>
      <c r="D26775" s="4"/>
    </row>
    <row collapsed="" customFormat="false" customHeight="1" hidden="" ht="14" outlineLevel="0" r="26776">
      <c r="A26776" s="3" t="inlineStr">
        <is>
          <t>26664</t>
        </is>
      </c>
      <c r="B26776" s="4" t="s">
        <f>=HYPERLINK("http://anyluxury.ru/shop/posuda/termosy/termos-thermos-tcmf501-temnokorichneviy-1328159/" , "13281.59 Термос Thermos TCMF501, темно-коричневый")</f>
      </c>
      <c r="C26776" s="4" t="n">
        <v>4999.00</v>
      </c>
      <c r="D26776" s="4"/>
    </row>
    <row collapsed="" customFormat="false" customHeight="1" hidden="" ht="14" outlineLevel="0" r="26777">
      <c r="A26777" s="3" t="inlineStr">
        <is>
          <t>26665</t>
        </is>
      </c>
      <c r="B26777" s="4" t="s">
        <f>=HYPERLINK("http://anyluxury.ru/shop/posuda/termosy/termos-thermos-jni402-beliy-1328260/" , "13282.60 Термос Thermos JNI402, белый")</f>
      </c>
      <c r="C26777" s="4" t="n">
        <v>3699.00</v>
      </c>
      <c r="D26777" s="4"/>
    </row>
    <row collapsed="" customFormat="false" customHeight="1" hidden="" ht="14" outlineLevel="0" r="26778">
      <c r="A26778" s="3" t="inlineStr">
        <is>
          <t>26666</t>
        </is>
      </c>
      <c r="B26778" s="4" t="s">
        <f>=HYPERLINK("http://anyluxury.ru/shop/posuda/termosy/termos-dog-bowl-s-miskoy-dlya-pitomca-temnofioletoviy-1333870/" , "13338.70 Термос Dog Bowl с миской для питомца, темно-фиолетовый")</f>
      </c>
      <c r="C26778" s="4" t="n">
        <v>3500.00</v>
      </c>
      <c r="D26778" s="4"/>
    </row>
    <row collapsed="" customFormat="false" customHeight="1" hidden="" ht="14" outlineLevel="0" r="26779">
      <c r="A26779" s="3" t="inlineStr">
        <is>
          <t>26667</t>
        </is>
      </c>
      <c r="B26779" s="4" t="s">
        <f>=HYPERLINK("http://anyluxury.ru/shop/posuda/termosy/termos-dog-bowl-s-miskoy-dlya-pitomca-goluboy-1333814/" , "13338.14 Термос Dog Bowl с миской для питомца, голубой")</f>
      </c>
      <c r="C26779" s="4" t="n">
        <v>3500.00</v>
      </c>
      <c r="D26779" s="4"/>
    </row>
    <row collapsed="" customFormat="false" customHeight="1" hidden="" ht="14" outlineLevel="0" r="26780">
      <c r="A26780" s="3" t="inlineStr">
        <is>
          <t>26668</t>
        </is>
      </c>
      <c r="B26780" s="4" t="s">
        <f>=HYPERLINK("http://anyluxury.ru/shop/posuda/termosy/termos-dog-bowl-s-miskoy-dlya-pitomca-beliy-1333860/" , "13338.60 Термос Dog Bowl с миской для питомца, белый")</f>
      </c>
      <c r="C26780" s="4" t="n">
        <v>3500.00</v>
      </c>
      <c r="D26780" s="4"/>
    </row>
    <row collapsed="" customFormat="false" customHeight="1" hidden="" ht="14" outlineLevel="0" r="26781">
      <c r="A26781" s="3" t="inlineStr">
        <is>
          <t>26669</t>
        </is>
      </c>
      <c r="B26781" s="4" t="s">
        <f>=HYPERLINK("http://anyluxury.ru/shop/posuda/termosy/termos-dog-bowl-s-miskoy-dlya-pitomca-cherniy-1333830/" , "13338.30 Термос Dog Bowl с миской для питомца, черный")</f>
      </c>
      <c r="C26781" s="4" t="n">
        <v>3500.00</v>
      </c>
      <c r="D26781" s="4"/>
    </row>
    <row collapsed="" customFormat="false" customHeight="1" hidden="" ht="14" outlineLevel="0" r="26782">
      <c r="A26782" s="3" t="inlineStr">
        <is>
          <t>26670</t>
        </is>
      </c>
      <c r="B26782" s="4" t="s">
        <f>=HYPERLINK("http://anyluxury.ru/shop/posuda/termosy/termos-skydive-siniy-1309840/" , "13098.40 Термос Skydive, синий")</f>
      </c>
      <c r="C26782" s="4" t="n">
        <v>997.00</v>
      </c>
      <c r="D26782" s="4"/>
    </row>
    <row collapsed="" customFormat="false" customHeight="1" hidden="" ht="14" outlineLevel="0" r="26783">
      <c r="A26783" s="3" t="inlineStr">
        <is>
          <t>26671</t>
        </is>
      </c>
      <c r="B26783" s="4" t="s">
        <f>=HYPERLINK("http://anyluxury.ru/shop/posuda/termosy/termos-skydive-zeleniy-1309890/" , "13098.90 Термос Skydive, зеленый")</f>
      </c>
      <c r="C26783" s="4" t="n">
        <v>997.00</v>
      </c>
      <c r="D26783" s="4"/>
    </row>
    <row collapsed="" customFormat="false" customHeight="1" hidden="" ht="14" outlineLevel="0" r="26784">
      <c r="A26784" s="3" t="inlineStr">
        <is>
          <t>26672</t>
        </is>
      </c>
      <c r="B26784" s="4" t="s">
        <f>=HYPERLINK("http://anyluxury.ru/shop/posuda/termosy/termos-skydive-krasniy-1309850/" , "13098.50 Термос Skydive, красный")</f>
      </c>
      <c r="C26784" s="4" t="n">
        <v>997.00</v>
      </c>
      <c r="D26784" s="4"/>
    </row>
    <row collapsed="" customFormat="false" customHeight="1" hidden="" ht="14" outlineLevel="0" r="26785">
      <c r="A26785" s="3" t="inlineStr">
        <is>
          <t>26673</t>
        </is>
      </c>
      <c r="B26785" s="4" t="s">
        <f>=HYPERLINK("http://anyluxury.ru/shop/posuda/termosy/termos-skydive-cherniy-1309830/" , "13098.30 Термос Skydive, черный")</f>
      </c>
      <c r="C26785" s="4" t="n">
        <v>997.00</v>
      </c>
      <c r="D26785" s="4"/>
    </row>
    <row collapsed="" customFormat="false" customHeight="1" hidden="" ht="14" outlineLevel="0" r="26786">
      <c r="A26786" s="3" t="inlineStr">
        <is>
          <t>26674</t>
        </is>
      </c>
      <c r="B26786" s="4" t="s">
        <f>=HYPERLINK("http://anyluxury.ru/shop/posuda/termosy/termos-dlya-edi-feedaway-500-siniy-1047140/" , "10471.40 Термос для еды feedAway 500, синий")</f>
      </c>
      <c r="C26786" s="4" t="n">
        <v>1890.00</v>
      </c>
      <c r="D26786" s="4"/>
    </row>
    <row collapsed="" customFormat="false" customHeight="1" hidden="" ht="14" outlineLevel="0" r="26787">
      <c r="A26787" s="3" t="inlineStr">
        <is>
          <t>26675</t>
        </is>
      </c>
      <c r="B26787" s="4" t="s">
        <f>=HYPERLINK("http://anyluxury.ru/shop/posuda/termosy/termos-dlya-edi-feedaway-700-siniy-1047240/" , "10472.40 Термос для еды feedAway 700, синий")</f>
      </c>
      <c r="C26787" s="4" t="n">
        <v>2490.00</v>
      </c>
      <c r="D26787" s="4"/>
    </row>
    <row collapsed="" customFormat="false" customHeight="1" hidden="" ht="14" outlineLevel="0" r="26788">
      <c r="A26788" s="3" t="inlineStr">
        <is>
          <t>26676</t>
        </is>
      </c>
      <c r="B26788" s="4" t="s">
        <f>=HYPERLINK("http://anyluxury.ru/shop/posuda/termosy/termos-arktika-1000-stalnoy-1365710/" , "13657.10 Термос «Арктика 1000», стальной")</f>
      </c>
      <c r="C26788" s="4" t="n">
        <v>1517.00</v>
      </c>
      <c r="D26788" s="4"/>
    </row>
    <row collapsed="" customFormat="false" customHeight="1" hidden="" ht="14" outlineLevel="0" r="26789">
      <c r="A26789" s="3" t="inlineStr">
        <is>
          <t>26677</t>
        </is>
      </c>
      <c r="B26789" s="4" t="s">
        <f>=HYPERLINK("http://anyluxury.ru/shop/posuda/termosy/termos-arktika-750-stalnoy-1365810/" , "13658.10 Термос «Арктика 750», стальной")</f>
      </c>
      <c r="C26789" s="4" t="n">
        <v>1347.00</v>
      </c>
      <c r="D26789" s="4"/>
    </row>
    <row collapsed="" customFormat="false" customHeight="1" hidden="" ht="14" outlineLevel="0" r="26790">
      <c r="A26790" s="3" t="inlineStr">
        <is>
          <t>26678</t>
        </is>
      </c>
      <c r="B26790" s="4" t="s">
        <f>=HYPERLINK("http://anyluxury.ru/shop/posuda/termosy/termos-arktika-duo-1000-stalnoy-1366010/" , "13660.10 Термос «Арктика Duo 1000», стальной")</f>
      </c>
      <c r="C26790" s="4" t="n">
        <v>1792.00</v>
      </c>
      <c r="D26790" s="4"/>
    </row>
    <row collapsed="" customFormat="false" customHeight="1" hidden="" ht="14" outlineLevel="0" r="26791">
      <c r="A26791" s="3" t="inlineStr">
        <is>
          <t>26679</t>
        </is>
      </c>
      <c r="B26791" s="4" t="s">
        <f>=HYPERLINK("http://anyluxury.ru/shop/posuda/termosy/termos-arktika-duo-1200-stalnoy-1366110/" , "13661.10 Термос «Арктика Duo 1200», стальной")</f>
      </c>
      <c r="C26791" s="4" t="n">
        <v>2004.00</v>
      </c>
      <c r="D26791" s="4"/>
    </row>
    <row collapsed="" customFormat="false" customHeight="1" hidden="" ht="14" outlineLevel="0" r="26792">
      <c r="A26792" s="3" t="inlineStr">
        <is>
          <t>26680</t>
        </is>
      </c>
      <c r="B26792" s="4" t="s">
        <f>=HYPERLINK("http://anyluxury.ru/shop/posuda/termosy/termos-arktika-duo-750-stalnoy-1366210/" , "13662.10 Термос «Арктика Duo 750», стальной")</f>
      </c>
      <c r="C26792" s="4" t="n">
        <v>1611.00</v>
      </c>
      <c r="D26792" s="4"/>
    </row>
    <row collapsed="" customFormat="false" customHeight="1" hidden="" ht="14" outlineLevel="0" r="26793">
      <c r="A26793" s="3" t="inlineStr">
        <is>
          <t>26681</t>
        </is>
      </c>
      <c r="B26793" s="4" t="s">
        <f>=HYPERLINK("http://anyluxury.ru/shop/posuda/termosy/termos-dlya-edi-arktika-500-stalnoy-1366710/" , "13667.10 Термос для еды «Арктика 500», стальной")</f>
      </c>
      <c r="C26793" s="4" t="n">
        <v>1598.00</v>
      </c>
      <c r="D26793" s="4"/>
    </row>
    <row collapsed="" customFormat="false" customHeight="1" hidden="" ht="14" outlineLevel="0" r="26794">
      <c r="A26794" s="3" t="inlineStr">
        <is>
          <t>26682</t>
        </is>
      </c>
      <c r="B26794" s="4" t="s">
        <f>=HYPERLINK("http://anyluxury.ru/shop/posuda/termosy/termos-dlya-edi-arktika-500-v-chehle-stalnoy-1366810/" , "13668.10 Термос для еды «Арктика 500» в чехле, стальной")</f>
      </c>
      <c r="C26794" s="4" t="n">
        <v>1885.00</v>
      </c>
      <c r="D26794" s="4"/>
    </row>
    <row collapsed="" customFormat="false" customHeight="1" hidden="" ht="14" outlineLevel="0" r="26795">
      <c r="A26795" s="3" t="inlineStr">
        <is>
          <t>26683</t>
        </is>
      </c>
      <c r="B26795" s="4" t="s">
        <f>=HYPERLINK("http://anyluxury.ru/shop/posuda/termosy/termos-dlya-edi-s-konteynerami-arktika-1500-stalnoy-1367010/" , "13670.10 Термос для еды с контейнерами «Арктика 1500», стальной")</f>
      </c>
      <c r="C26795" s="4" t="n">
        <v>2665.00</v>
      </c>
      <c r="D26795" s="4"/>
    </row>
    <row collapsed="" customFormat="false" customHeight="1" hidden="" ht="14" outlineLevel="0" r="26796">
      <c r="A26796" s="3" t="inlineStr">
        <is>
          <t>26684</t>
        </is>
      </c>
      <c r="B26796" s="4" t="s">
        <f>=HYPERLINK("http://anyluxury.ru/shop/posuda/termosy/termos-arktika-color-1000-krasniy-1365950/" , "13659.50 Термос «Арктика Color 1000», красный")</f>
      </c>
      <c r="C26796" s="4" t="n">
        <v>1792.00</v>
      </c>
      <c r="D26796" s="4"/>
    </row>
    <row collapsed="" customFormat="false" customHeight="1" hidden="" ht="14" outlineLevel="0" r="26797">
      <c r="A26797" s="3" t="inlineStr">
        <is>
          <t>26685</t>
        </is>
      </c>
      <c r="B26797" s="4" t="s">
        <f>=HYPERLINK("http://anyluxury.ru/shop/posuda/termosy/termos-arktika-color-1000-siniy-1365940/" , "13659.40 Термос «Арктика Color 1000», синий")</f>
      </c>
      <c r="C26797" s="4" t="n">
        <v>1792.00</v>
      </c>
      <c r="D26797" s="4"/>
    </row>
    <row collapsed="" customFormat="false" customHeight="1" hidden="" ht="14" outlineLevel="0" r="26798">
      <c r="A26798" s="3" t="inlineStr">
        <is>
          <t>26686</t>
        </is>
      </c>
      <c r="B26798" s="4" t="s">
        <f>=HYPERLINK("http://anyluxury.ru/shop/posuda/termosy/termos-s-ruchkoy-arktika-2200-zeleniy-1366490/" , "13664.90 Термос с ручкой «Арктика 2200», зеленый")</f>
      </c>
      <c r="C26798" s="4" t="n">
        <v>4653.00</v>
      </c>
      <c r="D26798" s="4"/>
    </row>
    <row collapsed="" customFormat="false" customHeight="1" hidden="" ht="14" outlineLevel="0" r="26799">
      <c r="A26799" s="3" t="inlineStr">
        <is>
          <t>26687</t>
        </is>
      </c>
      <c r="B26799" s="4" t="s">
        <f>=HYPERLINK("http://anyluxury.ru/shop/posuda/termosy/termos-s-ruchkoy-arktika-2200-cherniy-1366430/" , "13664.30 Термос с ручкой «Арктика 2200», черный")</f>
      </c>
      <c r="C26799" s="4" t="n">
        <v>4653.00</v>
      </c>
      <c r="D26799" s="4"/>
    </row>
    <row collapsed="" customFormat="false" customHeight="1" hidden="" ht="14" outlineLevel="0" r="26800">
      <c r="A26800" s="3" t="inlineStr">
        <is>
          <t>26688</t>
        </is>
      </c>
      <c r="B26800" s="4" t="s">
        <f>=HYPERLINK("http://anyluxury.ru/shop/posuda/termosy/termos-arktika-hammerite-750-krasniy-1366550/" , "13665.50 Термос «Арктика Hammerite 750», красный")</f>
      </c>
      <c r="C26800" s="4" t="n">
        <v>2095.00</v>
      </c>
      <c r="D26800" s="4"/>
    </row>
    <row collapsed="" customFormat="false" customHeight="1" hidden="" ht="14" outlineLevel="0" r="26801">
      <c r="A26801" s="3" t="inlineStr">
        <is>
          <t>26689</t>
        </is>
      </c>
      <c r="B26801" s="4" t="s">
        <f>=HYPERLINK("http://anyluxury.ru/shop/posuda/termosy/termos-arktika-hammerite-750-serebristiy-1366510/" , "13665.10 Термос «Арктика Hammerite 750», серебристый")</f>
      </c>
      <c r="C26801" s="4" t="n">
        <v>2095.00</v>
      </c>
      <c r="D26801" s="4"/>
    </row>
    <row collapsed="" customFormat="false" customHeight="1" hidden="" ht="14" outlineLevel="0" r="26802">
      <c r="A26802" s="3" t="inlineStr">
        <is>
          <t>26690</t>
        </is>
      </c>
      <c r="B26802" s="4" t="s">
        <f>=HYPERLINK("http://anyluxury.ru/shop/posuda/termosy/termos-arktika-hammerite-750-siniy-1366540/" , "13665.40 Термос «Арктика Hammerite 750», синий")</f>
      </c>
      <c r="C26802" s="4" t="n">
        <v>2095.00</v>
      </c>
      <c r="D26802" s="4"/>
    </row>
    <row collapsed="" customFormat="false" customHeight="1" hidden="" ht="14" outlineLevel="0" r="26803">
      <c r="A26803" s="3" t="inlineStr">
        <is>
          <t>26691</t>
        </is>
      </c>
      <c r="B26803" s="4" t="s">
        <f>=HYPERLINK("http://anyluxury.ru/shop/posuda/termosy/termos-arktika-hammerite-750-cherniy-1366530/" , "13665.30 Термос «Арктика Hammerite 750», черный")</f>
      </c>
      <c r="C26803" s="4" t="n">
        <v>2095.00</v>
      </c>
      <c r="D26803" s="4"/>
    </row>
    <row collapsed="" customFormat="false" customHeight="1" hidden="" ht="14" outlineLevel="0" r="26804">
      <c r="A26804" s="3" t="inlineStr">
        <is>
          <t>26692</t>
        </is>
      </c>
      <c r="B26804" s="4" t="s">
        <f>=HYPERLINK("http://anyluxury.ru/shop/posuda/termosy/termos-dlya-edi-i-napitkov-relaxika-500-stalnoy-1379210/" , "13792.10 Термос для еды и напитков Relaxika 500, стальной")</f>
      </c>
      <c r="C26804" s="4" t="n">
        <v>1490.00</v>
      </c>
      <c r="D26804" s="4"/>
    </row>
    <row collapsed="" customFormat="false" customHeight="1" hidden="" ht="14" outlineLevel="0" r="26805">
      <c r="A26805" s="3" t="inlineStr">
        <is>
          <t>26693</t>
        </is>
      </c>
      <c r="B26805" s="4" t="s">
        <f>=HYPERLINK("http://anyluxury.ru/shop/posuda/termosy/termos-dlya-edi-i-napitkov-relaxika-800-stalnoy-1379310/" , "13793.10 Термос для еды и напитков Relaxika 800, стальной")</f>
      </c>
      <c r="C26805" s="4" t="n">
        <v>1590.00</v>
      </c>
      <c r="D26805" s="4"/>
    </row>
    <row collapsed="" customFormat="false" customHeight="1" hidden="" ht="14" outlineLevel="0" r="26806">
      <c r="A26806" s="3" t="inlineStr">
        <is>
          <t>26694</t>
        </is>
      </c>
      <c r="B26806" s="4" t="s">
        <f>=HYPERLINK("http://anyluxury.ru/shop/posuda/termosy/termos-dlya-edi-i-napitkov-relaxika-1500-stalnoy-1379410/" , "13794.10 Термос для еды и напитков Relaxika 1500, стальной")</f>
      </c>
      <c r="C26806" s="4" t="n">
        <v>1990.00</v>
      </c>
      <c r="D26806" s="4"/>
    </row>
    <row collapsed="" customFormat="false" customHeight="1" hidden="" ht="14" outlineLevel="0" r="26807">
      <c r="A26807" s="3" t="inlineStr">
        <is>
          <t>26695</t>
        </is>
      </c>
      <c r="B26807" s="4" t="s">
        <f>=HYPERLINK("http://anyluxury.ru/shop/posuda/termosy/termos-dlya-edi-i-napitkov-relaxika-1800-stalnoy-1379510/" , "13795.10 Термос для еды и напитков Relaxika 1800, стальной")</f>
      </c>
      <c r="C26807" s="4" t="n">
        <v>2090.00</v>
      </c>
      <c r="D26807" s="4"/>
    </row>
    <row collapsed="" customFormat="false" customHeight="1" hidden="" ht="14" outlineLevel="0" r="26808">
      <c r="A26808" s="3" t="inlineStr">
        <is>
          <t>26696</t>
        </is>
      </c>
      <c r="B26808" s="4" t="s">
        <f>=HYPERLINK("http://anyluxury.ru/shop/posuda/termosy/termos-hiker-750-siniy-1329940/" , "13299.40 Термос Hiker 750, синий")</f>
      </c>
      <c r="C26808" s="4" t="n">
        <v>1435.00</v>
      </c>
      <c r="D26808" s="4"/>
    </row>
    <row collapsed="" customFormat="false" customHeight="1" hidden="" ht="14" outlineLevel="0" r="26809">
      <c r="A26809" s="3" t="inlineStr">
        <is>
          <t>26697</t>
        </is>
      </c>
      <c r="B26809" s="4" t="s">
        <f>=HYPERLINK("http://anyluxury.ru/shop/posuda/termosy/termos-hiker-750-krasniy-1329950/" , "13299.50 Термос Hiker 750, красный")</f>
      </c>
      <c r="C26809" s="4" t="n">
        <v>1442.00</v>
      </c>
      <c r="D26809" s="4"/>
    </row>
    <row collapsed="" customFormat="false" customHeight="1" hidden="" ht="14" outlineLevel="0" r="26810">
      <c r="A26810" s="3" t="inlineStr">
        <is>
          <t>26698</t>
        </is>
      </c>
      <c r="B26810" s="4" t="s">
        <f>=HYPERLINK("http://anyluxury.ru/shop/posuda/termosy/termos-hoffel-cherniy-1330030/" , "13300.30 Термос с ситечком Hoffel, черный")</f>
      </c>
      <c r="C26810" s="4" t="n">
        <v>1948.00</v>
      </c>
      <c r="D26810" s="4"/>
    </row>
    <row collapsed="" customFormat="false" customHeight="1" hidden="" ht="14" outlineLevel="0" r="26811">
      <c r="A26811" s="3" t="inlineStr">
        <is>
          <t>26699</t>
        </is>
      </c>
      <c r="B26811" s="4" t="s">
        <f>=HYPERLINK("http://anyluxury.ru/shop/posuda/termosy/termos-arktika-900-s-sitechkom-zeleniy-1399090/" , "13990.90 Термос «Арктика 900» с ситечком, зеленый")</f>
      </c>
      <c r="C26811" s="4" t="n">
        <v>2522.00</v>
      </c>
      <c r="D26811" s="4"/>
    </row>
    <row collapsed="" customFormat="false" customHeight="1" hidden="" ht="14" outlineLevel="0" r="26812">
      <c r="A26812" s="3" t="inlineStr">
        <is>
          <t>26700</t>
        </is>
      </c>
      <c r="B26812" s="4" t="s">
        <f>=HYPERLINK("http://anyluxury.ru/shop/posuda/termosy/termos-arktika-700-v-opletke-cherniy-1399130/" , "13991.30 Термос «Арктика 700» в оплетке, черный")</f>
      </c>
      <c r="C26812" s="4" t="n">
        <v>2244.00</v>
      </c>
      <c r="D26812" s="4"/>
    </row>
    <row collapsed="" customFormat="false" customHeight="1" hidden="" ht="14" outlineLevel="0" r="26813">
      <c r="A26813" s="3" t="inlineStr">
        <is>
          <t>26701</t>
        </is>
      </c>
      <c r="B26813" s="4" t="s">
        <f>=HYPERLINK("http://anyluxury.ru/shop/posuda/termosy/termos-universalniy-arktika-1200-siniy-1398940/" , "13989.40 Термос для еды и напитков «Арктика 1200», синий")</f>
      </c>
      <c r="C26813" s="4" t="n">
        <v>2399.00</v>
      </c>
      <c r="D26813" s="4"/>
    </row>
    <row collapsed="" customFormat="false" customHeight="1" hidden="" ht="14" outlineLevel="0" r="26814">
      <c r="A26814" s="3" t="inlineStr">
        <is>
          <t>26702</t>
        </is>
      </c>
      <c r="B26814" s="4" t="s">
        <f>=HYPERLINK("http://anyluxury.ru/shop/posuda/termosy/stalnaya-vakuumnaya-butilka-2v1-1-l-p436985/" , "P436.985 Стальная вакуумная бутылка 2-в-1, 1 л")</f>
      </c>
      <c r="C26814" s="4" t="n">
        <v>2899.00</v>
      </c>
      <c r="D26814" s="4"/>
    </row>
    <row collapsed="" customFormat="false" customHeight="1" hidden="" ht="14" outlineLevel="0" r="26815">
      <c r="A26815" s="3" t="inlineStr">
        <is>
          <t>26703</t>
        </is>
      </c>
      <c r="B26815" s="4" t="s">
        <f>=HYPERLINK("http://anyluxury.ru/shop/posuda/termosy/termos-flask-1000-vakuumniy-stalnoy-zerkalniy-1470010/" , "14700.10 Термос Flask 1000, вакуумный, стальной зеркальный")</f>
      </c>
      <c r="C26815" s="4" t="n">
        <v>4990.00</v>
      </c>
      <c r="D26815" s="4"/>
    </row>
    <row collapsed="" customFormat="false" customHeight="1" hidden="" ht="14" outlineLevel="0" r="26816">
      <c r="A26816" s="3" t="inlineStr">
        <is>
          <t>26704</t>
        </is>
      </c>
      <c r="B26816" s="4" t="s">
        <f>=HYPERLINK("http://anyluxury.ru/shop/posuda/termosy/termos-flask-1000-vakuumniy-stalnoy-matoviy-1470011/" , "14700.11 Термос Flask 1000, вакуумный, стальной матовый")</f>
      </c>
      <c r="C26816" s="4" t="n">
        <v>4990.00</v>
      </c>
      <c r="D26816" s="4"/>
    </row>
    <row collapsed="" customFormat="false" customHeight="1" hidden="" ht="14" outlineLevel="0" r="26817">
      <c r="A26817" s="3" t="inlineStr">
        <is>
          <t>26705</t>
        </is>
      </c>
      <c r="B26817" s="4" t="s">
        <f>=HYPERLINK("http://anyluxury.ru/shop/posuda/termosy/termos-flask-470-vakuumniy-stalnoy-zerkalniy-1470110/" , "14701.10 Термос Flask 470, вакуумный, стальной зеркальный")</f>
      </c>
      <c r="C26817" s="4" t="n">
        <v>4490.00</v>
      </c>
      <c r="D26817" s="4"/>
    </row>
    <row collapsed="" customFormat="false" customHeight="1" hidden="" ht="14" outlineLevel="0" r="26818">
      <c r="A26818" s="3" t="inlineStr">
        <is>
          <t>26706</t>
        </is>
      </c>
      <c r="B26818" s="4" t="s">
        <f>=HYPERLINK("http://anyluxury.ru/shop/posuda/termosy/termos-flask-470-vakuumniy-stalnoy-matoviy-1470111/" , "14701.11 Термос Flask 470, вакуумный, стальной матовый")</f>
      </c>
      <c r="C26818" s="4" t="n">
        <v>4490.00</v>
      </c>
      <c r="D26818" s="4"/>
    </row>
    <row collapsed="" customFormat="false" customHeight="1" hidden="" ht="14" outlineLevel="0" r="26819">
      <c r="A26819" s="3" t="inlineStr">
        <is>
          <t>26707</t>
        </is>
      </c>
      <c r="B26819" s="4" t="s">
        <f>=HYPERLINK("http://anyluxury.ru/shop/posuda/termosy/termos-thermos-thermocafe-hamfk500-seriy-1424210/" , "14242.10 Термос Thermos Thermocafe HAMFK500, серый")</f>
      </c>
      <c r="C26819" s="4" t="n">
        <v>1750.00</v>
      </c>
      <c r="D26819" s="4"/>
    </row>
    <row collapsed="" customFormat="false" customHeight="1" hidden="" ht="14" outlineLevel="0" r="26820">
      <c r="A26820" s="3" t="inlineStr">
        <is>
          <t>26708</t>
        </is>
      </c>
      <c r="B26820" s="4" t="s">
        <f>=HYPERLINK("http://anyluxury.ru/shop/posuda/termosy/termos-stanley-adventure-1000-zeleniy-s-serebristim-1057890/" , "10578.90 Термос Stanley Adventure 1000, зеленый с серебристым")</f>
      </c>
      <c r="C26820" s="4" t="n">
        <v>4160.00</v>
      </c>
      <c r="D26820" s="4"/>
    </row>
    <row collapsed="" customFormat="false" customHeight="1" hidden="" ht="14" outlineLevel="0" r="26821">
      <c r="A26821" s="3" t="inlineStr">
        <is>
          <t>26709</t>
        </is>
      </c>
      <c r="B26821" s="4" t="s">
        <f>=HYPERLINK("http://anyluxury.ru/shop/posuda/termosy/termos-stanley-classic-750-siniy-1081540/" , "10815.40 Термос Stanley Classic 750, синий")</f>
      </c>
      <c r="C26821" s="4" t="n">
        <v>4450.00</v>
      </c>
      <c r="D26821" s="4"/>
    </row>
    <row collapsed="" customFormat="false" customHeight="1" hidden="" ht="14" outlineLevel="0" r="26822">
      <c r="A26822" s="3" t="inlineStr">
        <is>
          <t>26710</t>
        </is>
      </c>
      <c r="B26822" s="4" t="s">
        <f>=HYPERLINK("http://anyluxury.ru/shop/posuda/termosy/termos-stanley-adventure-730-beliy-1274360/" , "12743.60 Термос Stanley Adventure 730, белый")</f>
      </c>
      <c r="C26822" s="4" t="n">
        <v>3690.00</v>
      </c>
      <c r="D26822" s="4"/>
    </row>
    <row collapsed="" customFormat="false" customHeight="1" hidden="" ht="14" outlineLevel="0" r="26823">
      <c r="A26823" s="3" t="inlineStr">
        <is>
          <t>26711</t>
        </is>
      </c>
      <c r="B26823" s="4" t="s">
        <f>=HYPERLINK("http://anyluxury.ru/shop/posuda/termosy/termos-stanley-classic-1000-siniy-1081640/" , "10816.40 Термос Stanley Classic 1000, синий")</f>
      </c>
      <c r="C26823" s="4" t="n">
        <v>5735.00</v>
      </c>
      <c r="D26823" s="4"/>
    </row>
    <row collapsed="" customFormat="false" customHeight="1" hidden="" ht="14" outlineLevel="0" r="26824">
      <c r="A26824" s="3" t="inlineStr">
        <is>
          <t>26712</t>
        </is>
      </c>
      <c r="B26824" s="4" t="s">
        <f>=HYPERLINK("http://anyluxury.ru/shop/posuda/termosy/termos-stanley-classic-470-siniy-1081440/" , "10814.40 Термос Stanley Classic 470, синий")</f>
      </c>
      <c r="C26824" s="4" t="n">
        <v>4960.00</v>
      </c>
      <c r="D26824" s="4"/>
    </row>
    <row collapsed="" customFormat="false" customHeight="1" hidden="" ht="14" outlineLevel="0" r="26825">
      <c r="A26825" s="3" t="inlineStr">
        <is>
          <t>26713</t>
        </is>
      </c>
      <c r="B26825" s="4" t="s">
        <f>=HYPERLINK("http://anyluxury.ru/shop/posuda/termosy/termos-stanley-adventure-730-zeleniy-1274390/" , "12743.90 Термос Stanley Adventure 730, зеленый")</f>
      </c>
      <c r="C26825" s="4" t="n">
        <v>3690.00</v>
      </c>
      <c r="D26825" s="4"/>
    </row>
    <row collapsed="" customFormat="false" customHeight="1" hidden="" ht="14" outlineLevel="0" r="26826">
      <c r="A26826" s="3" t="inlineStr">
        <is>
          <t>26714</t>
        </is>
      </c>
      <c r="B26826" s="4" t="s">
        <f>=HYPERLINK("http://anyluxury.ru/shop/posuda/termosy/termos-stela-stalnoy-1463910/" , "14639.10 Термос Stela, стальной")</f>
      </c>
      <c r="C26826" s="4" t="n">
        <v>2999.00</v>
      </c>
      <c r="D26826" s="4"/>
    </row>
    <row collapsed="" customFormat="false" customHeight="1" hidden="" ht="14" outlineLevel="0" r="26827">
      <c r="A26827" s="3" t="inlineStr">
        <is>
          <t>26715</t>
        </is>
      </c>
      <c r="B26827" s="4" t="s">
        <f>=HYPERLINK("http://anyluxury.ru/shop/posuda/termosy/termos-stela-duo-stalnoy-1464010/" , "14640.10 Термос Stela Duo, стальной")</f>
      </c>
      <c r="C26827" s="4" t="n">
        <v>3499.00</v>
      </c>
      <c r="D26827" s="4"/>
    </row>
    <row collapsed="" customFormat="false" customHeight="1" hidden="" ht="14" outlineLevel="0" r="26828">
      <c r="A26828" s="3" t="inlineStr">
        <is>
          <t>26716</t>
        </is>
      </c>
      <c r="B26828" s="4" t="s">
        <f>=HYPERLINK("http://anyluxury.ru/shop/posuda/termosy/termos-alba-cherniy-1464230/" , "14642.30 Термос Alba, черный")</f>
      </c>
      <c r="C26828" s="4" t="n">
        <v>2999.00</v>
      </c>
      <c r="D26828" s="4"/>
    </row>
    <row collapsed="" customFormat="false" customHeight="1" hidden="" ht="14" outlineLevel="0" r="26829">
      <c r="A26829" s="3" t="inlineStr">
        <is>
          <t>26717</t>
        </is>
      </c>
      <c r="B26829" s="4" t="s">
        <f>=HYPERLINK("http://anyluxury.ru/shop/posuda/termosy/termos-alba-duo-cherniy-1464330/" , "14643.30 Термос Alba Duo, черный")</f>
      </c>
      <c r="C26829" s="4" t="n">
        <v>3499.00</v>
      </c>
      <c r="D26829" s="4"/>
    </row>
    <row collapsed="" customFormat="false" customHeight="1" hidden="" ht="14" outlineLevel="0" r="26830">
      <c r="A26830" s="3" t="inlineStr">
        <is>
          <t>26718</t>
        </is>
      </c>
      <c r="B26830" s="4" t="s">
        <f>=HYPERLINK("http://anyluxury.ru/shop/posuda/termosy/termos-gven-temnoseriy-1464531/" , "14645.31 Термос Gven, темно-серый")</f>
      </c>
      <c r="C26830" s="4" t="n">
        <v>2999.00</v>
      </c>
      <c r="D26830" s="4"/>
    </row>
    <row collapsed="" customFormat="false" customHeight="1" hidden="" ht="14" outlineLevel="0" r="26831">
      <c r="A26831" s="3" t="inlineStr">
        <is>
          <t>26719</t>
        </is>
      </c>
      <c r="B26831" s="4" t="s">
        <f>=HYPERLINK("http://anyluxury.ru/shop/posuda/termosy/termos-gven-duo-temnoseriy-1464631/" , "14646.31 Термос Gven Duo, темно-серый")</f>
      </c>
      <c r="C26831" s="4" t="n">
        <v>3499.00</v>
      </c>
      <c r="D26831" s="4"/>
    </row>
    <row collapsed="" customFormat="false" customHeight="1" hidden="" ht="14" outlineLevel="0" r="26832">
      <c r="A26832" s="3" t="inlineStr">
        <is>
          <t>26720</t>
        </is>
      </c>
      <c r="B26832" s="4" t="s">
        <f>=HYPERLINK("http://anyluxury.ru/shop/posuda/termosy/smartbutilka-long-therm-chernaya-1431430/" , "14314.30 Смарт-бутылка с заменяемой батарейкой Long Therm, черная")</f>
      </c>
      <c r="C26832" s="4" t="n">
        <v>1499.00</v>
      </c>
      <c r="D26832" s="4"/>
    </row>
    <row collapsed="" customFormat="false" customHeight="1" hidden="" ht="14" outlineLevel="0" r="26833">
      <c r="A26833" s="3" t="inlineStr">
        <is>
          <t>26721</t>
        </is>
      </c>
      <c r="B26833" s="4" t="s">
        <f>=HYPERLINK("http://anyluxury.ru/shop/posuda/termosy/termos-relaxika-duo-500-v-chehle-stalnoy-1534710/" , "15347.10 Термос Relaxika Duo 500 в чехле, стальной")</f>
      </c>
      <c r="C26833" s="4" t="n">
        <v>1790.00</v>
      </c>
      <c r="D26833" s="4"/>
    </row>
    <row collapsed="" customFormat="false" customHeight="1" hidden="" ht="14" outlineLevel="0" r="26834">
      <c r="A26834" s="3" t="inlineStr">
        <is>
          <t>26722</t>
        </is>
      </c>
      <c r="B26834" s="4" t="s">
        <f>=HYPERLINK("http://anyluxury.ru/shop/posuda/termosy/termos-relaxika-duo-750-v-chehle-stalnoy-1534810/" , "15348.10 Термос Relaxika Duo 750 в чехле, стальной")</f>
      </c>
      <c r="C26834" s="4" t="n">
        <v>2090.00</v>
      </c>
      <c r="D26834" s="4"/>
    </row>
    <row collapsed="" customFormat="false" customHeight="1" hidden="" ht="14" outlineLevel="0" r="26835">
      <c r="A26835" s="3" t="inlineStr">
        <is>
          <t>26723</t>
        </is>
      </c>
      <c r="B26835" s="4" t="s">
        <f>=HYPERLINK("http://anyluxury.ru/shop/posuda/termosy/termos-relaxika-duo-1000-v-chehle-stalnoy-1534910/" , "15349.10 Термос Relaxika Duo 1000 в чехле, стальной")</f>
      </c>
      <c r="C26835" s="4" t="n">
        <v>2190.00</v>
      </c>
      <c r="D26835" s="4"/>
    </row>
    <row collapsed="" customFormat="false" customHeight="1" hidden="" ht="14" outlineLevel="0" r="26836">
      <c r="A26836" s="3" t="inlineStr">
        <is>
          <t>26724</t>
        </is>
      </c>
      <c r="B26836" s="4" t="s">
        <f>=HYPERLINK("http://anyluxury.ru/shop/posuda/termosy/termos-relaxika-duo-1200-v-chehle-stalnoy-1535010/" , "15350.10 Термос Relaxika Duo 1200 в чехле, стальной")</f>
      </c>
      <c r="C26836" s="4" t="n">
        <v>2290.00</v>
      </c>
      <c r="D26836" s="4"/>
    </row>
    <row collapsed="" customFormat="false" customHeight="1" hidden="" ht="14" outlineLevel="0" r="26837">
      <c r="A26837" s="3" t="inlineStr">
        <is>
          <t>26725</t>
        </is>
      </c>
      <c r="B26837" s="4" t="s">
        <f>=HYPERLINK("http://anyluxury.ru/shop/posuda/termosy/termos-perimeter-cherniy-1304130/" , "13041.30 Термос Perimeter, черный")</f>
      </c>
      <c r="C26837" s="4" t="n">
        <v>1772.00</v>
      </c>
      <c r="D26837" s="4"/>
    </row>
    <row collapsed="" customFormat="false" customHeight="1" hidden="" ht="14" outlineLevel="0" r="26838">
      <c r="A26838" s="3" t="inlineStr">
        <is>
          <t>26726</t>
        </is>
      </c>
      <c r="B26838" s="4" t="s">
        <f>=HYPERLINK("http://anyluxury.ru/shop/posuda/termosy/termos-s-indikatorom-temperaturi-sense-siniy-1696840/" , "16968.40 Термос с индикатором температуры Sense, синий")</f>
      </c>
      <c r="C26838" s="4" t="n">
        <v>1490.00</v>
      </c>
      <c r="D26838" s="4"/>
    </row>
    <row collapsed="" customFormat="false" customHeight="1" hidden="" ht="14" outlineLevel="0" r="26839">
      <c r="A26839" s="3" t="inlineStr">
        <is>
          <t>26727</t>
        </is>
      </c>
      <c r="B26839" s="4" t="s">
        <f>=HYPERLINK("http://anyluxury.ru/shop/posuda/termosy/termobutilka-avira-avior-iz-pererabotannoy-nerzhaveyushhey-stali-rcs-1-l-p438011/" , "P438.011 Термобутылка Avira Avior из переработанной нержавеющей стали RCS, 1 л")</f>
      </c>
      <c r="C26839" s="4" t="n">
        <v>3390.00</v>
      </c>
      <c r="D26839" s="4"/>
    </row>
    <row collapsed="" customFormat="false" customHeight="1" hidden="" ht="14" outlineLevel="0" r="26840">
      <c r="A26840" s="3" t="inlineStr">
        <is>
          <t>26728</t>
        </is>
      </c>
      <c r="B26840" s="4" t="s">
        <f>=HYPERLINK("http://anyluxury.ru/shop/posuda/termosy/termobutilka-avira-avior-iz-pererabotannoy-nerzhaveyushhey-stali-rcs-1-l-p438012/" , "P438.012 Термобутылка Avira Avior из переработанной нержавеющей стали RCS, 1 л")</f>
      </c>
      <c r="C26840" s="4" t="n">
        <v>3390.00</v>
      </c>
      <c r="D26840" s="4"/>
    </row>
    <row collapsed="" customFormat="false" customHeight="1" hidden="" ht="14" outlineLevel="0" r="26841">
      <c r="A26841" s="3" t="inlineStr">
        <is>
          <t>26729</t>
        </is>
      </c>
      <c r="B26841" s="4" t="s">
        <f>=HYPERLINK("http://anyluxury.ru/shop/posuda/termosy/termobutilka-avira-avior-iz-pererabotannoy-nerzhaveyushhey-stali-rcs-1-l-p438013/" , "P438.013 Термобутылка Avira Avior из переработанной нержавеющей стали RCS, 1 л")</f>
      </c>
      <c r="C26841" s="4" t="n">
        <v>3390.00</v>
      </c>
      <c r="D26841" s="4"/>
    </row>
    <row collapsed="" customFormat="false" customHeight="1" hidden="" ht="14" outlineLevel="0" r="26842">
      <c r="A26842" s="3" t="inlineStr">
        <is>
          <t>26730</t>
        </is>
      </c>
      <c r="B26842" s="4" t="s">
        <f>=HYPERLINK("http://anyluxury.ru/shop/posuda/termosy/termobutilka-avira-avior-iz-pererabotannoy-nerzhaveyushhey-stali-rcs-1-l-p438015/" , "P438.015 Термобутылка Avira Avior из переработанной нержавеющей стали RCS, 1 л")</f>
      </c>
      <c r="C26842" s="4" t="n">
        <v>3390.00</v>
      </c>
      <c r="D26842" s="4"/>
    </row>
    <row collapsed="" customFormat="false" customHeight="1" hidden="" ht="14" outlineLevel="0" r="26843">
      <c r="A26843" s="3" t="inlineStr">
        <is>
          <t>26731</t>
        </is>
      </c>
      <c r="B26843" s="4" t="s">
        <f>=HYPERLINK("http://anyluxury.ru/shop/posuda/termosy/termobutilka-avira-avior-iz-pererabotannoy-nerzhaveyushhey-stali-rcs-1-l-p438017/" , "P438.017 Термобутылка Avira Avior из переработанной нержавеющей стали RCS, 1 л")</f>
      </c>
      <c r="C26843" s="4" t="n">
        <v>3390.00</v>
      </c>
      <c r="D26843" s="4"/>
    </row>
    <row collapsed="" customFormat="false" customHeight="1" hidden="" ht="14" outlineLevel="0" r="26844">
      <c r="A26844" s="3" t="inlineStr">
        <is>
          <t>26732</t>
        </is>
      </c>
      <c r="B26844" s="4" t="s">
        <f>=HYPERLINK("http://anyluxury.ru/shop/posuda/termosy/termobutilka-avira-avior-iz-pererabotannoy-nerzhaveyushhey-stali-rcs-1-l-p438019/" , "P438.019 Термобутылка Avira Avior из переработанной нержавеющей стали RCS, 1 л")</f>
      </c>
      <c r="C26844" s="4" t="n">
        <v>3390.00</v>
      </c>
      <c r="D26844" s="4"/>
    </row>
    <row collapsed="" customFormat="false" customHeight="1" hidden="" ht="14" outlineLevel="0" r="26845">
      <c r="A26845" s="3" t="inlineStr">
        <is>
          <t>26733</t>
        </is>
      </c>
      <c r="B26845" s="4" t="s">
        <f>=HYPERLINK("http://anyluxury.ru/shop/posuda/termosy/termos-relaxika-350-cherniy-1317530/" , "13175.30 Термос Relaxika 350, черный")</f>
      </c>
      <c r="C26845" s="4" t="n">
        <v>1290.00</v>
      </c>
      <c r="D26845" s="4"/>
    </row>
    <row collapsed="" customFormat="false" customHeight="1" hidden="" ht="14" outlineLevel="0" r="26846">
      <c r="A26846" s="3" t="inlineStr">
        <is>
          <t>26734</t>
        </is>
      </c>
      <c r="B26846" s="4" t="s">
        <f>=HYPERLINK("http://anyluxury.ru/shop/posuda/termosy/termos-relaxika-500-cherniy-1317630/" , "13176.30 Термос Relaxika 500, черный")</f>
      </c>
      <c r="C26846" s="4" t="n">
        <v>1390.00</v>
      </c>
      <c r="D26846" s="4"/>
    </row>
    <row collapsed="" customFormat="false" customHeight="1" hidden="" ht="14" outlineLevel="0" r="26847">
      <c r="A26847" s="3" t="inlineStr">
        <is>
          <t>26735</t>
        </is>
      </c>
      <c r="B26847" s="4" t="s">
        <f>=HYPERLINK("http://anyluxury.ru/shop/posuda/termosy/termos-relaxika-750-cherniy-1317730/" , "13177.30 Термос Relaxika 750, черный")</f>
      </c>
      <c r="C26847" s="4" t="n">
        <v>1590.00</v>
      </c>
      <c r="D26847" s="4"/>
    </row>
    <row collapsed="" customFormat="false" customHeight="1" hidden="" ht="14" outlineLevel="0" r="26848">
      <c r="A26848" s="3" t="inlineStr">
        <is>
          <t>26736</t>
        </is>
      </c>
      <c r="B26848" s="4" t="s">
        <f>=HYPERLINK("http://anyluxury.ru/shop/posuda/termosy/termos-relaxika-1000-cherniy-1317830/" , "13178.30 Термос Relaxika 1000, черный")</f>
      </c>
      <c r="C26848" s="4" t="n">
        <v>1750.00</v>
      </c>
      <c r="D26848" s="4"/>
    </row>
    <row collapsed="" customFormat="false" customHeight="1" hidden="" ht="14" outlineLevel="0" r="26849">
      <c r="A26849" s="3" t="inlineStr">
        <is>
          <t>26737</t>
        </is>
      </c>
      <c r="B26849" s="4" t="s">
        <f>=HYPERLINK("http://anyluxury.ru/shop/posuda/termosy/smartbutilka-long-therm-sinyaya-1431440/" , "14314.40 Смарт-бутылка с заменяемой батарейкой Long Therm, синяя")</f>
      </c>
      <c r="C26849" s="4" t="n">
        <v>1499.00</v>
      </c>
      <c r="D26849" s="4"/>
    </row>
    <row collapsed="" customFormat="false" customHeight="1" hidden="" ht="14" outlineLevel="0" r="26850">
      <c r="A26850" s="3" t="inlineStr">
        <is>
          <t>26738</t>
        </is>
      </c>
      <c r="B26850" s="4" t="s">
        <f>=HYPERLINK("http://anyluxury.ru/shop/posuda/termosy/smartbutilka-long-therm-krasnaya-1431450/" , "14314.50 Смарт-бутылка с заменяемой батарейкой Long Therm, красная")</f>
      </c>
      <c r="C26850" s="4" t="n">
        <v>1499.00</v>
      </c>
      <c r="D26850" s="4"/>
    </row>
    <row collapsed="" customFormat="false" customHeight="1" hidden="" ht="14" outlineLevel="0" r="26851">
      <c r="A26851" s="3" t="inlineStr">
        <is>
          <t>26739</t>
        </is>
      </c>
      <c r="B26851" s="4" t="s">
        <f>=HYPERLINK("http://anyluxury.ru/shop/posuda/termosy/termos-dlya-edi-i-napitkov-relaxika-1000-stalnoy-1548810/" , "15488.10 Термос для еды и напитков Relaxika 1000, стальной")</f>
      </c>
      <c r="C26851" s="4" t="n">
        <v>1850.00</v>
      </c>
      <c r="D26851" s="4"/>
    </row>
    <row collapsed="" customFormat="false" customHeight="1" hidden="" ht="14" outlineLevel="0" r="26852">
      <c r="A26852" s="3" t="inlineStr">
        <is>
          <t>26740</t>
        </is>
      </c>
      <c r="B26852" s="4" t="s">
        <f>=HYPERLINK("http://anyluxury.ru/shop/posuda/termosy/smartbutilka-s-zamenyaemoy-batareykoy-long-therm-soft-touch-chernaya-1571730/" , "15717.30 Смарт-бутылка с заменяемой батарейкой Long Therm Soft Touch, черная")</f>
      </c>
      <c r="C26852" s="4" t="n">
        <v>1699.00</v>
      </c>
      <c r="D26852" s="4"/>
    </row>
    <row collapsed="" customFormat="false" customHeight="1" hidden="" ht="14" outlineLevel="0" r="26853">
      <c r="A26853" s="3" t="inlineStr">
        <is>
          <t>26741</t>
        </is>
      </c>
      <c r="B26853" s="4" t="s">
        <f>=HYPERLINK("http://anyluxury.ru/shop/posuda/termosy/smartbutilka-s-zamenyaemoy-batareykoy-long-therm-soft-touch-krasnaya-1571750/" , "15717.50 Смарт-бутылка с заменяемой батарейкой Long Therm Soft Touch, красная")</f>
      </c>
      <c r="C26853" s="4" t="n">
        <v>1699.00</v>
      </c>
      <c r="D26853" s="4"/>
    </row>
    <row collapsed="" customFormat="false" customHeight="1" hidden="" ht="14" outlineLevel="0" r="26854">
      <c r="A26854" s="3" t="inlineStr">
        <is>
          <t>26742</t>
        </is>
      </c>
      <c r="B26854" s="4" t="s">
        <f>=HYPERLINK("http://anyluxury.ru/shop/posuda/termosy/termos-skydive-seriy-1309810/" , "13098.10 Термос Skydive, серый")</f>
      </c>
      <c r="C26854" s="4" t="n">
        <v>997.00</v>
      </c>
      <c r="D26854" s="4"/>
    </row>
    <row collapsed="" customFormat="false" customHeight="1" hidden="" ht="14" outlineLevel="0" r="26855">
      <c r="A26855" s="3" t="inlineStr">
        <is>
          <t>26743</t>
        </is>
      </c>
      <c r="B26855" s="4" t="s">
        <f>=HYPERLINK("http://anyluxury.ru/shop/posuda/termosy/termos-s-sitechkom-percola-beliy-1534060/" , "15340.60 Термос с ситечком Percola, белый")</f>
      </c>
      <c r="C26855" s="4" t="n">
        <v>986.00</v>
      </c>
      <c r="D26855" s="4"/>
    </row>
    <row collapsed="" customFormat="false" customHeight="1" hidden="" ht="14" outlineLevel="0" r="26856">
      <c r="A26856" s="3" t="inlineStr">
        <is>
          <t>26744</t>
        </is>
      </c>
      <c r="B26856" s="4" t="s">
        <f>=HYPERLINK("http://anyluxury.ru/shop/posuda/termosy/termos-s-sitechkom-percola-cherniy-1534030/" , "15340.30 Термос с ситечком Percola, черный")</f>
      </c>
      <c r="C26856" s="4" t="n">
        <v>986.00</v>
      </c>
      <c r="D26856" s="4"/>
    </row>
    <row collapsed="" customFormat="false" customHeight="1" hidden="" ht="14" outlineLevel="0" r="26857">
      <c r="A26857" s="3" t="inlineStr">
        <is>
          <t>26745</t>
        </is>
      </c>
      <c r="B26857" s="4" t="s">
        <f>=HYPERLINK("http://anyluxury.ru/shop/posuda/termosy/termos-s-sitechkom-percola-siniy-1534040/" , "15340.40 Термос с ситечком Percola, синий")</f>
      </c>
      <c r="C26857" s="4" t="n">
        <v>986.00</v>
      </c>
      <c r="D26857" s="4"/>
    </row>
    <row collapsed="" customFormat="false" customHeight="1" hidden="" ht="14" outlineLevel="0" r="26858">
      <c r="A26858" s="3" t="inlineStr">
        <is>
          <t>26746</t>
        </is>
      </c>
      <c r="B26858" s="4" t="s">
        <f>=HYPERLINK("http://anyluxury.ru/shop/posuda/termosy/termos-s-sitechkom-percola-zeleniy-1534090/" , "15340.90 Термос с ситечком Percola, зеленый")</f>
      </c>
      <c r="C26858" s="4" t="n">
        <v>986.00</v>
      </c>
      <c r="D26858" s="4"/>
    </row>
    <row collapsed="" customFormat="false" customHeight="1" hidden="" ht="14" outlineLevel="0" r="26859">
      <c r="A26859" s="3" t="inlineStr">
        <is>
          <t>26747</t>
        </is>
      </c>
      <c r="B26859" s="4" t="s">
        <f>=HYPERLINK("http://anyluxury.ru/shop/posuda/termosy/termos-s-sitechkom-percola-seriy-1534010/" , "15340.10 Термос с ситечком Percola, серый")</f>
      </c>
      <c r="C26859" s="4" t="n">
        <v>986.00</v>
      </c>
      <c r="D26859" s="4"/>
    </row>
    <row collapsed="" customFormat="false" customHeight="1" hidden="" ht="14" outlineLevel="0" r="26860">
      <c r="A26860" s="3" t="inlineStr">
        <is>
          <t>26748</t>
        </is>
      </c>
      <c r="B26860" s="4" t="s">
        <f>=HYPERLINK("http://anyluxury.ru/shop/posuda/termosy/termos-skydive-oranzheviy-1309820/" , "13098.20 Термос Skydive, оранжевый")</f>
      </c>
      <c r="C26860" s="4" t="n">
        <v>997.00</v>
      </c>
      <c r="D26860" s="4"/>
    </row>
    <row collapsed="" customFormat="false" customHeight="1" hidden="" ht="14" outlineLevel="0" r="26861">
      <c r="A26861" s="3" t="inlineStr">
        <is>
          <t>26749</t>
        </is>
      </c>
      <c r="B26861" s="4" t="s">
        <f>=HYPERLINK("http://anyluxury.ru/shop/posuda/termosy/termos-relaxika-350-temnosiniy-1317543/" , "13175.43 Термос Relaxika 350, темно-синий")</f>
      </c>
      <c r="C26861" s="4" t="n">
        <v>1290.00</v>
      </c>
      <c r="D26861" s="4"/>
    </row>
    <row collapsed="" customFormat="false" customHeight="1" hidden="" ht="14" outlineLevel="0" r="26862">
      <c r="A26862" s="3" t="inlineStr">
        <is>
          <t>26750</t>
        </is>
      </c>
      <c r="B26862" s="4" t="s">
        <f>=HYPERLINK("http://anyluxury.ru/shop/posuda/termosy/termos-relaxika-500-temnosiniy-1317643/" , "13176.43 Термос Relaxika 500, темно-синий")</f>
      </c>
      <c r="C26862" s="4" t="n">
        <v>1390.00</v>
      </c>
      <c r="D26862" s="4"/>
    </row>
    <row collapsed="" customFormat="false" customHeight="1" hidden="" ht="14" outlineLevel="0" r="26863">
      <c r="A26863" s="3" t="inlineStr">
        <is>
          <t>26751</t>
        </is>
      </c>
      <c r="B26863" s="4" t="s">
        <f>=HYPERLINK("http://anyluxury.ru/shop/posuda/termosy/termos-relaxika-500-haki-1317698/" , "13176.98 Термос Relaxika 500, хаки")</f>
      </c>
      <c r="C26863" s="4" t="n">
        <v>1390.00</v>
      </c>
      <c r="D26863" s="4"/>
    </row>
    <row collapsed="" customFormat="false" customHeight="1" hidden="" ht="14" outlineLevel="0" r="26864">
      <c r="A26864" s="3" t="inlineStr">
        <is>
          <t>26752</t>
        </is>
      </c>
      <c r="B26864" s="4" t="s">
        <f>=HYPERLINK("http://anyluxury.ru/shop/posuda/termosy/termos-relaxika-1000-temnosiniy-1317843/" , "13178.43 Термос Relaxika 1000, темно-синий")</f>
      </c>
      <c r="C26864" s="4" t="n">
        <v>1750.00</v>
      </c>
      <c r="D26864" s="4"/>
    </row>
    <row collapsed="" customFormat="false" customHeight="1" hidden="" ht="14" outlineLevel="0" r="26865">
      <c r="A26865" s="3" t="inlineStr">
        <is>
          <t>26753</t>
        </is>
      </c>
      <c r="B26865" s="4" t="s">
        <f>=HYPERLINK("http://anyluxury.ru/shop/posuda/termosy/termos-relaxika-1000-haki-1317898/" , "13178.98 Термос Relaxika 1000, хаки")</f>
      </c>
      <c r="C26865" s="4" t="n">
        <v>1750.00</v>
      </c>
      <c r="D26865" s="4"/>
    </row>
    <row collapsed="" customFormat="false" customHeight="1" hidden="" ht="14" outlineLevel="0" r="26866">
      <c r="A26866" s="3" t="inlineStr">
        <is>
          <t>26754</t>
        </is>
      </c>
      <c r="B26866" s="4" t="s">
        <f>=HYPERLINK("http://anyluxury.ru/shop/posuda/termosy/termos-relaxika-750-temnosiniy-1317743/" , "13177.43 Термос Relaxika 750, темно-синий")</f>
      </c>
      <c r="C26866" s="4" t="n">
        <v>1590.00</v>
      </c>
      <c r="D26866" s="4"/>
    </row>
    <row collapsed="" customFormat="false" customHeight="1" hidden="" ht="14" outlineLevel="0" r="26867">
      <c r="A26867" s="3" t="inlineStr">
        <is>
          <t>26755</t>
        </is>
      </c>
      <c r="B26867" s="4" t="s">
        <f>=HYPERLINK("http://anyluxury.ru/shop/posuda/termosy/termos-relaxika-750-haki-1317798/" , "13177.98 Термос Relaxika 750, хаки")</f>
      </c>
      <c r="C26867" s="4" t="n">
        <v>1590.00</v>
      </c>
      <c r="D26867" s="4"/>
    </row>
    <row collapsed="" customFormat="false" customHeight="1" hidden="" ht="14" outlineLevel="0" r="26868">
      <c r="A26868" s="3" t="inlineStr">
        <is>
          <t>26756</t>
        </is>
      </c>
      <c r="B26868" s="4" t="s">
        <f>=HYPERLINK("http://anyluxury.ru/shop/posuda/termosy/termos-relaxika-350-haki-1317598/" , "13175.98 Термос Relaxika 350, хаки")</f>
      </c>
      <c r="C26868" s="4" t="n">
        <v>1290.00</v>
      </c>
      <c r="D26868" s="4"/>
    </row>
    <row collapsed="" customFormat="false" customHeight="1" hidden="" ht="14" outlineLevel="0" r="26869">
      <c r="A26869" s="3" t="inlineStr">
        <is>
          <t>26757</t>
        </is>
      </c>
      <c r="B26869" s="4" t="s">
        <f>=HYPERLINK("http://anyluxury.ru/shop/posuda/termosy/termos-hiker-750-ver-1-cherniy-1329931/" , "13299.31 Термос Hiker Soft Touch 750, черный")</f>
      </c>
      <c r="C26869" s="4" t="n">
        <v>1435.00</v>
      </c>
      <c r="D26869" s="4"/>
    </row>
    <row collapsed="" customFormat="false" customHeight="1" hidden="" ht="14" outlineLevel="0" r="26870">
      <c r="A26870" s="3" t="inlineStr">
        <is>
          <t>26758</t>
        </is>
      </c>
      <c r="B26870" s="4" t="s">
        <f>=HYPERLINK("http://anyluxury.ru/shop/posuda/termosy/termos-hiker-750-ver-1-siniy-1329941/" , "13299.41 Термос Hiker Soft Touch 750, синий")</f>
      </c>
      <c r="C26870" s="4" t="n">
        <v>1435.00</v>
      </c>
      <c r="D26870" s="4"/>
    </row>
    <row collapsed="" customFormat="false" customHeight="1" hidden="" ht="14" outlineLevel="0" r="26871">
      <c r="A26871" s="3" t="inlineStr">
        <is>
          <t>26759</t>
        </is>
      </c>
      <c r="B26871" s="4" t="s">
        <f>=HYPERLINK("http://anyluxury.ru/shop/posuda/termosy/smarttermos-s-sitechkom-termino-beliy-1617660/" , "16176.60 Смарт-термос с ситечком Termino, белый")</f>
      </c>
      <c r="C26871" s="4" t="n">
        <v>1690.00</v>
      </c>
      <c r="D26871" s="4"/>
    </row>
    <row collapsed="" customFormat="false" customHeight="1" hidden="" ht="14" outlineLevel="0" r="26872">
      <c r="A26872" s="3" t="inlineStr">
        <is>
          <t>26760</t>
        </is>
      </c>
      <c r="B26872" s="4" t="s">
        <f>=HYPERLINK("http://anyluxury.ru/shop/posuda/termosy/smarttermos-s-sitechkom-termino-cherniy-1617630/" , "16176.30 Смарт-термос с ситечком Termino, черный")</f>
      </c>
      <c r="C26872" s="4" t="n">
        <v>1690.00</v>
      </c>
      <c r="D26872" s="4"/>
    </row>
    <row collapsed="" customFormat="false" customHeight="1" hidden="" ht="14" outlineLevel="0" r="26873">
      <c r="A26873" s="3" t="inlineStr">
        <is>
          <t>26761</t>
        </is>
      </c>
      <c r="B26873" s="4" t="s">
        <f>=HYPERLINK("http://anyluxury.ru/shop/posuda/termosy/termos-helg-cherniy-1631330/" , "16313.30 Термос Helg, черный")</f>
      </c>
      <c r="C26873" s="4" t="n">
        <v>1990.00</v>
      </c>
      <c r="D26873" s="4"/>
    </row>
    <row collapsed="" customFormat="false" customHeight="" hidden="" ht="12.1" outlineLevel="0" r="26874">
      <c r="A26874" s="5" t="inlineStr">
        <is>
          <t>Промо сувениры</t>
        </is>
      </c>
      <c r="B26874" s="6"/>
      <c r="C26874" s="6"/>
      <c r="D26874" s="6"/>
    </row>
    <row collapsed="" customFormat="false" customHeight="" hidden="" ht="12.1" outlineLevel="0" r="26875">
      <c r="A26875" s="5" t="inlineStr">
        <is>
          <t> -  - Автомобильные аксессуары</t>
        </is>
      </c>
      <c r="B26875" s="6"/>
      <c r="C26875" s="6"/>
      <c r="D26875" s="6"/>
    </row>
    <row collapsed="" customFormat="false" customHeight="1" hidden="" ht="14" outlineLevel="0" r="26876">
      <c r="A26876" s="3" t="inlineStr">
        <is>
          <t>26762</t>
        </is>
      </c>
      <c r="B26876" s="4" t="s">
        <f>=HYPERLINK("http://anyluxury.ru/shop/promo-suveniry/avtomobilnye-aksessuary/moshhnoe-avtomobilnoe-zaryadnoe-ustroystvo-s-2-usbportami-p302272/" , "P302.272 Мощное автомобильное зарядное устройство с 2 USB-портами")</f>
      </c>
      <c r="C26876" s="4" t="n">
        <v>370.00</v>
      </c>
      <c r="D26876" s="4"/>
    </row>
    <row collapsed="" customFormat="false" customHeight="1" hidden="" ht="14" outlineLevel="0" r="26877">
      <c r="A26877" s="3" t="inlineStr">
        <is>
          <t>26763</t>
        </is>
      </c>
      <c r="B26877" s="4" t="s">
        <f>=HYPERLINK("http://anyluxury.ru/shop/promo-suveniry/avtomobilnye-aksessuary/moshhnoe-avtomobilnoe-zaryadnoe-ustroystvo-s-2-usbportami-p302277/" , "P302.277 Мощное автомобильное зарядное устройство с 2 USB-портами")</f>
      </c>
      <c r="C26877" s="4" t="n">
        <v>419.00</v>
      </c>
      <c r="D26877" s="4"/>
    </row>
    <row collapsed="" customFormat="false" customHeight="1" hidden="" ht="14" outlineLevel="0" r="26878">
      <c r="A26878" s="3" t="inlineStr">
        <is>
          <t>26764</t>
        </is>
      </c>
      <c r="B26878" s="4" t="s">
        <f>=HYPERLINK("http://anyluxury.ru/shop/promo-suveniry/avtomobilnye-aksessuary/zaryadnoe-ustroystvo-dlya-avtomobilya-p302880/" , "P302.880 Зарядное устройство для автомобиля")</f>
      </c>
      <c r="C26878" s="4" t="n">
        <v>224.00</v>
      </c>
      <c r="D26878" s="4"/>
    </row>
    <row collapsed="" customFormat="false" customHeight="1" hidden="" ht="14" outlineLevel="0" r="26879">
      <c r="A26879" s="3" t="inlineStr">
        <is>
          <t>26765</t>
        </is>
      </c>
      <c r="B26879" s="4" t="s">
        <f>=HYPERLINK("http://anyluxury.ru/shop/promo-suveniry/avtomobilnye-aksessuary/zaryadnoe-ustroystvo-dlya-avtomobilya-p302887/" , "P302.887 Зарядное устройство для автомобиля")</f>
      </c>
      <c r="C26879" s="4" t="n">
        <v>224.00</v>
      </c>
      <c r="D26879" s="4"/>
    </row>
    <row collapsed="" customFormat="false" customHeight="1" hidden="" ht="14" outlineLevel="0" r="26880">
      <c r="A26880" s="3" t="inlineStr">
        <is>
          <t>26766</t>
        </is>
      </c>
      <c r="B26880" s="4" t="s">
        <f>=HYPERLINK("http://anyluxury.ru/shop/promo-suveniry/avtomobilnye-aksessuary/avtomobilnoe-zaryadnoe-ustroystvo-s-garnituroy-p302652/" , "P302.652 Автомобильное зарядное устройство с гарнитурой")</f>
      </c>
      <c r="C26880" s="4" t="n">
        <v>1900.00</v>
      </c>
      <c r="D26880" s="4"/>
    </row>
    <row collapsed="" customFormat="false" customHeight="1" hidden="" ht="14" outlineLevel="0" r="26881">
      <c r="A26881" s="3" t="inlineStr">
        <is>
          <t>26767</t>
        </is>
      </c>
      <c r="B26881" s="4" t="s">
        <f>=HYPERLINK("http://anyluxury.ru/shop/promo-suveniry/avtomobilnye-aksessuary/avtomobilnoe-zaryadnoe-ustroystvo-typec-beliy-p302953/" , "P302.953 Автомобильное зарядное устройство Type-C, белый")</f>
      </c>
      <c r="C26881" s="4" t="n">
        <v>694.00</v>
      </c>
      <c r="D26881" s="4"/>
    </row>
    <row collapsed="" customFormat="false" customHeight="1" hidden="" ht="14" outlineLevel="0" r="26882">
      <c r="A26882" s="3" t="inlineStr">
        <is>
          <t>26768</t>
        </is>
      </c>
      <c r="B26882" s="4" t="s">
        <f>=HYPERLINK("http://anyluxury.ru/shop/promo-suveniry/avtomobilnye-aksessuary/avtomaticheskiy-nasos-p239572/" , "P239.572 Автоматический насос")</f>
      </c>
      <c r="C26882" s="4" t="n">
        <v>6586.00</v>
      </c>
      <c r="D26882" s="4"/>
    </row>
    <row collapsed="" customFormat="false" customHeight="1" hidden="" ht="14" outlineLevel="0" r="26883">
      <c r="A26883" s="3" t="inlineStr">
        <is>
          <t>26769</t>
        </is>
      </c>
      <c r="B26883" s="4" t="s">
        <f>=HYPERLINK("http://anyluxury.ru/shop/promo-suveniry/avtomobilnye-aksessuary/zaryadnoe-ustroystvo-dlya-avtomobilya-s-2-usbportami-krasniy-p302064/" , "P302.064 Зарядное устройство для автомобиля с 2 USB-портами, красный")</f>
      </c>
      <c r="C26883" s="4" t="n">
        <v>419.00</v>
      </c>
      <c r="D26883" s="4"/>
    </row>
    <row collapsed="" customFormat="false" customHeight="1" hidden="" ht="14" outlineLevel="0" r="26884">
      <c r="A26884" s="3" t="inlineStr">
        <is>
          <t>26770</t>
        </is>
      </c>
      <c r="B26884" s="4" t="s">
        <f>=HYPERLINK("http://anyluxury.ru/shop/promo-suveniry/avtomobilnye-aksessuary/zaryadnoe-ustroystvo-dlya-avtomobilya-s-2-usbportami-zeleniy-p302067/" , "P302.067 Зарядное устройство для автомобиля с 2 USB-портами, зеленый")</f>
      </c>
      <c r="C26884" s="4" t="n">
        <v>419.00</v>
      </c>
      <c r="D26884" s="4"/>
    </row>
    <row collapsed="" customFormat="false" customHeight="1" hidden="" ht="14" outlineLevel="0" r="26885">
      <c r="A26885" s="3" t="inlineStr">
        <is>
          <t>26771</t>
        </is>
      </c>
      <c r="B26885" s="4" t="s">
        <f>=HYPERLINK("http://anyluxury.ru/shop/promo-suveniry/avtomobilnye-aksessuary/zhilet-svetootrazhayushhiy-secure-pro-oranzheviy-neon-01691404/" , "01691404 Жилет светоотражающий SECURE PRO оранжевый неон, размер 10/14 лет")</f>
      </c>
      <c r="C26885" s="4" t="n">
        <v>485.00</v>
      </c>
      <c r="D26885" s="4"/>
    </row>
    <row collapsed="" customFormat="false" customHeight="1" hidden="" ht="14" outlineLevel="0" r="26886">
      <c r="A26886" s="3" t="inlineStr">
        <is>
          <t>26772</t>
        </is>
      </c>
      <c r="B26886" s="4" t="s">
        <f>=HYPERLINK("http://anyluxury.ru/shop/promo-suveniry/avtomobilnye-aksessuary/zhilet-svetootrazhayushhiy-secure-pro-oranzheviy-neon-01691404/" , "01691404 Жилет светоотражающий SECURE PRO оранжевый неон, размер S/M")</f>
      </c>
      <c r="C26886" s="4" t="n">
        <v>485.00</v>
      </c>
      <c r="D26886" s="4"/>
    </row>
    <row collapsed="" customFormat="false" customHeight="1" hidden="" ht="14" outlineLevel="0" r="26887">
      <c r="A26887" s="3" t="inlineStr">
        <is>
          <t>26773</t>
        </is>
      </c>
      <c r="B26887" s="4" t="s">
        <f>=HYPERLINK("http://anyluxury.ru/shop/promo-suveniry/avtomobilnye-aksessuary/zhilet-svetootrazhayushhiy-secure-pro-oranzheviy-neon-01691404/" , "01691404 Жилет светоотражающий SECURE PRO оранжевый неон, размер XXL/3XL")</f>
      </c>
      <c r="C26887" s="4" t="n">
        <v>485.00</v>
      </c>
      <c r="D26887" s="4"/>
    </row>
    <row collapsed="" customFormat="false" customHeight="1" hidden="" ht="14" outlineLevel="0" r="26888">
      <c r="A26888" s="3" t="inlineStr">
        <is>
          <t>26774</t>
        </is>
      </c>
      <c r="B26888" s="4" t="s">
        <f>=HYPERLINK("http://anyluxury.ru/shop/promo-suveniry/avtomobilnye-aksessuary/zhilet-svetootrazhayushhiy-secure-pro-oranzheviy-neon-01691404/" , "01691404 Жилет светоотражающий SECURE PRO оранжевый неон, размер L/XL")</f>
      </c>
      <c r="C26888" s="4" t="n">
        <v>409.00</v>
      </c>
      <c r="D26888" s="4"/>
    </row>
    <row collapsed="" customFormat="false" customHeight="1" hidden="" ht="14" outlineLevel="0" r="26889">
      <c r="A26889" s="3" t="inlineStr">
        <is>
          <t>26775</t>
        </is>
      </c>
      <c r="B26889" s="4" t="s">
        <f>=HYPERLINK("http://anyluxury.ru/shop/promo-suveniry/avtomobilnye-aksessuary/organayzer-v-bagazhnik-avtomobilya-unit-cargo-cherniy-349730/" , "3497.30 Органайзер в багажник автомобиля Cargo, черный")</f>
      </c>
      <c r="C26889" s="4" t="n">
        <v>1400.00</v>
      </c>
      <c r="D26889" s="4"/>
    </row>
    <row collapsed="" customFormat="false" customHeight="1" hidden="" ht="14" outlineLevel="0" r="26890">
      <c r="A26890" s="3" t="inlineStr">
        <is>
          <t>26776</t>
        </is>
      </c>
      <c r="B26890" s="4" t="s">
        <f>=HYPERLINK("http://anyluxury.ru/shop/promo-suveniry/avtomobilnye-aksessuary/zhilet-svetootrazhayushhiy-reflector-zheltiy-neon-747480/" , "7474.80 Жилет светоотражающий Reflector, желтый неон, размер L")</f>
      </c>
      <c r="C26890" s="4" t="n">
        <v>475.00</v>
      </c>
      <c r="D26890" s="4"/>
    </row>
    <row collapsed="" customFormat="false" customHeight="1" hidden="" ht="14" outlineLevel="0" r="26891">
      <c r="A26891" s="3" t="inlineStr">
        <is>
          <t>26777</t>
        </is>
      </c>
      <c r="B26891" s="4" t="s">
        <f>=HYPERLINK("http://anyluxury.ru/shop/promo-suveniry/avtomobilnye-aksessuary/zhilet-svetootrazhayushhiy-reflector-zheltiy-neon-747480/" , "7474.80 Жилет светоотражающий Reflector, желтый неон, размер XL")</f>
      </c>
      <c r="C26891" s="4" t="n">
        <v>475.00</v>
      </c>
      <c r="D26891" s="4"/>
    </row>
    <row collapsed="" customFormat="false" customHeight="1" hidden="" ht="14" outlineLevel="0" r="26892">
      <c r="A26892" s="3" t="inlineStr">
        <is>
          <t>26778</t>
        </is>
      </c>
      <c r="B26892" s="4" t="s">
        <f>=HYPERLINK("http://anyluxury.ru/shop/promo-suveniry/avtomobilnye-aksessuary/zhilet-svetootrazhayushhiy-reflector-zheltiy-neon-747480/" , "7474.80 Жилет светоотражающий Reflector, желтый неон, размер XXL")</f>
      </c>
      <c r="C26892" s="4" t="n">
        <v>475.00</v>
      </c>
      <c r="D26892" s="4"/>
    </row>
    <row collapsed="" customFormat="false" customHeight="1" hidden="" ht="14" outlineLevel="0" r="26893">
      <c r="A26893" s="3" t="inlineStr">
        <is>
          <t>26779</t>
        </is>
      </c>
      <c r="B26893" s="4" t="s">
        <f>=HYPERLINK("http://anyluxury.ru/shop/promo-suveniry/avtomobilnye-aksessuary/zhilet-svetootrazhayushhiy-reflector-zheltiy-neon-747480/" , "7474.80 Жилет светоотражающий Reflector, желтый неон, размер 3XL")</f>
      </c>
      <c r="C26893" s="4" t="n">
        <v>475.00</v>
      </c>
      <c r="D26893" s="4"/>
    </row>
    <row collapsed="" customFormat="false" customHeight="1" hidden="" ht="14" outlineLevel="0" r="26894">
      <c r="A26894" s="3" t="inlineStr">
        <is>
          <t>26780</t>
        </is>
      </c>
      <c r="B26894" s="4" t="s">
        <f>=HYPERLINK("http://anyluxury.ru/shop/promo-suveniry/avtomobilnye-aksessuary/zhilet-svetootrazhayushhiy-reflector-zheltiy-neon-747480/" , "7474.80 Жилет светоотражающий Reflector, желтый неон, размер M")</f>
      </c>
      <c r="C26894" s="4" t="n">
        <v>475.00</v>
      </c>
      <c r="D26894" s="4"/>
    </row>
    <row collapsed="" customFormat="false" customHeight="1" hidden="" ht="14" outlineLevel="0" r="26895">
      <c r="A26895" s="3" t="inlineStr">
        <is>
          <t>26781</t>
        </is>
      </c>
      <c r="B26895" s="4" t="s">
        <f>=HYPERLINK("http://anyluxury.ru/shop/promo-suveniry/avtomobilnye-aksessuary/magnitniy-derzhatel-dlya-smartfonov-cinch-1137410/" , "11374.10 Магнитный держатель для смартфонов Cinch")</f>
      </c>
      <c r="C26895" s="4" t="n">
        <v>499.00</v>
      </c>
      <c r="D26895" s="4"/>
    </row>
    <row collapsed="" customFormat="false" customHeight="1" hidden="" ht="14" outlineLevel="0" r="26896">
      <c r="A26896" s="3" t="inlineStr">
        <is>
          <t>26782</t>
        </is>
      </c>
      <c r="B26896" s="4" t="s">
        <f>=HYPERLINK("http://anyluxury.ru/shop/promo-suveniry/avtomobilnye-aksessuary/znak-avariynoy-ostanovki-alarm-11745/" , "11745 Знак аварийной остановки Alarm")</f>
      </c>
      <c r="C26896" s="4" t="n">
        <v>440.00</v>
      </c>
      <c r="D26896" s="4"/>
    </row>
    <row collapsed="" customFormat="false" customHeight="1" hidden="" ht="14" outlineLevel="0" r="26897">
      <c r="A26897" s="3" t="inlineStr">
        <is>
          <t>26783</t>
        </is>
      </c>
      <c r="B26897" s="4" t="s">
        <f>=HYPERLINK("http://anyluxury.ru/shop/promo-suveniry/avtomobilnye-aksessuary/zhilet-svetootrazhayushhiy-reflector-oranzheviy-neon-747420/" , "7474.20 Жилет светоотражающий Reflector, оранжевый неон, размер L")</f>
      </c>
      <c r="C26897" s="4" t="n">
        <v>475.00</v>
      </c>
      <c r="D26897" s="4"/>
    </row>
    <row collapsed="" customFormat="false" customHeight="1" hidden="" ht="14" outlineLevel="0" r="26898">
      <c r="A26898" s="3" t="inlineStr">
        <is>
          <t>26784</t>
        </is>
      </c>
      <c r="B26898" s="4" t="s">
        <f>=HYPERLINK("http://anyluxury.ru/shop/promo-suveniry/avtomobilnye-aksessuary/zhilet-svetootrazhayushhiy-reflector-oranzheviy-neon-747420/" , "7474.20 Жилет светоотражающий Reflector, оранжевый неон, размер XL")</f>
      </c>
      <c r="C26898" s="4" t="n">
        <v>475.00</v>
      </c>
      <c r="D26898" s="4"/>
    </row>
    <row collapsed="" customFormat="false" customHeight="1" hidden="" ht="14" outlineLevel="0" r="26899">
      <c r="A26899" s="3" t="inlineStr">
        <is>
          <t>26785</t>
        </is>
      </c>
      <c r="B26899" s="4" t="s">
        <f>=HYPERLINK("http://anyluxury.ru/shop/promo-suveniry/avtomobilnye-aksessuary/zhilet-svetootrazhayushhiy-reflector-oranzheviy-neon-747420/" , "7474.20 Жилет светоотражающий Reflector, оранжевый неон, размер XXL")</f>
      </c>
      <c r="C26899" s="4" t="n">
        <v>475.00</v>
      </c>
      <c r="D26899" s="4"/>
    </row>
    <row collapsed="" customFormat="false" customHeight="1" hidden="" ht="14" outlineLevel="0" r="26900">
      <c r="A26900" s="3" t="inlineStr">
        <is>
          <t>26786</t>
        </is>
      </c>
      <c r="B26900" s="4" t="s">
        <f>=HYPERLINK("http://anyluxury.ru/shop/promo-suveniry/avtomobilnye-aksessuary/zhilet-svetootrazhayushhiy-reflector-oranzheviy-neon-747420/" , "7474.20 Жилет светоотражающий Reflector, оранжевый неон, размер 3XL")</f>
      </c>
      <c r="C26900" s="4" t="n">
        <v>475.00</v>
      </c>
      <c r="D26900" s="4"/>
    </row>
    <row collapsed="" customFormat="false" customHeight="1" hidden="" ht="14" outlineLevel="0" r="26901">
      <c r="A26901" s="3" t="inlineStr">
        <is>
          <t>26787</t>
        </is>
      </c>
      <c r="B26901" s="4" t="s">
        <f>=HYPERLINK("http://anyluxury.ru/shop/promo-suveniry/avtomobilnye-aksessuary/zhilet-svetootrazhayushhiy-reflector-oranzheviy-neon-747420/" , "7474.20 Жилет светоотражающий Reflector, оранжевый неон, размер M")</f>
      </c>
      <c r="C26901" s="4" t="n">
        <v>475.00</v>
      </c>
      <c r="D26901" s="4"/>
    </row>
    <row collapsed="" customFormat="false" customHeight="1" hidden="" ht="14" outlineLevel="0" r="26902">
      <c r="A26902" s="3" t="inlineStr">
        <is>
          <t>26788</t>
        </is>
      </c>
      <c r="B26902" s="4" t="s">
        <f>=HYPERLINK("http://anyluxury.ru/shop/promo-suveniry/avtomobilnye-aksessuary/sumka-avtomobilista-baggins-1036330/" , "10363.30 Сумка автомобилиста Baggins")</f>
      </c>
      <c r="C26902" s="4" t="n">
        <v>575.00</v>
      </c>
      <c r="D26902" s="4"/>
    </row>
    <row collapsed="" customFormat="false" customHeight="1" hidden="" ht="14" outlineLevel="0" r="26903">
      <c r="A26903" s="3" t="inlineStr">
        <is>
          <t>26789</t>
        </is>
      </c>
      <c r="B26903" s="4" t="s">
        <f>=HYPERLINK("http://anyluxury.ru/shop/promo-suveniry/avtomobilnye-aksessuary/nakidka-nappe-na-spinku-sideniya-1077430/" , "10774.30 Накидка Nappe на спинку сидения")</f>
      </c>
      <c r="C26903" s="4" t="n">
        <v>350.00</v>
      </c>
      <c r="D26903" s="4"/>
    </row>
    <row collapsed="" customFormat="false" customHeight="1" hidden="" ht="14" outlineLevel="0" r="26904">
      <c r="A26904" s="3" t="inlineStr">
        <is>
          <t>26790</t>
        </is>
      </c>
      <c r="B26904" s="4" t="s">
        <f>=HYPERLINK("http://anyluxury.ru/shop/promo-suveniry/avtomobilnye-aksessuary/magnitniy-derzhatel-dlya-smartfonov-cling-1044710/" , "10447.10 Магнитный держатель для смартфонов Cling")</f>
      </c>
      <c r="C26904" s="4" t="n">
        <v>500.00</v>
      </c>
      <c r="D26904" s="4"/>
    </row>
    <row collapsed="" customFormat="false" customHeight="1" hidden="" ht="14" outlineLevel="0" r="26905">
      <c r="A26905" s="3" t="inlineStr">
        <is>
          <t>26791</t>
        </is>
      </c>
      <c r="B26905" s="4" t="s">
        <f>=HYPERLINK("http://anyluxury.ru/shop/promo-suveniry/avtomobilnye-aksessuary/magnitniy-derzhatel-dlya-smartfonov-crook-1237410/" , "12374.10 Магнитный держатель на подголовник Crook")</f>
      </c>
      <c r="C26905" s="4" t="n">
        <v>349.00</v>
      </c>
      <c r="D26905" s="4"/>
    </row>
    <row collapsed="" customFormat="false" customHeight="1" hidden="" ht="14" outlineLevel="0" r="26906">
      <c r="A26906" s="3" t="inlineStr">
        <is>
          <t>26792</t>
        </is>
      </c>
      <c r="B26906" s="4" t="s">
        <f>=HYPERLINK("http://anyluxury.ru/shop/promo-suveniry/avtomobilnye-aksessuary/parkovochnaya-vizitka-litera-belaya-1237560/" , "12375.60 Парковочная визитка Litera, белая")</f>
      </c>
      <c r="C26906" s="4" t="n">
        <v>350.00</v>
      </c>
      <c r="D26906" s="4"/>
    </row>
    <row collapsed="" customFormat="false" customHeight="1" hidden="" ht="14" outlineLevel="0" r="26907">
      <c r="A26907" s="3" t="inlineStr">
        <is>
          <t>26793</t>
        </is>
      </c>
      <c r="B26907" s="4" t="s">
        <f>=HYPERLINK("http://anyluxury.ru/shop/promo-suveniry/avtomobilnye-aksessuary/parkovochnaya-vizitka-litera-chernaya-1237530/" , "12375.30 Парковочная визитка Litera, черная")</f>
      </c>
      <c r="C26907" s="4" t="n">
        <v>350.00</v>
      </c>
      <c r="D26907" s="4"/>
    </row>
    <row collapsed="" customFormat="false" customHeight="1" hidden="" ht="14" outlineLevel="0" r="26908">
      <c r="A26908" s="3" t="inlineStr">
        <is>
          <t>26794</t>
        </is>
      </c>
      <c r="B26908" s="4" t="s">
        <f>=HYPERLINK("http://anyluxury.ru/shop/promo-suveniry/avtomobilnye-aksessuary/tablichka-dlya-nomera-telefona-izvinite-1265601/" , "12656.01 Табличка для номера телефона «Извините!»")</f>
      </c>
      <c r="C26908" s="4" t="n">
        <v>100.00</v>
      </c>
      <c r="D26908" s="4"/>
    </row>
    <row collapsed="" customFormat="false" customHeight="1" hidden="" ht="14" outlineLevel="0" r="26909">
      <c r="A26909" s="3" t="inlineStr">
        <is>
          <t>26795</t>
        </is>
      </c>
      <c r="B26909" s="4" t="s">
        <f>=HYPERLINK("http://anyluxury.ru/shop/promo-suveniry/avtomobilnye-aksessuary/znak-avtomobilniy-na-prisoske-rebenok-v-mashine-1165602/" , "11656.02 Знак автомобильный на присоске «Ребенок в машине»")</f>
      </c>
      <c r="C26909" s="4" t="n">
        <v>100.00</v>
      </c>
      <c r="D26909" s="4"/>
    </row>
    <row collapsed="" customFormat="false" customHeight="1" hidden="" ht="14" outlineLevel="0" r="26910">
      <c r="A26910" s="3" t="inlineStr">
        <is>
          <t>26796</t>
        </is>
      </c>
      <c r="B26910" s="4" t="s">
        <f>=HYPERLINK("http://anyluxury.ru/shop/promo-suveniry/avtomobilnye-aksessuary/znak-avtomobilniy-na-prisoske-nachinayushhiy-voditel-1165603/" , "11656.03 Знак автомобильный на присоске «Начинающий водитель»")</f>
      </c>
      <c r="C26910" s="4" t="n">
        <v>100.00</v>
      </c>
      <c r="D26910" s="4"/>
    </row>
    <row collapsed="" customFormat="false" customHeight="1" hidden="" ht="14" outlineLevel="0" r="26911">
      <c r="A26911" s="3" t="inlineStr">
        <is>
          <t>26797</t>
        </is>
      </c>
      <c r="B26911" s="4" t="s">
        <f>=HYPERLINK("http://anyluxury.ru/shop/promo-suveniry/avtomobilnye-aksessuary/zerkalo-salonnoe-spotter-10998/" , "10998 Зеркало салонное Spotter")</f>
      </c>
      <c r="C26911" s="4" t="n">
        <v>380.00</v>
      </c>
      <c r="D26911" s="4"/>
    </row>
    <row collapsed="" customFormat="false" customHeight="1" hidden="" ht="14" outlineLevel="0" r="26912">
      <c r="A26912" s="3" t="inlineStr">
        <is>
          <t>26798</t>
        </is>
      </c>
      <c r="B26912" s="4" t="s">
        <f>=HYPERLINK("http://anyluxury.ru/shop/promo-suveniry/avtomobilnye-aksessuary/aromatizator-ascent-beliy-1277460/" , "12774.60 Ароматизатор Ascent, белый")</f>
      </c>
      <c r="C26912" s="4" t="n">
        <v>99.00</v>
      </c>
      <c r="D26912" s="4"/>
    </row>
    <row collapsed="" customFormat="false" customHeight="1" hidden="" ht="14" outlineLevel="0" r="26913">
      <c r="A26913" s="3" t="inlineStr">
        <is>
          <t>26799</t>
        </is>
      </c>
      <c r="B26913" s="4" t="s">
        <f>=HYPERLINK("http://anyluxury.ru/shop/promo-suveniry/avtomobilnye-aksessuary/aromatizator-ascent-cherniy-1277430/" , "12774.30 Ароматизатор Ascent, черный")</f>
      </c>
      <c r="C26913" s="4" t="n">
        <v>99.00</v>
      </c>
      <c r="D26913" s="4"/>
    </row>
    <row collapsed="" customFormat="false" customHeight="1" hidden="" ht="14" outlineLevel="0" r="26914">
      <c r="A26914" s="3" t="inlineStr">
        <is>
          <t>26800</t>
        </is>
      </c>
      <c r="B26914" s="4" t="s">
        <f>=HYPERLINK("http://anyluxury.ru/shop/promo-suveniry/avtomobilnye-aksessuary/aromatizator-ascent-krasniy-1277450/" , "12774.50 Ароматизатор Ascent, красный")</f>
      </c>
      <c r="C26914" s="4" t="n">
        <v>99.00</v>
      </c>
      <c r="D26914" s="4"/>
    </row>
    <row collapsed="" customFormat="false" customHeight="1" hidden="" ht="14" outlineLevel="0" r="26915">
      <c r="A26915" s="3" t="inlineStr">
        <is>
          <t>26801</t>
        </is>
      </c>
      <c r="B26915" s="4" t="s">
        <f>=HYPERLINK("http://anyluxury.ru/shop/promo-suveniry/avtomobilnye-aksessuary/aromatizator-ascent-siniy-1277440/" , "12774.40 Ароматизатор Ascent, синий")</f>
      </c>
      <c r="C26915" s="4" t="n">
        <v>99.00</v>
      </c>
      <c r="D26915" s="4"/>
    </row>
    <row collapsed="" customFormat="false" customHeight="1" hidden="" ht="14" outlineLevel="0" r="26916">
      <c r="A26916" s="3" t="inlineStr">
        <is>
          <t>26802</t>
        </is>
      </c>
      <c r="B26916" s="4" t="s">
        <f>=HYPERLINK("http://anyluxury.ru/shop/promo-suveniry/avtomobilnye-aksessuary/skrebok-s-vodosgonom-snowie-siniy-1277540/" , "12775.40 Скребок с водосгоном Snowie, синий")</f>
      </c>
      <c r="C26916" s="4" t="n">
        <v>100.00</v>
      </c>
      <c r="D26916" s="4"/>
    </row>
    <row collapsed="" customFormat="false" customHeight="1" hidden="" ht="14" outlineLevel="0" r="26917">
      <c r="A26917" s="3" t="inlineStr">
        <is>
          <t>26803</t>
        </is>
      </c>
      <c r="B26917" s="4" t="s">
        <f>=HYPERLINK("http://anyluxury.ru/shop/promo-suveniry/avtomobilnye-aksessuary/skrebok-s-vodosgonom-snowie-beliy-1277560/" , "12775.60 Скребок с водосгоном Snowie, белый")</f>
      </c>
      <c r="C26917" s="4" t="n">
        <v>100.00</v>
      </c>
      <c r="D26917" s="4"/>
    </row>
    <row collapsed="" customFormat="false" customHeight="1" hidden="" ht="14" outlineLevel="0" r="26918">
      <c r="A26918" s="3" t="inlineStr">
        <is>
          <t>26804</t>
        </is>
      </c>
      <c r="B26918" s="4" t="s">
        <f>=HYPERLINK("http://anyluxury.ru/shop/promo-suveniry/avtomobilnye-aksessuary/skrebok-s-vodosgonom-snowie-krasniy-1277550/" , "12775.50 Скребок с водосгоном Snowie, красный")</f>
      </c>
      <c r="C26918" s="4" t="n">
        <v>100.00</v>
      </c>
      <c r="D26918" s="4"/>
    </row>
    <row collapsed="" customFormat="false" customHeight="1" hidden="" ht="14" outlineLevel="0" r="26919">
      <c r="A26919" s="3" t="inlineStr">
        <is>
          <t>26805</t>
        </is>
      </c>
      <c r="B26919" s="4" t="s">
        <f>=HYPERLINK("http://anyluxury.ru/shop/promo-suveniry/avtomobilnye-aksessuary/videoregistrator-roadrunner-155-12946/" , "12946 Видеорегистратор RoadRunner 155")</f>
      </c>
      <c r="C26919" s="4" t="n">
        <v>2999.00</v>
      </c>
      <c r="D26919" s="4"/>
    </row>
    <row collapsed="" customFormat="false" customHeight="1" hidden="" ht="14" outlineLevel="0" r="26920">
      <c r="A26920" s="3" t="inlineStr">
        <is>
          <t>26806</t>
        </is>
      </c>
      <c r="B26920" s="4" t="s">
        <f>=HYPERLINK("http://anyluxury.ru/shop/promo-suveniry/avtomobilnye-aksessuary/videoregistrator-roadrunner-415gps-12947/" , "12947 Видеорегистратор RoadRunner 415GPS")</f>
      </c>
      <c r="C26920" s="4" t="n">
        <v>5999.00</v>
      </c>
      <c r="D26920" s="4"/>
    </row>
    <row collapsed="" customFormat="false" customHeight="1" hidden="" ht="14" outlineLevel="0" r="26921">
      <c r="A26921" s="3" t="inlineStr">
        <is>
          <t>26807</t>
        </is>
      </c>
      <c r="B26921" s="4" t="s">
        <f>=HYPERLINK("http://anyluxury.ru/shop/promo-suveniry/avtomobilnye-aksessuary/skrebok-dlya-lda-p239105/" , "P239.105 Скребок для льда")</f>
      </c>
      <c r="C26921" s="4" t="n">
        <v>99.00</v>
      </c>
      <c r="D26921" s="4"/>
    </row>
    <row collapsed="" customFormat="false" customHeight="1" hidden="" ht="14" outlineLevel="0" r="26922">
      <c r="A26922" s="3" t="inlineStr">
        <is>
          <t>26808</t>
        </is>
      </c>
      <c r="B26922" s="4" t="s">
        <f>=HYPERLINK("http://anyluxury.ru/shop/promo-suveniry/avtomobilnye-aksessuary/skrebok-dlya-lda-p239104/" , "P239.104 Скребок для льда")</f>
      </c>
      <c r="C26922" s="4" t="n">
        <v>99.00</v>
      </c>
      <c r="D26922" s="4"/>
    </row>
    <row collapsed="" customFormat="false" customHeight="1" hidden="" ht="14" outlineLevel="0" r="26923">
      <c r="A26923" s="3" t="inlineStr">
        <is>
          <t>26809</t>
        </is>
      </c>
      <c r="B26923" s="4" t="s">
        <f>=HYPERLINK("http://anyluxury.ru/shop/promo-suveniry/avtomobilnye-aksessuary/skrebok-dlya-lda-p239103/" , "P239.103 Скребок для льда")</f>
      </c>
      <c r="C26923" s="4" t="n">
        <v>99.00</v>
      </c>
      <c r="D26923" s="4"/>
    </row>
    <row collapsed="" customFormat="false" customHeight="1" hidden="" ht="14" outlineLevel="0" r="26924">
      <c r="A26924" s="3" t="inlineStr">
        <is>
          <t>26810</t>
        </is>
      </c>
      <c r="B26924" s="4" t="s">
        <f>=HYPERLINK("http://anyluxury.ru/shop/promo-suveniry/avtomobilnye-aksessuary/skrebok-dlya-lda-p239101/" , "P239.101 Скребок для льда")</f>
      </c>
      <c r="C26924" s="4" t="n">
        <v>99.00</v>
      </c>
      <c r="D26924" s="4"/>
    </row>
    <row collapsed="" customFormat="false" customHeight="1" hidden="" ht="14" outlineLevel="0" r="26925">
      <c r="A26925" s="3" t="inlineStr">
        <is>
          <t>26811</t>
        </is>
      </c>
      <c r="B26925" s="4" t="s">
        <f>=HYPERLINK("http://anyluxury.ru/shop/promo-suveniry/avtomobilnye-aksessuary/aromatizator-vozduha-flava-energy-ver2-citrus-7404/" , "74.04 Ароматизатор воздуха Flava Energy, цитрус")</f>
      </c>
      <c r="C26925" s="4" t="n">
        <v>190.00</v>
      </c>
      <c r="D26925" s="4"/>
    </row>
    <row collapsed="" customFormat="false" customHeight="1" hidden="" ht="14" outlineLevel="0" r="26926">
      <c r="A26926" s="3" t="inlineStr">
        <is>
          <t>26812</t>
        </is>
      </c>
      <c r="B26926" s="4" t="s">
        <f>=HYPERLINK("http://anyluxury.ru/shop/promo-suveniry/avtomobilnye-aksessuary/aromatizator-vozduha-flava-sweet-ver2-vanil-7405/" , "74.05 Ароматизатор воздуха Flava Sweet, ваниль")</f>
      </c>
      <c r="C26926" s="4" t="n">
        <v>190.00</v>
      </c>
      <c r="D26926" s="4"/>
    </row>
    <row collapsed="" customFormat="false" customHeight="1" hidden="" ht="14" outlineLevel="0" r="26927">
      <c r="A26927" s="3" t="inlineStr">
        <is>
          <t>26813</t>
        </is>
      </c>
      <c r="B26927" s="4" t="s">
        <f>=HYPERLINK("http://anyluxury.ru/shop/promo-suveniry/avtomobilnye-aksessuary/aromatizator-vozduha-flava-fresh-ver2-okean-7406/" , "74.06 Ароматизатор воздуха Flava Fresh, океан")</f>
      </c>
      <c r="C26927" s="4" t="n">
        <v>190.00</v>
      </c>
      <c r="D26927" s="4"/>
    </row>
    <row collapsed="" customFormat="false" customHeight="1" hidden="" ht="14" outlineLevel="0" r="26928">
      <c r="A26928" s="3" t="inlineStr">
        <is>
          <t>26814</t>
        </is>
      </c>
      <c r="B26928" s="4" t="s">
        <f>=HYPERLINK("http://anyluxury.ru/shop/promo-suveniry/avtomobilnye-aksessuary/parkovochnaya-vizitka-litera-plus-1338330/" , "13383.30 Парковочная визитка Knapp")</f>
      </c>
      <c r="C26928" s="4" t="n">
        <v>600.00</v>
      </c>
      <c r="D26928" s="4"/>
    </row>
    <row collapsed="" customFormat="false" customHeight="1" hidden="" ht="14" outlineLevel="0" r="26929">
      <c r="A26929" s="3" t="inlineStr">
        <is>
          <t>26815</t>
        </is>
      </c>
      <c r="B26929" s="4" t="s">
        <f>=HYPERLINK("http://anyluxury.ru/shop/promo-suveniry/avtomobilnye-aksessuary/organayzer-na-spinku-sidenya-business-car-organizer-seriy-1372710/" , "13727.10 Органайзер на спинку сиденья Business Car Organizer, серый")</f>
      </c>
      <c r="C26929" s="4" t="n">
        <v>6449.00</v>
      </c>
      <c r="D26929" s="4"/>
    </row>
    <row collapsed="" customFormat="false" customHeight="1" hidden="" ht="14" outlineLevel="0" r="26930">
      <c r="A26930" s="3" t="inlineStr">
        <is>
          <t>26816</t>
        </is>
      </c>
      <c r="B26930" s="4" t="s">
        <f>=HYPERLINK("http://anyluxury.ru/shop/promo-suveniry/avtomobilnye-aksessuary/skrebokvodosgon-water-low-seriy-1277610/" , "12776.10 Скребок-водосгон Water Low, серый")</f>
      </c>
      <c r="C26930" s="4" t="n">
        <v>215.00</v>
      </c>
      <c r="D26930" s="4"/>
    </row>
    <row collapsed="" customFormat="false" customHeight="1" hidden="" ht="14" outlineLevel="0" r="26931">
      <c r="A26931" s="3" t="inlineStr">
        <is>
          <t>26817</t>
        </is>
      </c>
      <c r="B26931" s="4" t="s">
        <f>=HYPERLINK("http://anyluxury.ru/shop/promo-suveniry/avtomobilnye-aksessuary/skrebokvodosgon-water-low-krasniy-1277650/" , "12776.50 Скребок-водосгон Water Low, красный")</f>
      </c>
      <c r="C26931" s="4" t="n">
        <v>215.00</v>
      </c>
      <c r="D26931" s="4"/>
    </row>
    <row collapsed="" customFormat="false" customHeight="1" hidden="" ht="14" outlineLevel="0" r="26932">
      <c r="A26932" s="3" t="inlineStr">
        <is>
          <t>26818</t>
        </is>
      </c>
      <c r="B26932" s="4" t="s">
        <f>=HYPERLINK("http://anyluxury.ru/shop/promo-suveniry/avtomobilnye-aksessuary/skrebokvodosgon-water-low-beliy-1277660/" , "12776.60 Скребок-водосгон Water Low, белый")</f>
      </c>
      <c r="C26932" s="4" t="n">
        <v>215.00</v>
      </c>
      <c r="D26932" s="4"/>
    </row>
    <row collapsed="" customFormat="false" customHeight="1" hidden="" ht="14" outlineLevel="0" r="26933">
      <c r="A26933" s="3" t="inlineStr">
        <is>
          <t>26819</t>
        </is>
      </c>
      <c r="B26933" s="4" t="s">
        <f>=HYPERLINK("http://anyluxury.ru/shop/promo-suveniry/avtomobilnye-aksessuary/skrebokvodosgon-water-low-siniy-1277640/" , "12776.40 Скребок-водосгон Water Low, синий")</f>
      </c>
      <c r="C26933" s="4" t="n">
        <v>215.00</v>
      </c>
      <c r="D26933" s="4"/>
    </row>
    <row collapsed="" customFormat="false" customHeight="1" hidden="" ht="14" outlineLevel="0" r="26934">
      <c r="A26934" s="3" t="inlineStr">
        <is>
          <t>26820</t>
        </is>
      </c>
      <c r="B26934" s="4" t="s">
        <f>=HYPERLINK("http://anyluxury.ru/shop/promo-suveniry/avtomobilnye-aksessuary/avtomobilnoe-zaryadnoe-ustroystvo-volto-chernoe-1127430/" , "11274.30 Автомобильное зарядное устройство Volto, черное")</f>
      </c>
      <c r="C26934" s="4" t="n">
        <v>650.00</v>
      </c>
      <c r="D26934" s="4"/>
    </row>
    <row collapsed="" customFormat="false" customHeight="1" hidden="" ht="14" outlineLevel="0" r="26935">
      <c r="A26935" s="3" t="inlineStr">
        <is>
          <t>26821</t>
        </is>
      </c>
      <c r="B26935" s="4" t="s">
        <f>=HYPERLINK("http://anyluxury.ru/shop/promo-suveniry/avtomobilnye-aksessuary/zhilet-svetootrazhayushhiy-detskiy-spotlight-zheltiy-neon-1747480/" , "17474.80 Жилет светоотражающий детский Spotlight, желтый неон, размер 98-116 см")</f>
      </c>
      <c r="C26935" s="4" t="n">
        <v>350.00</v>
      </c>
      <c r="D26935" s="4"/>
    </row>
    <row collapsed="" customFormat="false" customHeight="1" hidden="" ht="14" outlineLevel="0" r="26936">
      <c r="A26936" s="3" t="inlineStr">
        <is>
          <t>26822</t>
        </is>
      </c>
      <c r="B26936" s="4" t="s">
        <f>=HYPERLINK("http://anyluxury.ru/shop/promo-suveniry/avtomobilnye-aksessuary/zhilet-svetootrazhayushhiy-detskiy-spotlight-zheltiy-neon-1747480/" , "17474.80 Жилет светоотражающий детский Spotlight, желтый неон, размер 134-158 см")</f>
      </c>
      <c r="C26936" s="4" t="n">
        <v>350.00</v>
      </c>
      <c r="D26936" s="4"/>
    </row>
    <row collapsed="" customFormat="false" customHeight="1" hidden="" ht="14" outlineLevel="0" r="26937">
      <c r="A26937" s="3" t="inlineStr">
        <is>
          <t>26823</t>
        </is>
      </c>
      <c r="B26937" s="4" t="s">
        <f>=HYPERLINK("http://anyluxury.ru/shop/promo-suveniry/avtomobilnye-aksessuary/zaryadnoe-ustroystvo-branchy-pd-s-razemom-typec-beloe-1421260/" , "14212.60 Автомобильное зарядное устройство Branchy с разъемом Type-C, белое")</f>
      </c>
      <c r="C26937" s="4" t="n">
        <v>990.00</v>
      </c>
      <c r="D26937" s="4"/>
    </row>
    <row collapsed="" customFormat="false" customHeight="1" hidden="" ht="14" outlineLevel="0" r="26938">
      <c r="A26938" s="3" t="inlineStr">
        <is>
          <t>26824</t>
        </is>
      </c>
      <c r="B26938" s="4" t="s">
        <f>=HYPERLINK("http://anyluxury.ru/shop/promo-suveniry/avtomobilnye-aksessuary/aromatizator-v-mashinu-sentir-korichneviy-ledyanoy-frukt-1475501/" , "14755.01 Ароматизатор в машину Sentir, коричневый, ледяной фрукт")</f>
      </c>
      <c r="C26938" s="4" t="n">
        <v>900.00</v>
      </c>
      <c r="D26938" s="4"/>
    </row>
    <row collapsed="" customFormat="false" customHeight="1" hidden="" ht="14" outlineLevel="0" r="26939">
      <c r="A26939" s="3" t="inlineStr">
        <is>
          <t>26825</t>
        </is>
      </c>
      <c r="B26939" s="4" t="s">
        <f>=HYPERLINK("http://anyluxury.ru/shop/promo-suveniry/avtomobilnye-aksessuary/aromatizator-v-mashinu-sentir-cherniy-tabak-i-vanil-1475502/" , "14755.02 Ароматизатор в машину Sentir, черный, табак и ваниль")</f>
      </c>
      <c r="C26939" s="4" t="n">
        <v>900.00</v>
      </c>
      <c r="D26939" s="4"/>
    </row>
    <row collapsed="" customFormat="false" customHeight="1" hidden="" ht="14" outlineLevel="0" r="26940">
      <c r="A26940" s="3" t="inlineStr">
        <is>
          <t>26826</t>
        </is>
      </c>
      <c r="B26940" s="4" t="s">
        <f>=HYPERLINK("http://anyluxury.ru/shop/promo-suveniry/avtomobilnye-aksessuary/aromatizator-v-mashinu-sentir-deflector-korichneviy-ledyanoy-frukt-1475601/" , "14756.01 Ароматизатор в машину Sentir Deflector, коричневый, ледяной фрукт")</f>
      </c>
      <c r="C26940" s="4" t="n">
        <v>1000.00</v>
      </c>
      <c r="D26940" s="4"/>
    </row>
    <row collapsed="" customFormat="false" customHeight="1" hidden="" ht="14" outlineLevel="0" r="26941">
      <c r="A26941" s="3" t="inlineStr">
        <is>
          <t>26827</t>
        </is>
      </c>
      <c r="B26941" s="4" t="s">
        <f>=HYPERLINK("http://anyluxury.ru/shop/promo-suveniry/avtomobilnye-aksessuary/aromatizator-v-mashinu-sentir-deflector-cherniy-tabak-i-vanil-1475602/" , "14756.02 Ароматизатор в машину Sentir Deflector, черный, табак и ваниль")</f>
      </c>
      <c r="C26941" s="4" t="n">
        <v>1000.00</v>
      </c>
      <c r="D26941" s="4"/>
    </row>
    <row collapsed="" customFormat="false" customHeight="1" hidden="" ht="14" outlineLevel="0" r="26942">
      <c r="A26942" s="3" t="inlineStr">
        <is>
          <t>26828</t>
        </is>
      </c>
      <c r="B26942" s="4" t="s">
        <f>=HYPERLINK("http://anyluxury.ru/shop/promo-suveniry/avtomobilnye-aksessuary/aromatizator-vozduha-flava-ice-mentol-7407/" , "74.07 Ароматизатор воздуха Flava Ice, ментол")</f>
      </c>
      <c r="C26942" s="4" t="n">
        <v>190.00</v>
      </c>
      <c r="D26942" s="4"/>
    </row>
    <row collapsed="" customFormat="false" customHeight="1" hidden="" ht="14" outlineLevel="0" r="26943">
      <c r="A26943" s="3" t="inlineStr">
        <is>
          <t>26829</t>
        </is>
      </c>
      <c r="B26943" s="4" t="s">
        <f>=HYPERLINK("http://anyluxury.ru/shop/promo-suveniry/avtomobilnye-aksessuary/aromatizator-vozduha-flava-coffee-kofe-7408/" , "74.08 Ароматизатор воздуха Flava Coffee, кофе")</f>
      </c>
      <c r="C26943" s="4" t="n">
        <v>190.00</v>
      </c>
      <c r="D26943" s="4"/>
    </row>
    <row collapsed="" customFormat="false" customHeight="1" hidden="" ht="14" outlineLevel="0" r="26944">
      <c r="A26944" s="3" t="inlineStr">
        <is>
          <t>26830</t>
        </is>
      </c>
      <c r="B26944" s="4" t="s">
        <f>=HYPERLINK("http://anyluxury.ru/shop/promo-suveniry/avtomobilnye-aksessuary/aromatizator-vozduha-flava-fruits-dinya-7409/" , "74.09 Ароматизатор воздуха Flava Fruits, дыня")</f>
      </c>
      <c r="C26944" s="4" t="n">
        <v>190.00</v>
      </c>
      <c r="D26944" s="4"/>
    </row>
    <row collapsed="" customFormat="false" customHeight="1" hidden="" ht="14" outlineLevel="0" r="26945">
      <c r="A26945" s="3" t="inlineStr">
        <is>
          <t>26831</t>
        </is>
      </c>
      <c r="B26945" s="4" t="s">
        <f>=HYPERLINK("http://anyluxury.ru/shop/promo-suveniry/avtomobilnye-aksessuary/nabor-iz-4-meshkov-dlya-avtomobilnih-koles-carload-cherniy-1770030/" , "17700.30 Набор из 4 мешков для автомобильных колес Carload, черный")</f>
      </c>
      <c r="C26945" s="4" t="n">
        <v>995.00</v>
      </c>
      <c r="D26945" s="4"/>
    </row>
    <row collapsed="" customFormat="false" customHeight="1" hidden="" ht="14" outlineLevel="0" r="26946">
      <c r="A26946" s="3" t="inlineStr">
        <is>
          <t>26832</t>
        </is>
      </c>
      <c r="B26946" s="4" t="s">
        <f>=HYPERLINK("http://anyluxury.ru/shop/promo-suveniry/avtomobilnye-aksessuary/termosumka-v-bagazhnik-avtomobilya-coolture-chernaya-1772530/" , "17725.30 Термосумка в багажник автомобиля Coolture, черная")</f>
      </c>
      <c r="C26946" s="4" t="n">
        <v>1400.00</v>
      </c>
      <c r="D26946" s="4"/>
    </row>
    <row collapsed="" customFormat="false" customHeight="1" hidden="" ht="14" outlineLevel="0" r="26947">
      <c r="A26947" s="3" t="inlineStr">
        <is>
          <t>26833</t>
        </is>
      </c>
      <c r="B26947" s="4" t="s">
        <f>=HYPERLINK("http://anyluxury.ru/shop/promo-suveniry/avtomobilnye-aksessuary/derzhatel-dlya-smartfona-cooper-auto-wireless-s-besprovodnoy-zaryadkoy-cherniy-1770330/" , "17703.30 Держатель для смартфона Cooper Auto Wireless с беспроводной зарядкой, черный")</f>
      </c>
      <c r="C26947" s="4" t="n">
        <v>1990.00</v>
      </c>
      <c r="D26947" s="4"/>
    </row>
    <row collapsed="" customFormat="false" customHeight="1" hidden="" ht="14" outlineLevel="0" r="26948">
      <c r="A26948" s="3" t="inlineStr">
        <is>
          <t>26834</t>
        </is>
      </c>
      <c r="B26948" s="4" t="s">
        <f>=HYPERLINK("http://anyluxury.ru/shop/promo-suveniry/avtomobilnye-aksessuary/derzhatel-dlya-smartfona-cooper-auto-wireless-s-besprovodnoy-zaryadkoy-beliy-1770360/" , "17703.60 Держатель для смартфона Cooper Auto Wireless с беспроводной зарядкой, белый")</f>
      </c>
      <c r="C26948" s="4" t="n">
        <v>1990.00</v>
      </c>
      <c r="D26948" s="4"/>
    </row>
    <row collapsed="" customFormat="false" customHeight="1" hidden="" ht="14" outlineLevel="0" r="26949">
      <c r="A26949" s="3" t="inlineStr">
        <is>
          <t>26835</t>
        </is>
      </c>
      <c r="B26949" s="4" t="s">
        <f>=HYPERLINK("http://anyluxury.ru/shop/promo-suveniry/avtomobilnye-aksessuary/nabor-life-drive-cherniy-1916330/" , "19163.30 Набор Life Drive, черный")</f>
      </c>
      <c r="C26949" s="4" t="n">
        <v>3419.00</v>
      </c>
      <c r="D26949" s="4"/>
    </row>
    <row collapsed="" customFormat="false" customHeight="1" hidden="" ht="14" outlineLevel="0" r="26950">
      <c r="A26950" s="3" t="inlineStr">
        <is>
          <t>26836</t>
        </is>
      </c>
      <c r="B26950" s="4" t="s">
        <f>=HYPERLINK("http://anyluxury.ru/shop/promo-suveniry/avtomobilnye-aksessuary/nabor-life-drive-cherniy-s-belim-1916336/" , "19163.36 Набор Life Drive, черный с белым")</f>
      </c>
      <c r="C26950" s="4" t="n">
        <v>3419.00</v>
      </c>
      <c r="D26950" s="4"/>
    </row>
    <row collapsed="" customFormat="false" customHeight="1" hidden="" ht="14" outlineLevel="0" r="26951">
      <c r="A26951" s="3" t="inlineStr">
        <is>
          <t>26837</t>
        </is>
      </c>
      <c r="B26951" s="4" t="s">
        <f>=HYPERLINK("http://anyluxury.ru/shop/promo-suveniry/avtomobilnye-aksessuary/nabor-apache-driver-cherniy-1917430/" , "19174.30 Набор Apache Driver, черный")</f>
      </c>
      <c r="C26951" s="4" t="n">
        <v>3884.00</v>
      </c>
      <c r="D26951" s="4"/>
    </row>
    <row collapsed="" customFormat="false" customHeight="1" hidden="" ht="14" outlineLevel="0" r="26952">
      <c r="A26952" s="3" t="inlineStr">
        <is>
          <t>26838</t>
        </is>
      </c>
      <c r="B26952" s="4" t="s">
        <f>=HYPERLINK("http://anyluxury.ru/shop/promo-suveniry/avtomobilnye-aksessuary/nabor-apache-driver-siniy-1917440/" , "19174.40 Набор Apache Driver, синий")</f>
      </c>
      <c r="C26952" s="4" t="n">
        <v>3884.00</v>
      </c>
      <c r="D26952" s="4"/>
    </row>
    <row collapsed="" customFormat="false" customHeight="1" hidden="" ht="14" outlineLevel="0" r="26953">
      <c r="A26953" s="3" t="inlineStr">
        <is>
          <t>26839</t>
        </is>
      </c>
      <c r="B26953" s="4" t="s">
        <f>=HYPERLINK("http://anyluxury.ru/shop/promo-suveniry/avtomobilnye-aksessuary/nabor-apache-clamp-cherniy-1917530/" , "19175.30 Набор Apache Clamp, черный")</f>
      </c>
      <c r="C26953" s="4" t="n">
        <v>3939.00</v>
      </c>
      <c r="D26953" s="4"/>
    </row>
    <row collapsed="" customFormat="false" customHeight="1" hidden="" ht="14" outlineLevel="0" r="26954">
      <c r="A26954" s="3" t="inlineStr">
        <is>
          <t>26840</t>
        </is>
      </c>
      <c r="B26954" s="4" t="s">
        <f>=HYPERLINK("http://anyluxury.ru/shop/promo-suveniry/avtomobilnye-aksessuary/nabor-apache-clamp-siniy-1917540/" , "19175.40 Набор Apache Clamp, синий")</f>
      </c>
      <c r="C26954" s="4" t="n">
        <v>3939.00</v>
      </c>
      <c r="D26954" s="4"/>
    </row>
    <row collapsed="" customFormat="false" customHeight="1" hidden="" ht="14" outlineLevel="0" r="26955">
      <c r="A26955" s="3" t="inlineStr">
        <is>
          <t>26841</t>
        </is>
      </c>
      <c r="B26955" s="4" t="s">
        <f>=HYPERLINK("http://anyluxury.ru/shop/promo-suveniry/avtomobilnye-aksessuary/nabor-so-svetootrazhayushhim-zhiletom-safe-and-sound-1648230/" , "16482.30 Набор со светоотражающим жилетом, размер M")</f>
      </c>
      <c r="C26955" s="4" t="n">
        <v>2271.00</v>
      </c>
      <c r="D26955" s="4"/>
    </row>
    <row collapsed="" customFormat="false" customHeight="1" hidden="" ht="14" outlineLevel="0" r="26956">
      <c r="A26956" s="3" t="inlineStr">
        <is>
          <t>26842</t>
        </is>
      </c>
      <c r="B26956" s="4" t="s">
        <f>=HYPERLINK("http://anyluxury.ru/shop/promo-suveniry/avtomobilnye-aksessuary/nabor-so-svetootrazhayushhim-zhiletom-safe-and-sound-1648230/" , "16482.30 Набор со светоотражающим жилетом, размер L")</f>
      </c>
      <c r="C26956" s="4" t="n">
        <v>2271.00</v>
      </c>
      <c r="D26956" s="4"/>
    </row>
    <row collapsed="" customFormat="false" customHeight="1" hidden="" ht="14" outlineLevel="0" r="26957">
      <c r="A26957" s="3" t="inlineStr">
        <is>
          <t>26843</t>
        </is>
      </c>
      <c r="B26957" s="4" t="s">
        <f>=HYPERLINK("http://anyluxury.ru/shop/promo-suveniry/avtomobilnye-aksessuary/nabor-so-svetootrazhayushhim-zhiletom-safe-and-sound-1648230/" , "16482.30 Набор со светоотражающим жилетом, размер XL")</f>
      </c>
      <c r="C26957" s="4" t="n">
        <v>2271.00</v>
      </c>
      <c r="D26957" s="4"/>
    </row>
    <row collapsed="" customFormat="false" customHeight="1" hidden="" ht="14" outlineLevel="0" r="26958">
      <c r="A26958" s="3" t="inlineStr">
        <is>
          <t>26844</t>
        </is>
      </c>
      <c r="B26958" s="4" t="s">
        <f>=HYPERLINK("http://anyluxury.ru/shop/promo-suveniry/avtomobilnye-aksessuary/nabor-so-svetootrazhayushhim-zhiletom-safe-and-sound-1648230/" , "16482.30 Набор со светоотражающим жилетом, размер XXL")</f>
      </c>
      <c r="C26958" s="4" t="n">
        <v>2271.00</v>
      </c>
      <c r="D26958" s="4"/>
    </row>
    <row collapsed="" customFormat="false" customHeight="1" hidden="" ht="14" outlineLevel="0" r="26959">
      <c r="A26959" s="3" t="inlineStr">
        <is>
          <t>26845</t>
        </is>
      </c>
      <c r="B26959" s="4" t="s">
        <f>=HYPERLINK("http://anyluxury.ru/shop/promo-suveniry/avtomobilnye-aksessuary/nabor-so-svetootrazhayushhim-zhiletom-safe-and-sound-1648230/" , "16482.30 Набор со светоотражающим жилетом, размер 3XL")</f>
      </c>
      <c r="C26959" s="4" t="n">
        <v>2271.00</v>
      </c>
      <c r="D26959" s="4"/>
    </row>
    <row collapsed="" customFormat="false" customHeight="1" hidden="" ht="14" outlineLevel="0" r="26960">
      <c r="A26960" s="3" t="inlineStr">
        <is>
          <t>26846</t>
        </is>
      </c>
      <c r="B26960" s="4" t="s">
        <f>=HYPERLINK("http://anyluxury.ru/shop/promo-suveniry/avtomobilnye-aksessuary/avtomobilnaya-multifunkcionalnaya-shhetka-severus-scrape-seraya-1773510/" , "17735.10 Автомобильная мультифункциональная щетка Severus Scrape, серая")</f>
      </c>
      <c r="C26960" s="4" t="n">
        <v>2900.00</v>
      </c>
      <c r="D26960" s="4"/>
    </row>
    <row collapsed="" customFormat="false" customHeight="1" hidden="" ht="14" outlineLevel="0" r="26961">
      <c r="A26961" s="3" t="inlineStr">
        <is>
          <t>26847</t>
        </is>
      </c>
      <c r="B26961" s="4" t="s">
        <f>=HYPERLINK("http://anyluxury.ru/shop/promo-suveniry/avtomobilnye-aksessuary/avtomobilnaya-multifunkcionalnaya-shhetka-severus-scrape-sinyaya-1773540/" , "17735.40 Автомобильная мультифункциональная щетка Severus Scrape, синяя")</f>
      </c>
      <c r="C26961" s="4" t="n">
        <v>2900.00</v>
      </c>
      <c r="D26961" s="4"/>
    </row>
    <row collapsed="" customFormat="false" customHeight="1" hidden="" ht="14" outlineLevel="0" r="26962">
      <c r="A26962" s="3" t="inlineStr">
        <is>
          <t>26848</t>
        </is>
      </c>
      <c r="B26962" s="4" t="s">
        <f>=HYPERLINK("http://anyluxury.ru/shop/promo-suveniry/avtomobilnye-aksessuary/vodosgon-s-raspilitelem-polishup-cherniy-1773630/" , "17736.30 Водосгон с распылителем PolishUp, черный")</f>
      </c>
      <c r="C26962" s="4" t="n">
        <v>745.00</v>
      </c>
      <c r="D26962" s="4"/>
    </row>
    <row collapsed="" customFormat="false" customHeight="1" hidden="" ht="14" outlineLevel="0" r="26963">
      <c r="A26963" s="3" t="inlineStr">
        <is>
          <t>26849</t>
        </is>
      </c>
      <c r="B26963" s="4" t="s">
        <f>=HYPERLINK("http://anyluxury.ru/shop/promo-suveniry/avtomobilnye-aksessuary/vodosgon-s-raspilitelem-polishup-siniy-1773640/" , "17736.40 Водосгон с распылителем PolishUp, синий")</f>
      </c>
      <c r="C26963" s="4" t="n">
        <v>745.00</v>
      </c>
      <c r="D26963" s="4"/>
    </row>
    <row collapsed="" customFormat="false" customHeight="1" hidden="" ht="14" outlineLevel="0" r="26964">
      <c r="A26964" s="3" t="inlineStr">
        <is>
          <t>26850</t>
        </is>
      </c>
      <c r="B26964" s="4" t="s">
        <f>=HYPERLINK("http://anyluxury.ru/shop/promo-suveniry/avtomobilnye-aksessuary/parkovochnaya-vizitka-litera-solar-chernaya-1773730/" , "17737.30 Парковочная визитка Litera Solar, черная")</f>
      </c>
      <c r="C26964" s="4" t="n">
        <v>1200.00</v>
      </c>
      <c r="D26964" s="4"/>
    </row>
    <row collapsed="" customFormat="false" customHeight="" hidden="" ht="12.1" outlineLevel="0" r="26965">
      <c r="A26965" s="5" t="inlineStr">
        <is>
          <t> -  - Антистрессы</t>
        </is>
      </c>
      <c r="B26965" s="6"/>
      <c r="C26965" s="6"/>
      <c r="D26965" s="6"/>
    </row>
    <row collapsed="" customFormat="false" customHeight="1" hidden="" ht="14" outlineLevel="0" r="26966">
      <c r="A26966" s="3" t="inlineStr">
        <is>
          <t>26851</t>
        </is>
      </c>
      <c r="B26966" s="4" t="s">
        <f>=HYPERLINK("http://anyluxury.ru/shop/promo-suveniry/antistressy/igrushkaantistress-yoyo-roundtrip-756300/" , "7563.00 Игрушка-антистресс йо-йо Roundtrip")</f>
      </c>
      <c r="C26966" s="4" t="n">
        <v>135.00</v>
      </c>
      <c r="D26966" s="4"/>
    </row>
    <row collapsed="" customFormat="false" customHeight="1" hidden="" ht="14" outlineLevel="0" r="26967">
      <c r="A26967" s="3" t="inlineStr">
        <is>
          <t>26852</t>
        </is>
      </c>
      <c r="B26967" s="4" t="s">
        <f>=HYPERLINK("http://anyluxury.ru/shop/promo-suveniry/antistressy/antistress-serdce-krasniy-272650/" , "2726.50 Антистресс «Сердце», красный")</f>
      </c>
      <c r="C26967" s="4" t="n">
        <v>140.00</v>
      </c>
      <c r="D26967" s="4"/>
    </row>
    <row collapsed="" customFormat="false" customHeight="1" hidden="" ht="14" outlineLevel="0" r="26968">
      <c r="A26968" s="3" t="inlineStr">
        <is>
          <t>26853</t>
        </is>
      </c>
      <c r="B26968" s="4" t="s">
        <f>=HYPERLINK("http://anyluxury.ru/shop/promo-suveniry/antistressy/antistress-futbolniy-myach-6193/" , "6193 Антистресс «Футбольный мяч»")</f>
      </c>
      <c r="C26968" s="4" t="n">
        <v>129.00</v>
      </c>
      <c r="D26968" s="4"/>
    </row>
    <row collapsed="" customFormat="false" customHeight="1" hidden="" ht="14" outlineLevel="0" r="26969">
      <c r="A26969" s="3" t="inlineStr">
        <is>
          <t>26854</t>
        </is>
      </c>
      <c r="B26969" s="4" t="s">
        <f>=HYPERLINK("http://anyluxury.ru/shop/promo-suveniry/antistressy/antistress-kaska-oranzheviy-621720/" , "6217.20 Антистресс «Каска», оранжевый")</f>
      </c>
      <c r="C26969" s="4" t="n">
        <v>173.00</v>
      </c>
      <c r="D26969" s="4"/>
    </row>
    <row collapsed="" customFormat="false" customHeight="1" hidden="" ht="14" outlineLevel="0" r="26970">
      <c r="A26970" s="3" t="inlineStr">
        <is>
          <t>26855</t>
        </is>
      </c>
      <c r="B26970" s="4" t="s">
        <f>=HYPERLINK("http://anyluxury.ru/shop/promo-suveniry/antistressy/antistress-kaska-beliy-621760/" , "6217.60 Антистресс «Каска», белый")</f>
      </c>
      <c r="C26970" s="4" t="n">
        <v>173.00</v>
      </c>
      <c r="D26970" s="4"/>
    </row>
    <row collapsed="" customFormat="false" customHeight="1" hidden="" ht="14" outlineLevel="0" r="26971">
      <c r="A26971" s="3" t="inlineStr">
        <is>
          <t>26856</t>
        </is>
      </c>
      <c r="B26971" s="4" t="s">
        <f>=HYPERLINK("http://anyluxury.ru/shop/promo-suveniry/antistressy/antistress-zolotoy-mozg-621900/" , "6219.00 Антистресс «Золотой мозг»")</f>
      </c>
      <c r="C26971" s="4" t="n">
        <v>263.00</v>
      </c>
      <c r="D26971" s="4"/>
    </row>
    <row collapsed="" customFormat="false" customHeight="1" hidden="" ht="14" outlineLevel="0" r="26972">
      <c r="A26972" s="3" t="inlineStr">
        <is>
          <t>26857</t>
        </is>
      </c>
      <c r="B26972" s="4" t="s">
        <f>=HYPERLINK("http://anyluxury.ru/shop/promo-suveniry/antistressy/antistress-mandarin-7475/" , "7475 Антистресс «Мандарин»")</f>
      </c>
      <c r="C26972" s="4" t="n">
        <v>195.00</v>
      </c>
      <c r="D26972" s="4"/>
    </row>
    <row collapsed="" customFormat="false" customHeight="1" hidden="" ht="14" outlineLevel="0" r="26973">
      <c r="A26973" s="3" t="inlineStr">
        <is>
          <t>26858</t>
        </is>
      </c>
      <c r="B26973" s="4" t="s">
        <f>=HYPERLINK("http://anyluxury.ru/shop/promo-suveniry/antistressy/magnitniy-antistress-elusive-time-65830/" , "658.30 Магнитный антистресс Elusive Time, черный")</f>
      </c>
      <c r="C26973" s="4" t="n">
        <v>1490.00</v>
      </c>
      <c r="D26973" s="4"/>
    </row>
    <row collapsed="" customFormat="false" customHeight="1" hidden="" ht="14" outlineLevel="0" r="26974">
      <c r="A26974" s="3" t="inlineStr">
        <is>
          <t>26859</t>
        </is>
      </c>
      <c r="B26974" s="4" t="s">
        <f>=HYPERLINK("http://anyluxury.ru/shop/promo-suveniry/antistressy/antistress-kaplya-siniy-1188440/" , "11884.40 Антистресс «Капля», синий")</f>
      </c>
      <c r="C26974" s="4" t="n">
        <v>170.00</v>
      </c>
      <c r="D26974" s="4"/>
    </row>
    <row collapsed="" customFormat="false" customHeight="1" hidden="" ht="14" outlineLevel="0" r="26975">
      <c r="A26975" s="3" t="inlineStr">
        <is>
          <t>26860</t>
        </is>
      </c>
      <c r="B26975" s="4" t="s">
        <f>=HYPERLINK("http://anyluxury.ru/shop/promo-suveniry/antistressy/antistress-kaplya-cherniy-1188430/" , "11884.30 Антистресс «Капля», черный")</f>
      </c>
      <c r="C26975" s="4" t="n">
        <v>170.00</v>
      </c>
      <c r="D26975" s="4"/>
    </row>
    <row collapsed="" customFormat="false" customHeight="1" hidden="" ht="14" outlineLevel="0" r="26976">
      <c r="A26976" s="3" t="inlineStr">
        <is>
          <t>26861</t>
        </is>
      </c>
      <c r="B26976" s="4" t="s">
        <f>=HYPERLINK("http://anyluxury.ru/shop/promo-suveniry/antistressy/antistress-serdce-beliy-272660/" , "2726.60 Антистресс «Сердце», белый")</f>
      </c>
      <c r="C26976" s="4" t="n">
        <v>140.00</v>
      </c>
      <c r="D26976" s="4"/>
    </row>
    <row collapsed="" customFormat="false" customHeight="1" hidden="" ht="14" outlineLevel="0" r="26977">
      <c r="A26977" s="3" t="inlineStr">
        <is>
          <t>26862</t>
        </is>
      </c>
      <c r="B26977" s="4" t="s">
        <f>=HYPERLINK("http://anyluxury.ru/shop/promo-suveniry/antistressy/nastolniy-antistress-coolswirl-15110/" , "15110 Настольный антистресс coolSwirl")</f>
      </c>
      <c r="C26977" s="4" t="n">
        <v>3990.00</v>
      </c>
      <c r="D26977" s="4"/>
    </row>
    <row collapsed="" customFormat="false" customHeight="1" hidden="" ht="14" outlineLevel="0" r="26978">
      <c r="A26978" s="3" t="inlineStr">
        <is>
          <t>26863</t>
        </is>
      </c>
      <c r="B26978" s="4" t="s">
        <f>=HYPERLINK("http://anyluxury.ru/shop/promo-suveniry/antistressy/pesochnie-chasi-lala-15814/" , "15814 Песочные часы LaLa")</f>
      </c>
      <c r="C26978" s="4" t="n">
        <v>5689.00</v>
      </c>
      <c r="D26978" s="4"/>
    </row>
    <row collapsed="" customFormat="false" customHeight="1" hidden="" ht="14" outlineLevel="0" r="26979">
      <c r="A26979" s="3" t="inlineStr">
        <is>
          <t>26864</t>
        </is>
      </c>
      <c r="B26979" s="4" t="s">
        <f>=HYPERLINK("http://anyluxury.ru/shop/promo-suveniry/antistressy/magnitniy-antistress-elusive-time-siniy-65840/" , "658.40 Магнитный антистресс Elusive Time, синий")</f>
      </c>
      <c r="C26979" s="4" t="n">
        <v>1490.00</v>
      </c>
      <c r="D26979" s="4"/>
    </row>
    <row collapsed="" customFormat="false" customHeight="1" hidden="" ht="14" outlineLevel="0" r="26980">
      <c r="A26980" s="3" t="inlineStr">
        <is>
          <t>26865</t>
        </is>
      </c>
      <c r="B26980" s="4" t="s">
        <f>=HYPERLINK("http://anyluxury.ru/shop/promo-suveniry/antistressy/magnitniy-antistress-wood-job-1406300/" , "14063.00 Магнитный антистресс Wood Job")</f>
      </c>
      <c r="C26980" s="4" t="n">
        <v>2740.00</v>
      </c>
      <c r="D26980" s="4"/>
    </row>
    <row collapsed="" customFormat="false" customHeight="1" hidden="" ht="14" outlineLevel="0" r="26981">
      <c r="A26981" s="3" t="inlineStr">
        <is>
          <t>26866</t>
        </is>
      </c>
      <c r="B26981" s="4" t="s">
        <f>=HYPERLINK("http://anyluxury.ru/shop/promo-suveniry/antistressy/antistress-zmeyka-siniy-424440/" , "4244.40 Антистресс Tangle, синий")</f>
      </c>
      <c r="C26981" s="4" t="n">
        <v>199.20</v>
      </c>
      <c r="D26981" s="4"/>
    </row>
    <row collapsed="" customFormat="false" customHeight="1" hidden="" ht="14" outlineLevel="0" r="26982">
      <c r="A26982" s="3" t="inlineStr">
        <is>
          <t>26867</t>
        </is>
      </c>
      <c r="B26982" s="4" t="s">
        <f>=HYPERLINK("http://anyluxury.ru/shop/promo-suveniry/antistressy/antistress-zmeyka-krasniy-424450/" , "4244.50 Антистресс Tangle, красный")</f>
      </c>
      <c r="C26982" s="4" t="n">
        <v>199.20</v>
      </c>
      <c r="D26982" s="4"/>
    </row>
    <row collapsed="" customFormat="false" customHeight="1" hidden="" ht="14" outlineLevel="0" r="26983">
      <c r="A26983" s="3" t="inlineStr">
        <is>
          <t>26868</t>
        </is>
      </c>
      <c r="B26983" s="4" t="s">
        <f>=HYPERLINK("http://anyluxury.ru/shop/promo-suveniry/antistressy/antistress-zmeyka-beliy-424460/" , "4244.60 Антистресс Tangle, белый")</f>
      </c>
      <c r="C26983" s="4" t="n">
        <v>199.20</v>
      </c>
      <c r="D26983" s="4"/>
    </row>
    <row collapsed="" customFormat="false" customHeight="1" hidden="" ht="14" outlineLevel="0" r="26984">
      <c r="A26984" s="3" t="inlineStr">
        <is>
          <t>26869</t>
        </is>
      </c>
      <c r="B26984" s="4" t="s">
        <f>=HYPERLINK("http://anyluxury.ru/shop/promo-suveniry/antistressy/antistress-zmeyka-zolotistiy-424400/" , "4244.00 Антистресс Tangle, золотистый")</f>
      </c>
      <c r="C26984" s="4" t="n">
        <v>199.20</v>
      </c>
      <c r="D26984" s="4"/>
    </row>
    <row collapsed="" customFormat="false" customHeight="1" hidden="" ht="14" outlineLevel="0" r="26985">
      <c r="A26985" s="3" t="inlineStr">
        <is>
          <t>26870</t>
        </is>
      </c>
      <c r="B26985" s="4" t="s">
        <f>=HYPERLINK("http://anyluxury.ru/shop/promo-suveniry/antistressy/antistress-zmeyka-hrom-424411/" , "4244.11 Антистресс Tangle, хром")</f>
      </c>
      <c r="C26985" s="4" t="n">
        <v>199.20</v>
      </c>
      <c r="D26985" s="4"/>
    </row>
    <row collapsed="" customFormat="false" customHeight="1" hidden="" ht="14" outlineLevel="0" r="26986">
      <c r="A26986" s="3" t="inlineStr">
        <is>
          <t>26871</t>
        </is>
      </c>
      <c r="B26986" s="4" t="s">
        <f>=HYPERLINK("http://anyluxury.ru/shop/promo-suveniry/antistressy/antistress-zmeyka-cherniy-424430/" , "4244.30 Антистресс Tangle, черный")</f>
      </c>
      <c r="C26986" s="4" t="n">
        <v>199.20</v>
      </c>
      <c r="D26986" s="4"/>
    </row>
    <row collapsed="" customFormat="false" customHeight="1" hidden="" ht="14" outlineLevel="0" r="26987">
      <c r="A26987" s="3" t="inlineStr">
        <is>
          <t>26872</t>
        </is>
      </c>
      <c r="B26987" s="4" t="s">
        <f>=HYPERLINK("http://anyluxury.ru/shop/promo-suveniry/antistressy/antistress-zmeyka-oranzheviy-424420/" , "4244.20 Антистресс Tangle, оранжевый")</f>
      </c>
      <c r="C26987" s="4" t="n">
        <v>199.20</v>
      </c>
      <c r="D26987" s="4"/>
    </row>
    <row collapsed="" customFormat="false" customHeight="1" hidden="" ht="14" outlineLevel="0" r="26988">
      <c r="A26988" s="3" t="inlineStr">
        <is>
          <t>26873</t>
        </is>
      </c>
      <c r="B26988" s="4" t="s">
        <f>=HYPERLINK("http://anyluxury.ru/shop/promo-suveniry/antistressy/antistress-zmeyka-zeleniy-424490/" , "4244.90 Антистресс Tangle, зеленый")</f>
      </c>
      <c r="C26988" s="4" t="n">
        <v>199.20</v>
      </c>
      <c r="D26988" s="4"/>
    </row>
    <row collapsed="" customFormat="false" customHeight="1" hidden="" ht="14" outlineLevel="0" r="26989">
      <c r="A26989" s="3" t="inlineStr">
        <is>
          <t>26874</t>
        </is>
      </c>
      <c r="B26989" s="4" t="s">
        <f>=HYPERLINK("http://anyluxury.ru/shop/promo-suveniry/antistressy/antistress-zmeyka-prozrachniy-424466/" , "4244.66 Антистресс Tangle, прозрачный")</f>
      </c>
      <c r="C26989" s="4" t="n">
        <v>199.20</v>
      </c>
      <c r="D26989" s="4"/>
    </row>
    <row collapsed="" customFormat="false" customHeight="1" hidden="" ht="14" outlineLevel="0" r="26990">
      <c r="A26990" s="3" t="inlineStr">
        <is>
          <t>26875</t>
        </is>
      </c>
      <c r="B26990" s="4" t="s">
        <f>=HYPERLINK("http://anyluxury.ru/shop/promo-suveniry/antistressy/igrushkaantistress-snegir-30174/" , "30174 Игрушка-антистресс «Снегирь»")</f>
      </c>
      <c r="C26990" s="4" t="n">
        <v>548.00</v>
      </c>
      <c r="D26990" s="4"/>
    </row>
    <row collapsed="" customFormat="false" customHeight="1" hidden="" ht="14" outlineLevel="0" r="26991">
      <c r="A26991" s="3" t="inlineStr">
        <is>
          <t>26876</t>
        </is>
      </c>
      <c r="B26991" s="4" t="s">
        <f>=HYPERLINK("http://anyluxury.ru/shop/promo-suveniry/antistressy/antistress-mash-krasniy-1665550/" , "16655.50 Антистресс Mash, красный")</f>
      </c>
      <c r="C26991" s="4" t="n">
        <v>134.00</v>
      </c>
      <c r="D26991" s="4"/>
    </row>
    <row collapsed="" customFormat="false" customHeight="1" hidden="" ht="14" outlineLevel="0" r="26992">
      <c r="A26992" s="3" t="inlineStr">
        <is>
          <t>26877</t>
        </is>
      </c>
      <c r="B26992" s="4" t="s">
        <f>=HYPERLINK("http://anyluxury.ru/shop/promo-suveniry/antistressy/antistress-mash-beliy-1665560/" , "16655.60 Антистресс Mash, белый")</f>
      </c>
      <c r="C26992" s="4" t="n">
        <v>134.00</v>
      </c>
      <c r="D26992" s="4"/>
    </row>
    <row collapsed="" customFormat="false" customHeight="1" hidden="" ht="14" outlineLevel="0" r="26993">
      <c r="A26993" s="3" t="inlineStr">
        <is>
          <t>26878</t>
        </is>
      </c>
      <c r="B26993" s="4" t="s">
        <f>=HYPERLINK("http://anyluxury.ru/shop/promo-suveniry/antistressy/antistress-mash-zeleniy-1665590/" , "16655.90 Антистресс Mash, зеленый")</f>
      </c>
      <c r="C26993" s="4" t="n">
        <v>134.00</v>
      </c>
      <c r="D26993" s="4"/>
    </row>
    <row collapsed="" customFormat="false" customHeight="1" hidden="" ht="14" outlineLevel="0" r="26994">
      <c r="A26994" s="3" t="inlineStr">
        <is>
          <t>26879</t>
        </is>
      </c>
      <c r="B26994" s="4" t="s">
        <f>=HYPERLINK("http://anyluxury.ru/shop/promo-suveniry/antistressy/antistress-mash-oranzheviy-1665520/" , "16655.20 Антистресс Mash, оранжевый")</f>
      </c>
      <c r="C26994" s="4" t="n">
        <v>134.00</v>
      </c>
      <c r="D26994" s="4"/>
    </row>
    <row collapsed="" customFormat="false" customHeight="1" hidden="" ht="14" outlineLevel="0" r="26995">
      <c r="A26995" s="3" t="inlineStr">
        <is>
          <t>26880</t>
        </is>
      </c>
      <c r="B26995" s="4" t="s">
        <f>=HYPERLINK("http://anyluxury.ru/shop/promo-suveniry/antistressy/antistress-mash-siniy-1665540/" , "16655.40 Антистресс Mash, синий")</f>
      </c>
      <c r="C26995" s="4" t="n">
        <v>134.00</v>
      </c>
      <c r="D26995" s="4"/>
    </row>
    <row collapsed="" customFormat="false" customHeight="1" hidden="" ht="14" outlineLevel="0" r="26996">
      <c r="A26996" s="3" t="inlineStr">
        <is>
          <t>26881</t>
        </is>
      </c>
      <c r="B26996" s="4" t="s">
        <f>=HYPERLINK("http://anyluxury.ru/shop/promo-suveniry/antistressy/magnitniy-antistress-fortune-cherniy-1373130/" , "13731.30 Магнитный антистресс Fortune, черный")</f>
      </c>
      <c r="C26996" s="4" t="n">
        <v>3990.00</v>
      </c>
      <c r="D26996" s="4"/>
    </row>
    <row collapsed="" customFormat="false" customHeight="1" hidden="" ht="14" outlineLevel="0" r="26997">
      <c r="A26997" s="3" t="inlineStr">
        <is>
          <t>26882</t>
        </is>
      </c>
      <c r="B26997" s="4" t="s">
        <f>=HYPERLINK("http://anyluxury.ru/shop/promo-suveniry/antistressy/nabor-iz-24-golovolomok-inception-7800/" , "78.00 Набор из 24 головоломок Inception")</f>
      </c>
      <c r="C26997" s="4" t="n">
        <v>2239.00</v>
      </c>
      <c r="D26997" s="4"/>
    </row>
    <row collapsed="" customFormat="false" customHeight="1" hidden="" ht="14" outlineLevel="0" r="26998">
      <c r="A26998" s="3" t="inlineStr">
        <is>
          <t>26883</t>
        </is>
      </c>
      <c r="B26998" s="4" t="s">
        <f>=HYPERLINK("http://anyluxury.ru/shop/promo-suveniry/antistressy/antistress-poezd-beliy-s-krasnim-2400865/" , "24008.65 Антистресс «Поезд», белый с красным")</f>
      </c>
      <c r="C26998" s="4" t="n">
        <v>220.00</v>
      </c>
      <c r="D26998" s="4"/>
    </row>
    <row collapsed="" customFormat="false" customHeight="1" hidden="" ht="14" outlineLevel="0" r="26999">
      <c r="A26999" s="3" t="inlineStr">
        <is>
          <t>26884</t>
        </is>
      </c>
      <c r="B26999" s="4" t="s">
        <f>=HYPERLINK("http://anyluxury.ru/shop/promo-suveniry/antistressy/antistress-samolet-2400900/" , "24009.00 Антистресс «Самолет»")</f>
      </c>
      <c r="C26999" s="4" t="n">
        <v>195.00</v>
      </c>
      <c r="D26999" s="4"/>
    </row>
    <row collapsed="" customFormat="false" customHeight="1" hidden="" ht="14" outlineLevel="0" r="27000">
      <c r="A27000" s="3" t="inlineStr">
        <is>
          <t>26885</t>
        </is>
      </c>
      <c r="B27000" s="4" t="s">
        <f>=HYPERLINK("http://anyluxury.ru/shop/promo-suveniry/antistressy/antistress-serdce-ver2-krasniy-272652/" , "2726.52 Антистресс «Сердце», ver.2, красный")</f>
      </c>
      <c r="C27000" s="4" t="n">
        <v>140.00</v>
      </c>
      <c r="D27000" s="4"/>
    </row>
    <row collapsed="" customFormat="false" customHeight="" hidden="" ht="12.1" outlineLevel="0" r="27001">
      <c r="A27001" s="5" t="inlineStr">
        <is>
          <t> -  - Брелки</t>
        </is>
      </c>
      <c r="B27001" s="6"/>
      <c r="C27001" s="6"/>
      <c r="D27001" s="6"/>
    </row>
    <row collapsed="" customFormat="false" customHeight="1" hidden="" ht="14" outlineLevel="0" r="27002">
      <c r="A27002" s="3" t="inlineStr">
        <is>
          <t>26886</t>
        </is>
      </c>
      <c r="B27002" s="4" t="s">
        <f>=HYPERLINK("http://anyluxury.ru/shop/promo-suveniry/brelki/brelokkonstruktor-ot-a-do-ya-6-bukv-4622/" , "4622 Брелок-конструктор «От А до Я», 6 букв")</f>
      </c>
      <c r="C27002" s="4" t="n">
        <v>359.00</v>
      </c>
      <c r="D27002" s="4"/>
    </row>
    <row collapsed="" customFormat="false" customHeight="1" hidden="" ht="14" outlineLevel="0" r="27003">
      <c r="A27003" s="3" t="inlineStr">
        <is>
          <t>26887</t>
        </is>
      </c>
      <c r="B27003" s="4" t="s">
        <f>=HYPERLINK("http://anyluxury.ru/shop/promo-suveniry/brelki/brelokkonstruktor-ot-a-do-ya-7-bukv-4623/" , "4623 Брелок-конструктор «От А до Я», 7 букв")</f>
      </c>
      <c r="C27003" s="4" t="n">
        <v>379.00</v>
      </c>
      <c r="D27003" s="4"/>
    </row>
    <row collapsed="" customFormat="false" customHeight="1" hidden="" ht="14" outlineLevel="0" r="27004">
      <c r="A27004" s="3" t="inlineStr">
        <is>
          <t>26888</t>
        </is>
      </c>
      <c r="B27004" s="4" t="s">
        <f>=HYPERLINK("http://anyluxury.ru/shop/promo-suveniry/brelki/brelokkonstruktor-ot-a-do-ya-8-bukv-4624/" , "4624 Брелок-конструктор «От А до Я», 8 букв")</f>
      </c>
      <c r="C27004" s="4" t="n">
        <v>489.00</v>
      </c>
      <c r="D27004" s="4"/>
    </row>
    <row collapsed="" customFormat="false" customHeight="1" hidden="" ht="14" outlineLevel="0" r="27005">
      <c r="A27005" s="3" t="inlineStr">
        <is>
          <t>26889</t>
        </is>
      </c>
      <c r="B27005" s="4" t="s">
        <f>=HYPERLINK("http://anyluxury.ru/shop/promo-suveniry/brelki/brelokkonstruktor-ot-a-do-ya-9-bukv-4625/" , "4625 Брелок-конструктор «От А до Я», 9 букв")</f>
      </c>
      <c r="C27005" s="4" t="n">
        <v>499.00</v>
      </c>
      <c r="D27005" s="4"/>
    </row>
    <row collapsed="" customFormat="false" customHeight="1" hidden="" ht="14" outlineLevel="0" r="27006">
      <c r="A27006" s="3" t="inlineStr">
        <is>
          <t>26890</t>
        </is>
      </c>
      <c r="B27006" s="4" t="s">
        <f>=HYPERLINK("http://anyluxury.ru/shop/promo-suveniry/brelki/brelokkonstruktor-ot-a-do-ya-1-bukva-4617/" , "4617 Брелок-конструктор «От А до Я», 1 буква")</f>
      </c>
      <c r="C27006" s="4" t="n">
        <v>199.00</v>
      </c>
      <c r="D27006" s="4"/>
    </row>
    <row collapsed="" customFormat="false" customHeight="1" hidden="" ht="14" outlineLevel="0" r="27007">
      <c r="A27007" s="3" t="inlineStr">
        <is>
          <t>26891</t>
        </is>
      </c>
      <c r="B27007" s="4" t="s">
        <f>=HYPERLINK("http://anyluxury.ru/shop/promo-suveniry/brelki/brelokkonstruktor-ot-a-do-ya-2-bukvi-4618/" , "4618 Брелок-конструктор «От А до Я», 2 буквы")</f>
      </c>
      <c r="C27007" s="4" t="n">
        <v>229.00</v>
      </c>
      <c r="D27007" s="4"/>
    </row>
    <row collapsed="" customFormat="false" customHeight="1" hidden="" ht="14" outlineLevel="0" r="27008">
      <c r="A27008" s="3" t="inlineStr">
        <is>
          <t>26892</t>
        </is>
      </c>
      <c r="B27008" s="4" t="s">
        <f>=HYPERLINK("http://anyluxury.ru/shop/promo-suveniry/brelki/brelokkonstruktor-ot-a-do-ya-3-bukvi-4619/" , "4619 Брелок-конструктор «От А до Я», 3 буквы")</f>
      </c>
      <c r="C27008" s="4" t="n">
        <v>269.00</v>
      </c>
      <c r="D27008" s="4"/>
    </row>
    <row collapsed="" customFormat="false" customHeight="1" hidden="" ht="14" outlineLevel="0" r="27009">
      <c r="A27009" s="3" t="inlineStr">
        <is>
          <t>26893</t>
        </is>
      </c>
      <c r="B27009" s="4" t="s">
        <f>=HYPERLINK("http://anyluxury.ru/shop/promo-suveniry/brelki/brelokkonstruktor-ot-a-do-ya-4-bukvi-4620/" , "4620 Брелок-конструктор «От А до Я», 4 буквы")</f>
      </c>
      <c r="C27009" s="4" t="n">
        <v>299.00</v>
      </c>
      <c r="D27009" s="4"/>
    </row>
    <row collapsed="" customFormat="false" customHeight="1" hidden="" ht="14" outlineLevel="0" r="27010">
      <c r="A27010" s="3" t="inlineStr">
        <is>
          <t>26894</t>
        </is>
      </c>
      <c r="B27010" s="4" t="s">
        <f>=HYPERLINK("http://anyluxury.ru/shop/promo-suveniry/brelki/brelokkonstruktor-ot-a-do-ya-5-bukv-4621/" , "4621 Брелок-конструктор «От А до Я», 5 букв")</f>
      </c>
      <c r="C27010" s="4" t="n">
        <v>319.00</v>
      </c>
      <c r="D27010" s="4"/>
    </row>
    <row collapsed="" customFormat="false" customHeight="1" hidden="" ht="14" outlineLevel="0" r="27011">
      <c r="A27011" s="3" t="inlineStr">
        <is>
          <t>26895</t>
        </is>
      </c>
      <c r="B27011" s="4" t="s">
        <f>=HYPERLINK("http://anyluxury.ru/shop/promo-suveniry/brelki/talisman-kogot-z04124/" , "Z04124 Талисман «Коготь»")</f>
      </c>
      <c r="C27011" s="4" t="n">
        <v>249.00</v>
      </c>
      <c r="D27011" s="4"/>
    </row>
    <row collapsed="" customFormat="false" customHeight="1" hidden="" ht="14" outlineLevel="0" r="27012">
      <c r="A27012" s="3" t="inlineStr">
        <is>
          <t>26896</t>
        </is>
      </c>
      <c r="B27012" s="4" t="s">
        <f>=HYPERLINK("http://anyluxury.ru/shop/promo-suveniry/brelki/brelokkonstruktor-ot-a-do-ya-10-bukv-4652/" , "4652 Брелок-конструктор «От А до Я», 10 букв")</f>
      </c>
      <c r="C27012" s="4" t="n">
        <v>519.00</v>
      </c>
      <c r="D27012" s="4"/>
    </row>
    <row collapsed="" customFormat="false" customHeight="1" hidden="" ht="14" outlineLevel="0" r="27013">
      <c r="A27013" s="3" t="inlineStr">
        <is>
          <t>26897</t>
        </is>
      </c>
      <c r="B27013" s="4" t="s">
        <f>=HYPERLINK("http://anyluxury.ru/shop/promo-suveniry/brelki/brelok-novel-334630/" , "3346.30 Брелок Novel")</f>
      </c>
      <c r="C27013" s="4" t="n">
        <v>199.00</v>
      </c>
      <c r="D27013" s="4"/>
    </row>
    <row collapsed="" customFormat="false" customHeight="1" hidden="" ht="14" outlineLevel="0" r="27014">
      <c r="A27014" s="3" t="inlineStr">
        <is>
          <t>26898</t>
        </is>
      </c>
      <c r="B27014" s="4" t="s">
        <f>=HYPERLINK("http://anyluxury.ru/shop/promo-suveniry/brelki/brelok-jammin-6943/" , "6943 Брелок-открывашка Jammin")</f>
      </c>
      <c r="C27014" s="4" t="n">
        <v>169.00</v>
      </c>
      <c r="D27014" s="4"/>
    </row>
    <row collapsed="" customFormat="false" customHeight="1" hidden="" ht="14" outlineLevel="0" r="27015">
      <c r="A27015" s="3" t="inlineStr">
        <is>
          <t>26899</t>
        </is>
      </c>
      <c r="B27015" s="4" t="s">
        <f>=HYPERLINK("http://anyluxury.ru/shop/promo-suveniry/brelki/brelok-household-6946/" , "6946 Брелок Household")</f>
      </c>
      <c r="C27015" s="4" t="n">
        <v>239.00</v>
      </c>
      <c r="D27015" s="4"/>
    </row>
    <row collapsed="" customFormat="false" customHeight="1" hidden="" ht="14" outlineLevel="0" r="27016">
      <c r="A27016" s="3" t="inlineStr">
        <is>
          <t>26900</t>
        </is>
      </c>
      <c r="B27016" s="4" t="s">
        <f>=HYPERLINK("http://anyluxury.ru/shop/promo-suveniry/brelki/brelok-vela-10130/" , "10130 Брелок Vela")</f>
      </c>
      <c r="C27016" s="4" t="n">
        <v>1807.00</v>
      </c>
      <c r="D27016" s="4"/>
    </row>
    <row collapsed="" customFormat="false" customHeight="1" hidden="" ht="14" outlineLevel="0" r="27017">
      <c r="A27017" s="3" t="inlineStr">
        <is>
          <t>26901</t>
        </is>
      </c>
      <c r="B27017" s="4" t="s">
        <f>=HYPERLINK("http://anyluxury.ru/shop/promo-suveniry/brelki/brelok-amulet-67310/" , "673.10 Брелок Amulet")</f>
      </c>
      <c r="C27017" s="4" t="n">
        <v>189.00</v>
      </c>
      <c r="D27017" s="4"/>
    </row>
    <row collapsed="" customFormat="false" customHeight="1" hidden="" ht="14" outlineLevel="0" r="27018">
      <c r="A27018" s="3" t="inlineStr">
        <is>
          <t>26902</t>
        </is>
      </c>
      <c r="B27018" s="4" t="s">
        <f>=HYPERLINK("http://anyluxury.ru/shop/promo-suveniry/brelki/brelok-kernel-67410/" , "674.10 Брелок Kernel")</f>
      </c>
      <c r="C27018" s="4" t="n">
        <v>229.00</v>
      </c>
      <c r="D27018" s="4"/>
    </row>
    <row collapsed="" customFormat="false" customHeight="1" hidden="" ht="14" outlineLevel="0" r="27019">
      <c r="A27019" s="3" t="inlineStr">
        <is>
          <t>26903</t>
        </is>
      </c>
      <c r="B27019" s="4" t="s">
        <f>=HYPERLINK("http://anyluxury.ru/shop/promo-suveniry/brelki/brelok-drive-my-car-67511/" , "675.11 Брелок Drive My Car")</f>
      </c>
      <c r="C27019" s="4" t="n">
        <v>329.00</v>
      </c>
      <c r="D27019" s="4"/>
    </row>
    <row collapsed="" customFormat="false" customHeight="1" hidden="" ht="14" outlineLevel="0" r="27020">
      <c r="A27020" s="3" t="inlineStr">
        <is>
          <t>26904</t>
        </is>
      </c>
      <c r="B27020" s="4" t="s">
        <f>=HYPERLINK("http://anyluxury.ru/shop/promo-suveniry/brelki/brelok-rotund-siniy-67640/" , "676.40 Брелок Rotund, синий")</f>
      </c>
      <c r="C27020" s="4" t="n">
        <v>239.00</v>
      </c>
      <c r="D27020" s="4"/>
    </row>
    <row collapsed="" customFormat="false" customHeight="1" hidden="" ht="14" outlineLevel="0" r="27021">
      <c r="A27021" s="3" t="inlineStr">
        <is>
          <t>26905</t>
        </is>
      </c>
      <c r="B27021" s="4" t="s">
        <f>=HYPERLINK("http://anyluxury.ru/shop/promo-suveniry/brelki/brelok-token-s-chernim-krepleniem-67830/" , "678.30 Брелок Token, с черным креплением")</f>
      </c>
      <c r="C27021" s="4" t="n">
        <v>209.00</v>
      </c>
      <c r="D27021" s="4"/>
    </row>
    <row collapsed="" customFormat="false" customHeight="1" hidden="" ht="14" outlineLevel="0" r="27022">
      <c r="A27022" s="3" t="inlineStr">
        <is>
          <t>26906</t>
        </is>
      </c>
      <c r="B27022" s="4" t="s">
        <f>=HYPERLINK("http://anyluxury.ru/shop/promo-suveniry/brelki/brelok-graphite-matoviy-seriy-68011/" , "680.11 Брелок Graphite, матовый, серый")</f>
      </c>
      <c r="C27022" s="4" t="n">
        <v>249.00</v>
      </c>
      <c r="D27022" s="4"/>
    </row>
    <row collapsed="" customFormat="false" customHeight="1" hidden="" ht="14" outlineLevel="0" r="27023">
      <c r="A27023" s="3" t="inlineStr">
        <is>
          <t>26907</t>
        </is>
      </c>
      <c r="B27023" s="4" t="s">
        <f>=HYPERLINK("http://anyluxury.ru/shop/promo-suveniry/brelki/brelok-fight-oranzheviy-prozrachniy-69120/" , "691.20 Брелок Fight, оранжевый, прозрачный")</f>
      </c>
      <c r="C27023" s="4" t="n">
        <v>79.10</v>
      </c>
      <c r="D27023" s="4"/>
    </row>
    <row collapsed="" customFormat="false" customHeight="1" hidden="" ht="14" outlineLevel="0" r="27024">
      <c r="A27024" s="3" t="inlineStr">
        <is>
          <t>26908</t>
        </is>
      </c>
      <c r="B27024" s="4" t="s">
        <f>=HYPERLINK("http://anyluxury.ru/shop/promo-suveniry/brelki/brelok-tassel-cherniy-7500630/" , "75006.30 Брелок Tassel, черный")</f>
      </c>
      <c r="C27024" s="4" t="n">
        <v>139.00</v>
      </c>
      <c r="D27024" s="4"/>
    </row>
    <row collapsed="" customFormat="false" customHeight="1" hidden="" ht="14" outlineLevel="0" r="27025">
      <c r="A27025" s="3" t="inlineStr">
        <is>
          <t>26909</t>
        </is>
      </c>
      <c r="B27025" s="4" t="s">
        <f>=HYPERLINK("http://anyluxury.ru/shop/promo-suveniry/brelki/brelok-full-circle-75007/" , "75007 Брелок Full Circle")</f>
      </c>
      <c r="C27025" s="4" t="n">
        <v>189.00</v>
      </c>
      <c r="D27025" s="4"/>
    </row>
    <row collapsed="" customFormat="false" customHeight="1" hidden="" ht="14" outlineLevel="0" r="27026">
      <c r="A27026" s="3" t="inlineStr">
        <is>
          <t>26910</t>
        </is>
      </c>
      <c r="B27026" s="4" t="s">
        <f>=HYPERLINK("http://anyluxury.ru/shop/promo-suveniry/brelki/brelok-dlya-poiska-klyuchey-signalet-beliy-1019660/" , "10196.60 Брелок для поиска ключей Signalet, белый")</f>
      </c>
      <c r="C27026" s="4" t="n">
        <v>139.00</v>
      </c>
      <c r="D27026" s="4"/>
    </row>
    <row collapsed="" customFormat="false" customHeight="1" hidden="" ht="14" outlineLevel="0" r="27027">
      <c r="A27027" s="3" t="inlineStr">
        <is>
          <t>26911</t>
        </is>
      </c>
      <c r="B27027" s="4" t="s">
        <f>=HYPERLINK("http://anyluxury.ru/shop/promo-suveniry/brelki/brelok-dlya-poiska-klyuchey-signalet-siniy-1019640/" , "10196.40 Брелок для поиска ключей Signalet, синий")</f>
      </c>
      <c r="C27027" s="4" t="n">
        <v>139.00</v>
      </c>
      <c r="D27027" s="4"/>
    </row>
    <row collapsed="" customFormat="false" customHeight="1" hidden="" ht="14" outlineLevel="0" r="27028">
      <c r="A27028" s="3" t="inlineStr">
        <is>
          <t>26912</t>
        </is>
      </c>
      <c r="B27028" s="4" t="s">
        <f>=HYPERLINK("http://anyluxury.ru/shop/promo-suveniry/brelki/brelok-olive-ver2-13254/" , "13254 Брелок Olive, ver.2")</f>
      </c>
      <c r="C27028" s="4" t="n">
        <v>229.00</v>
      </c>
      <c r="D27028" s="4"/>
    </row>
    <row collapsed="" customFormat="false" customHeight="1" hidden="" ht="14" outlineLevel="0" r="27029">
      <c r="A27029" s="3" t="inlineStr">
        <is>
          <t>26913</t>
        </is>
      </c>
      <c r="B27029" s="4" t="s">
        <f>=HYPERLINK("http://anyluxury.ru/shop/promo-suveniry/brelki/brelok-oval-10936/" , "10936 Брелок Oval")</f>
      </c>
      <c r="C27029" s="4" t="n">
        <v>289.00</v>
      </c>
      <c r="D27029" s="4"/>
    </row>
    <row collapsed="" customFormat="false" customHeight="1" hidden="" ht="14" outlineLevel="0" r="27030">
      <c r="A27030" s="3" t="inlineStr">
        <is>
          <t>26914</t>
        </is>
      </c>
      <c r="B27030" s="4" t="s">
        <f>=HYPERLINK("http://anyluxury.ru/shop/promo-suveniry/brelki/brelok-wood-square-12494/" , "12494 Брелок Wood Square")</f>
      </c>
      <c r="C27030" s="4" t="n">
        <v>259.00</v>
      </c>
      <c r="D27030" s="4"/>
    </row>
    <row collapsed="" customFormat="false" customHeight="1" hidden="" ht="14" outlineLevel="0" r="27031">
      <c r="A27031" s="3" t="inlineStr">
        <is>
          <t>26915</t>
        </is>
      </c>
      <c r="B27031" s="4" t="s">
        <f>=HYPERLINK("http://anyluxury.ru/shop/promo-suveniry/brelki/brelok-wood-sircle-12495/" , "12495 Брелок Wood Сircle")</f>
      </c>
      <c r="C27031" s="4" t="n">
        <v>219.00</v>
      </c>
      <c r="D27031" s="4"/>
    </row>
    <row collapsed="" customFormat="false" customHeight="1" hidden="" ht="14" outlineLevel="0" r="27032">
      <c r="A27032" s="3" t="inlineStr">
        <is>
          <t>26916</t>
        </is>
      </c>
      <c r="B27032" s="4" t="s">
        <f>=HYPERLINK("http://anyluxury.ru/shop/promo-suveniry/brelki/brelok-wood-rectangle-12496/" , "12496 Брелок Wood Rectangle")</f>
      </c>
      <c r="C27032" s="4" t="n">
        <v>279.00</v>
      </c>
      <c r="D27032" s="4"/>
    </row>
    <row collapsed="" customFormat="false" customHeight="1" hidden="" ht="14" outlineLevel="0" r="27033">
      <c r="A27033" s="3" t="inlineStr">
        <is>
          <t>26917</t>
        </is>
      </c>
      <c r="B27033" s="4" t="s">
        <f>=HYPERLINK("http://anyluxury.ru/shop/promo-suveniry/brelki/brelok-wood-token-12497/" , "12497 Брелок Wood Token")</f>
      </c>
      <c r="C27033" s="4" t="n">
        <v>229.00</v>
      </c>
      <c r="D27033" s="4"/>
    </row>
    <row collapsed="" customFormat="false" customHeight="1" hidden="" ht="14" outlineLevel="0" r="27034">
      <c r="A27034" s="3" t="inlineStr">
        <is>
          <t>26918</t>
        </is>
      </c>
      <c r="B27034" s="4" t="s">
        <f>=HYPERLINK("http://anyluxury.ru/shop/promo-suveniry/brelki/brelok-wood-drop-12498/" , "12498 Брелок Wood Drop")</f>
      </c>
      <c r="C27034" s="4" t="n">
        <v>229.00</v>
      </c>
      <c r="D27034" s="4"/>
    </row>
    <row collapsed="" customFormat="false" customHeight="1" hidden="" ht="14" outlineLevel="0" r="27035">
      <c r="A27035" s="3" t="inlineStr">
        <is>
          <t>26919</t>
        </is>
      </c>
      <c r="B27035" s="4" t="s">
        <f>=HYPERLINK("http://anyluxury.ru/shop/promo-suveniry/brelki/brelok-poke-dlya-beskontaktnih-nazhatiy-cherniy-12922/" , "12922 Брелок Poke для бесконтактных нажатий, черный")</f>
      </c>
      <c r="C27035" s="4" t="n">
        <v>199.00</v>
      </c>
      <c r="D27035" s="4"/>
    </row>
    <row collapsed="" customFormat="false" customHeight="1" hidden="" ht="14" outlineLevel="0" r="27036">
      <c r="A27036" s="3" t="inlineStr">
        <is>
          <t>26920</t>
        </is>
      </c>
      <c r="B27036" s="4" t="s">
        <f>=HYPERLINK("http://anyluxury.ru/shop/promo-suveniry/brelki/brelok-graphite-lodge-1416030/" , "14160.30 Брелок Gun Metal Lodge, графитовый")</f>
      </c>
      <c r="C27036" s="4" t="n">
        <v>259.00</v>
      </c>
      <c r="D27036" s="4"/>
    </row>
    <row collapsed="" customFormat="false" customHeight="1" hidden="" ht="14" outlineLevel="0" r="27037">
      <c r="A27037" s="3" t="inlineStr">
        <is>
          <t>26921</t>
        </is>
      </c>
      <c r="B27037" s="4" t="s">
        <f>=HYPERLINK("http://anyluxury.ru/shop/promo-suveniry/brelki/brelok-graphite-circle-1416130/" , "14161.30 Брелок Gun Metal Circle, графитовый")</f>
      </c>
      <c r="C27037" s="4" t="n">
        <v>259.00</v>
      </c>
      <c r="D27037" s="4"/>
    </row>
    <row collapsed="" customFormat="false" customHeight="1" hidden="" ht="14" outlineLevel="0" r="27038">
      <c r="A27038" s="3" t="inlineStr">
        <is>
          <t>26922</t>
        </is>
      </c>
      <c r="B27038" s="4" t="s">
        <f>=HYPERLINK("http://anyluxury.ru/shop/promo-suveniry/brelki/brelok-graphite-square-1416230/" , "14162.30 Брелок Gun Metal Square, графитовый")</f>
      </c>
      <c r="C27038" s="4" t="n">
        <v>259.00</v>
      </c>
      <c r="D27038" s="4"/>
    </row>
    <row collapsed="" customFormat="false" customHeight="1" hidden="" ht="14" outlineLevel="0" r="27039">
      <c r="A27039" s="3" t="inlineStr">
        <is>
          <t>26923</t>
        </is>
      </c>
      <c r="B27039" s="4" t="s">
        <f>=HYPERLINK("http://anyluxury.ru/shop/promo-suveniry/brelki/brelok-graphite-rectangle-1416430/" , "14164.30 Брелок Gun Metal Rectangle, графитовый")</f>
      </c>
      <c r="C27039" s="4" t="n">
        <v>259.00</v>
      </c>
      <c r="D27039" s="4"/>
    </row>
    <row collapsed="" customFormat="false" customHeight="1" hidden="" ht="14" outlineLevel="0" r="27040">
      <c r="A27040" s="3" t="inlineStr">
        <is>
          <t>26924</t>
        </is>
      </c>
      <c r="B27040" s="4" t="s">
        <f>=HYPERLINK("http://anyluxury.ru/shop/promo-suveniry/brelki/element-brelkakonstruktora-bukva-zh-454707/" , "4547.07 Элемент брелка-конструктора «Буква Ж»")</f>
      </c>
      <c r="C27040" s="4" t="n">
        <v>35.00</v>
      </c>
      <c r="D27040" s="4"/>
    </row>
    <row collapsed="" customFormat="false" customHeight="1" hidden="" ht="14" outlineLevel="0" r="27041">
      <c r="A27041" s="3" t="inlineStr">
        <is>
          <t>26925</t>
        </is>
      </c>
      <c r="B27041" s="4" t="s">
        <f>=HYPERLINK("http://anyluxury.ru/shop/promo-suveniry/brelki/element-brelkakonstruktora-bukva-z-454708/" , "4547.08 Элемент брелка-конструктора «Буква З»")</f>
      </c>
      <c r="C27041" s="4" t="n">
        <v>34.90</v>
      </c>
      <c r="D27041" s="4"/>
    </row>
    <row collapsed="" customFormat="false" customHeight="1" hidden="" ht="14" outlineLevel="0" r="27042">
      <c r="A27042" s="3" t="inlineStr">
        <is>
          <t>26926</t>
        </is>
      </c>
      <c r="B27042" s="4" t="s">
        <f>=HYPERLINK("http://anyluxury.ru/shop/promo-suveniry/brelki/element-brelkakonstruktora-bukva-i-454709/" , "4547.09 Элемент брелка-конструктора «Буква И»")</f>
      </c>
      <c r="C27042" s="4" t="n">
        <v>35.00</v>
      </c>
      <c r="D27042" s="4"/>
    </row>
    <row collapsed="" customFormat="false" customHeight="1" hidden="" ht="14" outlineLevel="0" r="27043">
      <c r="A27043" s="3" t="inlineStr">
        <is>
          <t>26927</t>
        </is>
      </c>
      <c r="B27043" s="4" t="s">
        <f>=HYPERLINK("http://anyluxury.ru/shop/promo-suveniry/brelki/element-brelkakonstruktora-bukva-y-454710/" , "4547.10 Элемент брелка-конструктора «Буква Й»")</f>
      </c>
      <c r="C27043" s="4" t="n">
        <v>35.00</v>
      </c>
      <c r="D27043" s="4"/>
    </row>
    <row collapsed="" customFormat="false" customHeight="1" hidden="" ht="14" outlineLevel="0" r="27044">
      <c r="A27044" s="3" t="inlineStr">
        <is>
          <t>26928</t>
        </is>
      </c>
      <c r="B27044" s="4" t="s">
        <f>=HYPERLINK("http://anyluxury.ru/shop/promo-suveniry/brelki/element-brelkakonstruktora-bukva-k-454711/" , "4547.11 Элемент брелка-конструктора «Буква К»")</f>
      </c>
      <c r="C27044" s="4" t="n">
        <v>34.90</v>
      </c>
      <c r="D27044" s="4"/>
    </row>
    <row collapsed="" customFormat="false" customHeight="1" hidden="" ht="14" outlineLevel="0" r="27045">
      <c r="A27045" s="3" t="inlineStr">
        <is>
          <t>26929</t>
        </is>
      </c>
      <c r="B27045" s="4" t="s">
        <f>=HYPERLINK("http://anyluxury.ru/shop/promo-suveniry/brelki/element-brelkakonstruktora-bukva-l-454712/" , "4547.12 Элемент брелка-конструктора «Буква Л»")</f>
      </c>
      <c r="C27045" s="4" t="n">
        <v>35.10</v>
      </c>
      <c r="D27045" s="4"/>
    </row>
    <row collapsed="" customFormat="false" customHeight="1" hidden="" ht="14" outlineLevel="0" r="27046">
      <c r="A27046" s="3" t="inlineStr">
        <is>
          <t>26930</t>
        </is>
      </c>
      <c r="B27046" s="4" t="s">
        <f>=HYPERLINK("http://anyluxury.ru/shop/promo-suveniry/brelki/element-brelkakonstruktora-bukva-m-454713/" , "4547.13 Элемент брелка-конструктора «Буква М»")</f>
      </c>
      <c r="C27046" s="4" t="n">
        <v>35.00</v>
      </c>
      <c r="D27046" s="4"/>
    </row>
    <row collapsed="" customFormat="false" customHeight="1" hidden="" ht="14" outlineLevel="0" r="27047">
      <c r="A27047" s="3" t="inlineStr">
        <is>
          <t>26931</t>
        </is>
      </c>
      <c r="B27047" s="4" t="s">
        <f>=HYPERLINK("http://anyluxury.ru/shop/promo-suveniry/brelki/element-brelkakonstruktora-bukva-n-454714/" , "4547.14 Элемент брелка-конструктора «Буква Н»")</f>
      </c>
      <c r="C27047" s="4" t="n">
        <v>34.90</v>
      </c>
      <c r="D27047" s="4"/>
    </row>
    <row collapsed="" customFormat="false" customHeight="1" hidden="" ht="14" outlineLevel="0" r="27048">
      <c r="A27048" s="3" t="inlineStr">
        <is>
          <t>26932</t>
        </is>
      </c>
      <c r="B27048" s="4" t="s">
        <f>=HYPERLINK("http://anyluxury.ru/shop/promo-suveniry/brelki/element-brelkakonstruktora-bukva-o-454715/" , "4547.15 Элемент брелка-конструктора «Буква О»")</f>
      </c>
      <c r="C27048" s="4" t="n">
        <v>35.00</v>
      </c>
      <c r="D27048" s="4"/>
    </row>
    <row collapsed="" customFormat="false" customHeight="1" hidden="" ht="14" outlineLevel="0" r="27049">
      <c r="A27049" s="3" t="inlineStr">
        <is>
          <t>26933</t>
        </is>
      </c>
      <c r="B27049" s="4" t="s">
        <f>=HYPERLINK("http://anyluxury.ru/shop/promo-suveniry/brelki/element-brelkakonstruktora-bukva-p-ili-bukva-u-454716/" , "4547.16 Элемент брелка-конструктора «Буква П» или «Буква U»")</f>
      </c>
      <c r="C27049" s="4" t="n">
        <v>35.00</v>
      </c>
      <c r="D27049" s="4"/>
    </row>
    <row collapsed="" customFormat="false" customHeight="1" hidden="" ht="14" outlineLevel="0" r="27050">
      <c r="A27050" s="3" t="inlineStr">
        <is>
          <t>26934</t>
        </is>
      </c>
      <c r="B27050" s="4" t="s">
        <f>=HYPERLINK("http://anyluxury.ru/shop/promo-suveniry/brelki/element-brelkakonstruktora-bukva-r-ili-454717/" , "4547.17 Элемент брелка-конструктора «Буква Р или Ь»")</f>
      </c>
      <c r="C27050" s="4" t="n">
        <v>35.00</v>
      </c>
      <c r="D27050" s="4"/>
    </row>
    <row collapsed="" customFormat="false" customHeight="1" hidden="" ht="14" outlineLevel="0" r="27051">
      <c r="A27051" s="3" t="inlineStr">
        <is>
          <t>26935</t>
        </is>
      </c>
      <c r="B27051" s="4" t="s">
        <f>=HYPERLINK("http://anyluxury.ru/shop/promo-suveniry/brelki/element-brelkakonstruktora-bukva-s-454718/" , "4547.18 Элемент брелка-конструктора «Буква С»")</f>
      </c>
      <c r="C27051" s="4" t="n">
        <v>35.00</v>
      </c>
      <c r="D27051" s="4"/>
    </row>
    <row collapsed="" customFormat="false" customHeight="1" hidden="" ht="14" outlineLevel="0" r="27052">
      <c r="A27052" s="3" t="inlineStr">
        <is>
          <t>26936</t>
        </is>
      </c>
      <c r="B27052" s="4" t="s">
        <f>=HYPERLINK("http://anyluxury.ru/shop/promo-suveniry/brelki/element-brelkakonstruktora-bukva-t-454719/" , "4547.19 Элемент брелка-конструктора «Буква Т»")</f>
      </c>
      <c r="C27052" s="4" t="n">
        <v>35.00</v>
      </c>
      <c r="D27052" s="4"/>
    </row>
    <row collapsed="" customFormat="false" customHeight="1" hidden="" ht="14" outlineLevel="0" r="27053">
      <c r="A27053" s="3" t="inlineStr">
        <is>
          <t>26937</t>
        </is>
      </c>
      <c r="B27053" s="4" t="s">
        <f>=HYPERLINK("http://anyluxury.ru/shop/promo-suveniry/brelki/element-brelkakonstruktora-bukva-u-454720/" , "4547.20 Элемент брелка-конструктора «Буква У»")</f>
      </c>
      <c r="C27053" s="4" t="n">
        <v>35.00</v>
      </c>
      <c r="D27053" s="4"/>
    </row>
    <row collapsed="" customFormat="false" customHeight="1" hidden="" ht="14" outlineLevel="0" r="27054">
      <c r="A27054" s="3" t="inlineStr">
        <is>
          <t>26938</t>
        </is>
      </c>
      <c r="B27054" s="4" t="s">
        <f>=HYPERLINK("http://anyluxury.ru/shop/promo-suveniry/brelki/element-brelkakonstruktora-bukva-h-454722/" , "4547.22 Элемент брелка-конструктора «Буква Х»")</f>
      </c>
      <c r="C27054" s="4" t="n">
        <v>35.00</v>
      </c>
      <c r="D27054" s="4"/>
    </row>
    <row collapsed="" customFormat="false" customHeight="1" hidden="" ht="14" outlineLevel="0" r="27055">
      <c r="A27055" s="3" t="inlineStr">
        <is>
          <t>26939</t>
        </is>
      </c>
      <c r="B27055" s="4" t="s">
        <f>=HYPERLINK("http://anyluxury.ru/shop/promo-suveniry/brelki/element-brelkakonstruktora-bukva-c-454723/" , "4547.23 Элемент брелка-конструктора «Буква Ц»")</f>
      </c>
      <c r="C27055" s="4" t="n">
        <v>35.00</v>
      </c>
      <c r="D27055" s="4"/>
    </row>
    <row collapsed="" customFormat="false" customHeight="1" hidden="" ht="14" outlineLevel="0" r="27056">
      <c r="A27056" s="3" t="inlineStr">
        <is>
          <t>26940</t>
        </is>
      </c>
      <c r="B27056" s="4" t="s">
        <f>=HYPERLINK("http://anyluxury.ru/shop/promo-suveniry/brelki/element-brelkakonstruktora-bukva-ch-454724/" , "4547.24 Элемент брелка-конструктора «Буква Ч»")</f>
      </c>
      <c r="C27056" s="4" t="n">
        <v>35.00</v>
      </c>
      <c r="D27056" s="4"/>
    </row>
    <row collapsed="" customFormat="false" customHeight="1" hidden="" ht="14" outlineLevel="0" r="27057">
      <c r="A27057" s="3" t="inlineStr">
        <is>
          <t>26941</t>
        </is>
      </c>
      <c r="B27057" s="4" t="s">
        <f>=HYPERLINK("http://anyluxury.ru/shop/promo-suveniry/brelki/element-brelkakonstruktora-bukva-sh-454725/" , "4547.25 Элемент брелка-конструктора «Буква Ш»")</f>
      </c>
      <c r="C27057" s="4" t="n">
        <v>35.00</v>
      </c>
      <c r="D27057" s="4"/>
    </row>
    <row collapsed="" customFormat="false" customHeight="1" hidden="" ht="14" outlineLevel="0" r="27058">
      <c r="A27058" s="3" t="inlineStr">
        <is>
          <t>26942</t>
        </is>
      </c>
      <c r="B27058" s="4" t="s">
        <f>=HYPERLINK("http://anyluxury.ru/shop/promo-suveniry/brelki/element-brelkakonstruktora-bukva-shh-454726/" , "4547.26 Элемент брелка-конструктора «Буква Щ»")</f>
      </c>
      <c r="C27058" s="4" t="n">
        <v>35.00</v>
      </c>
      <c r="D27058" s="4"/>
    </row>
    <row collapsed="" customFormat="false" customHeight="1" hidden="" ht="14" outlineLevel="0" r="27059">
      <c r="A27059" s="3" t="inlineStr">
        <is>
          <t>26943</t>
        </is>
      </c>
      <c r="B27059" s="4" t="s">
        <f>=HYPERLINK("http://anyluxury.ru/shop/promo-suveniry/brelki/element-brelkakonstruktora-bukva-b-454702/" , "4547.02 Элемент брелка-конструктора «Буква Б»")</f>
      </c>
      <c r="C27059" s="4" t="n">
        <v>35.00</v>
      </c>
      <c r="D27059" s="4"/>
    </row>
    <row collapsed="" customFormat="false" customHeight="1" hidden="" ht="14" outlineLevel="0" r="27060">
      <c r="A27060" s="3" t="inlineStr">
        <is>
          <t>26944</t>
        </is>
      </c>
      <c r="B27060" s="4" t="s">
        <f>=HYPERLINK("http://anyluxury.ru/shop/promo-suveniry/brelki/element-brelkakonstruktora-bukva-v-454703/" , "4547.03 Элемент брелка-конструктора «Буква В»")</f>
      </c>
      <c r="C27060" s="4" t="n">
        <v>35.00</v>
      </c>
      <c r="D27060" s="4"/>
    </row>
    <row collapsed="" customFormat="false" customHeight="1" hidden="" ht="14" outlineLevel="0" r="27061">
      <c r="A27061" s="3" t="inlineStr">
        <is>
          <t>26945</t>
        </is>
      </c>
      <c r="B27061" s="4" t="s">
        <f>=HYPERLINK("http://anyluxury.ru/shop/promo-suveniry/brelki/element-brelkakonstruktora-bukva-d-454705/" , "4547.05 Элемент брелка-конструктора «Буква Д»")</f>
      </c>
      <c r="C27061" s="4" t="n">
        <v>35.00</v>
      </c>
      <c r="D27061" s="4"/>
    </row>
    <row collapsed="" customFormat="false" customHeight="1" hidden="" ht="14" outlineLevel="0" r="27062">
      <c r="A27062" s="3" t="inlineStr">
        <is>
          <t>26946</t>
        </is>
      </c>
      <c r="B27062" s="4" t="s">
        <f>=HYPERLINK("http://anyluxury.ru/shop/promo-suveniry/brelki/element-brelkakonstruktora-bukva-i-454727/" , "4547.27 Элемент брелка-конструктора «Буква Ы»")</f>
      </c>
      <c r="C27062" s="4" t="n">
        <v>35.00</v>
      </c>
      <c r="D27062" s="4"/>
    </row>
    <row collapsed="" customFormat="false" customHeight="1" hidden="" ht="14" outlineLevel="0" r="27063">
      <c r="A27063" s="3" t="inlineStr">
        <is>
          <t>26947</t>
        </is>
      </c>
      <c r="B27063" s="4" t="s">
        <f>=HYPERLINK("http://anyluxury.ru/shop/promo-suveniry/brelki/element-brelkakonstruktora-bukva-454728/" , "4547.28 Элемент брелка-конструктора «Буква Ъ»")</f>
      </c>
      <c r="C27063" s="4" t="n">
        <v>35.10</v>
      </c>
      <c r="D27063" s="4"/>
    </row>
    <row collapsed="" customFormat="false" customHeight="1" hidden="" ht="14" outlineLevel="0" r="27064">
      <c r="A27064" s="3" t="inlineStr">
        <is>
          <t>26948</t>
        </is>
      </c>
      <c r="B27064" s="4" t="s">
        <f>=HYPERLINK("http://anyluxury.ru/shop/promo-suveniry/brelki/element-brelkakonstruktora-bukva-e-454729/" , "4547.29 Элемент брелка-конструктора «Буква Э»")</f>
      </c>
      <c r="C27064" s="4" t="n">
        <v>35.10</v>
      </c>
      <c r="D27064" s="4"/>
    </row>
    <row collapsed="" customFormat="false" customHeight="1" hidden="" ht="14" outlineLevel="0" r="27065">
      <c r="A27065" s="3" t="inlineStr">
        <is>
          <t>26949</t>
        </is>
      </c>
      <c r="B27065" s="4" t="s">
        <f>=HYPERLINK("http://anyluxury.ru/shop/promo-suveniry/brelki/element-brelkakonstruktora-bukva-yu-454730/" , "4547.30 Элемент брелка-конструктора «Буква Ю»")</f>
      </c>
      <c r="C27065" s="4" t="n">
        <v>35.00</v>
      </c>
      <c r="D27065" s="4"/>
    </row>
    <row collapsed="" customFormat="false" customHeight="1" hidden="" ht="14" outlineLevel="0" r="27066">
      <c r="A27066" s="3" t="inlineStr">
        <is>
          <t>26950</t>
        </is>
      </c>
      <c r="B27066" s="4" t="s">
        <f>=HYPERLINK("http://anyluxury.ru/shop/promo-suveniry/brelki/element-brelkakonstruktora-bukva-ya-454731/" , "4547.31 Элемент брелка-конструктора «Буква Я»")</f>
      </c>
      <c r="C27066" s="4" t="n">
        <v>34.90</v>
      </c>
      <c r="D27066" s="4"/>
    </row>
    <row collapsed="" customFormat="false" customHeight="1" hidden="" ht="14" outlineLevel="0" r="27067">
      <c r="A27067" s="3" t="inlineStr">
        <is>
          <t>26951</t>
        </is>
      </c>
      <c r="B27067" s="4" t="s">
        <f>=HYPERLINK("http://anyluxury.ru/shop/promo-suveniry/brelki/element-brelkakonstrutora-vosklicatelniy-znak-454754/" , "4547.54 Элемент брелка-конструтора «Восклицательный знак»")</f>
      </c>
      <c r="C27067" s="4" t="n">
        <v>35.00</v>
      </c>
      <c r="D27067" s="4"/>
    </row>
    <row collapsed="" customFormat="false" customHeight="1" hidden="" ht="14" outlineLevel="0" r="27068">
      <c r="A27068" s="3" t="inlineStr">
        <is>
          <t>26952</t>
        </is>
      </c>
      <c r="B27068" s="4" t="s">
        <f>=HYPERLINK("http://anyluxury.ru/shop/promo-suveniry/brelki/element-brelkakonstruktora-cifra-1-454742/" , "4547.42 Элемент брелка-конструктора «Цифра 1»")</f>
      </c>
      <c r="C27068" s="4" t="n">
        <v>35.00</v>
      </c>
      <c r="D27068" s="4"/>
    </row>
    <row collapsed="" customFormat="false" customHeight="1" hidden="" ht="14" outlineLevel="0" r="27069">
      <c r="A27069" s="3" t="inlineStr">
        <is>
          <t>26953</t>
        </is>
      </c>
      <c r="B27069" s="4" t="s">
        <f>=HYPERLINK("http://anyluxury.ru/shop/promo-suveniry/brelki/element-brelkakonstruktora-cifra-4-454745/" , "4547.45 Элемент брелка-конструктора «Цифра 4»")</f>
      </c>
      <c r="C27069" s="4" t="n">
        <v>35.00</v>
      </c>
      <c r="D27069" s="4"/>
    </row>
    <row collapsed="" customFormat="false" customHeight="1" hidden="" ht="14" outlineLevel="0" r="27070">
      <c r="A27070" s="3" t="inlineStr">
        <is>
          <t>26954</t>
        </is>
      </c>
      <c r="B27070" s="4" t="s">
        <f>=HYPERLINK("http://anyluxury.ru/shop/promo-suveniry/brelki/element-brelkakonstruktora-cifra-6-ili-cifra-9-454746/" , "4547.46 Элемент брелка-конструктора «Цифра 6» или «Цифра 9»")</f>
      </c>
      <c r="C27070" s="4" t="n">
        <v>34.90</v>
      </c>
      <c r="D27070" s="4"/>
    </row>
    <row collapsed="" customFormat="false" customHeight="1" hidden="" ht="14" outlineLevel="0" r="27071">
      <c r="A27071" s="3" t="inlineStr">
        <is>
          <t>26955</t>
        </is>
      </c>
      <c r="B27071" s="4" t="s">
        <f>=HYPERLINK("http://anyluxury.ru/shop/promo-suveniry/brelki/element-brelkakonstruktora-cifra-7-454747/" , "4547.47 Элемент брелка-конструктора «Цифра 7»")</f>
      </c>
      <c r="C27071" s="4" t="n">
        <v>34.90</v>
      </c>
      <c r="D27071" s="4"/>
    </row>
    <row collapsed="" customFormat="false" customHeight="1" hidden="" ht="14" outlineLevel="0" r="27072">
      <c r="A27072" s="3" t="inlineStr">
        <is>
          <t>26956</t>
        </is>
      </c>
      <c r="B27072" s="4" t="s">
        <f>=HYPERLINK("http://anyluxury.ru/shop/promo-suveniry/brelki/element-brelkakonstruktora-bukva-f-454733/" , "4547.33 Элемент брелка-конструктора «Буква F»")</f>
      </c>
      <c r="C27072" s="4" t="n">
        <v>35.00</v>
      </c>
      <c r="D27072" s="4"/>
    </row>
    <row collapsed="" customFormat="false" customHeight="1" hidden="" ht="14" outlineLevel="0" r="27073">
      <c r="A27073" s="3" t="inlineStr">
        <is>
          <t>26957</t>
        </is>
      </c>
      <c r="B27073" s="4" t="s">
        <f>=HYPERLINK("http://anyluxury.ru/shop/promo-suveniry/brelki/element-brelkakonstruktora-bukva-g-454734/" , "4547.34 Элемент брелка-конструктора «Буква G»")</f>
      </c>
      <c r="C27073" s="4" t="n">
        <v>34.90</v>
      </c>
      <c r="D27073" s="4"/>
    </row>
    <row collapsed="" customFormat="false" customHeight="1" hidden="" ht="14" outlineLevel="0" r="27074">
      <c r="A27074" s="3" t="inlineStr">
        <is>
          <t>26958</t>
        </is>
      </c>
      <c r="B27074" s="4" t="s">
        <f>=HYPERLINK("http://anyluxury.ru/shop/promo-suveniry/brelki/element-brelkakonstruktora-bukva-i-454735/" , "4547.35 Элемент брелка-конструктора «Буква I»")</f>
      </c>
      <c r="C27074" s="4" t="n">
        <v>35.00</v>
      </c>
      <c r="D27074" s="4"/>
    </row>
    <row collapsed="" customFormat="false" customHeight="1" hidden="" ht="14" outlineLevel="0" r="27075">
      <c r="A27075" s="3" t="inlineStr">
        <is>
          <t>26959</t>
        </is>
      </c>
      <c r="B27075" s="4" t="s">
        <f>=HYPERLINK("http://anyluxury.ru/shop/promo-suveniry/brelki/element-brelkakonstruktora-bukva-j-454736/" , "4547.36 Элемент брелка-конструктора «Буква J»")</f>
      </c>
      <c r="C27075" s="4" t="n">
        <v>35.10</v>
      </c>
      <c r="D27075" s="4"/>
    </row>
    <row collapsed="" customFormat="false" customHeight="1" hidden="" ht="14" outlineLevel="0" r="27076">
      <c r="A27076" s="3" t="inlineStr">
        <is>
          <t>26960</t>
        </is>
      </c>
      <c r="B27076" s="4" t="s">
        <f>=HYPERLINK("http://anyluxury.ru/shop/promo-suveniry/brelki/element-brelkakonstruktora-bukva-q-454737/" , "4547.37 Элемент брелка-конструктора «Буква Q»")</f>
      </c>
      <c r="C27076" s="4" t="n">
        <v>35.00</v>
      </c>
      <c r="D27076" s="4"/>
    </row>
    <row collapsed="" customFormat="false" customHeight="1" hidden="" ht="14" outlineLevel="0" r="27077">
      <c r="A27077" s="3" t="inlineStr">
        <is>
          <t>26961</t>
        </is>
      </c>
      <c r="B27077" s="4" t="s">
        <f>=HYPERLINK("http://anyluxury.ru/shop/promo-suveniry/brelki/element-brelkakonstrutora-zapyataya-454751/" , "4547.51 Элемент брелка-конструтора «Запятая»")</f>
      </c>
      <c r="C27077" s="4" t="n">
        <v>35.00</v>
      </c>
      <c r="D27077" s="4"/>
    </row>
    <row collapsed="" customFormat="false" customHeight="1" hidden="" ht="14" outlineLevel="0" r="27078">
      <c r="A27078" s="3" t="inlineStr">
        <is>
          <t>26962</t>
        </is>
      </c>
      <c r="B27078" s="4" t="s">
        <f>=HYPERLINK("http://anyluxury.ru/shop/promo-suveniry/brelki/element-brelkakonstrutora-tochka-454752/" , "4547.52 Элемент брелка-конструтора «Точка»")</f>
      </c>
      <c r="C27078" s="4" t="n">
        <v>35.00</v>
      </c>
      <c r="D27078" s="4"/>
    </row>
    <row collapsed="" customFormat="false" customHeight="1" hidden="" ht="14" outlineLevel="0" r="27079">
      <c r="A27079" s="3" t="inlineStr">
        <is>
          <t>26963</t>
        </is>
      </c>
      <c r="B27079" s="4" t="s">
        <f>=HYPERLINK("http://anyluxury.ru/shop/promo-suveniry/brelki/element-brelkakonstrutora-znak-voprosa-454753/" , "4547.53 Элемент брелка-конструтора «Знак вопроса»")</f>
      </c>
      <c r="C27079" s="4" t="n">
        <v>35.00</v>
      </c>
      <c r="D27079" s="4"/>
    </row>
    <row collapsed="" customFormat="false" customHeight="1" hidden="" ht="14" outlineLevel="0" r="27080">
      <c r="A27080" s="3" t="inlineStr">
        <is>
          <t>26964</t>
        </is>
      </c>
      <c r="B27080" s="4" t="s">
        <f>=HYPERLINK("http://anyluxury.ru/shop/promo-suveniry/brelki/element-brelkakonstruktora-cifra-8-454748/" , "4547.48 Элемент брелка-конструктора «Цифра 8»")</f>
      </c>
      <c r="C27080" s="4" t="n">
        <v>35.00</v>
      </c>
      <c r="D27080" s="4"/>
    </row>
    <row collapsed="" customFormat="false" customHeight="1" hidden="" ht="14" outlineLevel="0" r="27081">
      <c r="A27081" s="3" t="inlineStr">
        <is>
          <t>26965</t>
        </is>
      </c>
      <c r="B27081" s="4" t="s">
        <f>=HYPERLINK("http://anyluxury.ru/shop/promo-suveniry/brelki/element-brelkakonstruktora-bukva-d-454732/" , "4547.32 Элемент брелка-конструктора «Буква D»")</f>
      </c>
      <c r="C27081" s="4" t="n">
        <v>35.00</v>
      </c>
      <c r="D27081" s="4"/>
    </row>
    <row collapsed="" customFormat="false" customHeight="1" hidden="" ht="14" outlineLevel="0" r="27082">
      <c r="A27082" s="3" t="inlineStr">
        <is>
          <t>26966</t>
        </is>
      </c>
      <c r="B27082" s="4" t="s">
        <f>=HYPERLINK("http://anyluxury.ru/shop/promo-suveniry/brelki/element-brelkakonstruktora-bukva-s-ili-cifra-5-ili-cifra-2-454738/" , "4547.38 Элемент брелка-конструктора «Буква S» или «Цифра 5» или «Цифра 2»")</f>
      </c>
      <c r="C27082" s="4" t="n">
        <v>35.00</v>
      </c>
      <c r="D27082" s="4"/>
    </row>
    <row collapsed="" customFormat="false" customHeight="1" hidden="" ht="14" outlineLevel="0" r="27083">
      <c r="A27083" s="3" t="inlineStr">
        <is>
          <t>26967</t>
        </is>
      </c>
      <c r="B27083" s="4" t="s">
        <f>=HYPERLINK("http://anyluxury.ru/shop/promo-suveniry/brelki/element-brelkakonstruktora-bukva-v-454739/" , "4547.39 Элемент брелка-конструктора «Буква V»")</f>
      </c>
      <c r="C27083" s="4" t="n">
        <v>34.90</v>
      </c>
      <c r="D27083" s="4"/>
    </row>
    <row collapsed="" customFormat="false" customHeight="1" hidden="" ht="14" outlineLevel="0" r="27084">
      <c r="A27084" s="3" t="inlineStr">
        <is>
          <t>26968</t>
        </is>
      </c>
      <c r="B27084" s="4" t="s">
        <f>=HYPERLINK("http://anyluxury.ru/shop/promo-suveniry/brelki/element-brelkakonstruktora-bukva-y-454740/" , "4547.40 Элемент брелка-конструктора «Буква Y»")</f>
      </c>
      <c r="C27084" s="4" t="n">
        <v>34.90</v>
      </c>
      <c r="D27084" s="4"/>
    </row>
    <row collapsed="" customFormat="false" customHeight="1" hidden="" ht="14" outlineLevel="0" r="27085">
      <c r="A27085" s="3" t="inlineStr">
        <is>
          <t>26969</t>
        </is>
      </c>
      <c r="B27085" s="4" t="s">
        <f>=HYPERLINK("http://anyluxury.ru/shop/promo-suveniry/brelki/element-brelkakonstruktora-bukva-z-454741/" , "4547.41 Элемент брелка-конструктора «Буква Z»")</f>
      </c>
      <c r="C27085" s="4" t="n">
        <v>35.10</v>
      </c>
      <c r="D27085" s="4"/>
    </row>
    <row collapsed="" customFormat="false" customHeight="1" hidden="" ht="14" outlineLevel="0" r="27086">
      <c r="A27086" s="3" t="inlineStr">
        <is>
          <t>26970</t>
        </is>
      </c>
      <c r="B27086" s="4" t="s">
        <f>=HYPERLINK("http://anyluxury.ru/shop/promo-suveniry/brelki/element-brelkakonstruktora-tire-454755/" , "4547.55 Элемент брелка-конструктора «Тире»")</f>
      </c>
      <c r="C27086" s="4" t="n">
        <v>35.00</v>
      </c>
      <c r="D27086" s="4"/>
    </row>
    <row collapsed="" customFormat="false" customHeight="1" hidden="" ht="14" outlineLevel="0" r="27087">
      <c r="A27087" s="3" t="inlineStr">
        <is>
          <t>26971</t>
        </is>
      </c>
      <c r="B27087" s="4" t="s">
        <f>=HYPERLINK("http://anyluxury.ru/shop/promo-suveniry/brelki/element-brelkakonstruktora-hlyastik-s-kolcom-i-zazhimom-siniy-454743/" , "4547.43 Элемент брелка-конструктора «Хлястик с кольцом и зажимом», синий")</f>
      </c>
      <c r="C27087" s="4" t="n">
        <v>219.00</v>
      </c>
      <c r="D27087" s="4"/>
    </row>
    <row collapsed="" customFormat="false" customHeight="1" hidden="" ht="14" outlineLevel="0" r="27088">
      <c r="A27088" s="3" t="inlineStr">
        <is>
          <t>26972</t>
        </is>
      </c>
      <c r="B27088" s="4" t="s">
        <f>=HYPERLINK("http://anyluxury.ru/shop/promo-suveniry/brelki/element-brelkakonstruktora-hlyastik-s-kolcom-i-zazhimom-krasniy-454750/" , "4547.50 Элемент брелка-конструктора «Хлястик с кольцом и зажимом», красный")</f>
      </c>
      <c r="C27088" s="4" t="n">
        <v>219.00</v>
      </c>
      <c r="D27088" s="4"/>
    </row>
    <row collapsed="" customFormat="false" customHeight="1" hidden="" ht="14" outlineLevel="0" r="27089">
      <c r="A27089" s="3" t="inlineStr">
        <is>
          <t>26973</t>
        </is>
      </c>
      <c r="B27089" s="4" t="s">
        <f>=HYPERLINK("http://anyluxury.ru/shop/promo-suveniry/brelki/brelok-white-circle-13358/" , "13358 Брелок White Circle")</f>
      </c>
      <c r="C27089" s="4" t="n">
        <v>229.00</v>
      </c>
      <c r="D27089" s="4"/>
    </row>
    <row collapsed="" customFormat="false" customHeight="1" hidden="" ht="14" outlineLevel="0" r="27090">
      <c r="A27090" s="3" t="inlineStr">
        <is>
          <t>26974</t>
        </is>
      </c>
      <c r="B27090" s="4" t="s">
        <f>=HYPERLINK("http://anyluxury.ru/shop/promo-suveniry/brelki/brelok-white-square-13359/" , "13359 Брелок White Square")</f>
      </c>
      <c r="C27090" s="4" t="n">
        <v>229.00</v>
      </c>
      <c r="D27090" s="4"/>
    </row>
    <row collapsed="" customFormat="false" customHeight="1" hidden="" ht="14" outlineLevel="0" r="27091">
      <c r="A27091" s="3" t="inlineStr">
        <is>
          <t>26975</t>
        </is>
      </c>
      <c r="B27091" s="4" t="s">
        <f>=HYPERLINK("http://anyluxury.ru/shop/promo-suveniry/brelki/brelok-white-rectangle-13360/" , "13360 Брелок White Rectangle")</f>
      </c>
      <c r="C27091" s="4" t="n">
        <v>229.00</v>
      </c>
      <c r="D27091" s="4"/>
    </row>
    <row collapsed="" customFormat="false" customHeight="1" hidden="" ht="14" outlineLevel="0" r="27092">
      <c r="A27092" s="3" t="inlineStr">
        <is>
          <t>26976</t>
        </is>
      </c>
      <c r="B27092" s="4" t="s">
        <f>=HYPERLINK("http://anyluxury.ru/shop/promo-suveniry/brelki/brelok-novel-ver3-siniy-1382240/" , "13822.40 Брелок Novel, ver.3, синий")</f>
      </c>
      <c r="C27092" s="4" t="n">
        <v>219.00</v>
      </c>
      <c r="D27092" s="4"/>
    </row>
    <row collapsed="" customFormat="false" customHeight="1" hidden="" ht="14" outlineLevel="0" r="27093">
      <c r="A27093" s="3" t="inlineStr">
        <is>
          <t>26977</t>
        </is>
      </c>
      <c r="B27093" s="4" t="s">
        <f>=HYPERLINK("http://anyluxury.ru/shop/promo-suveniry/brelki/brelok-s-pechatyu-clave-na-zakaz-1896001/" , "18960.01 Брелок с печатью Clave на заказ")</f>
      </c>
      <c r="C27093" s="4" t="n">
        <v>506.00</v>
      </c>
      <c r="D27093" s="4"/>
    </row>
    <row collapsed="" customFormat="false" customHeight="1" hidden="" ht="14" outlineLevel="0" r="27094">
      <c r="A27094" s="3" t="inlineStr">
        <is>
          <t>26978</t>
        </is>
      </c>
      <c r="B27094" s="4" t="s">
        <f>=HYPERLINK("http://anyluxury.ru/shop/promo-suveniry/brelki/brelok-wood-rectangle-2-13817/" , "13817 Брелок Wood Rectangle 2")</f>
      </c>
      <c r="C27094" s="4" t="n">
        <v>229.00</v>
      </c>
      <c r="D27094" s="4"/>
    </row>
    <row collapsed="" customFormat="false" customHeight="1" hidden="" ht="14" outlineLevel="0" r="27095">
      <c r="A27095" s="3" t="inlineStr">
        <is>
          <t>26979</t>
        </is>
      </c>
      <c r="B27095" s="4" t="s">
        <f>=HYPERLINK("http://anyluxury.ru/shop/promo-suveniry/brelki/brelok-ringo-iz-pvh-na-zakaz-1899101/" , "18991.01 Брелок Ringo на заказ")</f>
      </c>
      <c r="C27095" s="4" t="n">
        <v>187.00</v>
      </c>
      <c r="D27095" s="4"/>
    </row>
    <row collapsed="" customFormat="false" customHeight="1" hidden="" ht="14" outlineLevel="0" r="27096">
      <c r="A27096" s="3" t="inlineStr">
        <is>
          <t>26980</t>
        </is>
      </c>
      <c r="B27096" s="4" t="s">
        <f>=HYPERLINK("http://anyluxury.ru/shop/promo-suveniry/brelki/brelok-s-polimernim-pokritiem-harz-na-zakaz-1899401/" , "18994.01 Брелок с полимерным покрытием Harz на заказ")</f>
      </c>
      <c r="C27096" s="4" t="n">
        <v>124.00</v>
      </c>
      <c r="D27096" s="4"/>
    </row>
    <row collapsed="" customFormat="false" customHeight="1" hidden="" ht="14" outlineLevel="0" r="27097">
      <c r="A27097" s="3" t="inlineStr">
        <is>
          <t>26981</t>
        </is>
      </c>
      <c r="B27097" s="4" t="s">
        <f>=HYPERLINK("http://anyluxury.ru/shop/promo-suveniry/brelki/brelok-novel-ver3-krasniy-1382250/" , "13822.50 Брелок Novel, ver.3, красный")</f>
      </c>
      <c r="C27097" s="4" t="n">
        <v>219.00</v>
      </c>
      <c r="D27097" s="4"/>
    </row>
    <row collapsed="" customFormat="false" customHeight="1" hidden="" ht="14" outlineLevel="0" r="27098">
      <c r="A27098" s="3" t="inlineStr">
        <is>
          <t>26982</t>
        </is>
      </c>
      <c r="B27098" s="4" t="s">
        <f>=HYPERLINK("http://anyluxury.ru/shop/promo-suveniry/brelki/brelok-stalker-ver3-cherniy-1518630/" , "15186.30 Брелок Stalker, ver.3, черный")</f>
      </c>
      <c r="C27098" s="4" t="n">
        <v>199.00</v>
      </c>
      <c r="D27098" s="4"/>
    </row>
    <row collapsed="" customFormat="false" customHeight="1" hidden="" ht="14" outlineLevel="0" r="27099">
      <c r="A27099" s="3" t="inlineStr">
        <is>
          <t>26983</t>
        </is>
      </c>
      <c r="B27099" s="4" t="s">
        <f>=HYPERLINK("http://anyluxury.ru/shop/promo-suveniry/brelki/brelok-stalker-ver3-siniy-1518640/" , "15186.40 Брелок Stalker, ver.3, синий")</f>
      </c>
      <c r="C27099" s="4" t="n">
        <v>199.00</v>
      </c>
      <c r="D27099" s="4"/>
    </row>
    <row collapsed="" customFormat="false" customHeight="1" hidden="" ht="14" outlineLevel="0" r="27100">
      <c r="A27100" s="3" t="inlineStr">
        <is>
          <t>26984</t>
        </is>
      </c>
      <c r="B27100" s="4" t="s">
        <f>=HYPERLINK("http://anyluxury.ru/shop/promo-suveniry/brelki/brelok-stalker-ver3-krasniy-1518650/" , "15186.50 Брелок Stalker, ver.3, красный")</f>
      </c>
      <c r="C27100" s="4" t="n">
        <v>199.00</v>
      </c>
      <c r="D27100" s="4"/>
    </row>
    <row collapsed="" customFormat="false" customHeight="1" hidden="" ht="14" outlineLevel="0" r="27101">
      <c r="A27101" s="3" t="inlineStr">
        <is>
          <t>26985</t>
        </is>
      </c>
      <c r="B27101" s="4" t="s">
        <f>=HYPERLINK("http://anyluxury.ru/shop/promo-suveniry/brelki/brelok-rectangle-amulet-15187/" , "15187 Брелок Rectangle Amulet")</f>
      </c>
      <c r="C27101" s="4" t="n">
        <v>199.00</v>
      </c>
      <c r="D27101" s="4"/>
    </row>
    <row collapsed="" customFormat="false" customHeight="1" hidden="" ht="14" outlineLevel="0" r="27102">
      <c r="A27102" s="3" t="inlineStr">
        <is>
          <t>26986</t>
        </is>
      </c>
      <c r="B27102" s="4" t="s">
        <f>=HYPERLINK("http://anyluxury.ru/shop/promo-suveniry/brelki/brelok-swivel-s-povorotnim-elementom-15188/" , "15188 Брелок Swivel с поворотным элементом")</f>
      </c>
      <c r="C27102" s="4" t="n">
        <v>249.00</v>
      </c>
      <c r="D27102" s="4"/>
    </row>
    <row collapsed="" customFormat="false" customHeight="1" hidden="" ht="14" outlineLevel="0" r="27103">
      <c r="A27103" s="3" t="inlineStr">
        <is>
          <t>26987</t>
        </is>
      </c>
      <c r="B27103" s="4" t="s">
        <f>=HYPERLINK("http://anyluxury.ru/shop/promo-suveniry/brelki/brelok-spheric-ver-2-s-povorotnim-elementom-15189/" , "15189 Брелок Spheric, ver.2 с поворотным элементом")</f>
      </c>
      <c r="C27103" s="4" t="n">
        <v>259.00</v>
      </c>
      <c r="D27103" s="4"/>
    </row>
    <row collapsed="" customFormat="false" customHeight="1" hidden="" ht="14" outlineLevel="0" r="27104">
      <c r="A27104" s="3" t="inlineStr">
        <is>
          <t>26988</t>
        </is>
      </c>
      <c r="B27104" s="4" t="s">
        <f>=HYPERLINK("http://anyluxury.ru/shop/promo-suveniry/brelki/brelok-dual-lodge-15261/" , "15261 Брелок Dual Lodge")</f>
      </c>
      <c r="C27104" s="4" t="n">
        <v>219.00</v>
      </c>
      <c r="D27104" s="4"/>
    </row>
    <row collapsed="" customFormat="false" customHeight="1" hidden="" ht="14" outlineLevel="0" r="27105">
      <c r="A27105" s="3" t="inlineStr">
        <is>
          <t>26989</t>
        </is>
      </c>
      <c r="B27105" s="4" t="s">
        <f>=HYPERLINK("http://anyluxury.ru/shop/promo-suveniry/brelki/brelok-dlya-poiska-klyuchey-signalet-ver2-cherniy-1545730/" , "15457.30 Брелок для поиска ключей Signalet, ver.2, черный")</f>
      </c>
      <c r="C27105" s="4" t="n">
        <v>169.00</v>
      </c>
      <c r="D27105" s="4"/>
    </row>
    <row collapsed="" customFormat="false" customHeight="1" hidden="" ht="14" outlineLevel="0" r="27106">
      <c r="A27106" s="3" t="inlineStr">
        <is>
          <t>26990</t>
        </is>
      </c>
      <c r="B27106" s="4" t="s">
        <f>=HYPERLINK("http://anyluxury.ru/shop/promo-suveniry/brelki/brelok-dlya-poiska-klyuchey-signalet-ver2-beliy-1545760/" , "15457.60 Брелок для поиска ключей Signalet, ver.2, белый")</f>
      </c>
      <c r="C27106" s="4" t="n">
        <v>169.00</v>
      </c>
      <c r="D27106" s="4"/>
    </row>
    <row collapsed="" customFormat="false" customHeight="1" hidden="" ht="14" outlineLevel="0" r="27107">
      <c r="A27107" s="3" t="inlineStr">
        <is>
          <t>26991</t>
        </is>
      </c>
      <c r="B27107" s="4" t="s">
        <f>=HYPERLINK("http://anyluxury.ru/shop/promo-suveniry/brelki/brelok-dlya-poiska-klyuchey-signalet-ver2-siniy-1545740/" , "15457.40 Брелок для поиска ключей Signalet, ver.2, синий")</f>
      </c>
      <c r="C27107" s="4" t="n">
        <v>169.00</v>
      </c>
      <c r="D27107" s="4"/>
    </row>
    <row collapsed="" customFormat="false" customHeight="1" hidden="" ht="14" outlineLevel="0" r="27108">
      <c r="A27108" s="3" t="inlineStr">
        <is>
          <t>26992</t>
        </is>
      </c>
      <c r="B27108" s="4" t="s">
        <f>=HYPERLINK("http://anyluxury.ru/shop/promo-suveniry/brelki/brelok-s-ruletkoy-square-ver2-krasniy-1545950/" , "15459.50 Брелок с рулеткой Square, ver.2, красный")</f>
      </c>
      <c r="C27108" s="4" t="n">
        <v>66.90</v>
      </c>
      <c r="D27108" s="4"/>
    </row>
    <row collapsed="" customFormat="false" customHeight="1" hidden="" ht="14" outlineLevel="0" r="27109">
      <c r="A27109" s="3" t="inlineStr">
        <is>
          <t>26993</t>
        </is>
      </c>
      <c r="B27109" s="4" t="s">
        <f>=HYPERLINK("http://anyluxury.ru/shop/promo-suveniry/brelki/brelok-s-ruletkoy-square-ver2-beliy-1545960/" , "15459.60 Брелок с рулеткой Square, ver.2, белый")</f>
      </c>
      <c r="C27109" s="4" t="n">
        <v>66.90</v>
      </c>
      <c r="D27109" s="4"/>
    </row>
    <row collapsed="" customFormat="false" customHeight="1" hidden="" ht="14" outlineLevel="0" r="27110">
      <c r="A27110" s="3" t="inlineStr">
        <is>
          <t>26994</t>
        </is>
      </c>
      <c r="B27110" s="4" t="s">
        <f>=HYPERLINK("http://anyluxury.ru/shop/promo-suveniry/brelki/brelok-s-ruletkoy-square-ver2-siniy-1545940/" , "15459.40 Брелок с рулеткой Square, ver.2, синий")</f>
      </c>
      <c r="C27110" s="4" t="n">
        <v>66.90</v>
      </c>
      <c r="D27110" s="4"/>
    </row>
    <row collapsed="" customFormat="false" customHeight="1" hidden="" ht="14" outlineLevel="0" r="27111">
      <c r="A27111" s="3" t="inlineStr">
        <is>
          <t>26995</t>
        </is>
      </c>
      <c r="B27111" s="4" t="s">
        <f>=HYPERLINK("http://anyluxury.ru/shop/promo-suveniry/brelki/remuvka-dominus-m-chernaya-1651630/" , "16516.30 Ремувка Dominus, М, черная")</f>
      </c>
      <c r="C27111" s="4" t="n">
        <v>161.00</v>
      </c>
      <c r="D27111" s="4"/>
    </row>
    <row collapsed="" customFormat="false" customHeight="1" hidden="" ht="14" outlineLevel="0" r="27112">
      <c r="A27112" s="3" t="inlineStr">
        <is>
          <t>26996</t>
        </is>
      </c>
      <c r="B27112" s="4" t="s">
        <f>=HYPERLINK("http://anyluxury.ru/shop/promo-suveniry/brelki/remuvka-dominus-m-seraya-1651611/" , "16516.11 Ремувка Dominus, М, серая")</f>
      </c>
      <c r="C27112" s="4" t="n">
        <v>161.00</v>
      </c>
      <c r="D27112" s="4"/>
    </row>
    <row collapsed="" customFormat="false" customHeight="1" hidden="" ht="14" outlineLevel="0" r="27113">
      <c r="A27113" s="3" t="inlineStr">
        <is>
          <t>26997</t>
        </is>
      </c>
      <c r="B27113" s="4" t="s">
        <f>=HYPERLINK("http://anyluxury.ru/shop/promo-suveniry/brelki/remuvka-dominus-m-sinyaya-1651644/" , "16516.44 Ремувка Dominus, М, синяя")</f>
      </c>
      <c r="C27113" s="4" t="n">
        <v>161.00</v>
      </c>
      <c r="D27113" s="4"/>
    </row>
    <row collapsed="" customFormat="false" customHeight="1" hidden="" ht="14" outlineLevel="0" r="27114">
      <c r="A27114" s="3" t="inlineStr">
        <is>
          <t>26998</t>
        </is>
      </c>
      <c r="B27114" s="4" t="s">
        <f>=HYPERLINK("http://anyluxury.ru/shop/promo-suveniry/brelki/remuvka-dominus-m-zeleniy-neon-1651694/" , "16516.94 Ремувка Dominus, М, зеленый неон")</f>
      </c>
      <c r="C27114" s="4" t="n">
        <v>161.00</v>
      </c>
      <c r="D27114" s="4"/>
    </row>
    <row collapsed="" customFormat="false" customHeight="1" hidden="" ht="14" outlineLevel="0" r="27115">
      <c r="A27115" s="3" t="inlineStr">
        <is>
          <t>26999</t>
        </is>
      </c>
      <c r="B27115" s="4" t="s">
        <f>=HYPERLINK("http://anyluxury.ru/shop/promo-suveniry/brelki/remuvka-dominus-m-zheltiy-neon-1651689/" , "16516.89 Ремувка Dominus, М, желтый неон")</f>
      </c>
      <c r="C27115" s="4" t="n">
        <v>161.00</v>
      </c>
      <c r="D27115" s="4"/>
    </row>
    <row collapsed="" customFormat="false" customHeight="1" hidden="" ht="14" outlineLevel="0" r="27116">
      <c r="A27116" s="3" t="inlineStr">
        <is>
          <t>27000</t>
        </is>
      </c>
      <c r="B27116" s="4" t="s">
        <f>=HYPERLINK("http://anyluxury.ru/shop/promo-suveniry/brelki/remuvka-dominus-m-oranzheviy-neon-1651622/" , "16516.22 Ремувка Dominus, М, оранжевый неон")</f>
      </c>
      <c r="C27116" s="4" t="n">
        <v>161.00</v>
      </c>
      <c r="D27116" s="4"/>
    </row>
    <row collapsed="" customFormat="false" customHeight="1" hidden="" ht="14" outlineLevel="0" r="27117">
      <c r="A27117" s="3" t="inlineStr">
        <is>
          <t>27001</t>
        </is>
      </c>
      <c r="B27117" s="4" t="s">
        <f>=HYPERLINK("http://anyluxury.ru/shop/promo-suveniry/brelki/remuvka-dominus-m-temnosinyaya-1651643/" , "16516.43 Ремувка Dominus, М, темно-синяя")</f>
      </c>
      <c r="C27117" s="4" t="n">
        <v>161.00</v>
      </c>
      <c r="D27117" s="4"/>
    </row>
    <row collapsed="" customFormat="false" customHeight="1" hidden="" ht="14" outlineLevel="0" r="27118">
      <c r="A27118" s="3" t="inlineStr">
        <is>
          <t>27002</t>
        </is>
      </c>
      <c r="B27118" s="4" t="s">
        <f>=HYPERLINK("http://anyluxury.ru/shop/promo-suveniry/brelki/brelokfonarik-vivid-ver2-beliy-s-chernim-1569760/" , "15697.60 Брелок-фонарик Vivid, ver.2, белый с черным")</f>
      </c>
      <c r="C27118" s="4" t="n">
        <v>109.00</v>
      </c>
      <c r="D27118" s="4"/>
    </row>
    <row collapsed="" customFormat="false" customHeight="1" hidden="" ht="14" outlineLevel="0" r="27119">
      <c r="A27119" s="3" t="inlineStr">
        <is>
          <t>27003</t>
        </is>
      </c>
      <c r="B27119" s="4" t="s">
        <f>=HYPERLINK("http://anyluxury.ru/shop/promo-suveniry/brelki/brelokfonarik-vivid-ver2-cherniy-s-belim-1569730/" , "15697.30 Брелок-фонарик Vivid, ver.2, черный с белым")</f>
      </c>
      <c r="C27119" s="4" t="n">
        <v>109.00</v>
      </c>
      <c r="D27119" s="4"/>
    </row>
    <row collapsed="" customFormat="false" customHeight="1" hidden="" ht="14" outlineLevel="0" r="27120">
      <c r="A27120" s="3" t="inlineStr">
        <is>
          <t>27004</t>
        </is>
      </c>
      <c r="B27120" s="4" t="s">
        <f>=HYPERLINK("http://anyluxury.ru/shop/promo-suveniry/brelki/brelok-circle-amulet-ver2-15933/" , "15933 Брелок Circle Amulet, ver.2")</f>
      </c>
      <c r="C27120" s="4" t="n">
        <v>199.00</v>
      </c>
      <c r="D27120" s="4"/>
    </row>
    <row collapsed="" customFormat="false" customHeight="1" hidden="" ht="14" outlineLevel="0" r="27121">
      <c r="A27121" s="3" t="inlineStr">
        <is>
          <t>27005</t>
        </is>
      </c>
      <c r="B27121" s="4" t="s">
        <f>=HYPERLINK("http://anyluxury.ru/shop/promo-suveniry/brelki/brelok-amulet-ver2-15935/" , "15935 Брелок Amulet, ver.2")</f>
      </c>
      <c r="C27121" s="4" t="n">
        <v>199.00</v>
      </c>
      <c r="D27121" s="4"/>
    </row>
    <row collapsed="" customFormat="false" customHeight="1" hidden="" ht="14" outlineLevel="0" r="27122">
      <c r="A27122" s="3" t="inlineStr">
        <is>
          <t>27006</t>
        </is>
      </c>
      <c r="B27122" s="4" t="s">
        <f>=HYPERLINK("http://anyluxury.ru/shop/promo-suveniry/brelki/brelok-kernel-ver2-15664/" , "15664 Брелок Kernel, ver.2")</f>
      </c>
      <c r="C27122" s="4" t="n">
        <v>219.00</v>
      </c>
      <c r="D27122" s="4"/>
    </row>
    <row collapsed="" customFormat="false" customHeight="1" hidden="" ht="14" outlineLevel="0" r="27123">
      <c r="A27123" s="3" t="inlineStr">
        <is>
          <t>27007</t>
        </is>
      </c>
      <c r="B27123" s="4" t="s">
        <f>=HYPERLINK("http://anyluxury.ru/shop/promo-suveniry/brelki/brelok-wood-token-ver2-1566555/" , "15665.55 Брелок Wood Token, ver.2")</f>
      </c>
      <c r="C27123" s="4" t="n">
        <v>209.00</v>
      </c>
      <c r="D27123" s="4"/>
    </row>
    <row collapsed="" customFormat="false" customHeight="1" hidden="" ht="14" outlineLevel="0" r="27124">
      <c r="A27124" s="3" t="inlineStr">
        <is>
          <t>27008</t>
        </is>
      </c>
      <c r="B27124" s="4" t="s">
        <f>=HYPERLINK("http://anyluxury.ru/shop/promo-suveniry/brelki/brelok-brown-lodge-ver3-korichneviy-1566655/" , "15666.55 Брелок Brown Lodge, ver.3, коричневый")</f>
      </c>
      <c r="C27124" s="4" t="n">
        <v>209.00</v>
      </c>
      <c r="D27124" s="4"/>
    </row>
    <row collapsed="" customFormat="false" customHeight="1" hidden="" ht="14" outlineLevel="0" r="27125">
      <c r="A27125" s="3" t="inlineStr">
        <is>
          <t>27009</t>
        </is>
      </c>
      <c r="B27125" s="4" t="s">
        <f>=HYPERLINK("http://anyluxury.ru/shop/promo-suveniry/brelki/brelok-novel-ver4-krasniy-1566750/" , "15667.50 Брелок Novel, ver.4, красный")</f>
      </c>
      <c r="C27125" s="4" t="n">
        <v>219.00</v>
      </c>
      <c r="D27125" s="4"/>
    </row>
    <row collapsed="" customFormat="false" customHeight="1" hidden="" ht="14" outlineLevel="0" r="27126">
      <c r="A27126" s="3" t="inlineStr">
        <is>
          <t>27010</t>
        </is>
      </c>
      <c r="B27126" s="4" t="s">
        <f>=HYPERLINK("http://anyluxury.ru/shop/promo-suveniry/brelki/brelok-wood-sircle-ver-2-15679/" , "15679 Брелок Wood Сircle ver. 2")</f>
      </c>
      <c r="C27126" s="4" t="n">
        <v>239.00</v>
      </c>
      <c r="D27126" s="4"/>
    </row>
    <row collapsed="" customFormat="false" customHeight="1" hidden="" ht="14" outlineLevel="0" r="27127">
      <c r="A27127" s="3" t="inlineStr">
        <is>
          <t>27011</t>
        </is>
      </c>
      <c r="B27127" s="4" t="s">
        <f>=HYPERLINK("http://anyluxury.ru/shop/promo-suveniry/brelki/brelok-klappe-15741/" , "15741 Брелок Klappe")</f>
      </c>
      <c r="C27127" s="4" t="n">
        <v>219.00</v>
      </c>
      <c r="D27127" s="4"/>
    </row>
    <row collapsed="" customFormat="false" customHeight="1" hidden="" ht="14" outlineLevel="0" r="27128">
      <c r="A27128" s="3" t="inlineStr">
        <is>
          <t>27012</t>
        </is>
      </c>
      <c r="B27128" s="4" t="s">
        <f>=HYPERLINK("http://anyluxury.ru/shop/promo-suveniry/brelki/brelok-wood-rectangle-ver3-15680/" , "15680 Брелок Wood Rectangle, ver.3")</f>
      </c>
      <c r="C27128" s="4" t="n">
        <v>229.00</v>
      </c>
      <c r="D27128" s="4"/>
    </row>
    <row collapsed="" customFormat="false" customHeight="1" hidden="" ht="14" outlineLevel="0" r="27129">
      <c r="A27129" s="3" t="inlineStr">
        <is>
          <t>27013</t>
        </is>
      </c>
      <c r="B27129" s="4" t="s">
        <f>=HYPERLINK("http://anyluxury.ru/shop/promo-suveniry/brelki/brelokderzhatel-dlya-telefona-ruoko-16381/" , "16381 Брелок-держатель для телефона Ruoko")</f>
      </c>
      <c r="C27129" s="4" t="n">
        <v>129.00</v>
      </c>
      <c r="D27129" s="4"/>
    </row>
    <row collapsed="" customFormat="false" customHeight="" hidden="" ht="12.1" outlineLevel="0" r="27130">
      <c r="A27130" s="5" t="inlineStr">
        <is>
          <t> -  - Зеркала</t>
        </is>
      </c>
      <c r="B27130" s="6"/>
      <c r="C27130" s="6"/>
      <c r="D27130" s="6"/>
    </row>
    <row collapsed="" customFormat="false" customHeight="" hidden="" ht="12.1" outlineLevel="0" r="27131">
      <c r="A27131" s="5" t="inlineStr">
        <is>
          <t> -  - Промопродукция</t>
        </is>
      </c>
      <c r="B27131" s="6"/>
      <c r="C27131" s="6"/>
      <c r="D27131" s="6"/>
    </row>
    <row collapsed="" customFormat="false" customHeight="1" hidden="" ht="14" outlineLevel="0" r="27132">
      <c r="A27132" s="3" t="inlineStr">
        <is>
          <t>27014</t>
        </is>
      </c>
      <c r="B27132" s="4" t="s">
        <f>=HYPERLINK("http://anyluxury.ru/shop/promo-suveniry/promoproduktsiya/brelokfonarik-vivid-beliy-560260/" , "5602.60 Брелок-фонарик Vivid, белый")</f>
      </c>
      <c r="C27132" s="4" t="n">
        <v>109.00</v>
      </c>
      <c r="D27132" s="4"/>
    </row>
    <row collapsed="" customFormat="false" customHeight="1" hidden="" ht="14" outlineLevel="0" r="27133">
      <c r="A27133" s="3" t="inlineStr">
        <is>
          <t>27015</t>
        </is>
      </c>
      <c r="B27133" s="4" t="s">
        <f>=HYPERLINK("http://anyluxury.ru/shop/promo-suveniry/promoproduktsiya/brelokfonarik-vivid-krasniy-560250/" , "5602.50 Брелок-фонарик Vivid, красный")</f>
      </c>
      <c r="C27133" s="4" t="n">
        <v>109.00</v>
      </c>
      <c r="D27133" s="4"/>
    </row>
    <row collapsed="" customFormat="false" customHeight="1" hidden="" ht="14" outlineLevel="0" r="27134">
      <c r="A27134" s="3" t="inlineStr">
        <is>
          <t>27016</t>
        </is>
      </c>
      <c r="B27134" s="4" t="s">
        <f>=HYPERLINK("http://anyluxury.ru/shop/promo-suveniry/promoproduktsiya/brelokfonarik-vivid-siniy-560240/" , "5602.40 Брелок-фонарик Vivid, синий")</f>
      </c>
      <c r="C27134" s="4" t="n">
        <v>109.00</v>
      </c>
      <c r="D27134" s="4"/>
    </row>
    <row collapsed="" customFormat="false" customHeight="1" hidden="" ht="14" outlineLevel="0" r="27135">
      <c r="A27135" s="3" t="inlineStr">
        <is>
          <t>27017</t>
        </is>
      </c>
      <c r="B27135" s="4" t="s">
        <f>=HYPERLINK("http://anyluxury.ru/shop/promo-suveniry/promoproduktsiya/zerkalo-fairest-chernoe-7413630/" , "74136.30 Зеркало Fairest, черное")</f>
      </c>
      <c r="C27135" s="4" t="n">
        <v>40.70</v>
      </c>
      <c r="D27135" s="4"/>
    </row>
    <row collapsed="" customFormat="false" customHeight="1" hidden="" ht="14" outlineLevel="0" r="27136">
      <c r="A27136" s="3" t="inlineStr">
        <is>
          <t>27018</t>
        </is>
      </c>
      <c r="B27136" s="4" t="s">
        <f>=HYPERLINK("http://anyluxury.ru/shop/promo-suveniry/promoproduktsiya/zerkalo-fairest-rozovoe-7413615/" , "74136.15 Зеркало Fairest, розовое")</f>
      </c>
      <c r="C27136" s="4" t="n">
        <v>40.70</v>
      </c>
      <c r="D27136" s="4"/>
    </row>
    <row collapsed="" customFormat="false" customHeight="1" hidden="" ht="14" outlineLevel="0" r="27137">
      <c r="A27137" s="3" t="inlineStr">
        <is>
          <t>27019</t>
        </is>
      </c>
      <c r="B27137" s="4" t="s">
        <f>=HYPERLINK("http://anyluxury.ru/shop/promo-suveniry/promoproduktsiya/rascheska-s-zerkalom-blanche-noir-belaya-s-chernim-7413836/" , "74138.36 Расческа с зеркалом Blanche Noir, белая с черным")</f>
      </c>
      <c r="C27137" s="4" t="n">
        <v>96.70</v>
      </c>
      <c r="D27137" s="4"/>
    </row>
    <row collapsed="" customFormat="false" customHeight="1" hidden="" ht="14" outlineLevel="0" r="27138">
      <c r="A27138" s="3" t="inlineStr">
        <is>
          <t>27020</t>
        </is>
      </c>
      <c r="B27138" s="4" t="s">
        <f>=HYPERLINK("http://anyluxury.ru/shop/promo-suveniry/promoproduktsiya/tabletnica-sehr-gesund-belaya-7414960/" , "74149.60 Таблетница Sehr Gesund, белая")</f>
      </c>
      <c r="C27138" s="4" t="n">
        <v>97.00</v>
      </c>
      <c r="D27138" s="4"/>
    </row>
    <row collapsed="" customFormat="false" customHeight="1" hidden="" ht="14" outlineLevel="0" r="27139">
      <c r="A27139" s="3" t="inlineStr">
        <is>
          <t>27021</t>
        </is>
      </c>
      <c r="B27139" s="4" t="s">
        <f>=HYPERLINK("http://anyluxury.ru/shop/promo-suveniry/promoproduktsiya/nalobniy-fonar-h32-1202630/" , "12026.30 Налобный фонарь H3.2")</f>
      </c>
      <c r="C27139" s="4" t="n">
        <v>2690.00</v>
      </c>
      <c r="D27139" s="4"/>
    </row>
    <row collapsed="" customFormat="false" customHeight="1" hidden="" ht="14" outlineLevel="0" r="27140">
      <c r="A27140" s="3" t="inlineStr">
        <is>
          <t>27022</t>
        </is>
      </c>
      <c r="B27140" s="4" t="s">
        <f>=HYPERLINK("http://anyluxury.ru/shop/promo-suveniry/promoproduktsiya/nalobniy-fonar-h6-1202730/" , "12027.30 Налобный фонарь H6")</f>
      </c>
      <c r="C27140" s="4" t="n">
        <v>4460.00</v>
      </c>
      <c r="D27140" s="4"/>
    </row>
    <row collapsed="" customFormat="false" customHeight="1" hidden="" ht="14" outlineLevel="0" r="27141">
      <c r="A27141" s="3" t="inlineStr">
        <is>
          <t>27023</t>
        </is>
      </c>
      <c r="B27141" s="4" t="s">
        <f>=HYPERLINK("http://anyluxury.ru/shop/promo-suveniry/promoproduktsiya/akkumulyatorniy-nalobniy-fonar-h8r-1202930/" , "12029.30 Аккумуляторный налобный фонарь H8R")</f>
      </c>
      <c r="C27141" s="4" t="n">
        <v>6350.00</v>
      </c>
      <c r="D27141" s="4"/>
    </row>
    <row collapsed="" customFormat="false" customHeight="1" hidden="" ht="14" outlineLevel="0" r="27142">
      <c r="A27142" s="3" t="inlineStr">
        <is>
          <t>27024</t>
        </is>
      </c>
      <c r="B27142" s="4" t="s">
        <f>=HYPERLINK("http://anyluxury.ru/shop/promo-suveniry/promoproduktsiya/akkumulyatorniy-fonar-i7r-1203030/" , "12030.30 Аккумуляторный фонарь I7R")</f>
      </c>
      <c r="C27142" s="4" t="n">
        <v>5110.00</v>
      </c>
      <c r="D27142" s="4"/>
    </row>
    <row collapsed="" customFormat="false" customHeight="1" hidden="" ht="14" outlineLevel="0" r="27143">
      <c r="A27143" s="3" t="inlineStr">
        <is>
          <t>27025</t>
        </is>
      </c>
      <c r="B27143" s="4" t="s">
        <f>=HYPERLINK("http://anyluxury.ru/shop/promo-suveniry/promoproduktsiya/fonarikbrelok-k1-1203130/" , "12031.30 Фонарик-брелок K1")</f>
      </c>
      <c r="C27143" s="4" t="n">
        <v>990.00</v>
      </c>
      <c r="D27143" s="4"/>
    </row>
    <row collapsed="" customFormat="false" customHeight="1" hidden="" ht="14" outlineLevel="0" r="27144">
      <c r="A27144" s="3" t="inlineStr">
        <is>
          <t>27026</t>
        </is>
      </c>
      <c r="B27144" s="4" t="s">
        <f>=HYPERLINK("http://anyluxury.ru/shop/promo-suveniry/promoproduktsiya/fonarikbrelok-k3-1203230/" , "12032.30 Фонарик-брелок K3")</f>
      </c>
      <c r="C27144" s="4" t="n">
        <v>1750.00</v>
      </c>
      <c r="D27144" s="4"/>
    </row>
    <row collapsed="" customFormat="false" customHeight="1" hidden="" ht="14" outlineLevel="0" r="27145">
      <c r="A27145" s="3" t="inlineStr">
        <is>
          <t>27027</t>
        </is>
      </c>
      <c r="B27145" s="4" t="s">
        <f>=HYPERLINK("http://anyluxury.ru/shop/promo-suveniry/promoproduktsiya/professionalniy-fonarik-l7-1203330/" , "12033.30 Профессиональный фонарик L7")</f>
      </c>
      <c r="C27145" s="4" t="n">
        <v>2690.00</v>
      </c>
      <c r="D27145" s="4"/>
    </row>
    <row collapsed="" customFormat="false" customHeight="1" hidden="" ht="14" outlineLevel="0" r="27146">
      <c r="A27146" s="3" t="inlineStr">
        <is>
          <t>27028</t>
        </is>
      </c>
      <c r="B27146" s="4" t="s">
        <f>=HYPERLINK("http://anyluxury.ru/shop/promo-suveniry/promoproduktsiya/nalobniy-fonar-mh3-zeleniy-s-belim-1203490/" , "12034.90 Налобный фонарь MH3, зеленый с белым")</f>
      </c>
      <c r="C27146" s="4" t="n">
        <v>2860.00</v>
      </c>
      <c r="D27146" s="4"/>
    </row>
    <row collapsed="" customFormat="false" customHeight="1" hidden="" ht="14" outlineLevel="0" r="27147">
      <c r="A27147" s="3" t="inlineStr">
        <is>
          <t>27029</t>
        </is>
      </c>
      <c r="B27147" s="4" t="s">
        <f>=HYPERLINK("http://anyluxury.ru/shop/promo-suveniry/promoproduktsiya/akkumulyatorniy-nalobniy-fonar-mh7-cherniy-s-serim-1203530/" , "12035.30 Аккумуляторный налобный фонарь MH7, черный с серым")</f>
      </c>
      <c r="C27147" s="4" t="n">
        <v>6350.00</v>
      </c>
      <c r="D27147" s="4"/>
    </row>
    <row collapsed="" customFormat="false" customHeight="1" hidden="" ht="14" outlineLevel="0" r="27148">
      <c r="A27148" s="3" t="inlineStr">
        <is>
          <t>27030</t>
        </is>
      </c>
      <c r="B27148" s="4" t="s">
        <f>=HYPERLINK("http://anyluxury.ru/shop/promo-suveniry/promoproduktsiya/fonarik-mt6-1203630/" , "12036.30 Фонарик MT6")</f>
      </c>
      <c r="C27148" s="4" t="n">
        <v>8000.00</v>
      </c>
      <c r="D27148" s="4"/>
    </row>
    <row collapsed="" customFormat="false" customHeight="1" hidden="" ht="14" outlineLevel="0" r="27149">
      <c r="A27149" s="3" t="inlineStr">
        <is>
          <t>27031</t>
        </is>
      </c>
      <c r="B27149" s="4" t="s">
        <f>=HYPERLINK("http://anyluxury.ru/shop/promo-suveniry/promoproduktsiya/akkumulyatorniy-fonarik-mt10-1203730/" , "12037.30 Аккумуляторный фонарик MT10")</f>
      </c>
      <c r="C27149" s="4" t="n">
        <v>7030.00</v>
      </c>
      <c r="D27149" s="4"/>
    </row>
    <row collapsed="" customFormat="false" customHeight="1" hidden="" ht="14" outlineLevel="0" r="27150">
      <c r="A27150" s="3" t="inlineStr">
        <is>
          <t>27032</t>
        </is>
      </c>
      <c r="B27150" s="4" t="s">
        <f>=HYPERLINK("http://anyluxury.ru/shop/promo-suveniry/promoproduktsiya/akkumulyatorniy-fonarik-mt14-1203930/" , "12039.30 Аккумуляторный фонарик MT14")</f>
      </c>
      <c r="C27150" s="4" t="n">
        <v>8540.00</v>
      </c>
      <c r="D27150" s="4"/>
    </row>
    <row collapsed="" customFormat="false" customHeight="1" hidden="" ht="14" outlineLevel="0" r="27151">
      <c r="A27151" s="3" t="inlineStr">
        <is>
          <t>27033</t>
        </is>
      </c>
      <c r="B27151" s="4" t="s">
        <f>=HYPERLINK("http://anyluxury.ru/shop/promo-suveniry/promoproduktsiya/akkumulyatorniy-fonarik-mt14-s-aksessuarami-1204030/" , "12040.30 Аккумуляторный фонарик MT14, с аксессуарами")</f>
      </c>
      <c r="C27151" s="4" t="n">
        <v>11400.00</v>
      </c>
      <c r="D27151" s="4"/>
    </row>
    <row collapsed="" customFormat="false" customHeight="1" hidden="" ht="14" outlineLevel="0" r="27152">
      <c r="A27152" s="3" t="inlineStr">
        <is>
          <t>27034</t>
        </is>
      </c>
      <c r="B27152" s="4" t="s">
        <f>=HYPERLINK("http://anyluxury.ru/shop/promo-suveniry/promoproduktsiya/kempingoviy-fonar-ml6-1204130/" , "12041.30 Кемпинговый фонарь ML6")</f>
      </c>
      <c r="C27152" s="4" t="n">
        <v>7310.00</v>
      </c>
      <c r="D27152" s="4"/>
    </row>
    <row collapsed="" customFormat="false" customHeight="1" hidden="" ht="14" outlineLevel="0" r="27153">
      <c r="A27153" s="3" t="inlineStr">
        <is>
          <t>27035</t>
        </is>
      </c>
      <c r="B27153" s="4" t="s">
        <f>=HYPERLINK("http://anyluxury.ru/shop/promo-suveniry/promoproduktsiya/kempingoviy-fonar-pl6-1204230/" , "12042.30 Кемпинговый фонарь PL6")</f>
      </c>
      <c r="C27153" s="4" t="n">
        <v>6390.00</v>
      </c>
      <c r="D27153" s="4"/>
    </row>
    <row collapsed="" customFormat="false" customHeight="1" hidden="" ht="14" outlineLevel="0" r="27154">
      <c r="A27154" s="3" t="inlineStr">
        <is>
          <t>27036</t>
        </is>
      </c>
      <c r="B27154" s="4" t="s">
        <f>=HYPERLINK("http://anyluxury.ru/shop/promo-suveniry/promoproduktsiya/fonarik-p14-1204530/" , "12045.30 Фонарик P14")</f>
      </c>
      <c r="C27154" s="4" t="n">
        <v>5910.00</v>
      </c>
      <c r="D27154" s="4"/>
    </row>
    <row collapsed="" customFormat="false" customHeight="1" hidden="" ht="14" outlineLevel="0" r="27155">
      <c r="A27155" s="3" t="inlineStr">
        <is>
          <t>27037</t>
        </is>
      </c>
      <c r="B27155" s="4" t="s">
        <f>=HYPERLINK("http://anyluxury.ru/shop/promo-suveniry/promoproduktsiya/fonarik-p17-1204630/" , "12046.30 Фонарик P17")</f>
      </c>
      <c r="C27155" s="4" t="n">
        <v>7030.00</v>
      </c>
      <c r="D27155" s="4"/>
    </row>
    <row collapsed="" customFormat="false" customHeight="1" hidden="" ht="14" outlineLevel="0" r="27156">
      <c r="A27156" s="3" t="inlineStr">
        <is>
          <t>27038</t>
        </is>
      </c>
      <c r="B27156" s="4" t="s">
        <f>=HYPERLINK("http://anyluxury.ru/shop/promo-suveniry/promoproduktsiya/fonarik-p4-1204830/" , "12048.30 Фонарик P4")</f>
      </c>
      <c r="C27156" s="4" t="n">
        <v>1610.00</v>
      </c>
      <c r="D27156" s="4"/>
    </row>
    <row collapsed="" customFormat="false" customHeight="1" hidden="" ht="14" outlineLevel="0" r="27157">
      <c r="A27157" s="3" t="inlineStr">
        <is>
          <t>27039</t>
        </is>
      </c>
      <c r="B27157" s="4" t="s">
        <f>=HYPERLINK("http://anyluxury.ru/shop/promo-suveniry/promoproduktsiya/fonarik-p5r-1204930/" , "12049.30 Фонарик P5R")</f>
      </c>
      <c r="C27157" s="4" t="n">
        <v>6800.00</v>
      </c>
      <c r="D27157" s="4"/>
    </row>
    <row collapsed="" customFormat="false" customHeight="1" hidden="" ht="14" outlineLevel="0" r="27158">
      <c r="A27158" s="3" t="inlineStr">
        <is>
          <t>27040</t>
        </is>
      </c>
      <c r="B27158" s="4" t="s">
        <f>=HYPERLINK("http://anyluxury.ru/shop/promo-suveniry/promoproduktsiya/fonarik-t52-1205030/" , "12050.30 Фонарик T5.2")</f>
      </c>
      <c r="C27158" s="4" t="n">
        <v>3313.00</v>
      </c>
      <c r="D27158" s="4"/>
    </row>
    <row collapsed="" customFormat="false" customHeight="1" hidden="" ht="14" outlineLevel="0" r="27159">
      <c r="A27159" s="3" t="inlineStr">
        <is>
          <t>27041</t>
        </is>
      </c>
      <c r="B27159" s="4" t="s">
        <f>=HYPERLINK("http://anyluxury.ru/shop/promo-suveniry/promoproduktsiya/professionalniy-fonarik-t72-1205130/" , "12051.30 Профессиональный фонарик T7.2")</f>
      </c>
      <c r="C27159" s="4" t="n">
        <v>4166.00</v>
      </c>
      <c r="D27159" s="4"/>
    </row>
    <row collapsed="" customFormat="false" customHeight="1" hidden="" ht="14" outlineLevel="0" r="27160">
      <c r="A27160" s="3" t="inlineStr">
        <is>
          <t>27042</t>
        </is>
      </c>
      <c r="B27160" s="4" t="s">
        <f>=HYPERLINK("http://anyluxury.ru/shop/promo-suveniry/promoproduktsiya/fonarik-s-fokusirovkoy-lucha-beaming-siniy-1042240/" , "10422.40 Фонарик с фокусировкой луча Beaming, синий")</f>
      </c>
      <c r="C27160" s="4" t="n">
        <v>350.00</v>
      </c>
      <c r="D27160" s="4"/>
    </row>
    <row collapsed="" customFormat="false" customHeight="1" hidden="" ht="14" outlineLevel="0" r="27161">
      <c r="A27161" s="3" t="inlineStr">
        <is>
          <t>27043</t>
        </is>
      </c>
      <c r="B27161" s="4" t="s">
        <f>=HYPERLINK("http://anyluxury.ru/shop/promo-suveniry/promoproduktsiya/fonarik-s-fokusirovkoy-lucha-beaming-cherniy-1042230/" , "10422.30 Фонарик с фокусировкой луча Beaming, черный")</f>
      </c>
      <c r="C27161" s="4" t="n">
        <v>350.00</v>
      </c>
      <c r="D27161" s="4"/>
    </row>
    <row collapsed="" customFormat="false" customHeight="1" hidden="" ht="14" outlineLevel="0" r="27162">
      <c r="A27162" s="3" t="inlineStr">
        <is>
          <t>27044</t>
        </is>
      </c>
      <c r="B27162" s="4" t="s">
        <f>=HYPERLINK("http://anyluxury.ru/shop/promo-suveniry/promoproduktsiya/fonarikfakel-lightstream-maliy-cherniy-1042030/" , "10420.30 Фонарик-факел LightStream, малый, черный")</f>
      </c>
      <c r="C27162" s="4" t="n">
        <v>395.00</v>
      </c>
      <c r="D27162" s="4"/>
    </row>
    <row collapsed="" customFormat="false" customHeight="1" hidden="" ht="14" outlineLevel="0" r="27163">
      <c r="A27163" s="3" t="inlineStr">
        <is>
          <t>27045</t>
        </is>
      </c>
      <c r="B27163" s="4" t="s">
        <f>=HYPERLINK("http://anyluxury.ru/shop/promo-suveniry/promoproduktsiya/fonarikfakel-lightstream-maliy-seriy-1042010/" , "10420.10 Фонарик-факел LightStream, малый, серый")</f>
      </c>
      <c r="C27163" s="4" t="n">
        <v>395.00</v>
      </c>
      <c r="D27163" s="4"/>
    </row>
    <row collapsed="" customFormat="false" customHeight="1" hidden="" ht="14" outlineLevel="0" r="27164">
      <c r="A27164" s="3" t="inlineStr">
        <is>
          <t>27046</t>
        </is>
      </c>
      <c r="B27164" s="4" t="s">
        <f>=HYPERLINK("http://anyluxury.ru/shop/promo-suveniry/promoproduktsiya/fonarikfakel-lightstream-maliy-siniy-1042040/" , "10420.40 Фонарик-факел LightStream, малый, синий")</f>
      </c>
      <c r="C27164" s="4" t="n">
        <v>395.00</v>
      </c>
      <c r="D27164" s="4"/>
    </row>
    <row collapsed="" customFormat="false" customHeight="1" hidden="" ht="14" outlineLevel="0" r="27165">
      <c r="A27165" s="3" t="inlineStr">
        <is>
          <t>27047</t>
        </is>
      </c>
      <c r="B27165" s="4" t="s">
        <f>=HYPERLINK("http://anyluxury.ru/shop/promo-suveniry/promoproduktsiya/prozrachniy-ekran-dlya-lica-barrier-nemedicinskiy-s-siney-lentoy-1711240/" , "17112.40 Прозрачный экран для лица Barrier, немедицинский, с синей лентой")</f>
      </c>
      <c r="C27165" s="4" t="n">
        <v>294.00</v>
      </c>
      <c r="D27165" s="4"/>
    </row>
    <row collapsed="" customFormat="false" customHeight="1" hidden="" ht="14" outlineLevel="0" r="27166">
      <c r="A27166" s="3" t="inlineStr">
        <is>
          <t>27048</t>
        </is>
      </c>
      <c r="B27166" s="4" t="s">
        <f>=HYPERLINK("http://anyluxury.ru/shop/promo-suveniry/promoproduktsiya/prozrachniy-ekran-dlya-lica-barrier-nemedicinskiy-s-krasnoy-lentoy-1711250/" , "17112.50 Прозрачный экран для лица Barrier, немедицинский, с красной лентой")</f>
      </c>
      <c r="C27166" s="4" t="n">
        <v>294.00</v>
      </c>
      <c r="D27166" s="4"/>
    </row>
    <row collapsed="" customFormat="false" customHeight="1" hidden="" ht="14" outlineLevel="0" r="27167">
      <c r="A27167" s="3" t="inlineStr">
        <is>
          <t>27049</t>
        </is>
      </c>
      <c r="B27167" s="4" t="s">
        <f>=HYPERLINK("http://anyluxury.ru/shop/promo-suveniry/promoproduktsiya/prozrachniy-ekran-dlya-lica-barrier-nemedicinskiy-s-zelenoy-lentoy-1711290/" , "17112.90 Прозрачный экран для лица Barrier, немедицинский, с зеленой лентой")</f>
      </c>
      <c r="C27167" s="4" t="n">
        <v>294.00</v>
      </c>
      <c r="D27167" s="4"/>
    </row>
    <row collapsed="" customFormat="false" customHeight="1" hidden="" ht="14" outlineLevel="0" r="27168">
      <c r="A27168" s="3" t="inlineStr">
        <is>
          <t>27050</t>
        </is>
      </c>
      <c r="B27168" s="4" t="s">
        <f>=HYPERLINK("http://anyluxury.ru/shop/promo-suveniry/promoproduktsiya/prozrachniy-ekran-dlya-lica-barrier-nemedicinskiy-s-zheltoy-lentoy-1711280/" , "17112.80 Прозрачный экран для лица Barrier, немедицинский, с желтой лентой")</f>
      </c>
      <c r="C27168" s="4" t="n">
        <v>294.00</v>
      </c>
      <c r="D27168" s="4"/>
    </row>
    <row collapsed="" customFormat="false" customHeight="1" hidden="" ht="14" outlineLevel="0" r="27169">
      <c r="A27169" s="3" t="inlineStr">
        <is>
          <t>27051</t>
        </is>
      </c>
      <c r="B27169" s="4" t="s">
        <f>=HYPERLINK("http://anyluxury.ru/shop/promo-suveniry/promoproduktsiya/fonar-s-fokusirovkoy-lucha-skyddas-cherniy-1098630/" , "10986.30 Фонарь с фокусировкой луча Skyddas, черный")</f>
      </c>
      <c r="C27169" s="4" t="n">
        <v>2960.00</v>
      </c>
      <c r="D27169" s="4"/>
    </row>
    <row collapsed="" customFormat="false" customHeight="1" hidden="" ht="14" outlineLevel="0" r="27170">
      <c r="A27170" s="3" t="inlineStr">
        <is>
          <t>27052</t>
        </is>
      </c>
      <c r="B27170" s="4" t="s">
        <f>=HYPERLINK("http://anyluxury.ru/shop/promo-suveniry/promoproduktsiya/akkumulyatorniy-velosipedniy-fonar-markus-16055/" , "16055 Аккумуляторный велосипедный фонарь Markus")</f>
      </c>
      <c r="C27170" s="4" t="n">
        <v>640.00</v>
      </c>
      <c r="D27170" s="4"/>
    </row>
    <row collapsed="" customFormat="false" customHeight="1" hidden="" ht="14" outlineLevel="0" r="27171">
      <c r="A27171" s="3" t="inlineStr">
        <is>
          <t>27053</t>
        </is>
      </c>
      <c r="B27171" s="4" t="s">
        <f>=HYPERLINK("http://anyluxury.ru/shop/promo-suveniry/promoproduktsiya/brelokfonarik-just-ray-cherniy-1330430/" , "13304.30 Брелок-фонарик Just Ray, черный")</f>
      </c>
      <c r="C27171" s="4" t="n">
        <v>129.00</v>
      </c>
      <c r="D27171" s="4"/>
    </row>
    <row collapsed="" customFormat="false" customHeight="1" hidden="" ht="14" outlineLevel="0" r="27172">
      <c r="A27172" s="3" t="inlineStr">
        <is>
          <t>27054</t>
        </is>
      </c>
      <c r="B27172" s="4" t="s">
        <f>=HYPERLINK("http://anyluxury.ru/shop/promo-suveniry/promoproduktsiya/fonar-vodonepronicaemiy-ferei-xml2-cherniy-1427830/" , "14278.30 Фонарь водонепроницаемый Ferei XM-L2, черный")</f>
      </c>
      <c r="C27172" s="4" t="n">
        <v>18500.00</v>
      </c>
      <c r="D27172" s="4"/>
    </row>
    <row collapsed="" customFormat="false" customHeight="1" hidden="" ht="14" outlineLevel="0" r="27173">
      <c r="A27173" s="3" t="inlineStr">
        <is>
          <t>27055</t>
        </is>
      </c>
      <c r="B27173" s="4" t="s">
        <f>=HYPERLINK("http://anyluxury.ru/shop/promo-suveniry/promoproduktsiya/fonar-vodonepronicaemiy-ferei-w158iib-cherniy-s-teplim-svetom-1427930/" , "14279.30 Фонарь водонепроницаемый Ferei W158IIB, черный, с теплым светом")</f>
      </c>
      <c r="C27173" s="4" t="n">
        <v>10850.00</v>
      </c>
      <c r="D27173" s="4"/>
    </row>
    <row collapsed="" customFormat="false" customHeight="1" hidden="" ht="14" outlineLevel="0" r="27174">
      <c r="A27174" s="3" t="inlineStr">
        <is>
          <t>27056</t>
        </is>
      </c>
      <c r="B27174" s="4" t="s">
        <f>=HYPERLINK("http://anyluxury.ru/shop/promo-suveniry/promoproduktsiya/fonar-vodonepronicaemiy-ferei-w158ii-cherniy-s-holodnim-svetom-1427931/" , "14279.31 Фонарь водонепроницаемый Ferei W158II, черный, с холодным светом")</f>
      </c>
      <c r="C27174" s="4" t="n">
        <v>9500.00</v>
      </c>
      <c r="D27174" s="4"/>
    </row>
    <row collapsed="" customFormat="false" customHeight="1" hidden="" ht="14" outlineLevel="0" r="27175">
      <c r="A27175" s="3" t="inlineStr">
        <is>
          <t>27057</t>
        </is>
      </c>
      <c r="B27175" s="4" t="s">
        <f>=HYPERLINK("http://anyluxury.ru/shop/promo-suveniry/promoproduktsiya/fonar-fenix-ht18-cherniy-1428130/" , "14281.30 Фонарь Fenix HT18, черный")</f>
      </c>
      <c r="C27175" s="4" t="n">
        <v>16500.00</v>
      </c>
      <c r="D27175" s="4"/>
    </row>
    <row collapsed="" customFormat="false" customHeight="1" hidden="" ht="14" outlineLevel="0" r="27176">
      <c r="A27176" s="3" t="inlineStr">
        <is>
          <t>27058</t>
        </is>
      </c>
      <c r="B27176" s="4" t="s">
        <f>=HYPERLINK("http://anyluxury.ru/shop/promo-suveniry/promoproduktsiya/myagkiy-kempingoviy-fonar-everglow-light-tube-maliy-1467301/" , "14673.01 Мягкий кемпинговый фонарь Everglow Light Tube, малый")</f>
      </c>
      <c r="C27176" s="4" t="n">
        <v>2270.00</v>
      </c>
      <c r="D27176" s="4"/>
    </row>
    <row collapsed="" customFormat="false" customHeight="1" hidden="" ht="14" outlineLevel="0" r="27177">
      <c r="A27177" s="3" t="inlineStr">
        <is>
          <t>27059</t>
        </is>
      </c>
      <c r="B27177" s="4" t="s">
        <f>=HYPERLINK("http://anyluxury.ru/shop/promo-suveniry/promoproduktsiya/myagkiy-kempingoviy-fonar-everglow-light-tube-sredniy-1467302/" , "14673.02 Мягкий кемпинговый фонарь Everglow Light Tube, средний")</f>
      </c>
      <c r="C27177" s="4" t="n">
        <v>3260.00</v>
      </c>
      <c r="D27177" s="4"/>
    </row>
    <row collapsed="" customFormat="false" customHeight="1" hidden="" ht="14" outlineLevel="0" r="27178">
      <c r="A27178" s="3" t="inlineStr">
        <is>
          <t>27060</t>
        </is>
      </c>
      <c r="B27178" s="4" t="s">
        <f>=HYPERLINK("http://anyluxury.ru/shop/promo-suveniry/promoproduktsiya/myagkiy-kempingoviy-fonar-everglow-light-tube-bolshoy-1467303/" , "14673.03 Мягкий кемпинговый фонарь Everglow Light Tube, большой")</f>
      </c>
      <c r="C27178" s="4" t="n">
        <v>4400.00</v>
      </c>
      <c r="D27178" s="4"/>
    </row>
    <row collapsed="" customFormat="false" customHeight="1" hidden="" ht="14" outlineLevel="0" r="27179">
      <c r="A27179" s="3" t="inlineStr">
        <is>
          <t>27061</t>
        </is>
      </c>
      <c r="B27179" s="4" t="s">
        <f>=HYPERLINK("http://anyluxury.ru/shop/promo-suveniry/promoproduktsiya/akkumulyatorniy-fonar-eco-beam-cherniy-1810530/" , "18105.30 Аккумуляторный фонарь Eco Beam, черный")</f>
      </c>
      <c r="C27179" s="4" t="n">
        <v>4598.00</v>
      </c>
      <c r="D27179" s="4"/>
    </row>
    <row collapsed="" customFormat="false" customHeight="1" hidden="" ht="14" outlineLevel="0" r="27180">
      <c r="A27180" s="3" t="inlineStr">
        <is>
          <t>27062</t>
        </is>
      </c>
      <c r="B27180" s="4" t="s">
        <f>=HYPERLINK("http://anyluxury.ru/shop/promo-suveniry/promoproduktsiya/nalobniy-fonar-night-walk-headlamp-cherniy-1523930/" , "15239.30 Налобный фонарь Night Walk Headlamp, черный")</f>
      </c>
      <c r="C27180" s="4" t="n">
        <v>3950.00</v>
      </c>
      <c r="D27180" s="4"/>
    </row>
    <row collapsed="" customFormat="false" customHeight="1" hidden="" ht="14" outlineLevel="0" r="27181">
      <c r="A27181" s="3" t="inlineStr">
        <is>
          <t>27063</t>
        </is>
      </c>
      <c r="B27181" s="4" t="s">
        <f>=HYPERLINK("http://anyluxury.ru/shop/promo-suveniry/promoproduktsiya/nalobniy-fonar-night-walk-headlamp-beliy-1523960/" , "15239.60 Налобный фонарь Night Walk Headlamp, белый")</f>
      </c>
      <c r="C27181" s="4" t="n">
        <v>3950.00</v>
      </c>
      <c r="D27181" s="4"/>
    </row>
    <row collapsed="" customFormat="false" customHeight="1" hidden="" ht="14" outlineLevel="0" r="27182">
      <c r="A27182" s="3" t="inlineStr">
        <is>
          <t>27064</t>
        </is>
      </c>
      <c r="B27182" s="4" t="s">
        <f>=HYPERLINK("http://anyluxury.ru/shop/promo-suveniry/promoproduktsiya/nalobniy-fonar-night-walk-headlamp-oranzheviy-1523920/" , "15239.20 Налобный фонарь Night Walk Headlamp, оранжевый")</f>
      </c>
      <c r="C27182" s="4" t="n">
        <v>3950.00</v>
      </c>
      <c r="D27182" s="4"/>
    </row>
    <row collapsed="" customFormat="false" customHeight="1" hidden="" ht="14" outlineLevel="0" r="27183">
      <c r="A27183" s="3" t="inlineStr">
        <is>
          <t>27065</t>
        </is>
      </c>
      <c r="B27183" s="4" t="s">
        <f>=HYPERLINK("http://anyluxury.ru/shop/promo-suveniry/promoproduktsiya/nalobniy-fonar-night-walk-headlamp-seriy-1523910/" , "15239.10 Налобный фонарь Night Walk Headlamp, серый")</f>
      </c>
      <c r="C27183" s="4" t="n">
        <v>3950.00</v>
      </c>
      <c r="D27183" s="4"/>
    </row>
    <row collapsed="" customFormat="false" customHeight="1" hidden="" ht="14" outlineLevel="0" r="27184">
      <c r="A27184" s="3" t="inlineStr">
        <is>
          <t>27066</t>
        </is>
      </c>
      <c r="B27184" s="4" t="s">
        <f>=HYPERLINK("http://anyluxury.ru/shop/promo-suveniry/promoproduktsiya/nalobniy-fonar-night-walk-headlamp-fioletoviy-1523970/" , "15239.70 Налобный фонарь Night Walk Headlamp, фиолетовый")</f>
      </c>
      <c r="C27184" s="4" t="n">
        <v>3950.00</v>
      </c>
      <c r="D27184" s="4"/>
    </row>
    <row collapsed="" customFormat="false" customHeight="1" hidden="" ht="14" outlineLevel="0" r="27185">
      <c r="A27185" s="3" t="inlineStr">
        <is>
          <t>27067</t>
        </is>
      </c>
      <c r="B27185" s="4" t="s">
        <f>=HYPERLINK("http://anyluxury.ru/shop/promo-suveniry/promoproduktsiya/akkumulyatorniy-fonar-eco-beam-pro-cherniy-2205630/" , "22056.30 Аккумуляторный фонарик Eco Beam Pro, черный")</f>
      </c>
      <c r="C27185" s="4" t="n">
        <v>4990.00</v>
      </c>
      <c r="D27185" s="4"/>
    </row>
    <row collapsed="" customFormat="false" customHeight="1" hidden="" ht="14" outlineLevel="0" r="27186">
      <c r="A27186" s="3" t="inlineStr">
        <is>
          <t>27068</t>
        </is>
      </c>
      <c r="B27186" s="4" t="s">
        <f>=HYPERLINK("http://anyluxury.ru/shop/promo-suveniry/promoproduktsiya/akkumulyatorniy-fonar-eco-knicklicht-cherniy-2241230/" , "22412.30 Аккумуляторный фонарь Eco Knicklicht, черный")</f>
      </c>
      <c r="C27186" s="4" t="n">
        <v>3565.00</v>
      </c>
      <c r="D27186" s="4"/>
    </row>
    <row collapsed="" customFormat="false" customHeight="" hidden="" ht="12.1" outlineLevel="0" r="27187">
      <c r="A27187" s="5" t="inlineStr">
        <is>
          <t> -  - Светоотражатели</t>
        </is>
      </c>
      <c r="B27187" s="6"/>
      <c r="C27187" s="6"/>
      <c r="D27187" s="6"/>
    </row>
    <row collapsed="" customFormat="false" customHeight="1" hidden="" ht="14" outlineLevel="0" r="27188">
      <c r="A27188" s="3" t="inlineStr">
        <is>
          <t>27069</t>
        </is>
      </c>
      <c r="B27188" s="4" t="s">
        <f>=HYPERLINK("http://anyluxury.ru/shop/promo-suveniry/svetootrazhateli/peshehodniy-svetootrazhatel-snezhinka-siniy-420940/" , "4209.40 Пешеходный светоотражатель «Снежинка», синий")</f>
      </c>
      <c r="C27188" s="4" t="n">
        <v>83.00</v>
      </c>
      <c r="D27188" s="4"/>
    </row>
    <row collapsed="" customFormat="false" customHeight="1" hidden="" ht="14" outlineLevel="0" r="27189">
      <c r="A27189" s="3" t="inlineStr">
        <is>
          <t>27070</t>
        </is>
      </c>
      <c r="B27189" s="4" t="s">
        <f>=HYPERLINK("http://anyluxury.ru/shop/promo-suveniry/svetootrazhateli/peshehodniy-svetootrazhatel-snezhinka-beliy-420960/" , "4209.60 Пешеходный светоотражатель «Снежинка», белый")</f>
      </c>
      <c r="C27189" s="4" t="n">
        <v>83.00</v>
      </c>
      <c r="D27189" s="4"/>
    </row>
    <row collapsed="" customFormat="false" customHeight="1" hidden="" ht="14" outlineLevel="0" r="27190">
      <c r="A27190" s="3" t="inlineStr">
        <is>
          <t>27071</t>
        </is>
      </c>
      <c r="B27190" s="4" t="s">
        <f>=HYPERLINK("http://anyluxury.ru/shop/promo-suveniry/svetootrazhateli/svetootrazhatel-futbolka-beliy-613360/" , "6133.60 Светоотражатель «Футболка», белый")</f>
      </c>
      <c r="C27190" s="4" t="n">
        <v>104.00</v>
      </c>
      <c r="D27190" s="4"/>
    </row>
    <row collapsed="" customFormat="false" customHeight="1" hidden="" ht="14" outlineLevel="0" r="27191">
      <c r="A27191" s="3" t="inlineStr">
        <is>
          <t>27072</t>
        </is>
      </c>
      <c r="B27191" s="4" t="s">
        <f>=HYPERLINK("http://anyluxury.ru/shop/promo-suveniry/svetootrazhateli/svetootrazhatel-futbolka-siniy-613340/" , "6133.40 Светоотражатель «Футболка», синий")</f>
      </c>
      <c r="C27191" s="4" t="n">
        <v>104.00</v>
      </c>
      <c r="D27191" s="4"/>
    </row>
    <row collapsed="" customFormat="false" customHeight="1" hidden="" ht="14" outlineLevel="0" r="27192">
      <c r="A27192" s="3" t="inlineStr">
        <is>
          <t>27073</t>
        </is>
      </c>
      <c r="B27192" s="4" t="s">
        <f>=HYPERLINK("http://anyluxury.ru/shop/promo-suveniry/svetootrazhateli/svetootrazhatel-kvadrat-beliy-613660/" , "6136.60 Светоотражатель «Квадрат», белый")</f>
      </c>
      <c r="C27192" s="4" t="n">
        <v>104.00</v>
      </c>
      <c r="D27192" s="4"/>
    </row>
    <row collapsed="" customFormat="false" customHeight="1" hidden="" ht="14" outlineLevel="0" r="27193">
      <c r="A27193" s="3" t="inlineStr">
        <is>
          <t>27074</t>
        </is>
      </c>
      <c r="B27193" s="4" t="s">
        <f>=HYPERLINK("http://anyluxury.ru/shop/promo-suveniry/svetootrazhateli/svetootrazhatel-kvadrat-neonzheltiy-613689/" , "6136.89 Светоотражатель «Квадрат», неон-желтый")</f>
      </c>
      <c r="C27193" s="4" t="n">
        <v>104.00</v>
      </c>
      <c r="D27193" s="4"/>
    </row>
    <row collapsed="" customFormat="false" customHeight="1" hidden="" ht="14" outlineLevel="0" r="27194">
      <c r="A27194" s="3" t="inlineStr">
        <is>
          <t>27075</t>
        </is>
      </c>
      <c r="B27194" s="4" t="s">
        <f>=HYPERLINK("http://anyluxury.ru/shop/promo-suveniry/svetootrazhateli/svetootrazhatel-kvadrat-oranzheviy-613620/" , "6136.20 Светоотражатель «Квадрат», оранжевый")</f>
      </c>
      <c r="C27194" s="4" t="n">
        <v>104.00</v>
      </c>
      <c r="D27194" s="4"/>
    </row>
    <row collapsed="" customFormat="false" customHeight="1" hidden="" ht="14" outlineLevel="0" r="27195">
      <c r="A27195" s="3" t="inlineStr">
        <is>
          <t>27076</t>
        </is>
      </c>
      <c r="B27195" s="4" t="s">
        <f>=HYPERLINK("http://anyluxury.ru/shop/promo-suveniry/svetootrazhateli/svetootrazhatel-futbolka-zeleniy-613390/" , "6133.90 Светоотражатель «Футболка», зеленый")</f>
      </c>
      <c r="C27195" s="4" t="n">
        <v>104.00</v>
      </c>
      <c r="D27195" s="4"/>
    </row>
    <row collapsed="" customFormat="false" customHeight="1" hidden="" ht="14" outlineLevel="0" r="27196">
      <c r="A27196" s="3" t="inlineStr">
        <is>
          <t>27077</t>
        </is>
      </c>
      <c r="B27196" s="4" t="s">
        <f>=HYPERLINK("http://anyluxury.ru/shop/promo-suveniry/svetootrazhateli/kreplenie-dlya-svetootrazhatelya-cepochka-15-sm-serebristaya-61611/" , "616.11 Крепление для светоотражателя — цепочка 15 см, серебристая")</f>
      </c>
      <c r="C27196" s="4" t="n">
        <v>11.50</v>
      </c>
      <c r="D27196" s="4"/>
    </row>
    <row collapsed="" customFormat="false" customHeight="1" hidden="" ht="14" outlineLevel="0" r="27197">
      <c r="A27197" s="3" t="inlineStr">
        <is>
          <t>27078</t>
        </is>
      </c>
      <c r="B27197" s="4" t="s">
        <f>=HYPERLINK("http://anyluxury.ru/shop/promo-suveniry/svetootrazhateli/svetootrazhatel-futbolka-neonzheltiy-613389/" , "6133.89 Светоотражатель «Футболка», неон-желтый")</f>
      </c>
      <c r="C27197" s="4" t="n">
        <v>104.00</v>
      </c>
      <c r="D27197" s="4"/>
    </row>
    <row collapsed="" customFormat="false" customHeight="1" hidden="" ht="14" outlineLevel="0" r="27198">
      <c r="A27198" s="3" t="inlineStr">
        <is>
          <t>27079</t>
        </is>
      </c>
      <c r="B27198" s="4" t="s">
        <f>=HYPERLINK("http://anyluxury.ru/shop/promo-suveniry/svetootrazhateli/svetootrazhatel-s-podsvetkoy-watch-out-zheltiy-1201780/" , "12017.80 Светоотражатель с подсветкой Watch Out, желтый")</f>
      </c>
      <c r="C27198" s="4" t="n">
        <v>273.00</v>
      </c>
      <c r="D27198" s="4"/>
    </row>
    <row collapsed="" customFormat="false" customHeight="1" hidden="" ht="14" outlineLevel="0" r="27199">
      <c r="A27199" s="3" t="inlineStr">
        <is>
          <t>27080</t>
        </is>
      </c>
      <c r="B27199" s="4" t="s">
        <f>=HYPERLINK("http://anyluxury.ru/shop/promo-suveniry/svetootrazhateli/svetootrazhayushhiy-braslet-lumi-oranzheviy-neon-1201620/" , "12016.20 Светоотражающий браслет Lumi, оранжевый неон")</f>
      </c>
      <c r="C27199" s="4" t="n">
        <v>72.00</v>
      </c>
      <c r="D27199" s="4"/>
    </row>
    <row collapsed="" customFormat="false" customHeight="1" hidden="" ht="14" outlineLevel="0" r="27200">
      <c r="A27200" s="3" t="inlineStr">
        <is>
          <t>27081</t>
        </is>
      </c>
      <c r="B27200" s="4" t="s">
        <f>=HYPERLINK("http://anyluxury.ru/shop/promo-suveniry/svetootrazhateli/svetootrazhayushhiy-zhilet-dlya-bega-s-mayachkom-flash-zheltiy-neon-1558380/" , "15583.80 Светоотражающий жилет для бега с маячком Flash, желтый неон, размер M-L")</f>
      </c>
      <c r="C27200" s="4" t="n">
        <v>1430.00</v>
      </c>
      <c r="D27200" s="4"/>
    </row>
    <row collapsed="" customFormat="false" customHeight="1" hidden="" ht="14" outlineLevel="0" r="27201">
      <c r="A27201" s="3" t="inlineStr">
        <is>
          <t>27082</t>
        </is>
      </c>
      <c r="B27201" s="4" t="s">
        <f>=HYPERLINK("http://anyluxury.ru/shop/promo-suveniry/svetootrazhateli/svetootrazhayushhiy-brelok-flashline-seriy-s-chernim-1545810/" , "15458.10 Светоотражающий брелок Flashline, серый с черным")</f>
      </c>
      <c r="C27201" s="4" t="n">
        <v>149.00</v>
      </c>
      <c r="D27201" s="4"/>
    </row>
    <row collapsed="" customFormat="false" customHeight="1" hidden="" ht="14" outlineLevel="0" r="27202">
      <c r="A27202" s="3" t="inlineStr">
        <is>
          <t>27083</t>
        </is>
      </c>
      <c r="B27202" s="4" t="s">
        <f>=HYPERLINK("http://anyluxury.ru/shop/promo-suveniry/svetootrazhateli/svetootrazhatel-spare-care-krug-serebristiy-1732410/" , "17324.10 Светоотражатель Spare Care, круг, серебристый")</f>
      </c>
      <c r="C27202" s="4" t="n">
        <v>59.00</v>
      </c>
      <c r="D27202" s="4"/>
    </row>
    <row collapsed="" customFormat="false" customHeight="1" hidden="" ht="14" outlineLevel="0" r="27203">
      <c r="A27203" s="3" t="inlineStr">
        <is>
          <t>27084</t>
        </is>
      </c>
      <c r="B27203" s="4" t="s">
        <f>=HYPERLINK("http://anyluxury.ru/shop/promo-suveniry/svetootrazhateli/svetootrazhatel-spare-care-krug-zheltiy-neon-1732480/" , "17324.80 Светоотражатель Spare Care, круг, желтый неон")</f>
      </c>
      <c r="C27203" s="4" t="n">
        <v>59.00</v>
      </c>
      <c r="D27203" s="4"/>
    </row>
    <row collapsed="" customFormat="false" customHeight="1" hidden="" ht="14" outlineLevel="0" r="27204">
      <c r="A27204" s="3" t="inlineStr">
        <is>
          <t>27085</t>
        </is>
      </c>
      <c r="B27204" s="4" t="s">
        <f>=HYPERLINK("http://anyluxury.ru/shop/promo-suveniry/svetootrazhateli/svetootrazhatel-spare-care-treugolnik-serebristiy-1732510/" , "17325.10 Светоотражатель Spare Care, треугольник, серебристый")</f>
      </c>
      <c r="C27204" s="4" t="n">
        <v>59.00</v>
      </c>
      <c r="D27204" s="4"/>
    </row>
    <row collapsed="" customFormat="false" customHeight="1" hidden="" ht="14" outlineLevel="0" r="27205">
      <c r="A27205" s="3" t="inlineStr">
        <is>
          <t>27086</t>
        </is>
      </c>
      <c r="B27205" s="4" t="s">
        <f>=HYPERLINK("http://anyluxury.ru/shop/promo-suveniry/svetootrazhateli/svetootrazhatel-spare-care-treugolnik-zheltiy-neon-1732580/" , "17325.80 Светоотражатель Spare Care, треугольник, желтый неон")</f>
      </c>
      <c r="C27205" s="4" t="n">
        <v>59.00</v>
      </c>
      <c r="D27205" s="4"/>
    </row>
    <row collapsed="" customFormat="false" customHeight="1" hidden="" ht="14" outlineLevel="0" r="27206">
      <c r="A27206" s="3" t="inlineStr">
        <is>
          <t>27087</t>
        </is>
      </c>
      <c r="B27206" s="4" t="s">
        <f>=HYPERLINK("http://anyluxury.ru/shop/promo-suveniry/svetootrazhateli/svetootrazhatel-spare-care-pryamougolnik-serebristiy-1732710/" , "17327.10 Светоотражатель Spare Care, прямоугольник, серебристый")</f>
      </c>
      <c r="C27206" s="4" t="n">
        <v>59.00</v>
      </c>
      <c r="D27206" s="4"/>
    </row>
    <row collapsed="" customFormat="false" customHeight="1" hidden="" ht="14" outlineLevel="0" r="27207">
      <c r="A27207" s="3" t="inlineStr">
        <is>
          <t>27088</t>
        </is>
      </c>
      <c r="B27207" s="4" t="s">
        <f>=HYPERLINK("http://anyluxury.ru/shop/promo-suveniry/svetootrazhateli/svetootrazhatel-spare-care-pryamougolnik-zheltiy-neon-1732780/" , "17327.80 Светоотражатель Spare Care, прямоугольник, желтый неон")</f>
      </c>
      <c r="C27207" s="4" t="n">
        <v>59.00</v>
      </c>
      <c r="D27207" s="4"/>
    </row>
    <row collapsed="" customFormat="false" customHeight="" hidden="" ht="12.1" outlineLevel="0" r="27208">
      <c r="A27208" s="5" t="inlineStr">
        <is>
          <t> -  - Чехлы</t>
        </is>
      </c>
      <c r="B27208" s="6"/>
      <c r="C27208" s="6"/>
      <c r="D27208" s="6"/>
    </row>
    <row collapsed="" customFormat="false" customHeight="1" hidden="" ht="14" outlineLevel="0" r="27209">
      <c r="A27209" s="3" t="inlineStr">
        <is>
          <t>27089</t>
        </is>
      </c>
      <c r="B27209" s="4" t="s">
        <f>=HYPERLINK("http://anyluxury.ru/shop/promo-suveniry/chekhly/vodozashchitnyy-chekhol-waterpro-belyy/" , "MKT3042whit Водозащитный чехол Waterpro, белый")</f>
      </c>
      <c r="C27209" s="4" t="n">
        <v>77.00</v>
      </c>
      <c r="D27209" s="4"/>
    </row>
    <row collapsed="" customFormat="false" customHeight="1" hidden="" ht="14" outlineLevel="0" r="27210">
      <c r="A27210" s="3" t="inlineStr">
        <is>
          <t>27090</t>
        </is>
      </c>
      <c r="B27210" s="4" t="s">
        <f>=HYPERLINK("http://anyluxury.ru/shop/promo-suveniry/chekhly/vodozashchitnyy-chekhol-waterpro-oranzhevyy/" , "MKT3042oran Водозащитный чехол Waterpro, оранжевый")</f>
      </c>
      <c r="C27210" s="4" t="n">
        <v>77.00</v>
      </c>
      <c r="D27210" s="4"/>
    </row>
    <row collapsed="" customFormat="false" customHeight="1" hidden="" ht="14" outlineLevel="0" r="27211">
      <c r="A27211" s="3" t="inlineStr">
        <is>
          <t>27091</t>
        </is>
      </c>
      <c r="B27211" s="4" t="s">
        <f>=HYPERLINK("http://anyluxury.ru/shop/promo-suveniry/chekhly/vodozashchitnyy-chekhol-waterpro-zelenyy/" , "MKT3042gree Водозащитный чехол Waterpro, зеленый")</f>
      </c>
      <c r="C27211" s="4" t="n">
        <v>77.00</v>
      </c>
      <c r="D27211" s="4"/>
    </row>
    <row collapsed="" customFormat="false" customHeight="1" hidden="" ht="14" outlineLevel="0" r="27212">
      <c r="A27212" s="3" t="inlineStr">
        <is>
          <t>27092</t>
        </is>
      </c>
      <c r="B27212" s="4" t="s">
        <f>=HYPERLINK("http://anyluxury.ru/shop/promo-suveniry/chekhly/vodozashchitnyy-chekhol-waterpro-krasnyy/" , "MKT3042red Водозащитный чехол Waterpro, красный")</f>
      </c>
      <c r="C27212" s="4" t="n">
        <v>77.00</v>
      </c>
      <c r="D27212" s="4"/>
    </row>
    <row collapsed="" customFormat="false" customHeight="1" hidden="" ht="14" outlineLevel="0" r="27213">
      <c r="A27213" s="3" t="inlineStr">
        <is>
          <t>27093</t>
        </is>
      </c>
      <c r="B27213" s="4" t="s">
        <f>=HYPERLINK("http://anyluxury.ru/shop/promo-suveniry/chekhly/vodozashchitnyy-chekhol-waterpro-siniy/" , "MKT3042blue Водозащитный чехол Waterpro, синий")</f>
      </c>
      <c r="C27213" s="4" t="n">
        <v>77.00</v>
      </c>
      <c r="D27213" s="4"/>
    </row>
    <row collapsed="" customFormat="false" customHeight="" hidden="" ht="12.1" outlineLevel="0" r="27214">
      <c r="A27214" s="5" t="inlineStr">
        <is>
          <t>Сумки и рюкзаки</t>
        </is>
      </c>
      <c r="B27214" s="6"/>
      <c r="C27214" s="6"/>
      <c r="D27214" s="6"/>
    </row>
    <row collapsed="" customFormat="false" customHeight="" hidden="" ht="12.1" outlineLevel="0" r="27215">
      <c r="A27215" s="5" t="inlineStr">
        <is>
          <t> -  - Дорожные сумки, чемоданы</t>
        </is>
      </c>
      <c r="B27215" s="6"/>
      <c r="C27215" s="6"/>
      <c r="D27215" s="6"/>
    </row>
    <row collapsed="" customFormat="false" customHeight="1" hidden="" ht="14" outlineLevel="0" r="27216">
      <c r="A27216" s="3" t="inlineStr">
        <is>
          <t>27094</t>
        </is>
      </c>
      <c r="B27216" s="4" t="s">
        <f>=HYPERLINK("http://anyluxury.ru/shop/sumki-i-ryukzaki/dorozhnye-sumki-chemodany/sumka-dorozhnaya-rewind-sinyaya/" , "10N-11006 Сумка дорожная Rewind, синяя")</f>
      </c>
      <c r="C27216" s="4" t="n">
        <v>5500.00</v>
      </c>
      <c r="D27216" s="4"/>
    </row>
    <row collapsed="" customFormat="false" customHeight="1" hidden="" ht="14" outlineLevel="0" r="27217">
      <c r="A27217" s="3" t="inlineStr">
        <is>
          <t>27095</t>
        </is>
      </c>
      <c r="B27217" s="4" t="s">
        <f>=HYPERLINK("http://anyluxury.ru/shop/sumki-i-ryukzaki/dorozhnye-sumki-chemodany/kompaktnyy-chemodan-4810/" , "118726 Компактный чемодан 4810")</f>
      </c>
      <c r="C27217" s="4" t="n">
        <v>46900.00</v>
      </c>
      <c r="D27217" s="4"/>
    </row>
    <row collapsed="" customFormat="false" customHeight="1" hidden="" ht="14" outlineLevel="0" r="27218">
      <c r="A27218" s="3" t="inlineStr">
        <is>
          <t>27096</t>
        </is>
      </c>
      <c r="B27218" s="4" t="s">
        <f>=HYPERLINK("http://anyluxury.ru/shop/sumki-i-ryukzaki/dorozhnye-sumki-chemodany/chemodan-dlya-ruchnoy-kladi-4810/" , "118727 Чемодан для ручной клади 4810")</f>
      </c>
      <c r="C27218" s="4" t="n">
        <v>44300.00</v>
      </c>
      <c r="D27218" s="4"/>
    </row>
    <row collapsed="" customFormat="false" customHeight="1" hidden="" ht="14" outlineLevel="0" r="27219">
      <c r="A27219" s="3" t="inlineStr">
        <is>
          <t>27097</t>
        </is>
      </c>
      <c r="B27219" s="4" t="s">
        <f>=HYPERLINK("http://anyluxury.ru/shop/sumki-i-ryukzaki/dorozhnye-sumki-chemodany/dorozhnaya-sumka-supreme-p707343/" , "P707.343 Дорожная сумка Supreme")</f>
      </c>
      <c r="C27219" s="4" t="n">
        <v>1869.00</v>
      </c>
      <c r="D27219" s="4"/>
    </row>
    <row collapsed="" customFormat="false" customHeight="1" hidden="" ht="14" outlineLevel="0" r="27220">
      <c r="A27220" s="3" t="inlineStr">
        <is>
          <t>27098</t>
        </is>
      </c>
      <c r="B27220" s="4" t="s">
        <f>=HYPERLINK("http://anyluxury.ru/shop/sumki-i-ryukzaki/dorozhnye-sumki-chemodany/skladnaya-sumka-na-kolesah-p787022/" , "P787.022 Складная сумка на колесах")</f>
      </c>
      <c r="C27220" s="4" t="n">
        <v>6290.00</v>
      </c>
      <c r="D27220" s="4"/>
    </row>
    <row collapsed="" customFormat="false" customHeight="1" hidden="" ht="14" outlineLevel="0" r="27221">
      <c r="A27221" s="3" t="inlineStr">
        <is>
          <t>27099</t>
        </is>
      </c>
      <c r="B27221" s="4" t="s">
        <f>=HYPERLINK("http://anyluxury.ru/shop/sumki-i-ryukzaki/dorozhnye-sumki-chemodany/skladnaya-sumka-na-kolesah-p787025/" , "P787.025 Складная сумка на колесах")</f>
      </c>
      <c r="C27221" s="4" t="n">
        <v>7145.00</v>
      </c>
      <c r="D27221" s="4"/>
    </row>
    <row collapsed="" customFormat="false" customHeight="1" hidden="" ht="14" outlineLevel="0" r="27222">
      <c r="A27222" s="3" t="inlineStr">
        <is>
          <t>27100</t>
        </is>
      </c>
      <c r="B27222" s="4" t="s">
        <f>=HYPERLINK("http://anyluxury.ru/shop/sumki-i-ryukzaki/dorozhnye-sumki-chemodany/ryukzak-na-kolesah-executive-cherniy-p728031/" , "P728.031 Рюкзак на колесах Executive, черный")</f>
      </c>
      <c r="C27222" s="4" t="n">
        <v>9599.00</v>
      </c>
      <c r="D27222" s="4"/>
    </row>
    <row collapsed="" customFormat="false" customHeight="1" hidden="" ht="14" outlineLevel="0" r="27223">
      <c r="A27223" s="3" t="inlineStr">
        <is>
          <t>27101</t>
        </is>
      </c>
      <c r="B27223" s="4" t="s">
        <f>=HYPERLINK("http://anyluxury.ru/shop/sumki-i-ryukzaki/dorozhnye-sumki-chemodany/sumka-na-kolesah-the-city-cherniy-p729401/" , "P729.401 Сумка на колесах The City, черный")</f>
      </c>
      <c r="C27223" s="4" t="n">
        <v>5790.00</v>
      </c>
      <c r="D27223" s="4"/>
    </row>
    <row collapsed="" customFormat="false" customHeight="1" hidden="" ht="14" outlineLevel="0" r="27224">
      <c r="A27224" s="3" t="inlineStr">
        <is>
          <t>27102</t>
        </is>
      </c>
      <c r="B27224" s="4" t="s">
        <f>=HYPERLINK("http://anyluxury.ru/shop/sumki-i-ryukzaki/dorozhnye-sumki-chemodany/sumka-dorozhnaya-move-cherniy-melanzh-02118348tun/" , "02118348TUN Сумка дорожная Move, черный меланж")</f>
      </c>
      <c r="C27224" s="4" t="n">
        <v>3490.00</v>
      </c>
      <c r="D27224" s="4"/>
    </row>
    <row collapsed="" customFormat="false" customHeight="1" hidden="" ht="14" outlineLevel="0" r="27225">
      <c r="A27225" s="3" t="inlineStr">
        <is>
          <t>27103</t>
        </is>
      </c>
      <c r="B27225" s="4" t="s">
        <f>=HYPERLINK("http://anyluxury.ru/shop/sumki-i-ryukzaki/dorozhnye-sumki-chemodany/sumka-sunset-belaya-s-temnosinim-02122904tun/" , "02122904TUN Сумка Sunset, белая с темно-синим")</f>
      </c>
      <c r="C27225" s="4" t="n">
        <v>990.00</v>
      </c>
      <c r="D27225" s="4"/>
    </row>
    <row collapsed="" customFormat="false" customHeight="1" hidden="" ht="14" outlineLevel="0" r="27226">
      <c r="A27226" s="3" t="inlineStr">
        <is>
          <t>27104</t>
        </is>
      </c>
      <c r="B27226" s="4" t="s">
        <f>=HYPERLINK("http://anyluxury.ru/shop/sumki-i-ryukzaki/dorozhnye-sumki-chemodany/chemodan-na-kolesah-one-and-only-7415913/" , "74159.13 Чемодан на колесах One and Only")</f>
      </c>
      <c r="C27226" s="4" t="n">
        <v>9990.00</v>
      </c>
      <c r="D27226" s="4"/>
    </row>
    <row collapsed="" customFormat="false" customHeight="1" hidden="" ht="14" outlineLevel="0" r="27227">
      <c r="A27227" s="3" t="inlineStr">
        <is>
          <t>27105</t>
        </is>
      </c>
      <c r="B27227" s="4" t="s">
        <f>=HYPERLINK("http://anyluxury.ru/shop/sumki-i-ryukzaki/dorozhnye-sumki-chemodany/chemodan-na-kolesah-wanderlust-7416030/" , "74160.30 Чемодан на колесах Wanderlust")</f>
      </c>
      <c r="C27227" s="4" t="n">
        <v>11490.00</v>
      </c>
      <c r="D27227" s="4"/>
    </row>
    <row collapsed="" customFormat="false" customHeight="1" hidden="" ht="14" outlineLevel="0" r="27228">
      <c r="A27228" s="3" t="inlineStr">
        <is>
          <t>27106</t>
        </is>
      </c>
      <c r="B27228" s="4" t="s">
        <f>=HYPERLINK("http://anyluxury.ru/shop/sumki-i-ryukzaki/dorozhnye-sumki-chemodany/sumka-dlya-dokumentov-horizontal-accessory-chernaya-s-krasnim-1072430/" , "10724.30 Сумка для документов Horizontal Accessory, черная с красным")</f>
      </c>
      <c r="C27228" s="4" t="n">
        <v>1350.00</v>
      </c>
      <c r="D27228" s="4"/>
    </row>
    <row collapsed="" customFormat="false" customHeight="1" hidden="" ht="14" outlineLevel="0" r="27229">
      <c r="A27229" s="3" t="inlineStr">
        <is>
          <t>27107</t>
        </is>
      </c>
      <c r="B27229" s="4" t="s">
        <f>=HYPERLINK("http://anyluxury.ru/shop/sumki-i-ryukzaki/dorozhnye-sumki-chemodany/mobilniy-ofis-s-sumkoy-dlya-noutbuka-potomac-cherniy-1072530/" , "10725.30 Мобильный офис с сумкой для ноутбука Potomac, черный")</f>
      </c>
      <c r="C27229" s="4" t="n">
        <v>16380.00</v>
      </c>
      <c r="D27229" s="4"/>
    </row>
    <row collapsed="" customFormat="false" customHeight="1" hidden="" ht="14" outlineLevel="0" r="27230">
      <c r="A27230" s="3" t="inlineStr">
        <is>
          <t>27108</t>
        </is>
      </c>
      <c r="B27230" s="4" t="s">
        <f>=HYPERLINK("http://anyluxury.ru/shop/sumki-i-ryukzaki/dorozhnye-sumki-chemodany/chemodan-arosa-s-siniy-1072840/" , "10728.40 Чемодан Arosa S, синий")</f>
      </c>
      <c r="C27230" s="4" t="n">
        <v>8820.00</v>
      </c>
      <c r="D27230" s="4"/>
    </row>
    <row collapsed="" customFormat="false" customHeight="1" hidden="" ht="14" outlineLevel="0" r="27231">
      <c r="A27231" s="3" t="inlineStr">
        <is>
          <t>27109</t>
        </is>
      </c>
      <c r="B27231" s="4" t="s">
        <f>=HYPERLINK("http://anyluxury.ru/shop/sumki-i-ryukzaki/dorozhnye-sumki-chemodany/chemodan-arosa-s-cherniy-1072830/" , "10728.30 Чемодан Arosa S, черный")</f>
      </c>
      <c r="C27231" s="4" t="n">
        <v>8820.00</v>
      </c>
      <c r="D27231" s="4"/>
    </row>
    <row collapsed="" customFormat="false" customHeight="1" hidden="" ht="14" outlineLevel="0" r="27232">
      <c r="A27232" s="3" t="inlineStr">
        <is>
          <t>27110</t>
        </is>
      </c>
      <c r="B27232" s="4" t="s">
        <f>=HYPERLINK("http://anyluxury.ru/shop/sumki-i-ryukzaki/dorozhnye-sumki-chemodany/chemodan-arosa-m-siniy-1072940/" , "10729.40 Чемодан Arosa M, синий")</f>
      </c>
      <c r="C27232" s="4" t="n">
        <v>10020.00</v>
      </c>
      <c r="D27232" s="4"/>
    </row>
    <row collapsed="" customFormat="false" customHeight="1" hidden="" ht="14" outlineLevel="0" r="27233">
      <c r="A27233" s="3" t="inlineStr">
        <is>
          <t>27111</t>
        </is>
      </c>
      <c r="B27233" s="4" t="s">
        <f>=HYPERLINK("http://anyluxury.ru/shop/sumki-i-ryukzaki/dorozhnye-sumki-chemodany/chemodan-arosa-m-cherniy-1072930/" , "10729.30 Чемодан Arosa M, черный")</f>
      </c>
      <c r="C27233" s="4" t="n">
        <v>10020.00</v>
      </c>
      <c r="D27233" s="4"/>
    </row>
    <row collapsed="" customFormat="false" customHeight="1" hidden="" ht="14" outlineLevel="0" r="27234">
      <c r="A27234" s="3" t="inlineStr">
        <is>
          <t>27112</t>
        </is>
      </c>
      <c r="B27234" s="4" t="s">
        <f>=HYPERLINK("http://anyluxury.ru/shop/sumki-i-ryukzaki/dorozhnye-sumki-chemodany/chemodan-arosa-l-siniy-1073040/" , "10730.40 Чемодан Arosa L, синий")</f>
      </c>
      <c r="C27234" s="4" t="n">
        <v>12770.00</v>
      </c>
      <c r="D27234" s="4"/>
    </row>
    <row collapsed="" customFormat="false" customHeight="1" hidden="" ht="14" outlineLevel="0" r="27235">
      <c r="A27235" s="3" t="inlineStr">
        <is>
          <t>27113</t>
        </is>
      </c>
      <c r="B27235" s="4" t="s">
        <f>=HYPERLINK("http://anyluxury.ru/shop/sumki-i-ryukzaki/dorozhnye-sumki-chemodany/chemodan-arosa-l-cherniy-1073030/" , "10730.30 Чемодан Arosa L, черный")</f>
      </c>
      <c r="C27235" s="4" t="n">
        <v>12770.00</v>
      </c>
      <c r="D27235" s="4"/>
    </row>
    <row collapsed="" customFormat="false" customHeight="1" hidden="" ht="14" outlineLevel="0" r="27236">
      <c r="A27236" s="3" t="inlineStr">
        <is>
          <t>27114</t>
        </is>
      </c>
      <c r="B27236" s="4" t="s">
        <f>=HYPERLINK("http://anyluxury.ru/shop/sumki-i-ryukzaki/dorozhnye-sumki-chemodany/chemodan-fribourg-krasniy-1073150/" , "10731.50 Чемодан Fribourg L, красный")</f>
      </c>
      <c r="C27236" s="4" t="n">
        <v>12240.00</v>
      </c>
      <c r="D27236" s="4"/>
    </row>
    <row collapsed="" customFormat="false" customHeight="1" hidden="" ht="14" outlineLevel="0" r="27237">
      <c r="A27237" s="3" t="inlineStr">
        <is>
          <t>27115</t>
        </is>
      </c>
      <c r="B27237" s="4" t="s">
        <f>=HYPERLINK("http://anyluxury.ru/shop/sumki-i-ryukzaki/dorozhnye-sumki-chemodany/chemodan-fribourg-serebristiy-1073111/" , "10731.11 Чемодан Fribourg L, серебристый")</f>
      </c>
      <c r="C27237" s="4" t="n">
        <v>12240.00</v>
      </c>
      <c r="D27237" s="4"/>
    </row>
    <row collapsed="" customFormat="false" customHeight="1" hidden="" ht="14" outlineLevel="0" r="27238">
      <c r="A27238" s="3" t="inlineStr">
        <is>
          <t>27116</t>
        </is>
      </c>
      <c r="B27238" s="4" t="s">
        <f>=HYPERLINK("http://anyluxury.ru/shop/sumki-i-ryukzaki/dorozhnye-sumki-chemodany/chemodan-fribourg-cherniy-1073130/" , "10731.30 Чемодан Fribourg L, черный")</f>
      </c>
      <c r="C27238" s="4" t="n">
        <v>12240.00</v>
      </c>
      <c r="D27238" s="4"/>
    </row>
    <row collapsed="" customFormat="false" customHeight="1" hidden="" ht="14" outlineLevel="0" r="27239">
      <c r="A27239" s="3" t="inlineStr">
        <is>
          <t>27117</t>
        </is>
      </c>
      <c r="B27239" s="4" t="s">
        <f>=HYPERLINK("http://anyluxury.ru/shop/sumki-i-ryukzaki/dorozhnye-sumki-chemodany/sumka-dorozhnaya-italico-chernaya-5204630/" , "52046.30 Сумка дорожная Italico, черная")</f>
      </c>
      <c r="C27239" s="4" t="n">
        <v>26120.00</v>
      </c>
      <c r="D27239" s="4"/>
    </row>
    <row collapsed="" customFormat="false" customHeight="1" hidden="" ht="14" outlineLevel="0" r="27240">
      <c r="A27240" s="3" t="inlineStr">
        <is>
          <t>27118</t>
        </is>
      </c>
      <c r="B27240" s="4" t="s">
        <f>=HYPERLINK("http://anyluxury.ru/shop/sumki-i-ryukzaki/dorozhnye-sumki-chemodany/chemodan-adams-s-zheltiy-1216280/" , "12162.80 Чемодан Adams S, желтый")</f>
      </c>
      <c r="C27240" s="4" t="n">
        <v>8270.00</v>
      </c>
      <c r="D27240" s="4"/>
    </row>
    <row collapsed="" customFormat="false" customHeight="1" hidden="" ht="14" outlineLevel="0" r="27241">
      <c r="A27241" s="3" t="inlineStr">
        <is>
          <t>27119</t>
        </is>
      </c>
      <c r="B27241" s="4" t="s">
        <f>=HYPERLINK("http://anyluxury.ru/shop/sumki-i-ryukzaki/dorozhnye-sumki-chemodany/chemodan-adams-s-cherniy-1216230/" , "12162.30 Чемодан Adams S, черный")</f>
      </c>
      <c r="C27241" s="4" t="n">
        <v>8270.00</v>
      </c>
      <c r="D27241" s="4"/>
    </row>
    <row collapsed="" customFormat="false" customHeight="1" hidden="" ht="14" outlineLevel="0" r="27242">
      <c r="A27242" s="3" t="inlineStr">
        <is>
          <t>27120</t>
        </is>
      </c>
      <c r="B27242" s="4" t="s">
        <f>=HYPERLINK("http://anyluxury.ru/shop/sumki-i-ryukzaki/dorozhnye-sumki-chemodany/chemodan-adams-m-zheltiy-1216380/" , "12163.80 Чемодан Adams M, желтый")</f>
      </c>
      <c r="C27242" s="4" t="n">
        <v>9970.00</v>
      </c>
      <c r="D27242" s="4"/>
    </row>
    <row collapsed="" customFormat="false" customHeight="1" hidden="" ht="14" outlineLevel="0" r="27243">
      <c r="A27243" s="3" t="inlineStr">
        <is>
          <t>27121</t>
        </is>
      </c>
      <c r="B27243" s="4" t="s">
        <f>=HYPERLINK("http://anyluxury.ru/shop/sumki-i-ryukzaki/dorozhnye-sumki-chemodany/chemodan-adams-m-cherniy-1216330/" , "12163.30 Чемодан Adams M, черный")</f>
      </c>
      <c r="C27243" s="4" t="n">
        <v>9970.00</v>
      </c>
      <c r="D27243" s="4"/>
    </row>
    <row collapsed="" customFormat="false" customHeight="1" hidden="" ht="14" outlineLevel="0" r="27244">
      <c r="A27244" s="3" t="inlineStr">
        <is>
          <t>27122</t>
        </is>
      </c>
      <c r="B27244" s="4" t="s">
        <f>=HYPERLINK("http://anyluxury.ru/shop/sumki-i-ryukzaki/dorozhnye-sumki-chemodany/chemodan-adams-l-zheltiy-1216480/" , "12164.80 Чемодан Adams L, желтый")</f>
      </c>
      <c r="C27244" s="4" t="n">
        <v>12940.00</v>
      </c>
      <c r="D27244" s="4"/>
    </row>
    <row collapsed="" customFormat="false" customHeight="1" hidden="" ht="14" outlineLevel="0" r="27245">
      <c r="A27245" s="3" t="inlineStr">
        <is>
          <t>27123</t>
        </is>
      </c>
      <c r="B27245" s="4" t="s">
        <f>=HYPERLINK("http://anyluxury.ru/shop/sumki-i-ryukzaki/dorozhnye-sumki-chemodany/chemodan-adams-l-cherniy-1216430/" , "12164.30 Чемодан Adams L, черный")</f>
      </c>
      <c r="C27245" s="4" t="n">
        <v>12940.00</v>
      </c>
      <c r="D27245" s="4"/>
    </row>
    <row collapsed="" customFormat="false" customHeight="1" hidden="" ht="14" outlineLevel="0" r="27246">
      <c r="A27246" s="3" t="inlineStr">
        <is>
          <t>27124</t>
        </is>
      </c>
      <c r="B27246" s="4" t="s">
        <f>=HYPERLINK("http://anyluxury.ru/shop/sumki-i-ryukzaki/dorozhnye-sumki-chemodany/chemodan-sion-s-seriy-1216511/" , "12165.11 Чемодан Sion S, серый")</f>
      </c>
      <c r="C27246" s="4" t="n">
        <v>7810.00</v>
      </c>
      <c r="D27246" s="4"/>
    </row>
    <row collapsed="" customFormat="false" customHeight="1" hidden="" ht="14" outlineLevel="0" r="27247">
      <c r="A27247" s="3" t="inlineStr">
        <is>
          <t>27125</t>
        </is>
      </c>
      <c r="B27247" s="4" t="s">
        <f>=HYPERLINK("http://anyluxury.ru/shop/sumki-i-ryukzaki/dorozhnye-sumki-chemodany/chemodan-sion-s-bordoviy-1216555/" , "12165.55 Чемодан Sion S, бордовый")</f>
      </c>
      <c r="C27247" s="4" t="n">
        <v>7810.00</v>
      </c>
      <c r="D27247" s="4"/>
    </row>
    <row collapsed="" customFormat="false" customHeight="1" hidden="" ht="14" outlineLevel="0" r="27248">
      <c r="A27248" s="3" t="inlineStr">
        <is>
          <t>27126</t>
        </is>
      </c>
      <c r="B27248" s="4" t="s">
        <f>=HYPERLINK("http://anyluxury.ru/shop/sumki-i-ryukzaki/dorozhnye-sumki-chemodany/chemodan-sion-m-seriy-1216611/" , "12166.11 Чемодан Sion M, серый")</f>
      </c>
      <c r="C27248" s="4" t="n">
        <v>9900.00</v>
      </c>
      <c r="D27248" s="4"/>
    </row>
    <row collapsed="" customFormat="false" customHeight="1" hidden="" ht="14" outlineLevel="0" r="27249">
      <c r="A27249" s="3" t="inlineStr">
        <is>
          <t>27127</t>
        </is>
      </c>
      <c r="B27249" s="4" t="s">
        <f>=HYPERLINK("http://anyluxury.ru/shop/sumki-i-ryukzaki/dorozhnye-sumki-chemodany/chemodan-sion-m-bordoviy-1216655/" , "12166.55 Чемодан Sion M, бордовый")</f>
      </c>
      <c r="C27249" s="4" t="n">
        <v>9900.00</v>
      </c>
      <c r="D27249" s="4"/>
    </row>
    <row collapsed="" customFormat="false" customHeight="1" hidden="" ht="14" outlineLevel="0" r="27250">
      <c r="A27250" s="3" t="inlineStr">
        <is>
          <t>27128</t>
        </is>
      </c>
      <c r="B27250" s="4" t="s">
        <f>=HYPERLINK("http://anyluxury.ru/shop/sumki-i-ryukzaki/dorozhnye-sumki-chemodany/chemodan-sion-l-bordoviy-1216755/" , "12167.55 Чемодан Sion L, бордовый")</f>
      </c>
      <c r="C27250" s="4" t="n">
        <v>12000.00</v>
      </c>
      <c r="D27250" s="4"/>
    </row>
    <row collapsed="" customFormat="false" customHeight="1" hidden="" ht="14" outlineLevel="0" r="27251">
      <c r="A27251" s="3" t="inlineStr">
        <is>
          <t>27129</t>
        </is>
      </c>
      <c r="B27251" s="4" t="s">
        <f>=HYPERLINK("http://anyluxury.ru/shop/sumki-i-ryukzaki/dorozhnye-sumki-chemodany/chemodan-tallac-s-cherniy-1216930/" , "12169.30 Чемодан Tallac S, черный")</f>
      </c>
      <c r="C27251" s="4" t="n">
        <v>8210.00</v>
      </c>
      <c r="D27251" s="4"/>
    </row>
    <row collapsed="" customFormat="false" customHeight="1" hidden="" ht="14" outlineLevel="0" r="27252">
      <c r="A27252" s="3" t="inlineStr">
        <is>
          <t>27130</t>
        </is>
      </c>
      <c r="B27252" s="4" t="s">
        <f>=HYPERLINK("http://anyluxury.ru/shop/sumki-i-ryukzaki/dorozhnye-sumki-chemodany/chemodan-tallac-m-cherniy-1217130/" , "12171.30 Чемодан Tallac M, черный")</f>
      </c>
      <c r="C27252" s="4" t="n">
        <v>9970.00</v>
      </c>
      <c r="D27252" s="4"/>
    </row>
    <row collapsed="" customFormat="false" customHeight="1" hidden="" ht="14" outlineLevel="0" r="27253">
      <c r="A27253" s="3" t="inlineStr">
        <is>
          <t>27131</t>
        </is>
      </c>
      <c r="B27253" s="4" t="s">
        <f>=HYPERLINK("http://anyluxury.ru/shop/sumki-i-ryukzaki/dorozhnye-sumki-chemodany/chemodan-tallac-l-cherniy-1217230/" , "12172.30 Чемодан Tallac L, черный")</f>
      </c>
      <c r="C27253" s="4" t="n">
        <v>12720.00</v>
      </c>
      <c r="D27253" s="4"/>
    </row>
    <row collapsed="" customFormat="false" customHeight="1" hidden="" ht="14" outlineLevel="0" r="27254">
      <c r="A27254" s="3" t="inlineStr">
        <is>
          <t>27132</t>
        </is>
      </c>
      <c r="B27254" s="4" t="s">
        <f>=HYPERLINK("http://anyluxury.ru/shop/sumki-i-ryukzaki/dorozhnye-sumki-chemodany/chemodan-tyler-s-beliy-1217360/" , "12173.60 Чемодан Tyler S, белый")</f>
      </c>
      <c r="C27254" s="4" t="n">
        <v>7920.00</v>
      </c>
      <c r="D27254" s="4"/>
    </row>
    <row collapsed="" customFormat="false" customHeight="1" hidden="" ht="14" outlineLevel="0" r="27255">
      <c r="A27255" s="3" t="inlineStr">
        <is>
          <t>27133</t>
        </is>
      </c>
      <c r="B27255" s="4" t="s">
        <f>=HYPERLINK("http://anyluxury.ru/shop/sumki-i-ryukzaki/dorozhnye-sumki-chemodany/chemodan-tyler-m-beliy-1217460/" , "12174.60 Чемодан Tyler M, белый")</f>
      </c>
      <c r="C27255" s="4" t="n">
        <v>9340.00</v>
      </c>
      <c r="D27255" s="4"/>
    </row>
    <row collapsed="" customFormat="false" customHeight="1" hidden="" ht="14" outlineLevel="0" r="27256">
      <c r="A27256" s="3" t="inlineStr">
        <is>
          <t>27134</t>
        </is>
      </c>
      <c r="B27256" s="4" t="s">
        <f>=HYPERLINK("http://anyluxury.ru/shop/sumki-i-ryukzaki/dorozhnye-sumki-chemodany/chemodan-tyler-l-beliy-1217560/" , "12175.60 Чемодан Tyler L, белый")</f>
      </c>
      <c r="C27256" s="4" t="n">
        <v>11930.00</v>
      </c>
      <c r="D27256" s="4"/>
    </row>
    <row collapsed="" customFormat="false" customHeight="1" hidden="" ht="14" outlineLevel="0" r="27257">
      <c r="A27257" s="3" t="inlineStr">
        <is>
          <t>27135</t>
        </is>
      </c>
      <c r="B27257" s="4" t="s">
        <f>=HYPERLINK("http://anyluxury.ru/shop/sumki-i-ryukzaki/dorozhnye-sumki-chemodany/sumka-dlya-dokumentov-onboard-chernaya-1076230/" , "10762.30 Сумка для документов onBoard, черная")</f>
      </c>
      <c r="C27257" s="4" t="n">
        <v>2690.00</v>
      </c>
      <c r="D27257" s="4"/>
    </row>
    <row collapsed="" customFormat="false" customHeight="1" hidden="" ht="14" outlineLevel="0" r="27258">
      <c r="A27258" s="3" t="inlineStr">
        <is>
          <t>27136</t>
        </is>
      </c>
      <c r="B27258" s="4" t="s">
        <f>=HYPERLINK("http://anyluxury.ru/shop/sumki-i-ryukzaki/dorozhnye-sumki-chemodany/chemodan-2kolesniy-pliable-cherniy-p5001101/" , "P50-01101 Чемодан 2-колесный Pliable, черный")</f>
      </c>
      <c r="C27258" s="4" t="n">
        <v>15000.00</v>
      </c>
      <c r="D27258" s="4"/>
    </row>
    <row collapsed="" customFormat="false" customHeight="1" hidden="" ht="14" outlineLevel="0" r="27259">
      <c r="A27259" s="3" t="inlineStr">
        <is>
          <t>27137</t>
        </is>
      </c>
      <c r="B27259" s="4" t="s">
        <f>=HYPERLINK("http://anyluxury.ru/shop/sumki-i-ryukzaki/dorozhnye-sumki-chemodany/chemodan-2kolesniy-pliable-temnosiniy-p5032101/" , "P50-32101 Чемодан 2-колесный Pliable, темно-синий")</f>
      </c>
      <c r="C27259" s="4" t="n">
        <v>15000.00</v>
      </c>
      <c r="D27259" s="4"/>
    </row>
    <row collapsed="" customFormat="false" customHeight="1" hidden="" ht="14" outlineLevel="0" r="27260">
      <c r="A27260" s="3" t="inlineStr">
        <is>
          <t>27138</t>
        </is>
      </c>
      <c r="B27260" s="4" t="s">
        <f>=HYPERLINK("http://anyluxury.ru/shop/sumki-i-ryukzaki/dorozhnye-sumki-chemodany/chemodan-2kolesniy-pliable-haki-p5044101/" , "P50-44101 Чемодан 2-колесный Pliable, хаки")</f>
      </c>
      <c r="C27260" s="4" t="n">
        <v>15000.00</v>
      </c>
      <c r="D27260" s="4"/>
    </row>
    <row collapsed="" customFormat="false" customHeight="1" hidden="" ht="14" outlineLevel="0" r="27261">
      <c r="A27261" s="3" t="inlineStr">
        <is>
          <t>27139</t>
        </is>
      </c>
      <c r="B27261" s="4" t="s">
        <f>=HYPERLINK("http://anyluxury.ru/shop/sumki-i-ryukzaki/dorozhnye-sumki-chemodany/sumka-dorozhnaya-city-plume-s-seraya-p6117007/" , "P61-17007 Сумка дорожная City Plume S, серая")</f>
      </c>
      <c r="C27261" s="4" t="n">
        <v>10990.00</v>
      </c>
      <c r="D27261" s="4"/>
    </row>
    <row collapsed="" customFormat="false" customHeight="1" hidden="" ht="14" outlineLevel="0" r="27262">
      <c r="A27262" s="3" t="inlineStr">
        <is>
          <t>27140</t>
        </is>
      </c>
      <c r="B27262" s="4" t="s">
        <f>=HYPERLINK("http://anyluxury.ru/shop/sumki-i-ryukzaki/dorozhnye-sumki-chemodany/sumka-dorozhnaya-city-plume-s-fioletovaya-p61a0007/" , "P61-A0007 Сумка дорожная City Plume S, фиолетовая")</f>
      </c>
      <c r="C27262" s="4" t="n">
        <v>10990.00</v>
      </c>
      <c r="D27262" s="4"/>
    </row>
    <row collapsed="" customFormat="false" customHeight="1" hidden="" ht="14" outlineLevel="0" r="27263">
      <c r="A27263" s="3" t="inlineStr">
        <is>
          <t>27141</t>
        </is>
      </c>
      <c r="B27263" s="4" t="s">
        <f>=HYPERLINK("http://anyluxury.ru/shop/sumki-i-ryukzaki/dorozhnye-sumki-chemodany/sumka-dorozhnaya-city-plume-s-chernaya-p6101007/" , "P61-01007 Сумка дорожная City Plume S, черная")</f>
      </c>
      <c r="C27263" s="4" t="n">
        <v>10990.00</v>
      </c>
      <c r="D27263" s="4"/>
    </row>
    <row collapsed="" customFormat="false" customHeight="1" hidden="" ht="14" outlineLevel="0" r="27264">
      <c r="A27264" s="3" t="inlineStr">
        <is>
          <t>27142</t>
        </is>
      </c>
      <c r="B27264" s="4" t="s">
        <f>=HYPERLINK("http://anyluxury.ru/shop/sumki-i-ryukzaki/dorozhnye-sumki-chemodany/sumka-dorozhnaya-city-plume-s-temnosinyaya-p6132007/" , "P61-32007 Сумка дорожная City Plume S, темно-синяя")</f>
      </c>
      <c r="C27264" s="4" t="n">
        <v>10990.00</v>
      </c>
      <c r="D27264" s="4"/>
    </row>
    <row collapsed="" customFormat="false" customHeight="1" hidden="" ht="14" outlineLevel="0" r="27265">
      <c r="A27265" s="3" t="inlineStr">
        <is>
          <t>27143</t>
        </is>
      </c>
      <c r="B27265" s="4" t="s">
        <f>=HYPERLINK("http://anyluxury.ru/shop/sumki-i-ryukzaki/dorozhnye-sumki-chemodany/sumka-dorozhnaya-city-plume-s-krasnaya-p6163007/" , "P61-63007 Сумка дорожная City Plume S, красная")</f>
      </c>
      <c r="C27265" s="4" t="n">
        <v>10990.00</v>
      </c>
      <c r="D27265" s="4"/>
    </row>
    <row collapsed="" customFormat="false" customHeight="1" hidden="" ht="14" outlineLevel="0" r="27266">
      <c r="A27266" s="3" t="inlineStr">
        <is>
          <t>27144</t>
        </is>
      </c>
      <c r="B27266" s="4" t="s">
        <f>=HYPERLINK("http://anyluxury.ru/shop/sumki-i-ryukzaki/dorozhnye-sumki-chemodany/sumka-dorozhnaya-city-plume-s-haki-p6144007/" , "P61-44007 Сумка дорожная City Plume S, хаки")</f>
      </c>
      <c r="C27266" s="4" t="n">
        <v>10990.00</v>
      </c>
      <c r="D27266" s="4"/>
    </row>
    <row collapsed="" customFormat="false" customHeight="1" hidden="" ht="14" outlineLevel="0" r="27267">
      <c r="A27267" s="3" t="inlineStr">
        <is>
          <t>27145</t>
        </is>
      </c>
      <c r="B27267" s="4" t="s">
        <f>=HYPERLINK("http://anyluxury.ru/shop/sumki-i-ryukzaki/dorozhnye-sumki-chemodany/sumka-dorozhnaya-city-plume-m-fioletovaya-p61a0005/" , "P61-A0005 Сумка дорожная City Plume M, фиолетовая")</f>
      </c>
      <c r="C27267" s="4" t="n">
        <v>10990.00</v>
      </c>
      <c r="D27267" s="4"/>
    </row>
    <row collapsed="" customFormat="false" customHeight="1" hidden="" ht="14" outlineLevel="0" r="27268">
      <c r="A27268" s="3" t="inlineStr">
        <is>
          <t>27146</t>
        </is>
      </c>
      <c r="B27268" s="4" t="s">
        <f>=HYPERLINK("http://anyluxury.ru/shop/sumki-i-ryukzaki/dorozhnye-sumki-chemodany/sumka-dorozhnaya-city-plume-m-chernaya-p6101005/" , "P61-01005 Сумка дорожная City Plume M, черная")</f>
      </c>
      <c r="C27268" s="4" t="n">
        <v>10990.00</v>
      </c>
      <c r="D27268" s="4"/>
    </row>
    <row collapsed="" customFormat="false" customHeight="1" hidden="" ht="14" outlineLevel="0" r="27269">
      <c r="A27269" s="3" t="inlineStr">
        <is>
          <t>27147</t>
        </is>
      </c>
      <c r="B27269" s="4" t="s">
        <f>=HYPERLINK("http://anyluxury.ru/shop/sumki-i-ryukzaki/dorozhnye-sumki-chemodany/sumka-dorozhnaya-city-plume-m-seraya-p6117005/" , "P61-17005 Сумка дорожная City Plume M, серая")</f>
      </c>
      <c r="C27269" s="4" t="n">
        <v>10990.00</v>
      </c>
      <c r="D27269" s="4"/>
    </row>
    <row collapsed="" customFormat="false" customHeight="1" hidden="" ht="14" outlineLevel="0" r="27270">
      <c r="A27270" s="3" t="inlineStr">
        <is>
          <t>27148</t>
        </is>
      </c>
      <c r="B27270" s="4" t="s">
        <f>=HYPERLINK("http://anyluxury.ru/shop/sumki-i-ryukzaki/dorozhnye-sumki-chemodany/sumka-dorozhnaya-city-plume-m-sinyaya-p6132005/" , "P61-32005 Сумка дорожная City Plume M, синяя")</f>
      </c>
      <c r="C27270" s="4" t="n">
        <v>10990.00</v>
      </c>
      <c r="D27270" s="4"/>
    </row>
    <row collapsed="" customFormat="false" customHeight="1" hidden="" ht="14" outlineLevel="0" r="27271">
      <c r="A27271" s="3" t="inlineStr">
        <is>
          <t>27149</t>
        </is>
      </c>
      <c r="B27271" s="4" t="s">
        <f>=HYPERLINK("http://anyluxury.ru/shop/sumki-i-ryukzaki/dorozhnye-sumki-chemodany/sumka-dorozhnaya-city-plume-m-haki-p6144005/" , "P61-44005 Сумка дорожная City Plume M, хаки")</f>
      </c>
      <c r="C27271" s="4" t="n">
        <v>10990.00</v>
      </c>
      <c r="D27271" s="4"/>
    </row>
    <row collapsed="" customFormat="false" customHeight="1" hidden="" ht="14" outlineLevel="0" r="27272">
      <c r="A27272" s="3" t="inlineStr">
        <is>
          <t>27150</t>
        </is>
      </c>
      <c r="B27272" s="4" t="s">
        <f>=HYPERLINK("http://anyluxury.ru/shop/sumki-i-ryukzaki/dorozhnye-sumki-chemodany/chemodan-originale-plume-cherniy-p5301107/" , "P53-01107 Чемодан Originale Plume, черный")</f>
      </c>
      <c r="C27272" s="4" t="n">
        <v>15000.00</v>
      </c>
      <c r="D27272" s="4"/>
    </row>
    <row collapsed="" customFormat="false" customHeight="1" hidden="" ht="14" outlineLevel="0" r="27273">
      <c r="A27273" s="3" t="inlineStr">
        <is>
          <t>27151</t>
        </is>
      </c>
      <c r="B27273" s="4" t="s">
        <f>=HYPERLINK("http://anyluxury.ru/shop/sumki-i-ryukzaki/dorozhnye-sumki-chemodany/chemodan-originale-plume-haki-p5344107/" , "P53-44107 Чемодан Originale Plume, хаки")</f>
      </c>
      <c r="C27273" s="4" t="n">
        <v>15000.00</v>
      </c>
      <c r="D27273" s="4"/>
    </row>
    <row collapsed="" customFormat="false" customHeight="1" hidden="" ht="14" outlineLevel="0" r="27274">
      <c r="A27274" s="3" t="inlineStr">
        <is>
          <t>27152</t>
        </is>
      </c>
      <c r="B27274" s="4" t="s">
        <f>=HYPERLINK("http://anyluxury.ru/shop/sumki-i-ryukzaki/dorozhnye-sumki-chemodany/mobilniy-ofis-plume-business-cherniy-p5501112/" , "P55-01112 Мобильный офис Plume Business, черный")</f>
      </c>
      <c r="C27274" s="4" t="n">
        <v>21000.00</v>
      </c>
      <c r="D27274" s="4"/>
    </row>
    <row collapsed="" customFormat="false" customHeight="1" hidden="" ht="14" outlineLevel="0" r="27275">
      <c r="A27275" s="3" t="inlineStr">
        <is>
          <t>27153</t>
        </is>
      </c>
      <c r="B27275" s="4" t="s">
        <f>=HYPERLINK("http://anyluxury.ru/shop/sumki-i-ryukzaki/dorozhnye-sumki-chemodany/mobilniy-ofis-plume-business-temnosiniy-p5532112/" , "P55-32112 Мобильный офис Plume Business, темно-синий")</f>
      </c>
      <c r="C27275" s="4" t="n">
        <v>21000.00</v>
      </c>
      <c r="D27275" s="4"/>
    </row>
    <row collapsed="" customFormat="false" customHeight="1" hidden="" ht="14" outlineLevel="0" r="27276">
      <c r="A27276" s="3" t="inlineStr">
        <is>
          <t>27154</t>
        </is>
      </c>
      <c r="B27276" s="4" t="s">
        <f>=HYPERLINK("http://anyluxury.ru/shop/sumki-i-ryukzaki/dorozhnye-sumki-chemodany/mobilniy-ofis-business-avenue-cherniy-p7969003/" , "P79-69003 Мобильный офис Business Avenue, черный")</f>
      </c>
      <c r="C27276" s="4" t="n">
        <v>23000.00</v>
      </c>
      <c r="D27276" s="4"/>
    </row>
    <row collapsed="" customFormat="false" customHeight="1" hidden="" ht="14" outlineLevel="0" r="27277">
      <c r="A27277" s="3" t="inlineStr">
        <is>
          <t>27155</t>
        </is>
      </c>
      <c r="B27277" s="4" t="s">
        <f>=HYPERLINK("http://anyluxury.ru/shop/sumki-i-ryukzaki/dorozhnye-sumki-chemodany/mobilniy-ofis-business-avenue-temnosiniy-p7987003/" , "P79-87003 Мобильный офис Business Avenue, темно-синий")</f>
      </c>
      <c r="C27277" s="4" t="n">
        <v>23000.00</v>
      </c>
      <c r="D27277" s="4"/>
    </row>
    <row collapsed="" customFormat="false" customHeight="1" hidden="" ht="14" outlineLevel="0" r="27278">
      <c r="A27278" s="3" t="inlineStr">
        <is>
          <t>27156</t>
        </is>
      </c>
      <c r="B27278" s="4" t="s">
        <f>=HYPERLINK("http://anyluxury.ru/shop/sumki-i-ryukzaki/dorozhnye-sumki-chemodany/velosumka-lead-foot-chernaya-1510930/" , "15109.30 Велосумка Lead Foot, черная")</f>
      </c>
      <c r="C27278" s="4" t="n">
        <v>768.00</v>
      </c>
      <c r="D27278" s="4"/>
    </row>
    <row collapsed="" customFormat="false" customHeight="1" hidden="" ht="14" outlineLevel="0" r="27279">
      <c r="A27279" s="3" t="inlineStr">
        <is>
          <t>27157</t>
        </is>
      </c>
      <c r="B27279" s="4" t="s">
        <f>=HYPERLINK("http://anyluxury.ru/shop/sumki-i-ryukzaki/dorozhnye-sumki-chemodany/velosumka-lead-foot-sinyaya-1510945/" , "15109.45 Велосумка Lead Foot, синяя")</f>
      </c>
      <c r="C27279" s="4" t="n">
        <v>655.00</v>
      </c>
      <c r="D27279" s="4"/>
    </row>
    <row collapsed="" customFormat="false" customHeight="1" hidden="" ht="14" outlineLevel="0" r="27280">
      <c r="A27280" s="3" t="inlineStr">
        <is>
          <t>27158</t>
        </is>
      </c>
      <c r="B27280" s="4" t="s">
        <f>=HYPERLINK("http://anyluxury.ru/shop/sumki-i-ryukzaki/dorozhnye-sumki-chemodany/sumka-tribeca-chernaya-s-zelenim-01204886tun/" , "01204886TUN Сумка Tribeca, черная с зеленым")</f>
      </c>
      <c r="C27280" s="4" t="n">
        <v>1190.00</v>
      </c>
      <c r="D27280" s="4"/>
    </row>
    <row collapsed="" customFormat="false" customHeight="1" hidden="" ht="14" outlineLevel="0" r="27281">
      <c r="A27281" s="3" t="inlineStr">
        <is>
          <t>27159</t>
        </is>
      </c>
      <c r="B27281" s="4" t="s">
        <f>=HYPERLINK("http://anyluxury.ru/shop/sumki-i-ryukzaki/dorozhnye-sumki-chemodany/sumka-tribeca-zelenoe-yabloko-s-yarkosinim-01204887tun/" , "01204887TUN Сумка Tribeca, зеленое яблоко с ярко-синим")</f>
      </c>
      <c r="C27281" s="4" t="n">
        <v>1190.00</v>
      </c>
      <c r="D27281" s="4"/>
    </row>
    <row collapsed="" customFormat="false" customHeight="1" hidden="" ht="14" outlineLevel="0" r="27282">
      <c r="A27282" s="3" t="inlineStr">
        <is>
          <t>27160</t>
        </is>
      </c>
      <c r="B27282" s="4" t="s">
        <f>=HYPERLINK("http://anyluxury.ru/shop/sumki-i-ryukzaki/dorozhnye-sumki-chemodany/sumka-tribeca-krasnaya-s-belim-01204908tun/" , "01204908TUN Сумка Tribeca, красная с белым")</f>
      </c>
      <c r="C27282" s="4" t="n">
        <v>1190.00</v>
      </c>
      <c r="D27282" s="4"/>
    </row>
    <row collapsed="" customFormat="false" customHeight="1" hidden="" ht="14" outlineLevel="0" r="27283">
      <c r="A27283" s="3" t="inlineStr">
        <is>
          <t>27161</t>
        </is>
      </c>
      <c r="B27283" s="4" t="s">
        <f>=HYPERLINK("http://anyluxury.ru/shop/sumki-i-ryukzaki/dorozhnye-sumki-chemodany/sumka-tribeca-sinyaya-s-oranzhevim-01204885tun/" , "01204885TUN Сумка Tribeca, синяя с оранжевым")</f>
      </c>
      <c r="C27283" s="4" t="n">
        <v>1190.00</v>
      </c>
      <c r="D27283" s="4"/>
    </row>
    <row collapsed="" customFormat="false" customHeight="1" hidden="" ht="14" outlineLevel="0" r="27284">
      <c r="A27284" s="3" t="inlineStr">
        <is>
          <t>27162</t>
        </is>
      </c>
      <c r="B27284" s="4" t="s">
        <f>=HYPERLINK("http://anyluxury.ru/shop/sumki-i-ryukzaki/dorozhnye-sumki-chemodany/sumka-tribeca-belaya-s-temnosinim-01204989tun/" , "01204989TUN Сумка Tribeca, белая с темно-синим")</f>
      </c>
      <c r="C27284" s="4" t="n">
        <v>1190.00</v>
      </c>
      <c r="D27284" s="4"/>
    </row>
    <row collapsed="" customFormat="false" customHeight="1" hidden="" ht="14" outlineLevel="0" r="27285">
      <c r="A27285" s="3" t="inlineStr">
        <is>
          <t>27163</t>
        </is>
      </c>
      <c r="B27285" s="4" t="s">
        <f>=HYPERLINK("http://anyluxury.ru/shop/sumki-i-ryukzaki/dorozhnye-sumki-chemodany/sumka-na-kolesah-xc-tryal-chernaya-1237730/" , "12377.30 Сумка на колесах XC Tryal, черная")</f>
      </c>
      <c r="C27285" s="4" t="n">
        <v>20540.00</v>
      </c>
      <c r="D27285" s="4"/>
    </row>
    <row collapsed="" customFormat="false" customHeight="1" hidden="" ht="14" outlineLevel="0" r="27286">
      <c r="A27286" s="3" t="inlineStr">
        <is>
          <t>27164</t>
        </is>
      </c>
      <c r="B27286" s="4" t="s">
        <f>=HYPERLINK("http://anyluxury.ru/shop/sumki-i-ryukzaki/dorozhnye-sumki-chemodany/sumka-na-kolesah-xc-tryal-sinyaya-1237740/" , "12377.40 Сумка на колесах XC Tryal, синяя")</f>
      </c>
      <c r="C27286" s="4" t="n">
        <v>20540.00</v>
      </c>
      <c r="D27286" s="4"/>
    </row>
    <row collapsed="" customFormat="false" customHeight="1" hidden="" ht="14" outlineLevel="0" r="27287">
      <c r="A27287" s="3" t="inlineStr">
        <is>
          <t>27165</t>
        </is>
      </c>
      <c r="B27287" s="4" t="s">
        <f>=HYPERLINK("http://anyluxury.ru/shop/sumki-i-ryukzaki/dorozhnye-sumki-chemodany/naplechnaya-sumka-clicksling-chernaya-1296030/" , "12960.30 Наплечная сумка ClickSling, черная")</f>
      </c>
      <c r="C27287" s="4" t="n">
        <v>7100.00</v>
      </c>
      <c r="D27287" s="4"/>
    </row>
    <row collapsed="" customFormat="false" customHeight="1" hidden="" ht="14" outlineLevel="0" r="27288">
      <c r="A27288" s="3" t="inlineStr">
        <is>
          <t>27166</t>
        </is>
      </c>
      <c r="B27288" s="4" t="s">
        <f>=HYPERLINK("http://anyluxury.ru/shop/sumki-i-ryukzaki/dorozhnye-sumki-chemodany/sportivnaya-sumka-flexpack-gym-temnoseraya-1296111/" , "12961.11 Спортивная сумка FlexPack Gym, темно-серая")</f>
      </c>
      <c r="C27288" s="4" t="n">
        <v>13200.00</v>
      </c>
      <c r="D27288" s="4"/>
    </row>
    <row collapsed="" customFormat="false" customHeight="1" hidden="" ht="14" outlineLevel="0" r="27289">
      <c r="A27289" s="3" t="inlineStr">
        <is>
          <t>27167</t>
        </is>
      </c>
      <c r="B27289" s="4" t="s">
        <f>=HYPERLINK("http://anyluxury.ru/shop/sumki-i-ryukzaki/dorozhnye-sumki-chemodany/velosumka-parklife-chernaya-1511930/" , "15119.30 Велосумка Parklife, черная")</f>
      </c>
      <c r="C27289" s="4" t="n">
        <v>971.00</v>
      </c>
      <c r="D27289" s="4"/>
    </row>
    <row collapsed="" customFormat="false" customHeight="1" hidden="" ht="14" outlineLevel="0" r="27290">
      <c r="A27290" s="3" t="inlineStr">
        <is>
          <t>27168</t>
        </is>
      </c>
      <c r="B27290" s="4" t="s">
        <f>=HYPERLINK("http://anyluxury.ru/shop/sumki-i-ryukzaki/dorozhnye-sumki-chemodany/velosumka-eager-chernaya-1777430/" , "17774.30 Велосумка Eager, черная")</f>
      </c>
      <c r="C27290" s="4" t="n">
        <v>249.00</v>
      </c>
      <c r="D27290" s="4"/>
    </row>
    <row collapsed="" customFormat="false" customHeight="1" hidden="" ht="14" outlineLevel="0" r="27291">
      <c r="A27291" s="3" t="inlineStr">
        <is>
          <t>27169</t>
        </is>
      </c>
      <c r="B27291" s="4" t="s">
        <f>=HYPERLINK("http://anyluxury.ru/shop/sumki-i-ryukzaki/dorozhnye-sumki-chemodany/chemodan-dlya-ruchnoy-kladi-proxis-s-cherniy-cw609001/" , "CW6-09001 Чемодан для ручной клади Proxis S, черный")</f>
      </c>
      <c r="C27291" s="4" t="n">
        <v>43900.00</v>
      </c>
      <c r="D27291" s="4"/>
    </row>
    <row collapsed="" customFormat="false" customHeight="1" hidden="" ht="14" outlineLevel="0" r="27292">
      <c r="A27292" s="3" t="inlineStr">
        <is>
          <t>27170</t>
        </is>
      </c>
      <c r="B27292" s="4" t="s">
        <f>=HYPERLINK("http://anyluxury.ru/shop/sumki-i-ryukzaki/dorozhnye-sumki-chemodany/chemodan-dlya-ruchnoy-kladi-proxis-s-zolotistiy-cw606001/" , "CW6-06001 Чемодан для ручной клади Proxis S, золотистый")</f>
      </c>
      <c r="C27292" s="4" t="n">
        <v>43900.00</v>
      </c>
      <c r="D27292" s="4"/>
    </row>
    <row collapsed="" customFormat="false" customHeight="1" hidden="" ht="14" outlineLevel="0" r="27293">
      <c r="A27293" s="3" t="inlineStr">
        <is>
          <t>27171</t>
        </is>
      </c>
      <c r="B27293" s="4" t="s">
        <f>=HYPERLINK("http://anyluxury.ru/shop/sumki-i-ryukzaki/dorozhnye-sumki-chemodany/chemodan-dlya-ruchnoy-kladi-proxis-s-siniy-cw601001/" , "CW6-01001 Чемодан для ручной клади Proxis S, синий")</f>
      </c>
      <c r="C27293" s="4" t="n">
        <v>43900.00</v>
      </c>
      <c r="D27293" s="4"/>
    </row>
    <row collapsed="" customFormat="false" customHeight="1" hidden="" ht="14" outlineLevel="0" r="27294">
      <c r="A27294" s="3" t="inlineStr">
        <is>
          <t>27172</t>
        </is>
      </c>
      <c r="B27294" s="4" t="s">
        <f>=HYPERLINK("http://anyluxury.ru/shop/sumki-i-ryukzaki/dorozhnye-sumki-chemodany/chemodan-dlya-ruchnoy-kladi-proxis-s-serebristiy-cw625001/" , "CW6-25001 Чемодан для ручной клади Proxis S, серебристый")</f>
      </c>
      <c r="C27294" s="4" t="n">
        <v>43900.00</v>
      </c>
      <c r="D27294" s="4"/>
    </row>
    <row collapsed="" customFormat="false" customHeight="1" hidden="" ht="14" outlineLevel="0" r="27295">
      <c r="A27295" s="3" t="inlineStr">
        <is>
          <t>27173</t>
        </is>
      </c>
      <c r="B27295" s="4" t="s">
        <f>=HYPERLINK("http://anyluxury.ru/shop/sumki-i-ryukzaki/dorozhnye-sumki-chemodany/sumka-dorozhnaya-blite-icon-chernaya-ch509011/" , "CH5-09011 Сумка дорожная B-Lite Icon, черная")</f>
      </c>
      <c r="C27295" s="4" t="n">
        <v>14900.00</v>
      </c>
      <c r="D27295" s="4"/>
    </row>
    <row collapsed="" customFormat="false" customHeight="1" hidden="" ht="14" outlineLevel="0" r="27296">
      <c r="A27296" s="3" t="inlineStr">
        <is>
          <t>27174</t>
        </is>
      </c>
      <c r="B27296" s="4" t="s">
        <f>=HYPERLINK("http://anyluxury.ru/shop/sumki-i-ryukzaki/dorozhnye-sumki-chemodany/chemodan-dlya-ruchnoy-kladi-magnum-eco-s-cherniy-kh218001/" , "KH2-18001 Чемодан для ручной клади Magnum Eco S, черный")</f>
      </c>
      <c r="C27296" s="4" t="n">
        <v>21900.00</v>
      </c>
      <c r="D27296" s="4"/>
    </row>
    <row collapsed="" customFormat="false" customHeight="1" hidden="" ht="14" outlineLevel="0" r="27297">
      <c r="A27297" s="3" t="inlineStr">
        <is>
          <t>27175</t>
        </is>
      </c>
      <c r="B27297" s="4" t="s">
        <f>=HYPERLINK("http://anyluxury.ru/shop/sumki-i-ryukzaki/dorozhnye-sumki-chemodany/chemodan-dlya-ruchnoy-kladi-magnum-eco-s-temnozeleniy-kh224001/" , "KH2-24001 Чемодан для ручной клади Magnum Eco S, темно-зеленый")</f>
      </c>
      <c r="C27297" s="4" t="n">
        <v>21900.00</v>
      </c>
      <c r="D27297" s="4"/>
    </row>
    <row collapsed="" customFormat="false" customHeight="1" hidden="" ht="14" outlineLevel="0" r="27298">
      <c r="A27298" s="3" t="inlineStr">
        <is>
          <t>27176</t>
        </is>
      </c>
      <c r="B27298" s="4" t="s">
        <f>=HYPERLINK("http://anyluxury.ru/shop/sumki-i-ryukzaki/dorozhnye-sumki-chemodany/chemodan-dlya-ruchnoy-kladi-magnum-eco-s-serogoluboy-kh211001/" , "KH2-11001 Чемодан для ручной клади Magnum Eco S, серо-голубой")</f>
      </c>
      <c r="C27298" s="4" t="n">
        <v>21900.00</v>
      </c>
      <c r="D27298" s="4"/>
    </row>
    <row collapsed="" customFormat="false" customHeight="1" hidden="" ht="14" outlineLevel="0" r="27299">
      <c r="A27299" s="3" t="inlineStr">
        <is>
          <t>27177</t>
        </is>
      </c>
      <c r="B27299" s="4" t="s">
        <f>=HYPERLINK("http://anyluxury.ru/shop/sumki-i-ryukzaki/dorozhnye-sumki-chemodany/chemodan-dlya-ruchnoy-kladi-magnum-eco-s-siniy-kh201001/" , "KH2-01001 Чемодан для ручной клади Magnum Eco S, синий")</f>
      </c>
      <c r="C27299" s="4" t="n">
        <v>26280.00</v>
      </c>
      <c r="D27299" s="4"/>
    </row>
    <row collapsed="" customFormat="false" customHeight="1" hidden="" ht="14" outlineLevel="0" r="27300">
      <c r="A27300" s="3" t="inlineStr">
        <is>
          <t>27178</t>
        </is>
      </c>
      <c r="B27300" s="4" t="s">
        <f>=HYPERLINK("http://anyluxury.ru/shop/sumki-i-ryukzaki/dorozhnye-sumki-chemodany/dorozhnaya-sumka-na-kolesah-midtown-s-temnosinyaya-ke301004/" , "KE3-01004 Дорожная сумка на колесах Midtown S, темно-синяя")</f>
      </c>
      <c r="C27300" s="4" t="n">
        <v>20100.00</v>
      </c>
      <c r="D27300" s="4"/>
    </row>
    <row collapsed="" customFormat="false" customHeight="1" hidden="" ht="14" outlineLevel="0" r="27301">
      <c r="A27301" s="3" t="inlineStr">
        <is>
          <t>27179</t>
        </is>
      </c>
      <c r="B27301" s="4" t="s">
        <f>=HYPERLINK("http://anyluxury.ru/shop/sumki-i-ryukzaki/dorozhnye-sumki-chemodany/dorozhnaya-sumka-na-kolesah-midtown-s-seriy-kamuflyazh-ke308004/" , "KE3-08004 Дорожная сумка на колесах Midtown S, серый камуфляж")</f>
      </c>
      <c r="C27301" s="4" t="n">
        <v>20100.00</v>
      </c>
      <c r="D27301" s="4"/>
    </row>
    <row collapsed="" customFormat="false" customHeight="1" hidden="" ht="14" outlineLevel="0" r="27302">
      <c r="A27302" s="3" t="inlineStr">
        <is>
          <t>27180</t>
        </is>
      </c>
      <c r="B27302" s="4" t="s">
        <f>=HYPERLINK("http://anyluxury.ru/shop/sumki-i-ryukzaki/dorozhnye-sumki-chemodany/dorozhnaya-sumka-na-kolesah-midtown-s-chernaya-ke309004/" , "KE3-09004 Дорожная сумка на колесах Midtown S, черная")</f>
      </c>
      <c r="C27302" s="4" t="n">
        <v>20100.00</v>
      </c>
      <c r="D27302" s="4"/>
    </row>
    <row collapsed="" customFormat="false" customHeight="1" hidden="" ht="14" outlineLevel="0" r="27303">
      <c r="A27303" s="3" t="inlineStr">
        <is>
          <t>27181</t>
        </is>
      </c>
      <c r="B27303" s="4" t="s">
        <f>=HYPERLINK("http://anyluxury.ru/shop/sumki-i-ryukzaki/dorozhnye-sumki-chemodany/dorozhnaya-sumka-na-kolesah-midtown-m-seriy-kamuflyazh-ke308006/" , "KE3-08006 Дорожная сумка на колесах Midtown M, серый камуфляж")</f>
      </c>
      <c r="C27303" s="4" t="n">
        <v>27100.00</v>
      </c>
      <c r="D27303" s="4"/>
    </row>
    <row collapsed="" customFormat="false" customHeight="1" hidden="" ht="14" outlineLevel="0" r="27304">
      <c r="A27304" s="3" t="inlineStr">
        <is>
          <t>27182</t>
        </is>
      </c>
      <c r="B27304" s="4" t="s">
        <f>=HYPERLINK("http://anyluxury.ru/shop/sumki-i-ryukzaki/dorozhnye-sumki-chemodany/dorozhnaya-sumka-na-kolesah-midtown-m-temnosinyaya-ke301006/" , "KE3-01006 Дорожная сумка на колесах Midtown M, темно-синяя")</f>
      </c>
      <c r="C27304" s="4" t="n">
        <v>27100.00</v>
      </c>
      <c r="D27304" s="4"/>
    </row>
    <row collapsed="" customFormat="false" customHeight="1" hidden="" ht="14" outlineLevel="0" r="27305">
      <c r="A27305" s="3" t="inlineStr">
        <is>
          <t>27183</t>
        </is>
      </c>
      <c r="B27305" s="4" t="s">
        <f>=HYPERLINK("http://anyluxury.ru/shop/sumki-i-ryukzaki/dorozhnye-sumki-chemodany/dorozhnaya-sumka-na-kolesah-midtown-m-chernaya-ke309006/" , "KE3-09006 Дорожная сумка на колесах Midtown M, черная")</f>
      </c>
      <c r="C27305" s="4" t="n">
        <v>27100.00</v>
      </c>
      <c r="D27305" s="4"/>
    </row>
    <row collapsed="" customFormat="false" customHeight="1" hidden="" ht="14" outlineLevel="0" r="27306">
      <c r="A27306" s="3" t="inlineStr">
        <is>
          <t>27184</t>
        </is>
      </c>
      <c r="B27306" s="4" t="s">
        <f>=HYPERLINK("http://anyluxury.ru/shop/sumki-i-ryukzaki/dorozhnye-sumki-chemodany/sumka-dorozhnaya-sonora-sinyaya-ka101006/" , "KA1-01006 Сумка дорожная Sonora, синяя")</f>
      </c>
      <c r="C27306" s="4" t="n">
        <v>7700.00</v>
      </c>
      <c r="D27306" s="4"/>
    </row>
    <row collapsed="" customFormat="false" customHeight="1" hidden="" ht="14" outlineLevel="0" r="27307">
      <c r="A27307" s="3" t="inlineStr">
        <is>
          <t>27185</t>
        </is>
      </c>
      <c r="B27307" s="4" t="s">
        <f>=HYPERLINK("http://anyluxury.ru/shop/sumki-i-ryukzaki/dorozhnye-sumki-chemodany/dorozhnaya-sumka-na-kolesah-sonora-s-sinyaya-ka101008/" , "KA1-01008 Дорожная сумка на колесах Sonora S, синяя")</f>
      </c>
      <c r="C27307" s="4" t="n">
        <v>17800.00</v>
      </c>
      <c r="D27307" s="4"/>
    </row>
    <row collapsed="" customFormat="false" customHeight="1" hidden="" ht="14" outlineLevel="0" r="27308">
      <c r="A27308" s="3" t="inlineStr">
        <is>
          <t>27186</t>
        </is>
      </c>
      <c r="B27308" s="4" t="s">
        <f>=HYPERLINK("http://anyluxury.ru/shop/sumki-i-ryukzaki/dorozhnye-sumki-chemodany/dorozhnaya-sumka-na-kolesah-sonora-s-chernaya-ka109008/" , "KA1-09008 Дорожная сумка на колесах Sonora S, черная")</f>
      </c>
      <c r="C27308" s="4" t="n">
        <v>17800.00</v>
      </c>
      <c r="D27308" s="4"/>
    </row>
    <row collapsed="" customFormat="false" customHeight="1" hidden="" ht="14" outlineLevel="0" r="27309">
      <c r="A27309" s="3" t="inlineStr">
        <is>
          <t>27187</t>
        </is>
      </c>
      <c r="B27309" s="4" t="s">
        <f>=HYPERLINK("http://anyluxury.ru/shop/sumki-i-ryukzaki/dorozhnye-sumki-chemodany/dorozhnaya-sumka-na-kolesah-sonora-s-krasnaya-ka100008/" , "KA1-00008 Дорожная сумка на колесах Sonora S, красная")</f>
      </c>
      <c r="C27309" s="4" t="n">
        <v>17800.00</v>
      </c>
      <c r="D27309" s="4"/>
    </row>
    <row collapsed="" customFormat="false" customHeight="1" hidden="" ht="14" outlineLevel="0" r="27310">
      <c r="A27310" s="3" t="inlineStr">
        <is>
          <t>27188</t>
        </is>
      </c>
      <c r="B27310" s="4" t="s">
        <f>=HYPERLINK("http://anyluxury.ru/shop/sumki-i-ryukzaki/dorozhnye-sumki-chemodany/dorozhnaya-sumka-na-kolesah-sonora-m-sinyaya-ka101009/" , "KA1-01009 Дорожная сумка на колесах Sonora M, синяя")</f>
      </c>
      <c r="C27310" s="4" t="n">
        <v>20400.00</v>
      </c>
      <c r="D27310" s="4"/>
    </row>
    <row collapsed="" customFormat="false" customHeight="1" hidden="" ht="14" outlineLevel="0" r="27311">
      <c r="A27311" s="3" t="inlineStr">
        <is>
          <t>27189</t>
        </is>
      </c>
      <c r="B27311" s="4" t="s">
        <f>=HYPERLINK("http://anyluxury.ru/shop/sumki-i-ryukzaki/dorozhnye-sumki-chemodany/poyasnaya-sumka-dlya-dokumentov-money-belt-sinyaya-1372040/" , "13720.40 Поясная сумка для документов Money Belt, синяя")</f>
      </c>
      <c r="C27311" s="4" t="n">
        <v>950.00</v>
      </c>
      <c r="D27311" s="4"/>
    </row>
    <row collapsed="" customFormat="false" customHeight="1" hidden="" ht="14" outlineLevel="0" r="27312">
      <c r="A27312" s="3" t="inlineStr">
        <is>
          <t>27190</t>
        </is>
      </c>
      <c r="B27312" s="4" t="s">
        <f>=HYPERLINK("http://anyluxury.ru/shop/sumki-i-ryukzaki/dorozhnye-sumki-chemodany/poyasnaya-sumka-business-belt-bag-s-rfidzashhitoy-seraya-1509410/" , "15094.10 Поясная сумка Business Belt Bag с RFID-защитой, серая")</f>
      </c>
      <c r="C27312" s="4" t="n">
        <v>1590.00</v>
      </c>
      <c r="D27312" s="4"/>
    </row>
    <row collapsed="" customFormat="false" customHeight="1" hidden="" ht="14" outlineLevel="0" r="27313">
      <c r="A27313" s="3" t="inlineStr">
        <is>
          <t>27191</t>
        </is>
      </c>
      <c r="B27313" s="4" t="s">
        <f>=HYPERLINK("http://anyluxury.ru/shop/sumki-i-ryukzaki/dorozhnye-sumki-chemodany/sportivnaya-sumka-portage-krasnaya-1380550/" , "13805.50 Спортивная сумка Portager, красная")</f>
      </c>
      <c r="C27313" s="4" t="n">
        <v>1000.00</v>
      </c>
      <c r="D27313" s="4"/>
    </row>
    <row collapsed="" customFormat="false" customHeight="1" hidden="" ht="14" outlineLevel="0" r="27314">
      <c r="A27314" s="3" t="inlineStr">
        <is>
          <t>27192</t>
        </is>
      </c>
      <c r="B27314" s="4" t="s">
        <f>=HYPERLINK("http://anyluxury.ru/shop/sumki-i-ryukzaki/dorozhnye-sumki-chemodany/sportivnaya-sumka-portager-chernaya-1380530/" , "13805.30 Спортивная сумка Portager, черная")</f>
      </c>
      <c r="C27314" s="4" t="n">
        <v>1000.00</v>
      </c>
      <c r="D27314" s="4"/>
    </row>
    <row collapsed="" customFormat="false" customHeight="1" hidden="" ht="14" outlineLevel="0" r="27315">
      <c r="A27315" s="3" t="inlineStr">
        <is>
          <t>27193</t>
        </is>
      </c>
      <c r="B27315" s="4" t="s">
        <f>=HYPERLINK("http://anyluxury.ru/shop/sumki-i-ryukzaki/dorozhnye-sumki-chemodany/sportivnaya-sumka-portager-temnosinyaya-1380540/" , "13805.40 Спортивная сумка Portager, темно-синяя")</f>
      </c>
      <c r="C27315" s="4" t="n">
        <v>1000.00</v>
      </c>
      <c r="D27315" s="4"/>
    </row>
    <row collapsed="" customFormat="false" customHeight="1" hidden="" ht="14" outlineLevel="0" r="27316">
      <c r="A27316" s="3" t="inlineStr">
        <is>
          <t>27194</t>
        </is>
      </c>
      <c r="B27316" s="4" t="s">
        <f>=HYPERLINK("http://anyluxury.ru/shop/sumki-i-ryukzaki/dorozhnye-sumki-chemodany/chemodan-getaway-m-cherniy-1407630/" , "14076.30 Чемодан Getaway М, черный")</f>
      </c>
      <c r="C27316" s="4" t="n">
        <v>16640.00</v>
      </c>
      <c r="D27316" s="4"/>
    </row>
    <row collapsed="" customFormat="false" customHeight="1" hidden="" ht="14" outlineLevel="0" r="27317">
      <c r="A27317" s="3" t="inlineStr">
        <is>
          <t>27195</t>
        </is>
      </c>
      <c r="B27317" s="4" t="s">
        <f>=HYPERLINK("http://anyluxury.ru/shop/sumki-i-ryukzaki/dorozhnye-sumki-chemodany/chemodan-dlya-ruchnoy-kladi-lumen-s-krasniy-1407750/" , "14077.50 Чемодан для ручной клади Lumen S, красный")</f>
      </c>
      <c r="C27317" s="4" t="n">
        <v>13990.00</v>
      </c>
      <c r="D27317" s="4"/>
    </row>
    <row collapsed="" customFormat="false" customHeight="1" hidden="" ht="14" outlineLevel="0" r="27318">
      <c r="A27318" s="3" t="inlineStr">
        <is>
          <t>27196</t>
        </is>
      </c>
      <c r="B27318" s="4" t="s">
        <f>=HYPERLINK("http://anyluxury.ru/shop/sumki-i-ryukzaki/dorozhnye-sumki-chemodany/chemodan-lumen-m-krasniy-1407850/" , "14078.50 Чемодан Lumen M, красный")</f>
      </c>
      <c r="C27318" s="4" t="n">
        <v>17500.00</v>
      </c>
      <c r="D27318" s="4"/>
    </row>
    <row collapsed="" customFormat="false" customHeight="1" hidden="" ht="14" outlineLevel="0" r="27319">
      <c r="A27319" s="3" t="inlineStr">
        <is>
          <t>27197</t>
        </is>
      </c>
      <c r="B27319" s="4" t="s">
        <f>=HYPERLINK("http://anyluxury.ru/shop/sumki-i-ryukzaki/dorozhnye-sumki-chemodany/chemodan-dlya-ruchnoy-kladi-lumen-s-rozoviy-1407715/" , "14077.15 Чемодан для ручной клади Lumen S, розовый")</f>
      </c>
      <c r="C27319" s="4" t="n">
        <v>13990.00</v>
      </c>
      <c r="D27319" s="4"/>
    </row>
    <row collapsed="" customFormat="false" customHeight="1" hidden="" ht="14" outlineLevel="0" r="27320">
      <c r="A27320" s="3" t="inlineStr">
        <is>
          <t>27198</t>
        </is>
      </c>
      <c r="B27320" s="4" t="s">
        <f>=HYPERLINK("http://anyluxury.ru/shop/sumki-i-ryukzaki/dorozhnye-sumki-chemodany/chemodan-dlya-ruchnoy-kladi-lumen-s-serebristiy-1407711/" , "14077.11 Чемодан для ручной клади Lumen S, серебристый")</f>
      </c>
      <c r="C27320" s="4" t="n">
        <v>13990.00</v>
      </c>
      <c r="D27320" s="4"/>
    </row>
    <row collapsed="" customFormat="false" customHeight="1" hidden="" ht="14" outlineLevel="0" r="27321">
      <c r="A27321" s="3" t="inlineStr">
        <is>
          <t>27199</t>
        </is>
      </c>
      <c r="B27321" s="4" t="s">
        <f>=HYPERLINK("http://anyluxury.ru/shop/sumki-i-ryukzaki/dorozhnye-sumki-chemodany/chemodan-lumen-m-cherniy-1407830/" , "14078.30 Чемодан Lumen M, черный")</f>
      </c>
      <c r="C27321" s="4" t="n">
        <v>17500.00</v>
      </c>
      <c r="D27321" s="4"/>
    </row>
    <row collapsed="" customFormat="false" customHeight="1" hidden="" ht="14" outlineLevel="0" r="27322">
      <c r="A27322" s="3" t="inlineStr">
        <is>
          <t>27200</t>
        </is>
      </c>
      <c r="B27322" s="4" t="s">
        <f>=HYPERLINK("http://anyluxury.ru/shop/sumki-i-ryukzaki/dorozhnye-sumki-chemodany/chemodan-dlya-ruchnoy-kladi-ridge-s-bordoviy-1407955/" , "14079.55 Чемодан для ручной клади Ridge S, бордовый")</f>
      </c>
      <c r="C27322" s="4" t="n">
        <v>10020.00</v>
      </c>
      <c r="D27322" s="4"/>
    </row>
    <row collapsed="" customFormat="false" customHeight="1" hidden="" ht="14" outlineLevel="0" r="27323">
      <c r="A27323" s="3" t="inlineStr">
        <is>
          <t>27201</t>
        </is>
      </c>
      <c r="B27323" s="4" t="s">
        <f>=HYPERLINK("http://anyluxury.ru/shop/sumki-i-ryukzaki/dorozhnye-sumki-chemodany/chemodan-ridge-m-bordoviy-1408055/" , "14080.55 Чемодан Ridge M, бордовый")</f>
      </c>
      <c r="C27323" s="4" t="n">
        <v>11340.00</v>
      </c>
      <c r="D27323" s="4"/>
    </row>
    <row collapsed="" customFormat="false" customHeight="1" hidden="" ht="14" outlineLevel="0" r="27324">
      <c r="A27324" s="3" t="inlineStr">
        <is>
          <t>27202</t>
        </is>
      </c>
      <c r="B27324" s="4" t="s">
        <f>=HYPERLINK("http://anyluxury.ru/shop/sumki-i-ryukzaki/dorozhnye-sumki-chemodany/chemodan-ridge-l-bordoviy-1408155/" , "14081.55 Чемодан Ridge L, бордовый")</f>
      </c>
      <c r="C27324" s="4" t="n">
        <v>13920.00</v>
      </c>
      <c r="D27324" s="4"/>
    </row>
    <row collapsed="" customFormat="false" customHeight="1" hidden="" ht="14" outlineLevel="0" r="27325">
      <c r="A27325" s="3" t="inlineStr">
        <is>
          <t>27203</t>
        </is>
      </c>
      <c r="B27325" s="4" t="s">
        <f>=HYPERLINK("http://anyluxury.ru/shop/sumki-i-ryukzaki/dorozhnye-sumki-chemodany/chemodan-dlya-ruchnoy-kladi-ridge-s-zeleniy-1407990/" , "14079.90 Чемодан для ручной клади Ridge S, зеленый")</f>
      </c>
      <c r="C27325" s="4" t="n">
        <v>10020.00</v>
      </c>
      <c r="D27325" s="4"/>
    </row>
    <row collapsed="" customFormat="false" customHeight="1" hidden="" ht="14" outlineLevel="0" r="27326">
      <c r="A27326" s="3" t="inlineStr">
        <is>
          <t>27204</t>
        </is>
      </c>
      <c r="B27326" s="4" t="s">
        <f>=HYPERLINK("http://anyluxury.ru/shop/sumki-i-ryukzaki/dorozhnye-sumki-chemodany/chemodan-ridge-m-zeleniy-1408090/" , "14080.90 Чемодан Ridge M, зеленый")</f>
      </c>
      <c r="C27326" s="4" t="n">
        <v>11340.00</v>
      </c>
      <c r="D27326" s="4"/>
    </row>
    <row collapsed="" customFormat="false" customHeight="1" hidden="" ht="14" outlineLevel="0" r="27327">
      <c r="A27327" s="3" t="inlineStr">
        <is>
          <t>27205</t>
        </is>
      </c>
      <c r="B27327" s="4" t="s">
        <f>=HYPERLINK("http://anyluxury.ru/shop/sumki-i-ryukzaki/dorozhnye-sumki-chemodany/chemodan-ridge-l-zeleniy-1408190/" , "14081.90 Чемодан Ridge L, зеленый")</f>
      </c>
      <c r="C27327" s="4" t="n">
        <v>13920.00</v>
      </c>
      <c r="D27327" s="4"/>
    </row>
    <row collapsed="" customFormat="false" customHeight="1" hidden="" ht="14" outlineLevel="0" r="27328">
      <c r="A27328" s="3" t="inlineStr">
        <is>
          <t>27206</t>
        </is>
      </c>
      <c r="B27328" s="4" t="s">
        <f>=HYPERLINK("http://anyluxury.ru/shop/sumki-i-ryukzaki/dorozhnye-sumki-chemodany/chemodan-dlya-ruchnoy-kladi-ridge-s-serebristiy-1407911/" , "14079.11 Чемодан для ручной клади Ridge S, серебристый")</f>
      </c>
      <c r="C27328" s="4" t="n">
        <v>10020.00</v>
      </c>
      <c r="D27328" s="4"/>
    </row>
    <row collapsed="" customFormat="false" customHeight="1" hidden="" ht="14" outlineLevel="0" r="27329">
      <c r="A27329" s="3" t="inlineStr">
        <is>
          <t>27207</t>
        </is>
      </c>
      <c r="B27329" s="4" t="s">
        <f>=HYPERLINK("http://anyluxury.ru/shop/sumki-i-ryukzaki/dorozhnye-sumki-chemodany/chemodan-ridge-m-serebristiy-1408011/" , "14080.11 Чемодан Ridge M, серебристый")</f>
      </c>
      <c r="C27329" s="4" t="n">
        <v>11340.00</v>
      </c>
      <c r="D27329" s="4"/>
    </row>
    <row collapsed="" customFormat="false" customHeight="1" hidden="" ht="14" outlineLevel="0" r="27330">
      <c r="A27330" s="3" t="inlineStr">
        <is>
          <t>27208</t>
        </is>
      </c>
      <c r="B27330" s="4" t="s">
        <f>=HYPERLINK("http://anyluxury.ru/shop/sumki-i-ryukzaki/dorozhnye-sumki-chemodany/chemodan-ridge-l-serebristiy-1408111/" , "14081.11 Чемодан Ridge L, серебристый")</f>
      </c>
      <c r="C27330" s="4" t="n">
        <v>13920.00</v>
      </c>
      <c r="D27330" s="4"/>
    </row>
    <row collapsed="" customFormat="false" customHeight="1" hidden="" ht="14" outlineLevel="0" r="27331">
      <c r="A27331" s="3" t="inlineStr">
        <is>
          <t>27209</t>
        </is>
      </c>
      <c r="B27331" s="4" t="s">
        <f>=HYPERLINK("http://anyluxury.ru/shop/sumki-i-ryukzaki/dorozhnye-sumki-chemodany/chemodan-dlya-ruchnoy-kladi-ridge-s-siniy-1407940/" , "14079.40 Чемодан для ручной клади Ridge S, синий")</f>
      </c>
      <c r="C27331" s="4" t="n">
        <v>10020.00</v>
      </c>
      <c r="D27331" s="4"/>
    </row>
    <row collapsed="" customFormat="false" customHeight="1" hidden="" ht="14" outlineLevel="0" r="27332">
      <c r="A27332" s="3" t="inlineStr">
        <is>
          <t>27210</t>
        </is>
      </c>
      <c r="B27332" s="4" t="s">
        <f>=HYPERLINK("http://anyluxury.ru/shop/sumki-i-ryukzaki/dorozhnye-sumki-chemodany/chemodan-ridge-m-siniy-1408040/" , "14080.40 Чемодан Ridge M, синий")</f>
      </c>
      <c r="C27332" s="4" t="n">
        <v>11340.00</v>
      </c>
      <c r="D27332" s="4"/>
    </row>
    <row collapsed="" customFormat="false" customHeight="1" hidden="" ht="14" outlineLevel="0" r="27333">
      <c r="A27333" s="3" t="inlineStr">
        <is>
          <t>27211</t>
        </is>
      </c>
      <c r="B27333" s="4" t="s">
        <f>=HYPERLINK("http://anyluxury.ru/shop/sumki-i-ryukzaki/dorozhnye-sumki-chemodany/chemodan-ridge-l-siniy-1408140/" , "14081.40 Чемодан Ridge L, синий")</f>
      </c>
      <c r="C27333" s="4" t="n">
        <v>13920.00</v>
      </c>
      <c r="D27333" s="4"/>
    </row>
    <row collapsed="" customFormat="false" customHeight="1" hidden="" ht="14" outlineLevel="0" r="27334">
      <c r="A27334" s="3" t="inlineStr">
        <is>
          <t>27212</t>
        </is>
      </c>
      <c r="B27334" s="4" t="s">
        <f>=HYPERLINK("http://anyluxury.ru/shop/sumki-i-ryukzaki/dorozhnye-sumki-chemodany/chemodan-uster-m-cherniy-1408230/" , "14082.30 Чемодан Uster M, черный")</f>
      </c>
      <c r="C27334" s="4" t="n">
        <v>10380.00</v>
      </c>
      <c r="D27334" s="4"/>
    </row>
    <row collapsed="" customFormat="false" customHeight="1" hidden="" ht="14" outlineLevel="0" r="27335">
      <c r="A27335" s="3" t="inlineStr">
        <is>
          <t>27213</t>
        </is>
      </c>
      <c r="B27335" s="4" t="s">
        <f>=HYPERLINK("http://anyluxury.ru/shop/sumki-i-ryukzaki/dorozhnye-sumki-chemodany/chemodan-uster-l-cherniy-1408330/" , "14083.30 Чемодан Uster L, черный")</f>
      </c>
      <c r="C27335" s="4" t="n">
        <v>12560.00</v>
      </c>
      <c r="D27335" s="4"/>
    </row>
    <row collapsed="" customFormat="false" customHeight="1" hidden="" ht="14" outlineLevel="0" r="27336">
      <c r="A27336" s="3" t="inlineStr">
        <is>
          <t>27214</t>
        </is>
      </c>
      <c r="B27336" s="4" t="s">
        <f>=HYPERLINK("http://anyluxury.ru/shop/sumki-i-ryukzaki/dorozhnye-sumki-chemodany/chemodan-vaud-l-siniy-1408440/" , "14084.40 Чемодан Vaud L, синий")</f>
      </c>
      <c r="C27336" s="4" t="n">
        <v>13480.00</v>
      </c>
      <c r="D27336" s="4"/>
    </row>
    <row collapsed="" customFormat="false" customHeight="1" hidden="" ht="14" outlineLevel="0" r="27337">
      <c r="A27337" s="3" t="inlineStr">
        <is>
          <t>27215</t>
        </is>
      </c>
      <c r="B27337" s="4" t="s">
        <f>=HYPERLINK("http://anyluxury.ru/shop/sumki-i-ryukzaki/dorozhnye-sumki-chemodany/chemodan-vaud-l-bordoviy-1408455/" , "14084.55 Чемодан Vaud L, бордовый")</f>
      </c>
      <c r="C27337" s="4" t="n">
        <v>13480.00</v>
      </c>
      <c r="D27337" s="4"/>
    </row>
    <row collapsed="" customFormat="false" customHeight="1" hidden="" ht="14" outlineLevel="0" r="27338">
      <c r="A27338" s="3" t="inlineStr">
        <is>
          <t>27216</t>
        </is>
      </c>
      <c r="B27338" s="4" t="s">
        <f>=HYPERLINK("http://anyluxury.ru/shop/sumki-i-ryukzaki/dorozhnye-sumki-chemodany/chemodan-lightweight-luggage-s-cherniy-1471830/" , "14718.30 Чемодан Lightweight Luggage S, черный")</f>
      </c>
      <c r="C27338" s="4" t="n">
        <v>10490.00</v>
      </c>
      <c r="D27338" s="4"/>
    </row>
    <row collapsed="" customFormat="false" customHeight="1" hidden="" ht="14" outlineLevel="0" r="27339">
      <c r="A27339" s="3" t="inlineStr">
        <is>
          <t>27217</t>
        </is>
      </c>
      <c r="B27339" s="4" t="s">
        <f>=HYPERLINK("http://anyluxury.ru/shop/sumki-i-ryukzaki/dorozhnye-sumki-chemodany/chemodan-lightweight-luggage-s-siniy-1471840/" , "14718.40 Чемодан Lightweight Luggage S, синий")</f>
      </c>
      <c r="C27339" s="4" t="n">
        <v>10490.00</v>
      </c>
      <c r="D27339" s="4"/>
    </row>
    <row collapsed="" customFormat="false" customHeight="1" hidden="" ht="14" outlineLevel="0" r="27340">
      <c r="A27340" s="3" t="inlineStr">
        <is>
          <t>27218</t>
        </is>
      </c>
      <c r="B27340" s="4" t="s">
        <f>=HYPERLINK("http://anyluxury.ru/shop/sumki-i-ryukzaki/dorozhnye-sumki-chemodany/chemodan-lightweight-luggage-s-krasniy-1471850/" , "14718.50 Чемодан Lightweight Luggage S, красный")</f>
      </c>
      <c r="C27340" s="4" t="n">
        <v>10490.00</v>
      </c>
      <c r="D27340" s="4"/>
    </row>
    <row collapsed="" customFormat="false" customHeight="1" hidden="" ht="14" outlineLevel="0" r="27341">
      <c r="A27341" s="3" t="inlineStr">
        <is>
          <t>27219</t>
        </is>
      </c>
      <c r="B27341" s="4" t="s">
        <f>=HYPERLINK("http://anyluxury.ru/shop/sumki-i-ryukzaki/dorozhnye-sumki-chemodany/chemodan-lightweight-luggage-s-bezheviy-1471800/" , "14718.00 Чемодан Lightweight Luggage S, бежевый")</f>
      </c>
      <c r="C27341" s="4" t="n">
        <v>10490.00</v>
      </c>
      <c r="D27341" s="4"/>
    </row>
    <row collapsed="" customFormat="false" customHeight="1" hidden="" ht="14" outlineLevel="0" r="27342">
      <c r="A27342" s="3" t="inlineStr">
        <is>
          <t>27220</t>
        </is>
      </c>
      <c r="B27342" s="4" t="s">
        <f>=HYPERLINK("http://anyluxury.ru/shop/sumki-i-ryukzaki/dorozhnye-sumki-chemodany/chemodan-lightweight-luggage-m-cherniy-1471930/" , "14719.30 Чемодан Lightweight Luggage M, черный")</f>
      </c>
      <c r="C27342" s="4" t="n">
        <v>13990.00</v>
      </c>
      <c r="D27342" s="4"/>
    </row>
    <row collapsed="" customFormat="false" customHeight="1" hidden="" ht="14" outlineLevel="0" r="27343">
      <c r="A27343" s="3" t="inlineStr">
        <is>
          <t>27221</t>
        </is>
      </c>
      <c r="B27343" s="4" t="s">
        <f>=HYPERLINK("http://anyluxury.ru/shop/sumki-i-ryukzaki/dorozhnye-sumki-chemodany/chemodan-lightweight-luggage-m-siniy-1471940/" , "14719.40 Чемодан Lightweight Luggage M, синий")</f>
      </c>
      <c r="C27343" s="4" t="n">
        <v>13990.00</v>
      </c>
      <c r="D27343" s="4"/>
    </row>
    <row collapsed="" customFormat="false" customHeight="1" hidden="" ht="14" outlineLevel="0" r="27344">
      <c r="A27344" s="3" t="inlineStr">
        <is>
          <t>27222</t>
        </is>
      </c>
      <c r="B27344" s="4" t="s">
        <f>=HYPERLINK("http://anyluxury.ru/shop/sumki-i-ryukzaki/dorozhnye-sumki-chemodany/chemodan-lightweight-luggage-m-krasniy-1471950/" , "14719.50 Чемодан Lightweight Luggage M, красный")</f>
      </c>
      <c r="C27344" s="4" t="n">
        <v>13990.00</v>
      </c>
      <c r="D27344" s="4"/>
    </row>
    <row collapsed="" customFormat="false" customHeight="1" hidden="" ht="14" outlineLevel="0" r="27345">
      <c r="A27345" s="3" t="inlineStr">
        <is>
          <t>27223</t>
        </is>
      </c>
      <c r="B27345" s="4" t="s">
        <f>=HYPERLINK("http://anyluxury.ru/shop/sumki-i-ryukzaki/dorozhnye-sumki-chemodany/chemodan-lightweight-luggage-m-bezheviy-1471900/" , "14719.00 Чемодан Lightweight Luggage M, бежевый")</f>
      </c>
      <c r="C27345" s="4" t="n">
        <v>13990.00</v>
      </c>
      <c r="D27345" s="4"/>
    </row>
    <row collapsed="" customFormat="false" customHeight="1" hidden="" ht="14" outlineLevel="0" r="27346">
      <c r="A27346" s="3" t="inlineStr">
        <is>
          <t>27224</t>
        </is>
      </c>
      <c r="B27346" s="4" t="s">
        <f>=HYPERLINK("http://anyluxury.ru/shop/sumki-i-ryukzaki/dorozhnye-sumki-chemodany/chemodan-aluminum-frame-pc-luggage-v1-zolotistiy-1463300/" , "14633.00 Чемодан Aluminum Frame PC Luggage V1, золотистый")</f>
      </c>
      <c r="C27346" s="4" t="n">
        <v>16990.00</v>
      </c>
      <c r="D27346" s="4"/>
    </row>
    <row collapsed="" customFormat="false" customHeight="1" hidden="" ht="14" outlineLevel="0" r="27347">
      <c r="A27347" s="3" t="inlineStr">
        <is>
          <t>27225</t>
        </is>
      </c>
      <c r="B27347" s="4" t="s">
        <f>=HYPERLINK("http://anyluxury.ru/shop/sumki-i-ryukzaki/dorozhnye-sumki-chemodany/chemodan-aluminum-frame-pc-luggage-v1-fioletoviy-1463370/" , "14633.70 Чемодан Aluminum Frame PC Luggage V1, фиолетовый")</f>
      </c>
      <c r="C27347" s="4" t="n">
        <v>16990.00</v>
      </c>
      <c r="D27347" s="4"/>
    </row>
    <row collapsed="" customFormat="false" customHeight="1" hidden="" ht="14" outlineLevel="0" r="27348">
      <c r="A27348" s="3" t="inlineStr">
        <is>
          <t>27226</t>
        </is>
      </c>
      <c r="B27348" s="4" t="s">
        <f>=HYPERLINK("http://anyluxury.ru/shop/sumki-i-ryukzaki/dorozhnye-sumki-chemodany/chemodan-aluminum-frame-pc-luggage-v1-cherniy-1463330/" , "14633.30 Чемодан Aluminum Frame PC Luggage V1, черный")</f>
      </c>
      <c r="C27348" s="4" t="n">
        <v>16990.00</v>
      </c>
      <c r="D27348" s="4"/>
    </row>
    <row collapsed="" customFormat="false" customHeight="1" hidden="" ht="14" outlineLevel="0" r="27349">
      <c r="A27349" s="3" t="inlineStr">
        <is>
          <t>27227</t>
        </is>
      </c>
      <c r="B27349" s="4" t="s">
        <f>=HYPERLINK("http://anyluxury.ru/shop/sumki-i-ryukzaki/dorozhnye-sumki-chemodany/chemodan-aluminum-frame-pc-luggage-v1-beliy-1463360/" , "14633.60 Чемодан Aluminum Frame PC Luggage V1, белый")</f>
      </c>
      <c r="C27349" s="4" t="n">
        <v>16990.00</v>
      </c>
      <c r="D27349" s="4"/>
    </row>
    <row collapsed="" customFormat="false" customHeight="1" hidden="" ht="14" outlineLevel="0" r="27350">
      <c r="A27350" s="3" t="inlineStr">
        <is>
          <t>27228</t>
        </is>
      </c>
      <c r="B27350" s="4" t="s">
        <f>=HYPERLINK("http://anyluxury.ru/shop/sumki-i-ryukzaki/dorozhnye-sumki-chemodany/chemodan-danube-luggage-siniy-1463440/" , "14634.40 Чемодан Danube Luggage, синий")</f>
      </c>
      <c r="C27350" s="4" t="n">
        <v>8990.00</v>
      </c>
      <c r="D27350" s="4"/>
    </row>
    <row collapsed="" customFormat="false" customHeight="1" hidden="" ht="14" outlineLevel="0" r="27351">
      <c r="A27351" s="3" t="inlineStr">
        <is>
          <t>27229</t>
        </is>
      </c>
      <c r="B27351" s="4" t="s">
        <f>=HYPERLINK("http://anyluxury.ru/shop/sumki-i-ryukzaki/dorozhnye-sumki-chemodany/chemodan-danube-luggage-beliy-1463460/" , "14634.60 Чемодан Danube Luggage, белый")</f>
      </c>
      <c r="C27351" s="4" t="n">
        <v>8990.00</v>
      </c>
      <c r="D27351" s="4"/>
    </row>
    <row collapsed="" customFormat="false" customHeight="1" hidden="" ht="14" outlineLevel="0" r="27352">
      <c r="A27352" s="3" t="inlineStr">
        <is>
          <t>27230</t>
        </is>
      </c>
      <c r="B27352" s="4" t="s">
        <f>=HYPERLINK("http://anyluxury.ru/shop/sumki-i-ryukzaki/dorozhnye-sumki-chemodany/chemodan-danube-luggage-s-seriy-1463413/" , "14634.13 Чемодан Danube Luggage S, серый")</f>
      </c>
      <c r="C27352" s="4" t="n">
        <v>8990.00</v>
      </c>
      <c r="D27352" s="4"/>
    </row>
    <row collapsed="" customFormat="false" customHeight="1" hidden="" ht="14" outlineLevel="0" r="27353">
      <c r="A27353" s="3" t="inlineStr">
        <is>
          <t>27231</t>
        </is>
      </c>
      <c r="B27353" s="4" t="s">
        <f>=HYPERLINK("http://anyluxury.ru/shop/sumki-i-ryukzaki/dorozhnye-sumki-chemodany/chemodan-danube-luggage-krasniy-1463450/" , "14634.50 Чемодан Danube Luggage, красный")</f>
      </c>
      <c r="C27353" s="4" t="n">
        <v>8990.00</v>
      </c>
      <c r="D27353" s="4"/>
    </row>
    <row collapsed="" customFormat="false" customHeight="1" hidden="" ht="14" outlineLevel="0" r="27354">
      <c r="A27354" s="3" t="inlineStr">
        <is>
          <t>27232</t>
        </is>
      </c>
      <c r="B27354" s="4" t="s">
        <f>=HYPERLINK("http://anyluxury.ru/shop/sumki-i-ryukzaki/dorozhnye-sumki-chemodany/chemodan-rhine-luggage-temnoseriy-1463513/" , "14635.13 Чемодан Rhine Luggage, темно-серый")</f>
      </c>
      <c r="C27354" s="4" t="n">
        <v>10490.00</v>
      </c>
      <c r="D27354" s="4"/>
    </row>
    <row collapsed="" customFormat="false" customHeight="1" hidden="" ht="14" outlineLevel="0" r="27355">
      <c r="A27355" s="3" t="inlineStr">
        <is>
          <t>27233</t>
        </is>
      </c>
      <c r="B27355" s="4" t="s">
        <f>=HYPERLINK("http://anyluxury.ru/shop/sumki-i-ryukzaki/dorozhnye-sumki-chemodany/chemodan-rhine-luggage-cherniy-1463530/" , "14635.30 Чемодан Rhine Luggage, черный")</f>
      </c>
      <c r="C27355" s="4" t="n">
        <v>10490.00</v>
      </c>
      <c r="D27355" s="4"/>
    </row>
    <row collapsed="" customFormat="false" customHeight="1" hidden="" ht="14" outlineLevel="0" r="27356">
      <c r="A27356" s="3" t="inlineStr">
        <is>
          <t>27234</t>
        </is>
      </c>
      <c r="B27356" s="4" t="s">
        <f>=HYPERLINK("http://anyluxury.ru/shop/sumki-i-ryukzaki/dorozhnye-sumki-chemodany/chemodan-rhine-luggage-serogoluboy-1463514/" , "14635.14 Чемодан Rhine Luggage, серо-голубой")</f>
      </c>
      <c r="C27356" s="4" t="n">
        <v>10490.00</v>
      </c>
      <c r="D27356" s="4"/>
    </row>
    <row collapsed="" customFormat="false" customHeight="1" hidden="" ht="14" outlineLevel="0" r="27357">
      <c r="A27357" s="3" t="inlineStr">
        <is>
          <t>27235</t>
        </is>
      </c>
      <c r="B27357" s="4" t="s">
        <f>=HYPERLINK("http://anyluxury.ru/shop/sumki-i-ryukzaki/dorozhnye-sumki-chemodany/chemodan-rhine-luggage-zheltiy-1463580/" , "14635.80 Чемодан Rhine Luggage, желтый")</f>
      </c>
      <c r="C27357" s="4" t="n">
        <v>10490.00</v>
      </c>
      <c r="D27357" s="4"/>
    </row>
    <row collapsed="" customFormat="false" customHeight="1" hidden="" ht="14" outlineLevel="0" r="27358">
      <c r="A27358" s="3" t="inlineStr">
        <is>
          <t>27236</t>
        </is>
      </c>
      <c r="B27358" s="4" t="s">
        <f>=HYPERLINK("http://anyluxury.ru/shop/sumki-i-ryukzaki/dorozhnye-sumki-chemodany/chemodan-rhine-luggage-krasniy-1463550/" , "14635.50 Чемодан Rhine Luggage, красный")</f>
      </c>
      <c r="C27358" s="4" t="n">
        <v>10490.00</v>
      </c>
      <c r="D27358" s="4"/>
    </row>
    <row collapsed="" customFormat="false" customHeight="1" hidden="" ht="14" outlineLevel="0" r="27359">
      <c r="A27359" s="3" t="inlineStr">
        <is>
          <t>27237</t>
        </is>
      </c>
      <c r="B27359" s="4" t="s">
        <f>=HYPERLINK("http://anyluxury.ru/shop/sumki-i-ryukzaki/dorozhnye-sumki-chemodany/chemodan-rhine-luggage-rozoviy-1463515/" , "14635.15 Чемодан Rhine Luggage, розовый")</f>
      </c>
      <c r="C27359" s="4" t="n">
        <v>10490.00</v>
      </c>
      <c r="D27359" s="4"/>
    </row>
    <row collapsed="" customFormat="false" customHeight="1" hidden="" ht="14" outlineLevel="0" r="27360">
      <c r="A27360" s="3" t="inlineStr">
        <is>
          <t>27238</t>
        </is>
      </c>
      <c r="B27360" s="4" t="s">
        <f>=HYPERLINK("http://anyluxury.ru/shop/sumki-i-ryukzaki/dorozhnye-sumki-chemodany/chemodan-rhine-luggage-zeleniy-1463590/" , "14635.90 Чемодан Rhine Luggage, зеленый")</f>
      </c>
      <c r="C27360" s="4" t="n">
        <v>10490.00</v>
      </c>
      <c r="D27360" s="4"/>
    </row>
    <row collapsed="" customFormat="false" customHeight="1" hidden="" ht="14" outlineLevel="0" r="27361">
      <c r="A27361" s="3" t="inlineStr">
        <is>
          <t>27239</t>
        </is>
      </c>
      <c r="B27361" s="4" t="s">
        <f>=HYPERLINK("http://anyluxury.ru/shop/sumki-i-ryukzaki/dorozhnye-sumki-chemodany/chemodan-rhine-luggage-beliy-1463560/" , "14635.60 Чемодан Rhine Luggage, белый")</f>
      </c>
      <c r="C27361" s="4" t="n">
        <v>10490.00</v>
      </c>
      <c r="D27361" s="4"/>
    </row>
    <row collapsed="" customFormat="false" customHeight="1" hidden="" ht="14" outlineLevel="0" r="27362">
      <c r="A27362" s="3" t="inlineStr">
        <is>
          <t>27240</t>
        </is>
      </c>
      <c r="B27362" s="4" t="s">
        <f>=HYPERLINK("http://anyluxury.ru/shop/sumki-i-ryukzaki/dorozhnye-sumki-chemodany/chemodan-metal-luggage-serebristiy-1463710/" , "14637.10 Чемодан Metal Luggage, серебристый")</f>
      </c>
      <c r="C27362" s="4" t="n">
        <v>43490.00</v>
      </c>
      <c r="D27362" s="4"/>
    </row>
    <row collapsed="" customFormat="false" customHeight="1" hidden="" ht="14" outlineLevel="0" r="27363">
      <c r="A27363" s="3" t="inlineStr">
        <is>
          <t>27241</t>
        </is>
      </c>
      <c r="B27363" s="4" t="s">
        <f>=HYPERLINK("http://anyluxury.ru/shop/sumki-i-ryukzaki/dorozhnye-sumki-chemodany/chemodan-metal-luggage-cherniy-1463730/" , "14637.30 Чемодан Metal Luggage, черный")</f>
      </c>
      <c r="C27363" s="4" t="n">
        <v>43490.00</v>
      </c>
      <c r="D27363" s="4"/>
    </row>
    <row collapsed="" customFormat="false" customHeight="1" hidden="" ht="14" outlineLevel="0" r="27364">
      <c r="A27364" s="3" t="inlineStr">
        <is>
          <t>27242</t>
        </is>
      </c>
      <c r="B27364" s="4" t="s">
        <f>=HYPERLINK("http://anyluxury.ru/shop/sumki-i-ryukzaki/dorozhnye-sumki-chemodany/chemodan-metal-luggage-zolotistiy-1463700/" , "14637.00 Чемодан Metal Luggage, золотистый")</f>
      </c>
      <c r="C27364" s="4" t="n">
        <v>43490.00</v>
      </c>
      <c r="D27364" s="4"/>
    </row>
    <row collapsed="" customFormat="false" customHeight="1" hidden="" ht="14" outlineLevel="0" r="27365">
      <c r="A27365" s="3" t="inlineStr">
        <is>
          <t>27243</t>
        </is>
      </c>
      <c r="B27365" s="4" t="s">
        <f>=HYPERLINK("http://anyluxury.ru/shop/sumki-i-ryukzaki/dorozhnye-sumki-chemodany/dorozhnaya-sumka-flexpack-go-temnoseraya-1493831/" , "14938.31 Дорожная сумка FlexPack Go, темно-серая")</f>
      </c>
      <c r="C27365" s="4" t="n">
        <v>28500.00</v>
      </c>
      <c r="D27365" s="4"/>
    </row>
    <row collapsed="" customFormat="false" customHeight="1" hidden="" ht="14" outlineLevel="0" r="27366">
      <c r="A27366" s="3" t="inlineStr">
        <is>
          <t>27244</t>
        </is>
      </c>
      <c r="B27366" s="4" t="s">
        <f>=HYPERLINK("http://anyluxury.ru/shop/sumki-i-ryukzaki/dorozhnye-sumki-chemodany/chemodan-brosno-s-krasniy-1495950/" , "14959.50 Чемодан Brosno S, красный")</f>
      </c>
      <c r="C27366" s="4" t="n">
        <v>9910.00</v>
      </c>
      <c r="D27366" s="4"/>
    </row>
    <row collapsed="" customFormat="false" customHeight="1" hidden="" ht="14" outlineLevel="0" r="27367">
      <c r="A27367" s="3" t="inlineStr">
        <is>
          <t>27245</t>
        </is>
      </c>
      <c r="B27367" s="4" t="s">
        <f>=HYPERLINK("http://anyluxury.ru/shop/sumki-i-ryukzaki/dorozhnye-sumki-chemodany/chemodan-brosno-s-cherniy-1495930/" , "14959.30 Чемодан Brosno S, черный")</f>
      </c>
      <c r="C27367" s="4" t="n">
        <v>9910.00</v>
      </c>
      <c r="D27367" s="4"/>
    </row>
    <row collapsed="" customFormat="false" customHeight="1" hidden="" ht="14" outlineLevel="0" r="27368">
      <c r="A27368" s="3" t="inlineStr">
        <is>
          <t>27246</t>
        </is>
      </c>
      <c r="B27368" s="4" t="s">
        <f>=HYPERLINK("http://anyluxury.ru/shop/sumki-i-ryukzaki/dorozhnye-sumki-chemodany/chemodan-brosno-m-krasniy-1496050/" , "14960.50 Чемодан Brosno M, красный")</f>
      </c>
      <c r="C27368" s="4" t="n">
        <v>12410.00</v>
      </c>
      <c r="D27368" s="4"/>
    </row>
    <row collapsed="" customFormat="false" customHeight="1" hidden="" ht="14" outlineLevel="0" r="27369">
      <c r="A27369" s="3" t="inlineStr">
        <is>
          <t>27247</t>
        </is>
      </c>
      <c r="B27369" s="4" t="s">
        <f>=HYPERLINK("http://anyluxury.ru/shop/sumki-i-ryukzaki/dorozhnye-sumki-chemodany/chemodan-brosno-m-cherniy-1496030/" , "14960.30 Чемодан Brosno M, черный")</f>
      </c>
      <c r="C27369" s="4" t="n">
        <v>12410.00</v>
      </c>
      <c r="D27369" s="4"/>
    </row>
    <row collapsed="" customFormat="false" customHeight="1" hidden="" ht="14" outlineLevel="0" r="27370">
      <c r="A27370" s="3" t="inlineStr">
        <is>
          <t>27248</t>
        </is>
      </c>
      <c r="B27370" s="4" t="s">
        <f>=HYPERLINK("http://anyluxury.ru/shop/sumki-i-ryukzaki/dorozhnye-sumki-chemodany/chemodan-brosno-l-krasniy-1496150/" , "14961.50 Чемодан Brosno L, красный")</f>
      </c>
      <c r="C27370" s="4" t="n">
        <v>14870.00</v>
      </c>
      <c r="D27370" s="4"/>
    </row>
    <row collapsed="" customFormat="false" customHeight="1" hidden="" ht="14" outlineLevel="0" r="27371">
      <c r="A27371" s="3" t="inlineStr">
        <is>
          <t>27249</t>
        </is>
      </c>
      <c r="B27371" s="4" t="s">
        <f>=HYPERLINK("http://anyluxury.ru/shop/sumki-i-ryukzaki/dorozhnye-sumki-chemodany/chemodan-brosno-l-cherniy-1496130/" , "14961.30 Чемодан Brosno L, черный")</f>
      </c>
      <c r="C27371" s="4" t="n">
        <v>14870.00</v>
      </c>
      <c r="D27371" s="4"/>
    </row>
    <row collapsed="" customFormat="false" customHeight="1" hidden="" ht="14" outlineLevel="0" r="27372">
      <c r="A27372" s="3" t="inlineStr">
        <is>
          <t>27250</t>
        </is>
      </c>
      <c r="B27372" s="4" t="s">
        <f>=HYPERLINK("http://anyluxury.ru/shop/sumki-i-ryukzaki/dorozhnye-sumki-chemodany/chemodan-seyd-s-cherniy-1496230/" , "14962.30 Чемодан Seyd S, черный")</f>
      </c>
      <c r="C27372" s="4" t="n">
        <v>9910.00</v>
      </c>
      <c r="D27372" s="4"/>
    </row>
    <row collapsed="" customFormat="false" customHeight="1" hidden="" ht="14" outlineLevel="0" r="27373">
      <c r="A27373" s="3" t="inlineStr">
        <is>
          <t>27251</t>
        </is>
      </c>
      <c r="B27373" s="4" t="s">
        <f>=HYPERLINK("http://anyluxury.ru/shop/sumki-i-ryukzaki/dorozhnye-sumki-chemodany/chemodan-seyd-s-temnozeleniy-1496290/" , "14962.90 Чемодан Seyd S, темно-зеленый")</f>
      </c>
      <c r="C27373" s="4" t="n">
        <v>9910.00</v>
      </c>
      <c r="D27373" s="4"/>
    </row>
    <row collapsed="" customFormat="false" customHeight="1" hidden="" ht="14" outlineLevel="0" r="27374">
      <c r="A27374" s="3" t="inlineStr">
        <is>
          <t>27252</t>
        </is>
      </c>
      <c r="B27374" s="4" t="s">
        <f>=HYPERLINK("http://anyluxury.ru/shop/sumki-i-ryukzaki/dorozhnye-sumki-chemodany/chemodan-seyd-m-cherniy-1496330/" , "14963.30 Чемодан Seyd M, черный")</f>
      </c>
      <c r="C27374" s="4" t="n">
        <v>12410.00</v>
      </c>
      <c r="D27374" s="4"/>
    </row>
    <row collapsed="" customFormat="false" customHeight="1" hidden="" ht="14" outlineLevel="0" r="27375">
      <c r="A27375" s="3" t="inlineStr">
        <is>
          <t>27253</t>
        </is>
      </c>
      <c r="B27375" s="4" t="s">
        <f>=HYPERLINK("http://anyluxury.ru/shop/sumki-i-ryukzaki/dorozhnye-sumki-chemodany/chemodan-seyd-m-temnozeleniy-1496390/" , "14963.90 Чемодан Seyd M, темно-зеленый")</f>
      </c>
      <c r="C27375" s="4" t="n">
        <v>12410.00</v>
      </c>
      <c r="D27375" s="4"/>
    </row>
    <row collapsed="" customFormat="false" customHeight="1" hidden="" ht="14" outlineLevel="0" r="27376">
      <c r="A27376" s="3" t="inlineStr">
        <is>
          <t>27254</t>
        </is>
      </c>
      <c r="B27376" s="4" t="s">
        <f>=HYPERLINK("http://anyluxury.ru/shop/sumki-i-ryukzaki/dorozhnye-sumki-chemodany/chemodan-seyd-l-cherniy-1496430/" , "14964.30 Чемодан Seyd L, черный")</f>
      </c>
      <c r="C27376" s="4" t="n">
        <v>14870.00</v>
      </c>
      <c r="D27376" s="4"/>
    </row>
    <row collapsed="" customFormat="false" customHeight="1" hidden="" ht="14" outlineLevel="0" r="27377">
      <c r="A27377" s="3" t="inlineStr">
        <is>
          <t>27255</t>
        </is>
      </c>
      <c r="B27377" s="4" t="s">
        <f>=HYPERLINK("http://anyluxury.ru/shop/sumki-i-ryukzaki/dorozhnye-sumki-chemodany/chemodan-seyd-l-temnozeleniy-1496490/" , "14964.90 Чемодан Seyd L, темно-зеленый")</f>
      </c>
      <c r="C27377" s="4" t="n">
        <v>14870.00</v>
      </c>
      <c r="D27377" s="4"/>
    </row>
    <row collapsed="" customFormat="false" customHeight="1" hidden="" ht="14" outlineLevel="0" r="27378">
      <c r="A27378" s="3" t="inlineStr">
        <is>
          <t>27256</t>
        </is>
      </c>
      <c r="B27378" s="4" t="s">
        <f>=HYPERLINK("http://anyluxury.ru/shop/sumki-i-ryukzaki/dorozhnye-sumki-chemodany/chemodan-gotech-s-cherniy-1516530/" , "15165.30 Чемодан Gotech S, черный")</f>
      </c>
      <c r="C27378" s="4" t="n">
        <v>14490.00</v>
      </c>
      <c r="D27378" s="4"/>
    </row>
    <row collapsed="" customFormat="false" customHeight="1" hidden="" ht="14" outlineLevel="0" r="27379">
      <c r="A27379" s="3" t="inlineStr">
        <is>
          <t>27257</t>
        </is>
      </c>
      <c r="B27379" s="4" t="s">
        <f>=HYPERLINK("http://anyluxury.ru/shop/sumki-i-ryukzaki/dorozhnye-sumki-chemodany/sportivnaya-sumka-portager-seraya-1380510/" , "13805.10 Спортивная сумка Portager, серая")</f>
      </c>
      <c r="C27379" s="4" t="n">
        <v>1000.00</v>
      </c>
      <c r="D27379" s="4"/>
    </row>
    <row collapsed="" customFormat="false" customHeight="1" hidden="" ht="14" outlineLevel="0" r="27380">
      <c r="A27380" s="3" t="inlineStr">
        <is>
          <t>27258</t>
        </is>
      </c>
      <c r="B27380" s="4" t="s">
        <f>=HYPERLINK("http://anyluxury.ru/shop/sumki-i-ryukzaki/dorozhnye-sumki-chemodany/chemodan-caspian-s-temnosiniy-1549540/" , "15495.40 Чемодан Caspian S, темно-синий")</f>
      </c>
      <c r="C27380" s="4" t="n">
        <v>9760.00</v>
      </c>
      <c r="D27380" s="4"/>
    </row>
    <row collapsed="" customFormat="false" customHeight="1" hidden="" ht="14" outlineLevel="0" r="27381">
      <c r="A27381" s="3" t="inlineStr">
        <is>
          <t>27259</t>
        </is>
      </c>
      <c r="B27381" s="4" t="s">
        <f>=HYPERLINK("http://anyluxury.ru/shop/sumki-i-ryukzaki/dorozhnye-sumki-chemodany/chemodan-caspian-m-temnosiniy-1549640/" , "15496.40 Чемодан Caspian M, темно-синий")</f>
      </c>
      <c r="C27381" s="4" t="n">
        <v>12200.00</v>
      </c>
      <c r="D27381" s="4"/>
    </row>
    <row collapsed="" customFormat="false" customHeight="1" hidden="" ht="14" outlineLevel="0" r="27382">
      <c r="A27382" s="3" t="inlineStr">
        <is>
          <t>27260</t>
        </is>
      </c>
      <c r="B27382" s="4" t="s">
        <f>=HYPERLINK("http://anyluxury.ru/shop/sumki-i-ryukzaki/dorozhnye-sumki-chemodany/chemodan-caspian-l-temnosiniy-1549740/" , "15497.40 Чемодан Caspian L, темно-синий")</f>
      </c>
      <c r="C27382" s="4" t="n">
        <v>14630.00</v>
      </c>
      <c r="D27382" s="4"/>
    </row>
    <row collapsed="" customFormat="false" customHeight="1" hidden="" ht="14" outlineLevel="0" r="27383">
      <c r="A27383" s="3" t="inlineStr">
        <is>
          <t>27261</t>
        </is>
      </c>
      <c r="B27383" s="4" t="s">
        <f>=HYPERLINK("http://anyluxury.ru/shop/sumki-i-ryukzaki/dorozhnye-sumki-chemodany/chemodan-lama-s-cherniy-1549230/" , "15492.30 Чемодан Lama S, черный")</f>
      </c>
      <c r="C27383" s="4" t="n">
        <v>9760.00</v>
      </c>
      <c r="D27383" s="4"/>
    </row>
    <row collapsed="" customFormat="false" customHeight="1" hidden="" ht="14" outlineLevel="0" r="27384">
      <c r="A27384" s="3" t="inlineStr">
        <is>
          <t>27262</t>
        </is>
      </c>
      <c r="B27384" s="4" t="s">
        <f>=HYPERLINK("http://anyluxury.ru/shop/sumki-i-ryukzaki/dorozhnye-sumki-chemodany/chemodan-lama-s-serebristiy-1549210/" , "15492.10 Чемодан Lama S, серебристый")</f>
      </c>
      <c r="C27384" s="4" t="n">
        <v>9760.00</v>
      </c>
      <c r="D27384" s="4"/>
    </row>
    <row collapsed="" customFormat="false" customHeight="1" hidden="" ht="14" outlineLevel="0" r="27385">
      <c r="A27385" s="3" t="inlineStr">
        <is>
          <t>27263</t>
        </is>
      </c>
      <c r="B27385" s="4" t="s">
        <f>=HYPERLINK("http://anyluxury.ru/shop/sumki-i-ryukzaki/dorozhnye-sumki-chemodany/chemodan-lama-s-goluboy-1549214/" , "15492.14 Чемодан Lama S, голубой")</f>
      </c>
      <c r="C27385" s="4" t="n">
        <v>9760.00</v>
      </c>
      <c r="D27385" s="4"/>
    </row>
    <row collapsed="" customFormat="false" customHeight="1" hidden="" ht="14" outlineLevel="0" r="27386">
      <c r="A27386" s="3" t="inlineStr">
        <is>
          <t>27264</t>
        </is>
      </c>
      <c r="B27386" s="4" t="s">
        <f>=HYPERLINK("http://anyluxury.ru/shop/sumki-i-ryukzaki/dorozhnye-sumki-chemodany/chemodan-lama-m-cherniy-1549330/" , "15493.30 Чемодан Lama M, черный")</f>
      </c>
      <c r="C27386" s="4" t="n">
        <v>12200.00</v>
      </c>
      <c r="D27386" s="4"/>
    </row>
    <row collapsed="" customFormat="false" customHeight="1" hidden="" ht="14" outlineLevel="0" r="27387">
      <c r="A27387" s="3" t="inlineStr">
        <is>
          <t>27265</t>
        </is>
      </c>
      <c r="B27387" s="4" t="s">
        <f>=HYPERLINK("http://anyluxury.ru/shop/sumki-i-ryukzaki/dorozhnye-sumki-chemodany/chemodan-lama-m-serebristiy-1549310/" , "15493.10 Чемодан Lama M, серебристый")</f>
      </c>
      <c r="C27387" s="4" t="n">
        <v>12200.00</v>
      </c>
      <c r="D27387" s="4"/>
    </row>
    <row collapsed="" customFormat="false" customHeight="1" hidden="" ht="14" outlineLevel="0" r="27388">
      <c r="A27388" s="3" t="inlineStr">
        <is>
          <t>27266</t>
        </is>
      </c>
      <c r="B27388" s="4" t="s">
        <f>=HYPERLINK("http://anyluxury.ru/shop/sumki-i-ryukzaki/dorozhnye-sumki-chemodany/chemodan-lama-m-goluboy-1549314/" , "15493.14 Чемодан Lama M, голубой")</f>
      </c>
      <c r="C27388" s="4" t="n">
        <v>12200.00</v>
      </c>
      <c r="D27388" s="4"/>
    </row>
    <row collapsed="" customFormat="false" customHeight="1" hidden="" ht="14" outlineLevel="0" r="27389">
      <c r="A27389" s="3" t="inlineStr">
        <is>
          <t>27267</t>
        </is>
      </c>
      <c r="B27389" s="4" t="s">
        <f>=HYPERLINK("http://anyluxury.ru/shop/sumki-i-ryukzaki/dorozhnye-sumki-chemodany/chemodan-lama-l-cherniy-1549430/" , "15494.30 Чемодан Lama L, черный")</f>
      </c>
      <c r="C27389" s="4" t="n">
        <v>14630.00</v>
      </c>
      <c r="D27389" s="4"/>
    </row>
    <row collapsed="" customFormat="false" customHeight="1" hidden="" ht="14" outlineLevel="0" r="27390">
      <c r="A27390" s="3" t="inlineStr">
        <is>
          <t>27268</t>
        </is>
      </c>
      <c r="B27390" s="4" t="s">
        <f>=HYPERLINK("http://anyluxury.ru/shop/sumki-i-ryukzaki/dorozhnye-sumki-chemodany/chemodan-lama-l-serebristiy-1549410/" , "15494.10 Чемодан Lama L, серебристый")</f>
      </c>
      <c r="C27390" s="4" t="n">
        <v>14630.00</v>
      </c>
      <c r="D27390" s="4"/>
    </row>
    <row collapsed="" customFormat="false" customHeight="1" hidden="" ht="14" outlineLevel="0" r="27391">
      <c r="A27391" s="3" t="inlineStr">
        <is>
          <t>27269</t>
        </is>
      </c>
      <c r="B27391" s="4" t="s">
        <f>=HYPERLINK("http://anyluxury.ru/shop/sumki-i-ryukzaki/dorozhnye-sumki-chemodany/chemodan-lama-l-goluboy-1549414/" , "15494.14 Чемодан Lama L, голубой")</f>
      </c>
      <c r="C27391" s="4" t="n">
        <v>14630.00</v>
      </c>
      <c r="D27391" s="4"/>
    </row>
    <row collapsed="" customFormat="false" customHeight="1" hidden="" ht="14" outlineLevel="0" r="27392">
      <c r="A27392" s="3" t="inlineStr">
        <is>
          <t>27270</t>
        </is>
      </c>
      <c r="B27392" s="4" t="s">
        <f>=HYPERLINK("http://anyluxury.ru/shop/sumki-i-ryukzaki/dorozhnye-sumki-chemodany/chemodan-elton-s-bezheviy-1549800/" , "15498.00 Чемодан Elton S, бежевый")</f>
      </c>
      <c r="C27392" s="4" t="n">
        <v>9760.00</v>
      </c>
      <c r="D27392" s="4"/>
    </row>
    <row collapsed="" customFormat="false" customHeight="1" hidden="" ht="14" outlineLevel="0" r="27393">
      <c r="A27393" s="3" t="inlineStr">
        <is>
          <t>27271</t>
        </is>
      </c>
      <c r="B27393" s="4" t="s">
        <f>=HYPERLINK("http://anyluxury.ru/shop/sumki-i-ryukzaki/dorozhnye-sumki-chemodany/chemodan-elton-s-krasniy-1549850/" , "15498.50 Чемодан Elton S, красный")</f>
      </c>
      <c r="C27393" s="4" t="n">
        <v>9760.00</v>
      </c>
      <c r="D27393" s="4"/>
    </row>
    <row collapsed="" customFormat="false" customHeight="1" hidden="" ht="14" outlineLevel="0" r="27394">
      <c r="A27394" s="3" t="inlineStr">
        <is>
          <t>27272</t>
        </is>
      </c>
      <c r="B27394" s="4" t="s">
        <f>=HYPERLINK("http://anyluxury.ru/shop/sumki-i-ryukzaki/dorozhnye-sumki-chemodany/chemodan-elton-m-bezheviy-1549900/" , "15499.00 Чемодан Elton M, бежевый")</f>
      </c>
      <c r="C27394" s="4" t="n">
        <v>12200.00</v>
      </c>
      <c r="D27394" s="4"/>
    </row>
    <row collapsed="" customFormat="false" customHeight="1" hidden="" ht="14" outlineLevel="0" r="27395">
      <c r="A27395" s="3" t="inlineStr">
        <is>
          <t>27273</t>
        </is>
      </c>
      <c r="B27395" s="4" t="s">
        <f>=HYPERLINK("http://anyluxury.ru/shop/sumki-i-ryukzaki/dorozhnye-sumki-chemodany/chemodan-elton-m-krasniy-1549950/" , "15499.50 Чемодан Elton M, красный")</f>
      </c>
      <c r="C27395" s="4" t="n">
        <v>12200.00</v>
      </c>
      <c r="D27395" s="4"/>
    </row>
    <row collapsed="" customFormat="false" customHeight="1" hidden="" ht="14" outlineLevel="0" r="27396">
      <c r="A27396" s="3" t="inlineStr">
        <is>
          <t>27274</t>
        </is>
      </c>
      <c r="B27396" s="4" t="s">
        <f>=HYPERLINK("http://anyluxury.ru/shop/sumki-i-ryukzaki/dorozhnye-sumki-chemodany/chemodan-elton-l-bezheviy-1554010/" , "15540.10 Чемодан Elton L, бежевый")</f>
      </c>
      <c r="C27396" s="4" t="n">
        <v>14630.00</v>
      </c>
      <c r="D27396" s="4"/>
    </row>
    <row collapsed="" customFormat="false" customHeight="1" hidden="" ht="14" outlineLevel="0" r="27397">
      <c r="A27397" s="3" t="inlineStr">
        <is>
          <t>27275</t>
        </is>
      </c>
      <c r="B27397" s="4" t="s">
        <f>=HYPERLINK("http://anyluxury.ru/shop/sumki-i-ryukzaki/dorozhnye-sumki-chemodany/chemodan-elton-l-krasniy-1554050/" , "15540.50 Чемодан Elton L, красный")</f>
      </c>
      <c r="C27397" s="4" t="n">
        <v>14630.00</v>
      </c>
      <c r="D27397" s="4"/>
    </row>
    <row collapsed="" customFormat="false" customHeight="1" hidden="" ht="14" outlineLevel="0" r="27398">
      <c r="A27398" s="3" t="inlineStr">
        <is>
          <t>27276</t>
        </is>
      </c>
      <c r="B27398" s="4" t="s">
        <f>=HYPERLINK("http://anyluxury.ru/shop/sumki-i-ryukzaki/dorozhnye-sumki-chemodany/chemodan-modus-l-cherniy-1635030/" , "16350.30 Чемодан Modus L, черный")</f>
      </c>
      <c r="C27398" s="4" t="n">
        <v>10500.00</v>
      </c>
      <c r="D27398" s="4"/>
    </row>
    <row collapsed="" customFormat="false" customHeight="1" hidden="" ht="14" outlineLevel="0" r="27399">
      <c r="A27399" s="3" t="inlineStr">
        <is>
          <t>27277</t>
        </is>
      </c>
      <c r="B27399" s="4" t="s">
        <f>=HYPERLINK("http://anyluxury.ru/shop/sumki-i-ryukzaki/dorozhnye-sumki-chemodany/chemodan-modus-m-cherniy-1635130/" , "16351.30 Чемодан Modus M, черный")</f>
      </c>
      <c r="C27399" s="4" t="n">
        <v>9450.00</v>
      </c>
      <c r="D27399" s="4"/>
    </row>
    <row collapsed="" customFormat="false" customHeight="1" hidden="" ht="14" outlineLevel="0" r="27400">
      <c r="A27400" s="3" t="inlineStr">
        <is>
          <t>27278</t>
        </is>
      </c>
      <c r="B27400" s="4" t="s">
        <f>=HYPERLINK("http://anyluxury.ru/shop/sumki-i-ryukzaki/dorozhnye-sumki-chemodany/chemodan-modus-s-cherniy-1635230/" , "16352.30 Чемодан Modus S, черный")</f>
      </c>
      <c r="C27400" s="4" t="n">
        <v>8750.00</v>
      </c>
      <c r="D27400" s="4"/>
    </row>
    <row collapsed="" customFormat="false" customHeight="1" hidden="" ht="14" outlineLevel="0" r="27401">
      <c r="A27401" s="3" t="inlineStr">
        <is>
          <t>27279</t>
        </is>
      </c>
      <c r="B27401" s="4" t="s">
        <f>=HYPERLINK("http://anyluxury.ru/shop/sumki-i-ryukzaki/dorozhnye-sumki-chemodany/chemodan-modus-l-malinovokrasniy-1635055/" , "16350.55 Чемодан Modus L, малиново-красный")</f>
      </c>
      <c r="C27401" s="4" t="n">
        <v>10500.00</v>
      </c>
      <c r="D27401" s="4"/>
    </row>
    <row collapsed="" customFormat="false" customHeight="1" hidden="" ht="14" outlineLevel="0" r="27402">
      <c r="A27402" s="3" t="inlineStr">
        <is>
          <t>27280</t>
        </is>
      </c>
      <c r="B27402" s="4" t="s">
        <f>=HYPERLINK("http://anyluxury.ru/shop/sumki-i-ryukzaki/dorozhnye-sumki-chemodany/chemodan-modus-m-malinovokrasniy-1635155/" , "16351.55 Чемодан Modus M, малиново-красный")</f>
      </c>
      <c r="C27402" s="4" t="n">
        <v>9450.00</v>
      </c>
      <c r="D27402" s="4"/>
    </row>
    <row collapsed="" customFormat="false" customHeight="1" hidden="" ht="14" outlineLevel="0" r="27403">
      <c r="A27403" s="3" t="inlineStr">
        <is>
          <t>27281</t>
        </is>
      </c>
      <c r="B27403" s="4" t="s">
        <f>=HYPERLINK("http://anyluxury.ru/shop/sumki-i-ryukzaki/dorozhnye-sumki-chemodany/chemodan-modus-s-malinovokrasniy-1635255/" , "16352.55 Чемодан Modus S, малиново-красный")</f>
      </c>
      <c r="C27403" s="4" t="n">
        <v>8750.00</v>
      </c>
      <c r="D27403" s="4"/>
    </row>
    <row collapsed="" customFormat="false" customHeight="1" hidden="" ht="14" outlineLevel="0" r="27404">
      <c r="A27404" s="3" t="inlineStr">
        <is>
          <t>27282</t>
        </is>
      </c>
      <c r="B27404" s="4" t="s">
        <f>=HYPERLINK("http://anyluxury.ru/shop/sumki-i-ryukzaki/dorozhnye-sumki-chemodany/chemodan-modus-l-serozeleniy-1635019/" , "16350.19 Чемодан Modus L, серо-зеленый")</f>
      </c>
      <c r="C27404" s="4" t="n">
        <v>10500.00</v>
      </c>
      <c r="D27404" s="4"/>
    </row>
    <row collapsed="" customFormat="false" customHeight="1" hidden="" ht="14" outlineLevel="0" r="27405">
      <c r="A27405" s="3" t="inlineStr">
        <is>
          <t>27283</t>
        </is>
      </c>
      <c r="B27405" s="4" t="s">
        <f>=HYPERLINK("http://anyluxury.ru/shop/sumki-i-ryukzaki/dorozhnye-sumki-chemodany/chemodan-modus-m-serozeleniy-1635119/" , "16351.19 Чемодан Modus M, серо-зеленый")</f>
      </c>
      <c r="C27405" s="4" t="n">
        <v>9450.00</v>
      </c>
      <c r="D27405" s="4"/>
    </row>
    <row collapsed="" customFormat="false" customHeight="1" hidden="" ht="14" outlineLevel="0" r="27406">
      <c r="A27406" s="3" t="inlineStr">
        <is>
          <t>27284</t>
        </is>
      </c>
      <c r="B27406" s="4" t="s">
        <f>=HYPERLINK("http://anyluxury.ru/shop/sumki-i-ryukzaki/dorozhnye-sumki-chemodany/chemodan-modus-s-serozeleniy-1635219/" , "16352.19 Чемодан Modus S, серо-зеленый")</f>
      </c>
      <c r="C27406" s="4" t="n">
        <v>8750.00</v>
      </c>
      <c r="D27406" s="4"/>
    </row>
    <row collapsed="" customFormat="false" customHeight="1" hidden="" ht="14" outlineLevel="0" r="27407">
      <c r="A27407" s="3" t="inlineStr">
        <is>
          <t>27285</t>
        </is>
      </c>
      <c r="B27407" s="4" t="s">
        <f>=HYPERLINK("http://anyluxury.ru/shop/sumki-i-ryukzaki/dorozhnye-sumki-chemodany/chemodan-edge-l-cherniy-1635330/" , "16353.30 Чемодан Edge L, черный")</f>
      </c>
      <c r="C27407" s="4" t="n">
        <v>12250.00</v>
      </c>
      <c r="D27407" s="4"/>
    </row>
    <row collapsed="" customFormat="false" customHeight="1" hidden="" ht="14" outlineLevel="0" r="27408">
      <c r="A27408" s="3" t="inlineStr">
        <is>
          <t>27286</t>
        </is>
      </c>
      <c r="B27408" s="4" t="s">
        <f>=HYPERLINK("http://anyluxury.ru/shop/sumki-i-ryukzaki/dorozhnye-sumki-chemodany/chemodan-edge-m-cherniy-1635430/" , "16354.30 Чемодан Edge M, черный")</f>
      </c>
      <c r="C27408" s="4" t="n">
        <v>11200.00</v>
      </c>
      <c r="D27408" s="4"/>
    </row>
    <row collapsed="" customFormat="false" customHeight="1" hidden="" ht="14" outlineLevel="0" r="27409">
      <c r="A27409" s="3" t="inlineStr">
        <is>
          <t>27287</t>
        </is>
      </c>
      <c r="B27409" s="4" t="s">
        <f>=HYPERLINK("http://anyluxury.ru/shop/sumki-i-ryukzaki/dorozhnye-sumki-chemodany/chemodan-edge-s-cherniy-1635530/" , "16355.30 Чемодан Edge S, черный")</f>
      </c>
      <c r="C27409" s="4" t="n">
        <v>10150.00</v>
      </c>
      <c r="D27409" s="4"/>
    </row>
    <row collapsed="" customFormat="false" customHeight="1" hidden="" ht="14" outlineLevel="0" r="27410">
      <c r="A27410" s="3" t="inlineStr">
        <is>
          <t>27288</t>
        </is>
      </c>
      <c r="B27410" s="4" t="s">
        <f>=HYPERLINK("http://anyluxury.ru/shop/sumki-i-ryukzaki/dorozhnye-sumki-chemodany/chemodan-edge-l-rozoviy-1635315/" , "16353.15 Чемодан Edge L, розовый")</f>
      </c>
      <c r="C27410" s="4" t="n">
        <v>12250.00</v>
      </c>
      <c r="D27410" s="4"/>
    </row>
    <row collapsed="" customFormat="false" customHeight="1" hidden="" ht="14" outlineLevel="0" r="27411">
      <c r="A27411" s="3" t="inlineStr">
        <is>
          <t>27289</t>
        </is>
      </c>
      <c r="B27411" s="4" t="s">
        <f>=HYPERLINK("http://anyluxury.ru/shop/sumki-i-ryukzaki/dorozhnye-sumki-chemodany/chemodan-edge-m-rozoviy-1635415/" , "16354.15 Чемодан Edge M, розовый")</f>
      </c>
      <c r="C27411" s="4" t="n">
        <v>11200.00</v>
      </c>
      <c r="D27411" s="4"/>
    </row>
    <row collapsed="" customFormat="false" customHeight="1" hidden="" ht="14" outlineLevel="0" r="27412">
      <c r="A27412" s="3" t="inlineStr">
        <is>
          <t>27290</t>
        </is>
      </c>
      <c r="B27412" s="4" t="s">
        <f>=HYPERLINK("http://anyluxury.ru/shop/sumki-i-ryukzaki/dorozhnye-sumki-chemodany/chemodan-edge-s-rozoviy-1635515/" , "16355.15 Чемодан Edge S, розовый")</f>
      </c>
      <c r="C27412" s="4" t="n">
        <v>10150.00</v>
      </c>
      <c r="D27412" s="4"/>
    </row>
    <row collapsed="" customFormat="false" customHeight="1" hidden="" ht="14" outlineLevel="0" r="27413">
      <c r="A27413" s="3" t="inlineStr">
        <is>
          <t>27291</t>
        </is>
      </c>
      <c r="B27413" s="4" t="s">
        <f>=HYPERLINK("http://anyluxury.ru/shop/sumki-i-ryukzaki/dorozhnye-sumki-chemodany/chemodan-edge-l-zheltiy-1635380/" , "16353.80 Чемодан Edge L, желтый")</f>
      </c>
      <c r="C27413" s="4" t="n">
        <v>12250.00</v>
      </c>
      <c r="D27413" s="4"/>
    </row>
    <row collapsed="" customFormat="false" customHeight="1" hidden="" ht="14" outlineLevel="0" r="27414">
      <c r="A27414" s="3" t="inlineStr">
        <is>
          <t>27292</t>
        </is>
      </c>
      <c r="B27414" s="4" t="s">
        <f>=HYPERLINK("http://anyluxury.ru/shop/sumki-i-ryukzaki/dorozhnye-sumki-chemodany/chemodan-edge-m-zheltiy-1635480/" , "16354.80 Чемодан Edge M, желтый")</f>
      </c>
      <c r="C27414" s="4" t="n">
        <v>11200.00</v>
      </c>
      <c r="D27414" s="4"/>
    </row>
    <row collapsed="" customFormat="false" customHeight="1" hidden="" ht="14" outlineLevel="0" r="27415">
      <c r="A27415" s="3" t="inlineStr">
        <is>
          <t>27293</t>
        </is>
      </c>
      <c r="B27415" s="4" t="s">
        <f>=HYPERLINK("http://anyluxury.ru/shop/sumki-i-ryukzaki/dorozhnye-sumki-chemodany/chemodan-edge-s-zheltiy-1635580/" , "16355.80 Чемодан Edge S, желтый")</f>
      </c>
      <c r="C27415" s="4" t="n">
        <v>10150.00</v>
      </c>
      <c r="D27415" s="4"/>
    </row>
    <row collapsed="" customFormat="false" customHeight="1" hidden="" ht="14" outlineLevel="0" r="27416">
      <c r="A27416" s="3" t="inlineStr">
        <is>
          <t>27294</t>
        </is>
      </c>
      <c r="B27416" s="4" t="s">
        <f>=HYPERLINK("http://anyluxury.ru/shop/sumki-i-ryukzaki/dorozhnye-sumki-chemodany/chemodan-fattore-s-cherniy-1648130/" , "16481.30 Чемодан Fattore S, черный")</f>
      </c>
      <c r="C27416" s="4" t="n">
        <v>6490.00</v>
      </c>
      <c r="D27416" s="4"/>
    </row>
    <row collapsed="" customFormat="false" customHeight="1" hidden="" ht="14" outlineLevel="0" r="27417">
      <c r="A27417" s="3" t="inlineStr">
        <is>
          <t>27295</t>
        </is>
      </c>
      <c r="B27417" s="4" t="s">
        <f>=HYPERLINK("http://anyluxury.ru/shop/sumki-i-ryukzaki/dorozhnye-sumki-chemodany/chemodan-fattore-s-siniy-1648140/" , "16481.40 Чемодан Fattore S, синий")</f>
      </c>
      <c r="C27417" s="4" t="n">
        <v>6490.00</v>
      </c>
      <c r="D27417" s="4"/>
    </row>
    <row collapsed="" customFormat="false" customHeight="1" hidden="" ht="14" outlineLevel="0" r="27418">
      <c r="A27418" s="3" t="inlineStr">
        <is>
          <t>27296</t>
        </is>
      </c>
      <c r="B27418" s="4" t="s">
        <f>=HYPERLINK("http://anyluxury.ru/shop/sumki-i-ryukzaki/dorozhnye-sumki-chemodany/chemodan-fattore-s-bezheviy-1648100/" , "16481.00 Чемодан Fattore S, бежевый")</f>
      </c>
      <c r="C27418" s="4" t="n">
        <v>6490.00</v>
      </c>
      <c r="D27418" s="4"/>
    </row>
    <row collapsed="" customFormat="false" customHeight="1" hidden="" ht="14" outlineLevel="0" r="27419">
      <c r="A27419" s="3" t="inlineStr">
        <is>
          <t>27297</t>
        </is>
      </c>
      <c r="B27419" s="4" t="s">
        <f>=HYPERLINK("http://anyluxury.ru/shop/sumki-i-ryukzaki/dorozhnye-sumki-chemodany/sumka-dorozhnaya-urbanpulse-seraya-1622610/" , "16226.10 Сумка дорожная urbanPulse, серая")</f>
      </c>
      <c r="C27419" s="4" t="n">
        <v>2890.00</v>
      </c>
      <c r="D27419" s="4"/>
    </row>
    <row collapsed="" customFormat="false" customHeight="1" hidden="" ht="14" outlineLevel="0" r="27420">
      <c r="A27420" s="3" t="inlineStr">
        <is>
          <t>27298</t>
        </is>
      </c>
      <c r="B27420" s="4" t="s">
        <f>=HYPERLINK("http://anyluxury.ru/shop/sumki-i-ryukzaki/dorozhnye-sumki-chemodany/sumka-dorozhnaya-urbanpulse-chernaya-1622630/" , "16226.30 Сумка дорожная urbanPulse, черная")</f>
      </c>
      <c r="C27420" s="4" t="n">
        <v>2890.00</v>
      </c>
      <c r="D27420" s="4"/>
    </row>
    <row collapsed="" customFormat="false" customHeight="1" hidden="" ht="14" outlineLevel="0" r="27421">
      <c r="A27421" s="3" t="inlineStr">
        <is>
          <t>27299</t>
        </is>
      </c>
      <c r="B27421" s="4" t="s">
        <f>=HYPERLINK("http://anyluxury.ru/shop/sumki-i-ryukzaki/dorozhnye-sumki-chemodany/sumka-dorozhnaya-urbanpulse-sinyaya-1622640/" , "16226.40 Сумка дорожная urbanPulse, синяя")</f>
      </c>
      <c r="C27421" s="4" t="n">
        <v>2890.00</v>
      </c>
      <c r="D27421" s="4"/>
    </row>
    <row collapsed="" customFormat="false" customHeight="1" hidden="" ht="14" outlineLevel="0" r="27422">
      <c r="A27422" s="3" t="inlineStr">
        <is>
          <t>27300</t>
        </is>
      </c>
      <c r="B27422" s="4" t="s">
        <f>=HYPERLINK("http://anyluxury.ru/shop/sumki-i-ryukzaki/dorozhnye-sumki-chemodany/sumka-dorozhnaya-urbanpulse-krasnaya-1622650/" , "16226.50 Сумка дорожная urbanPulse, красная")</f>
      </c>
      <c r="C27422" s="4" t="n">
        <v>2890.00</v>
      </c>
      <c r="D27422" s="4"/>
    </row>
    <row collapsed="" customFormat="false" customHeight="" hidden="" ht="12.1" outlineLevel="0" r="27423">
      <c r="A27423" s="5" t="inlineStr">
        <is>
          <t> -  - Рюкзаки</t>
        </is>
      </c>
      <c r="B27423" s="6"/>
      <c r="C27423" s="6"/>
      <c r="D27423" s="6"/>
    </row>
    <row collapsed="" customFormat="false" customHeight="1" hidden="" ht="14" outlineLevel="0" r="27424">
      <c r="A27424" s="3" t="inlineStr">
        <is>
          <t>27301</t>
        </is>
      </c>
      <c r="B27424" s="4" t="s">
        <f>=HYPERLINK("http://anyluxury.ru/shop/sumki-i-ryukzaki/ryukzaki/ryukzak-dlya-obuvi-smenki-ili-futbolnogo-myacha-45kh46-cm/" , "161033/01 Рюкзак для обуви (сменки) или футбольного мяча; 45х46 cm")</f>
      </c>
      <c r="C27424" s="4" t="n">
        <v>139.00</v>
      </c>
      <c r="D27424" s="4"/>
    </row>
    <row collapsed="" customFormat="false" customHeight="1" hidden="" ht="14" outlineLevel="0" r="27425">
      <c r="A27425" s="3" t="inlineStr">
        <is>
          <t>27302</t>
        </is>
      </c>
      <c r="B27425" s="4" t="s">
        <f>=HYPERLINK("http://anyluxury.ru/shop/sumki-i-ryukzaki/ryukzaki/bolshoy-ryukzak-s-klapanom-iz-serii-my-montblanc-nightflight/" , "118259 Большой рюкзак с клапаном из серии My Montblanc Nightflight")</f>
      </c>
      <c r="C27425" s="4" t="n">
        <v>48400.00</v>
      </c>
      <c r="D27425" s="4"/>
    </row>
    <row collapsed="" customFormat="false" customHeight="1" hidden="" ht="14" outlineLevel="0" r="27426">
      <c r="A27426" s="3" t="inlineStr">
        <is>
          <t>27303</t>
        </is>
      </c>
      <c r="B27426" s="4" t="s">
        <f>=HYPERLINK("http://anyluxury.ru/shop/sumki-i-ryukzaki/ryukzaki/ryukzak-srednego-razmera-iz-serii-my-montblanc-nightflight/" , "119048 Рюкзак среднего размера из серии My Montblanc Nightflight")</f>
      </c>
      <c r="C27426" s="4" t="n">
        <v>45400.00</v>
      </c>
      <c r="D27426" s="4"/>
    </row>
    <row collapsed="" customFormat="false" customHeight="1" hidden="" ht="14" outlineLevel="0" r="27427">
      <c r="A27427" s="3" t="inlineStr">
        <is>
          <t>27304</t>
        </is>
      </c>
      <c r="B27427" s="4" t="s">
        <f>=HYPERLINK("http://anyluxury.ru/shop/sumki-i-ryukzaki/ryukzaki/korobka-pod-sumkuryukzak-karton-490h375h190-mm-boxbag/" , "Box-bag Коробка под сумку/рюкзак, картон, 490х375х190 мм")</f>
      </c>
      <c r="C27427" s="4" t="n">
        <v>519.00</v>
      </c>
      <c r="D27427" s="4"/>
    </row>
    <row collapsed="" customFormat="false" customHeight="1" hidden="" ht="14" outlineLevel="0" r="27428">
      <c r="A27428" s="3" t="inlineStr">
        <is>
          <t>27305</t>
        </is>
      </c>
      <c r="B27428" s="4" t="s">
        <f>=HYPERLINK("http://anyluxury.ru/shop/sumki-i-ryukzaki/ryukzaki/ryukzak-cross-body-frank-cherniyseriy-59481010/" , "59481.010 Рюкзак cross body, Frank, черный/серый")</f>
      </c>
      <c r="C27428" s="4" t="n">
        <v>2850.00</v>
      </c>
      <c r="D27428" s="4"/>
    </row>
    <row collapsed="" customFormat="false" customHeight="1" hidden="" ht="14" outlineLevel="0" r="27429">
      <c r="A27429" s="3" t="inlineStr">
        <is>
          <t>27306</t>
        </is>
      </c>
      <c r="B27429" s="4" t="s">
        <f>=HYPERLINK("http://anyluxury.ru/shop/sumki-i-ryukzaki/ryukzaki/ryukzak-dlya-noutbuka-swiss-peak-s-zashhitoy-ot-karmannikov-p762110/" , "P762.110 Рюкзак для ноутбука Swiss Peak с защитой от карманников")</f>
      </c>
      <c r="C27429" s="4" t="n">
        <v>7113.00</v>
      </c>
      <c r="D27429" s="4"/>
    </row>
    <row collapsed="" customFormat="false" customHeight="1" hidden="" ht="14" outlineLevel="0" r="27430">
      <c r="A27430" s="3" t="inlineStr">
        <is>
          <t>27307</t>
        </is>
      </c>
      <c r="B27430" s="4" t="s">
        <f>=HYPERLINK("http://anyluxury.ru/shop/sumki-i-ryukzaki/ryukzaki/ryukzak-dlya-puteshestviy-swiss-peak-p775480/" , "P775.480 Рюкзак для путешествий Swiss Peak")</f>
      </c>
      <c r="C27430" s="4" t="n">
        <v>3553.00</v>
      </c>
      <c r="D27430" s="4"/>
    </row>
    <row collapsed="" customFormat="false" customHeight="1" hidden="" ht="14" outlineLevel="0" r="27431">
      <c r="A27431" s="3" t="inlineStr">
        <is>
          <t>27308</t>
        </is>
      </c>
      <c r="B27431" s="4" t="s">
        <f>=HYPERLINK("http://anyluxury.ru/shop/sumki-i-ryukzaki/ryukzaki/derzhatel-dlya-kart-quebec-rfid-s-zashhitoy-ot-skanirovaniya-rfid-cherniy-p820671/" , "P820.671 Держатель для карт Quebec RFID с защитой от сканирования RFID")</f>
      </c>
      <c r="C27431" s="4" t="n">
        <v>1079.00</v>
      </c>
      <c r="D27431" s="4"/>
    </row>
    <row collapsed="" customFormat="false" customHeight="1" hidden="" ht="14" outlineLevel="0" r="27432">
      <c r="A27432" s="3" t="inlineStr">
        <is>
          <t>27309</t>
        </is>
      </c>
      <c r="B27432" s="4" t="s">
        <f>=HYPERLINK("http://anyluxury.ru/shop/sumki-i-ryukzaki/ryukzaki/sumka-dlya-noutbuka-15-swiss-peak-p732210/" , "P732.210 Сумка для ноутбука 15' Swiss Peak")</f>
      </c>
      <c r="C27432" s="4" t="n">
        <v>3553.00</v>
      </c>
      <c r="D27432" s="4"/>
    </row>
    <row collapsed="" customFormat="false" customHeight="1" hidden="" ht="14" outlineLevel="0" r="27433">
      <c r="A27433" s="3" t="inlineStr">
        <is>
          <t>27310</t>
        </is>
      </c>
      <c r="B27433" s="4" t="s">
        <f>=HYPERLINK("http://anyluxury.ru/shop/sumki-i-ryukzaki/ryukzaki/ryukzak-dlya-noutbuka-15-siniy-p762445/" , "P762.445 Рюкзак для ноутбука  15', синий")</f>
      </c>
      <c r="C27433" s="4" t="n">
        <v>2976.00</v>
      </c>
      <c r="D27433" s="4"/>
    </row>
    <row collapsed="" customFormat="false" customHeight="1" hidden="" ht="14" outlineLevel="0" r="27434">
      <c r="A27434" s="3" t="inlineStr">
        <is>
          <t>27311</t>
        </is>
      </c>
      <c r="B27434" s="4" t="s">
        <f>=HYPERLINK("http://anyluxury.ru/shop/sumki-i-ryukzaki/ryukzaki/ryukzak-dlya-noutbuka-15-seriycherniy-p762449/" , "P762.449 Рюкзак для ноутбука  15', серый/черный")</f>
      </c>
      <c r="C27434" s="4" t="n">
        <v>2430.00</v>
      </c>
      <c r="D27434" s="4"/>
    </row>
    <row collapsed="" customFormat="false" customHeight="1" hidden="" ht="14" outlineLevel="0" r="27435">
      <c r="A27435" s="3" t="inlineStr">
        <is>
          <t>27312</t>
        </is>
      </c>
      <c r="B27435" s="4" t="s">
        <f>=HYPERLINK("http://anyluxury.ru/shop/sumki-i-ryukzaki/ryukzaki/sumka-dlya-noutbuka-15-cherniy-p762421/" , "P762.421 Сумка для ноутбука 15'")</f>
      </c>
      <c r="C27435" s="4" t="n">
        <v>3916.00</v>
      </c>
      <c r="D27435" s="4"/>
    </row>
    <row collapsed="" customFormat="false" customHeight="1" hidden="" ht="14" outlineLevel="0" r="27436">
      <c r="A27436" s="3" t="inlineStr">
        <is>
          <t>27313</t>
        </is>
      </c>
      <c r="B27436" s="4" t="s">
        <f>=HYPERLINK("http://anyluxury.ru/shop/sumki-i-ryukzaki/ryukzaki/ryukzak-dlya-noutbuka-15-cherniy-p762411/" , "P762.411 Рюкзак для ноутбука  15'")</f>
      </c>
      <c r="C27436" s="4" t="n">
        <v>5331.00</v>
      </c>
      <c r="D27436" s="4"/>
    </row>
    <row collapsed="" customFormat="false" customHeight="1" hidden="" ht="14" outlineLevel="0" r="27437">
      <c r="A27437" s="3" t="inlineStr">
        <is>
          <t>27314</t>
        </is>
      </c>
      <c r="B27437" s="4" t="s">
        <f>=HYPERLINK("http://anyluxury.ru/shop/sumki-i-ryukzaki/ryukzaki/sumka-swiss-peak-p762200/" , "P762.200 Сумка Swiss Peak")</f>
      </c>
      <c r="C27437" s="4" t="n">
        <v>10497.00</v>
      </c>
      <c r="D27437" s="4"/>
    </row>
    <row collapsed="" customFormat="false" customHeight="1" hidden="" ht="14" outlineLevel="0" r="27438">
      <c r="A27438" s="3" t="inlineStr">
        <is>
          <t>27315</t>
        </is>
      </c>
      <c r="B27438" s="4" t="s">
        <f>=HYPERLINK("http://anyluxury.ru/shop/sumki-i-ryukzaki/ryukzaki/bumazhnik-swiss-peak-s-zashhitoy-ot-skanirovaniya-rfid-p820410/" , "P820.410 Бумажник Swiss Peak с защитой от сканирования RFID")</f>
      </c>
      <c r="C27438" s="4" t="n">
        <v>2406.00</v>
      </c>
      <c r="D27438" s="4"/>
    </row>
    <row collapsed="" customFormat="false" customHeight="1" hidden="" ht="14" outlineLevel="0" r="27439">
      <c r="A27439" s="3" t="inlineStr">
        <is>
          <t>27316</t>
        </is>
      </c>
      <c r="B27439" s="4" t="s">
        <f>=HYPERLINK("http://anyluxury.ru/shop/sumki-i-ryukzaki/ryukzaki/ryukzak-dlya-noutbuka-canvas-seriy-p762462/" , "P762.462 Рюкзак для ноутбука Canvas")</f>
      </c>
      <c r="C27439" s="4" t="n">
        <v>8894.00</v>
      </c>
      <c r="D27439" s="4"/>
    </row>
    <row collapsed="" customFormat="false" customHeight="1" hidden="" ht="14" outlineLevel="0" r="27440">
      <c r="A27440" s="3" t="inlineStr">
        <is>
          <t>27317</t>
        </is>
      </c>
      <c r="B27440" s="4" t="s">
        <f>=HYPERLINK("http://anyluxury.ru/shop/sumki-i-ryukzaki/ryukzaki/sumka-dlya-puteshestviy-canvas-cherniy-p762471/" , "P762.471 Сумка для путешествий Canvas")</f>
      </c>
      <c r="C27440" s="4" t="n">
        <v>6759.00</v>
      </c>
      <c r="D27440" s="4"/>
    </row>
    <row collapsed="" customFormat="false" customHeight="1" hidden="" ht="14" outlineLevel="0" r="27441">
      <c r="A27441" s="3" t="inlineStr">
        <is>
          <t>27318</t>
        </is>
      </c>
      <c r="B27441" s="4" t="s">
        <f>=HYPERLINK("http://anyluxury.ru/shop/sumki-i-ryukzaki/ryukzaki/sumkaholodilnik-swiss-peak-p422030/" , "P422.030 Сумка-холодильник Swiss Peak")</f>
      </c>
      <c r="C27441" s="4" t="n">
        <v>4625.00</v>
      </c>
      <c r="D27441" s="4"/>
    </row>
    <row collapsed="" customFormat="false" customHeight="1" hidden="" ht="14" outlineLevel="0" r="27442">
      <c r="A27442" s="3" t="inlineStr">
        <is>
          <t>27319</t>
        </is>
      </c>
      <c r="B27442" s="4" t="s">
        <f>=HYPERLINK("http://anyluxury.ru/shop/sumki-i-ryukzaki/ryukzaki/ryukzak-dlya-noutbuka-swiss-peak-na-solnechnih-batareyah-p762120/" , "P762.120 Рюкзак для ноутбука Swiss Peak на солнечных батареях")</f>
      </c>
      <c r="C27442" s="4" t="n">
        <v>11788.00</v>
      </c>
      <c r="D27442" s="4"/>
    </row>
    <row collapsed="" customFormat="false" customHeight="1" hidden="" ht="14" outlineLevel="0" r="27443">
      <c r="A27443" s="3" t="inlineStr">
        <is>
          <t>27320</t>
        </is>
      </c>
      <c r="B27443" s="4" t="s">
        <f>=HYPERLINK("http://anyluxury.ru/shop/sumki-i-ryukzaki/ryukzaki/sumka-swiss-peak-dlya-noutbuka-15-p762160/" , "P762.160 Сумка Swiss Peak для ноутбука 15'")</f>
      </c>
      <c r="C27443" s="4" t="n">
        <v>7113.00</v>
      </c>
      <c r="D27443" s="4"/>
    </row>
    <row collapsed="" customFormat="false" customHeight="1" hidden="" ht="14" outlineLevel="0" r="27444">
      <c r="A27444" s="3" t="inlineStr">
        <is>
          <t>27321</t>
        </is>
      </c>
      <c r="B27444" s="4" t="s">
        <f>=HYPERLINK("http://anyluxury.ru/shop/sumki-i-ryukzaki/ryukzaki/chehol-dlya-noutbuka-156-cherniy-p788071/" , "P788.071 Чехол для ноутбука 15.6'")</f>
      </c>
      <c r="C27444" s="4" t="n">
        <v>1869.00</v>
      </c>
      <c r="D27444" s="4"/>
    </row>
    <row collapsed="" customFormat="false" customHeight="1" hidden="" ht="14" outlineLevel="0" r="27445">
      <c r="A27445" s="3" t="inlineStr">
        <is>
          <t>27322</t>
        </is>
      </c>
      <c r="B27445" s="4" t="s">
        <f>=HYPERLINK("http://anyluxury.ru/shop/sumki-i-ryukzaki/ryukzaki/sumka-dlya-noutbuka-swiss-peak-p732351/" , "P732.351 Сумка для ноутбука Swiss Peak")</f>
      </c>
      <c r="C27445" s="4" t="n">
        <v>4490.00</v>
      </c>
      <c r="D27445" s="4"/>
    </row>
    <row collapsed="" customFormat="false" customHeight="1" hidden="" ht="14" outlineLevel="0" r="27446">
      <c r="A27446" s="3" t="inlineStr">
        <is>
          <t>27323</t>
        </is>
      </c>
      <c r="B27446" s="4" t="s">
        <f>=HYPERLINK("http://anyluxury.ru/shop/sumki-i-ryukzaki/ryukzaki/koshelek-s-derzhatelem-dlya-kart-csecure-rfid-goluboy-p850515/" , "P850.515 Кошелек с держателем для карт C-Secure RFID")</f>
      </c>
      <c r="C27446" s="4" t="n">
        <v>5156.00</v>
      </c>
      <c r="D27446" s="4"/>
    </row>
    <row collapsed="" customFormat="false" customHeight="1" hidden="" ht="14" outlineLevel="0" r="27447">
      <c r="A27447" s="3" t="inlineStr">
        <is>
          <t>27324</t>
        </is>
      </c>
      <c r="B27447" s="4" t="s">
        <f>=HYPERLINK("http://anyluxury.ru/shop/sumki-i-ryukzaki/ryukzaki/antikrazhniy-ryukzak-madrid-s-razemom-usb-i-zashhitoy-rfid-p762511/" , "P762.511 Антикражный рюкзак Madrid с разъемом USB и защитой RFID")</f>
      </c>
      <c r="C27447" s="4" t="n">
        <v>8903.00</v>
      </c>
      <c r="D27447" s="4"/>
    </row>
    <row collapsed="" customFormat="false" customHeight="1" hidden="" ht="14" outlineLevel="0" r="27448">
      <c r="A27448" s="3" t="inlineStr">
        <is>
          <t>27325</t>
        </is>
      </c>
      <c r="B27448" s="4" t="s">
        <f>=HYPERLINK("http://anyluxury.ru/shop/sumki-i-ryukzaki/ryukzaki/sumka-madrid-dlya-noutbuka-s-zashhitoy-rfid-156-p732361/" , "P732.361 Сумка Madrid для ноутбука с защитой RFID, 15,6”")</f>
      </c>
      <c r="C27448" s="4" t="n">
        <v>3553.00</v>
      </c>
      <c r="D27448" s="4"/>
    </row>
    <row collapsed="" customFormat="false" customHeight="1" hidden="" ht="14" outlineLevel="0" r="27449">
      <c r="A27449" s="3" t="inlineStr">
        <is>
          <t>27326</t>
        </is>
      </c>
      <c r="B27449" s="4" t="s">
        <f>=HYPERLINK("http://anyluxury.ru/shop/sumki-i-ryukzaki/ryukzaki/standartniy-antikrazhniy-ryukzak-bez-pvh-p762482/" , "P762.482 Стандартный антикражный рюкзак, без ПВХ")</f>
      </c>
      <c r="C27449" s="4" t="n">
        <v>4084.00</v>
      </c>
      <c r="D27449" s="4"/>
    </row>
    <row collapsed="" customFormat="false" customHeight="1" hidden="" ht="14" outlineLevel="0" r="27450">
      <c r="A27450" s="3" t="inlineStr">
        <is>
          <t>27327</t>
        </is>
      </c>
      <c r="B27450" s="4" t="s">
        <f>=HYPERLINK("http://anyluxury.ru/shop/sumki-i-ryukzaki/ryukzaki/koshelek-xl-s-derzhatelem-dlya-kart-csecure-rfid-p850531/" , "P850.531 Кошелек XL с держателем для карт C-Secure RFID")</f>
      </c>
      <c r="C27450" s="4" t="n">
        <v>7150.00</v>
      </c>
      <c r="D27450" s="4"/>
    </row>
    <row collapsed="" customFormat="false" customHeight="1" hidden="" ht="14" outlineLevel="0" r="27451">
      <c r="A27451" s="3" t="inlineStr">
        <is>
          <t>27328</t>
        </is>
      </c>
      <c r="B27451" s="4" t="s">
        <f>=HYPERLINK("http://anyluxury.ru/shop/sumki-i-ryukzaki/ryukzaki/ryukzak-bobby-pro-s-zashhitoy-ot-karmannikov-cherniy-p705241/" , "P705.241 Рюкзак Bobby Pro с защитой от карманников, черный")</f>
      </c>
      <c r="C27451" s="4" t="n">
        <v>12490.00</v>
      </c>
      <c r="D27451" s="4"/>
    </row>
    <row collapsed="" customFormat="false" customHeight="1" hidden="" ht="14" outlineLevel="0" r="27452">
      <c r="A27452" s="3" t="inlineStr">
        <is>
          <t>27329</t>
        </is>
      </c>
      <c r="B27452" s="4" t="s">
        <f>=HYPERLINK("http://anyluxury.ru/shop/sumki-i-ryukzaki/ryukzaki/cheholblokirator-dlya-smart-klyucha-p820621/" , "P820.621 Чехол-блокиратор для смарт ключа")</f>
      </c>
      <c r="C27452" s="4" t="n">
        <v>559.00</v>
      </c>
      <c r="D27452" s="4"/>
    </row>
    <row collapsed="" customFormat="false" customHeight="1" hidden="" ht="14" outlineLevel="0" r="27453">
      <c r="A27453" s="3" t="inlineStr">
        <is>
          <t>27330</t>
        </is>
      </c>
      <c r="B27453" s="4" t="s">
        <f>=HYPERLINK("http://anyluxury.ru/shop/sumki-i-ryukzaki/ryukzaki/ryukzak-outdoor-s-rfid-zashhitoy-bez-pvh-p762495/" , "P762.495 Рюкзак Outdoor с RFID защитой, без ПВХ")</f>
      </c>
      <c r="C27453" s="4" t="n">
        <v>4978.00</v>
      </c>
      <c r="D27453" s="4"/>
    </row>
    <row collapsed="" customFormat="false" customHeight="1" hidden="" ht="14" outlineLevel="0" r="27454">
      <c r="A27454" s="3" t="inlineStr">
        <is>
          <t>27331</t>
        </is>
      </c>
      <c r="B27454" s="4" t="s">
        <f>=HYPERLINK("http://anyluxury.ru/shop/sumki-i-ryukzaki/ryukzaki/gorodskoy-ryukzak-mini-temnoseriy-p760819/" , "P760.819 Городской рюкзак Mini, темно-серый")</f>
      </c>
      <c r="C27454" s="4" t="n">
        <v>867.00</v>
      </c>
      <c r="D27454" s="4"/>
    </row>
    <row collapsed="" customFormat="false" customHeight="1" hidden="" ht="14" outlineLevel="0" r="27455">
      <c r="A27455" s="3" t="inlineStr">
        <is>
          <t>27332</t>
        </is>
      </c>
      <c r="B27455" s="4" t="s">
        <f>=HYPERLINK("http://anyluxury.ru/shop/sumki-i-ryukzaki/ryukzaki/gorodskoy-ryukzak-mini-seriy-p760812/" , "P760.812 Городской рюкзак Mini, серый")</f>
      </c>
      <c r="C27455" s="4" t="n">
        <v>867.00</v>
      </c>
      <c r="D27455" s="4"/>
    </row>
    <row collapsed="" customFormat="false" customHeight="1" hidden="" ht="14" outlineLevel="0" r="27456">
      <c r="A27456" s="3" t="inlineStr">
        <is>
          <t>27333</t>
        </is>
      </c>
      <c r="B27456" s="4" t="s">
        <f>=HYPERLINK("http://anyluxury.ru/shop/sumki-i-ryukzaki/ryukzaki/gorodskoy-ryukzak-mini-siniy-p760815/" , "P760.815 Городской рюкзак Mini, синий")</f>
      </c>
      <c r="C27456" s="4" t="n">
        <v>750.00</v>
      </c>
      <c r="D27456" s="4"/>
    </row>
    <row collapsed="" customFormat="false" customHeight="1" hidden="" ht="14" outlineLevel="0" r="27457">
      <c r="A27457" s="3" t="inlineStr">
        <is>
          <t>27334</t>
        </is>
      </c>
      <c r="B27457" s="4" t="s">
        <f>=HYPERLINK("http://anyluxury.ru/shop/sumki-i-ryukzaki/ryukzaki/dorozhnaya-sumka-fashion-duo-tone-p707221/" , "P707.221 Дорожная сумка Fashion duo tone")</f>
      </c>
      <c r="C27457" s="4" t="n">
        <v>3650.00</v>
      </c>
      <c r="D27457" s="4"/>
    </row>
    <row collapsed="" customFormat="false" customHeight="1" hidden="" ht="14" outlineLevel="0" r="27458">
      <c r="A27458" s="3" t="inlineStr">
        <is>
          <t>27335</t>
        </is>
      </c>
      <c r="B27458" s="4" t="s">
        <f>=HYPERLINK("http://anyluxury.ru/shop/sumki-i-ryukzaki/ryukzaki/sumkaholodilnik-basic-p733037/" , "P733.037 Сумка-холодильник Basic")</f>
      </c>
      <c r="C27458" s="4" t="n">
        <v>1066.00</v>
      </c>
      <c r="D27458" s="4"/>
    </row>
    <row collapsed="" customFormat="false" customHeight="1" hidden="" ht="14" outlineLevel="0" r="27459">
      <c r="A27459" s="3" t="inlineStr">
        <is>
          <t>27336</t>
        </is>
      </c>
      <c r="B27459" s="4" t="s">
        <f>=HYPERLINK("http://anyluxury.ru/shop/sumki-i-ryukzaki/ryukzaki/ryukzak-fashion-duo-tone-p760751/" , "P760.751 Рюкзак Fashion duo tone")</f>
      </c>
      <c r="C27459" s="4" t="n">
        <v>3375.00</v>
      </c>
      <c r="D27459" s="4"/>
    </row>
    <row collapsed="" customFormat="false" customHeight="1" hidden="" ht="14" outlineLevel="0" r="27460">
      <c r="A27460" s="3" t="inlineStr">
        <is>
          <t>27337</t>
        </is>
      </c>
      <c r="B27460" s="4" t="s">
        <f>=HYPERLINK("http://anyluxury.ru/shop/sumki-i-ryukzaki/ryukzaki/ryukzak-modern-p760762/" , "P760.762 Рюкзак Modern")</f>
      </c>
      <c r="C27460" s="4" t="n">
        <v>2834.00</v>
      </c>
      <c r="D27460" s="4"/>
    </row>
    <row collapsed="" customFormat="false" customHeight="1" hidden="" ht="14" outlineLevel="0" r="27461">
      <c r="A27461" s="3" t="inlineStr">
        <is>
          <t>27338</t>
        </is>
      </c>
      <c r="B27461" s="4" t="s">
        <f>=HYPERLINK("http://anyluxury.ru/shop/sumki-i-ryukzaki/ryukzaki/koshelek-s-derzhatelem-dlya-kart-csecure-rfid-korichneviy-p850519/" , "P850.519 Кошелек с держателем для карт C-Secure RFID")</f>
      </c>
      <c r="C27461" s="4" t="n">
        <v>4890.00</v>
      </c>
      <c r="D27461" s="4"/>
    </row>
    <row collapsed="" customFormat="false" customHeight="1" hidden="" ht="14" outlineLevel="0" r="27462">
      <c r="A27462" s="3" t="inlineStr">
        <is>
          <t>27339</t>
        </is>
      </c>
      <c r="B27462" s="4" t="s">
        <f>=HYPERLINK("http://anyluxury.ru/shop/sumki-i-ryukzaki/ryukzaki/sumkaholodilnik-party-p422131/" , "P422.131 Сумка-холодильник Party")</f>
      </c>
      <c r="C27462" s="4" t="n">
        <v>8903.00</v>
      </c>
      <c r="D27462" s="4"/>
    </row>
    <row collapsed="" customFormat="false" customHeight="1" hidden="" ht="14" outlineLevel="0" r="27463">
      <c r="A27463" s="3" t="inlineStr">
        <is>
          <t>27340</t>
        </is>
      </c>
      <c r="B27463" s="4" t="s">
        <f>=HYPERLINK("http://anyluxury.ru/shop/sumki-i-ryukzaki/ryukzaki/sumkaholodilnik-tote-and-duffle-p422011/" , "P422.011 Сумка-холодильник Tote duffle")</f>
      </c>
      <c r="C27463" s="4" t="n">
        <v>2303.00</v>
      </c>
      <c r="D27463" s="4"/>
    </row>
    <row collapsed="" customFormat="false" customHeight="1" hidden="" ht="14" outlineLevel="0" r="27464">
      <c r="A27464" s="3" t="inlineStr">
        <is>
          <t>27341</t>
        </is>
      </c>
      <c r="B27464" s="4" t="s">
        <f>=HYPERLINK("http://anyluxury.ru/shop/sumki-i-ryukzaki/ryukzaki/sportivnaya-sumka-p707041/" , "P707.041 Спортивная сумка")</f>
      </c>
      <c r="C27464" s="4" t="n">
        <v>2390.00</v>
      </c>
      <c r="D27464" s="4"/>
    </row>
    <row collapsed="" customFormat="false" customHeight="1" hidden="" ht="14" outlineLevel="0" r="27465">
      <c r="A27465" s="3" t="inlineStr">
        <is>
          <t>27342</t>
        </is>
      </c>
      <c r="B27465" s="4" t="s">
        <f>=HYPERLINK("http://anyluxury.ru/shop/sumki-i-ryukzaki/ryukzaki/sportivnaya-sumka-p707044/" , "P707.044 Спортивная сумка")</f>
      </c>
      <c r="C27465" s="4" t="n">
        <v>2390.00</v>
      </c>
      <c r="D27465" s="4"/>
    </row>
    <row collapsed="" customFormat="false" customHeight="1" hidden="" ht="14" outlineLevel="0" r="27466">
      <c r="A27466" s="3" t="inlineStr">
        <is>
          <t>27343</t>
        </is>
      </c>
      <c r="B27466" s="4" t="s">
        <f>=HYPERLINK("http://anyluxury.ru/shop/sumki-i-ryukzaki/ryukzaki/ryukzak-dlya-noutbuka-15-p730014/" , "P730.014 Рюкзак для ноутбука 15'")</f>
      </c>
      <c r="C27466" s="4" t="n">
        <v>1669.00</v>
      </c>
      <c r="D27466" s="4"/>
    </row>
    <row collapsed="" customFormat="false" customHeight="1" hidden="" ht="14" outlineLevel="0" r="27467">
      <c r="A27467" s="3" t="inlineStr">
        <is>
          <t>27344</t>
        </is>
      </c>
      <c r="B27467" s="4" t="s">
        <f>=HYPERLINK("http://anyluxury.ru/shop/sumki-i-ryukzaki/ryukzaki/sumka-dlya-noutbuka-classic-15-p730021/" , "P730.021 Сумка для ноутбука Classic 15'")</f>
      </c>
      <c r="C27467" s="4" t="n">
        <v>2125.00</v>
      </c>
      <c r="D27467" s="4"/>
    </row>
    <row collapsed="" customFormat="false" customHeight="1" hidden="" ht="14" outlineLevel="0" r="27468">
      <c r="A27468" s="3" t="inlineStr">
        <is>
          <t>27345</t>
        </is>
      </c>
      <c r="B27468" s="4" t="s">
        <f>=HYPERLINK("http://anyluxury.ru/shop/sumki-i-ryukzaki/ryukzaki/ryukzak-classic-p760020/" , "P760.020 Рюкзак Classic ")</f>
      </c>
      <c r="C27468" s="4" t="n">
        <v>883.00</v>
      </c>
      <c r="D27468" s="4"/>
    </row>
    <row collapsed="" customFormat="false" customHeight="1" hidden="" ht="14" outlineLevel="0" r="27469">
      <c r="A27469" s="3" t="inlineStr">
        <is>
          <t>27346</t>
        </is>
      </c>
      <c r="B27469" s="4" t="s">
        <f>=HYPERLINK("http://anyluxury.ru/shop/sumki-i-ryukzaki/ryukzaki/ryukzak-classic-p760024/" , "P760.024 Рюкзак Classic")</f>
      </c>
      <c r="C27469" s="4" t="n">
        <v>1238.00</v>
      </c>
      <c r="D27469" s="4"/>
    </row>
    <row collapsed="" customFormat="false" customHeight="1" hidden="" ht="14" outlineLevel="0" r="27470">
      <c r="A27470" s="3" t="inlineStr">
        <is>
          <t>27347</t>
        </is>
      </c>
      <c r="B27470" s="4" t="s">
        <f>=HYPERLINK("http://anyluxury.ru/shop/sumki-i-ryukzaki/ryukzaki/ryukzak-classic-p760025/" , "P760.025 Рюкзак Classic")</f>
      </c>
      <c r="C27470" s="4" t="n">
        <v>676.00</v>
      </c>
      <c r="D27470" s="4"/>
    </row>
    <row collapsed="" customFormat="false" customHeight="1" hidden="" ht="14" outlineLevel="0" r="27471">
      <c r="A27471" s="3" t="inlineStr">
        <is>
          <t>27348</t>
        </is>
      </c>
      <c r="B27471" s="4" t="s">
        <f>=HYPERLINK("http://anyluxury.ru/shop/sumki-i-ryukzaki/ryukzaki/ryukzak-classic-p760029/" , "P760.029 Рюкзак Classic")</f>
      </c>
      <c r="C27471" s="4" t="n">
        <v>1149.00</v>
      </c>
      <c r="D27471" s="4"/>
    </row>
    <row collapsed="" customFormat="false" customHeight="1" hidden="" ht="14" outlineLevel="0" r="27472">
      <c r="A27472" s="3" t="inlineStr">
        <is>
          <t>27349</t>
        </is>
      </c>
      <c r="B27472" s="4" t="s">
        <f>=HYPERLINK("http://anyluxury.ru/shop/sumki-i-ryukzaki/ryukzaki/ryukzak-basic-so-svetootrazhayushhimi-elementami-p760031/" , "P760.031 Рюкзак Basic со светоотражающими элементами")</f>
      </c>
      <c r="C27472" s="4" t="n">
        <v>796.00</v>
      </c>
      <c r="D27472" s="4"/>
    </row>
    <row collapsed="" customFormat="false" customHeight="1" hidden="" ht="14" outlineLevel="0" r="27473">
      <c r="A27473" s="3" t="inlineStr">
        <is>
          <t>27350</t>
        </is>
      </c>
      <c r="B27473" s="4" t="s">
        <f>=HYPERLINK("http://anyluxury.ru/shop/sumki-i-ryukzaki/ryukzaki/ryukzak-bobby-urban-lite-s-zashhitoy-ot-karmannikov-cherniy-p705501/" , "P705.501 Рюкзак Urban Lite с защитой от карманников")</f>
      </c>
      <c r="C27473" s="4" t="n">
        <v>10900.00</v>
      </c>
      <c r="D27473" s="4"/>
    </row>
    <row collapsed="" customFormat="false" customHeight="1" hidden="" ht="14" outlineLevel="0" r="27474">
      <c r="A27474" s="3" t="inlineStr">
        <is>
          <t>27351</t>
        </is>
      </c>
      <c r="B27474" s="4" t="s">
        <f>=HYPERLINK("http://anyluxury.ru/shop/sumki-i-ryukzaki/ryukzaki/sumka-pure-p729052/" , "P729.052 Сумка Pure")</f>
      </c>
      <c r="C27474" s="4" t="n">
        <v>1990.00</v>
      </c>
      <c r="D27474" s="4"/>
    </row>
    <row collapsed="" customFormat="false" customHeight="1" hidden="" ht="14" outlineLevel="0" r="27475">
      <c r="A27475" s="3" t="inlineStr">
        <is>
          <t>27352</t>
        </is>
      </c>
      <c r="B27475" s="4" t="s">
        <f>=HYPERLINK("http://anyluxury.ru/shop/sumki-i-ryukzaki/ryukzaki/sumka-pure-p729055/" , "P729.055 Сумка Pure")</f>
      </c>
      <c r="C27475" s="4" t="n">
        <v>1990.00</v>
      </c>
      <c r="D27475" s="4"/>
    </row>
    <row collapsed="" customFormat="false" customHeight="1" hidden="" ht="14" outlineLevel="0" r="27476">
      <c r="A27476" s="3" t="inlineStr">
        <is>
          <t>27353</t>
        </is>
      </c>
      <c r="B27476" s="4" t="s">
        <f>=HYPERLINK("http://anyluxury.ru/shop/sumki-i-ryukzaki/ryukzaki/sumka-dlya-noutbuka-fashion-duo-tone-p732200/" , "P732.200 Сумка для ноутбука Fashion duo tone")</f>
      </c>
      <c r="C27476" s="4" t="n">
        <v>2159.00</v>
      </c>
      <c r="D27476" s="4"/>
    </row>
    <row collapsed="" customFormat="false" customHeight="1" hidden="" ht="14" outlineLevel="0" r="27477">
      <c r="A27477" s="3" t="inlineStr">
        <is>
          <t>27354</t>
        </is>
      </c>
      <c r="B27477" s="4" t="s">
        <f>=HYPERLINK("http://anyluxury.ru/shop/sumki-i-ryukzaki/ryukzaki/ryukzak-smart-cherniy-p732041/" , "P732.041 Рюкзак Smart")</f>
      </c>
      <c r="C27477" s="4" t="n">
        <v>5872.00</v>
      </c>
      <c r="D27477" s="4"/>
    </row>
    <row collapsed="" customFormat="false" customHeight="1" hidden="" ht="14" outlineLevel="0" r="27478">
      <c r="A27478" s="3" t="inlineStr">
        <is>
          <t>27355</t>
        </is>
      </c>
      <c r="B27478" s="4" t="s">
        <f>=HYPERLINK("http://anyluxury.ru/shop/sumki-i-ryukzaki/ryukzaki/ryukzak-smart-siniy-p732045/" , "P732.045 Рюкзак Smart")</f>
      </c>
      <c r="C27478" s="4" t="n">
        <v>5872.00</v>
      </c>
      <c r="D27478" s="4"/>
    </row>
    <row collapsed="" customFormat="false" customHeight="1" hidden="" ht="14" outlineLevel="0" r="27479">
      <c r="A27479" s="3" t="inlineStr">
        <is>
          <t>27356</t>
        </is>
      </c>
      <c r="B27479" s="4" t="s">
        <f>=HYPERLINK("http://anyluxury.ru/shop/sumki-i-ryukzaki/ryukzaki/koshelek-s-otdeleniem-dlya-monet-i-derzhatelem-dlya-kart-csecure-rfid-cherniy-p820611/" , "P820.611 Кошелек с отделением для монет и держателем для карт C-Secure RFID")</f>
      </c>
      <c r="C27479" s="4" t="n">
        <v>6750.00</v>
      </c>
      <c r="D27479" s="4"/>
    </row>
    <row collapsed="" customFormat="false" customHeight="1" hidden="" ht="14" outlineLevel="0" r="27480">
      <c r="A27480" s="3" t="inlineStr">
        <is>
          <t>27357</t>
        </is>
      </c>
      <c r="B27480" s="4" t="s">
        <f>=HYPERLINK("http://anyluxury.ru/shop/sumki-i-ryukzaki/ryukzaki/vodonepronicaemiy-ryukzak-cherniy-p762331/" , "P762.331 Водонепроницаемый рюкзак, черный")</f>
      </c>
      <c r="C27480" s="4" t="n">
        <v>2325.00</v>
      </c>
      <c r="D27480" s="4"/>
    </row>
    <row collapsed="" customFormat="false" customHeight="1" hidden="" ht="14" outlineLevel="0" r="27481">
      <c r="A27481" s="3" t="inlineStr">
        <is>
          <t>27358</t>
        </is>
      </c>
      <c r="B27481" s="4" t="s">
        <f>=HYPERLINK("http://anyluxury.ru/shop/sumki-i-ryukzaki/ryukzaki/vodonepronicaemiy-ryukzak-siniy-p762335/" , "P762.335 Водонепроницаемый рюкзак, синий")</f>
      </c>
      <c r="C27481" s="4" t="n">
        <v>2325.00</v>
      </c>
      <c r="D27481" s="4"/>
    </row>
    <row collapsed="" customFormat="false" customHeight="1" hidden="" ht="14" outlineLevel="0" r="27482">
      <c r="A27482" s="3" t="inlineStr">
        <is>
          <t>27359</t>
        </is>
      </c>
      <c r="B27482" s="4" t="s">
        <f>=HYPERLINK("http://anyluxury.ru/shop/sumki-i-ryukzaki/ryukzaki/sumka-arata-dlya-noutbuka-15-p762182/" , "P762.182 Сумка Arata для ноутбука 15'")</f>
      </c>
      <c r="C27482" s="4" t="n">
        <v>6228.00</v>
      </c>
      <c r="D27482" s="4"/>
    </row>
    <row collapsed="" customFormat="false" customHeight="1" hidden="" ht="14" outlineLevel="0" r="27483">
      <c r="A27483" s="3" t="inlineStr">
        <is>
          <t>27360</t>
        </is>
      </c>
      <c r="B27483" s="4" t="s">
        <f>=HYPERLINK("http://anyluxury.ru/shop/sumki-i-ryukzaki/ryukzaki/zashhitnaya-karta-antiskimming-p820523/" , "P820.523 Защитная карта Anti-skimming")</f>
      </c>
      <c r="C27483" s="4" t="n">
        <v>444.00</v>
      </c>
      <c r="D27483" s="4"/>
    </row>
    <row collapsed="" customFormat="false" customHeight="1" hidden="" ht="14" outlineLevel="0" r="27484">
      <c r="A27484" s="3" t="inlineStr">
        <is>
          <t>27361</t>
        </is>
      </c>
      <c r="B27484" s="4" t="s">
        <f>=HYPERLINK("http://anyluxury.ru/shop/sumki-i-ryukzaki/ryukzaki/koshelek-s-derzhatelem-dlya-kart-csecure-rfid-cherniy-p850511/" , "P850.511 Кошелек с держателем для карт C-Secure RFID")</f>
      </c>
      <c r="C27484" s="4" t="n">
        <v>5156.00</v>
      </c>
      <c r="D27484" s="4"/>
    </row>
    <row collapsed="" customFormat="false" customHeight="1" hidden="" ht="14" outlineLevel="0" r="27485">
      <c r="A27485" s="3" t="inlineStr">
        <is>
          <t>27362</t>
        </is>
      </c>
      <c r="B27485" s="4" t="s">
        <f>=HYPERLINK("http://anyluxury.ru/shop/sumki-i-ryukzaki/ryukzaki/derzhatel-rfid-dlya-pyati-kart-krasniy-p820474/" , "P820.474 Держатель RFID для пяти карт")</f>
      </c>
      <c r="C27485" s="4" t="n">
        <v>129.00</v>
      </c>
      <c r="D27485" s="4"/>
    </row>
    <row collapsed="" customFormat="false" customHeight="1" hidden="" ht="14" outlineLevel="0" r="27486">
      <c r="A27486" s="3" t="inlineStr">
        <is>
          <t>27363</t>
        </is>
      </c>
      <c r="B27486" s="4" t="s">
        <f>=HYPERLINK("http://anyluxury.ru/shop/sumki-i-ryukzaki/ryukzaki/derzhatel-rfid-dlya-pyati-kart-zeleniy-p820477/" , "P820.477 Держатель RFID для пяти карт")</f>
      </c>
      <c r="C27486" s="4" t="n">
        <v>129.00</v>
      </c>
      <c r="D27486" s="4"/>
    </row>
    <row collapsed="" customFormat="false" customHeight="1" hidden="" ht="14" outlineLevel="0" r="27487">
      <c r="A27487" s="3" t="inlineStr">
        <is>
          <t>27364</t>
        </is>
      </c>
      <c r="B27487" s="4" t="s">
        <f>=HYPERLINK("http://anyluxury.ru/shop/sumki-i-ryukzaki/ryukzaki/ryukzak-florida-ne-soderzhit-pvc-p703711/" , "P703.711 Рюкзак Florida, не содержит PVC")</f>
      </c>
      <c r="C27487" s="4" t="n">
        <v>5331.00</v>
      </c>
      <c r="D27487" s="4"/>
    </row>
    <row collapsed="" customFormat="false" customHeight="1" hidden="" ht="14" outlineLevel="0" r="27488">
      <c r="A27488" s="3" t="inlineStr">
        <is>
          <t>27365</t>
        </is>
      </c>
      <c r="B27488" s="4" t="s">
        <f>=HYPERLINK("http://anyluxury.ru/shop/sumki-i-ryukzaki/ryukzaki/sumka-dlya-noutbuka-florida-ne-soderzhit-pvc-p703741/" , "P703.741 Сумка для ноутбука Florida, не содержит PVC")</f>
      </c>
      <c r="C27488" s="4" t="n">
        <v>4978.00</v>
      </c>
      <c r="D27488" s="4"/>
    </row>
    <row collapsed="" customFormat="false" customHeight="1" hidden="" ht="14" outlineLevel="0" r="27489">
      <c r="A27489" s="3" t="inlineStr">
        <is>
          <t>27366</t>
        </is>
      </c>
      <c r="B27489" s="4" t="s">
        <f>=HYPERLINK("http://anyluxury.ru/shop/sumki-i-ryukzaki/ryukzaki/dorozhnaya-sumka-p707001/" , "P707.001 Дорожная сумка")</f>
      </c>
      <c r="C27489" s="4" t="n">
        <v>2490.00</v>
      </c>
      <c r="D27489" s="4"/>
    </row>
    <row collapsed="" customFormat="false" customHeight="1" hidden="" ht="14" outlineLevel="0" r="27490">
      <c r="A27490" s="3" t="inlineStr">
        <is>
          <t>27367</t>
        </is>
      </c>
      <c r="B27490" s="4" t="s">
        <f>=HYPERLINK("http://anyluxury.ru/shop/sumki-i-ryukzaki/ryukzaki/sumka-dlya-noutbuka-15-cherniy-p732151/" , "P732.151 Сумка для ноутбука 15'")</f>
      </c>
      <c r="C27490" s="4" t="n">
        <v>2666.00</v>
      </c>
      <c r="D27490" s="4"/>
    </row>
    <row collapsed="" customFormat="false" customHeight="1" hidden="" ht="14" outlineLevel="0" r="27491">
      <c r="A27491" s="3" t="inlineStr">
        <is>
          <t>27368</t>
        </is>
      </c>
      <c r="B27491" s="4" t="s">
        <f>=HYPERLINK("http://anyluxury.ru/shop/sumki-i-ryukzaki/ryukzaki/sumka-dlya-noutbuka-osaka-p732602/" , "P732.602 Сумка для ноутбука Osaka")</f>
      </c>
      <c r="C27491" s="4" t="n">
        <v>3999.00</v>
      </c>
      <c r="D27491" s="4"/>
    </row>
    <row collapsed="" customFormat="false" customHeight="1" hidden="" ht="14" outlineLevel="0" r="27492">
      <c r="A27492" s="3" t="inlineStr">
        <is>
          <t>27369</t>
        </is>
      </c>
      <c r="B27492" s="4" t="s">
        <f>=HYPERLINK("http://anyluxury.ru/shop/sumki-i-ryukzaki/ryukzaki/sumkaholodilnik-cherniy-p733191/" , "P733.191 Сумка-холодильник")</f>
      </c>
      <c r="C27492" s="4" t="n">
        <v>1950.00</v>
      </c>
      <c r="D27492" s="4"/>
    </row>
    <row collapsed="" customFormat="false" customHeight="1" hidden="" ht="14" outlineLevel="0" r="27493">
      <c r="A27493" s="3" t="inlineStr">
        <is>
          <t>27370</t>
        </is>
      </c>
      <c r="B27493" s="4" t="s">
        <f>=HYPERLINK("http://anyluxury.ru/shop/sumki-i-ryukzaki/ryukzaki/sumkaholodilnik-siniy-p733195/" , "P733.195 Сумка-холодильник")</f>
      </c>
      <c r="C27493" s="4" t="n">
        <v>1950.00</v>
      </c>
      <c r="D27493" s="4"/>
    </row>
    <row collapsed="" customFormat="false" customHeight="1" hidden="" ht="14" outlineLevel="0" r="27494">
      <c r="A27494" s="3" t="inlineStr">
        <is>
          <t>27371</t>
        </is>
      </c>
      <c r="B27494" s="4" t="s">
        <f>=HYPERLINK("http://anyluxury.ru/shop/sumki-i-ryukzaki/ryukzaki/sumkaholodilnik-salatoviy-p733197/" , "P733.197 Сумка-холодильник")</f>
      </c>
      <c r="C27494" s="4" t="n">
        <v>1772.00</v>
      </c>
      <c r="D27494" s="4"/>
    </row>
    <row collapsed="" customFormat="false" customHeight="1" hidden="" ht="14" outlineLevel="0" r="27495">
      <c r="A27495" s="3" t="inlineStr">
        <is>
          <t>27372</t>
        </is>
      </c>
      <c r="B27495" s="4" t="s">
        <f>=HYPERLINK("http://anyluxury.ru/shop/sumki-i-ryukzaki/ryukzaki/sumka-dlya-noutbuka-swiss-peak-p742041/" , "P742.041 Сумка для ноутбука Swiss Peak")</f>
      </c>
      <c r="C27495" s="4" t="n">
        <v>4950.00</v>
      </c>
      <c r="D27495" s="4"/>
    </row>
    <row collapsed="" customFormat="false" customHeight="1" hidden="" ht="14" outlineLevel="0" r="27496">
      <c r="A27496" s="3" t="inlineStr">
        <is>
          <t>27373</t>
        </is>
      </c>
      <c r="B27496" s="4" t="s">
        <f>=HYPERLINK("http://anyluxury.ru/shop/sumki-i-ryukzaki/ryukzaki/dorozhnaya-sumka-na-kolesah-large-adventure-p750005/" , "P750.005 Дорожная сумка на колесах Large adventure")</f>
      </c>
      <c r="C27496" s="4" t="n">
        <v>18890.00</v>
      </c>
      <c r="D27496" s="4"/>
    </row>
    <row collapsed="" customFormat="false" customHeight="1" hidden="" ht="14" outlineLevel="0" r="27497">
      <c r="A27497" s="3" t="inlineStr">
        <is>
          <t>27374</t>
        </is>
      </c>
      <c r="B27497" s="4" t="s">
        <f>=HYPERLINK("http://anyluxury.ru/shop/sumki-i-ryukzaki/ryukzaki/ryukzak-basic-cherniy-p760201/" , "P760.201 Рюкзак Basic")</f>
      </c>
      <c r="C27497" s="4" t="n">
        <v>1499.00</v>
      </c>
      <c r="D27497" s="4"/>
    </row>
    <row collapsed="" customFormat="false" customHeight="1" hidden="" ht="14" outlineLevel="0" r="27498">
      <c r="A27498" s="3" t="inlineStr">
        <is>
          <t>27375</t>
        </is>
      </c>
      <c r="B27498" s="4" t="s">
        <f>=HYPERLINK("http://anyluxury.ru/shop/sumki-i-ryukzaki/ryukzaki/ryukzak-basic-krasniy-p760204/" , "P760.204 Рюкзак Basic")</f>
      </c>
      <c r="C27498" s="4" t="n">
        <v>1499.00</v>
      </c>
      <c r="D27498" s="4"/>
    </row>
    <row collapsed="" customFormat="false" customHeight="1" hidden="" ht="14" outlineLevel="0" r="27499">
      <c r="A27499" s="3" t="inlineStr">
        <is>
          <t>27376</t>
        </is>
      </c>
      <c r="B27499" s="4" t="s">
        <f>=HYPERLINK("http://anyluxury.ru/shop/sumki-i-ryukzaki/ryukzaki/ryukzak-missouri-siniy-p775125/" , "P775.125 Рюкзак Missouri, синий")</f>
      </c>
      <c r="C27499" s="4" t="n">
        <v>2418.00</v>
      </c>
      <c r="D27499" s="4"/>
    </row>
    <row collapsed="" customFormat="false" customHeight="1" hidden="" ht="14" outlineLevel="0" r="27500">
      <c r="A27500" s="3" t="inlineStr">
        <is>
          <t>27377</t>
        </is>
      </c>
      <c r="B27500" s="4" t="s">
        <f>=HYPERLINK("http://anyluxury.ru/shop/sumki-i-ryukzaki/ryukzaki/dorozhnaya-sumka-na-kolesah-basic-cherniy-p790001/" , "P790.001 Дорожная сумка на колесах Basic")</f>
      </c>
      <c r="C27500" s="4" t="n">
        <v>9800.00</v>
      </c>
      <c r="D27500" s="4"/>
    </row>
    <row collapsed="" customFormat="false" customHeight="1" hidden="" ht="14" outlineLevel="0" r="27501">
      <c r="A27501" s="3" t="inlineStr">
        <is>
          <t>27378</t>
        </is>
      </c>
      <c r="B27501" s="4" t="s">
        <f>=HYPERLINK("http://anyluxury.ru/shop/sumki-i-ryukzaki/ryukzaki/ryukzak-bobby-tech-s-zashhitoy-ot-karmannikov-p705251/" , "P705.251 Рюкзак Bobby Tech с защитой от карманников")</f>
      </c>
      <c r="C27501" s="4" t="n">
        <v>23490.00</v>
      </c>
      <c r="D27501" s="4"/>
    </row>
    <row collapsed="" customFormat="false" customHeight="1" hidden="" ht="14" outlineLevel="0" r="27502">
      <c r="A27502" s="3" t="inlineStr">
        <is>
          <t>27379</t>
        </is>
      </c>
      <c r="B27502" s="4" t="s">
        <f>=HYPERLINK("http://anyluxury.ru/shop/sumki-i-ryukzaki/ryukzaki/ryukzak-rider-krasniy-386450/" , "3864.50 Рюкзак Rider, красный")</f>
      </c>
      <c r="C27502" s="4" t="n">
        <v>1194.00</v>
      </c>
      <c r="D27502" s="4"/>
    </row>
    <row collapsed="" customFormat="false" customHeight="1" hidden="" ht="14" outlineLevel="0" r="27503">
      <c r="A27503" s="3" t="inlineStr">
        <is>
          <t>27380</t>
        </is>
      </c>
      <c r="B27503" s="4" t="s">
        <f>=HYPERLINK("http://anyluxury.ru/shop/sumki-i-ryukzaki/ryukzaki/ryukzak-rider-kobalt-temnosiniy-386440/" , "3864.40 Рюкзак Rider, кобальт (темно-синий)")</f>
      </c>
      <c r="C27503" s="4" t="n">
        <v>1194.00</v>
      </c>
      <c r="D27503" s="4"/>
    </row>
    <row collapsed="" customFormat="false" customHeight="1" hidden="" ht="14" outlineLevel="0" r="27504">
      <c r="A27504" s="3" t="inlineStr">
        <is>
          <t>27381</t>
        </is>
      </c>
      <c r="B27504" s="4" t="s">
        <f>=HYPERLINK("http://anyluxury.ru/shop/sumki-i-ryukzaki/ryukzaki/ryukzak-canvas-neokrashenniy-544966/" , "5449.66 Рюкзак Canvas, неокрашенный")</f>
      </c>
      <c r="C27504" s="4" t="n">
        <v>192.00</v>
      </c>
      <c r="D27504" s="4"/>
    </row>
    <row collapsed="" customFormat="false" customHeight="1" hidden="" ht="14" outlineLevel="0" r="27505">
      <c r="A27505" s="3" t="inlineStr">
        <is>
          <t>27382</t>
        </is>
      </c>
      <c r="B27505" s="4" t="s">
        <f>=HYPERLINK("http://anyluxury.ru/shop/sumki-i-ryukzaki/ryukzaki/ryukzak-canvas-cherniy-544930/" , "5449.30 Рюкзак Canvas, черный")</f>
      </c>
      <c r="C27505" s="4" t="n">
        <v>192.00</v>
      </c>
      <c r="D27505" s="4"/>
    </row>
    <row collapsed="" customFormat="false" customHeight="1" hidden="" ht="14" outlineLevel="0" r="27506">
      <c r="A27506" s="3" t="inlineStr">
        <is>
          <t>27383</t>
        </is>
      </c>
      <c r="B27506" s="4" t="s">
        <f>=HYPERLINK("http://anyluxury.ru/shop/sumki-i-ryukzaki/ryukzaki/ryukzak-dlya-noutbuka-burst-seriy-434810/" , "4348.10 Рюкзак для ноутбука The First, серый")</f>
      </c>
      <c r="C27506" s="4" t="n">
        <v>3415.00</v>
      </c>
      <c r="D27506" s="4"/>
    </row>
    <row collapsed="" customFormat="false" customHeight="1" hidden="" ht="14" outlineLevel="0" r="27507">
      <c r="A27507" s="3" t="inlineStr">
        <is>
          <t>27384</t>
        </is>
      </c>
      <c r="B27507" s="4" t="s">
        <f>=HYPERLINK("http://anyluxury.ru/shop/sumki-i-ryukzaki/ryukzaki/ryukzak-sportivniy-unit-athletic-krasniy-333950/" , "3339.50 Рюкзак спортивный Unit Athletic, красный")</f>
      </c>
      <c r="C27507" s="4" t="n">
        <v>1190.00</v>
      </c>
      <c r="D27507" s="4"/>
    </row>
    <row collapsed="" customFormat="false" customHeight="1" hidden="" ht="14" outlineLevel="0" r="27508">
      <c r="A27508" s="3" t="inlineStr">
        <is>
          <t>27385</t>
        </is>
      </c>
      <c r="B27508" s="4" t="s">
        <f>=HYPERLINK("http://anyluxury.ru/shop/sumki-i-ryukzaki/ryukzaki/ryukzak-sportivniy-unit-athletic-siniy-333940/" , "3339.40 Рюкзак спортивный Unit Athletic, синий")</f>
      </c>
      <c r="C27508" s="4" t="n">
        <v>1190.00</v>
      </c>
      <c r="D27508" s="4"/>
    </row>
    <row collapsed="" customFormat="false" customHeight="1" hidden="" ht="14" outlineLevel="0" r="27509">
      <c r="A27509" s="3" t="inlineStr">
        <is>
          <t>27386</t>
        </is>
      </c>
      <c r="B27509" s="4" t="s">
        <f>=HYPERLINK("http://anyluxury.ru/shop/sumki-i-ryukzaki/ryukzaki/ryukzak-dlya-noutbuka-burst-temnoseriy-434830/" , "4348.30 Рюкзак для ноутбука The First, темно-серый")</f>
      </c>
      <c r="C27509" s="4" t="n">
        <v>3415.00</v>
      </c>
      <c r="D27509" s="4"/>
    </row>
    <row collapsed="" customFormat="false" customHeight="1" hidden="" ht="14" outlineLevel="0" r="27510">
      <c r="A27510" s="3" t="inlineStr">
        <is>
          <t>27387</t>
        </is>
      </c>
      <c r="B27510" s="4" t="s">
        <f>=HYPERLINK("http://anyluxury.ru/shop/sumki-i-ryukzaki/ryukzaki/ryukzak-dlya-noutbuka-burst-siniy-434840/" , "4348.40 Рюкзак для ноутбука The First, синий")</f>
      </c>
      <c r="C27510" s="4" t="n">
        <v>3415.00</v>
      </c>
      <c r="D27510" s="4"/>
    </row>
    <row collapsed="" customFormat="false" customHeight="1" hidden="" ht="14" outlineLevel="0" r="27511">
      <c r="A27511" s="3" t="inlineStr">
        <is>
          <t>27388</t>
        </is>
      </c>
      <c r="B27511" s="4" t="s">
        <f>=HYPERLINK("http://anyluxury.ru/shop/sumki-i-ryukzaki/ryukzaki/ryukzak-dlya-noutbuka-2-v-1-twofold-seriy-s-bordovim-332415/" , "3324.15 Рюкзак для ноутбука 2 в 1 twoFold, серый с бордовым")</f>
      </c>
      <c r="C27511" s="4" t="n">
        <v>2995.00</v>
      </c>
      <c r="D27511" s="4"/>
    </row>
    <row collapsed="" customFormat="false" customHeight="1" hidden="" ht="14" outlineLevel="0" r="27512">
      <c r="A27512" s="3" t="inlineStr">
        <is>
          <t>27389</t>
        </is>
      </c>
      <c r="B27512" s="4" t="s">
        <f>=HYPERLINK("http://anyluxury.ru/shop/sumki-i-ryukzaki/ryukzaki/ryukzak-element-yarkozheltiy-446281/" , "4462.81 Рюкзак Element, ярко-желтый")</f>
      </c>
      <c r="C27512" s="4" t="n">
        <v>149.00</v>
      </c>
      <c r="D27512" s="4"/>
    </row>
    <row collapsed="" customFormat="false" customHeight="1" hidden="" ht="14" outlineLevel="0" r="27513">
      <c r="A27513" s="3" t="inlineStr">
        <is>
          <t>27390</t>
        </is>
      </c>
      <c r="B27513" s="4" t="s">
        <f>=HYPERLINK("http://anyluxury.ru/shop/sumki-i-ryukzaki/ryukzaki/ryukzak-chill-siniy-denim-02111600tun/" , "02111600TUN Рюкзак Chill, синий (деним)")</f>
      </c>
      <c r="C27513" s="4" t="n">
        <v>1092.00</v>
      </c>
      <c r="D27513" s="4"/>
    </row>
    <row collapsed="" customFormat="false" customHeight="1" hidden="" ht="14" outlineLevel="0" r="27514">
      <c r="A27514" s="3" t="inlineStr">
        <is>
          <t>27391</t>
        </is>
      </c>
      <c r="B27514" s="4" t="s">
        <f>=HYPERLINK("http://anyluxury.ru/shop/sumki-i-ryukzaki/ryukzaki/ryukzak-ingreed-seriy-1101010/" , "11010.10 Рюкзак inGreed, серый")</f>
      </c>
      <c r="C27514" s="4" t="n">
        <v>4460.00</v>
      </c>
      <c r="D27514" s="4"/>
    </row>
    <row collapsed="" customFormat="false" customHeight="1" hidden="" ht="14" outlineLevel="0" r="27515">
      <c r="A27515" s="3" t="inlineStr">
        <is>
          <t>27392</t>
        </is>
      </c>
      <c r="B27515" s="4" t="s">
        <f>=HYPERLINK("http://anyluxury.ru/shop/sumki-i-ryukzaki/ryukzaki/ryukzak-burst-locus-temnosiniy-1134440/" , "11344.40 Рюкзак Locus, темно-синий")</f>
      </c>
      <c r="C27515" s="4" t="n">
        <v>1481.00</v>
      </c>
      <c r="D27515" s="4"/>
    </row>
    <row collapsed="" customFormat="false" customHeight="1" hidden="" ht="14" outlineLevel="0" r="27516">
      <c r="A27516" s="3" t="inlineStr">
        <is>
          <t>27393</t>
        </is>
      </c>
      <c r="B27516" s="4" t="s">
        <f>=HYPERLINK("http://anyluxury.ru/shop/sumki-i-ryukzaki/ryukzaki/ryukzak-burst-locus-cherniy-1134430/" , "11344.30 Рюкзак Locus, черный")</f>
      </c>
      <c r="C27516" s="4" t="n">
        <v>1481.00</v>
      </c>
      <c r="D27516" s="4"/>
    </row>
    <row collapsed="" customFormat="false" customHeight="1" hidden="" ht="14" outlineLevel="0" r="27517">
      <c r="A27517" s="3" t="inlineStr">
        <is>
          <t>27394</t>
        </is>
      </c>
      <c r="B27517" s="4" t="s">
        <f>=HYPERLINK("http://anyluxury.ru/shop/sumki-i-ryukzaki/ryukzaki/ryukzak-burst-locus-seriy-1134410/" , "11344.10 Рюкзак Locus, серый")</f>
      </c>
      <c r="C27517" s="4" t="n">
        <v>1481.00</v>
      </c>
      <c r="D27517" s="4"/>
    </row>
    <row collapsed="" customFormat="false" customHeight="1" hidden="" ht="14" outlineLevel="0" r="27518">
      <c r="A27518" s="3" t="inlineStr">
        <is>
          <t>27395</t>
        </is>
      </c>
      <c r="B27518" s="4" t="s">
        <f>=HYPERLINK("http://anyluxury.ru/shop/sumki-i-ryukzaki/ryukzaki/ryukzak-altmont-30-flapover-backpack-cherniy-1070530/" , "10705.30 Рюкзак Altmont 3.0 Flapover Backpack, черный")</f>
      </c>
      <c r="C27518" s="4" t="n">
        <v>9670.00</v>
      </c>
      <c r="D27518" s="4"/>
    </row>
    <row collapsed="" customFormat="false" customHeight="1" hidden="" ht="14" outlineLevel="0" r="27519">
      <c r="A27519" s="3" t="inlineStr">
        <is>
          <t>27396</t>
        </is>
      </c>
      <c r="B27519" s="4" t="s">
        <f>=HYPERLINK("http://anyluxury.ru/shop/sumki-i-ryukzaki/ryukzaki/ryukzak-altmont-30-laptop-zeleniy-1070690/" , "10706.90 Рюкзак Altmont 3.0 Laptop, зеленый")</f>
      </c>
      <c r="C27519" s="4" t="n">
        <v>8950.00</v>
      </c>
      <c r="D27519" s="4"/>
    </row>
    <row collapsed="" customFormat="false" customHeight="1" hidden="" ht="14" outlineLevel="0" r="27520">
      <c r="A27520" s="3" t="inlineStr">
        <is>
          <t>27397</t>
        </is>
      </c>
      <c r="B27520" s="4" t="s">
        <f>=HYPERLINK("http://anyluxury.ru/shop/sumki-i-ryukzaki/ryukzaki/ryukzak-altmont-30-laptop-seriy-1070611/" , "10706.11 Рюкзак Altmont 3.0 Laptop, серый")</f>
      </c>
      <c r="C27520" s="4" t="n">
        <v>8950.00</v>
      </c>
      <c r="D27520" s="4"/>
    </row>
    <row collapsed="" customFormat="false" customHeight="1" hidden="" ht="14" outlineLevel="0" r="27521">
      <c r="A27521" s="3" t="inlineStr">
        <is>
          <t>27398</t>
        </is>
      </c>
      <c r="B27521" s="4" t="s">
        <f>=HYPERLINK("http://anyluxury.ru/shop/sumki-i-ryukzaki/ryukzaki/ryukzak-altmont-30-slimline-krasniy-1070750/" , "10707.50 Рюкзак Altmont 3.0 Slimline, красный")</f>
      </c>
      <c r="C27521" s="4" t="n">
        <v>10390.00</v>
      </c>
      <c r="D27521" s="4"/>
    </row>
    <row collapsed="" customFormat="false" customHeight="1" hidden="" ht="14" outlineLevel="0" r="27522">
      <c r="A27522" s="3" t="inlineStr">
        <is>
          <t>27399</t>
        </is>
      </c>
      <c r="B27522" s="4" t="s">
        <f>=HYPERLINK("http://anyluxury.ru/shop/sumki-i-ryukzaki/ryukzaki/ryukzak-photon-s-vodoottalkivayushhim-pokritiem-seriy-1072011/" , "10720.11 Рюкзак Photon с водоотталкивающим покрытием, серый")</f>
      </c>
      <c r="C27522" s="4" t="n">
        <v>7830.00</v>
      </c>
      <c r="D27522" s="4"/>
    </row>
    <row collapsed="" customFormat="false" customHeight="1" hidden="" ht="14" outlineLevel="0" r="27523">
      <c r="A27523" s="3" t="inlineStr">
        <is>
          <t>27400</t>
        </is>
      </c>
      <c r="B27523" s="4" t="s">
        <f>=HYPERLINK("http://anyluxury.ru/shop/sumki-i-ryukzaki/ryukzaki/ryukzak-photon-s-vodoottalkivayushhim-pokritiem-cherniy-1072030/" , "10720.30 Рюкзак Photon с водоотталкивающим покрытием, черный")</f>
      </c>
      <c r="C27523" s="4" t="n">
        <v>8550.00</v>
      </c>
      <c r="D27523" s="4"/>
    </row>
    <row collapsed="" customFormat="false" customHeight="1" hidden="" ht="14" outlineLevel="0" r="27524">
      <c r="A27524" s="3" t="inlineStr">
        <is>
          <t>27401</t>
        </is>
      </c>
      <c r="B27524" s="4" t="s">
        <f>=HYPERLINK("http://anyluxury.ru/shop/sumki-i-ryukzaki/ryukzaki/ryukzak-contatto-midi-cherniy-5205730/" , "52057.30 Рюкзак Contatto Midi, черный")</f>
      </c>
      <c r="C27524" s="4" t="n">
        <v>15120.00</v>
      </c>
      <c r="D27524" s="4"/>
    </row>
    <row collapsed="" customFormat="false" customHeight="1" hidden="" ht="14" outlineLevel="0" r="27525">
      <c r="A27525" s="3" t="inlineStr">
        <is>
          <t>27402</t>
        </is>
      </c>
      <c r="B27525" s="4" t="s">
        <f>=HYPERLINK("http://anyluxury.ru/shop/sumki-i-ryukzaki/ryukzaki/ryukzak-contatto-midi-siniy-5205740/" , "52057.40 Рюкзак Contatto Midi, синий")</f>
      </c>
      <c r="C27525" s="4" t="n">
        <v>15120.00</v>
      </c>
      <c r="D27525" s="4"/>
    </row>
    <row collapsed="" customFormat="false" customHeight="1" hidden="" ht="14" outlineLevel="0" r="27526">
      <c r="A27526" s="3" t="inlineStr">
        <is>
          <t>27403</t>
        </is>
      </c>
      <c r="B27526" s="4" t="s">
        <f>=HYPERLINK("http://anyluxury.ru/shop/sumki-i-ryukzaki/ryukzaki/ryukzak-contatto-mini-cherniy-5205930/" , "52059.30 Рюкзак Contatto Mini, черный")</f>
      </c>
      <c r="C27526" s="4" t="n">
        <v>16800.00</v>
      </c>
      <c r="D27526" s="4"/>
    </row>
    <row collapsed="" customFormat="false" customHeight="1" hidden="" ht="14" outlineLevel="0" r="27527">
      <c r="A27527" s="3" t="inlineStr">
        <is>
          <t>27404</t>
        </is>
      </c>
      <c r="B27527" s="4" t="s">
        <f>=HYPERLINK("http://anyluxury.ru/shop/sumki-i-ryukzaki/ryukzaki/ryukzak-contatto-mini-siniy-5205940/" , "52059.40 Рюкзак Contatto Mini, синий")</f>
      </c>
      <c r="C27527" s="4" t="n">
        <v>16800.00</v>
      </c>
      <c r="D27527" s="4"/>
    </row>
    <row collapsed="" customFormat="false" customHeight="1" hidden="" ht="14" outlineLevel="0" r="27528">
      <c r="A27528" s="3" t="inlineStr">
        <is>
          <t>27405</t>
        </is>
      </c>
      <c r="B27528" s="4" t="s">
        <f>=HYPERLINK("http://anyluxury.ru/shop/sumki-i-ryukzaki/ryukzaki/ryukzak-vernazza-korichneviy-5206659/" , "52066.59 Рюкзак Vernazza, коричневый")</f>
      </c>
      <c r="C27528" s="4" t="n">
        <v>12360.00</v>
      </c>
      <c r="D27528" s="4"/>
    </row>
    <row collapsed="" customFormat="false" customHeight="1" hidden="" ht="14" outlineLevel="0" r="27529">
      <c r="A27529" s="3" t="inlineStr">
        <is>
          <t>27406</t>
        </is>
      </c>
      <c r="B27529" s="4" t="s">
        <f>=HYPERLINK("http://anyluxury.ru/shop/sumki-i-ryukzaki/ryukzaki/ryukzak-vernazza-cherniy-5206630/" , "52066.30 Рюкзак Vernazza, черный")</f>
      </c>
      <c r="C27529" s="4" t="n">
        <v>12360.00</v>
      </c>
      <c r="D27529" s="4"/>
    </row>
    <row collapsed="" customFormat="false" customHeight="1" hidden="" ht="14" outlineLevel="0" r="27530">
      <c r="A27530" s="3" t="inlineStr">
        <is>
          <t>27407</t>
        </is>
      </c>
      <c r="B27530" s="4" t="s">
        <f>=HYPERLINK("http://anyluxury.ru/shop/sumki-i-ryukzaki/ryukzaki/dvuhcvetnaya-sumkaholodilnik-p422272/" , "P422.272 Двухцветная сумка-холодильник")</f>
      </c>
      <c r="C27530" s="4" t="n">
        <v>1594.00</v>
      </c>
      <c r="D27530" s="4"/>
    </row>
    <row collapsed="" customFormat="false" customHeight="1" hidden="" ht="14" outlineLevel="0" r="27531">
      <c r="A27531" s="3" t="inlineStr">
        <is>
          <t>27408</t>
        </is>
      </c>
      <c r="B27531" s="4" t="s">
        <f>=HYPERLINK("http://anyluxury.ru/shop/sumki-i-ryukzaki/ryukzaki/dorozhnaya-sumka-fashion-black-bez-soderzhaniya-pvh-p707161/" , "P707.161 Дорожная сумка Fashion Black (без содержания ПВХ)")</f>
      </c>
      <c r="C27531" s="4" t="n">
        <v>4447.00</v>
      </c>
      <c r="D27531" s="4"/>
    </row>
    <row collapsed="" customFormat="false" customHeight="1" hidden="" ht="14" outlineLevel="0" r="27532">
      <c r="A27532" s="3" t="inlineStr">
        <is>
          <t>27409</t>
        </is>
      </c>
      <c r="B27532" s="4" t="s">
        <f>=HYPERLINK("http://anyluxury.ru/shop/sumki-i-ryukzaki/ryukzaki/sumka-dlya-noutbuka-fashion-black-156-bez-soderzhaniya-pvh-p730141/" , "P730.141 Сумка для ноутбука Fashion Black, 15.6' (без содержания ПВХ)")</f>
      </c>
      <c r="C27532" s="4" t="n">
        <v>3022.00</v>
      </c>
      <c r="D27532" s="4"/>
    </row>
    <row collapsed="" customFormat="false" customHeight="1" hidden="" ht="14" outlineLevel="0" r="27533">
      <c r="A27533" s="3" t="inlineStr">
        <is>
          <t>27410</t>
        </is>
      </c>
      <c r="B27533" s="4" t="s">
        <f>=HYPERLINK("http://anyluxury.ru/shop/sumki-i-ryukzaki/ryukzaki/sumkaholodilnik-fargo-tote-iz-rpet-p422102/" , "P422.102 Сумка-холодильник Fargo Tote из RPET")</f>
      </c>
      <c r="C27533" s="4" t="n">
        <v>2299.00</v>
      </c>
      <c r="D27533" s="4"/>
    </row>
    <row collapsed="" customFormat="false" customHeight="1" hidden="" ht="14" outlineLevel="0" r="27534">
      <c r="A27534" s="3" t="inlineStr">
        <is>
          <t>27411</t>
        </is>
      </c>
      <c r="B27534" s="4" t="s">
        <f>=HYPERLINK("http://anyluxury.ru/shop/sumki-i-ryukzaki/ryukzaki/ryukzakholodilnik-fargo-iz-rpet-p733042/" , "P733.042 Рюкзак-холодильник Fargo из RPET")</f>
      </c>
      <c r="C27534" s="4" t="n">
        <v>4491.00</v>
      </c>
      <c r="D27534" s="4"/>
    </row>
    <row collapsed="" customFormat="false" customHeight="1" hidden="" ht="14" outlineLevel="0" r="27535">
      <c r="A27535" s="3" t="inlineStr">
        <is>
          <t>27412</t>
        </is>
      </c>
      <c r="B27535" s="4" t="s">
        <f>=HYPERLINK("http://anyluxury.ru/shop/sumki-i-ryukzaki/ryukzaki/ryukzak-rider-oranzheviy-386420/" , "3864.20 Рюкзак Rider, оранжевый")</f>
      </c>
      <c r="C27535" s="4" t="n">
        <v>1194.00</v>
      </c>
      <c r="D27535" s="4"/>
    </row>
    <row collapsed="" customFormat="false" customHeight="1" hidden="" ht="14" outlineLevel="0" r="27536">
      <c r="A27536" s="3" t="inlineStr">
        <is>
          <t>27413</t>
        </is>
      </c>
      <c r="B27536" s="4" t="s">
        <f>=HYPERLINK("http://anyluxury.ru/shop/sumki-i-ryukzaki/ryukzaki/ryukzak-dlya-noutbuka-swissgear-comfort-fit-seriy-1214111/" , "12141.11 Рюкзак для ноутбука Swissgear Comfort Fit, серый")</f>
      </c>
      <c r="C27536" s="4" t="n">
        <v>3780.00</v>
      </c>
      <c r="D27536" s="4"/>
    </row>
    <row collapsed="" customFormat="false" customHeight="1" hidden="" ht="14" outlineLevel="0" r="27537">
      <c r="A27537" s="3" t="inlineStr">
        <is>
          <t>27414</t>
        </is>
      </c>
      <c r="B27537" s="4" t="s">
        <f>=HYPERLINK("http://anyluxury.ru/shop/sumki-i-ryukzaki/ryukzaki/ryukzak-na-odno-plecho-swissgear-grey-heather-seriy-1214211/" , "12142.11 Рюкзак на одно плечо Swissgear Grey Heather, серый")</f>
      </c>
      <c r="C27537" s="4" t="n">
        <v>2900.00</v>
      </c>
      <c r="D27537" s="4"/>
    </row>
    <row collapsed="" customFormat="false" customHeight="1" hidden="" ht="14" outlineLevel="0" r="27538">
      <c r="A27538" s="3" t="inlineStr">
        <is>
          <t>27415</t>
        </is>
      </c>
      <c r="B27538" s="4" t="s">
        <f>=HYPERLINK("http://anyluxury.ru/shop/sumki-i-ryukzaki/ryukzaki/ryukzak-skladnoy-swissgear-rozoviy-1215315/" , "12153.15 Рюкзак складной Swissgear, розовый")</f>
      </c>
      <c r="C27538" s="4" t="n">
        <v>2150.00</v>
      </c>
      <c r="D27538" s="4"/>
    </row>
    <row collapsed="" customFormat="false" customHeight="1" hidden="" ht="14" outlineLevel="0" r="27539">
      <c r="A27539" s="3" t="inlineStr">
        <is>
          <t>27416</t>
        </is>
      </c>
      <c r="B27539" s="4" t="s">
        <f>=HYPERLINK("http://anyluxury.ru/shop/sumki-i-ryukzaki/ryukzaki/ryukzak-skladnoy-swissgear-cherniy-1215330/" , "12153.30 Рюкзак складной Swissgear, черный")</f>
      </c>
      <c r="C27539" s="4" t="n">
        <v>2150.00</v>
      </c>
      <c r="D27539" s="4"/>
    </row>
    <row collapsed="" customFormat="false" customHeight="1" hidden="" ht="14" outlineLevel="0" r="27540">
      <c r="A27540" s="3" t="inlineStr">
        <is>
          <t>27417</t>
        </is>
      </c>
      <c r="B27540" s="4" t="s">
        <f>=HYPERLINK("http://anyluxury.ru/shop/sumki-i-ryukzaki/ryukzaki/ryukzak-shkolniy-swissgear-cherniy-s-rozovim-1215430/" , "12154.30 Рюкзак городской Swissgear, черный с розовым")</f>
      </c>
      <c r="C27540" s="4" t="n">
        <v>4410.00</v>
      </c>
      <c r="D27540" s="4"/>
    </row>
    <row collapsed="" customFormat="false" customHeight="1" hidden="" ht="14" outlineLevel="0" r="27541">
      <c r="A27541" s="3" t="inlineStr">
        <is>
          <t>27418</t>
        </is>
      </c>
      <c r="B27541" s="4" t="s">
        <f>=HYPERLINK("http://anyluxury.ru/shop/sumki-i-ryukzaki/ryukzaki/ryukzak-burst-reliable-seriy-1159410/" , "11594.10 Рюкзак Reliable, серый")</f>
      </c>
      <c r="C27541" s="4" t="n">
        <v>761.00</v>
      </c>
      <c r="D27541" s="4"/>
    </row>
    <row collapsed="" customFormat="false" customHeight="1" hidden="" ht="14" outlineLevel="0" r="27542">
      <c r="A27542" s="3" t="inlineStr">
        <is>
          <t>27419</t>
        </is>
      </c>
      <c r="B27542" s="4" t="s">
        <f>=HYPERLINK("http://anyluxury.ru/shop/sumki-i-ryukzaki/ryukzaki/ryukzak-piquadro-coleos-siniy-ca2944osblu2/" , "CA2944OS/BLU2 Рюкзак Piquadro COLEOS, синий")</f>
      </c>
      <c r="C27542" s="4" t="n">
        <v>30800.00</v>
      </c>
      <c r="D27542" s="4"/>
    </row>
    <row collapsed="" customFormat="false" customHeight="1" hidden="" ht="14" outlineLevel="0" r="27543">
      <c r="A27543" s="3" t="inlineStr">
        <is>
          <t>27420</t>
        </is>
      </c>
      <c r="B27543" s="4" t="s">
        <f>=HYPERLINK("http://anyluxury.ru/shop/sumki-i-ryukzaki/ryukzaki/ryukzak-piquadro-coleos-cherniy-ca2944osn/" , "CA2944OS/N Рюкзак Piquadro COLEOS, черный")</f>
      </c>
      <c r="C27543" s="4" t="n">
        <v>30800.00</v>
      </c>
      <c r="D27543" s="4"/>
    </row>
    <row collapsed="" customFormat="false" customHeight="1" hidden="" ht="14" outlineLevel="0" r="27544">
      <c r="A27544" s="3" t="inlineStr">
        <is>
          <t>27421</t>
        </is>
      </c>
      <c r="B27544" s="4" t="s">
        <f>=HYPERLINK("http://anyluxury.ru/shop/sumki-i-ryukzaki/ryukzaki/ryukzak-rider-seriy-386410/" , "3864.10 Рюкзак Rider, серый")</f>
      </c>
      <c r="C27544" s="4" t="n">
        <v>1194.00</v>
      </c>
      <c r="D27544" s="4"/>
    </row>
    <row collapsed="" customFormat="false" customHeight="1" hidden="" ht="14" outlineLevel="0" r="27545">
      <c r="A27545" s="3" t="inlineStr">
        <is>
          <t>27422</t>
        </is>
      </c>
      <c r="B27545" s="4" t="s">
        <f>=HYPERLINK("http://anyluxury.ru/shop/sumki-i-ryukzaki/ryukzaki/ryukzak-city-plume-m-cherniy-p6101002/" , "P61-01002 Рюкзак City Plume M, черный")</f>
      </c>
      <c r="C27545" s="4" t="n">
        <v>6000.00</v>
      </c>
      <c r="D27545" s="4"/>
    </row>
    <row collapsed="" customFormat="false" customHeight="1" hidden="" ht="14" outlineLevel="0" r="27546">
      <c r="A27546" s="3" t="inlineStr">
        <is>
          <t>27423</t>
        </is>
      </c>
      <c r="B27546" s="4" t="s">
        <f>=HYPERLINK("http://anyluxury.ru/shop/sumki-i-ryukzaki/ryukzaki/ryukzak-city-plume-m-siniy-p6132002/" , "P61-32002 Рюкзак City Plume M, синий")</f>
      </c>
      <c r="C27546" s="4" t="n">
        <v>6000.00</v>
      </c>
      <c r="D27546" s="4"/>
    </row>
    <row collapsed="" customFormat="false" customHeight="1" hidden="" ht="14" outlineLevel="0" r="27547">
      <c r="A27547" s="3" t="inlineStr">
        <is>
          <t>27424</t>
        </is>
      </c>
      <c r="B27547" s="4" t="s">
        <f>=HYPERLINK("http://anyluxury.ru/shop/sumki-i-ryukzaki/ryukzaki/ryukzak-city-plume-m-krasniy-p6163002/" , "P61-63002 Рюкзак City Plume M, красный")</f>
      </c>
      <c r="C27547" s="4" t="n">
        <v>6000.00</v>
      </c>
      <c r="D27547" s="4"/>
    </row>
    <row collapsed="" customFormat="false" customHeight="1" hidden="" ht="14" outlineLevel="0" r="27548">
      <c r="A27548" s="3" t="inlineStr">
        <is>
          <t>27425</t>
        </is>
      </c>
      <c r="B27548" s="4" t="s">
        <f>=HYPERLINK("http://anyluxury.ru/shop/sumki-i-ryukzaki/ryukzaki/ryukzak-city-plume-m-haki-p6144002/" , "P61-44002 Рюкзак City Plume M, хаки")</f>
      </c>
      <c r="C27548" s="4" t="n">
        <v>6000.00</v>
      </c>
      <c r="D27548" s="4"/>
    </row>
    <row collapsed="" customFormat="false" customHeight="1" hidden="" ht="14" outlineLevel="0" r="27549">
      <c r="A27549" s="3" t="inlineStr">
        <is>
          <t>27426</t>
        </is>
      </c>
      <c r="B27549" s="4" t="s">
        <f>=HYPERLINK("http://anyluxury.ru/shop/sumki-i-ryukzaki/ryukzaki/ryukzak-na-kolesah-plume-business-cherniy-p5501118/" , "P55-01118 Рюкзак на колесах Plume Business, черный")</f>
      </c>
      <c r="C27549" s="4" t="n">
        <v>16490.00</v>
      </c>
      <c r="D27549" s="4"/>
    </row>
    <row collapsed="" customFormat="false" customHeight="1" hidden="" ht="14" outlineLevel="0" r="27550">
      <c r="A27550" s="3" t="inlineStr">
        <is>
          <t>27427</t>
        </is>
      </c>
      <c r="B27550" s="4" t="s">
        <f>=HYPERLINK("http://anyluxury.ru/shop/sumki-i-ryukzaki/ryukzaki/ryukzak-na-kolesah-plume-business-siniy-p5532118/" , "P55-32118 Рюкзак на колесах Plume Business, синий")</f>
      </c>
      <c r="C27550" s="4" t="n">
        <v>16490.00</v>
      </c>
      <c r="D27550" s="4"/>
    </row>
    <row collapsed="" customFormat="false" customHeight="1" hidden="" ht="14" outlineLevel="0" r="27551">
      <c r="A27551" s="3" t="inlineStr">
        <is>
          <t>27428</t>
        </is>
      </c>
      <c r="B27551" s="4" t="s">
        <f>=HYPERLINK("http://anyluxury.ru/shop/sumki-i-ryukzaki/ryukzaki/ryukzak-dlya-noutbuka-156-swiss-peak-voyager-iz-rpet-s-usb-and-rfid-p762521/" , "P762.521 Рюкзак для ноутбука 15.6' Swiss Peak Voyager из RPET с USB RFID")</f>
      </c>
      <c r="C27551" s="4" t="n">
        <v>7690.00</v>
      </c>
      <c r="D27551" s="4"/>
    </row>
    <row collapsed="" customFormat="false" customHeight="1" hidden="" ht="14" outlineLevel="0" r="27552">
      <c r="A27552" s="3" t="inlineStr">
        <is>
          <t>27429</t>
        </is>
      </c>
      <c r="B27552" s="4" t="s">
        <f>=HYPERLINK("http://anyluxury.ru/shop/sumki-i-ryukzaki/ryukzaki/ryukzak-soho-business-iz-rpet-bez-soderzhaniya-pvh-15-p762531/" , "P762.531 Рюкзак Soho business из RPET (без содержания ПВХ) 15'")</f>
      </c>
      <c r="C27552" s="4" t="n">
        <v>6934.00</v>
      </c>
      <c r="D27552" s="4"/>
    </row>
    <row collapsed="" customFormat="false" customHeight="1" hidden="" ht="14" outlineLevel="0" r="27553">
      <c r="A27553" s="3" t="inlineStr">
        <is>
          <t>27430</t>
        </is>
      </c>
      <c r="B27553" s="4" t="s">
        <f>=HYPERLINK("http://anyluxury.ru/shop/sumki-i-ryukzaki/ryukzaki/alyuminieviy-kartholder-standard-s-pu-koshelkom-i-zashhitoy-rfid-p850341/" , "P850.341 Алюминиевый картхолдер Standard с PU кошельком и защитой RFID")</f>
      </c>
      <c r="C27553" s="4" t="n">
        <v>2399.00</v>
      </c>
      <c r="D27553" s="4"/>
    </row>
    <row collapsed="" customFormat="false" customHeight="1" hidden="" ht="14" outlineLevel="0" r="27554">
      <c r="A27554" s="3" t="inlineStr">
        <is>
          <t>27431</t>
        </is>
      </c>
      <c r="B27554" s="4" t="s">
        <f>=HYPERLINK("http://anyluxury.ru/shop/sumki-i-ryukzaki/ryukzaki/sumka-dlya-noutbuka-soho-business-iz-rpet-15-bez-pvh-p730091/" , "P730.091 Сумка для ноутбука Soho business из RPET, 15' (без ПВХ)")</f>
      </c>
      <c r="C27554" s="4" t="n">
        <v>4978.00</v>
      </c>
      <c r="D27554" s="4"/>
    </row>
    <row collapsed="" customFormat="false" customHeight="1" hidden="" ht="14" outlineLevel="0" r="27555">
      <c r="A27555" s="3" t="inlineStr">
        <is>
          <t>27432</t>
        </is>
      </c>
      <c r="B27555" s="4" t="s">
        <f>=HYPERLINK("http://anyluxury.ru/shop/sumki-i-ryukzaki/ryukzaki/ryukzak-osaka-p705601/" , "P705.601 Рюкзак Osaka")</f>
      </c>
      <c r="C27555" s="4" t="n">
        <v>6090.00</v>
      </c>
      <c r="D27555" s="4"/>
    </row>
    <row collapsed="" customFormat="false" customHeight="1" hidden="" ht="14" outlineLevel="0" r="27556">
      <c r="A27556" s="3" t="inlineStr">
        <is>
          <t>27433</t>
        </is>
      </c>
      <c r="B27556" s="4" t="s">
        <f>=HYPERLINK("http://anyluxury.ru/shop/sumki-i-ryukzaki/ryukzaki/sumka-dlya-noutbuka-15-p788065/" , "P788.065 Сумка для ноутбука 15”")</f>
      </c>
      <c r="C27556" s="4" t="n">
        <v>2519.00</v>
      </c>
      <c r="D27556" s="4"/>
    </row>
    <row collapsed="" customFormat="false" customHeight="1" hidden="" ht="14" outlineLevel="0" r="27557">
      <c r="A27557" s="3" t="inlineStr">
        <is>
          <t>27434</t>
        </is>
      </c>
      <c r="B27557" s="4" t="s">
        <f>=HYPERLINK("http://anyluxury.ru/shop/sumki-i-ryukzaki/ryukzaki/sumka-dlya-noutbuka-15-p788061/" , "P788.061 Сумка для ноутбука 15”")</f>
      </c>
      <c r="C27557" s="4" t="n">
        <v>2519.00</v>
      </c>
      <c r="D27557" s="4"/>
    </row>
    <row collapsed="" customFormat="false" customHeight="1" hidden="" ht="14" outlineLevel="0" r="27558">
      <c r="A27558" s="3" t="inlineStr">
        <is>
          <t>27435</t>
        </is>
      </c>
      <c r="B27558" s="4" t="s">
        <f>=HYPERLINK("http://anyluxury.ru/shop/sumki-i-ryukzaki/ryukzaki/dvuhcvetnaya-dorozhnaya-sumka-s-rfid-iz-rpet-p707262/" , "P707.262 Двухцветная дорожная сумка с RFID из RPET")</f>
      </c>
      <c r="C27558" s="4" t="n">
        <v>4390.00</v>
      </c>
      <c r="D27558" s="4"/>
    </row>
    <row collapsed="" customFormat="false" customHeight="1" hidden="" ht="14" outlineLevel="0" r="27559">
      <c r="A27559" s="3" t="inlineStr">
        <is>
          <t>27436</t>
        </is>
      </c>
      <c r="B27559" s="4" t="s">
        <f>=HYPERLINK("http://anyluxury.ru/shop/sumki-i-ryukzaki/ryukzaki/ryukzak-dlya-noutbuka-modern-usb-and-rfid-ne-soderzhit-pvh-15-p760051/" , "P760.051 Рюкзак для ноутбука Modern USB RFID (не содержит ПВХ), 15'")</f>
      </c>
      <c r="C27559" s="4" t="n">
        <v>5341.00</v>
      </c>
      <c r="D27559" s="4"/>
    </row>
    <row collapsed="" customFormat="false" customHeight="1" hidden="" ht="14" outlineLevel="0" r="27560">
      <c r="A27560" s="3" t="inlineStr">
        <is>
          <t>27437</t>
        </is>
      </c>
      <c r="B27560" s="4" t="s">
        <f>=HYPERLINK("http://anyluxury.ru/shop/sumki-i-ryukzaki/ryukzaki/ryukzak-casual-ne-soderzhit-pvh-p760049/" , "P760.049 Рюкзак Casual (не содержит ПВХ)")</f>
      </c>
      <c r="C27560" s="4" t="n">
        <v>899.00</v>
      </c>
      <c r="D27560" s="4"/>
    </row>
    <row collapsed="" customFormat="false" customHeight="1" hidden="" ht="14" outlineLevel="0" r="27561">
      <c r="A27561" s="3" t="inlineStr">
        <is>
          <t>27438</t>
        </is>
      </c>
      <c r="B27561" s="4" t="s">
        <f>=HYPERLINK("http://anyluxury.ru/shop/sumki-i-ryukzaki/ryukzaki/ryukzak-casual-ne-soderzhit-pvh-p760046/" , "P760.046 Рюкзак Casual (не содержит ПВХ)")</f>
      </c>
      <c r="C27561" s="4" t="n">
        <v>899.00</v>
      </c>
      <c r="D27561" s="4"/>
    </row>
    <row collapsed="" customFormat="false" customHeight="1" hidden="" ht="14" outlineLevel="0" r="27562">
      <c r="A27562" s="3" t="inlineStr">
        <is>
          <t>27439</t>
        </is>
      </c>
      <c r="B27562" s="4" t="s">
        <f>=HYPERLINK("http://anyluxury.ru/shop/sumki-i-ryukzaki/ryukzaki/ryukzak-casual-ne-soderzhit-pvh-p760045/" , "P760.045 Рюкзак Casual (не содержит ПВХ)")</f>
      </c>
      <c r="C27562" s="4" t="n">
        <v>899.00</v>
      </c>
      <c r="D27562" s="4"/>
    </row>
    <row collapsed="" customFormat="false" customHeight="1" hidden="" ht="14" outlineLevel="0" r="27563">
      <c r="A27563" s="3" t="inlineStr">
        <is>
          <t>27440</t>
        </is>
      </c>
      <c r="B27563" s="4" t="s">
        <f>=HYPERLINK("http://anyluxury.ru/shop/sumki-i-ryukzaki/ryukzaki/ryukzak-casual-ne-soderzhit-pvh-p760043/" , "P760.043 Рюкзак Casual (не содержит ПВХ)")</f>
      </c>
      <c r="C27563" s="4" t="n">
        <v>899.00</v>
      </c>
      <c r="D27563" s="4"/>
    </row>
    <row collapsed="" customFormat="false" customHeight="1" hidden="" ht="14" outlineLevel="0" r="27564">
      <c r="A27564" s="3" t="inlineStr">
        <is>
          <t>27441</t>
        </is>
      </c>
      <c r="B27564" s="4" t="s">
        <f>=HYPERLINK("http://anyluxury.ru/shop/sumki-i-ryukzaki/ryukzaki/ryukzak-casual-ne-soderzhit-pvh-p760041/" , "P760.041 Рюкзак Casual (не содержит ПВХ)")</f>
      </c>
      <c r="C27564" s="4" t="n">
        <v>899.00</v>
      </c>
      <c r="D27564" s="4"/>
    </row>
    <row collapsed="" customFormat="false" customHeight="1" hidden="" ht="14" outlineLevel="0" r="27565">
      <c r="A27565" s="3" t="inlineStr">
        <is>
          <t>27442</t>
        </is>
      </c>
      <c r="B27565" s="4" t="s">
        <f>=HYPERLINK("http://anyluxury.ru/shop/sumki-i-ryukzaki/ryukzaki/sumka-dlya-noutbuka-voyager-ot-swiss-peak-rpet-156-p732071/" , "P732.071 Сумка для ноутбука Voyager от Swiss Peak RPET, 15.6“")</f>
      </c>
      <c r="C27565" s="4" t="n">
        <v>6581.00</v>
      </c>
      <c r="D27565" s="4"/>
    </row>
    <row collapsed="" customFormat="false" customHeight="1" hidden="" ht="14" outlineLevel="0" r="27566">
      <c r="A27566" s="3" t="inlineStr">
        <is>
          <t>27443</t>
        </is>
      </c>
      <c r="B27566" s="4" t="s">
        <f>=HYPERLINK("http://anyluxury.ru/shop/sumki-i-ryukzaki/ryukzaki/sumka-dlya-noutbuka-duo-color-s-rfid-zashhitoy-156-ne-soderzhit-pvh-p732082/" , "P732.082 Сумка для ноутбука Duo color с RFID защитой, 15.6” (не содержит ПВХ)")</f>
      </c>
      <c r="C27566" s="4" t="n">
        <v>3553.00</v>
      </c>
      <c r="D27566" s="4"/>
    </row>
    <row collapsed="" customFormat="false" customHeight="1" hidden="" ht="14" outlineLevel="0" r="27567">
      <c r="A27567" s="3" t="inlineStr">
        <is>
          <t>27444</t>
        </is>
      </c>
      <c r="B27567" s="4" t="s">
        <f>=HYPERLINK("http://anyluxury.ru/shop/sumki-i-ryukzaki/ryukzaki/poyasnaya-sumka-urban-p730062/" , "P730.062 Поясная сумка Urban")</f>
      </c>
      <c r="C27567" s="4" t="n">
        <v>5331.00</v>
      </c>
      <c r="D27567" s="4"/>
    </row>
    <row collapsed="" customFormat="false" customHeight="1" hidden="" ht="14" outlineLevel="0" r="27568">
      <c r="A27568" s="3" t="inlineStr">
        <is>
          <t>27445</t>
        </is>
      </c>
      <c r="B27568" s="4" t="s">
        <f>=HYPERLINK("http://anyluxury.ru/shop/sumki-i-ryukzaki/ryukzaki/ryukzak-holshhoviy-discovery-bag-neokrashenniy-1087566/" , "10875.66 Рюкзак холщовый Discovery Bag, неокрашенный")</f>
      </c>
      <c r="C27568" s="4" t="n">
        <v>919.00</v>
      </c>
      <c r="D27568" s="4"/>
    </row>
    <row collapsed="" customFormat="false" customHeight="1" hidden="" ht="14" outlineLevel="0" r="27569">
      <c r="A27569" s="3" t="inlineStr">
        <is>
          <t>27446</t>
        </is>
      </c>
      <c r="B27569" s="4" t="s">
        <f>=HYPERLINK("http://anyluxury.ru/shop/sumki-i-ryukzaki/ryukzaki/ryukzak-dlya-noutbuka-mi-business-backpack-cherniy-1207030/" , "12070.30 Рюкзак для ноутбука Mi Business Backpack, черный")</f>
      </c>
      <c r="C27569" s="4" t="n">
        <v>3019.00</v>
      </c>
      <c r="D27569" s="4"/>
    </row>
    <row collapsed="" customFormat="false" customHeight="1" hidden="" ht="14" outlineLevel="0" r="27570">
      <c r="A27570" s="3" t="inlineStr">
        <is>
          <t>27447</t>
        </is>
      </c>
      <c r="B27570" s="4" t="s">
        <f>=HYPERLINK("http://anyluxury.ru/shop/sumki-i-ryukzaki/ryukzaki/ryukzak-dlya-noutbuka-mi-city-backpack-svetloseriy-1207110/" , "12071.10 Рюкзак для ноутбука Mi City Backpack, светло-серый")</f>
      </c>
      <c r="C27570" s="4" t="n">
        <v>3990.00</v>
      </c>
      <c r="D27570" s="4"/>
    </row>
    <row collapsed="" customFormat="false" customHeight="1" hidden="" ht="14" outlineLevel="0" r="27571">
      <c r="A27571" s="3" t="inlineStr">
        <is>
          <t>27448</t>
        </is>
      </c>
      <c r="B27571" s="4" t="s">
        <f>=HYPERLINK("http://anyluxury.ru/shop/sumki-i-ryukzaki/ryukzaki/ryukzak-dlya-noutbuka-mi-city-backpack-temnoseriy-1207111/" , "12071.11 Рюкзак для ноутбука Mi City Backpack, темно-серый")</f>
      </c>
      <c r="C27571" s="4" t="n">
        <v>3549.00</v>
      </c>
      <c r="D27571" s="4"/>
    </row>
    <row collapsed="" customFormat="false" customHeight="1" hidden="" ht="14" outlineLevel="0" r="27572">
      <c r="A27572" s="3" t="inlineStr">
        <is>
          <t>27449</t>
        </is>
      </c>
      <c r="B27572" s="4" t="s">
        <f>=HYPERLINK("http://anyluxury.ru/shop/sumki-i-ryukzaki/ryukzaki/ryukzak-dlya-noutbuka-mi-city-backpack-temnosiniy-1207140/" , "12071.40 Рюкзак для ноутбука Mi City Backpack, темно-синий")</f>
      </c>
      <c r="C27572" s="4" t="n">
        <v>3990.00</v>
      </c>
      <c r="D27572" s="4"/>
    </row>
    <row collapsed="" customFormat="false" customHeight="1" hidden="" ht="14" outlineLevel="0" r="27573">
      <c r="A27573" s="3" t="inlineStr">
        <is>
          <t>27450</t>
        </is>
      </c>
      <c r="B27573" s="4" t="s">
        <f>=HYPERLINK("http://anyluxury.ru/shop/sumki-i-ryukzaki/ryukzaki/ryukzak-na-odno-plecho-mi-city-sling-bag-temnoseriy-1207211/" , "12072.11 Рюкзак на одно плечо Mi City Sling Bag, темно-серый")</f>
      </c>
      <c r="C27573" s="4" t="n">
        <v>1849.00</v>
      </c>
      <c r="D27573" s="4"/>
    </row>
    <row collapsed="" customFormat="false" customHeight="1" hidden="" ht="14" outlineLevel="0" r="27574">
      <c r="A27574" s="3" t="inlineStr">
        <is>
          <t>27451</t>
        </is>
      </c>
      <c r="B27574" s="4" t="s">
        <f>=HYPERLINK("http://anyluxury.ru/shop/sumki-i-ryukzaki/ryukzaki/ryukzak-dlya-noutbuka-classic-business-backpack-temnoseriy-1207311/" , "12073.11 Рюкзак для ноутбука Classic Business Backpack, темно-серый")</f>
      </c>
      <c r="C27574" s="4" t="n">
        <v>4149.00</v>
      </c>
      <c r="D27574" s="4"/>
    </row>
    <row collapsed="" customFormat="false" customHeight="1" hidden="" ht="14" outlineLevel="0" r="27575">
      <c r="A27575" s="3" t="inlineStr">
        <is>
          <t>27452</t>
        </is>
      </c>
      <c r="B27575" s="4" t="s">
        <f>=HYPERLINK("http://anyluxury.ru/shop/sumki-i-ryukzaki/ryukzaki/ryukzak-grinder-oxford-leisure-backpack-cherniy-1207430/" , "12074.30 Рюкзак Grinder Oxford Leisure Backpack, черный")</f>
      </c>
      <c r="C27575" s="4" t="n">
        <v>7449.00</v>
      </c>
      <c r="D27575" s="4"/>
    </row>
    <row collapsed="" customFormat="false" customHeight="1" hidden="" ht="14" outlineLevel="0" r="27576">
      <c r="A27576" s="3" t="inlineStr">
        <is>
          <t>27453</t>
        </is>
      </c>
      <c r="B27576" s="4" t="s">
        <f>=HYPERLINK("http://anyluxury.ru/shop/sumki-i-ryukzaki/ryukzaki/ryukzak-dlya-noutbuka-lecturer-leisure-backpack-serosiniy-1207513/" , "12075.13 Рюкзак для ноутбука Lecturer Leisure Backpack, серо-синий")</f>
      </c>
      <c r="C27576" s="4" t="n">
        <v>3349.00</v>
      </c>
      <c r="D27576" s="4"/>
    </row>
    <row collapsed="" customFormat="false" customHeight="1" hidden="" ht="14" outlineLevel="0" r="27577">
      <c r="A27577" s="3" t="inlineStr">
        <is>
          <t>27454</t>
        </is>
      </c>
      <c r="B27577" s="4" t="s">
        <f>=HYPERLINK("http://anyluxury.ru/shop/sumki-i-ryukzaki/ryukzaki/ryukzak-dlya-noutbuka-lecturer-leisure-backpack-beliy-s-temnosinim-1207540/" , "12075.40 Рюкзак для ноутбука Lecturer Leisure Backpack, белый с темно-синим")</f>
      </c>
      <c r="C27577" s="4" t="n">
        <v>3349.00</v>
      </c>
      <c r="D27577" s="4"/>
    </row>
    <row collapsed="" customFormat="false" customHeight="1" hidden="" ht="14" outlineLevel="0" r="27578">
      <c r="A27578" s="3" t="inlineStr">
        <is>
          <t>27455</t>
        </is>
      </c>
      <c r="B27578" s="4" t="s">
        <f>=HYPERLINK("http://anyluxury.ru/shop/sumki-i-ryukzaki/ryukzaki/ryukzak-dlya-noutbuka-multitasker-cherniy-1207630/" , "12076.30 Рюкзак для ноутбука Multitasker, черный")</f>
      </c>
      <c r="C27578" s="4" t="n">
        <v>5449.00</v>
      </c>
      <c r="D27578" s="4"/>
    </row>
    <row collapsed="" customFormat="false" customHeight="1" hidden="" ht="14" outlineLevel="0" r="27579">
      <c r="A27579" s="3" t="inlineStr">
        <is>
          <t>27456</t>
        </is>
      </c>
      <c r="B27579" s="4" t="s">
        <f>=HYPERLINK("http://anyluxury.ru/shop/sumki-i-ryukzaki/ryukzaki/ryukzak-dlya-noutbuka-mi-casual-backpack-siniy-1207740/" , "12077.40 Рюкзак для ноутбука Mi Casual Backpack, синий")</f>
      </c>
      <c r="C27579" s="4" t="n">
        <v>1549.00</v>
      </c>
      <c r="D27579" s="4"/>
    </row>
    <row collapsed="" customFormat="false" customHeight="1" hidden="" ht="14" outlineLevel="0" r="27580">
      <c r="A27580" s="3" t="inlineStr">
        <is>
          <t>27457</t>
        </is>
      </c>
      <c r="B27580" s="4" t="s">
        <f>=HYPERLINK("http://anyluxury.ru/shop/sumki-i-ryukzaki/ryukzaki/antikrazhniy-ryukzak-na-kolesah-bobby-p705771/" , "P705.771 Антикражный рюкзак на колесах Bobby")</f>
      </c>
      <c r="C27580" s="4" t="n">
        <v>22975.00</v>
      </c>
      <c r="D27580" s="4"/>
    </row>
    <row collapsed="" customFormat="false" customHeight="1" hidden="" ht="14" outlineLevel="0" r="27581">
      <c r="A27581" s="3" t="inlineStr">
        <is>
          <t>27458</t>
        </is>
      </c>
      <c r="B27581" s="4" t="s">
        <f>=HYPERLINK("http://anyluxury.ru/shop/sumki-i-ryukzaki/ryukzaki/ryukzak-express-krasniy-1166350/" , "11663.50 Рюкзак Express, красный")</f>
      </c>
      <c r="C27581" s="4" t="n">
        <v>2129.00</v>
      </c>
      <c r="D27581" s="4"/>
    </row>
    <row collapsed="" customFormat="false" customHeight="1" hidden="" ht="14" outlineLevel="0" r="27582">
      <c r="A27582" s="3" t="inlineStr">
        <is>
          <t>27459</t>
        </is>
      </c>
      <c r="B27582" s="4" t="s">
        <f>=HYPERLINK("http://anyluxury.ru/shop/sumki-i-ryukzaki/ryukzaki/ryukzak-express-goluboy-1166314/" , "11663.14 Рюкзак Express, голубой")</f>
      </c>
      <c r="C27582" s="4" t="n">
        <v>2129.00</v>
      </c>
      <c r="D27582" s="4"/>
    </row>
    <row collapsed="" customFormat="false" customHeight="1" hidden="" ht="14" outlineLevel="0" r="27583">
      <c r="A27583" s="3" t="inlineStr">
        <is>
          <t>27460</t>
        </is>
      </c>
      <c r="B27583" s="4" t="s">
        <f>=HYPERLINK("http://anyluxury.ru/shop/sumki-i-ryukzaki/ryukzaki/ryukzak-express-zheltiy-1166380/" , "11663.80 Рюкзак Express, желтый")</f>
      </c>
      <c r="C27583" s="4" t="n">
        <v>2129.00</v>
      </c>
      <c r="D27583" s="4"/>
    </row>
    <row collapsed="" customFormat="false" customHeight="1" hidden="" ht="14" outlineLevel="0" r="27584">
      <c r="A27584" s="3" t="inlineStr">
        <is>
          <t>27461</t>
        </is>
      </c>
      <c r="B27584" s="4" t="s">
        <f>=HYPERLINK("http://anyluxury.ru/shop/sumki-i-ryukzaki/ryukzaki/ryukzak-express-kobalt-temnosiniy-1166340/" , "11663.40 Рюкзак Express, кобальт (темно-синий)")</f>
      </c>
      <c r="C27584" s="4" t="n">
        <v>2129.00</v>
      </c>
      <c r="D27584" s="4"/>
    </row>
    <row collapsed="" customFormat="false" customHeight="1" hidden="" ht="14" outlineLevel="0" r="27585">
      <c r="A27585" s="3" t="inlineStr">
        <is>
          <t>27462</t>
        </is>
      </c>
      <c r="B27585" s="4" t="s">
        <f>=HYPERLINK("http://anyluxury.ru/shop/sumki-i-ryukzaki/ryukzaki/ryukzak-express-oranzheviy-1166320/" , "11663.20 Рюкзак Express, оранжевый")</f>
      </c>
      <c r="C27585" s="4" t="n">
        <v>2129.00</v>
      </c>
      <c r="D27585" s="4"/>
    </row>
    <row collapsed="" customFormat="false" customHeight="1" hidden="" ht="14" outlineLevel="0" r="27586">
      <c r="A27586" s="3" t="inlineStr">
        <is>
          <t>27463</t>
        </is>
      </c>
      <c r="B27586" s="4" t="s">
        <f>=HYPERLINK("http://anyluxury.ru/shop/sumki-i-ryukzaki/ryukzaki/ryukzak-cosmo-biryuzoviy-01680321tun/" , "01680321TUN Рюкзак Cosmo, бирюзовый")</f>
      </c>
      <c r="C27586" s="4" t="n">
        <v>719.00</v>
      </c>
      <c r="D27586" s="4"/>
    </row>
    <row collapsed="" customFormat="false" customHeight="1" hidden="" ht="14" outlineLevel="0" r="27587">
      <c r="A27587" s="3" t="inlineStr">
        <is>
          <t>27464</t>
        </is>
      </c>
      <c r="B27587" s="4" t="s">
        <f>=HYPERLINK("http://anyluxury.ru/shop/sumki-i-ryukzaki/ryukzaki/ryukzak-cosmo-zeleniy-laym-01680281tun/" , "01680281TUN Рюкзак Cosmo, зеленый лайм")</f>
      </c>
      <c r="C27587" s="4" t="n">
        <v>719.00</v>
      </c>
      <c r="D27587" s="4"/>
    </row>
    <row collapsed="" customFormat="false" customHeight="1" hidden="" ht="14" outlineLevel="0" r="27588">
      <c r="A27588" s="3" t="inlineStr">
        <is>
          <t>27465</t>
        </is>
      </c>
      <c r="B27588" s="4" t="s">
        <f>=HYPERLINK("http://anyluxury.ru/shop/sumki-i-ryukzaki/ryukzaki/ryukzak-wall-street-cherniy-01394312tun/" , "01394312TUN Рюкзак Wall Street, черный")</f>
      </c>
      <c r="C27588" s="4" t="n">
        <v>2744.00</v>
      </c>
      <c r="D27588" s="4"/>
    </row>
    <row collapsed="" customFormat="false" customHeight="1" hidden="" ht="14" outlineLevel="0" r="27589">
      <c r="A27589" s="3" t="inlineStr">
        <is>
          <t>27466</t>
        </is>
      </c>
      <c r="B27589" s="4" t="s">
        <f>=HYPERLINK("http://anyluxury.ru/shop/sumki-i-ryukzaki/ryukzaki/ryukzak-wall-street-temnosiniy-01394319tun/" , "01394319TUN Рюкзак Wall Street, темно-синий")</f>
      </c>
      <c r="C27589" s="4" t="n">
        <v>2744.00</v>
      </c>
      <c r="D27589" s="4"/>
    </row>
    <row collapsed="" customFormat="false" customHeight="1" hidden="" ht="14" outlineLevel="0" r="27590">
      <c r="A27590" s="3" t="inlineStr">
        <is>
          <t>27467</t>
        </is>
      </c>
      <c r="B27590" s="4" t="s">
        <f>=HYPERLINK("http://anyluxury.ru/shop/sumki-i-ryukzaki/ryukzaki/ryukzak-stile-c-usb-razemom-seriyseriy-51801080/" , "51801.080 Рюкзак Stile c USB разъемом, серый/серый")</f>
      </c>
      <c r="C27590" s="4" t="n">
        <v>4150.00</v>
      </c>
      <c r="D27590" s="4"/>
    </row>
    <row collapsed="" customFormat="false" customHeight="1" hidden="" ht="14" outlineLevel="0" r="27591">
      <c r="A27591" s="3" t="inlineStr">
        <is>
          <t>27468</t>
        </is>
      </c>
      <c r="B27591" s="4" t="s">
        <f>=HYPERLINK("http://anyluxury.ru/shop/sumki-i-ryukzaki/ryukzaki/turisticheskiy-ryukzak-stash-18-cherniy-1230030/" , "12300.30 Туристический рюкзак Stash 18, черный")</f>
      </c>
      <c r="C27591" s="4" t="n">
        <v>5629.00</v>
      </c>
      <c r="D27591" s="4"/>
    </row>
    <row collapsed="" customFormat="false" customHeight="1" hidden="" ht="14" outlineLevel="0" r="27592">
      <c r="A27592" s="3" t="inlineStr">
        <is>
          <t>27469</t>
        </is>
      </c>
      <c r="B27592" s="4" t="s">
        <f>=HYPERLINK("http://anyluxury.ru/shop/sumki-i-ryukzaki/ryukzaki/sredniy-pohodniy-ryukzak-explorer-26-l-bez-pvh-p760151/" , "P760.151 Средний походный рюкзак Explorer, 26 л (без ПВХ)")</f>
      </c>
      <c r="C27592" s="4" t="n">
        <v>7350.00</v>
      </c>
      <c r="D27592" s="4"/>
    </row>
    <row collapsed="" customFormat="false" customHeight="1" hidden="" ht="14" outlineLevel="0" r="27593">
      <c r="A27593" s="3" t="inlineStr">
        <is>
          <t>27470</t>
        </is>
      </c>
      <c r="B27593" s="4" t="s">
        <f>=HYPERLINK("http://anyluxury.ru/shop/sumki-i-ryukzaki/ryukzaki/bolshoy-pohodniy-ryukzak-explorer-40-l-bez-pvh-p760141/" , "P760.141 Большой походный рюкзак Explorer, 40 л (без ПВХ)")</f>
      </c>
      <c r="C27593" s="4" t="n">
        <v>9788.00</v>
      </c>
      <c r="D27593" s="4"/>
    </row>
    <row collapsed="" customFormat="false" customHeight="1" hidden="" ht="14" outlineLevel="0" r="27594">
      <c r="A27594" s="3" t="inlineStr">
        <is>
          <t>27471</t>
        </is>
      </c>
      <c r="B27594" s="4" t="s">
        <f>=HYPERLINK("http://anyluxury.ru/shop/sumki-i-ryukzaki/ryukzaki/poyasnaya-sumka-explorer-bez-pvh-p730031/" , "P730.031 Поясная сумка Explorer (без ПВХ)")</f>
      </c>
      <c r="C27594" s="4" t="n">
        <v>1329.00</v>
      </c>
      <c r="D27594" s="4"/>
    </row>
    <row collapsed="" customFormat="false" customHeight="1" hidden="" ht="14" outlineLevel="0" r="27595">
      <c r="A27595" s="3" t="inlineStr">
        <is>
          <t>27472</t>
        </is>
      </c>
      <c r="B27595" s="4" t="s">
        <f>=HYPERLINK("http://anyluxury.ru/shop/sumki-i-ryukzaki/ryukzaki/dorozhnaya-sumka-na-kolesah-medium-adventure-p750015/" , "P750.015 Дорожная сумка на колесах Medium adventure")</f>
      </c>
      <c r="C27595" s="4" t="n">
        <v>15690.00</v>
      </c>
      <c r="D27595" s="4"/>
    </row>
    <row collapsed="" customFormat="false" customHeight="1" hidden="" ht="14" outlineLevel="0" r="27596">
      <c r="A27596" s="3" t="inlineStr">
        <is>
          <t>27473</t>
        </is>
      </c>
      <c r="B27596" s="4" t="s">
        <f>=HYPERLINK("http://anyluxury.ru/shop/sumki-i-ryukzaki/ryukzaki/ryukzak-bobby-sling-p705782/" , "P705.782 Рюкзак Bobby Sling")</f>
      </c>
      <c r="C27596" s="4" t="n">
        <v>8016.00</v>
      </c>
      <c r="D27596" s="4"/>
    </row>
    <row collapsed="" customFormat="false" customHeight="1" hidden="" ht="14" outlineLevel="0" r="27597">
      <c r="A27597" s="3" t="inlineStr">
        <is>
          <t>27474</t>
        </is>
      </c>
      <c r="B27597" s="4" t="s">
        <f>=HYPERLINK("http://anyluxury.ru/shop/sumki-i-ryukzaki/ryukzaki/sumka-impact-iz-pererabotannogo-hlopka-aware-p762545/" , "P762.545 Сумка Impact из переработанного хлопка Aware™")</f>
      </c>
      <c r="C27597" s="4" t="n">
        <v>888.00</v>
      </c>
      <c r="D27597" s="4"/>
    </row>
    <row collapsed="" customFormat="false" customHeight="1" hidden="" ht="14" outlineLevel="0" r="27598">
      <c r="A27598" s="3" t="inlineStr">
        <is>
          <t>27475</t>
        </is>
      </c>
      <c r="B27598" s="4" t="s">
        <f>=HYPERLINK("http://anyluxury.ru/shop/sumki-i-ryukzaki/ryukzaki/sumka-impact-iz-pererabotannogo-hlopka-aware-p762543/" , "P762.543 Сумка Impact из переработанного хлопка Aware™")</f>
      </c>
      <c r="C27598" s="4" t="n">
        <v>888.00</v>
      </c>
      <c r="D27598" s="4"/>
    </row>
    <row collapsed="" customFormat="false" customHeight="1" hidden="" ht="14" outlineLevel="0" r="27599">
      <c r="A27599" s="3" t="inlineStr">
        <is>
          <t>27476</t>
        </is>
      </c>
      <c r="B27599" s="4" t="s">
        <f>=HYPERLINK("http://anyluxury.ru/shop/sumki-i-ryukzaki/ryukzaki/sumka-impact-iz-pererabotannogo-hlopka-aware-p762541/" , "P762.541 Сумка Impact из переработанного хлопка Aware™")</f>
      </c>
      <c r="C27599" s="4" t="n">
        <v>888.00</v>
      </c>
      <c r="D27599" s="4"/>
    </row>
    <row collapsed="" customFormat="false" customHeight="1" hidden="" ht="14" outlineLevel="0" r="27600">
      <c r="A27600" s="3" t="inlineStr">
        <is>
          <t>27477</t>
        </is>
      </c>
      <c r="B27600" s="4" t="s">
        <f>=HYPERLINK("http://anyluxury.ru/shop/sumki-i-ryukzaki/ryukzaki/dorozhnaya-sumka-impact-iz-rpet-aware-p762025/" , "P762.025 Дорожная сумка Impact из RPET AWARE™")</f>
      </c>
      <c r="C27600" s="4" t="n">
        <v>5550.00</v>
      </c>
      <c r="D27600" s="4"/>
    </row>
    <row collapsed="" customFormat="false" customHeight="1" hidden="" ht="14" outlineLevel="0" r="27601">
      <c r="A27601" s="3" t="inlineStr">
        <is>
          <t>27478</t>
        </is>
      </c>
      <c r="B27601" s="4" t="s">
        <f>=HYPERLINK("http://anyluxury.ru/shop/sumki-i-ryukzaki/ryukzaki/dorozhnaya-sumka-impact-iz-rpet-aware-p762022/" , "P762.022 Дорожная сумка Impact из RPET AWARE™")</f>
      </c>
      <c r="C27601" s="4" t="n">
        <v>5550.00</v>
      </c>
      <c r="D27601" s="4"/>
    </row>
    <row collapsed="" customFormat="false" customHeight="1" hidden="" ht="14" outlineLevel="0" r="27602">
      <c r="A27602" s="3" t="inlineStr">
        <is>
          <t>27479</t>
        </is>
      </c>
      <c r="B27602" s="4" t="s">
        <f>=HYPERLINK("http://anyluxury.ru/shop/sumki-i-ryukzaki/ryukzaki/ryukzak-dlya-noutbuka-impact-basic-iz-rpet-aware-156-p762015/" , "P762.015 Рюкзак для ноутбука Impact Basic из RPET AWARE™, 15.6'")</f>
      </c>
      <c r="C27602" s="4" t="n">
        <v>5331.00</v>
      </c>
      <c r="D27602" s="4"/>
    </row>
    <row collapsed="" customFormat="false" customHeight="1" hidden="" ht="14" outlineLevel="0" r="27603">
      <c r="A27603" s="3" t="inlineStr">
        <is>
          <t>27480</t>
        </is>
      </c>
      <c r="B27603" s="4" t="s">
        <f>=HYPERLINK("http://anyluxury.ru/shop/sumki-i-ryukzaki/ryukzaki/ryukzak-dlya-noutbuka-impact-basic-iz-rpet-aware-156-p762011/" , "P762.011 Рюкзак для ноутбука Impact Basic из RPET AWARE™, 15.6'")</f>
      </c>
      <c r="C27603" s="4" t="n">
        <v>5331.00</v>
      </c>
      <c r="D27603" s="4"/>
    </row>
    <row collapsed="" customFormat="false" customHeight="1" hidden="" ht="14" outlineLevel="0" r="27604">
      <c r="A27604" s="3" t="inlineStr">
        <is>
          <t>27481</t>
        </is>
      </c>
      <c r="B27604" s="4" t="s">
        <f>=HYPERLINK("http://anyluxury.ru/shop/sumki-i-ryukzaki/ryukzaki/antikrazhniy-ryukzak-impact-iz-rpet-aware-dlya-noutbuka-156-p762005/" , "P762.005 Антикражный рюкзак Impact из RPET AWARE™ для ноутбука 15.6'")</f>
      </c>
      <c r="C27604" s="4" t="n">
        <v>8894.00</v>
      </c>
      <c r="D27604" s="4"/>
    </row>
    <row collapsed="" customFormat="false" customHeight="1" hidden="" ht="14" outlineLevel="0" r="27605">
      <c r="A27605" s="3" t="inlineStr">
        <is>
          <t>27482</t>
        </is>
      </c>
      <c r="B27605" s="4" t="s">
        <f>=HYPERLINK("http://anyluxury.ru/shop/sumki-i-ryukzaki/ryukzaki/antikrazhniy-ryukzak-impact-iz-rpet-aware-dlya-noutbuka-156-p762002/" , "P762.002 Антикражный рюкзак Impact из RPET AWARE™ для ноутбука 15.6'")</f>
      </c>
      <c r="C27605" s="4" t="n">
        <v>8894.00</v>
      </c>
      <c r="D27605" s="4"/>
    </row>
    <row collapsed="" customFormat="false" customHeight="1" hidden="" ht="14" outlineLevel="0" r="27606">
      <c r="A27606" s="3" t="inlineStr">
        <is>
          <t>27483</t>
        </is>
      </c>
      <c r="B27606" s="4" t="s">
        <f>=HYPERLINK("http://anyluxury.ru/shop/sumki-i-ryukzaki/ryukzaki/sumka-dlya-noutbuka-impact-iz-rpet-aware-156-p730045/" , "P730.045 Сумка для ноутбука Impact из RPET AWARE™, 15.6'")</f>
      </c>
      <c r="C27606" s="4" t="n">
        <v>4438.00</v>
      </c>
      <c r="D27606" s="4"/>
    </row>
    <row collapsed="" customFormat="false" customHeight="1" hidden="" ht="14" outlineLevel="0" r="27607">
      <c r="A27607" s="3" t="inlineStr">
        <is>
          <t>27484</t>
        </is>
      </c>
      <c r="B27607" s="4" t="s">
        <f>=HYPERLINK("http://anyluxury.ru/shop/sumki-i-ryukzaki/ryukzaki/sumka-dlya-noutbuka-impact-iz-rpet-aware-156-p730042/" , "P730.042 Сумка для ноутбука Impact из RPET AWARE™, 15.6'")</f>
      </c>
      <c r="C27607" s="4" t="n">
        <v>4438.00</v>
      </c>
      <c r="D27607" s="4"/>
    </row>
    <row collapsed="" customFormat="false" customHeight="1" hidden="" ht="14" outlineLevel="0" r="27608">
      <c r="A27608" s="3" t="inlineStr">
        <is>
          <t>27485</t>
        </is>
      </c>
      <c r="B27608" s="4" t="s">
        <f>=HYPERLINK("http://anyluxury.ru/shop/sumki-i-ryukzaki/ryukzaki/antikrazhniy-ryukzak-bobby-soft-p705797/" , "P705.797 Антикражный рюкзак Bobby Soft")</f>
      </c>
      <c r="C27608" s="4" t="n">
        <v>9788.00</v>
      </c>
      <c r="D27608" s="4"/>
    </row>
    <row collapsed="" customFormat="false" customHeight="1" hidden="" ht="14" outlineLevel="0" r="27609">
      <c r="A27609" s="3" t="inlineStr">
        <is>
          <t>27486</t>
        </is>
      </c>
      <c r="B27609" s="4" t="s">
        <f>=HYPERLINK("http://anyluxury.ru/shop/sumki-i-ryukzaki/ryukzaki/ryukzak-dlya-noutbuka-securipak-zheltiy-ka606001/" , "KA6-06001 Рюкзак для ноутбука Securipak, желтый")</f>
      </c>
      <c r="C27609" s="4" t="n">
        <v>11600.00</v>
      </c>
      <c r="D27609" s="4"/>
    </row>
    <row collapsed="" customFormat="false" customHeight="1" hidden="" ht="14" outlineLevel="0" r="27610">
      <c r="A27610" s="3" t="inlineStr">
        <is>
          <t>27487</t>
        </is>
      </c>
      <c r="B27610" s="4" t="s">
        <f>=HYPERLINK("http://anyluxury.ru/shop/sumki-i-ryukzaki/ryukzaki/ryukzak-dlya-noutbuka-securipak-krasniy-ka610001/" , "KA6-10001 Рюкзак для ноутбука Securipak, красный")</f>
      </c>
      <c r="C27610" s="4" t="n">
        <v>11600.00</v>
      </c>
      <c r="D27610" s="4"/>
    </row>
    <row collapsed="" customFormat="false" customHeight="1" hidden="" ht="14" outlineLevel="0" r="27611">
      <c r="A27611" s="3" t="inlineStr">
        <is>
          <t>27488</t>
        </is>
      </c>
      <c r="B27611" s="4" t="s">
        <f>=HYPERLINK("http://anyluxury.ru/shop/sumki-i-ryukzaki/ryukzaki/ryukzak-dlya-noutbuka-securipak-yarkosiniy-ka611001/" , "KA6-11001 Рюкзак для ноутбука Securipak, ярко-синий")</f>
      </c>
      <c r="C27611" s="4" t="n">
        <v>14900.00</v>
      </c>
      <c r="D27611" s="4"/>
    </row>
    <row collapsed="" customFormat="false" customHeight="1" hidden="" ht="14" outlineLevel="0" r="27612">
      <c r="A27612" s="3" t="inlineStr">
        <is>
          <t>27489</t>
        </is>
      </c>
      <c r="B27612" s="4" t="s">
        <f>=HYPERLINK("http://anyluxury.ru/shop/sumki-i-ryukzaki/ryukzaki/ryukzak-dlya-noutbuka-securipak-oranzheviy-ka616001/" , "KA6-16001 Рюкзак для ноутбука Securipak, оранжевый")</f>
      </c>
      <c r="C27612" s="4" t="n">
        <v>11600.00</v>
      </c>
      <c r="D27612" s="4"/>
    </row>
    <row collapsed="" customFormat="false" customHeight="1" hidden="" ht="14" outlineLevel="0" r="27613">
      <c r="A27613" s="3" t="inlineStr">
        <is>
          <t>27490</t>
        </is>
      </c>
      <c r="B27613" s="4" t="s">
        <f>=HYPERLINK("http://anyluxury.ru/shop/sumki-i-ryukzaki/ryukzaki/ryukzak-dlya-noutbuka-securipak-kamuflyazh-ka624001/" , "KA6-24001 Рюкзак для ноутбука Securipak, камуфляж")</f>
      </c>
      <c r="C27613" s="4" t="n">
        <v>11600.00</v>
      </c>
      <c r="D27613" s="4"/>
    </row>
    <row collapsed="" customFormat="false" customHeight="1" hidden="" ht="14" outlineLevel="0" r="27614">
      <c r="A27614" s="3" t="inlineStr">
        <is>
          <t>27491</t>
        </is>
      </c>
      <c r="B27614" s="4" t="s">
        <f>=HYPERLINK("http://anyluxury.ru/shop/sumki-i-ryukzaki/ryukzaki/ryukzak-xc-wynd-cherniy-1237630/" , "12376.30 Рюкзак XC Wynd, черный")</f>
      </c>
      <c r="C27614" s="4" t="n">
        <v>11660.00</v>
      </c>
      <c r="D27614" s="4"/>
    </row>
    <row collapsed="" customFormat="false" customHeight="1" hidden="" ht="14" outlineLevel="0" r="27615">
      <c r="A27615" s="3" t="inlineStr">
        <is>
          <t>27492</t>
        </is>
      </c>
      <c r="B27615" s="4" t="s">
        <f>=HYPERLINK("http://anyluxury.ru/shop/sumki-i-ryukzaki/ryukzaki/ryukzak-xc-wynd-siniy-1237640/" , "12376.40 Рюкзак XC Wynd, синий")</f>
      </c>
      <c r="C27615" s="4" t="n">
        <v>9224.00</v>
      </c>
      <c r="D27615" s="4"/>
    </row>
    <row collapsed="" customFormat="false" customHeight="1" hidden="" ht="14" outlineLevel="0" r="27616">
      <c r="A27616" s="3" t="inlineStr">
        <is>
          <t>27493</t>
        </is>
      </c>
      <c r="B27616" s="4" t="s">
        <f>=HYPERLINK("http://anyluxury.ru/shop/sumki-i-ryukzaki/ryukzaki/ryukzak-dlya-noutbuka-bc-class-cherniy-1237830/" , "12378.30 Рюкзак для ноутбука BC Class, черный")</f>
      </c>
      <c r="C27616" s="4" t="n">
        <v>10218.00</v>
      </c>
      <c r="D27616" s="4"/>
    </row>
    <row collapsed="" customFormat="false" customHeight="1" hidden="" ht="14" outlineLevel="0" r="27617">
      <c r="A27617" s="3" t="inlineStr">
        <is>
          <t>27494</t>
        </is>
      </c>
      <c r="B27617" s="4" t="s">
        <f>=HYPERLINK("http://anyluxury.ru/shop/sumki-i-ryukzaki/ryukzaki/ryukzak-dlya-noutbuka-bc-mark-cherniy-1237930/" , "12379.30 Рюкзак для ноутбука BC Mark, черный")</f>
      </c>
      <c r="C27617" s="4" t="n">
        <v>11580.00</v>
      </c>
      <c r="D27617" s="4"/>
    </row>
    <row collapsed="" customFormat="false" customHeight="1" hidden="" ht="14" outlineLevel="0" r="27618">
      <c r="A27618" s="3" t="inlineStr">
        <is>
          <t>27495</t>
        </is>
      </c>
      <c r="B27618" s="4" t="s">
        <f>=HYPERLINK("http://anyluxury.ru/shop/sumki-i-ryukzaki/ryukzaki/ryukzak-crango-fioletoviy-slivoviy-1238077/" , "12380.77 Рюкзак Crango, фиолетовый (сливовый)")</f>
      </c>
      <c r="C27618" s="4" t="n">
        <v>2755.00</v>
      </c>
      <c r="D27618" s="4"/>
    </row>
    <row collapsed="" customFormat="false" customHeight="1" hidden="" ht="14" outlineLevel="0" r="27619">
      <c r="A27619" s="3" t="inlineStr">
        <is>
          <t>27496</t>
        </is>
      </c>
      <c r="B27619" s="4" t="s">
        <f>=HYPERLINK("http://anyluxury.ru/shop/sumki-i-ryukzaki/ryukzaki/ryukzak-crango-zeleniy-1238090/" , "12380.90 Рюкзак Crango, зеленый")</f>
      </c>
      <c r="C27619" s="4" t="n">
        <v>2755.00</v>
      </c>
      <c r="D27619" s="4"/>
    </row>
    <row collapsed="" customFormat="false" customHeight="1" hidden="" ht="14" outlineLevel="0" r="27620">
      <c r="A27620" s="3" t="inlineStr">
        <is>
          <t>27497</t>
        </is>
      </c>
      <c r="B27620" s="4" t="s">
        <f>=HYPERLINK("http://anyluxury.ru/shop/sumki-i-ryukzaki/ryukzaki/ryukzak-crango-siniy-1238040/" , "12380.40 Рюкзак Crango, синий")</f>
      </c>
      <c r="C27620" s="4" t="n">
        <v>2650.00</v>
      </c>
      <c r="D27620" s="4"/>
    </row>
    <row collapsed="" customFormat="false" customHeight="1" hidden="" ht="14" outlineLevel="0" r="27621">
      <c r="A27621" s="3" t="inlineStr">
        <is>
          <t>27498</t>
        </is>
      </c>
      <c r="B27621" s="4" t="s">
        <f>=HYPERLINK("http://anyluxury.ru/shop/sumki-i-ryukzaki/ryukzaki/ryukzak-manifest-iz-svetootrazhayushhey-tkani-seriy-1234811/" , "12348.11 Рюкзак-мешок Manifest из светоотражающей ткани, серый")</f>
      </c>
      <c r="C27621" s="4" t="n">
        <v>590.00</v>
      </c>
      <c r="D27621" s="4"/>
    </row>
    <row collapsed="" customFormat="false" customHeight="1" hidden="" ht="14" outlineLevel="0" r="27622">
      <c r="A27622" s="3" t="inlineStr">
        <is>
          <t>27499</t>
        </is>
      </c>
      <c r="B27622" s="4" t="s">
        <f>=HYPERLINK("http://anyluxury.ru/shop/sumki-i-ryukzaki/ryukzaki/ryukzak-crow-krasniy-1234950/" , "12349.50 Рюкзак Crow, красный")</f>
      </c>
      <c r="C27622" s="4" t="n">
        <v>398.00</v>
      </c>
      <c r="D27622" s="4"/>
    </row>
    <row collapsed="" customFormat="false" customHeight="1" hidden="" ht="14" outlineLevel="0" r="27623">
      <c r="A27623" s="3" t="inlineStr">
        <is>
          <t>27500</t>
        </is>
      </c>
      <c r="B27623" s="4" t="s">
        <f>=HYPERLINK("http://anyluxury.ru/shop/sumki-i-ryukzaki/ryukzaki/ryukzak-bale-cherniy-1235030/" , "12350.30 Рюкзак Bale, черный")</f>
      </c>
      <c r="C27623" s="4" t="n">
        <v>645.00</v>
      </c>
      <c r="D27623" s="4"/>
    </row>
    <row collapsed="" customFormat="false" customHeight="1" hidden="" ht="14" outlineLevel="0" r="27624">
      <c r="A27624" s="3" t="inlineStr">
        <is>
          <t>27501</t>
        </is>
      </c>
      <c r="B27624" s="4" t="s">
        <f>=HYPERLINK("http://anyluxury.ru/shop/sumki-i-ryukzaki/ryukzaki/ryukzak-bale-siniy-1235040/" , "12350.40 Рюкзак Bale, синий")</f>
      </c>
      <c r="C27624" s="4" t="n">
        <v>645.00</v>
      </c>
      <c r="D27624" s="4"/>
    </row>
    <row collapsed="" customFormat="false" customHeight="1" hidden="" ht="14" outlineLevel="0" r="27625">
      <c r="A27625" s="3" t="inlineStr">
        <is>
          <t>27502</t>
        </is>
      </c>
      <c r="B27625" s="4" t="s">
        <f>=HYPERLINK("http://anyluxury.ru/shop/sumki-i-ryukzaki/ryukzaki/ryukzak-bale-krasniy-1235050/" , "12350.50 Рюкзак Bale, красный")</f>
      </c>
      <c r="C27625" s="4" t="n">
        <v>645.00</v>
      </c>
      <c r="D27625" s="4"/>
    </row>
    <row collapsed="" customFormat="false" customHeight="1" hidden="" ht="14" outlineLevel="0" r="27626">
      <c r="A27626" s="3" t="inlineStr">
        <is>
          <t>27503</t>
        </is>
      </c>
      <c r="B27626" s="4" t="s">
        <f>=HYPERLINK("http://anyluxury.ru/shop/sumki-i-ryukzaki/ryukzaki/skladnoy-ryukzak-barcelona-siniy-1267240/" , "12672.40 Складной рюкзак Barcelona, синий")</f>
      </c>
      <c r="C27626" s="4" t="n">
        <v>696.00</v>
      </c>
      <c r="D27626" s="4"/>
    </row>
    <row collapsed="" customFormat="false" customHeight="1" hidden="" ht="14" outlineLevel="0" r="27627">
      <c r="A27627" s="3" t="inlineStr">
        <is>
          <t>27504</t>
        </is>
      </c>
      <c r="B27627" s="4" t="s">
        <f>=HYPERLINK("http://anyluxury.ru/shop/sumki-i-ryukzaki/ryukzaki/skladnoy-ryukzak-barcelona-krasniy-1267250/" , "12672.50 Складной рюкзак Barcelona, красный")</f>
      </c>
      <c r="C27627" s="4" t="n">
        <v>696.00</v>
      </c>
      <c r="D27627" s="4"/>
    </row>
    <row collapsed="" customFormat="false" customHeight="1" hidden="" ht="14" outlineLevel="0" r="27628">
      <c r="A27628" s="3" t="inlineStr">
        <is>
          <t>27505</t>
        </is>
      </c>
      <c r="B27628" s="4" t="s">
        <f>=HYPERLINK("http://anyluxury.ru/shop/sumki-i-ryukzaki/ryukzaki/ryukzak-swissgear-doctor-bag-krasniy-1272050/" , "12720.50 Рюкзак Swissgear Doctor Bag, красный")</f>
      </c>
      <c r="C27628" s="4" t="n">
        <v>6346.00</v>
      </c>
      <c r="D27628" s="4"/>
    </row>
    <row collapsed="" customFormat="false" customHeight="1" hidden="" ht="14" outlineLevel="0" r="27629">
      <c r="A27629" s="3" t="inlineStr">
        <is>
          <t>27506</t>
        </is>
      </c>
      <c r="B27629" s="4" t="s">
        <f>=HYPERLINK("http://anyluxury.ru/shop/sumki-i-ryukzaki/ryukzaki/ryukzak-hipack-cherniy-1296230/" , "12962.30 Рюкзак HiPack, черный")</f>
      </c>
      <c r="C27629" s="4" t="n">
        <v>16675.00</v>
      </c>
      <c r="D27629" s="4"/>
    </row>
    <row collapsed="" customFormat="false" customHeight="1" hidden="" ht="14" outlineLevel="0" r="27630">
      <c r="A27630" s="3" t="inlineStr">
        <is>
          <t>27507</t>
        </is>
      </c>
      <c r="B27630" s="4" t="s">
        <f>=HYPERLINK("http://anyluxury.ru/shop/sumki-i-ryukzaki/ryukzaki/biznes-ryukzak-alter-s-usb-razemom-cherniy-59272010/" , "59272.010 Бизнес рюкзак Alter с USB разъемом, черный")</f>
      </c>
      <c r="C27630" s="4" t="n">
        <v>5915.00</v>
      </c>
      <c r="D27630" s="4"/>
    </row>
    <row collapsed="" customFormat="false" customHeight="1" hidden="" ht="14" outlineLevel="0" r="27631">
      <c r="A27631" s="3" t="inlineStr">
        <is>
          <t>27508</t>
        </is>
      </c>
      <c r="B27631" s="4" t="s">
        <f>=HYPERLINK("http://anyluxury.ru/shop/sumki-i-ryukzaki/ryukzaki/sumkaholodilnik-tierra-p422347/" , "P422.347 Сумка-холодильник Tierra")</f>
      </c>
      <c r="C27631" s="4" t="n">
        <v>1399.00</v>
      </c>
      <c r="D27631" s="4"/>
    </row>
    <row collapsed="" customFormat="false" customHeight="1" hidden="" ht="14" outlineLevel="0" r="27632">
      <c r="A27632" s="3" t="inlineStr">
        <is>
          <t>27509</t>
        </is>
      </c>
      <c r="B27632" s="4" t="s">
        <f>=HYPERLINK("http://anyluxury.ru/shop/sumki-i-ryukzaki/ryukzaki/sumkaholodilnik-tierra-p422345/" , "P422.345 Сумка-холодильник Tierra")</f>
      </c>
      <c r="C27632" s="4" t="n">
        <v>1399.00</v>
      </c>
      <c r="D27632" s="4"/>
    </row>
    <row collapsed="" customFormat="false" customHeight="1" hidden="" ht="14" outlineLevel="0" r="27633">
      <c r="A27633" s="3" t="inlineStr">
        <is>
          <t>27510</t>
        </is>
      </c>
      <c r="B27633" s="4" t="s">
        <f>=HYPERLINK("http://anyluxury.ru/shop/sumki-i-ryukzaki/ryukzaki/ryukzakholodilnik-explorer-p733091/" , "P733.091 Рюкзак-холодильник Explorer")</f>
      </c>
      <c r="C27633" s="4" t="n">
        <v>3197.00</v>
      </c>
      <c r="D27633" s="4"/>
    </row>
    <row collapsed="" customFormat="false" customHeight="1" hidden="" ht="14" outlineLevel="0" r="27634">
      <c r="A27634" s="3" t="inlineStr">
        <is>
          <t>27511</t>
        </is>
      </c>
      <c r="B27634" s="4" t="s">
        <f>=HYPERLINK("http://anyluxury.ru/shop/sumki-i-ryukzaki/ryukzaki/sumkaholodilnik-explorer-srednego-razmera-p422361/" , "P422.361 Сумка-холодильник Explorer среднего размера")</f>
      </c>
      <c r="C27634" s="4" t="n">
        <v>2450.00</v>
      </c>
      <c r="D27634" s="4"/>
    </row>
    <row collapsed="" customFormat="false" customHeight="1" hidden="" ht="14" outlineLevel="0" r="27635">
      <c r="A27635" s="3" t="inlineStr">
        <is>
          <t>27512</t>
        </is>
      </c>
      <c r="B27635" s="4" t="s">
        <f>=HYPERLINK("http://anyluxury.ru/shop/sumki-i-ryukzaki/ryukzaki/kompaktnaya-sumkaholodilnik-explorer-p422321/" , "P422.321 Компактная сумка-холодильник Explorer")</f>
      </c>
      <c r="C27635" s="4" t="n">
        <v>2491.00</v>
      </c>
      <c r="D27635" s="4"/>
    </row>
    <row collapsed="" customFormat="false" customHeight="1" hidden="" ht="14" outlineLevel="0" r="27636">
      <c r="A27636" s="3" t="inlineStr">
        <is>
          <t>27513</t>
        </is>
      </c>
      <c r="B27636" s="4" t="s">
        <f>=HYPERLINK("http://anyluxury.ru/shop/sumki-i-ryukzaki/ryukzaki/svetootrazhayushhiy-ryukzak-dlya-noutbuka-iz-rpet-aware-p762601/" , "P762.601 Светоотражающий рюкзак для ноутбука из RPET AWARE™")</f>
      </c>
      <c r="C27636" s="4" t="n">
        <v>3553.00</v>
      </c>
      <c r="D27636" s="4"/>
    </row>
    <row collapsed="" customFormat="false" customHeight="1" hidden="" ht="14" outlineLevel="0" r="27637">
      <c r="A27637" s="3" t="inlineStr">
        <is>
          <t>27514</t>
        </is>
      </c>
      <c r="B27637" s="4" t="s">
        <f>=HYPERLINK("http://anyluxury.ru/shop/sumki-i-ryukzaki/ryukzaki/svetootrazhayushhiy-ryukzak-na-shnurke-iz-rpet-aware-p762591/" , "P762.591 Светоотражающий рюкзак на шнурке из RPET AWARE™")</f>
      </c>
      <c r="C27637" s="4" t="n">
        <v>1429.00</v>
      </c>
      <c r="D27637" s="4"/>
    </row>
    <row collapsed="" customFormat="false" customHeight="1" hidden="" ht="14" outlineLevel="0" r="27638">
      <c r="A27638" s="3" t="inlineStr">
        <is>
          <t>27515</t>
        </is>
      </c>
      <c r="B27638" s="4" t="s">
        <f>=HYPERLINK("http://anyluxury.ru/shop/sumki-i-ryukzaki/ryukzaki/ryukzak-dlya-noutbuka-iz-gladkogo-poliuretana-156-p762575/" , "P762.575 Рюкзак для ноутбука из гладкого полиуретана, 15.6'")</f>
      </c>
      <c r="C27638" s="4" t="n">
        <v>6041.00</v>
      </c>
      <c r="D27638" s="4"/>
    </row>
    <row collapsed="" customFormat="false" customHeight="1" hidden="" ht="14" outlineLevel="0" r="27639">
      <c r="A27639" s="3" t="inlineStr">
        <is>
          <t>27516</t>
        </is>
      </c>
      <c r="B27639" s="4" t="s">
        <f>=HYPERLINK("http://anyluxury.ru/shop/sumki-i-ryukzaki/ryukzaki/ryukzak-dlya-noutbuka-iz-gladkogo-poliuretana-156-p762571/" , "P762.571 Рюкзак для ноутбука из гладкого полиуретана, 15.6'")</f>
      </c>
      <c r="C27639" s="4" t="n">
        <v>6041.00</v>
      </c>
      <c r="D27639" s="4"/>
    </row>
    <row collapsed="" customFormat="false" customHeight="1" hidden="" ht="14" outlineLevel="0" r="27640">
      <c r="A27640" s="3" t="inlineStr">
        <is>
          <t>27517</t>
        </is>
      </c>
      <c r="B27640" s="4" t="s">
        <f>=HYPERLINK("http://anyluxury.ru/shop/sumki-i-ryukzaki/ryukzaki/svetootrazhayushhaya-sportivnaya-sumka-iz-rpet-aware-p707081/" , "P707.081 Светоотражающая спортивная сумка из RPET AWARE™")</f>
      </c>
      <c r="C27640" s="4" t="n">
        <v>4800.00</v>
      </c>
      <c r="D27640" s="4"/>
    </row>
    <row collapsed="" customFormat="false" customHeight="1" hidden="" ht="14" outlineLevel="0" r="27641">
      <c r="A27641" s="3" t="inlineStr">
        <is>
          <t>27518</t>
        </is>
      </c>
      <c r="B27641" s="4" t="s">
        <f>=HYPERLINK("http://anyluxury.ru/shop/sumki-i-ryukzaki/ryukzaki/ryukzak-urban-krasniy-405050/" , "4050.50 Рюкзак Urban, красный")</f>
      </c>
      <c r="C27641" s="4" t="n">
        <v>281.00</v>
      </c>
      <c r="D27641" s="4"/>
    </row>
    <row collapsed="" customFormat="false" customHeight="1" hidden="" ht="14" outlineLevel="0" r="27642">
      <c r="A27642" s="3" t="inlineStr">
        <is>
          <t>27519</t>
        </is>
      </c>
      <c r="B27642" s="4" t="s">
        <f>=HYPERLINK("http://anyluxury.ru/shop/sumki-i-ryukzaki/ryukzaki/ryukzak-urban-oranzheviy-405020/" , "4050.20 Рюкзак Urban, оранжевый")</f>
      </c>
      <c r="C27642" s="4" t="n">
        <v>281.00</v>
      </c>
      <c r="D27642" s="4"/>
    </row>
    <row collapsed="" customFormat="false" customHeight="1" hidden="" ht="14" outlineLevel="0" r="27643">
      <c r="A27643" s="3" t="inlineStr">
        <is>
          <t>27520</t>
        </is>
      </c>
      <c r="B27643" s="4" t="s">
        <f>=HYPERLINK("http://anyluxury.ru/shop/sumki-i-ryukzaki/ryukzaki/ryukzakmeshok-melango-cherniy-1244930/" , "12449.30 Рюкзак-мешок Melango, черный")</f>
      </c>
      <c r="C27643" s="4" t="n">
        <v>345.00</v>
      </c>
      <c r="D27643" s="4"/>
    </row>
    <row collapsed="" customFormat="false" customHeight="1" hidden="" ht="14" outlineLevel="0" r="27644">
      <c r="A27644" s="3" t="inlineStr">
        <is>
          <t>27521</t>
        </is>
      </c>
      <c r="B27644" s="4" t="s">
        <f>=HYPERLINK("http://anyluxury.ru/shop/sumki-i-ryukzaki/ryukzaki/ryukzakmeshok-melango-seriy-1244910/" , "12449.10 Рюкзак-мешок Melango, серый")</f>
      </c>
      <c r="C27644" s="4" t="n">
        <v>354.00</v>
      </c>
      <c r="D27644" s="4"/>
    </row>
    <row collapsed="" customFormat="false" customHeight="1" hidden="" ht="14" outlineLevel="0" r="27645">
      <c r="A27645" s="3" t="inlineStr">
        <is>
          <t>27522</t>
        </is>
      </c>
      <c r="B27645" s="4" t="s">
        <f>=HYPERLINK("http://anyluxury.ru/shop/sumki-i-ryukzaki/ryukzaki/ryukzakmeshok-melango-siniy-1244940/" , "12449.40 Рюкзак-мешок Melango, синий")</f>
      </c>
      <c r="C27645" s="4" t="n">
        <v>345.00</v>
      </c>
      <c r="D27645" s="4"/>
    </row>
    <row collapsed="" customFormat="false" customHeight="1" hidden="" ht="14" outlineLevel="0" r="27646">
      <c r="A27646" s="3" t="inlineStr">
        <is>
          <t>27523</t>
        </is>
      </c>
      <c r="B27646" s="4" t="s">
        <f>=HYPERLINK("http://anyluxury.ru/shop/sumki-i-ryukzaki/ryukzaki/ryukzakmeshok-melango-krasniy-1244950/" , "12449.50 Рюкзак-мешок Melango, красный")</f>
      </c>
      <c r="C27646" s="4" t="n">
        <v>345.00</v>
      </c>
      <c r="D27646" s="4"/>
    </row>
    <row collapsed="" customFormat="false" customHeight="1" hidden="" ht="14" outlineLevel="0" r="27647">
      <c r="A27647" s="3" t="inlineStr">
        <is>
          <t>27524</t>
        </is>
      </c>
      <c r="B27647" s="4" t="s">
        <f>=HYPERLINK("http://anyluxury.ru/shop/sumki-i-ryukzaki/ryukzaki/ryukzak-melango-cherniy-1245030/" , "12450.30 Рюкзак Melango, черный")</f>
      </c>
      <c r="C27647" s="4" t="n">
        <v>999.00</v>
      </c>
      <c r="D27647" s="4"/>
    </row>
    <row collapsed="" customFormat="false" customHeight="1" hidden="" ht="14" outlineLevel="0" r="27648">
      <c r="A27648" s="3" t="inlineStr">
        <is>
          <t>27525</t>
        </is>
      </c>
      <c r="B27648" s="4" t="s">
        <f>=HYPERLINK("http://anyluxury.ru/shop/sumki-i-ryukzaki/ryukzaki/ryukzak-melango-seriy-1245010/" , "12450.10 Рюкзак Melango, серый")</f>
      </c>
      <c r="C27648" s="4" t="n">
        <v>999.00</v>
      </c>
      <c r="D27648" s="4"/>
    </row>
    <row collapsed="" customFormat="false" customHeight="1" hidden="" ht="14" outlineLevel="0" r="27649">
      <c r="A27649" s="3" t="inlineStr">
        <is>
          <t>27526</t>
        </is>
      </c>
      <c r="B27649" s="4" t="s">
        <f>=HYPERLINK("http://anyluxury.ru/shop/sumki-i-ryukzaki/ryukzaki/ryukzak-melango-siniy-1245040/" , "12450.40 Рюкзак Melango, синий")</f>
      </c>
      <c r="C27649" s="4" t="n">
        <v>999.00</v>
      </c>
      <c r="D27649" s="4"/>
    </row>
    <row collapsed="" customFormat="false" customHeight="1" hidden="" ht="14" outlineLevel="0" r="27650">
      <c r="A27650" s="3" t="inlineStr">
        <is>
          <t>27527</t>
        </is>
      </c>
      <c r="B27650" s="4" t="s">
        <f>=HYPERLINK("http://anyluxury.ru/shop/sumki-i-ryukzaki/ryukzaki/ryukzak-melango-krasniy-1245050/" , "12450.50 Рюкзак Melango, красный")</f>
      </c>
      <c r="C27650" s="4" t="n">
        <v>999.00</v>
      </c>
      <c r="D27650" s="4"/>
    </row>
    <row collapsed="" customFormat="false" customHeight="1" hidden="" ht="14" outlineLevel="0" r="27651">
      <c r="A27651" s="3" t="inlineStr">
        <is>
          <t>27528</t>
        </is>
      </c>
      <c r="B27651" s="4" t="s">
        <f>=HYPERLINK("http://anyluxury.ru/shop/sumki-i-ryukzaki/ryukzaki/ryukzak-urban-yarkozeleniy-405090/" , "4050.90 Рюкзак Urban, ярко-зеленый")</f>
      </c>
      <c r="C27651" s="4" t="n">
        <v>281.00</v>
      </c>
      <c r="D27651" s="4"/>
    </row>
    <row collapsed="" customFormat="false" customHeight="1" hidden="" ht="14" outlineLevel="0" r="27652">
      <c r="A27652" s="3" t="inlineStr">
        <is>
          <t>27529</t>
        </is>
      </c>
      <c r="B27652" s="4" t="s">
        <f>=HYPERLINK("http://anyluxury.ru/shop/sumki-i-ryukzaki/ryukzaki/ryukzak-rider-pesochniy-386412/" , "3864.12 Рюкзак Rider, песочный")</f>
      </c>
      <c r="C27652" s="4" t="n">
        <v>1194.00</v>
      </c>
      <c r="D27652" s="4"/>
    </row>
    <row collapsed="" customFormat="false" customHeight="1" hidden="" ht="14" outlineLevel="0" r="27653">
      <c r="A27653" s="3" t="inlineStr">
        <is>
          <t>27530</t>
        </is>
      </c>
      <c r="B27653" s="4" t="s">
        <f>=HYPERLINK("http://anyluxury.ru/shop/sumki-i-ryukzaki/ryukzaki/ryukzak-normcore-cherniy-1265830/" , "12658.30 Рюкзак Normcore, черный")</f>
      </c>
      <c r="C27653" s="4" t="n">
        <v>1889.00</v>
      </c>
      <c r="D27653" s="4"/>
    </row>
    <row collapsed="" customFormat="false" customHeight="1" hidden="" ht="14" outlineLevel="0" r="27654">
      <c r="A27654" s="3" t="inlineStr">
        <is>
          <t>27531</t>
        </is>
      </c>
      <c r="B27654" s="4" t="s">
        <f>=HYPERLINK("http://anyluxury.ru/shop/sumki-i-ryukzaki/ryukzaki/ryukzak-burst-simplex-seriy-1265910/" , "12659.10 Рюкзак Burst Simplex, серый")</f>
      </c>
      <c r="C27654" s="4" t="n">
        <v>2099.00</v>
      </c>
      <c r="D27654" s="4"/>
    </row>
    <row collapsed="" customFormat="false" customHeight="1" hidden="" ht="14" outlineLevel="0" r="27655">
      <c r="A27655" s="3" t="inlineStr">
        <is>
          <t>27532</t>
        </is>
      </c>
      <c r="B27655" s="4" t="s">
        <f>=HYPERLINK("http://anyluxury.ru/shop/sumki-i-ryukzaki/ryukzaki/ryukzak-burst-simplex-cherniy-1265930/" , "12659.30 Рюкзак Burst Simplex, черный")</f>
      </c>
      <c r="C27655" s="4" t="n">
        <v>2099.00</v>
      </c>
      <c r="D27655" s="4"/>
    </row>
    <row collapsed="" customFormat="false" customHeight="1" hidden="" ht="14" outlineLevel="0" r="27656">
      <c r="A27656" s="3" t="inlineStr">
        <is>
          <t>27533</t>
        </is>
      </c>
      <c r="B27656" s="4" t="s">
        <f>=HYPERLINK("http://anyluxury.ru/shop/sumki-i-ryukzaki/ryukzaki/ryukzak-dlya-noutbuka-onefold-cherniy-1008430/" , "10084.30 Рюкзак для ноутбука Onefold, черный")</f>
      </c>
      <c r="C27656" s="4" t="n">
        <v>2617.00</v>
      </c>
      <c r="D27656" s="4"/>
    </row>
    <row collapsed="" customFormat="false" customHeight="1" hidden="" ht="14" outlineLevel="0" r="27657">
      <c r="A27657" s="3" t="inlineStr">
        <is>
          <t>27534</t>
        </is>
      </c>
      <c r="B27657" s="4" t="s">
        <f>=HYPERLINK("http://anyluxury.ru/shop/sumki-i-ryukzaki/ryukzaki/ryukzak-gorodskoy-swissgear-seriy-1416911/" , "14169.11 Рюкзак городской Swissgear, серый")</f>
      </c>
      <c r="C27657" s="4" t="n">
        <v>4200.00</v>
      </c>
      <c r="D27657" s="4"/>
    </row>
    <row collapsed="" customFormat="false" customHeight="1" hidden="" ht="14" outlineLevel="0" r="27658">
      <c r="A27658" s="3" t="inlineStr">
        <is>
          <t>27535</t>
        </is>
      </c>
      <c r="B27658" s="4" t="s">
        <f>=HYPERLINK("http://anyluxury.ru/shop/sumki-i-ryukzaki/ryukzaki/ryukzak-gorodskoy-swissgear-cherniy-1417030/" , "14170.30 Рюкзак городской Swissgear, черный")</f>
      </c>
      <c r="C27658" s="4" t="n">
        <v>4590.00</v>
      </c>
      <c r="D27658" s="4"/>
    </row>
    <row collapsed="" customFormat="false" customHeight="1" hidden="" ht="14" outlineLevel="0" r="27659">
      <c r="A27659" s="3" t="inlineStr">
        <is>
          <t>27536</t>
        </is>
      </c>
      <c r="B27659" s="4" t="s">
        <f>=HYPERLINK("http://anyluxury.ru/shop/sumki-i-ryukzaki/ryukzaki/antikrazhniy-ryukzak-bobby-compact-p705651/" , "P705.651 Антикражный рюкзак Bobby Compact")</f>
      </c>
      <c r="C27659" s="4" t="n">
        <v>7990.00</v>
      </c>
      <c r="D27659" s="4"/>
    </row>
    <row collapsed="" customFormat="false" customHeight="1" hidden="" ht="14" outlineLevel="0" r="27660">
      <c r="A27660" s="3" t="inlineStr">
        <is>
          <t>27537</t>
        </is>
      </c>
      <c r="B27660" s="4" t="s">
        <f>=HYPERLINK("http://anyluxury.ru/shop/sumki-i-ryukzaki/ryukzaki/antikrazhniy-ryukzak-bobby-compact-p705655/" , "P705.655 Антикражный рюкзак Bobby Compact")</f>
      </c>
      <c r="C27660" s="4" t="n">
        <v>7990.00</v>
      </c>
      <c r="D27660" s="4"/>
    </row>
    <row collapsed="" customFormat="false" customHeight="1" hidden="" ht="14" outlineLevel="0" r="27661">
      <c r="A27661" s="3" t="inlineStr">
        <is>
          <t>27538</t>
        </is>
      </c>
      <c r="B27661" s="4" t="s">
        <f>=HYPERLINK("http://anyluxury.ru/shop/sumki-i-ryukzaki/ryukzaki/antikrazhniy-ryukzak-bobby-compact-p705657/" , "P705.657 Антикражный рюкзак Bobby Compact")</f>
      </c>
      <c r="C27661" s="4" t="n">
        <v>7990.00</v>
      </c>
      <c r="D27661" s="4"/>
    </row>
    <row collapsed="" customFormat="false" customHeight="1" hidden="" ht="14" outlineLevel="0" r="27662">
      <c r="A27662" s="3" t="inlineStr">
        <is>
          <t>27539</t>
        </is>
      </c>
      <c r="B27662" s="4" t="s">
        <f>=HYPERLINK("http://anyluxury.ru/shop/sumki-i-ryukzaki/ryukzaki/sumkaryukzak-flex-p705801/" , "P705.801 Сумка-рюкзак Flex")</f>
      </c>
      <c r="C27662" s="4" t="n">
        <v>14244.00</v>
      </c>
      <c r="D27662" s="4"/>
    </row>
    <row collapsed="" customFormat="false" customHeight="1" hidden="" ht="14" outlineLevel="0" r="27663">
      <c r="A27663" s="3" t="inlineStr">
        <is>
          <t>27540</t>
        </is>
      </c>
      <c r="B27663" s="4" t="s">
        <f>=HYPERLINK("http://anyluxury.ru/shop/sumki-i-ryukzaki/ryukzaki/ryukzak-triangel-siniy-1241544/" , "12415.44 Рюкзак Triangel, синий")</f>
      </c>
      <c r="C27663" s="4" t="n">
        <v>2300.00</v>
      </c>
      <c r="D27663" s="4"/>
    </row>
    <row collapsed="" customFormat="false" customHeight="1" hidden="" ht="14" outlineLevel="0" r="27664">
      <c r="A27664" s="3" t="inlineStr">
        <is>
          <t>27541</t>
        </is>
      </c>
      <c r="B27664" s="4" t="s">
        <f>=HYPERLINK("http://anyluxury.ru/shop/sumki-i-ryukzaki/ryukzaki/ryukzak-dlya-noutbuka-onefold-yarkosiniy-1008444/" , "10084.44 Рюкзак для ноутбука Onefold, ярко-синий")</f>
      </c>
      <c r="C27664" s="4" t="n">
        <v>2617.00</v>
      </c>
      <c r="D27664" s="4"/>
    </row>
    <row collapsed="" customFormat="false" customHeight="1" hidden="" ht="14" outlineLevel="0" r="27665">
      <c r="A27665" s="3" t="inlineStr">
        <is>
          <t>27542</t>
        </is>
      </c>
      <c r="B27665" s="4" t="s">
        <f>=HYPERLINK("http://anyluxury.ru/shop/sumki-i-ryukzaki/ryukzaki/ryukzak-dlya-noutbuka-midtown-l-temnosiniy-ke301003/" , "KE3-01003 Рюкзак для ноутбука Midtown L, темно-синий")</f>
      </c>
      <c r="C27665" s="4" t="n">
        <v>11000.00</v>
      </c>
      <c r="D27665" s="4"/>
    </row>
    <row collapsed="" customFormat="false" customHeight="1" hidden="" ht="14" outlineLevel="0" r="27666">
      <c r="A27666" s="3" t="inlineStr">
        <is>
          <t>27543</t>
        </is>
      </c>
      <c r="B27666" s="4" t="s">
        <f>=HYPERLINK("http://anyluxury.ru/shop/sumki-i-ryukzaki/ryukzaki/ryukzak-dlya-noutbuka-midtown-l-pesochniy-ke302003/" , "KE3-02003 Рюкзак для ноутбука Midtown L, песочный")</f>
      </c>
      <c r="C27666" s="4" t="n">
        <v>11000.00</v>
      </c>
      <c r="D27666" s="4"/>
    </row>
    <row collapsed="" customFormat="false" customHeight="1" hidden="" ht="14" outlineLevel="0" r="27667">
      <c r="A27667" s="3" t="inlineStr">
        <is>
          <t>27544</t>
        </is>
      </c>
      <c r="B27667" s="4" t="s">
        <f>=HYPERLINK("http://anyluxury.ru/shop/sumki-i-ryukzaki/ryukzaki/ryukzak-dlya-noutbuka-midtown-l-seriy-kamuflyazh-ke308003/" , "KE3-08003 Рюкзак для ноутбука Midtown L, серый камуфляж")</f>
      </c>
      <c r="C27667" s="4" t="n">
        <v>11000.00</v>
      </c>
      <c r="D27667" s="4"/>
    </row>
    <row collapsed="" customFormat="false" customHeight="1" hidden="" ht="14" outlineLevel="0" r="27668">
      <c r="A27668" s="3" t="inlineStr">
        <is>
          <t>27545</t>
        </is>
      </c>
      <c r="B27668" s="4" t="s">
        <f>=HYPERLINK("http://anyluxury.ru/shop/sumki-i-ryukzaki/ryukzaki/ryukzak-dlya-noutbuka-midtown-l-cherniy-ke309003/" , "KE3-09003 Рюкзак для ноутбука Midtown L, черный")</f>
      </c>
      <c r="C27668" s="4" t="n">
        <v>11000.00</v>
      </c>
      <c r="D27668" s="4"/>
    </row>
    <row collapsed="" customFormat="false" customHeight="1" hidden="" ht="14" outlineLevel="0" r="27669">
      <c r="A27669" s="3" t="inlineStr">
        <is>
          <t>27546</t>
        </is>
      </c>
      <c r="B27669" s="4" t="s">
        <f>=HYPERLINK("http://anyluxury.ru/shop/sumki-i-ryukzaki/ryukzaki/ryukzak-dlya-noutbuka-midtown-m-pesochniy-ke302002/" , "KE3-02002 Рюкзак для ноутбука Midtown M, песочный")</f>
      </c>
      <c r="C27669" s="4" t="n">
        <v>8900.00</v>
      </c>
      <c r="D27669" s="4"/>
    </row>
    <row collapsed="" customFormat="false" customHeight="1" hidden="" ht="14" outlineLevel="0" r="27670">
      <c r="A27670" s="3" t="inlineStr">
        <is>
          <t>27547</t>
        </is>
      </c>
      <c r="B27670" s="4" t="s">
        <f>=HYPERLINK("http://anyluxury.ru/shop/sumki-i-ryukzaki/ryukzaki/ryukzak-dlya-noutbuka-midtown-m-cvet-seriy-kamuflyazh-ke308002/" , "KE3-08002 Рюкзак для ноутбука Midtown M, цвет серый камуфляж")</f>
      </c>
      <c r="C27670" s="4" t="n">
        <v>10890.00</v>
      </c>
      <c r="D27670" s="4"/>
    </row>
    <row collapsed="" customFormat="false" customHeight="1" hidden="" ht="14" outlineLevel="0" r="27671">
      <c r="A27671" s="3" t="inlineStr">
        <is>
          <t>27548</t>
        </is>
      </c>
      <c r="B27671" s="4" t="s">
        <f>=HYPERLINK("http://anyluxury.ru/shop/sumki-i-ryukzaki/ryukzaki/ryukzak-dlya-noutbuka-sonora-m-krasniy-ka100003/" , "KA1-00003 Рюкзак для ноутбука Sonora M, красный")</f>
      </c>
      <c r="C27671" s="4" t="n">
        <v>8300.00</v>
      </c>
      <c r="D27671" s="4"/>
    </row>
    <row collapsed="" customFormat="false" customHeight="1" hidden="" ht="14" outlineLevel="0" r="27672">
      <c r="A27672" s="3" t="inlineStr">
        <is>
          <t>27549</t>
        </is>
      </c>
      <c r="B27672" s="4" t="s">
        <f>=HYPERLINK("http://anyluxury.ru/shop/sumki-i-ryukzaki/ryukzaki/ryukzak-dlya-noutbuka-sonora-l-cherniy-ka109004/" , "KA1-09004 Рюкзак для ноутбука Sonora L, черный")</f>
      </c>
      <c r="C27672" s="4" t="n">
        <v>9600.00</v>
      </c>
      <c r="D27672" s="4"/>
    </row>
    <row collapsed="" customFormat="false" customHeight="1" hidden="" ht="14" outlineLevel="0" r="27673">
      <c r="A27673" s="3" t="inlineStr">
        <is>
          <t>27550</t>
        </is>
      </c>
      <c r="B27673" s="4" t="s">
        <f>=HYPERLINK("http://anyluxury.ru/shop/sumki-i-ryukzaki/ryukzaki/ryukzak-eclipse-s-usb-razemom-seriy-51904080/" , "51904.080 Рюкзак Eclipse с USB разъемом, серый")</f>
      </c>
      <c r="C27673" s="4" t="n">
        <v>4980.00</v>
      </c>
      <c r="D27673" s="4"/>
    </row>
    <row collapsed="" customFormat="false" customHeight="1" hidden="" ht="14" outlineLevel="0" r="27674">
      <c r="A27674" s="3" t="inlineStr">
        <is>
          <t>27551</t>
        </is>
      </c>
      <c r="B27674" s="4" t="s">
        <f>=HYPERLINK("http://anyluxury.ru/shop/sumki-i-ryukzaki/ryukzaki/ryukzak-monte-seriy-52101080/" , "52101.080 Рюкзак Monte, серый")</f>
      </c>
      <c r="C27674" s="4" t="n">
        <v>5320.00</v>
      </c>
      <c r="D27674" s="4"/>
    </row>
    <row collapsed="" customFormat="false" customHeight="1" hidden="" ht="14" outlineLevel="0" r="27675">
      <c r="A27675" s="3" t="inlineStr">
        <is>
          <t>27552</t>
        </is>
      </c>
      <c r="B27675" s="4" t="s">
        <f>=HYPERLINK("http://anyluxury.ru/shop/sumki-i-ryukzaki/ryukzaki/ryukzak-dlya-noutbuka-conveza-siniyseriy-52002030/" , "52002.030 Рюкзак для ноутбука Conveza, синий/серый")</f>
      </c>
      <c r="C27675" s="4" t="n">
        <v>4995.00</v>
      </c>
      <c r="D27675" s="4"/>
    </row>
    <row collapsed="" customFormat="false" customHeight="1" hidden="" ht="14" outlineLevel="0" r="27676">
      <c r="A27676" s="3" t="inlineStr">
        <is>
          <t>27553</t>
        </is>
      </c>
      <c r="B27676" s="4" t="s">
        <f>=HYPERLINK("http://anyluxury.ru/shop/sumki-i-ryukzaki/ryukzaki/ryukzak-verdi-iz-eko-materialov-seriy-20062080/" , "20062.080 Рюкзак Verdi из эко материалов, серый")</f>
      </c>
      <c r="C27676" s="4" t="n">
        <v>4380.00</v>
      </c>
      <c r="D27676" s="4"/>
    </row>
    <row collapsed="" customFormat="false" customHeight="1" hidden="" ht="14" outlineLevel="0" r="27677">
      <c r="A27677" s="3" t="inlineStr">
        <is>
          <t>27554</t>
        </is>
      </c>
      <c r="B27677" s="4" t="s">
        <f>=HYPERLINK("http://anyluxury.ru/shop/sumki-i-ryukzaki/ryukzaki/legkaya-sumkaholodilnik-impact-iz-rpet-aware-p733105/" , "P733.105 Легкая сумка-холодильник Impact из RPET AWARE™")</f>
      </c>
      <c r="C27677" s="4" t="n">
        <v>1594.00</v>
      </c>
      <c r="D27677" s="4"/>
    </row>
    <row collapsed="" customFormat="false" customHeight="1" hidden="" ht="14" outlineLevel="0" r="27678">
      <c r="A27678" s="3" t="inlineStr">
        <is>
          <t>27555</t>
        </is>
      </c>
      <c r="B27678" s="4" t="s">
        <f>=HYPERLINK("http://anyluxury.ru/shop/sumki-i-ryukzaki/ryukzaki/legkaya-sumkaholodilnik-impact-iz-rpet-aware-p733101/" , "P733.101 Легкая сумка-холодильник Impact из RPET AWARE™")</f>
      </c>
      <c r="C27678" s="4" t="n">
        <v>1594.00</v>
      </c>
      <c r="D27678" s="4"/>
    </row>
    <row collapsed="" customFormat="false" customHeight="1" hidden="" ht="14" outlineLevel="0" r="27679">
      <c r="A27679" s="3" t="inlineStr">
        <is>
          <t>27556</t>
        </is>
      </c>
      <c r="B27679" s="4" t="s">
        <f>=HYPERLINK("http://anyluxury.ru/shop/sumki-i-ryukzaki/ryukzaki/legkaya-sumkaholodilnik-impact-iz-rpet-aware-p733102/" , "P733.102 Легкая сумка-холодильник Impact из RPET AWARE™")</f>
      </c>
      <c r="C27679" s="4" t="n">
        <v>1594.00</v>
      </c>
      <c r="D27679" s="4"/>
    </row>
    <row collapsed="" customFormat="false" customHeight="1" hidden="" ht="14" outlineLevel="0" r="27680">
      <c r="A27680" s="3" t="inlineStr">
        <is>
          <t>27557</t>
        </is>
      </c>
      <c r="B27680" s="4" t="s">
        <f>=HYPERLINK("http://anyluxury.ru/shop/sumki-i-ryukzaki/ryukzaki/legkiy-ryukzak-impact-iz-rpet-aware-p762732/" , "P762.732 Легкий рюкзак Impact из RPET AWARE™")</f>
      </c>
      <c r="C27680" s="4" t="n">
        <v>1969.00</v>
      </c>
      <c r="D27680" s="4"/>
    </row>
    <row collapsed="" customFormat="false" customHeight="1" hidden="" ht="14" outlineLevel="0" r="27681">
      <c r="A27681" s="3" t="inlineStr">
        <is>
          <t>27558</t>
        </is>
      </c>
      <c r="B27681" s="4" t="s">
        <f>=HYPERLINK("http://anyluxury.ru/shop/sumki-i-ryukzaki/ryukzaki/legkiy-ryukzak-rolltop-impact-iz-rpet-aware-p762752/" , "P762.752 Легкий рюкзак роллтоп Impact из RPET AWARE™")</f>
      </c>
      <c r="C27681" s="4" t="n">
        <v>2125.00</v>
      </c>
      <c r="D27681" s="4"/>
    </row>
    <row collapsed="" customFormat="false" customHeight="1" hidden="" ht="14" outlineLevel="0" r="27682">
      <c r="A27682" s="3" t="inlineStr">
        <is>
          <t>27559</t>
        </is>
      </c>
      <c r="B27682" s="4" t="s">
        <f>=HYPERLINK("http://anyluxury.ru/shop/sumki-i-ryukzaki/ryukzaki/legkiy-ryukzak-rolltop-impact-iz-rpet-aware-p762751/" , "P762.751 Легкий рюкзак роллтоп Impact из RPET AWARE™")</f>
      </c>
      <c r="C27682" s="4" t="n">
        <v>2125.00</v>
      </c>
      <c r="D27682" s="4"/>
    </row>
    <row collapsed="" customFormat="false" customHeight="1" hidden="" ht="14" outlineLevel="0" r="27683">
      <c r="A27683" s="3" t="inlineStr">
        <is>
          <t>27560</t>
        </is>
      </c>
      <c r="B27683" s="4" t="s">
        <f>=HYPERLINK("http://anyluxury.ru/shop/sumki-i-ryukzaki/ryukzaki/ryukzak-expose-cherniy-1305830/" , "13058.30 Рюкзак Expose, черный")</f>
      </c>
      <c r="C27683" s="4" t="n">
        <v>1614.00</v>
      </c>
      <c r="D27683" s="4"/>
    </row>
    <row collapsed="" customFormat="false" customHeight="1" hidden="" ht="14" outlineLevel="0" r="27684">
      <c r="A27684" s="3" t="inlineStr">
        <is>
          <t>27561</t>
        </is>
      </c>
      <c r="B27684" s="4" t="s">
        <f>=HYPERLINK("http://anyluxury.ru/shop/sumki-i-ryukzaki/ryukzaki/ryukzak-dlya-noutbuka-shades-1329310/" , "13293.10 Рюкзак для ноутбука Shades")</f>
      </c>
      <c r="C27684" s="4" t="n">
        <v>4503.00</v>
      </c>
      <c r="D27684" s="4"/>
    </row>
    <row collapsed="" customFormat="false" customHeight="1" hidden="" ht="14" outlineLevel="0" r="27685">
      <c r="A27685" s="3" t="inlineStr">
        <is>
          <t>27562</t>
        </is>
      </c>
      <c r="B27685" s="4" t="s">
        <f>=HYPERLINK("http://anyluxury.ru/shop/sumki-i-ryukzaki/ryukzaki/ryukzak-bertly-cherniy-1329630/" , "13296.30 Рюкзак Bertly, черный")</f>
      </c>
      <c r="C27685" s="4" t="n">
        <v>932.00</v>
      </c>
      <c r="D27685" s="4"/>
    </row>
    <row collapsed="" customFormat="false" customHeight="1" hidden="" ht="14" outlineLevel="0" r="27686">
      <c r="A27686" s="3" t="inlineStr">
        <is>
          <t>27563</t>
        </is>
      </c>
      <c r="B27686" s="4" t="s">
        <f>=HYPERLINK("http://anyluxury.ru/shop/sumki-i-ryukzaki/ryukzaki/ryukzak-bertly-krasniy-1329650/" , "13296.50 Рюкзак Bertly, красный")</f>
      </c>
      <c r="C27686" s="4" t="n">
        <v>932.00</v>
      </c>
      <c r="D27686" s="4"/>
    </row>
    <row collapsed="" customFormat="false" customHeight="1" hidden="" ht="14" outlineLevel="0" r="27687">
      <c r="A27687" s="3" t="inlineStr">
        <is>
          <t>27564</t>
        </is>
      </c>
      <c r="B27687" s="4" t="s">
        <f>=HYPERLINK("http://anyluxury.ru/shop/sumki-i-ryukzaki/ryukzaki/ryukzak-bertly-zeleniy-1329690/" , "13296.90 Рюкзак Bertly, зеленое яблоко")</f>
      </c>
      <c r="C27687" s="4" t="n">
        <v>932.00</v>
      </c>
      <c r="D27687" s="4"/>
    </row>
    <row collapsed="" customFormat="false" customHeight="1" hidden="" ht="14" outlineLevel="0" r="27688">
      <c r="A27688" s="3" t="inlineStr">
        <is>
          <t>27565</t>
        </is>
      </c>
      <c r="B27688" s="4" t="s">
        <f>=HYPERLINK("http://anyluxury.ru/shop/sumki-i-ryukzaki/ryukzaki/ryukzak-crango-l-seriy-1378510/" , "13785.10 Рюкзак Crango L, серый")</f>
      </c>
      <c r="C27688" s="4" t="n">
        <v>5180.00</v>
      </c>
      <c r="D27688" s="4"/>
    </row>
    <row collapsed="" customFormat="false" customHeight="1" hidden="" ht="14" outlineLevel="0" r="27689">
      <c r="A27689" s="3" t="inlineStr">
        <is>
          <t>27566</t>
        </is>
      </c>
      <c r="B27689" s="4" t="s">
        <f>=HYPERLINK("http://anyluxury.ru/shop/sumki-i-ryukzaki/ryukzaki/skladnoy-ryukzak-wick-seriy-322910/" , "3229.10 Складной рюкзак Wick, серый")</f>
      </c>
      <c r="C27689" s="4" t="n">
        <v>950.00</v>
      </c>
      <c r="D27689" s="4"/>
    </row>
    <row collapsed="" customFormat="false" customHeight="1" hidden="" ht="14" outlineLevel="0" r="27690">
      <c r="A27690" s="3" t="inlineStr">
        <is>
          <t>27567</t>
        </is>
      </c>
      <c r="B27690" s="4" t="s">
        <f>=HYPERLINK("http://anyluxury.ru/shop/sumki-i-ryukzaki/ryukzaki/gorodskoy-ryukzak-manifest-iz-svetootrazhayushhey-tkani-seriy-1322011/" , "13220.11 Рюкзак Manifest из светоотражающей ткани, серый")</f>
      </c>
      <c r="C27690" s="4" t="n">
        <v>1578.00</v>
      </c>
      <c r="D27690" s="4"/>
    </row>
    <row collapsed="" customFormat="false" customHeight="1" hidden="" ht="14" outlineLevel="0" r="27691">
      <c r="A27691" s="3" t="inlineStr">
        <is>
          <t>27568</t>
        </is>
      </c>
      <c r="B27691" s="4" t="s">
        <f>=HYPERLINK("http://anyluxury.ru/shop/sumki-i-ryukzaki/ryukzaki/ryukzak-mi-business-backpack-2-cherniy-1355230/" , "13552.30 Рюкзак Mi Business Backpack 2, черный")</f>
      </c>
      <c r="C27691" s="4" t="n">
        <v>2190.00</v>
      </c>
      <c r="D27691" s="4"/>
    </row>
    <row collapsed="" customFormat="false" customHeight="1" hidden="" ht="14" outlineLevel="0" r="27692">
      <c r="A27692" s="3" t="inlineStr">
        <is>
          <t>27569</t>
        </is>
      </c>
      <c r="B27692" s="4" t="s">
        <f>=HYPERLINK("http://anyluxury.ru/shop/sumki-i-ryukzaki/ryukzaki/ryukzak-mi-business-backpack-2-temnoseriy-1355213/" , "13552.13 Рюкзак Mi Business Backpack 2, темно-серый")</f>
      </c>
      <c r="C27692" s="4" t="n">
        <v>2190.00</v>
      </c>
      <c r="D27692" s="4"/>
    </row>
    <row collapsed="" customFormat="false" customHeight="1" hidden="" ht="14" outlineLevel="0" r="27693">
      <c r="A27693" s="3" t="inlineStr">
        <is>
          <t>27570</t>
        </is>
      </c>
      <c r="B27693" s="4" t="s">
        <f>=HYPERLINK("http://anyluxury.ru/shop/sumki-i-ryukzaki/ryukzaki/ryukzak-commuter-backpack-temnoseriy-1355513/" , "13555.13 Рюкзак Commuter Backpack, темно-серый")</f>
      </c>
      <c r="C27693" s="4" t="n">
        <v>4490.00</v>
      </c>
      <c r="D27693" s="4"/>
    </row>
    <row collapsed="" customFormat="false" customHeight="1" hidden="" ht="14" outlineLevel="0" r="27694">
      <c r="A27694" s="3" t="inlineStr">
        <is>
          <t>27571</t>
        </is>
      </c>
      <c r="B27694" s="4" t="s">
        <f>=HYPERLINK("http://anyluxury.ru/shop/sumki-i-ryukzaki/ryukzaki/ryukzak-detskiy-kiddo-1731201/" , "17312.01 Рюкзак детский Kiddo, синий с голубым")</f>
      </c>
      <c r="C27694" s="4" t="n">
        <v>850.00</v>
      </c>
      <c r="D27694" s="4"/>
    </row>
    <row collapsed="" customFormat="false" customHeight="1" hidden="" ht="14" outlineLevel="0" r="27695">
      <c r="A27695" s="3" t="inlineStr">
        <is>
          <t>27572</t>
        </is>
      </c>
      <c r="B27695" s="4" t="s">
        <f>=HYPERLINK("http://anyluxury.ru/shop/sumki-i-ryukzaki/ryukzaki/ryukzak-detskiy-classna-beliy-s-krasnim-1731365/" , "17313.65 Рюкзак детский Classna, белый с красным")</f>
      </c>
      <c r="C27695" s="4" t="n">
        <v>175.00</v>
      </c>
      <c r="D27695" s="4"/>
    </row>
    <row collapsed="" customFormat="false" customHeight="1" hidden="" ht="14" outlineLevel="0" r="27696">
      <c r="A27696" s="3" t="inlineStr">
        <is>
          <t>27573</t>
        </is>
      </c>
      <c r="B27696" s="4" t="s">
        <f>=HYPERLINK("http://anyluxury.ru/shop/sumki-i-ryukzaki/ryukzaki/ryukzak-detskiy-classna-beliy-s-sinim-1731364/" , "17313.64 Рюкзак детский Classna, белый с синим")</f>
      </c>
      <c r="C27696" s="4" t="n">
        <v>175.00</v>
      </c>
      <c r="D27696" s="4"/>
    </row>
    <row collapsed="" customFormat="false" customHeight="1" hidden="" ht="14" outlineLevel="0" r="27697">
      <c r="A27697" s="3" t="inlineStr">
        <is>
          <t>27574</t>
        </is>
      </c>
      <c r="B27697" s="4" t="s">
        <f>=HYPERLINK("http://anyluxury.ru/shop/sumki-i-ryukzaki/ryukzaki/biznes-ryukzak-taller-s-usb-razemom-cherniy-59321010/" , "59321.010 Бизнес рюкзак Taller  с USB разъемом, черный")</f>
      </c>
      <c r="C27697" s="4" t="n">
        <v>6282.00</v>
      </c>
      <c r="D27697" s="4"/>
    </row>
    <row collapsed="" customFormat="false" customHeight="1" hidden="" ht="14" outlineLevel="0" r="27698">
      <c r="A27698" s="3" t="inlineStr">
        <is>
          <t>27575</t>
        </is>
      </c>
      <c r="B27698" s="4" t="s">
        <f>=HYPERLINK("http://anyluxury.ru/shop/sumki-i-ryukzaki/ryukzaki/sumkaholodilnik-s-2-izolirovannimi-otdeleniyamiantracit-p422232/" , "P422.232 Сумка-холодильник с 2 изолированными отделениями")</f>
      </c>
      <c r="C27698" s="4" t="n">
        <v>1772.00</v>
      </c>
      <c r="D27698" s="4"/>
    </row>
    <row collapsed="" customFormat="false" customHeight="1" hidden="" ht="14" outlineLevel="0" r="27699">
      <c r="A27699" s="3" t="inlineStr">
        <is>
          <t>27576</t>
        </is>
      </c>
      <c r="B27699" s="4" t="s">
        <f>=HYPERLINK("http://anyluxury.ru/shop/sumki-i-ryukzaki/ryukzaki/dvuhcvetnaya-sumkaholodilnik-s-probkovoy-otdelkoy-p422265/" , "P422.265 Двухцветная сумка-холодильник с пробковой отделкой")</f>
      </c>
      <c r="C27699" s="4" t="n">
        <v>1238.00</v>
      </c>
      <c r="D27699" s="4"/>
    </row>
    <row collapsed="" customFormat="false" customHeight="1" hidden="" ht="14" outlineLevel="0" r="27700">
      <c r="A27700" s="3" t="inlineStr">
        <is>
          <t>27577</t>
        </is>
      </c>
      <c r="B27700" s="4" t="s">
        <f>=HYPERLINK("http://anyluxury.ru/shop/sumki-i-ryukzaki/ryukzaki/dvuhcvetnaya-sumkaholodilnik-s-probkovoy-otdelkoy-p422267/" , "P422.267 Двухцветная сумка-холодильник с пробковой отделкой")</f>
      </c>
      <c r="C27700" s="4" t="n">
        <v>1238.00</v>
      </c>
      <c r="D27700" s="4"/>
    </row>
    <row collapsed="" customFormat="false" customHeight="1" hidden="" ht="14" outlineLevel="0" r="27701">
      <c r="A27701" s="3" t="inlineStr">
        <is>
          <t>27578</t>
        </is>
      </c>
      <c r="B27701" s="4" t="s">
        <f>=HYPERLINK("http://anyluxury.ru/shop/sumki-i-ryukzaki/ryukzaki/ryukzakholodilnik-impact-iz-rpet-aware-p733055/" , "P733.055 Рюкзак-холодильник Impact из RPET AWARE™")</f>
      </c>
      <c r="C27701" s="4" t="n">
        <v>4978.00</v>
      </c>
      <c r="D27701" s="4"/>
    </row>
    <row collapsed="" customFormat="false" customHeight="1" hidden="" ht="14" outlineLevel="0" r="27702">
      <c r="A27702" s="3" t="inlineStr">
        <is>
          <t>27579</t>
        </is>
      </c>
      <c r="B27702" s="4" t="s">
        <f>=HYPERLINK("http://anyluxury.ru/shop/sumki-i-ryukzaki/ryukzaki/sumkaholodilnik-impact-iz-rpet-aware-p422302/" , "P422.302 Сумка-холодильник Impact из RPET AWARE™")</f>
      </c>
      <c r="C27702" s="4" t="n">
        <v>2659.00</v>
      </c>
      <c r="D27702" s="4"/>
    </row>
    <row collapsed="" customFormat="false" customHeight="1" hidden="" ht="14" outlineLevel="0" r="27703">
      <c r="A27703" s="3" t="inlineStr">
        <is>
          <t>27580</t>
        </is>
      </c>
      <c r="B27703" s="4" t="s">
        <f>=HYPERLINK("http://anyluxury.ru/shop/sumki-i-ryukzaki/ryukzaki/antikrazhniy-ryukzak-bobby-soft-p705794/" , "P705.794 Антикражный рюкзак Bobby Soft")</f>
      </c>
      <c r="C27703" s="4" t="n">
        <v>9788.00</v>
      </c>
      <c r="D27703" s="4"/>
    </row>
    <row collapsed="" customFormat="false" customHeight="1" hidden="" ht="14" outlineLevel="0" r="27704">
      <c r="A27704" s="3" t="inlineStr">
        <is>
          <t>27581</t>
        </is>
      </c>
      <c r="B27704" s="4" t="s">
        <f>=HYPERLINK("http://anyluxury.ru/shop/sumki-i-ryukzaki/ryukzaki/ryukzak-na-shnurke-impact-iz-pererabotannogo-hlopka-aware-145-g-p762635/" , "P762.635 Рюкзак на шнурке Impact из переработанного хлопка AWARE™, 145 г")</f>
      </c>
      <c r="C27704" s="4" t="n">
        <v>525.00</v>
      </c>
      <c r="D27704" s="4"/>
    </row>
    <row collapsed="" customFormat="false" customHeight="1" hidden="" ht="14" outlineLevel="0" r="27705">
      <c r="A27705" s="3" t="inlineStr">
        <is>
          <t>27582</t>
        </is>
      </c>
      <c r="B27705" s="4" t="s">
        <f>=HYPERLINK("http://anyluxury.ru/shop/sumki-i-ryukzaki/ryukzaki/ryukzak-na-shnurke-impact-iz-pererabotannogo-hlopka-aware-145-g-p762637/" , "P762.637 Рюкзак на шнурке Impact из переработанного хлопка AWARE™, 145 г")</f>
      </c>
      <c r="C27705" s="4" t="n">
        <v>525.00</v>
      </c>
      <c r="D27705" s="4"/>
    </row>
    <row collapsed="" customFormat="false" customHeight="1" hidden="" ht="14" outlineLevel="0" r="27706">
      <c r="A27706" s="3" t="inlineStr">
        <is>
          <t>27583</t>
        </is>
      </c>
      <c r="B27706" s="4" t="s">
        <f>=HYPERLINK("http://anyluxury.ru/shop/sumki-i-ryukzaki/ryukzaki/ryukzak-na-shnurke-impact-iz-pererabotannogo-hlopka-aware-145-g-p762639/" , "P762.639 Рюкзак на шнурке Impact из переработанного хлопка AWARE™, 145 г")</f>
      </c>
      <c r="C27706" s="4" t="n">
        <v>525.00</v>
      </c>
      <c r="D27706" s="4"/>
    </row>
    <row collapsed="" customFormat="false" customHeight="1" hidden="" ht="14" outlineLevel="0" r="27707">
      <c r="A27707" s="3" t="inlineStr">
        <is>
          <t>27584</t>
        </is>
      </c>
      <c r="B27707" s="4" t="s">
        <f>=HYPERLINK("http://anyluxury.ru/shop/sumki-i-ryukzaki/ryukzaki/ryukzak-na-shnurke-impact-iz-pererabotannogo-hlopka-aware-145-g-p762633/" , "P762.633 Рюкзак на шнурке Impact из переработанного хлопка AWARE™, 145 г")</f>
      </c>
      <c r="C27707" s="4" t="n">
        <v>525.00</v>
      </c>
      <c r="D27707" s="4"/>
    </row>
    <row collapsed="" customFormat="false" customHeight="1" hidden="" ht="14" outlineLevel="0" r="27708">
      <c r="A27708" s="3" t="inlineStr">
        <is>
          <t>27585</t>
        </is>
      </c>
      <c r="B27708" s="4" t="s">
        <f>=HYPERLINK("http://anyluxury.ru/shop/sumki-i-ryukzaki/ryukzaki/ryukzak-na-shnurke-impact-iz-pererabotannogo-hlopka-aware-145-g-p762632/" , "P762.632 Рюкзак на шнурке Impact из переработанного хлопка AWARE™, 145 г")</f>
      </c>
      <c r="C27708" s="4" t="n">
        <v>525.00</v>
      </c>
      <c r="D27708" s="4"/>
    </row>
    <row collapsed="" customFormat="false" customHeight="1" hidden="" ht="14" outlineLevel="0" r="27709">
      <c r="A27709" s="3" t="inlineStr">
        <is>
          <t>27586</t>
        </is>
      </c>
      <c r="B27709" s="4" t="s">
        <f>=HYPERLINK("http://anyluxury.ru/shop/sumki-i-ryukzaki/ryukzaki/ryukzak-na-shnurke-impact-iz-pererabotannogo-hlopka-aware-145-g-p762631/" , "P762.631 Рюкзак на шнурке Impact из переработанного хлопка AWARE™, 145 г")</f>
      </c>
      <c r="C27709" s="4" t="n">
        <v>525.00</v>
      </c>
      <c r="D27709" s="4"/>
    </row>
    <row collapsed="" customFormat="false" customHeight="1" hidden="" ht="14" outlineLevel="0" r="27710">
      <c r="A27710" s="3" t="inlineStr">
        <is>
          <t>27587</t>
        </is>
      </c>
      <c r="B27710" s="4" t="s">
        <f>=HYPERLINK("http://anyluxury.ru/shop/sumki-i-ryukzaki/ryukzaki/plotniy-ryukzak-na-shnurke-impact-iz-rpet-aware-p762689/" , "P762.689 Плотный рюкзак на шнурке Impact из RPET AWARE™")</f>
      </c>
      <c r="C27710" s="4" t="n">
        <v>525.00</v>
      </c>
      <c r="D27710" s="4"/>
    </row>
    <row collapsed="" customFormat="false" customHeight="1" hidden="" ht="14" outlineLevel="0" r="27711">
      <c r="A27711" s="3" t="inlineStr">
        <is>
          <t>27588</t>
        </is>
      </c>
      <c r="B27711" s="4" t="s">
        <f>=HYPERLINK("http://anyluxury.ru/shop/sumki-i-ryukzaki/ryukzaki/plotniy-ryukzak-na-shnurke-impact-iz-rpet-aware-p762687/" , "P762.687 Плотный рюкзак на шнурке Impact из RPET AWARE™")</f>
      </c>
      <c r="C27711" s="4" t="n">
        <v>525.00</v>
      </c>
      <c r="D27711" s="4"/>
    </row>
    <row collapsed="" customFormat="false" customHeight="1" hidden="" ht="14" outlineLevel="0" r="27712">
      <c r="A27712" s="3" t="inlineStr">
        <is>
          <t>27589</t>
        </is>
      </c>
      <c r="B27712" s="4" t="s">
        <f>=HYPERLINK("http://anyluxury.ru/shop/sumki-i-ryukzaki/ryukzaki/plotniy-ryukzak-na-shnurke-impact-iz-rpet-aware-p762685/" , "P762.685 Плотный рюкзак на шнурке Impact из RPET AWARE™")</f>
      </c>
      <c r="C27712" s="4" t="n">
        <v>525.00</v>
      </c>
      <c r="D27712" s="4"/>
    </row>
    <row collapsed="" customFormat="false" customHeight="1" hidden="" ht="14" outlineLevel="0" r="27713">
      <c r="A27713" s="3" t="inlineStr">
        <is>
          <t>27590</t>
        </is>
      </c>
      <c r="B27713" s="4" t="s">
        <f>=HYPERLINK("http://anyluxury.ru/shop/sumki-i-ryukzaki/ryukzaki/plotniy-ryukzak-na-shnurke-impact-iz-rpet-aware-p762684/" , "P762.684 Плотный рюкзак на шнурке Impact из RPET AWARE™")</f>
      </c>
      <c r="C27713" s="4" t="n">
        <v>525.00</v>
      </c>
      <c r="D27713" s="4"/>
    </row>
    <row collapsed="" customFormat="false" customHeight="1" hidden="" ht="14" outlineLevel="0" r="27714">
      <c r="A27714" s="3" t="inlineStr">
        <is>
          <t>27591</t>
        </is>
      </c>
      <c r="B27714" s="4" t="s">
        <f>=HYPERLINK("http://anyluxury.ru/shop/sumki-i-ryukzaki/ryukzaki/plotniy-ryukzak-na-shnurke-impact-iz-rpet-aware-p762683/" , "P762.683 Плотный рюкзак на шнурке Impact из RPET AWARE™")</f>
      </c>
      <c r="C27714" s="4" t="n">
        <v>525.00</v>
      </c>
      <c r="D27714" s="4"/>
    </row>
    <row collapsed="" customFormat="false" customHeight="1" hidden="" ht="14" outlineLevel="0" r="27715">
      <c r="A27715" s="3" t="inlineStr">
        <is>
          <t>27592</t>
        </is>
      </c>
      <c r="B27715" s="4" t="s">
        <f>=HYPERLINK("http://anyluxury.ru/shop/sumki-i-ryukzaki/ryukzaki/plotniy-ryukzak-na-shnurke-impact-iz-rpet-aware-p762682/" , "P762.682 Плотный рюкзак на шнурке Impact из RPET AWARE™")</f>
      </c>
      <c r="C27715" s="4" t="n">
        <v>525.00</v>
      </c>
      <c r="D27715" s="4"/>
    </row>
    <row collapsed="" customFormat="false" customHeight="1" hidden="" ht="14" outlineLevel="0" r="27716">
      <c r="A27716" s="3" t="inlineStr">
        <is>
          <t>27593</t>
        </is>
      </c>
      <c r="B27716" s="4" t="s">
        <f>=HYPERLINK("http://anyluxury.ru/shop/sumki-i-ryukzaki/ryukzaki/plotniy-ryukzak-na-shnurke-impact-iz-rpet-aware-p762681/" , "P762.681 Плотный рюкзак на шнурке Impact из RPET AWARE™")</f>
      </c>
      <c r="C27716" s="4" t="n">
        <v>525.00</v>
      </c>
      <c r="D27716" s="4"/>
    </row>
    <row collapsed="" customFormat="false" customHeight="1" hidden="" ht="14" outlineLevel="0" r="27717">
      <c r="A27717" s="3" t="inlineStr">
        <is>
          <t>27594</t>
        </is>
      </c>
      <c r="B27717" s="4" t="s">
        <f>=HYPERLINK("http://anyluxury.ru/shop/sumki-i-ryukzaki/ryukzaki/velosipednaya-sumka-so-svetootrazhayushhey-vstavkoy-i-derzhatelem-dlya-butilok-p325031/" , "P325.031 Велосипедная сумка со светоотражающей вставкой и держателем для бутылок")</f>
      </c>
      <c r="C27717" s="4" t="n">
        <v>1429.00</v>
      </c>
      <c r="D27717" s="4"/>
    </row>
    <row collapsed="" customFormat="false" customHeight="1" hidden="" ht="14" outlineLevel="0" r="27718">
      <c r="A27718" s="3" t="inlineStr">
        <is>
          <t>27595</t>
        </is>
      </c>
      <c r="B27718" s="4" t="s">
        <f>=HYPERLINK("http://anyluxury.ru/shop/sumki-i-ryukzaki/ryukzaki/ryukzak-dlya-noutbuka-so-svetootrazhayushhimi-vstavkami-156-p762721/" , "P762.721 Рюкзак для ноутбука со светоотражающими вставками, 15.6'")</f>
      </c>
      <c r="C27718" s="4" t="n">
        <v>6150.00</v>
      </c>
      <c r="D27718" s="4"/>
    </row>
    <row collapsed="" customFormat="false" customHeight="1" hidden="" ht="14" outlineLevel="0" r="27719">
      <c r="A27719" s="3" t="inlineStr">
        <is>
          <t>27596</t>
        </is>
      </c>
      <c r="B27719" s="4" t="s">
        <f>=HYPERLINK("http://anyluxury.ru/shop/sumki-i-ryukzaki/ryukzaki/ryukzak-na-zakaz-zaino-net-akril-1887101/" , "18871.01 Рюкзак на заказ Zaino Net, акрил")</f>
      </c>
      <c r="C27719" s="4" t="n">
        <v>1248.00</v>
      </c>
      <c r="D27719" s="4"/>
    </row>
    <row collapsed="" customFormat="false" customHeight="1" hidden="" ht="14" outlineLevel="0" r="27720">
      <c r="A27720" s="3" t="inlineStr">
        <is>
          <t>27597</t>
        </is>
      </c>
      <c r="B27720" s="4" t="s">
        <f>=HYPERLINK("http://anyluxury.ru/shop/sumki-i-ryukzaki/ryukzaki/ryukzak-bertly-siniy-1329640/" , "13296.40 Рюкзак Bertly, синий")</f>
      </c>
      <c r="C27720" s="4" t="n">
        <v>932.00</v>
      </c>
      <c r="D27720" s="4"/>
    </row>
    <row collapsed="" customFormat="false" customHeight="1" hidden="" ht="14" outlineLevel="0" r="27721">
      <c r="A27721" s="3" t="inlineStr">
        <is>
          <t>27598</t>
        </is>
      </c>
      <c r="B27721" s="4" t="s">
        <f>=HYPERLINK("http://anyluxury.ru/shop/sumki-i-ryukzaki/ryukzaki/sumka-s-instrumentami-dlya-remonta-velosipeda-17-predmetov-p416351/" , "P416.351 Сумка с инструментами для ремонта велосипеда, 17 предметов")</f>
      </c>
      <c r="C27721" s="4" t="n">
        <v>3375.00</v>
      </c>
      <c r="D27721" s="4"/>
    </row>
    <row collapsed="" customFormat="false" customHeight="1" hidden="" ht="14" outlineLevel="0" r="27722">
      <c r="A27722" s="3" t="inlineStr">
        <is>
          <t>27599</t>
        </is>
      </c>
      <c r="B27722" s="4" t="s">
        <f>=HYPERLINK("http://anyluxury.ru/shop/sumki-i-ryukzaki/ryukzaki/dvuhcvetniy-ryukzak-impact-iz-rpet-aware-dlya-noutbuka-156-p762915/" , "P762.915 Двухцветный рюкзак Impact из RPET AWARE™ для ноутбука 15.6'")</f>
      </c>
      <c r="C27722" s="4" t="n">
        <v>8894.00</v>
      </c>
      <c r="D27722" s="4"/>
    </row>
    <row collapsed="" customFormat="false" customHeight="1" hidden="" ht="14" outlineLevel="0" r="27723">
      <c r="A27723" s="3" t="inlineStr">
        <is>
          <t>27600</t>
        </is>
      </c>
      <c r="B27723" s="4" t="s">
        <f>=HYPERLINK("http://anyluxury.ru/shop/sumki-i-ryukzaki/ryukzaki/dvuhcvetniy-ryukzak-impact-iz-rpet-aware-dlya-noutbuka-156-p762912/" , "P762.912 Двухцветный рюкзак Impact из RPET AWARE™ для ноутбука 15.6'")</f>
      </c>
      <c r="C27723" s="4" t="n">
        <v>8894.00</v>
      </c>
      <c r="D27723" s="4"/>
    </row>
    <row collapsed="" customFormat="false" customHeight="1" hidden="" ht="14" outlineLevel="0" r="27724">
      <c r="A27724" s="3" t="inlineStr">
        <is>
          <t>27601</t>
        </is>
      </c>
      <c r="B27724" s="4" t="s">
        <f>=HYPERLINK("http://anyluxury.ru/shop/sumki-i-ryukzaki/ryukzaki/dvuhcvetniy-ryukzak-impact-iz-rpet-aware-dlya-noutbuka-156-p762911/" , "P762.911 Двухцветный рюкзак Impact из RPET AWARE™ для ноутбука 15.6'")</f>
      </c>
      <c r="C27724" s="4" t="n">
        <v>8894.00</v>
      </c>
      <c r="D27724" s="4"/>
    </row>
    <row collapsed="" customFormat="false" customHeight="1" hidden="" ht="14" outlineLevel="0" r="27725">
      <c r="A27725" s="3" t="inlineStr">
        <is>
          <t>27602</t>
        </is>
      </c>
      <c r="B27725" s="4" t="s">
        <f>=HYPERLINK("http://anyluxury.ru/shop/sumki-i-ryukzaki/ryukzaki/ryukzak-rider-goluboy-386414/" , "3864.14 Рюкзак Rider, голубой")</f>
      </c>
      <c r="C27725" s="4" t="n">
        <v>1194.00</v>
      </c>
      <c r="D27725" s="4"/>
    </row>
    <row collapsed="" customFormat="false" customHeight="1" hidden="" ht="14" outlineLevel="0" r="27726">
      <c r="A27726" s="3" t="inlineStr">
        <is>
          <t>27603</t>
        </is>
      </c>
      <c r="B27726" s="4" t="s">
        <f>=HYPERLINK("http://anyluxury.ru/shop/sumki-i-ryukzaki/ryukzaki/ryukzak-berna-temnosiniy-1380840/" , "13808.40 Рюкзак Berna, темно-синий")</f>
      </c>
      <c r="C27726" s="4" t="n">
        <v>1296.00</v>
      </c>
      <c r="D27726" s="4"/>
    </row>
    <row collapsed="" customFormat="false" customHeight="1" hidden="" ht="14" outlineLevel="0" r="27727">
      <c r="A27727" s="3" t="inlineStr">
        <is>
          <t>27604</t>
        </is>
      </c>
      <c r="B27727" s="4" t="s">
        <f>=HYPERLINK("http://anyluxury.ru/shop/sumki-i-ryukzaki/ryukzaki/ryukzak-berna-krasniy-1380850/" , "13808.50 Рюкзак Berna, красный")</f>
      </c>
      <c r="C27727" s="4" t="n">
        <v>1296.00</v>
      </c>
      <c r="D27727" s="4"/>
    </row>
    <row collapsed="" customFormat="false" customHeight="1" hidden="" ht="14" outlineLevel="0" r="27728">
      <c r="A27728" s="3" t="inlineStr">
        <is>
          <t>27605</t>
        </is>
      </c>
      <c r="B27728" s="4" t="s">
        <f>=HYPERLINK("http://anyluxury.ru/shop/sumki-i-ryukzaki/ryukzaki/ryukzak-berna-zheltiy-1380880/" , "13808.80 Рюкзак Berna, желтый")</f>
      </c>
      <c r="C27728" s="4" t="n">
        <v>1296.00</v>
      </c>
      <c r="D27728" s="4"/>
    </row>
    <row collapsed="" customFormat="false" customHeight="1" hidden="" ht="14" outlineLevel="0" r="27729">
      <c r="A27729" s="3" t="inlineStr">
        <is>
          <t>27606</t>
        </is>
      </c>
      <c r="B27729" s="4" t="s">
        <f>=HYPERLINK("http://anyluxury.ru/shop/sumki-i-ryukzaki/ryukzaki/ryukzak-berna-zelenoe-yabloko-1380889/" , "13808.89 Рюкзак Berna, зеленое яблоко")</f>
      </c>
      <c r="C27729" s="4" t="n">
        <v>1296.00</v>
      </c>
      <c r="D27729" s="4"/>
    </row>
    <row collapsed="" customFormat="false" customHeight="1" hidden="" ht="14" outlineLevel="0" r="27730">
      <c r="A27730" s="3" t="inlineStr">
        <is>
          <t>27607</t>
        </is>
      </c>
      <c r="B27730" s="4" t="s">
        <f>=HYPERLINK("http://anyluxury.ru/shop/sumki-i-ryukzaki/ryukzaki/ryukzak-berna-goluboy-1380814/" , "13808.14 Рюкзак Berna, голубой")</f>
      </c>
      <c r="C27730" s="4" t="n">
        <v>1296.00</v>
      </c>
      <c r="D27730" s="4"/>
    </row>
    <row collapsed="" customFormat="false" customHeight="1" hidden="" ht="14" outlineLevel="0" r="27731">
      <c r="A27731" s="3" t="inlineStr">
        <is>
          <t>27608</t>
        </is>
      </c>
      <c r="B27731" s="4" t="s">
        <f>=HYPERLINK("http://anyluxury.ru/shop/sumki-i-ryukzaki/ryukzaki/ryukzak-berna-oranzheviy-1380820/" , "13808.20 Рюкзак Berna, оранжевый")</f>
      </c>
      <c r="C27731" s="4" t="n">
        <v>1296.00</v>
      </c>
      <c r="D27731" s="4"/>
    </row>
    <row collapsed="" customFormat="false" customHeight="1" hidden="" ht="14" outlineLevel="0" r="27732">
      <c r="A27732" s="3" t="inlineStr">
        <is>
          <t>27609</t>
        </is>
      </c>
      <c r="B27732" s="4" t="s">
        <f>=HYPERLINK("http://anyluxury.ru/shop/sumki-i-ryukzaki/ryukzaki/ryukzak-berna-seriy-1380810/" , "13808.10 Рюкзак Berna, бежевый")</f>
      </c>
      <c r="C27732" s="4" t="n">
        <v>1296.00</v>
      </c>
      <c r="D27732" s="4"/>
    </row>
    <row collapsed="" customFormat="false" customHeight="1" hidden="" ht="14" outlineLevel="0" r="27733">
      <c r="A27733" s="3" t="inlineStr">
        <is>
          <t>27610</t>
        </is>
      </c>
      <c r="B27733" s="4" t="s">
        <f>=HYPERLINK("http://anyluxury.ru/shop/sumki-i-ryukzaki/ryukzaki/ryukzak-carnaby-malinoviy-1381057/" , "13810.57 Рюкзак-мешок Carnaby, малиновый")</f>
      </c>
      <c r="C27733" s="4" t="n">
        <v>186.00</v>
      </c>
      <c r="D27733" s="4"/>
    </row>
    <row collapsed="" customFormat="false" customHeight="1" hidden="" ht="14" outlineLevel="0" r="27734">
      <c r="A27734" s="3" t="inlineStr">
        <is>
          <t>27611</t>
        </is>
      </c>
      <c r="B27734" s="4" t="s">
        <f>=HYPERLINK("http://anyluxury.ru/shop/sumki-i-ryukzaki/ryukzaki/ryukzak-carnaby-cherniy-1381030/" , "13810.30 Рюкзак-мешок Carnaby, черный")</f>
      </c>
      <c r="C27734" s="4" t="n">
        <v>186.00</v>
      </c>
      <c r="D27734" s="4"/>
    </row>
    <row collapsed="" customFormat="false" customHeight="1" hidden="" ht="14" outlineLevel="0" r="27735">
      <c r="A27735" s="3" t="inlineStr">
        <is>
          <t>27612</t>
        </is>
      </c>
      <c r="B27735" s="4" t="s">
        <f>=HYPERLINK("http://anyluxury.ru/shop/sumki-i-ryukzaki/ryukzaki/ryukzak-carnaby-beliy-1381060/" , "13810.60 Рюкзак-мешок Carnaby, белый")</f>
      </c>
      <c r="C27735" s="4" t="n">
        <v>186.00</v>
      </c>
      <c r="D27735" s="4"/>
    </row>
    <row collapsed="" customFormat="false" customHeight="1" hidden="" ht="14" outlineLevel="0" r="27736">
      <c r="A27736" s="3" t="inlineStr">
        <is>
          <t>27613</t>
        </is>
      </c>
      <c r="B27736" s="4" t="s">
        <f>=HYPERLINK("http://anyluxury.ru/shop/sumki-i-ryukzaki/ryukzaki/ryukzak-carnaby-zheltiy-1381080/" , "13810.80 Рюкзак-мешок Carnaby, желтый")</f>
      </c>
      <c r="C27736" s="4" t="n">
        <v>186.00</v>
      </c>
      <c r="D27736" s="4"/>
    </row>
    <row collapsed="" customFormat="false" customHeight="1" hidden="" ht="14" outlineLevel="0" r="27737">
      <c r="A27737" s="3" t="inlineStr">
        <is>
          <t>27614</t>
        </is>
      </c>
      <c r="B27737" s="4" t="s">
        <f>=HYPERLINK("http://anyluxury.ru/shop/sumki-i-ryukzaki/ryukzaki/ryukzak-carnaby-temnosiniy-1381040/" , "13810.40 Рюкзак-мешок Carnaby, темно-синий")</f>
      </c>
      <c r="C27737" s="4" t="n">
        <v>186.00</v>
      </c>
      <c r="D27737" s="4"/>
    </row>
    <row collapsed="" customFormat="false" customHeight="1" hidden="" ht="14" outlineLevel="0" r="27738">
      <c r="A27738" s="3" t="inlineStr">
        <is>
          <t>27615</t>
        </is>
      </c>
      <c r="B27738" s="4" t="s">
        <f>=HYPERLINK("http://anyluxury.ru/shop/sumki-i-ryukzaki/ryukzaki/ryukzak-carnaby-goluboy-1381014/" , "13810.14 Рюкзак-мешок Carnaby, голубой")</f>
      </c>
      <c r="C27738" s="4" t="n">
        <v>186.00</v>
      </c>
      <c r="D27738" s="4"/>
    </row>
    <row collapsed="" customFormat="false" customHeight="1" hidden="" ht="14" outlineLevel="0" r="27739">
      <c r="A27739" s="3" t="inlineStr">
        <is>
          <t>27616</t>
        </is>
      </c>
      <c r="B27739" s="4" t="s">
        <f>=HYPERLINK("http://anyluxury.ru/shop/sumki-i-ryukzaki/ryukzaki/ryukzak-dlya-noutbuka-slot-cherniy-1381230/" , "13812.30 Рюкзак для ноутбука Slot, черный")</f>
      </c>
      <c r="C27739" s="4" t="n">
        <v>2779.00</v>
      </c>
      <c r="D27739" s="4"/>
    </row>
    <row collapsed="" customFormat="false" customHeight="1" hidden="" ht="14" outlineLevel="0" r="27740">
      <c r="A27740" s="3" t="inlineStr">
        <is>
          <t>27617</t>
        </is>
      </c>
      <c r="B27740" s="4" t="s">
        <f>=HYPERLINK("http://anyluxury.ru/shop/sumki-i-ryukzaki/ryukzaki/ryukzak-dlya-noutbuka-slot-siniy-1381240/" , "13812.40 Рюкзак для ноутбука Slot, синий")</f>
      </c>
      <c r="C27740" s="4" t="n">
        <v>2779.00</v>
      </c>
      <c r="D27740" s="4"/>
    </row>
    <row collapsed="" customFormat="false" customHeight="1" hidden="" ht="14" outlineLevel="0" r="27741">
      <c r="A27741" s="3" t="inlineStr">
        <is>
          <t>27618</t>
        </is>
      </c>
      <c r="B27741" s="4" t="s">
        <f>=HYPERLINK("http://anyluxury.ru/shop/sumki-i-ryukzaki/ryukzaki/ryukzak-dlya-noutbuka-slot-krasniy-1381250/" , "13812.50 Рюкзак для ноутбука Slot, красный")</f>
      </c>
      <c r="C27741" s="4" t="n">
        <v>2779.00</v>
      </c>
      <c r="D27741" s="4"/>
    </row>
    <row collapsed="" customFormat="false" customHeight="1" hidden="" ht="14" outlineLevel="0" r="27742">
      <c r="A27742" s="3" t="inlineStr">
        <is>
          <t>27619</t>
        </is>
      </c>
      <c r="B27742" s="4" t="s">
        <f>=HYPERLINK("http://anyluxury.ru/shop/sumki-i-ryukzaki/ryukzaki/ryukzak-rider-yarkorozoviy-fuksiya-386457/" , "3864.57 Рюкзак Rider, ярко-розовый (фуксия)")</f>
      </c>
      <c r="C27742" s="4" t="n">
        <v>1194.00</v>
      </c>
      <c r="D27742" s="4"/>
    </row>
    <row collapsed="" customFormat="false" customHeight="1" hidden="" ht="14" outlineLevel="0" r="27743">
      <c r="A27743" s="3" t="inlineStr">
        <is>
          <t>27620</t>
        </is>
      </c>
      <c r="B27743" s="4" t="s">
        <f>=HYPERLINK("http://anyluxury.ru/shop/sumki-i-ryukzaki/ryukzaki/ryukzak-rider-bordo-386455/" , "3864.55 Рюкзак Rider, бордовый")</f>
      </c>
      <c r="C27743" s="4" t="n">
        <v>1194.00</v>
      </c>
      <c r="D27743" s="4"/>
    </row>
    <row collapsed="" customFormat="false" customHeight="1" hidden="" ht="14" outlineLevel="0" r="27744">
      <c r="A27744" s="3" t="inlineStr">
        <is>
          <t>27621</t>
        </is>
      </c>
      <c r="B27744" s="4" t="s">
        <f>=HYPERLINK("http://anyluxury.ru/shop/sumki-i-ryukzaki/ryukzaki/ryukzak-rider-zelenoe-yabloko-386494/" , "3864.94 Рюкзак Rider, зеленое яблоко")</f>
      </c>
      <c r="C27744" s="4" t="n">
        <v>1194.00</v>
      </c>
      <c r="D27744" s="4"/>
    </row>
    <row collapsed="" customFormat="false" customHeight="1" hidden="" ht="14" outlineLevel="0" r="27745">
      <c r="A27745" s="3" t="inlineStr">
        <is>
          <t>27622</t>
        </is>
      </c>
      <c r="B27745" s="4" t="s">
        <f>=HYPERLINK("http://anyluxury.ru/shop/sumki-i-ryukzaki/ryukzaki/ryukzak-rider-shokoladnokorichneviy-386459/" , "3864.59 Рюкзак Rider, шоколадно-коричневый")</f>
      </c>
      <c r="C27745" s="4" t="n">
        <v>1194.00</v>
      </c>
      <c r="D27745" s="4"/>
    </row>
    <row collapsed="" customFormat="false" customHeight="1" hidden="" ht="14" outlineLevel="0" r="27746">
      <c r="A27746" s="3" t="inlineStr">
        <is>
          <t>27623</t>
        </is>
      </c>
      <c r="B27746" s="4" t="s">
        <f>=HYPERLINK("http://anyluxury.ru/shop/sumki-i-ryukzaki/ryukzaki/ryukzak-rider-fioletoviy-386470/" , "3864.70 Рюкзак Rider, фиолетовый")</f>
      </c>
      <c r="C27746" s="4" t="n">
        <v>1194.00</v>
      </c>
      <c r="D27746" s="4"/>
    </row>
    <row collapsed="" customFormat="false" customHeight="1" hidden="" ht="14" outlineLevel="0" r="27747">
      <c r="A27747" s="3" t="inlineStr">
        <is>
          <t>27624</t>
        </is>
      </c>
      <c r="B27747" s="4" t="s">
        <f>=HYPERLINK("http://anyluxury.ru/shop/sumki-i-ryukzaki/ryukzaki/skladnoy-ryukzak-bagpack-zeleniy-1372590/" , "13725.90 Складной рюкзак Bagpack, зеленый")</f>
      </c>
      <c r="C27747" s="4" t="n">
        <v>1710.00</v>
      </c>
      <c r="D27747" s="4"/>
    </row>
    <row collapsed="" customFormat="false" customHeight="1" hidden="" ht="14" outlineLevel="0" r="27748">
      <c r="A27748" s="3" t="inlineStr">
        <is>
          <t>27625</t>
        </is>
      </c>
      <c r="B27748" s="4" t="s">
        <f>=HYPERLINK("http://anyluxury.ru/shop/sumki-i-ryukzaki/ryukzaki/skladnoy-ryukzak-bagpack-cherniy-1372530/" , "13725.30 Складной рюкзак Bagpack, черный")</f>
      </c>
      <c r="C27748" s="4" t="n">
        <v>1710.00</v>
      </c>
      <c r="D27748" s="4"/>
    </row>
    <row collapsed="" customFormat="false" customHeight="1" hidden="" ht="14" outlineLevel="0" r="27749">
      <c r="A27749" s="3" t="inlineStr">
        <is>
          <t>27626</t>
        </is>
      </c>
      <c r="B27749" s="4" t="s">
        <f>=HYPERLINK("http://anyluxury.ru/shop/sumki-i-ryukzaki/ryukzaki/sportivnaya-sumka-impact-iz-rpet-aware-p707141/" , "P707.141 Спортивная сумка Impact из RPET AWARE™")</f>
      </c>
      <c r="C27749" s="4" t="n">
        <v>4269.00</v>
      </c>
      <c r="D27749" s="4"/>
    </row>
    <row collapsed="" customFormat="false" customHeight="1" hidden="" ht="14" outlineLevel="0" r="27750">
      <c r="A27750" s="3" t="inlineStr">
        <is>
          <t>27627</t>
        </is>
      </c>
      <c r="B27750" s="4" t="s">
        <f>=HYPERLINK("http://anyluxury.ru/shop/sumki-i-ryukzaki/ryukzaki/sportivnaya-sumka-impact-iz-rpet-aware-p707145/" , "P707.145 Спортивная сумка Impact из RPET AWARE™")</f>
      </c>
      <c r="C27750" s="4" t="n">
        <v>4269.00</v>
      </c>
      <c r="D27750" s="4"/>
    </row>
    <row collapsed="" customFormat="false" customHeight="1" hidden="" ht="14" outlineLevel="0" r="27751">
      <c r="A27751" s="3" t="inlineStr">
        <is>
          <t>27628</t>
        </is>
      </c>
      <c r="B27751" s="4" t="s">
        <f>=HYPERLINK("http://anyluxury.ru/shop/sumki-i-ryukzaki/ryukzaki/sportivnaya-sumka-impact-iz-rpet-aware-p707142/" , "P707.142 Спортивная сумка Impact из RPET AWARE™")</f>
      </c>
      <c r="C27751" s="4" t="n">
        <v>4269.00</v>
      </c>
      <c r="D27751" s="4"/>
    </row>
    <row collapsed="" customFormat="false" customHeight="1" hidden="" ht="14" outlineLevel="0" r="27752">
      <c r="A27752" s="3" t="inlineStr">
        <is>
          <t>27629</t>
        </is>
      </c>
      <c r="B27752" s="4" t="s">
        <f>=HYPERLINK("http://anyluxury.ru/shop/sumki-i-ryukzaki/ryukzaki/sportivnaya-sumka-swiss-peak-iz-rpet-aware-p707151/" , "P707.151 Спортивная сумка Swiss Peak из RPET AWARE™")</f>
      </c>
      <c r="C27752" s="4" t="n">
        <v>7122.00</v>
      </c>
      <c r="D27752" s="4"/>
    </row>
    <row collapsed="" customFormat="false" customHeight="1" hidden="" ht="14" outlineLevel="0" r="27753">
      <c r="A27753" s="3" t="inlineStr">
        <is>
          <t>27630</t>
        </is>
      </c>
      <c r="B27753" s="4" t="s">
        <f>=HYPERLINK("http://anyluxury.ru/shop/sumki-i-ryukzaki/ryukzaki/ryukzak-so-svetootrazhayushhim-risunkom-hard-work-reflective-7136110/" , "71361.10 Рюкзак со светоотражающим паттерном Hard Work Reflective")</f>
      </c>
      <c r="C27753" s="4" t="n">
        <v>2485.00</v>
      </c>
      <c r="D27753" s="4"/>
    </row>
    <row collapsed="" customFormat="false" customHeight="1" hidden="" ht="14" outlineLevel="0" r="27754">
      <c r="A27754" s="3" t="inlineStr">
        <is>
          <t>27631</t>
        </is>
      </c>
      <c r="B27754" s="4" t="s">
        <f>=HYPERLINK("http://anyluxury.ru/shop/sumki-i-ryukzaki/ryukzaki/ryukzakmeshok-manifest-color-iz-svetootrazhayushhey-tkani-siniy-1342340/" , "13423.40 Рюкзак-мешок Manifest Color из светоотражающей ткани, синий")</f>
      </c>
      <c r="C27754" s="4" t="n">
        <v>739.00</v>
      </c>
      <c r="D27754" s="4"/>
    </row>
    <row collapsed="" customFormat="false" customHeight="1" hidden="" ht="14" outlineLevel="0" r="27755">
      <c r="A27755" s="3" t="inlineStr">
        <is>
          <t>27632</t>
        </is>
      </c>
      <c r="B27755" s="4" t="s">
        <f>=HYPERLINK("http://anyluxury.ru/shop/sumki-i-ryukzaki/ryukzaki/ryukzakmeshok-manifest-color-iz-svetootrazhayushhey-tkani-zheltiy-neon-1342389/" , "13423.89 Рюкзак-мешок Manifest Color из светоотражающей ткани, желтый неон")</f>
      </c>
      <c r="C27755" s="4" t="n">
        <v>738.00</v>
      </c>
      <c r="D27755" s="4"/>
    </row>
    <row collapsed="" customFormat="false" customHeight="1" hidden="" ht="14" outlineLevel="0" r="27756">
      <c r="A27756" s="3" t="inlineStr">
        <is>
          <t>27633</t>
        </is>
      </c>
      <c r="B27756" s="4" t="s">
        <f>=HYPERLINK("http://anyluxury.ru/shop/sumki-i-ryukzaki/ryukzaki/ryukzakmeshok-manifest-color-iz-svetootrazhayushhey-tkani-oranzheviy-1342320/" , "13423.20 Рюкзак-мешок Manifest Color из светоотражающей ткани, оранжевый")</f>
      </c>
      <c r="C27756" s="4" t="n">
        <v>739.00</v>
      </c>
      <c r="D27756" s="4"/>
    </row>
    <row collapsed="" customFormat="false" customHeight="1" hidden="" ht="14" outlineLevel="0" r="27757">
      <c r="A27757" s="3" t="inlineStr">
        <is>
          <t>27634</t>
        </is>
      </c>
      <c r="B27757" s="4" t="s">
        <f>=HYPERLINK("http://anyluxury.ru/shop/sumki-i-ryukzaki/ryukzaki/ryukzak-manifest-color-iz-svetootrazhayushhey-tkani-siniy-1342640/" , "13426.40 Рюкзак Manifest Color из светоотражающей ткани, синий")</f>
      </c>
      <c r="C27757" s="4" t="n">
        <v>1647.00</v>
      </c>
      <c r="D27757" s="4"/>
    </row>
    <row collapsed="" customFormat="false" customHeight="1" hidden="" ht="14" outlineLevel="0" r="27758">
      <c r="A27758" s="3" t="inlineStr">
        <is>
          <t>27635</t>
        </is>
      </c>
      <c r="B27758" s="4" t="s">
        <f>=HYPERLINK("http://anyluxury.ru/shop/sumki-i-ryukzaki/ryukzaki/ryukzak-manifest-color-iz-svetootrazhayushhey-tkani-zheltiy-neon-1342689/" , "13426.89 Рюкзак Manifest Color из светоотражающей ткани, желтый неон")</f>
      </c>
      <c r="C27758" s="4" t="n">
        <v>1647.00</v>
      </c>
      <c r="D27758" s="4"/>
    </row>
    <row collapsed="" customFormat="false" customHeight="1" hidden="" ht="14" outlineLevel="0" r="27759">
      <c r="A27759" s="3" t="inlineStr">
        <is>
          <t>27636</t>
        </is>
      </c>
      <c r="B27759" s="4" t="s">
        <f>=HYPERLINK("http://anyluxury.ru/shop/sumki-i-ryukzaki/ryukzaki/ryukzak-manifest-color-iz-svetootrazhayushhey-tkani-oranzheviy-1342620/" , "13426.20 Рюкзак Manifest Color из светоотражающей ткани, оранжевый")</f>
      </c>
      <c r="C27759" s="4" t="n">
        <v>1647.00</v>
      </c>
      <c r="D27759" s="4"/>
    </row>
    <row collapsed="" customFormat="false" customHeight="1" hidden="" ht="14" outlineLevel="0" r="27760">
      <c r="A27760" s="3" t="inlineStr">
        <is>
          <t>27637</t>
        </is>
      </c>
      <c r="B27760" s="4" t="s">
        <f>=HYPERLINK("http://anyluxury.ru/shop/sumki-i-ryukzaki/ryukzaki/ryukzak-patch-catcher-cherniy-1342230/" , "13422.30 Рюкзак Patch Catcher с карманом из липучки, черный")</f>
      </c>
      <c r="C27760" s="4" t="n">
        <v>1389.00</v>
      </c>
      <c r="D27760" s="4"/>
    </row>
    <row collapsed="" customFormat="false" customHeight="1" hidden="" ht="14" outlineLevel="0" r="27761">
      <c r="A27761" s="3" t="inlineStr">
        <is>
          <t>27638</t>
        </is>
      </c>
      <c r="B27761" s="4" t="s">
        <f>=HYPERLINK("http://anyluxury.ru/shop/sumki-i-ryukzaki/ryukzaki/ryukzakmeshok-hard-work-7139310/" , "71393.10 Рюкзак-мешок Hard Work")</f>
      </c>
      <c r="C27761" s="4" t="n">
        <v>390.00</v>
      </c>
      <c r="D27761" s="4"/>
    </row>
    <row collapsed="" customFormat="false" customHeight="1" hidden="" ht="14" outlineLevel="0" r="27762">
      <c r="A27762" s="3" t="inlineStr">
        <is>
          <t>27639</t>
        </is>
      </c>
      <c r="B27762" s="4" t="s">
        <f>=HYPERLINK("http://anyluxury.ru/shop/sumki-i-ryukzaki/ryukzaki/ryukzak-dlya-noutbuka-network-4-s-cherniy-ki309003/" , "KI3-09003 Рюкзак для ноутбука Network 4 S, черный")</f>
      </c>
      <c r="C27762" s="4" t="n">
        <v>6300.00</v>
      </c>
      <c r="D27762" s="4"/>
    </row>
    <row collapsed="" customFormat="false" customHeight="1" hidden="" ht="14" outlineLevel="0" r="27763">
      <c r="A27763" s="3" t="inlineStr">
        <is>
          <t>27640</t>
        </is>
      </c>
      <c r="B27763" s="4" t="s">
        <f>=HYPERLINK("http://anyluxury.ru/shop/sumki-i-ryukzaki/ryukzaki/ryukzak-dlya-noutbuka-network-4-m-siniy-ki301004/" , "KI3-01004 Рюкзак для ноутбука Network 4 M, синий")</f>
      </c>
      <c r="C27763" s="4" t="n">
        <v>6950.00</v>
      </c>
      <c r="D27763" s="4"/>
    </row>
    <row collapsed="" customFormat="false" customHeight="1" hidden="" ht="14" outlineLevel="0" r="27764">
      <c r="A27764" s="3" t="inlineStr">
        <is>
          <t>27641</t>
        </is>
      </c>
      <c r="B27764" s="4" t="s">
        <f>=HYPERLINK("http://anyluxury.ru/shop/sumki-i-ryukzaki/ryukzaki/ryukzak-dlya-noutbuka-network-4-m-cherniy-ki309004/" , "KI3-09004 Рюкзак для ноутбука Network 4 M, черный")</f>
      </c>
      <c r="C27764" s="4" t="n">
        <v>6950.00</v>
      </c>
      <c r="D27764" s="4"/>
    </row>
    <row collapsed="" customFormat="false" customHeight="1" hidden="" ht="14" outlineLevel="0" r="27765">
      <c r="A27765" s="3" t="inlineStr">
        <is>
          <t>27642</t>
        </is>
      </c>
      <c r="B27765" s="4" t="s">
        <f>=HYPERLINK("http://anyluxury.ru/shop/sumki-i-ryukzaki/ryukzaki/ryukzak-dlya-noutbuka-network-4-l-siniy-ki301005/" , "KI3-01005 Рюкзак для ноутбука Network 4 L, синий")</f>
      </c>
      <c r="C27765" s="4" t="n">
        <v>7450.00</v>
      </c>
      <c r="D27765" s="4"/>
    </row>
    <row collapsed="" customFormat="false" customHeight="1" hidden="" ht="14" outlineLevel="0" r="27766">
      <c r="A27766" s="3" t="inlineStr">
        <is>
          <t>27643</t>
        </is>
      </c>
      <c r="B27766" s="4" t="s">
        <f>=HYPERLINK("http://anyluxury.ru/shop/sumki-i-ryukzaki/ryukzaki/ryukzak-dlya-noutbuka-litepoint-s-cherniy-kf209003/" , "KF2-09003 Рюкзак для ноутбука Litepoint S, черный")</f>
      </c>
      <c r="C27766" s="4" t="n">
        <v>9600.00</v>
      </c>
      <c r="D27766" s="4"/>
    </row>
    <row collapsed="" customFormat="false" customHeight="1" hidden="" ht="14" outlineLevel="0" r="27767">
      <c r="A27767" s="3" t="inlineStr">
        <is>
          <t>27644</t>
        </is>
      </c>
      <c r="B27767" s="4" t="s">
        <f>=HYPERLINK("http://anyluxury.ru/shop/sumki-i-ryukzaki/ryukzaki/ryukzak-dlya-noutbuka-litepoint-s-temnosiniy-kf211003/" , "KF2-11003 Рюкзак для ноутбука Litepoint S, темно-синий")</f>
      </c>
      <c r="C27767" s="4" t="n">
        <v>9600.00</v>
      </c>
      <c r="D27767" s="4"/>
    </row>
    <row collapsed="" customFormat="false" customHeight="1" hidden="" ht="14" outlineLevel="0" r="27768">
      <c r="A27768" s="3" t="inlineStr">
        <is>
          <t>27645</t>
        </is>
      </c>
      <c r="B27768" s="4" t="s">
        <f>=HYPERLINK("http://anyluxury.ru/shop/sumki-i-ryukzaki/ryukzaki/ryukzak-dlya-noutbuka-litepoint-m-seriy-kf208004/" , "KF2-08004 Рюкзак для ноутбука Litepoint M, серый")</f>
      </c>
      <c r="C27768" s="4" t="n">
        <v>9990.00</v>
      </c>
      <c r="D27768" s="4"/>
    </row>
    <row collapsed="" customFormat="false" customHeight="1" hidden="" ht="14" outlineLevel="0" r="27769">
      <c r="A27769" s="3" t="inlineStr">
        <is>
          <t>27646</t>
        </is>
      </c>
      <c r="B27769" s="4" t="s">
        <f>=HYPERLINK("http://anyluxury.ru/shop/sumki-i-ryukzaki/ryukzaki/ryukzak-dlya-noutbuka-litepoint-m-cherniy-kf209004/" , "KF2-09004 Рюкзак для ноутбука Litepoint M, черный")</f>
      </c>
      <c r="C27769" s="4" t="n">
        <v>9990.00</v>
      </c>
      <c r="D27769" s="4"/>
    </row>
    <row collapsed="" customFormat="false" customHeight="1" hidden="" ht="14" outlineLevel="0" r="27770">
      <c r="A27770" s="3" t="inlineStr">
        <is>
          <t>27647</t>
        </is>
      </c>
      <c r="B27770" s="4" t="s">
        <f>=HYPERLINK("http://anyluxury.ru/shop/sumki-i-ryukzaki/ryukzaki/ryukzak-dlya-noutbuka-litepoint-m-temnosiniy-kf211004/" , "KF2-11004 Рюкзак для ноутбука Litepoint M, темно-синий")</f>
      </c>
      <c r="C27770" s="4" t="n">
        <v>9990.00</v>
      </c>
      <c r="D27770" s="4"/>
    </row>
    <row collapsed="" customFormat="false" customHeight="1" hidden="" ht="14" outlineLevel="0" r="27771">
      <c r="A27771" s="3" t="inlineStr">
        <is>
          <t>27648</t>
        </is>
      </c>
      <c r="B27771" s="4" t="s">
        <f>=HYPERLINK("http://anyluxury.ru/shop/sumki-i-ryukzaki/ryukzaki/ryukzak-dlya-noutbuka-litepoint-m-seriy-s-krasnim-kf258004/" , "KF2-58004 Рюкзак для ноутбука Litepoint M, серый с красным")</f>
      </c>
      <c r="C27771" s="4" t="n">
        <v>9990.00</v>
      </c>
      <c r="D27771" s="4"/>
    </row>
    <row collapsed="" customFormat="false" customHeight="1" hidden="" ht="14" outlineLevel="0" r="27772">
      <c r="A27772" s="3" t="inlineStr">
        <is>
          <t>27649</t>
        </is>
      </c>
      <c r="B27772" s="4" t="s">
        <f>=HYPERLINK("http://anyluxury.ru/shop/sumki-i-ryukzaki/ryukzaki/ryukzak-doodles-7149180/" , "71491.80 Рюкзак Doodles")</f>
      </c>
      <c r="C27772" s="4" t="n">
        <v>991.00</v>
      </c>
      <c r="D27772" s="4"/>
    </row>
    <row collapsed="" customFormat="false" customHeight="1" hidden="" ht="14" outlineLevel="0" r="27773">
      <c r="A27773" s="3" t="inlineStr">
        <is>
          <t>27650</t>
        </is>
      </c>
      <c r="B27773" s="4" t="s">
        <f>=HYPERLINK("http://anyluxury.ru/shop/sumki-i-ryukzaki/ryukzaki/ryukzak-polka-dot-7149430/" , "71494.30 Рюкзак Polka Dot")</f>
      </c>
      <c r="C27773" s="4" t="n">
        <v>890.00</v>
      </c>
      <c r="D27773" s="4"/>
    </row>
    <row collapsed="" customFormat="false" customHeight="1" hidden="" ht="14" outlineLevel="0" r="27774">
      <c r="A27774" s="3" t="inlineStr">
        <is>
          <t>27651</t>
        </is>
      </c>
      <c r="B27774" s="4" t="s">
        <f>=HYPERLINK("http://anyluxury.ru/shop/sumki-i-ryukzaki/ryukzaki/dorozhnaya-sumka-impact-urban-iz-rpet-aware-p707095/" , "P707.095 Дорожная сумка Impact Urban из RPET AWARE™")</f>
      </c>
      <c r="C27774" s="4" t="n">
        <v>5331.00</v>
      </c>
      <c r="D27774" s="4"/>
    </row>
    <row collapsed="" customFormat="false" customHeight="1" hidden="" ht="14" outlineLevel="0" r="27775">
      <c r="A27775" s="3" t="inlineStr">
        <is>
          <t>27652</t>
        </is>
      </c>
      <c r="B27775" s="4" t="s">
        <f>=HYPERLINK("http://anyluxury.ru/shop/sumki-i-ryukzaki/ryukzaki/dorozhnaya-sumka-impact-urban-iz-rpet-aware-p707091/" , "P707.091 Дорожная сумка Impact Urban из RPET AWARE™")</f>
      </c>
      <c r="C27775" s="4" t="n">
        <v>5331.00</v>
      </c>
      <c r="D27775" s="4"/>
    </row>
    <row collapsed="" customFormat="false" customHeight="1" hidden="" ht="14" outlineLevel="0" r="27776">
      <c r="A27776" s="3" t="inlineStr">
        <is>
          <t>27653</t>
        </is>
      </c>
      <c r="B27776" s="4" t="s">
        <f>=HYPERLINK("http://anyluxury.ru/shop/sumki-i-ryukzaki/ryukzaki/dorozhnaya-sumka-impact-urban-iz-rpet-aware-p707097/" , "P707.097 Дорожная сумка Impact Urban из RPET AWARE™")</f>
      </c>
      <c r="C27776" s="4" t="n">
        <v>5331.00</v>
      </c>
      <c r="D27776" s="4"/>
    </row>
    <row collapsed="" customFormat="false" customHeight="1" hidden="" ht="14" outlineLevel="0" r="27777">
      <c r="A27777" s="3" t="inlineStr">
        <is>
          <t>27654</t>
        </is>
      </c>
      <c r="B27777" s="4" t="s">
        <f>=HYPERLINK("http://anyluxury.ru/shop/sumki-i-ryukzaki/ryukzaki/dorozhnaya-sumka-impact-urban-iz-rpet-aware-p707092/" , "P707.092 Дорожная сумка Impact Urban из RPET AWARE™")</f>
      </c>
      <c r="C27777" s="4" t="n">
        <v>5331.00</v>
      </c>
      <c r="D27777" s="4"/>
    </row>
    <row collapsed="" customFormat="false" customHeight="1" hidden="" ht="14" outlineLevel="0" r="27778">
      <c r="A27778" s="3" t="inlineStr">
        <is>
          <t>27655</t>
        </is>
      </c>
      <c r="B27778" s="4" t="s">
        <f>=HYPERLINK("http://anyluxury.ru/shop/sumki-i-ryukzaki/ryukzaki/vodonepronicaemiy-ryukzak-impact-iz-rpet-aware-dlya-noutbuka-156-p762905/" , "P762.905 Водонепроницаемый рюкзак Impact из RPET AWARE™ для ноутбука 15,6'")</f>
      </c>
      <c r="C27778" s="4" t="n">
        <v>10675.00</v>
      </c>
      <c r="D27778" s="4"/>
    </row>
    <row collapsed="" customFormat="false" customHeight="1" hidden="" ht="14" outlineLevel="0" r="27779">
      <c r="A27779" s="3" t="inlineStr">
        <is>
          <t>27656</t>
        </is>
      </c>
      <c r="B27779" s="4" t="s">
        <f>=HYPERLINK("http://anyluxury.ru/shop/sumki-i-ryukzaki/ryukzaki/vodonepronicaemiy-ryukzak-impact-iz-rpet-aware-dlya-noutbuka-156-p762902/" , "P762.902 Водонепроницаемый рюкзак Impact из RPET AWARE™ для ноутбука 15,6'")</f>
      </c>
      <c r="C27779" s="4" t="n">
        <v>10675.00</v>
      </c>
      <c r="D27779" s="4"/>
    </row>
    <row collapsed="" customFormat="false" customHeight="1" hidden="" ht="14" outlineLevel="0" r="27780">
      <c r="A27780" s="3" t="inlineStr">
        <is>
          <t>27657</t>
        </is>
      </c>
      <c r="B27780" s="4" t="s">
        <f>=HYPERLINK("http://anyluxury.ru/shop/sumki-i-ryukzaki/ryukzaki/vodonepronicaemiy-ryukzak-impact-iz-rpet-aware-dlya-noutbuka-156-p762901/" , "P762.901 Водонепроницаемый рюкзак Impact из RPET AWARE™ для ноутбука 15,6'")</f>
      </c>
      <c r="C27780" s="4" t="n">
        <v>10675.00</v>
      </c>
      <c r="D27780" s="4"/>
    </row>
    <row collapsed="" customFormat="false" customHeight="1" hidden="" ht="14" outlineLevel="0" r="27781">
      <c r="A27781" s="3" t="inlineStr">
        <is>
          <t>27658</t>
        </is>
      </c>
      <c r="B27781" s="4" t="s">
        <f>=HYPERLINK("http://anyluxury.ru/shop/sumki-i-ryukzaki/ryukzaki/ryukzak-photon-s-vodoottalkivayushhim-pokritiem-goluboy-1072040/" , "10720.40 Рюкзак Photon с водоотталкивающим покрытием, голубой")</f>
      </c>
      <c r="C27781" s="4" t="n">
        <v>5560.00</v>
      </c>
      <c r="D27781" s="4"/>
    </row>
    <row collapsed="" customFormat="false" customHeight="1" hidden="" ht="14" outlineLevel="0" r="27782">
      <c r="A27782" s="3" t="inlineStr">
        <is>
          <t>27659</t>
        </is>
      </c>
      <c r="B27782" s="4" t="s">
        <f>=HYPERLINK("http://anyluxury.ru/shop/sumki-i-ryukzaki/ryukzaki/ryukzak-reload-cherniy-1402530/" , "14025.30 Рюкзак Reload, черный")</f>
      </c>
      <c r="C27782" s="4" t="n">
        <v>11000.00</v>
      </c>
      <c r="D27782" s="4"/>
    </row>
    <row collapsed="" customFormat="false" customHeight="1" hidden="" ht="14" outlineLevel="0" r="27783">
      <c r="A27783" s="3" t="inlineStr">
        <is>
          <t>27660</t>
        </is>
      </c>
      <c r="B27783" s="4" t="s">
        <f>=HYPERLINK("http://anyluxury.ru/shop/sumki-i-ryukzaki/ryukzaki/ryukzak-photon-s-vodoottalkivayushhim-pokritiem-oranzheviy-1072020/" , "10720.20 Рюкзак Photon с водоотталкивающим покрытием, оранжевый")</f>
      </c>
      <c r="C27783" s="4" t="n">
        <v>5560.00</v>
      </c>
      <c r="D27783" s="4"/>
    </row>
    <row collapsed="" customFormat="false" customHeight="1" hidden="" ht="14" outlineLevel="0" r="27784">
      <c r="A27784" s="3" t="inlineStr">
        <is>
          <t>27661</t>
        </is>
      </c>
      <c r="B27784" s="4" t="s">
        <f>=HYPERLINK("http://anyluxury.ru/shop/sumki-i-ryukzaki/ryukzaki/ryukzak-photon-s-vodoottalkivayushhim-pokritiem-goluboy-s-serim-1072041/" , "10720.41 Рюкзак Photon с водоотталкивающим покрытием, голубой с серым")</f>
      </c>
      <c r="C27784" s="4" t="n">
        <v>6300.00</v>
      </c>
      <c r="D27784" s="4"/>
    </row>
    <row collapsed="" customFormat="false" customHeight="1" hidden="" ht="14" outlineLevel="0" r="27785">
      <c r="A27785" s="3" t="inlineStr">
        <is>
          <t>27662</t>
        </is>
      </c>
      <c r="B27785" s="4" t="s">
        <f>=HYPERLINK("http://anyluxury.ru/shop/sumki-i-ryukzaki/ryukzaki/ryukzak-cohort-krasniy-s-sinim-1402654/" , "14026.54 Рюкзак Cohort, красный с синим")</f>
      </c>
      <c r="C27785" s="4" t="n">
        <v>5990.00</v>
      </c>
      <c r="D27785" s="4"/>
    </row>
    <row collapsed="" customFormat="false" customHeight="1" hidden="" ht="14" outlineLevel="0" r="27786">
      <c r="A27786" s="3" t="inlineStr">
        <is>
          <t>27663</t>
        </is>
      </c>
      <c r="B27786" s="4" t="s">
        <f>=HYPERLINK("http://anyluxury.ru/shop/sumki-i-ryukzaki/ryukzaki/ryukzak-na-odno-plecho-wenger-cherniy-1402830/" , "14028.30 Рюкзак на одно плечо Wenger, черный")</f>
      </c>
      <c r="C27786" s="4" t="n">
        <v>4990.00</v>
      </c>
      <c r="D27786" s="4"/>
    </row>
    <row collapsed="" customFormat="false" customHeight="1" hidden="" ht="14" outlineLevel="0" r="27787">
      <c r="A27787" s="3" t="inlineStr">
        <is>
          <t>27664</t>
        </is>
      </c>
      <c r="B27787" s="4" t="s">
        <f>=HYPERLINK("http://anyluxury.ru/shop/sumki-i-ryukzaki/ryukzaki/ryukzak-leamarie-krasniy-1402950/" , "14029.50 Рюкзак LeaMarie, красный")</f>
      </c>
      <c r="C27787" s="4" t="n">
        <v>9030.00</v>
      </c>
      <c r="D27787" s="4"/>
    </row>
    <row collapsed="" customFormat="false" customHeight="1" hidden="" ht="14" outlineLevel="0" r="27788">
      <c r="A27788" s="3" t="inlineStr">
        <is>
          <t>27665</t>
        </is>
      </c>
      <c r="B27788" s="4" t="s">
        <f>=HYPERLINK("http://anyluxury.ru/shop/sumki-i-ryukzaki/ryukzaki/ryukzak-ero-pro-cherniy-s-serim-1403131/" , "14031.31 Рюкзак Ero Pro, черный с серым")</f>
      </c>
      <c r="C27788" s="4" t="n">
        <v>7930.00</v>
      </c>
      <c r="D27788" s="4"/>
    </row>
    <row collapsed="" customFormat="false" customHeight="1" hidden="" ht="14" outlineLevel="0" r="27789">
      <c r="A27789" s="3" t="inlineStr">
        <is>
          <t>27666</t>
        </is>
      </c>
      <c r="B27789" s="4" t="s">
        <f>=HYPERLINK("http://anyluxury.ru/shop/sumki-i-ryukzaki/ryukzaki/ryukzak-cobalt-cherniy-s-serim-1403831/" , "14038.31 Рюкзак Cobalt, черный с серым")</f>
      </c>
      <c r="C27789" s="4" t="n">
        <v>9690.00</v>
      </c>
      <c r="D27789" s="4"/>
    </row>
    <row collapsed="" customFormat="false" customHeight="1" hidden="" ht="14" outlineLevel="0" r="27790">
      <c r="A27790" s="3" t="inlineStr">
        <is>
          <t>27667</t>
        </is>
      </c>
      <c r="B27790" s="4" t="s">
        <f>=HYPERLINK("http://anyluxury.ru/shop/sumki-i-ryukzaki/ryukzaki/ryukzak-wavelength-seriy-1403910/" , "14039.10 Рюкзак WaveLength, серый")</f>
      </c>
      <c r="C27790" s="4" t="n">
        <v>5780.00</v>
      </c>
      <c r="D27790" s="4"/>
    </row>
    <row collapsed="" customFormat="false" customHeight="1" hidden="" ht="14" outlineLevel="0" r="27791">
      <c r="A27791" s="3" t="inlineStr">
        <is>
          <t>27668</t>
        </is>
      </c>
      <c r="B27791" s="4" t="s">
        <f>=HYPERLINK("http://anyluxury.ru/shop/sumki-i-ryukzaki/ryukzaki/ryukzak-collegiate-quadma-bordoviy-1404055/" , "14040.55 Рюкзак Collegiate Quadma, бордовый")</f>
      </c>
      <c r="C27791" s="4" t="n">
        <v>5340.00</v>
      </c>
      <c r="D27791" s="4"/>
    </row>
    <row collapsed="" customFormat="false" customHeight="1" hidden="" ht="14" outlineLevel="0" r="27792">
      <c r="A27792" s="3" t="inlineStr">
        <is>
          <t>27669</t>
        </is>
      </c>
      <c r="B27792" s="4" t="s">
        <f>=HYPERLINK("http://anyluxury.ru/shop/sumki-i-ryukzaki/ryukzaki/ryukzak-collegiate-quadma-seriy-1404010/" , "14040.10 Рюкзак Collegiate Quadma, серый")</f>
      </c>
      <c r="C27792" s="4" t="n">
        <v>6020.00</v>
      </c>
      <c r="D27792" s="4"/>
    </row>
    <row collapsed="" customFormat="false" customHeight="1" hidden="" ht="14" outlineLevel="0" r="27793">
      <c r="A27793" s="3" t="inlineStr">
        <is>
          <t>27670</t>
        </is>
      </c>
      <c r="B27793" s="4" t="s">
        <f>=HYPERLINK("http://anyluxury.ru/shop/sumki-i-ryukzaki/ryukzaki/ryukzak-sun-cherniy-1404130/" , "14041.30 Рюкзак Sun, черный")</f>
      </c>
      <c r="C27793" s="4" t="n">
        <v>9300.00</v>
      </c>
      <c r="D27793" s="4"/>
    </row>
    <row collapsed="" customFormat="false" customHeight="1" hidden="" ht="14" outlineLevel="0" r="27794">
      <c r="A27794" s="3" t="inlineStr">
        <is>
          <t>27671</t>
        </is>
      </c>
      <c r="B27794" s="4" t="s">
        <f>=HYPERLINK("http://anyluxury.ru/shop/sumki-i-ryukzaki/ryukzaki/ryukzak-urban-contemporary-seriy-1404310/" , "14043.10 Рюкзак Urban Contemporary, серый")</f>
      </c>
      <c r="C27794" s="4" t="n">
        <v>8420.00</v>
      </c>
      <c r="D27794" s="4"/>
    </row>
    <row collapsed="" customFormat="false" customHeight="1" hidden="" ht="14" outlineLevel="0" r="27795">
      <c r="A27795" s="3" t="inlineStr">
        <is>
          <t>27672</t>
        </is>
      </c>
      <c r="B27795" s="4" t="s">
        <f>=HYPERLINK("http://anyluxury.ru/shop/sumki-i-ryukzaki/ryukzaki/ryukzak-leamarie-cherniy-1402930/" , "14029.30 Рюкзак LeaMarie, черный")</f>
      </c>
      <c r="C27795" s="4" t="n">
        <v>9030.00</v>
      </c>
      <c r="D27795" s="4"/>
    </row>
    <row collapsed="" customFormat="false" customHeight="1" hidden="" ht="14" outlineLevel="0" r="27796">
      <c r="A27796" s="3" t="inlineStr">
        <is>
          <t>27673</t>
        </is>
      </c>
      <c r="B27796" s="4" t="s">
        <f>=HYPERLINK("http://anyluxury.ru/shop/sumki-i-ryukzaki/ryukzaki/ryukzak-airrunner-seriy-1406510/" , "14065.10 Рюкзак AirRunner, серый")</f>
      </c>
      <c r="C27796" s="4" t="n">
        <v>7850.00</v>
      </c>
      <c r="D27796" s="4"/>
    </row>
    <row collapsed="" customFormat="false" customHeight="1" hidden="" ht="14" outlineLevel="0" r="27797">
      <c r="A27797" s="3" t="inlineStr">
        <is>
          <t>27674</t>
        </is>
      </c>
      <c r="B27797" s="4" t="s">
        <f>=HYPERLINK("http://anyluxury.ru/shop/sumki-i-ryukzaki/ryukzaki/ryukzak-fuse-cherniy-1406630/" , "14066.30 Рюкзак Fuse, черный")</f>
      </c>
      <c r="C27797" s="4" t="n">
        <v>9480.00</v>
      </c>
      <c r="D27797" s="4"/>
    </row>
    <row collapsed="" customFormat="false" customHeight="1" hidden="" ht="14" outlineLevel="0" r="27798">
      <c r="A27798" s="3" t="inlineStr">
        <is>
          <t>27675</t>
        </is>
      </c>
      <c r="B27798" s="4" t="s">
        <f>=HYPERLINK("http://anyluxury.ru/shop/sumki-i-ryukzaki/ryukzaki/ryukzak-swissgear-cherniy-1406830/" , "14068.30 Рюкзак Swissgear, черный")</f>
      </c>
      <c r="C27798" s="4" t="n">
        <v>3830.00</v>
      </c>
      <c r="D27798" s="4"/>
    </row>
    <row collapsed="" customFormat="false" customHeight="1" hidden="" ht="14" outlineLevel="0" r="27799">
      <c r="A27799" s="3" t="inlineStr">
        <is>
          <t>27676</t>
        </is>
      </c>
      <c r="B27799" s="4" t="s">
        <f>=HYPERLINK("http://anyluxury.ru/shop/sumki-i-ryukzaki/ryukzaki/ryukzak-gorodskoy-swissgear-cherniy-s-golubim-1407234/" , "14072.34 Рюкзак городской Swissgear, черный с голубым")</f>
      </c>
      <c r="C27799" s="4" t="n">
        <v>2760.00</v>
      </c>
      <c r="D27799" s="4"/>
    </row>
    <row collapsed="" customFormat="false" customHeight="1" hidden="" ht="14" outlineLevel="0" r="27800">
      <c r="A27800" s="3" t="inlineStr">
        <is>
          <t>27677</t>
        </is>
      </c>
      <c r="B27800" s="4" t="s">
        <f>=HYPERLINK("http://anyluxury.ru/shop/sumki-i-ryukzaki/ryukzaki/ryukzak-dlya-noutbuka-the-first-xl-seriy-1364710/" , "13647.10 Рюкзак для ноутбука The First XL, серый")</f>
      </c>
      <c r="C27800" s="4" t="n">
        <v>3991.00</v>
      </c>
      <c r="D27800" s="4"/>
    </row>
    <row collapsed="" customFormat="false" customHeight="1" hidden="" ht="14" outlineLevel="0" r="27801">
      <c r="A27801" s="3" t="inlineStr">
        <is>
          <t>27678</t>
        </is>
      </c>
      <c r="B27801" s="4" t="s">
        <f>=HYPERLINK("http://anyluxury.ru/shop/sumki-i-ryukzaki/ryukzaki/ryukzak-triangel-seriy-1241510/" , "12415.10 Рюкзак Triangel, серый")</f>
      </c>
      <c r="C27801" s="4" t="n">
        <v>2188.00</v>
      </c>
      <c r="D27801" s="4"/>
    </row>
    <row collapsed="" customFormat="false" customHeight="1" hidden="" ht="14" outlineLevel="0" r="27802">
      <c r="A27802" s="3" t="inlineStr">
        <is>
          <t>27679</t>
        </is>
      </c>
      <c r="B27802" s="4" t="s">
        <f>=HYPERLINK("http://anyluxury.ru/shop/sumki-i-ryukzaki/ryukzaki/ryukzak-easy-temnosiniy-1380640/" , "13806.40 Рюкзак Easy, темно-синий")</f>
      </c>
      <c r="C27802" s="4" t="n">
        <v>999.00</v>
      </c>
      <c r="D27802" s="4"/>
    </row>
    <row collapsed="" customFormat="false" customHeight="1" hidden="" ht="14" outlineLevel="0" r="27803">
      <c r="A27803" s="3" t="inlineStr">
        <is>
          <t>27680</t>
        </is>
      </c>
      <c r="B27803" s="4" t="s">
        <f>=HYPERLINK("http://anyluxury.ru/shop/sumki-i-ryukzaki/ryukzaki/ryukzak-easy-cherniy-1380630/" , "13806.30 Рюкзак Easy, черный")</f>
      </c>
      <c r="C27803" s="4" t="n">
        <v>999.00</v>
      </c>
      <c r="D27803" s="4"/>
    </row>
    <row collapsed="" customFormat="false" customHeight="1" hidden="" ht="14" outlineLevel="0" r="27804">
      <c r="A27804" s="3" t="inlineStr">
        <is>
          <t>27681</t>
        </is>
      </c>
      <c r="B27804" s="4" t="s">
        <f>=HYPERLINK("http://anyluxury.ru/shop/sumki-i-ryukzaki/ryukzaki/ryukzak-na-odno-plecho-city-sling-bag-zeleniy-1470890/" , "14708.90 Рюкзак на одно плечо City Sling Bag, зеленый")</f>
      </c>
      <c r="C27804" s="4" t="n">
        <v>2590.00</v>
      </c>
      <c r="D27804" s="4"/>
    </row>
    <row collapsed="" customFormat="false" customHeight="1" hidden="" ht="14" outlineLevel="0" r="27805">
      <c r="A27805" s="3" t="inlineStr">
        <is>
          <t>27682</t>
        </is>
      </c>
      <c r="B27805" s="4" t="s">
        <f>=HYPERLINK("http://anyluxury.ru/shop/sumki-i-ryukzaki/ryukzaki/ryukzak-na-odno-plecho-city-sling-bag-cherniy-1470830/" , "14708.30 Рюкзак на одно плечо City Sling Bag, черный")</f>
      </c>
      <c r="C27805" s="4" t="n">
        <v>2590.00</v>
      </c>
      <c r="D27805" s="4"/>
    </row>
    <row collapsed="" customFormat="false" customHeight="1" hidden="" ht="14" outlineLevel="0" r="27806">
      <c r="A27806" s="3" t="inlineStr">
        <is>
          <t>27683</t>
        </is>
      </c>
      <c r="B27806" s="4" t="s">
        <f>=HYPERLINK("http://anyluxury.ru/shop/sumki-i-ryukzaki/ryukzaki/ryukzak-light-business-commuting-temnoseriy-1471031/" , "14710.31 Рюкзак Light Business Commuting, темно-серый")</f>
      </c>
      <c r="C27806" s="4" t="n">
        <v>1990.00</v>
      </c>
      <c r="D27806" s="4"/>
    </row>
    <row collapsed="" customFormat="false" customHeight="1" hidden="" ht="14" outlineLevel="0" r="27807">
      <c r="A27807" s="3" t="inlineStr">
        <is>
          <t>27684</t>
        </is>
      </c>
      <c r="B27807" s="4" t="s">
        <f>=HYPERLINK("http://anyluxury.ru/shop/sumki-i-ryukzaki/ryukzaki/ryukzak-business-multifunctional-2-v-1-cherniy-1471330/" , "14713.30 Рюкзак Business Multifunctional 2 в 1, черный")</f>
      </c>
      <c r="C27807" s="4" t="n">
        <v>9490.00</v>
      </c>
      <c r="D27807" s="4"/>
    </row>
    <row collapsed="" customFormat="false" customHeight="1" hidden="" ht="14" outlineLevel="0" r="27808">
      <c r="A27808" s="3" t="inlineStr">
        <is>
          <t>27685</t>
        </is>
      </c>
      <c r="B27808" s="4" t="s">
        <f>=HYPERLINK("http://anyluxury.ru/shop/sumki-i-ryukzaki/ryukzaki/ryukzak-business-multifunctional-2-v-1-zeleniy-1471390/" , "14713.90 Рюкзак Business Multifunctional 2 в 1, зеленый")</f>
      </c>
      <c r="C27808" s="4" t="n">
        <v>9490.00</v>
      </c>
      <c r="D27808" s="4"/>
    </row>
    <row collapsed="" customFormat="false" customHeight="1" hidden="" ht="14" outlineLevel="0" r="27809">
      <c r="A27809" s="3" t="inlineStr">
        <is>
          <t>27686</t>
        </is>
      </c>
      <c r="B27809" s="4" t="s">
        <f>=HYPERLINK("http://anyluxury.ru/shop/sumki-i-ryukzaki/ryukzaki/ryukzak-business-multifunctional-2-v-1-beliy-1471360/" , "14713.60 Рюкзак Business Multifunctional 2 в 1, белый")</f>
      </c>
      <c r="C27809" s="4" t="n">
        <v>9490.00</v>
      </c>
      <c r="D27809" s="4"/>
    </row>
    <row collapsed="" customFormat="false" customHeight="1" hidden="" ht="14" outlineLevel="0" r="27810">
      <c r="A27810" s="3" t="inlineStr">
        <is>
          <t>27687</t>
        </is>
      </c>
      <c r="B27810" s="4" t="s">
        <f>=HYPERLINK("http://anyluxury.ru/shop/sumki-i-ryukzaki/ryukzaki/ryukzak-tiny-lightweight-casual-siniy-1472040/" , "14720.40 Рюкзак Tiny Lightweight Casual, синий")</f>
      </c>
      <c r="C27810" s="4" t="n">
        <v>990.00</v>
      </c>
      <c r="D27810" s="4"/>
    </row>
    <row collapsed="" customFormat="false" customHeight="1" hidden="" ht="14" outlineLevel="0" r="27811">
      <c r="A27811" s="3" t="inlineStr">
        <is>
          <t>27688</t>
        </is>
      </c>
      <c r="B27811" s="4" t="s">
        <f>=HYPERLINK("http://anyluxury.ru/shop/sumki-i-ryukzaki/ryukzaki/ryukzak-tiny-lightweight-casual-oranzheviy-1472020/" , "14720.20 Рюкзак Tiny Lightweight Casual, оранжевый")</f>
      </c>
      <c r="C27811" s="4" t="n">
        <v>990.00</v>
      </c>
      <c r="D27811" s="4"/>
    </row>
    <row collapsed="" customFormat="false" customHeight="1" hidden="" ht="14" outlineLevel="0" r="27812">
      <c r="A27812" s="3" t="inlineStr">
        <is>
          <t>27689</t>
        </is>
      </c>
      <c r="B27812" s="4" t="s">
        <f>=HYPERLINK("http://anyluxury.ru/shop/sumki-i-ryukzaki/ryukzaki/ryukzak-urban-daily-plus-zeleniy-1470690/" , "14706.90 Рюкзак Urban Daily Plus, зеленый")</f>
      </c>
      <c r="C27812" s="4" t="n">
        <v>6150.00</v>
      </c>
      <c r="D27812" s="4"/>
    </row>
    <row collapsed="" customFormat="false" customHeight="1" hidden="" ht="14" outlineLevel="0" r="27813">
      <c r="A27813" s="3" t="inlineStr">
        <is>
          <t>27690</t>
        </is>
      </c>
      <c r="B27813" s="4" t="s">
        <f>=HYPERLINK("http://anyluxury.ru/shop/sumki-i-ryukzaki/ryukzaki/ryukzak-urban-daily-plus-cherniy-1470630/" , "14706.30 Рюкзак Urban Daily Plus, черный")</f>
      </c>
      <c r="C27813" s="4" t="n">
        <v>6150.00</v>
      </c>
      <c r="D27813" s="4"/>
    </row>
    <row collapsed="" customFormat="false" customHeight="1" hidden="" ht="14" outlineLevel="0" r="27814">
      <c r="A27814" s="3" t="inlineStr">
        <is>
          <t>27691</t>
        </is>
      </c>
      <c r="B27814" s="4" t="s">
        <f>=HYPERLINK("http://anyluxury.ru/shop/sumki-i-ryukzaki/ryukzaki/ryukzak-multitasker-business-travel-cherniy-1470930/" , "14709.30 Рюкзак Multitasker Business Travel, черный")</f>
      </c>
      <c r="C27814" s="4" t="n">
        <v>4490.00</v>
      </c>
      <c r="D27814" s="4"/>
    </row>
    <row collapsed="" customFormat="false" customHeight="1" hidden="" ht="14" outlineLevel="0" r="27815">
      <c r="A27815" s="3" t="inlineStr">
        <is>
          <t>27692</t>
        </is>
      </c>
      <c r="B27815" s="4" t="s">
        <f>=HYPERLINK("http://anyluxury.ru/shop/sumki-i-ryukzaki/ryukzaki/ryukzak-urban-daily-oranzheviy-1471120/" , "14711.20 Рюкзак Urban Daily, оранжевый")</f>
      </c>
      <c r="C27815" s="4" t="n">
        <v>4490.00</v>
      </c>
      <c r="D27815" s="4"/>
    </row>
    <row collapsed="" customFormat="false" customHeight="1" hidden="" ht="14" outlineLevel="0" r="27816">
      <c r="A27816" s="3" t="inlineStr">
        <is>
          <t>27693</t>
        </is>
      </c>
      <c r="B27816" s="4" t="s">
        <f>=HYPERLINK("http://anyluxury.ru/shop/sumki-i-ryukzaki/ryukzaki/ryukzak-commuter-oxford-beliy-1471260/" , "14712.60 Рюкзак Commuter Oxford, белый")</f>
      </c>
      <c r="C27816" s="4" t="n">
        <v>3990.00</v>
      </c>
      <c r="D27816" s="4"/>
    </row>
    <row collapsed="" customFormat="false" customHeight="1" hidden="" ht="14" outlineLevel="0" r="27817">
      <c r="A27817" s="3" t="inlineStr">
        <is>
          <t>27694</t>
        </is>
      </c>
      <c r="B27817" s="4" t="s">
        <f>=HYPERLINK("http://anyluxury.ru/shop/sumki-i-ryukzaki/ryukzaki/ryukzak-commuter-oxford-serogoluboy-1471214/" , "14712.14 Рюкзак Commuter Oxford, серо-голубой")</f>
      </c>
      <c r="C27817" s="4" t="n">
        <v>3990.00</v>
      </c>
      <c r="D27817" s="4"/>
    </row>
    <row collapsed="" customFormat="false" customHeight="1" hidden="" ht="14" outlineLevel="0" r="27818">
      <c r="A27818" s="3" t="inlineStr">
        <is>
          <t>27695</t>
        </is>
      </c>
      <c r="B27818" s="4" t="s">
        <f>=HYPERLINK("http://anyluxury.ru/shop/sumki-i-ryukzaki/ryukzaki/ryukzak-commuter-oxford-cherniy-1471230/" , "14712.30 Рюкзак Commuter Oxford, черный")</f>
      </c>
      <c r="C27818" s="4" t="n">
        <v>3990.00</v>
      </c>
      <c r="D27818" s="4"/>
    </row>
    <row collapsed="" customFormat="false" customHeight="1" hidden="" ht="14" outlineLevel="0" r="27819">
      <c r="A27819" s="3" t="inlineStr">
        <is>
          <t>27696</t>
        </is>
      </c>
      <c r="B27819" s="4" t="s">
        <f>=HYPERLINK("http://anyluxury.ru/shop/sumki-i-ryukzaki/ryukzaki/ryukzak-unisex-urban-eusing-cherniy-1471530/" , "14715.30 Рюкзак Unisex Urban Eusing, черный")</f>
      </c>
      <c r="C27819" s="4" t="n">
        <v>5990.00</v>
      </c>
      <c r="D27819" s="4"/>
    </row>
    <row collapsed="" customFormat="false" customHeight="1" hidden="" ht="14" outlineLevel="0" r="27820">
      <c r="A27820" s="3" t="inlineStr">
        <is>
          <t>27697</t>
        </is>
      </c>
      <c r="B27820" s="4" t="s">
        <f>=HYPERLINK("http://anyluxury.ru/shop/sumki-i-ryukzaki/ryukzaki/bolshaya-sumkaholodilnik-impact-iz-pererabotannogo-kanvasa-aware-p422390/" , "P422.390 Большая сумка-холодильник Impact из переработанного канваса AWARE™")</f>
      </c>
      <c r="C27820" s="4" t="n">
        <v>5331.00</v>
      </c>
      <c r="D27820" s="4"/>
    </row>
    <row collapsed="" customFormat="false" customHeight="1" hidden="" ht="14" outlineLevel="0" r="27821">
      <c r="A27821" s="3" t="inlineStr">
        <is>
          <t>27698</t>
        </is>
      </c>
      <c r="B27821" s="4" t="s">
        <f>=HYPERLINK("http://anyluxury.ru/shop/sumki-i-ryukzaki/ryukzaki/bolshaya-sumkaholodilnik-impact-iz-pererabotannogo-kanvasa-aware-p422391/" , "P422.391 Большая сумка-холодильник Impact из переработанного канваса AWARE™")</f>
      </c>
      <c r="C27821" s="4" t="n">
        <v>5331.00</v>
      </c>
      <c r="D27821" s="4"/>
    </row>
    <row collapsed="" customFormat="false" customHeight="1" hidden="" ht="14" outlineLevel="0" r="27822">
      <c r="A27822" s="3" t="inlineStr">
        <is>
          <t>27699</t>
        </is>
      </c>
      <c r="B27822" s="4" t="s">
        <f>=HYPERLINK("http://anyluxury.ru/shop/sumki-i-ryukzaki/ryukzaki/bolshaya-sumkaholodilnik-impact-iz-pererabotannogo-kanvasa-aware-p422392/" , "P422.392 Большая сумка-холодильник Impact из переработанного канваса AWARE™")</f>
      </c>
      <c r="C27822" s="4" t="n">
        <v>5331.00</v>
      </c>
      <c r="D27822" s="4"/>
    </row>
    <row collapsed="" customFormat="false" customHeight="1" hidden="" ht="14" outlineLevel="0" r="27823">
      <c r="A27823" s="3" t="inlineStr">
        <is>
          <t>27700</t>
        </is>
      </c>
      <c r="B27823" s="4" t="s">
        <f>=HYPERLINK("http://anyluxury.ru/shop/sumki-i-ryukzaki/ryukzaki/bolshaya-sumkaholodilnik-impact-iz-pererabotannogo-kanvasa-aware-p422395/" , "P422.395 Большая сумка-холодильник Impact из переработанного канваса AWARE™")</f>
      </c>
      <c r="C27823" s="4" t="n">
        <v>5331.00</v>
      </c>
      <c r="D27823" s="4"/>
    </row>
    <row collapsed="" customFormat="false" customHeight="1" hidden="" ht="14" outlineLevel="0" r="27824">
      <c r="A27824" s="3" t="inlineStr">
        <is>
          <t>27701</t>
        </is>
      </c>
      <c r="B27824" s="4" t="s">
        <f>=HYPERLINK("http://anyluxury.ru/shop/sumki-i-ryukzaki/ryukzaki/bolshaya-sumkaholodilnik-impact-iz-pererabotannogo-kanvasa-aware-p422397/" , "P422.397 Большая сумка-холодильник Impact из переработанного канваса AWARE™")</f>
      </c>
      <c r="C27824" s="4" t="n">
        <v>5331.00</v>
      </c>
      <c r="D27824" s="4"/>
    </row>
    <row collapsed="" customFormat="false" customHeight="1" hidden="" ht="14" outlineLevel="0" r="27825">
      <c r="A27825" s="3" t="inlineStr">
        <is>
          <t>27702</t>
        </is>
      </c>
      <c r="B27825" s="4" t="s">
        <f>=HYPERLINK("http://anyluxury.ru/shop/sumki-i-ryukzaki/ryukzaki/malenkaya-sumkaholodilnik-impact-iz-pererabotannogo-kanvasa-aware-p422420/" , "P422.420 Маленькая сумка-холодильник Impact из переработанного канваса AWARE™")</f>
      </c>
      <c r="C27825" s="4" t="n">
        <v>2659.00</v>
      </c>
      <c r="D27825" s="4"/>
    </row>
    <row collapsed="" customFormat="false" customHeight="1" hidden="" ht="14" outlineLevel="0" r="27826">
      <c r="A27826" s="3" t="inlineStr">
        <is>
          <t>27703</t>
        </is>
      </c>
      <c r="B27826" s="4" t="s">
        <f>=HYPERLINK("http://anyluxury.ru/shop/sumki-i-ryukzaki/ryukzaki/malenkaya-sumkaholodilnik-impact-iz-pererabotannogo-kanvasa-aware-p422421/" , "P422.421 Маленькая сумка-холодильник Impact из переработанного канваса AWARE™")</f>
      </c>
      <c r="C27826" s="4" t="n">
        <v>2659.00</v>
      </c>
      <c r="D27826" s="4"/>
    </row>
    <row collapsed="" customFormat="false" customHeight="1" hidden="" ht="14" outlineLevel="0" r="27827">
      <c r="A27827" s="3" t="inlineStr">
        <is>
          <t>27704</t>
        </is>
      </c>
      <c r="B27827" s="4" t="s">
        <f>=HYPERLINK("http://anyluxury.ru/shop/sumki-i-ryukzaki/ryukzaki/malenkaya-sumkaholodilnik-impact-iz-pererabotannogo-kanvasa-aware-p422422/" , "P422.422 Маленькая сумка-холодильник Impact из переработанного канваса AWARE™")</f>
      </c>
      <c r="C27827" s="4" t="n">
        <v>2659.00</v>
      </c>
      <c r="D27827" s="4"/>
    </row>
    <row collapsed="" customFormat="false" customHeight="1" hidden="" ht="14" outlineLevel="0" r="27828">
      <c r="A27828" s="3" t="inlineStr">
        <is>
          <t>27705</t>
        </is>
      </c>
      <c r="B27828" s="4" t="s">
        <f>=HYPERLINK("http://anyluxury.ru/shop/sumki-i-ryukzaki/ryukzaki/malenkaya-sumkaholodilnik-impact-iz-pererabotannogo-kanvasa-aware-p422425/" , "P422.425 Маленькая сумка-холодильник Impact из переработанного канваса AWARE™")</f>
      </c>
      <c r="C27828" s="4" t="n">
        <v>2659.00</v>
      </c>
      <c r="D27828" s="4"/>
    </row>
    <row collapsed="" customFormat="false" customHeight="1" hidden="" ht="14" outlineLevel="0" r="27829">
      <c r="A27829" s="3" t="inlineStr">
        <is>
          <t>27706</t>
        </is>
      </c>
      <c r="B27829" s="4" t="s">
        <f>=HYPERLINK("http://anyluxury.ru/shop/sumki-i-ryukzaki/ryukzaki/malenkaya-sumkaholodilnik-impact-iz-pererabotannogo-kanvasa-aware-p422427/" , "P422.427 Маленькая сумка-холодильник Impact из переработанного канваса AWARE™")</f>
      </c>
      <c r="C27829" s="4" t="n">
        <v>2659.00</v>
      </c>
      <c r="D27829" s="4"/>
    </row>
    <row collapsed="" customFormat="false" customHeight="1" hidden="" ht="14" outlineLevel="0" r="27830">
      <c r="A27830" s="3" t="inlineStr">
        <is>
          <t>27707</t>
        </is>
      </c>
      <c r="B27830" s="4" t="s">
        <f>=HYPERLINK("http://anyluxury.ru/shop/sumki-i-ryukzaki/ryukzaki/dorozhnaya-sumka-swiss-peak-voyager-iz-rpet-aware-p707121/" , "P707.121 Дорожная сумка Swiss Peak Voyager из RPET AWARE™")</f>
      </c>
      <c r="C27830" s="4" t="n">
        <v>10675.00</v>
      </c>
      <c r="D27830" s="4"/>
    </row>
    <row collapsed="" customFormat="false" customHeight="1" hidden="" ht="14" outlineLevel="0" r="27831">
      <c r="A27831" s="3" t="inlineStr">
        <is>
          <t>27708</t>
        </is>
      </c>
      <c r="B27831" s="4" t="s">
        <f>=HYPERLINK("http://anyluxury.ru/shop/sumki-i-ryukzaki/ryukzaki/sumka-dlya-noutbuka-swiss-peak-voyager-iz-rpet-aware-156-p732101/" , "P732.101 Сумка для ноутбука Swiss Peak Voyager из RPET AWARE™, 15,6'")</f>
      </c>
      <c r="C27831" s="4" t="n">
        <v>7690.00</v>
      </c>
      <c r="D27831" s="4"/>
    </row>
    <row collapsed="" customFormat="false" customHeight="1" hidden="" ht="14" outlineLevel="0" r="27832">
      <c r="A27832" s="3" t="inlineStr">
        <is>
          <t>27709</t>
        </is>
      </c>
      <c r="B27832" s="4" t="s">
        <f>=HYPERLINK("http://anyluxury.ru/shop/sumki-i-ryukzaki/ryukzaki/ryukzak-impact-casual-iz-rpet-aware-300d-p760170/" , "P760.170 Рюкзак Impact Casual из RPET AWARE™ 300D")</f>
      </c>
      <c r="C27832" s="4" t="n">
        <v>4438.00</v>
      </c>
      <c r="D27832" s="4"/>
    </row>
    <row collapsed="" customFormat="false" customHeight="1" hidden="" ht="14" outlineLevel="0" r="27833">
      <c r="A27833" s="3" t="inlineStr">
        <is>
          <t>27710</t>
        </is>
      </c>
      <c r="B27833" s="4" t="s">
        <f>=HYPERLINK("http://anyluxury.ru/shop/sumki-i-ryukzaki/ryukzaki/ryukzak-impact-casual-iz-rpet-aware-300d-p760171/" , "P760.171 Рюкзак Impact Casual из RPET AWARE™ 300D")</f>
      </c>
      <c r="C27833" s="4" t="n">
        <v>4438.00</v>
      </c>
      <c r="D27833" s="4"/>
    </row>
    <row collapsed="" customFormat="false" customHeight="1" hidden="" ht="14" outlineLevel="0" r="27834">
      <c r="A27834" s="3" t="inlineStr">
        <is>
          <t>27711</t>
        </is>
      </c>
      <c r="B27834" s="4" t="s">
        <f>=HYPERLINK("http://anyluxury.ru/shop/sumki-i-ryukzaki/ryukzaki/ryukzak-impact-casual-iz-rpet-aware-300d-p760172/" , "P760.172 Рюкзак Impact Casual из RPET AWARE™ 300D")</f>
      </c>
      <c r="C27834" s="4" t="n">
        <v>4438.00</v>
      </c>
      <c r="D27834" s="4"/>
    </row>
    <row collapsed="" customFormat="false" customHeight="1" hidden="" ht="14" outlineLevel="0" r="27835">
      <c r="A27835" s="3" t="inlineStr">
        <is>
          <t>27712</t>
        </is>
      </c>
      <c r="B27835" s="4" t="s">
        <f>=HYPERLINK("http://anyluxury.ru/shop/sumki-i-ryukzaki/ryukzaki/ryukzak-impact-casual-iz-rpet-aware-300d-p760175/" , "P760.175 Рюкзак Impact Casual из RPET AWARE™ 300D")</f>
      </c>
      <c r="C27835" s="4" t="n">
        <v>4438.00</v>
      </c>
      <c r="D27835" s="4"/>
    </row>
    <row collapsed="" customFormat="false" customHeight="1" hidden="" ht="14" outlineLevel="0" r="27836">
      <c r="A27836" s="3" t="inlineStr">
        <is>
          <t>27713</t>
        </is>
      </c>
      <c r="B27836" s="4" t="s">
        <f>=HYPERLINK("http://anyluxury.ru/shop/sumki-i-ryukzaki/ryukzaki/ryukzak-impact-casual-iz-rpet-aware-300d-p760177/" , "P760.177 Рюкзак Impact Casual из RPET AWARE™ 300D")</f>
      </c>
      <c r="C27836" s="4" t="n">
        <v>4438.00</v>
      </c>
      <c r="D27836" s="4"/>
    </row>
    <row collapsed="" customFormat="false" customHeight="1" hidden="" ht="14" outlineLevel="0" r="27837">
      <c r="A27837" s="3" t="inlineStr">
        <is>
          <t>27714</t>
        </is>
      </c>
      <c r="B27837" s="4" t="s">
        <f>=HYPERLINK("http://anyluxury.ru/shop/sumki-i-ryukzaki/ryukzaki/ryukzak-impact-iz-pererabotannogo-kanvasa-aware-p760220/" , "P760.220 Рюкзак Impact из переработанного канваса AWARE™")</f>
      </c>
      <c r="C27837" s="4" t="n">
        <v>6759.00</v>
      </c>
      <c r="D27837" s="4"/>
    </row>
    <row collapsed="" customFormat="false" customHeight="1" hidden="" ht="14" outlineLevel="0" r="27838">
      <c r="A27838" s="3" t="inlineStr">
        <is>
          <t>27715</t>
        </is>
      </c>
      <c r="B27838" s="4" t="s">
        <f>=HYPERLINK("http://anyluxury.ru/shop/sumki-i-ryukzaki/ryukzaki/ryukzak-impact-iz-pererabotannogo-kanvasa-aware-p760221/" , "P760.221 Рюкзак Impact из переработанного канваса AWARE™")</f>
      </c>
      <c r="C27838" s="4" t="n">
        <v>6759.00</v>
      </c>
      <c r="D27838" s="4"/>
    </row>
    <row collapsed="" customFormat="false" customHeight="1" hidden="" ht="14" outlineLevel="0" r="27839">
      <c r="A27839" s="3" t="inlineStr">
        <is>
          <t>27716</t>
        </is>
      </c>
      <c r="B27839" s="4" t="s">
        <f>=HYPERLINK("http://anyluxury.ru/shop/sumki-i-ryukzaki/ryukzaki/ryukzak-impact-iz-pererabotannogo-kanvasa-aware-p760222/" , "P760.222 Рюкзак Impact из переработанного канваса AWARE™")</f>
      </c>
      <c r="C27839" s="4" t="n">
        <v>6759.00</v>
      </c>
      <c r="D27839" s="4"/>
    </row>
    <row collapsed="" customFormat="false" customHeight="1" hidden="" ht="14" outlineLevel="0" r="27840">
      <c r="A27840" s="3" t="inlineStr">
        <is>
          <t>27717</t>
        </is>
      </c>
      <c r="B27840" s="4" t="s">
        <f>=HYPERLINK("http://anyluxury.ru/shop/sumki-i-ryukzaki/ryukzaki/ryukzak-impact-iz-pererabotannogo-kanvasa-aware-p760225/" , "P760.225 Рюкзак Impact из переработанного канваса AWARE™")</f>
      </c>
      <c r="C27840" s="4" t="n">
        <v>6759.00</v>
      </c>
      <c r="D27840" s="4"/>
    </row>
    <row collapsed="" customFormat="false" customHeight="1" hidden="" ht="14" outlineLevel="0" r="27841">
      <c r="A27841" s="3" t="inlineStr">
        <is>
          <t>27718</t>
        </is>
      </c>
      <c r="B27841" s="4" t="s">
        <f>=HYPERLINK("http://anyluxury.ru/shop/sumki-i-ryukzaki/ryukzaki/ryukzak-impact-iz-pererabotannogo-kanvasa-aware-p760227/" , "P760.227 Рюкзак Impact из переработанного канваса AWARE™")</f>
      </c>
      <c r="C27841" s="4" t="n">
        <v>6759.00</v>
      </c>
      <c r="D27841" s="4"/>
    </row>
    <row collapsed="" customFormat="false" customHeight="1" hidden="" ht="14" outlineLevel="0" r="27842">
      <c r="A27842" s="3" t="inlineStr">
        <is>
          <t>27719</t>
        </is>
      </c>
      <c r="B27842" s="4" t="s">
        <f>=HYPERLINK("http://anyluxury.ru/shop/sumki-i-ryukzaki/ryukzaki/sumka-dlya-noutbuka-impact-iz-pererabotannogo-kanvasa-aware-156-p760230/" , "P760.230 Сумка для ноутбука Impact из переработанного канваса AWARE™, 15,6'")</f>
      </c>
      <c r="C27842" s="4" t="n">
        <v>8363.00</v>
      </c>
      <c r="D27842" s="4"/>
    </row>
    <row collapsed="" customFormat="false" customHeight="1" hidden="" ht="14" outlineLevel="0" r="27843">
      <c r="A27843" s="3" t="inlineStr">
        <is>
          <t>27720</t>
        </is>
      </c>
      <c r="B27843" s="4" t="s">
        <f>=HYPERLINK("http://anyluxury.ru/shop/sumki-i-ryukzaki/ryukzaki/sumka-dlya-noutbuka-impact-iz-pererabotannogo-kanvasa-aware-156-p760231/" , "P760.231 Сумка для ноутбука Impact из переработанного канваса AWARE™, 15,6'")</f>
      </c>
      <c r="C27843" s="4" t="n">
        <v>8363.00</v>
      </c>
      <c r="D27843" s="4"/>
    </row>
    <row collapsed="" customFormat="false" customHeight="1" hidden="" ht="14" outlineLevel="0" r="27844">
      <c r="A27844" s="3" t="inlineStr">
        <is>
          <t>27721</t>
        </is>
      </c>
      <c r="B27844" s="4" t="s">
        <f>=HYPERLINK("http://anyluxury.ru/shop/sumki-i-ryukzaki/ryukzaki/sumka-dlya-noutbuka-impact-iz-pererabotannogo-kanvasa-aware-156-p760232/" , "P760.232 Сумка для ноутбука Impact из переработанного канваса AWARE™, 15,6'")</f>
      </c>
      <c r="C27844" s="4" t="n">
        <v>8363.00</v>
      </c>
      <c r="D27844" s="4"/>
    </row>
    <row collapsed="" customFormat="false" customHeight="1" hidden="" ht="14" outlineLevel="0" r="27845">
      <c r="A27845" s="3" t="inlineStr">
        <is>
          <t>27722</t>
        </is>
      </c>
      <c r="B27845" s="4" t="s">
        <f>=HYPERLINK("http://anyluxury.ru/shop/sumki-i-ryukzaki/ryukzaki/sumka-dlya-noutbuka-impact-iz-pererabotannogo-kanvasa-aware-156-p760235/" , "P760.235 Сумка для ноутбука Impact из переработанного канваса AWARE™, 15,6'")</f>
      </c>
      <c r="C27845" s="4" t="n">
        <v>8363.00</v>
      </c>
      <c r="D27845" s="4"/>
    </row>
    <row collapsed="" customFormat="false" customHeight="1" hidden="" ht="14" outlineLevel="0" r="27846">
      <c r="A27846" s="3" t="inlineStr">
        <is>
          <t>27723</t>
        </is>
      </c>
      <c r="B27846" s="4" t="s">
        <f>=HYPERLINK("http://anyluxury.ru/shop/sumki-i-ryukzaki/ryukzaki/sumka-dlya-noutbuka-impact-iz-pererabotannogo-kanvasa-aware-156-p760237/" , "P760.237 Сумка для ноутбука Impact из переработанного канваса AWARE™, 15,6'")</f>
      </c>
      <c r="C27846" s="4" t="n">
        <v>8363.00</v>
      </c>
      <c r="D27846" s="4"/>
    </row>
    <row collapsed="" customFormat="false" customHeight="1" hidden="" ht="14" outlineLevel="0" r="27847">
      <c r="A27847" s="3" t="inlineStr">
        <is>
          <t>27724</t>
        </is>
      </c>
      <c r="B27847" s="4" t="s">
        <f>=HYPERLINK("http://anyluxury.ru/shop/sumki-i-ryukzaki/ryukzaki/bolshaya-dorozhnaya-sumka-impact-iz-pererabotannogo-kanvasa-aware-p760250/" , "P760.250 Большая дорожная сумка Impact из переработанного канваса AWARE™")</f>
      </c>
      <c r="C27847" s="4" t="n">
        <v>8716.00</v>
      </c>
      <c r="D27847" s="4"/>
    </row>
    <row collapsed="" customFormat="false" customHeight="1" hidden="" ht="14" outlineLevel="0" r="27848">
      <c r="A27848" s="3" t="inlineStr">
        <is>
          <t>27725</t>
        </is>
      </c>
      <c r="B27848" s="4" t="s">
        <f>=HYPERLINK("http://anyluxury.ru/shop/sumki-i-ryukzaki/ryukzaki/bolshaya-dorozhnaya-sumka-impact-iz-pererabotannogo-kanvasa-aware-p760251/" , "P760.251 Большая дорожная сумка Impact из переработанного канваса AWARE™")</f>
      </c>
      <c r="C27848" s="4" t="n">
        <v>8716.00</v>
      </c>
      <c r="D27848" s="4"/>
    </row>
    <row collapsed="" customFormat="false" customHeight="1" hidden="" ht="14" outlineLevel="0" r="27849">
      <c r="A27849" s="3" t="inlineStr">
        <is>
          <t>27726</t>
        </is>
      </c>
      <c r="B27849" s="4" t="s">
        <f>=HYPERLINK("http://anyluxury.ru/shop/sumki-i-ryukzaki/ryukzaki/bolshaya-dorozhnaya-sumka-impact-iz-pererabotannogo-kanvasa-aware-p760255/" , "P760.255 Большая дорожная сумка Impact из переработанного канваса AWARE™")</f>
      </c>
      <c r="C27849" s="4" t="n">
        <v>8716.00</v>
      </c>
      <c r="D27849" s="4"/>
    </row>
    <row collapsed="" customFormat="false" customHeight="1" hidden="" ht="14" outlineLevel="0" r="27850">
      <c r="A27850" s="3" t="inlineStr">
        <is>
          <t>27727</t>
        </is>
      </c>
      <c r="B27850" s="4" t="s">
        <f>=HYPERLINK("http://anyluxury.ru/shop/sumki-i-ryukzaki/ryukzaki/bolshaya-dorozhnaya-sumka-impact-iz-pererabotannogo-kanvasa-aware-p760257/" , "P760.257 Большая дорожная сумка Impact из переработанного канваса AWARE™")</f>
      </c>
      <c r="C27850" s="4" t="n">
        <v>8716.00</v>
      </c>
      <c r="D27850" s="4"/>
    </row>
    <row collapsed="" customFormat="false" customHeight="1" hidden="" ht="14" outlineLevel="0" r="27851">
      <c r="A27851" s="3" t="inlineStr">
        <is>
          <t>27728</t>
        </is>
      </c>
      <c r="B27851" s="4" t="s">
        <f>=HYPERLINK("http://anyluxury.ru/shop/sumki-i-ryukzaki/ryukzaki/gorodskoy-ryukzak-impact-iz-rpet-aware-p762051/" , "P762.051 Городской рюкзак Impact из RPET AWARE™")</f>
      </c>
      <c r="C27851" s="4" t="n">
        <v>5156.00</v>
      </c>
      <c r="D27851" s="4"/>
    </row>
    <row collapsed="" customFormat="false" customHeight="1" hidden="" ht="14" outlineLevel="0" r="27852">
      <c r="A27852" s="3" t="inlineStr">
        <is>
          <t>27729</t>
        </is>
      </c>
      <c r="B27852" s="4" t="s">
        <f>=HYPERLINK("http://anyluxury.ru/shop/sumki-i-ryukzaki/ryukzaki/gorodskoy-ryukzak-impact-iz-rpet-aware-p762052/" , "P762.052 Городской рюкзак Impact из RPET AWARE™")</f>
      </c>
      <c r="C27852" s="4" t="n">
        <v>5156.00</v>
      </c>
      <c r="D27852" s="4"/>
    </row>
    <row collapsed="" customFormat="false" customHeight="1" hidden="" ht="14" outlineLevel="0" r="27853">
      <c r="A27853" s="3" t="inlineStr">
        <is>
          <t>27730</t>
        </is>
      </c>
      <c r="B27853" s="4" t="s">
        <f>=HYPERLINK("http://anyluxury.ru/shop/sumki-i-ryukzaki/ryukzaki/gorodskoy-ryukzak-impact-iz-rpet-aware-p762057/" , "P762.057 Городской рюкзак Impact из RPET AWARE™")</f>
      </c>
      <c r="C27853" s="4" t="n">
        <v>5156.00</v>
      </c>
      <c r="D27853" s="4"/>
    </row>
    <row collapsed="" customFormat="false" customHeight="1" hidden="" ht="14" outlineLevel="0" r="27854">
      <c r="A27854" s="3" t="inlineStr">
        <is>
          <t>27731</t>
        </is>
      </c>
      <c r="B27854" s="4" t="s">
        <f>=HYPERLINK("http://anyluxury.ru/shop/sumki-i-ryukzaki/ryukzaki/antikrazhniy-ryukzak-impact-iz-rpet-aware-p762761/" , "P762.761 Антикражный рюкзак Impact из RPET AWARE™")</f>
      </c>
      <c r="C27854" s="4" t="n">
        <v>4800.00</v>
      </c>
      <c r="D27854" s="4"/>
    </row>
    <row collapsed="" customFormat="false" customHeight="1" hidden="" ht="14" outlineLevel="0" r="27855">
      <c r="A27855" s="3" t="inlineStr">
        <is>
          <t>27732</t>
        </is>
      </c>
      <c r="B27855" s="4" t="s">
        <f>=HYPERLINK("http://anyluxury.ru/shop/sumki-i-ryukzaki/ryukzaki/antikrazhniy-ryukzak-impact-iz-rpet-aware-p762762/" , "P762.762 Антикражный рюкзак Impact из RPET AWARE™")</f>
      </c>
      <c r="C27855" s="4" t="n">
        <v>4800.00</v>
      </c>
      <c r="D27855" s="4"/>
    </row>
    <row collapsed="" customFormat="false" customHeight="1" hidden="" ht="14" outlineLevel="0" r="27856">
      <c r="A27856" s="3" t="inlineStr">
        <is>
          <t>27733</t>
        </is>
      </c>
      <c r="B27856" s="4" t="s">
        <f>=HYPERLINK("http://anyluxury.ru/shop/sumki-i-ryukzaki/ryukzaki/antikrazhniy-ryukzak-impact-iz-rpet-aware-p762765/" , "P762.765 Антикражный рюкзак Impact из RPET AWARE™")</f>
      </c>
      <c r="C27856" s="4" t="n">
        <v>4800.00</v>
      </c>
      <c r="D27856" s="4"/>
    </row>
    <row collapsed="" customFormat="false" customHeight="1" hidden="" ht="14" outlineLevel="0" r="27857">
      <c r="A27857" s="3" t="inlineStr">
        <is>
          <t>27734</t>
        </is>
      </c>
      <c r="B27857" s="4" t="s">
        <f>=HYPERLINK("http://anyluxury.ru/shop/sumki-i-ryukzaki/ryukzaki/ryukzak-swiss-peak-voyager-iz-rpet-aware-dlya-noutbuka-156-p762881/" , "P762.881 Рюкзак Swiss Peak Voyager из RPET AWARE™ для ноутбука 15,6'")</f>
      </c>
      <c r="C27857" s="4" t="n">
        <v>10681.00</v>
      </c>
      <c r="D27857" s="4"/>
    </row>
    <row collapsed="" customFormat="false" customHeight="1" hidden="" ht="14" outlineLevel="0" r="27858">
      <c r="A27858" s="3" t="inlineStr">
        <is>
          <t>27735</t>
        </is>
      </c>
      <c r="B27858" s="4" t="s">
        <f>=HYPERLINK("http://anyluxury.ru/shop/sumki-i-ryukzaki/ryukzaki/ryukzak-primerniy-cherniy-7149630/" , "71496.30 Рюкзак «Примерный», черный")</f>
      </c>
      <c r="C27858" s="4" t="n">
        <v>991.00</v>
      </c>
      <c r="D27858" s="4"/>
    </row>
    <row collapsed="" customFormat="false" customHeight="1" hidden="" ht="14" outlineLevel="0" r="27859">
      <c r="A27859" s="3" t="inlineStr">
        <is>
          <t>27736</t>
        </is>
      </c>
      <c r="B27859" s="4" t="s">
        <f>=HYPERLINK("http://anyluxury.ru/shop/sumki-i-ryukzaki/ryukzaki/ryukzak-next-crango-cherniy-s-krasnim-1436953/" , "14369.53 Рюкзак Next Crango, черный с красным")</f>
      </c>
      <c r="C27859" s="4" t="n">
        <v>6240.00</v>
      </c>
      <c r="D27859" s="4"/>
    </row>
    <row collapsed="" customFormat="false" customHeight="1" hidden="" ht="14" outlineLevel="0" r="27860">
      <c r="A27860" s="3" t="inlineStr">
        <is>
          <t>27737</t>
        </is>
      </c>
      <c r="B27860" s="4" t="s">
        <f>=HYPERLINK("http://anyluxury.ru/shop/sumki-i-ryukzaki/ryukzaki/ryukzak-next-crango-seriy-s-rozovim-1436915/" , "14369.15 Рюкзак Next Crango, серый с розовым")</f>
      </c>
      <c r="C27860" s="4" t="n">
        <v>6240.00</v>
      </c>
      <c r="D27860" s="4"/>
    </row>
    <row collapsed="" customFormat="false" customHeight="1" hidden="" ht="14" outlineLevel="0" r="27861">
      <c r="A27861" s="3" t="inlineStr">
        <is>
          <t>27738</t>
        </is>
      </c>
      <c r="B27861" s="4" t="s">
        <f>=HYPERLINK("http://anyluxury.ru/shop/sumki-i-ryukzaki/ryukzaki/ryukzak-next-crango-cherniy-s-antracitovim-1436931/" , "14369.31 Рюкзак Next Crango, черный с антрацитовым")</f>
      </c>
      <c r="C27861" s="4" t="n">
        <v>6240.00</v>
      </c>
      <c r="D27861" s="4"/>
    </row>
    <row collapsed="" customFormat="false" customHeight="1" hidden="" ht="14" outlineLevel="0" r="27862">
      <c r="A27862" s="3" t="inlineStr">
        <is>
          <t>27739</t>
        </is>
      </c>
      <c r="B27862" s="4" t="s">
        <f>=HYPERLINK("http://anyluxury.ru/shop/sumki-i-ryukzaki/ryukzaki/ryukzak-next-mars-siniy-1437040/" , "14370.40 Рюкзак Next Mars, синий")</f>
      </c>
      <c r="C27862" s="4" t="n">
        <v>8950.00</v>
      </c>
      <c r="D27862" s="4"/>
    </row>
    <row collapsed="" customFormat="false" customHeight="1" hidden="" ht="14" outlineLevel="0" r="27863">
      <c r="A27863" s="3" t="inlineStr">
        <is>
          <t>27740</t>
        </is>
      </c>
      <c r="B27863" s="4" t="s">
        <f>=HYPERLINK("http://anyluxury.ru/shop/sumki-i-ryukzaki/ryukzaki/ryukzak-next-mars-cherniy-c-antracitovim-1437031/" , "14370.31 Рюкзак Next Mars, черный c антрацитовым")</f>
      </c>
      <c r="C27863" s="4" t="n">
        <v>8950.00</v>
      </c>
      <c r="D27863" s="4"/>
    </row>
    <row collapsed="" customFormat="false" customHeight="1" hidden="" ht="14" outlineLevel="0" r="27864">
      <c r="A27864" s="3" t="inlineStr">
        <is>
          <t>27741</t>
        </is>
      </c>
      <c r="B27864" s="4" t="s">
        <f>=HYPERLINK("http://anyluxury.ru/shop/sumki-i-ryukzaki/ryukzaki/ryukzak-next-ryde-antracitoviy-s-chernim-1437131/" , "14371.31 Рюкзак Next Ryde, антрацитовый с черным")</f>
      </c>
      <c r="C27864" s="4" t="n">
        <v>7800.00</v>
      </c>
      <c r="D27864" s="4"/>
    </row>
    <row collapsed="" customFormat="false" customHeight="1" hidden="" ht="14" outlineLevel="0" r="27865">
      <c r="A27865" s="3" t="inlineStr">
        <is>
          <t>27742</t>
        </is>
      </c>
      <c r="B27865" s="4" t="s">
        <f>=HYPERLINK("http://anyluxury.ru/shop/sumki-i-ryukzaki/ryukzaki/ryukzak-next-ryde-siniy-1437140/" , "14371.40 Рюкзак Next Ryde, синий")</f>
      </c>
      <c r="C27865" s="4" t="n">
        <v>7800.00</v>
      </c>
      <c r="D27865" s="4"/>
    </row>
    <row collapsed="" customFormat="false" customHeight="1" hidden="" ht="14" outlineLevel="0" r="27866">
      <c r="A27866" s="3" t="inlineStr">
        <is>
          <t>27743</t>
        </is>
      </c>
      <c r="B27866" s="4" t="s">
        <f>=HYPERLINK("http://anyluxury.ru/shop/sumki-i-ryukzaki/ryukzaki/ryukzak-next-ryde-krasniy-antracit-1437151/" , "14371.51 Рюкзак Next Ryde, красный, антрацит")</f>
      </c>
      <c r="C27866" s="4" t="n">
        <v>10010.00</v>
      </c>
      <c r="D27866" s="4"/>
    </row>
    <row collapsed="" customFormat="false" customHeight="1" hidden="" ht="14" outlineLevel="0" r="27867">
      <c r="A27867" s="3" t="inlineStr">
        <is>
          <t>27744</t>
        </is>
      </c>
      <c r="B27867" s="4" t="s">
        <f>=HYPERLINK("http://anyluxury.ru/shop/sumki-i-ryukzaki/ryukzaki/ryukzak-next-tyon-antracitoviy-s-chernim-1437231/" , "14372.31 Рюкзак Next Tyon, антрацитовый с черным")</f>
      </c>
      <c r="C27867" s="4" t="n">
        <v>5370.00</v>
      </c>
      <c r="D27867" s="4"/>
    </row>
    <row collapsed="" customFormat="false" customHeight="1" hidden="" ht="14" outlineLevel="0" r="27868">
      <c r="A27868" s="3" t="inlineStr">
        <is>
          <t>27745</t>
        </is>
      </c>
      <c r="B27868" s="4" t="s">
        <f>=HYPERLINK("http://anyluxury.ru/shop/sumki-i-ryukzaki/ryukzaki/ryukzak-next-tyon-siniy-1437240/" , "14372.40 Рюкзак Next Tyon, синий")</f>
      </c>
      <c r="C27868" s="4" t="n">
        <v>6900.00</v>
      </c>
      <c r="D27868" s="4"/>
    </row>
    <row collapsed="" customFormat="false" customHeight="1" hidden="" ht="14" outlineLevel="0" r="27869">
      <c r="A27869" s="3" t="inlineStr">
        <is>
          <t>27746</t>
        </is>
      </c>
      <c r="B27869" s="4" t="s">
        <f>=HYPERLINK("http://anyluxury.ru/shop/sumki-i-ryukzaki/ryukzaki/ryukzak-next-tyon-krasniy-antracit-1437251/" , "14372.51 Рюкзак Next Tyon, красный, антрацит")</f>
      </c>
      <c r="C27869" s="4" t="n">
        <v>6900.00</v>
      </c>
      <c r="D27869" s="4"/>
    </row>
    <row collapsed="" customFormat="false" customHeight="1" hidden="" ht="14" outlineLevel="0" r="27870">
      <c r="A27870" s="3" t="inlineStr">
        <is>
          <t>27747</t>
        </is>
      </c>
      <c r="B27870" s="4" t="s">
        <f>=HYPERLINK("http://anyluxury.ru/shop/sumki-i-ryukzaki/ryukzaki/ryukzak-forgrad-fioletoviy-1439070/" , "14390.70 Рюкзак Forgrad, фиолетовый")</f>
      </c>
      <c r="C27870" s="4" t="n">
        <v>4930.00</v>
      </c>
      <c r="D27870" s="4"/>
    </row>
    <row collapsed="" customFormat="false" customHeight="1" hidden="" ht="14" outlineLevel="0" r="27871">
      <c r="A27871" s="3" t="inlineStr">
        <is>
          <t>27748</t>
        </is>
      </c>
      <c r="B27871" s="4" t="s">
        <f>=HYPERLINK("http://anyluxury.ru/shop/sumki-i-ryukzaki/ryukzaki/ryukzak-forgrad-siniy-1439040/" , "14390.40 Рюкзак Forgrad, синий")</f>
      </c>
      <c r="C27871" s="4" t="n">
        <v>4930.00</v>
      </c>
      <c r="D27871" s="4"/>
    </row>
    <row collapsed="" customFormat="false" customHeight="1" hidden="" ht="14" outlineLevel="0" r="27872">
      <c r="A27872" s="3" t="inlineStr">
        <is>
          <t>27749</t>
        </is>
      </c>
      <c r="B27872" s="4" t="s">
        <f>=HYPERLINK("http://anyluxury.ru/shop/sumki-i-ryukzaki/ryukzaki/ryukzak-forgrad-cherniy-1439030/" , "14390.30 Рюкзак Forgrad, черный")</f>
      </c>
      <c r="C27872" s="4" t="n">
        <v>4930.00</v>
      </c>
      <c r="D27872" s="4"/>
    </row>
    <row collapsed="" customFormat="false" customHeight="1" hidden="" ht="14" outlineLevel="0" r="27873">
      <c r="A27873" s="3" t="inlineStr">
        <is>
          <t>27750</t>
        </is>
      </c>
      <c r="B27873" s="4" t="s">
        <f>=HYPERLINK("http://anyluxury.ru/shop/sumki-i-ryukzaki/ryukzaki/ryukzak-graffi-cherniy-1439130/" , "14391.30 Рюкзак Graffi, черный")</f>
      </c>
      <c r="C27873" s="4" t="n">
        <v>3500.00</v>
      </c>
      <c r="D27873" s="4"/>
    </row>
    <row collapsed="" customFormat="false" customHeight="1" hidden="" ht="14" outlineLevel="0" r="27874">
      <c r="A27874" s="3" t="inlineStr">
        <is>
          <t>27751</t>
        </is>
      </c>
      <c r="B27874" s="4" t="s">
        <f>=HYPERLINK("http://anyluxury.ru/shop/sumki-i-ryukzaki/ryukzaki/ryukzak-xplor-cherniy-1439230/" , "14392.30 Рюкзак Xplor, черный")</f>
      </c>
      <c r="C27874" s="4" t="n">
        <v>4590.00</v>
      </c>
      <c r="D27874" s="4"/>
    </row>
    <row collapsed="" customFormat="false" customHeight="1" hidden="" ht="14" outlineLevel="0" r="27875">
      <c r="A27875" s="3" t="inlineStr">
        <is>
          <t>27752</t>
        </is>
      </c>
      <c r="B27875" s="4" t="s">
        <f>=HYPERLINK("http://anyluxury.ru/shop/sumki-i-ryukzaki/ryukzaki/ryukzak-flippack-cherniy-s-zelenim-1438739/" , "14387.39 Рюкзак FlipPack, черный с зеленым")</f>
      </c>
      <c r="C27875" s="4" t="n">
        <v>20650.00</v>
      </c>
      <c r="D27875" s="4"/>
    </row>
    <row collapsed="" customFormat="false" customHeight="1" hidden="" ht="14" outlineLevel="0" r="27876">
      <c r="A27876" s="3" t="inlineStr">
        <is>
          <t>27753</t>
        </is>
      </c>
      <c r="B27876" s="4" t="s">
        <f>=HYPERLINK("http://anyluxury.ru/shop/sumki-i-ryukzaki/ryukzaki/ryukzak-clickpack-x-cherniy-1438930/" , "14389.30 Рюкзак ClickPack X, черный")</f>
      </c>
      <c r="C27876" s="4" t="n">
        <v>21850.00</v>
      </c>
      <c r="D27876" s="4"/>
    </row>
    <row collapsed="" customFormat="false" customHeight="1" hidden="" ht="14" outlineLevel="0" r="27877">
      <c r="A27877" s="3" t="inlineStr">
        <is>
          <t>27754</t>
        </is>
      </c>
      <c r="B27877" s="4" t="s">
        <f>=HYPERLINK("http://anyluxury.ru/shop/sumki-i-ryukzaki/ryukzaki/ryukzak-clickpack-pro-cherniy-s-serim-1438831/" , "14388.31 Рюкзак ClickPack Pro, черный с серым")</f>
      </c>
      <c r="C27877" s="4" t="n">
        <v>20000.00</v>
      </c>
      <c r="D27877" s="4"/>
    </row>
    <row collapsed="" customFormat="false" customHeight="1" hidden="" ht="14" outlineLevel="0" r="27878">
      <c r="A27878" s="3" t="inlineStr">
        <is>
          <t>27755</t>
        </is>
      </c>
      <c r="B27878" s="4" t="s">
        <f>=HYPERLINK("http://anyluxury.ru/shop/sumki-i-ryukzaki/ryukzaki/ryukzak-sensa-seriy-s-sinim-1382014/" , "13820.14 Рюкзак Sensa, серый с синим")</f>
      </c>
      <c r="C27878" s="4" t="n">
        <v>995.00</v>
      </c>
      <c r="D27878" s="4"/>
    </row>
    <row collapsed="" customFormat="false" customHeight="1" hidden="" ht="14" outlineLevel="0" r="27879">
      <c r="A27879" s="3" t="inlineStr">
        <is>
          <t>27756</t>
        </is>
      </c>
      <c r="B27879" s="4" t="s">
        <f>=HYPERLINK("http://anyluxury.ru/shop/sumki-i-ryukzaki/ryukzaki/ryukzak-sensa-seriy-s-bezhevim-1382011/" , "13820.11 Рюкзак Sensa, серый с бежевым")</f>
      </c>
      <c r="C27879" s="4" t="n">
        <v>995.00</v>
      </c>
      <c r="D27879" s="4"/>
    </row>
    <row collapsed="" customFormat="false" customHeight="1" hidden="" ht="14" outlineLevel="0" r="27880">
      <c r="A27880" s="3" t="inlineStr">
        <is>
          <t>27757</t>
        </is>
      </c>
      <c r="B27880" s="4" t="s">
        <f>=HYPERLINK("http://anyluxury.ru/shop/sumki-i-ryukzaki/ryukzaki/ryukzak-base-seriy-1392010/" , "13920.10 Рюкзак Base, серый")</f>
      </c>
      <c r="C27880" s="4" t="n">
        <v>679.00</v>
      </c>
      <c r="D27880" s="4"/>
    </row>
    <row collapsed="" customFormat="false" customHeight="1" hidden="" ht="14" outlineLevel="0" r="27881">
      <c r="A27881" s="3" t="inlineStr">
        <is>
          <t>27758</t>
        </is>
      </c>
      <c r="B27881" s="4" t="s">
        <f>=HYPERLINK("http://anyluxury.ru/shop/sumki-i-ryukzaki/ryukzaki/ryukzak-base-cherniy-1392030/" , "13920.30 Рюкзак Base, черный")</f>
      </c>
      <c r="C27881" s="4" t="n">
        <v>679.00</v>
      </c>
      <c r="D27881" s="4"/>
    </row>
    <row collapsed="" customFormat="false" customHeight="1" hidden="" ht="14" outlineLevel="0" r="27882">
      <c r="A27882" s="3" t="inlineStr">
        <is>
          <t>27759</t>
        </is>
      </c>
      <c r="B27882" s="4" t="s">
        <f>=HYPERLINK("http://anyluxury.ru/shop/sumki-i-ryukzaki/ryukzaki/ryukzak-base-zeleniy-1392090/" , "13920.90 Рюкзак Base, зеленый")</f>
      </c>
      <c r="C27882" s="4" t="n">
        <v>679.00</v>
      </c>
      <c r="D27882" s="4"/>
    </row>
    <row collapsed="" customFormat="false" customHeight="1" hidden="" ht="14" outlineLevel="0" r="27883">
      <c r="A27883" s="3" t="inlineStr">
        <is>
          <t>27760</t>
        </is>
      </c>
      <c r="B27883" s="4" t="s">
        <f>=HYPERLINK("http://anyluxury.ru/shop/sumki-i-ryukzaki/ryukzaki/ryukzak-new-element-neonzheltiy-1392189/" , "13921.89 Рюкзак New Element, желтый (лимонный)")</f>
      </c>
      <c r="C27883" s="4" t="n">
        <v>156.00</v>
      </c>
      <c r="D27883" s="4"/>
    </row>
    <row collapsed="" customFormat="false" customHeight="1" hidden="" ht="14" outlineLevel="0" r="27884">
      <c r="A27884" s="3" t="inlineStr">
        <is>
          <t>27761</t>
        </is>
      </c>
      <c r="B27884" s="4" t="s">
        <f>=HYPERLINK("http://anyluxury.ru/shop/sumki-i-ryukzaki/ryukzaki/ryukzak-dlya-noutbuka-bimo-travel-seriy-1392410/" , "13924.10 Рюкзак для ноутбука Bimo Travel, серый")</f>
      </c>
      <c r="C27884" s="4" t="n">
        <v>1914.00</v>
      </c>
      <c r="D27884" s="4"/>
    </row>
    <row collapsed="" customFormat="false" customHeight="1" hidden="" ht="14" outlineLevel="0" r="27885">
      <c r="A27885" s="3" t="inlineStr">
        <is>
          <t>27762</t>
        </is>
      </c>
      <c r="B27885" s="4" t="s">
        <f>=HYPERLINK("http://anyluxury.ru/shop/sumki-i-ryukzaki/ryukzaki/ryukzak-barkpack-7148930/" , "71489.30 Рюкзак Barkpack")</f>
      </c>
      <c r="C27885" s="4" t="n">
        <v>991.00</v>
      </c>
      <c r="D27885" s="4"/>
    </row>
    <row collapsed="" customFormat="false" customHeight="1" hidden="" ht="14" outlineLevel="0" r="27886">
      <c r="A27886" s="3" t="inlineStr">
        <is>
          <t>27763</t>
        </is>
      </c>
      <c r="B27886" s="4" t="s">
        <f>=HYPERLINK("http://anyluxury.ru/shop/sumki-i-ryukzaki/ryukzaki/ryukzak-detskiy-classna-beliy-s-zelenim-1731369/" , "17313.69 Рюкзак детский Classna, белый с зеленым")</f>
      </c>
      <c r="C27886" s="4" t="n">
        <v>175.00</v>
      </c>
      <c r="D27886" s="4"/>
    </row>
    <row collapsed="" customFormat="false" customHeight="1" hidden="" ht="14" outlineLevel="0" r="27887">
      <c r="A27887" s="3" t="inlineStr">
        <is>
          <t>27764</t>
        </is>
      </c>
      <c r="B27887" s="4" t="s">
        <f>=HYPERLINK("http://anyluxury.ru/shop/sumki-i-ryukzaki/ryukzaki/ryukzak-detskiy-classna-beliy-s-zheltim-1731368/" , "17313.68 Рюкзак детский Classna, белый с желтым")</f>
      </c>
      <c r="C27887" s="4" t="n">
        <v>175.00</v>
      </c>
      <c r="D27887" s="4"/>
    </row>
    <row collapsed="" customFormat="false" customHeight="1" hidden="" ht="14" outlineLevel="0" r="27888">
      <c r="A27888" s="3" t="inlineStr">
        <is>
          <t>27765</t>
        </is>
      </c>
      <c r="B27888" s="4" t="s">
        <f>=HYPERLINK("http://anyluxury.ru/shop/sumki-i-ryukzaki/ryukzaki/ryukzak-tabby-l-seriy-1382710/" , "13827.10 Рюкзак Tabby L, серый")</f>
      </c>
      <c r="C27888" s="4" t="n">
        <v>2390.00</v>
      </c>
      <c r="D27888" s="4"/>
    </row>
    <row collapsed="" customFormat="false" customHeight="1" hidden="" ht="14" outlineLevel="0" r="27889">
      <c r="A27889" s="3" t="inlineStr">
        <is>
          <t>27766</t>
        </is>
      </c>
      <c r="B27889" s="4" t="s">
        <f>=HYPERLINK("http://anyluxury.ru/shop/sumki-i-ryukzaki/ryukzaki/ryukzak-tabby-m-seriy-1382810/" , "13828.10 Рюкзак Tabby M, серый")</f>
      </c>
      <c r="C27889" s="4" t="n">
        <v>1590.00</v>
      </c>
      <c r="D27889" s="4"/>
    </row>
    <row collapsed="" customFormat="false" customHeight="1" hidden="" ht="14" outlineLevel="0" r="27890">
      <c r="A27890" s="3" t="inlineStr">
        <is>
          <t>27767</t>
        </is>
      </c>
      <c r="B27890" s="4" t="s">
        <f>=HYPERLINK("http://anyluxury.ru/shop/sumki-i-ryukzaki/ryukzaki/biznesryukzak-swiss-peak-iz-rpet-aware-dlya-noutbuka-156-p762891/" , "P762.891 Бизнес-рюкзак Swiss Peak из RPET AWARE™ для ноутбука 15,6'")</f>
      </c>
      <c r="C27890" s="4" t="n">
        <v>8903.00</v>
      </c>
      <c r="D27890" s="4"/>
    </row>
    <row collapsed="" customFormat="false" customHeight="1" hidden="" ht="14" outlineLevel="0" r="27891">
      <c r="A27891" s="3" t="inlineStr">
        <is>
          <t>27768</t>
        </is>
      </c>
      <c r="B27891" s="4" t="s">
        <f>=HYPERLINK("http://anyluxury.ru/shop/sumki-i-ryukzaki/ryukzaki/legkaya-sumka-dlya-dokumentov-impact-iz-rpet-aware-p729281/" , "P729.281 Легкая сумка для документов Impact из RPET AWARE™")</f>
      </c>
      <c r="C27891" s="4" t="n">
        <v>999.00</v>
      </c>
      <c r="D27891" s="4"/>
    </row>
    <row collapsed="" customFormat="false" customHeight="1" hidden="" ht="14" outlineLevel="0" r="27892">
      <c r="A27892" s="3" t="inlineStr">
        <is>
          <t>27769</t>
        </is>
      </c>
      <c r="B27892" s="4" t="s">
        <f>=HYPERLINK("http://anyluxury.ru/shop/sumki-i-ryukzaki/ryukzaki/sumkashopper-impact-s-ploskim-dnom-iz-pererabotannogo-hlopka-aware-145-g-p762645/" , "P762.645 Сумка-шоппер Impact с плоским дном из переработанного хлопка AWARE™, 145 г")</f>
      </c>
      <c r="C27892" s="4" t="n">
        <v>659.00</v>
      </c>
      <c r="D27892" s="4"/>
    </row>
    <row collapsed="" customFormat="false" customHeight="1" hidden="" ht="14" outlineLevel="0" r="27893">
      <c r="A27893" s="3" t="inlineStr">
        <is>
          <t>27770</t>
        </is>
      </c>
      <c r="B27893" s="4" t="s">
        <f>=HYPERLINK("http://anyluxury.ru/shop/sumki-i-ryukzaki/ryukzaki/sumkashopper-impact-s-ploskim-dnom-iz-pererabotannogo-hlopka-aware-145-g-p762644/" , "P762.644 Сумка-шоппер Impact с плоским дном из переработанного хлопка AWARE™, 145 г")</f>
      </c>
      <c r="C27893" s="4" t="n">
        <v>659.00</v>
      </c>
      <c r="D27893" s="4"/>
    </row>
    <row collapsed="" customFormat="false" customHeight="1" hidden="" ht="14" outlineLevel="0" r="27894">
      <c r="A27894" s="3" t="inlineStr">
        <is>
          <t>27771</t>
        </is>
      </c>
      <c r="B27894" s="4" t="s">
        <f>=HYPERLINK("http://anyluxury.ru/shop/sumki-i-ryukzaki/ryukzaki/sumkashopper-impact-s-ploskim-dnom-iz-pererabotannogo-hlopka-aware-145-g-p762642/" , "P762.642 Сумка-шоппер Impact с плоским дном из переработанного хлопка AWARE™, 145 г")</f>
      </c>
      <c r="C27894" s="4" t="n">
        <v>659.00</v>
      </c>
      <c r="D27894" s="4"/>
    </row>
    <row collapsed="" customFormat="false" customHeight="1" hidden="" ht="14" outlineLevel="0" r="27895">
      <c r="A27895" s="3" t="inlineStr">
        <is>
          <t>27772</t>
        </is>
      </c>
      <c r="B27895" s="4" t="s">
        <f>=HYPERLINK("http://anyluxury.ru/shop/sumki-i-ryukzaki/ryukzaki/sumkashopper-impact-s-ploskim-dnom-iz-pererabotannogo-hlopka-aware-145-g-p762641/" , "P762.641 Сумка-шоппер Impact с плоским дном из переработанного хлопка AWARE™, 145 г")</f>
      </c>
      <c r="C27895" s="4" t="n">
        <v>659.00</v>
      </c>
      <c r="D27895" s="4"/>
    </row>
    <row collapsed="" customFormat="false" customHeight="1" hidden="" ht="14" outlineLevel="0" r="27896">
      <c r="A27896" s="3" t="inlineStr">
        <is>
          <t>27773</t>
        </is>
      </c>
      <c r="B27896" s="4" t="s">
        <f>=HYPERLINK("http://anyluxury.ru/shop/sumki-i-ryukzaki/ryukzaki/sumkashopper-impact-s-ploskim-dnom-iz-pererabotannogo-hlopka-aware-145-g-p762649/" , "P762.649 Сумка-шоппер Impact с плоским дном из переработанного хлопка AWARE™, 145 г")</f>
      </c>
      <c r="C27896" s="4" t="n">
        <v>659.00</v>
      </c>
      <c r="D27896" s="4"/>
    </row>
    <row collapsed="" customFormat="false" customHeight="1" hidden="" ht="14" outlineLevel="0" r="27897">
      <c r="A27897" s="3" t="inlineStr">
        <is>
          <t>27774</t>
        </is>
      </c>
      <c r="B27897" s="4" t="s">
        <f>=HYPERLINK("http://anyluxury.ru/shop/sumki-i-ryukzaki/ryukzaki/sumkashopper-impact-s-ploskim-dnom-iz-pererabotannogo-hlopka-aware-145-g-p762643/" , "P762.643 Сумка-шоппер Impact с плоским дном из переработанного хлопка AWARE™, 145 г")</f>
      </c>
      <c r="C27897" s="4" t="n">
        <v>659.00</v>
      </c>
      <c r="D27897" s="4"/>
    </row>
    <row collapsed="" customFormat="false" customHeight="1" hidden="" ht="14" outlineLevel="0" r="27898">
      <c r="A27898" s="3" t="inlineStr">
        <is>
          <t>27775</t>
        </is>
      </c>
      <c r="B27898" s="4" t="s">
        <f>=HYPERLINK("http://anyluxury.ru/shop/sumki-i-ryukzaki/ryukzaki/sumka-dlya-pokupok-impact-iz-pererabotannogo-hlopka-aware-145-g-p762627/" , "P762.627 Сумка для покупок Impact из переработанного хлопка AWARE™, 145 г")</f>
      </c>
      <c r="C27898" s="4" t="n">
        <v>531.00</v>
      </c>
      <c r="D27898" s="4"/>
    </row>
    <row collapsed="" customFormat="false" customHeight="1" hidden="" ht="14" outlineLevel="0" r="27899">
      <c r="A27899" s="3" t="inlineStr">
        <is>
          <t>27776</t>
        </is>
      </c>
      <c r="B27899" s="4" t="s">
        <f>=HYPERLINK("http://anyluxury.ru/shop/sumki-i-ryukzaki/ryukzaki/sumka-dlya-pokupok-impact-iz-pererabotannogo-hlopka-aware-145-g-p762626/" , "P762.626 Сумка для покупок Impact из переработанного хлопка AWARE™, 145 г")</f>
      </c>
      <c r="C27899" s="4" t="n">
        <v>531.00</v>
      </c>
      <c r="D27899" s="4"/>
    </row>
    <row collapsed="" customFormat="false" customHeight="1" hidden="" ht="14" outlineLevel="0" r="27900">
      <c r="A27900" s="3" t="inlineStr">
        <is>
          <t>27777</t>
        </is>
      </c>
      <c r="B27900" s="4" t="s">
        <f>=HYPERLINK("http://anyluxury.ru/shop/sumki-i-ryukzaki/ryukzaki/sumka-dlya-pokupok-impact-iz-pererabotannogo-hlopka-aware-145-g-p762625/" , "P762.625 Сумка для покупок Impact из переработанного хлопка AWARE™, 145 г")</f>
      </c>
      <c r="C27900" s="4" t="n">
        <v>531.00</v>
      </c>
      <c r="D27900" s="4"/>
    </row>
    <row collapsed="" customFormat="false" customHeight="1" hidden="" ht="14" outlineLevel="0" r="27901">
      <c r="A27901" s="3" t="inlineStr">
        <is>
          <t>27778</t>
        </is>
      </c>
      <c r="B27901" s="4" t="s">
        <f>=HYPERLINK("http://anyluxury.ru/shop/sumki-i-ryukzaki/ryukzaki/sumka-dlya-pokupok-impact-iz-pererabotannogo-hlopka-aware-145-g-p762624/" , "P762.624 Сумка для покупок Impact из переработанного хлопка AWARE™, 145 г")</f>
      </c>
      <c r="C27901" s="4" t="n">
        <v>531.00</v>
      </c>
      <c r="D27901" s="4"/>
    </row>
    <row collapsed="" customFormat="false" customHeight="1" hidden="" ht="14" outlineLevel="0" r="27902">
      <c r="A27902" s="3" t="inlineStr">
        <is>
          <t>27779</t>
        </is>
      </c>
      <c r="B27902" s="4" t="s">
        <f>=HYPERLINK("http://anyluxury.ru/shop/sumki-i-ryukzaki/ryukzaki/sumka-dlya-pokupok-impact-iz-pererabotannogo-hlopka-aware-145-g-p762623/" , "P762.623 Сумка для покупок Impact из переработанного хлопка AWARE™, 145 г")</f>
      </c>
      <c r="C27902" s="4" t="n">
        <v>531.00</v>
      </c>
      <c r="D27902" s="4"/>
    </row>
    <row collapsed="" customFormat="false" customHeight="1" hidden="" ht="14" outlineLevel="0" r="27903">
      <c r="A27903" s="3" t="inlineStr">
        <is>
          <t>27780</t>
        </is>
      </c>
      <c r="B27903" s="4" t="s">
        <f>=HYPERLINK("http://anyluxury.ru/shop/sumki-i-ryukzaki/ryukzaki/sumka-dlya-pokupok-impact-iz-pererabotannogo-hlopka-aware-145-g-p762621/" , "P762.621 Сумка для покупок Impact из переработанного хлопка AWARE™, 145 г")</f>
      </c>
      <c r="C27903" s="4" t="n">
        <v>531.00</v>
      </c>
      <c r="D27903" s="4"/>
    </row>
    <row collapsed="" customFormat="false" customHeight="1" hidden="" ht="14" outlineLevel="0" r="27904">
      <c r="A27904" s="3" t="inlineStr">
        <is>
          <t>27781</t>
        </is>
      </c>
      <c r="B27904" s="4" t="s">
        <f>=HYPERLINK("http://anyluxury.ru/shop/sumki-i-ryukzaki/ryukzaki/sumka-dlya-pokupok-impact-iz-pererabotannogo-hlopka-aware-145-g-p762629/" , "P762.629 Сумка для покупок Impact из переработанного хлопка AWARE™, 145 г")</f>
      </c>
      <c r="C27904" s="4" t="n">
        <v>531.00</v>
      </c>
      <c r="D27904" s="4"/>
    </row>
    <row collapsed="" customFormat="false" customHeight="1" hidden="" ht="14" outlineLevel="0" r="27905">
      <c r="A27905" s="3" t="inlineStr">
        <is>
          <t>27782</t>
        </is>
      </c>
      <c r="B27905" s="4" t="s">
        <f>=HYPERLINK("http://anyluxury.ru/shop/sumki-i-ryukzaki/ryukzaki/sumka-dlya-pokupok-impact-iz-pererabotannogo-hlopka-aware-145-g-p762622/" , "P762.622 Сумка для покупок Impact из переработанного хлопка AWARE™, 145 г")</f>
      </c>
      <c r="C27905" s="4" t="n">
        <v>531.00</v>
      </c>
      <c r="D27905" s="4"/>
    </row>
    <row collapsed="" customFormat="false" customHeight="1" hidden="" ht="14" outlineLevel="0" r="27906">
      <c r="A27906" s="3" t="inlineStr">
        <is>
          <t>27783</t>
        </is>
      </c>
      <c r="B27906" s="4" t="s">
        <f>=HYPERLINK("http://anyluxury.ru/shop/sumki-i-ryukzaki/ryukzaki/plotnaya-skladnaya-sumkashopper-impact-iz-rpet-aware-p762679/" , "P762.679 Плотная складная сумка-шоппер Impact из RPET AWARE™")</f>
      </c>
      <c r="C27906" s="4" t="n">
        <v>622.00</v>
      </c>
      <c r="D27906" s="4"/>
    </row>
    <row collapsed="" customFormat="false" customHeight="1" hidden="" ht="14" outlineLevel="0" r="27907">
      <c r="A27907" s="3" t="inlineStr">
        <is>
          <t>27784</t>
        </is>
      </c>
      <c r="B27907" s="4" t="s">
        <f>=HYPERLINK("http://anyluxury.ru/shop/sumki-i-ryukzaki/ryukzaki/plotnaya-skladnaya-sumkashopper-impact-iz-rpet-aware-p762677/" , "P762.677 Плотная складная сумка-шоппер Impact из RPET AWARE™")</f>
      </c>
      <c r="C27907" s="4" t="n">
        <v>622.00</v>
      </c>
      <c r="D27907" s="4"/>
    </row>
    <row collapsed="" customFormat="false" customHeight="1" hidden="" ht="14" outlineLevel="0" r="27908">
      <c r="A27908" s="3" t="inlineStr">
        <is>
          <t>27785</t>
        </is>
      </c>
      <c r="B27908" s="4" t="s">
        <f>=HYPERLINK("http://anyluxury.ru/shop/sumki-i-ryukzaki/ryukzaki/plotnaya-skladnaya-sumkashopper-impact-iz-rpet-aware-p762675/" , "P762.675 Плотная складная сумка-шоппер Impact из RPET AWARE™")</f>
      </c>
      <c r="C27908" s="4" t="n">
        <v>622.00</v>
      </c>
      <c r="D27908" s="4"/>
    </row>
    <row collapsed="" customFormat="false" customHeight="1" hidden="" ht="14" outlineLevel="0" r="27909">
      <c r="A27909" s="3" t="inlineStr">
        <is>
          <t>27786</t>
        </is>
      </c>
      <c r="B27909" s="4" t="s">
        <f>=HYPERLINK("http://anyluxury.ru/shop/sumki-i-ryukzaki/ryukzaki/plotnaya-skladnaya-sumkashopper-impact-iz-rpet-aware-p762674/" , "P762.674 Плотная складная сумка-шоппер Impact из RPET AWARE™")</f>
      </c>
      <c r="C27909" s="4" t="n">
        <v>622.00</v>
      </c>
      <c r="D27909" s="4"/>
    </row>
    <row collapsed="" customFormat="false" customHeight="1" hidden="" ht="14" outlineLevel="0" r="27910">
      <c r="A27910" s="3" t="inlineStr">
        <is>
          <t>27787</t>
        </is>
      </c>
      <c r="B27910" s="4" t="s">
        <f>=HYPERLINK("http://anyluxury.ru/shop/sumki-i-ryukzaki/ryukzaki/plotnaya-skladnaya-sumkashopper-impact-iz-rpet-aware-p762673/" , "P762.673 Плотная складная сумка-шоппер Impact из RPET AWARE™")</f>
      </c>
      <c r="C27910" s="4" t="n">
        <v>622.00</v>
      </c>
      <c r="D27910" s="4"/>
    </row>
    <row collapsed="" customFormat="false" customHeight="1" hidden="" ht="14" outlineLevel="0" r="27911">
      <c r="A27911" s="3" t="inlineStr">
        <is>
          <t>27788</t>
        </is>
      </c>
      <c r="B27911" s="4" t="s">
        <f>=HYPERLINK("http://anyluxury.ru/shop/sumki-i-ryukzaki/ryukzaki/plotnaya-skladnaya-sumkashopper-impact-iz-rpet-aware-p762672/" , "P762.672 Плотная складная сумка-шоппер Impact из RPET AWARE™")</f>
      </c>
      <c r="C27911" s="4" t="n">
        <v>622.00</v>
      </c>
      <c r="D27911" s="4"/>
    </row>
    <row collapsed="" customFormat="false" customHeight="1" hidden="" ht="14" outlineLevel="0" r="27912">
      <c r="A27912" s="3" t="inlineStr">
        <is>
          <t>27789</t>
        </is>
      </c>
      <c r="B27912" s="4" t="s">
        <f>=HYPERLINK("http://anyluxury.ru/shop/sumki-i-ryukzaki/ryukzaki/plotnaya-skladnaya-sumkashopper-impact-iz-rpet-aware-p762671/" , "P762.671 Плотная складная сумка-шоппер Impact из RPET AWARE™")</f>
      </c>
      <c r="C27912" s="4" t="n">
        <v>622.00</v>
      </c>
      <c r="D27912" s="4"/>
    </row>
    <row collapsed="" customFormat="false" customHeight="1" hidden="" ht="14" outlineLevel="0" r="27913">
      <c r="A27913" s="3" t="inlineStr">
        <is>
          <t>27790</t>
        </is>
      </c>
      <c r="B27913" s="4" t="s">
        <f>=HYPERLINK("http://anyluxury.ru/shop/sumki-i-ryukzaki/ryukzaki/plotnaya-sumkashopper-impact-iz-rpet-aware-p762669/" , "P762.669 Сумка-шоппер Impact из rPET AWARE ™, 190T")</f>
      </c>
      <c r="C27913" s="4" t="n">
        <v>525.00</v>
      </c>
      <c r="D27913" s="4"/>
    </row>
    <row collapsed="" customFormat="false" customHeight="1" hidden="" ht="14" outlineLevel="0" r="27914">
      <c r="A27914" s="3" t="inlineStr">
        <is>
          <t>27791</t>
        </is>
      </c>
      <c r="B27914" s="4" t="s">
        <f>=HYPERLINK("http://anyluxury.ru/shop/sumki-i-ryukzaki/ryukzaki/plotnaya-sumkashopper-impact-iz-rpet-aware-p762667/" , "P762.667 Сумка-шоппер Impact из rPET AWARE ™, 190T")</f>
      </c>
      <c r="C27914" s="4" t="n">
        <v>525.00</v>
      </c>
      <c r="D27914" s="4"/>
    </row>
    <row collapsed="" customFormat="false" customHeight="1" hidden="" ht="14" outlineLevel="0" r="27915">
      <c r="A27915" s="3" t="inlineStr">
        <is>
          <t>27792</t>
        </is>
      </c>
      <c r="B27915" s="4" t="s">
        <f>=HYPERLINK("http://anyluxury.ru/shop/sumki-i-ryukzaki/ryukzaki/plotnaya-sumkashopper-impact-iz-rpet-aware-p762665/" , "P762.665 Сумка-шоппер Impact из rPET AWARE ™, 190T")</f>
      </c>
      <c r="C27915" s="4" t="n">
        <v>525.00</v>
      </c>
      <c r="D27915" s="4"/>
    </row>
    <row collapsed="" customFormat="false" customHeight="1" hidden="" ht="14" outlineLevel="0" r="27916">
      <c r="A27916" s="3" t="inlineStr">
        <is>
          <t>27793</t>
        </is>
      </c>
      <c r="B27916" s="4" t="s">
        <f>=HYPERLINK("http://anyluxury.ru/shop/sumki-i-ryukzaki/ryukzaki/plotnaya-sumkashopper-impact-iz-rpet-aware-p762664/" , "P762.664 Сумка-шоппер Impact из rPET AWARE ™, 190T")</f>
      </c>
      <c r="C27916" s="4" t="n">
        <v>525.00</v>
      </c>
      <c r="D27916" s="4"/>
    </row>
    <row collapsed="" customFormat="false" customHeight="1" hidden="" ht="14" outlineLevel="0" r="27917">
      <c r="A27917" s="3" t="inlineStr">
        <is>
          <t>27794</t>
        </is>
      </c>
      <c r="B27917" s="4" t="s">
        <f>=HYPERLINK("http://anyluxury.ru/shop/sumki-i-ryukzaki/ryukzaki/plotnaya-sumkashopper-impact-iz-rpet-aware-p762663/" , "P762.663 Сумка-шоппер Impact из rPET AWARE ™, 190T")</f>
      </c>
      <c r="C27917" s="4" t="n">
        <v>525.00</v>
      </c>
      <c r="D27917" s="4"/>
    </row>
    <row collapsed="" customFormat="false" customHeight="1" hidden="" ht="14" outlineLevel="0" r="27918">
      <c r="A27918" s="3" t="inlineStr">
        <is>
          <t>27795</t>
        </is>
      </c>
      <c r="B27918" s="4" t="s">
        <f>=HYPERLINK("http://anyluxury.ru/shop/sumki-i-ryukzaki/ryukzaki/plotnaya-sumkashopper-impact-iz-rpet-aware-p762662/" , "P762.662 Сумка-шоппер Impact из rPET AWARE ™, 190T")</f>
      </c>
      <c r="C27918" s="4" t="n">
        <v>525.00</v>
      </c>
      <c r="D27918" s="4"/>
    </row>
    <row collapsed="" customFormat="false" customHeight="1" hidden="" ht="14" outlineLevel="0" r="27919">
      <c r="A27919" s="3" t="inlineStr">
        <is>
          <t>27796</t>
        </is>
      </c>
      <c r="B27919" s="4" t="s">
        <f>=HYPERLINK("http://anyluxury.ru/shop/sumki-i-ryukzaki/ryukzaki/plotnaya-sumkashopper-impact-iz-rpet-aware-p762661/" , "P762.661 Сумка-шоппер Impact из rPET AWARE ™, 190T")</f>
      </c>
      <c r="C27919" s="4" t="n">
        <v>525.00</v>
      </c>
      <c r="D27919" s="4"/>
    </row>
    <row collapsed="" customFormat="false" customHeight="1" hidden="" ht="14" outlineLevel="0" r="27920">
      <c r="A27920" s="3" t="inlineStr">
        <is>
          <t>27797</t>
        </is>
      </c>
      <c r="B27920" s="4" t="s">
        <f>=HYPERLINK("http://anyluxury.ru/shop/sumki-i-ryukzaki/ryukzaki/sumkashopper-impact-iz-pererabotannogo-hlopka-aware-145-g-p762659/" , "P762.659 Сумка-шоппер Impact из переработанного хлопка AWARE™, 145 г")</f>
      </c>
      <c r="C27920" s="4" t="n">
        <v>719.00</v>
      </c>
      <c r="D27920" s="4"/>
    </row>
    <row collapsed="" customFormat="false" customHeight="1" hidden="" ht="14" outlineLevel="0" r="27921">
      <c r="A27921" s="3" t="inlineStr">
        <is>
          <t>27798</t>
        </is>
      </c>
      <c r="B27921" s="4" t="s">
        <f>=HYPERLINK("http://anyluxury.ru/shop/sumki-i-ryukzaki/ryukzaki/sumkashopper-impact-iz-pererabotannogo-hlopka-aware-145-g-p762653/" , "P762.653 Сумка-шоппер Impact из переработанного хлопка AWARE™, 145 г")</f>
      </c>
      <c r="C27921" s="4" t="n">
        <v>719.00</v>
      </c>
      <c r="D27921" s="4"/>
    </row>
    <row collapsed="" customFormat="false" customHeight="1" hidden="" ht="14" outlineLevel="0" r="27922">
      <c r="A27922" s="3" t="inlineStr">
        <is>
          <t>27799</t>
        </is>
      </c>
      <c r="B27922" s="4" t="s">
        <f>=HYPERLINK("http://anyluxury.ru/shop/sumki-i-ryukzaki/ryukzaki/sumkashopper-impact-iz-pererabotannogo-hlopka-aware-145-g-p762652/" , "P762.652 Сумка-шоппер Impact из переработанного хлопка AWARE™, 145 г")</f>
      </c>
      <c r="C27922" s="4" t="n">
        <v>719.00</v>
      </c>
      <c r="D27922" s="4"/>
    </row>
    <row collapsed="" customFormat="false" customHeight="1" hidden="" ht="14" outlineLevel="0" r="27923">
      <c r="A27923" s="3" t="inlineStr">
        <is>
          <t>27800</t>
        </is>
      </c>
      <c r="B27923" s="4" t="s">
        <f>=HYPERLINK("http://anyluxury.ru/shop/sumki-i-ryukzaki/ryukzaki/sumkashopper-impact-iz-pererabotannogo-hlopka-aware-145-g-p762651/" , "P762.651 Сумка-шоппер Impact из переработанного хлопка AWARE™, 145 г")</f>
      </c>
      <c r="C27923" s="4" t="n">
        <v>719.00</v>
      </c>
      <c r="D27923" s="4"/>
    </row>
    <row collapsed="" customFormat="false" customHeight="1" hidden="" ht="14" outlineLevel="0" r="27924">
      <c r="A27924" s="3" t="inlineStr">
        <is>
          <t>27801</t>
        </is>
      </c>
      <c r="B27924" s="4" t="s">
        <f>=HYPERLINK("http://anyluxury.ru/shop/sumki-i-ryukzaki/ryukzaki/sumkashopper-impact-s-ploskim-dnom-iz-pererabotannogo-hlopka-aware-145-g-p762647/" , "P762.647 Сумка-шоппер Impact с плоским дном из переработанного хлопка AWARE™, 145 г")</f>
      </c>
      <c r="C27924" s="4" t="n">
        <v>659.00</v>
      </c>
      <c r="D27924" s="4"/>
    </row>
    <row collapsed="" customFormat="false" customHeight="1" hidden="" ht="14" outlineLevel="0" r="27925">
      <c r="A27925" s="3" t="inlineStr">
        <is>
          <t>27802</t>
        </is>
      </c>
      <c r="B27925" s="4" t="s">
        <f>=HYPERLINK("http://anyluxury.ru/shop/sumki-i-ryukzaki/ryukzaki/sumkashopper-impact-s-ploskim-dnom-iz-pererabotannogo-hlopka-aware-145-g-p762646/" , "P762.646 Сумка-шоппер Impact с плоским дном из переработанного хлопка AWARE™, 145 г")</f>
      </c>
      <c r="C27925" s="4" t="n">
        <v>659.00</v>
      </c>
      <c r="D27925" s="4"/>
    </row>
    <row collapsed="" customFormat="false" customHeight="1" hidden="" ht="14" outlineLevel="0" r="27926">
      <c r="A27926" s="3" t="inlineStr">
        <is>
          <t>27803</t>
        </is>
      </c>
      <c r="B27926" s="4" t="s">
        <f>=HYPERLINK("http://anyluxury.ru/shop/sumki-i-ryukzaki/ryukzaki/dvuhcvetnaya-sumkaholodilnik-impact-xl-iz-rpet-aware-i-naturalnoy-probki-p422351/" , "P422.351 Двухцветная сумка-холодильник Impact XL из RPET AWARE™ и натуральной пробки")</f>
      </c>
      <c r="C27926" s="4" t="n">
        <v>2125.00</v>
      </c>
      <c r="D27926" s="4"/>
    </row>
    <row collapsed="" customFormat="false" customHeight="1" hidden="" ht="14" outlineLevel="0" r="27927">
      <c r="A27927" s="3" t="inlineStr">
        <is>
          <t>27804</t>
        </is>
      </c>
      <c r="B27927" s="4" t="s">
        <f>=HYPERLINK("http://anyluxury.ru/shop/sumki-i-ryukzaki/ryukzaki/dvuhcvetnaya-sumkaholodilnik-impact-xl-iz-rpet-aware-i-naturalnoy-probki-p422357/" , "P422.357 Двухцветная сумка-холодильник Impact XL из RPET AWARE™ и натуральной пробки")</f>
      </c>
      <c r="C27927" s="4" t="n">
        <v>2125.00</v>
      </c>
      <c r="D27927" s="4"/>
    </row>
    <row collapsed="" customFormat="false" customHeight="1" hidden="" ht="14" outlineLevel="0" r="27928">
      <c r="A27928" s="3" t="inlineStr">
        <is>
          <t>27805</t>
        </is>
      </c>
      <c r="B27928" s="4" t="s">
        <f>=HYPERLINK("http://anyluxury.ru/shop/sumki-i-ryukzaki/ryukzaki/dvuhcvetnaya-sumkaholodilnik-impact-xl-iz-rpet-aware-i-naturalnoy-probki-p422355/" , "P422.355 Двухцветная сумка-холодильник Impact XL из RPET AWARE™ и натуральной пробки")</f>
      </c>
      <c r="C27928" s="4" t="n">
        <v>2125.00</v>
      </c>
      <c r="D27928" s="4"/>
    </row>
    <row collapsed="" customFormat="false" customHeight="1" hidden="" ht="14" outlineLevel="0" r="27929">
      <c r="A27929" s="3" t="inlineStr">
        <is>
          <t>27806</t>
        </is>
      </c>
      <c r="B27929" s="4" t="s">
        <f>=HYPERLINK("http://anyluxury.ru/shop/sumki-i-ryukzaki/ryukzaki/sumkaholodilnik-impact-urban-iz-rpet-aware-p422381/" , "P422.381 Сумка-холодильник Impact Urban из RPET AWARE™")</f>
      </c>
      <c r="C27929" s="4" t="n">
        <v>2666.00</v>
      </c>
      <c r="D27929" s="4"/>
    </row>
    <row collapsed="" customFormat="false" customHeight="1" hidden="" ht="14" outlineLevel="0" r="27930">
      <c r="A27930" s="3" t="inlineStr">
        <is>
          <t>27807</t>
        </is>
      </c>
      <c r="B27930" s="4" t="s">
        <f>=HYPERLINK("http://anyluxury.ru/shop/sumki-i-ryukzaki/ryukzaki/sumkaholodilnik-impact-urban-iz-rpet-aware-p422385/" , "P422.385 Сумка-холодильник Impact Urban из RPET AWARE™")</f>
      </c>
      <c r="C27930" s="4" t="n">
        <v>2666.00</v>
      </c>
      <c r="D27930" s="4"/>
    </row>
    <row collapsed="" customFormat="false" customHeight="1" hidden="" ht="14" outlineLevel="0" r="27931">
      <c r="A27931" s="3" t="inlineStr">
        <is>
          <t>27808</t>
        </is>
      </c>
      <c r="B27931" s="4" t="s">
        <f>=HYPERLINK("http://anyluxury.ru/shop/sumki-i-ryukzaki/ryukzaki/sumkaholodilnik-impact-urban-iz-rpet-aware-p422387/" , "P422.387 Сумка-холодильник Impact Urban из RPET AWARE™")</f>
      </c>
      <c r="C27931" s="4" t="n">
        <v>2666.00</v>
      </c>
      <c r="D27931" s="4"/>
    </row>
    <row collapsed="" customFormat="false" customHeight="1" hidden="" ht="14" outlineLevel="0" r="27932">
      <c r="A27932" s="3" t="inlineStr">
        <is>
          <t>27809</t>
        </is>
      </c>
      <c r="B27932" s="4" t="s">
        <f>=HYPERLINK("http://anyluxury.ru/shop/sumki-i-ryukzaki/ryukzaki/sumkaholodilnik-impact-urban-iz-rpet-aware-p422382/" , "P422.382 Сумка-холодильник Impact Urban из RPET AWARE™")</f>
      </c>
      <c r="C27932" s="4" t="n">
        <v>2666.00</v>
      </c>
      <c r="D27932" s="4"/>
    </row>
    <row collapsed="" customFormat="false" customHeight="1" hidden="" ht="14" outlineLevel="0" r="27933">
      <c r="A27933" s="3" t="inlineStr">
        <is>
          <t>27810</t>
        </is>
      </c>
      <c r="B27933" s="4" t="s">
        <f>=HYPERLINK("http://anyluxury.ru/shop/sumki-i-ryukzaki/ryukzaki/bolshaya-sumkaholodilnik-impact-iz-rpet-aware-p422450/" , "P422.450 Большая сумка-холодильник Impact из RPET AWARE™")</f>
      </c>
      <c r="C27933" s="4" t="n">
        <v>4084.00</v>
      </c>
      <c r="D27933" s="4"/>
    </row>
    <row collapsed="" customFormat="false" customHeight="1" hidden="" ht="14" outlineLevel="0" r="27934">
      <c r="A27934" s="3" t="inlineStr">
        <is>
          <t>27811</t>
        </is>
      </c>
      <c r="B27934" s="4" t="s">
        <f>=HYPERLINK("http://anyluxury.ru/shop/sumki-i-ryukzaki/ryukzaki/bolshaya-sumkaholodilnik-impact-iz-rpet-aware-p422451/" , "P422.451 Большая сумка-холодильник Impact из RPET AWARE™")</f>
      </c>
      <c r="C27934" s="4" t="n">
        <v>4084.00</v>
      </c>
      <c r="D27934" s="4"/>
    </row>
    <row collapsed="" customFormat="false" customHeight="1" hidden="" ht="14" outlineLevel="0" r="27935">
      <c r="A27935" s="3" t="inlineStr">
        <is>
          <t>27812</t>
        </is>
      </c>
      <c r="B27935" s="4" t="s">
        <f>=HYPERLINK("http://anyluxury.ru/shop/sumki-i-ryukzaki/ryukzaki/bolshaya-sumkaholodilnik-impact-iz-rpet-aware-p422455/" , "P422.455 Большая сумка-холодильник Impact из RPET AWARE™")</f>
      </c>
      <c r="C27935" s="4" t="n">
        <v>4084.00</v>
      </c>
      <c r="D27935" s="4"/>
    </row>
    <row collapsed="" customFormat="false" customHeight="1" hidden="" ht="14" outlineLevel="0" r="27936">
      <c r="A27936" s="3" t="inlineStr">
        <is>
          <t>27813</t>
        </is>
      </c>
      <c r="B27936" s="4" t="s">
        <f>=HYPERLINK("http://anyluxury.ru/shop/sumki-i-ryukzaki/ryukzaki/bolshaya-sumkaholodilnik-impact-iz-rpet-aware-p422457/" , "P422.457 Большая сумка-холодильник Impact из RPET AWARE™")</f>
      </c>
      <c r="C27936" s="4" t="n">
        <v>4084.00</v>
      </c>
      <c r="D27936" s="4"/>
    </row>
    <row collapsed="" customFormat="false" customHeight="1" hidden="" ht="14" outlineLevel="0" r="27937">
      <c r="A27937" s="3" t="inlineStr">
        <is>
          <t>27814</t>
        </is>
      </c>
      <c r="B27937" s="4" t="s">
        <f>=HYPERLINK("http://anyluxury.ru/shop/sumki-i-ryukzaki/ryukzaki/bolshaya-sumkaholodilnik-impact-iz-rpet-aware-p422458/" , "P422.458 Большая сумка-холодильник Impact из RPET AWARE™")</f>
      </c>
      <c r="C27937" s="4" t="n">
        <v>4084.00</v>
      </c>
      <c r="D27937" s="4"/>
    </row>
    <row collapsed="" customFormat="false" customHeight="1" hidden="" ht="14" outlineLevel="0" r="27938">
      <c r="A27938" s="3" t="inlineStr">
        <is>
          <t>27815</t>
        </is>
      </c>
      <c r="B27938" s="4" t="s">
        <f>=HYPERLINK("http://anyluxury.ru/shop/sumki-i-ryukzaki/ryukzaki/dorozhnaya-sumka-impact-iz-rpet-aware-1200d-p707131/" , "P707.131 Дорожная сумка Impact из RPET Aware™ 1200D")</f>
      </c>
      <c r="C27938" s="4" t="n">
        <v>4447.00</v>
      </c>
      <c r="D27938" s="4"/>
    </row>
    <row collapsed="" customFormat="false" customHeight="1" hidden="" ht="14" outlineLevel="0" r="27939">
      <c r="A27939" s="3" t="inlineStr">
        <is>
          <t>27816</t>
        </is>
      </c>
      <c r="B27939" s="4" t="s">
        <f>=HYPERLINK("http://anyluxury.ru/shop/sumki-i-ryukzaki/ryukzaki/pohodniy-ryukzak-impact-iz-rpet-aware-18-l-p762801/" , "P762.801 Походный рюкзак Impact из RPET AWARE™, 18 л")</f>
      </c>
      <c r="C27939" s="4" t="n">
        <v>5331.00</v>
      </c>
      <c r="D27939" s="4"/>
    </row>
    <row collapsed="" customFormat="false" customHeight="1" hidden="" ht="14" outlineLevel="0" r="27940">
      <c r="A27940" s="3" t="inlineStr">
        <is>
          <t>27817</t>
        </is>
      </c>
      <c r="B27940" s="4" t="s">
        <f>=HYPERLINK("http://anyluxury.ru/shop/sumki-i-ryukzaki/ryukzaki/pohodniy-ryukzak-impact-iz-rpet-aware-18-l-p762805/" , "P762.805 Походный рюкзак Impact из RPET AWARE™, 18 л")</f>
      </c>
      <c r="C27940" s="4" t="n">
        <v>5331.00</v>
      </c>
      <c r="D27940" s="4"/>
    </row>
    <row collapsed="" customFormat="false" customHeight="1" hidden="" ht="14" outlineLevel="0" r="27941">
      <c r="A27941" s="3" t="inlineStr">
        <is>
          <t>27818</t>
        </is>
      </c>
      <c r="B27941" s="4" t="s">
        <f>=HYPERLINK("http://anyluxury.ru/shop/sumki-i-ryukzaki/ryukzaki/pohodniy-ryukzak-impact-iz-rpet-aware-18-l-p762807/" , "P762.807 Походный рюкзак Impact из RPET AWARE™, 18 л")</f>
      </c>
      <c r="C27941" s="4" t="n">
        <v>5331.00</v>
      </c>
      <c r="D27941" s="4"/>
    </row>
    <row collapsed="" customFormat="false" customHeight="1" hidden="" ht="14" outlineLevel="0" r="27942">
      <c r="A27942" s="3" t="inlineStr">
        <is>
          <t>27819</t>
        </is>
      </c>
      <c r="B27942" s="4" t="s">
        <f>=HYPERLINK("http://anyluxury.ru/shop/sumki-i-ryukzaki/ryukzaki/ryukzak-base-svetlooranzheviy-1392020/" , "13920.20 Рюкзак Base, оранжевый")</f>
      </c>
      <c r="C27942" s="4" t="n">
        <v>679.00</v>
      </c>
      <c r="D27942" s="4"/>
    </row>
    <row collapsed="" customFormat="false" customHeight="1" hidden="" ht="14" outlineLevel="0" r="27943">
      <c r="A27943" s="3" t="inlineStr">
        <is>
          <t>27820</t>
        </is>
      </c>
      <c r="B27943" s="4" t="s">
        <f>=HYPERLINK("http://anyluxury.ru/shop/sumki-i-ryukzaki/ryukzaki/ryukzak-base-siniy-1392040/" , "13920.40 Рюкзак Base, синий")</f>
      </c>
      <c r="C27943" s="4" t="n">
        <v>679.00</v>
      </c>
      <c r="D27943" s="4"/>
    </row>
    <row collapsed="" customFormat="false" customHeight="1" hidden="" ht="14" outlineLevel="0" r="27944">
      <c r="A27944" s="3" t="inlineStr">
        <is>
          <t>27821</t>
        </is>
      </c>
      <c r="B27944" s="4" t="s">
        <f>=HYPERLINK("http://anyluxury.ru/shop/sumki-i-ryukzaki/ryukzaki/ryukzak-base-temnosiniy-1392044/" , "13920.44 Рюкзак Base, темно-синий")</f>
      </c>
      <c r="C27944" s="4" t="n">
        <v>679.00</v>
      </c>
      <c r="D27944" s="4"/>
    </row>
    <row collapsed="" customFormat="false" customHeight="1" hidden="" ht="14" outlineLevel="0" r="27945">
      <c r="A27945" s="3" t="inlineStr">
        <is>
          <t>27822</t>
        </is>
      </c>
      <c r="B27945" s="4" t="s">
        <f>=HYPERLINK("http://anyluxury.ru/shop/sumki-i-ryukzaki/ryukzaki/ryukzak-base-krasniy-1392050/" , "13920.50 Рюкзак Base, красный")</f>
      </c>
      <c r="C27945" s="4" t="n">
        <v>679.00</v>
      </c>
      <c r="D27945" s="4"/>
    </row>
    <row collapsed="" customFormat="false" customHeight="1" hidden="" ht="14" outlineLevel="0" r="27946">
      <c r="A27946" s="3" t="inlineStr">
        <is>
          <t>27823</t>
        </is>
      </c>
      <c r="B27946" s="4" t="s">
        <f>=HYPERLINK("http://anyluxury.ru/shop/sumki-i-ryukzaki/ryukzaki/ryukzakmeshok-melango-temnosiniy-1244944/" , "12449.44 Рюкзак-мешок Melango, темно-синий")</f>
      </c>
      <c r="C27946" s="4" t="n">
        <v>345.00</v>
      </c>
      <c r="D27946" s="4"/>
    </row>
    <row collapsed="" customFormat="false" customHeight="1" hidden="" ht="14" outlineLevel="0" r="27947">
      <c r="A27947" s="3" t="inlineStr">
        <is>
          <t>27824</t>
        </is>
      </c>
      <c r="B27947" s="4" t="s">
        <f>=HYPERLINK("http://anyluxury.ru/shop/sumki-i-ryukzaki/ryukzaki/ryukzakmeshok-melango-korichneviy-1244912/" , "12449.12 Рюкзак-мешок Melango, коричневый")</f>
      </c>
      <c r="C27947" s="4" t="n">
        <v>345.00</v>
      </c>
      <c r="D27947" s="4"/>
    </row>
    <row collapsed="" customFormat="false" customHeight="1" hidden="" ht="14" outlineLevel="0" r="27948">
      <c r="A27948" s="3" t="inlineStr">
        <is>
          <t>27825</t>
        </is>
      </c>
      <c r="B27948" s="4" t="s">
        <f>=HYPERLINK("http://anyluxury.ru/shop/sumki-i-ryukzaki/ryukzaki/ryukzak-melango-zeleniy-1245090/" , "12450.90 Рюкзак Melango, зеленый")</f>
      </c>
      <c r="C27948" s="4" t="n">
        <v>999.00</v>
      </c>
      <c r="D27948" s="4"/>
    </row>
    <row collapsed="" customFormat="false" customHeight="1" hidden="" ht="14" outlineLevel="0" r="27949">
      <c r="A27949" s="3" t="inlineStr">
        <is>
          <t>27826</t>
        </is>
      </c>
      <c r="B27949" s="4" t="s">
        <f>=HYPERLINK("http://anyluxury.ru/shop/sumki-i-ryukzaki/ryukzaki/ryukzak-melango-temnosiniy-1245044/" , "12450.44 Рюкзак Melango, темно-синий")</f>
      </c>
      <c r="C27949" s="4" t="n">
        <v>999.00</v>
      </c>
      <c r="D27949" s="4"/>
    </row>
    <row collapsed="" customFormat="false" customHeight="1" hidden="" ht="14" outlineLevel="0" r="27950">
      <c r="A27950" s="3" t="inlineStr">
        <is>
          <t>27827</t>
        </is>
      </c>
      <c r="B27950" s="4" t="s">
        <f>=HYPERLINK("http://anyluxury.ru/shop/sumki-i-ryukzaki/ryukzaki/ryukzak-melango-korichneviy-1245012/" , "12450.12 Рюкзак Melango, коричневый")</f>
      </c>
      <c r="C27950" s="4" t="n">
        <v>999.00</v>
      </c>
      <c r="D27950" s="4"/>
    </row>
    <row collapsed="" customFormat="false" customHeight="1" hidden="" ht="14" outlineLevel="0" r="27951">
      <c r="A27951" s="3" t="inlineStr">
        <is>
          <t>27828</t>
        </is>
      </c>
      <c r="B27951" s="4" t="s">
        <f>=HYPERLINK("http://anyluxury.ru/shop/sumki-i-ryukzaki/ryukzaki/ryukzak-flippack-cherniy-1438730/" , "14387.30 Рюкзак FlipPack, черный")</f>
      </c>
      <c r="C27951" s="4" t="n">
        <v>20650.00</v>
      </c>
      <c r="D27951" s="4"/>
    </row>
    <row collapsed="" customFormat="false" customHeight="1" hidden="" ht="14" outlineLevel="0" r="27952">
      <c r="A27952" s="3" t="inlineStr">
        <is>
          <t>27829</t>
        </is>
      </c>
      <c r="B27952" s="4" t="s">
        <f>=HYPERLINK("http://anyluxury.ru/shop/sumki-i-ryukzaki/ryukzaki/ryukzak-na-kazhdiy-den-swiss-peak-iz-rpet-aware-156-p762741/" , "P762.741 Рюкзак на каждый день Swiss Peak из rPET AWARE™, 15,6'")</f>
      </c>
      <c r="C27952" s="4" t="n">
        <v>6759.00</v>
      </c>
      <c r="D27952" s="4"/>
    </row>
    <row collapsed="" customFormat="false" customHeight="1" hidden="" ht="14" outlineLevel="0" r="27953">
      <c r="A27953" s="3" t="inlineStr">
        <is>
          <t>27830</t>
        </is>
      </c>
      <c r="B27953" s="4" t="s">
        <f>=HYPERLINK("http://anyluxury.ru/shop/sumki-i-ryukzaki/ryukzaki/ryukzak-dlya-raboti-i-sporta-swiss-peak-iz-rpet-aware-156-p762771/" , "P762.771 Рюкзак для работы и спорта Swiss Peak из rPET AWARE™, 15,6'")</f>
      </c>
      <c r="C27953" s="4" t="n">
        <v>8090.00</v>
      </c>
      <c r="D27953" s="4"/>
    </row>
    <row collapsed="" customFormat="false" customHeight="1" hidden="" ht="14" outlineLevel="0" r="27954">
      <c r="A27954" s="3" t="inlineStr">
        <is>
          <t>27831</t>
        </is>
      </c>
      <c r="B27954" s="4" t="s">
        <f>=HYPERLINK("http://anyluxury.ru/shop/sumki-i-ryukzaki/ryukzaki/gorodskoy-ryukzak-swiss-peak-iz-rpet-aware-156-p762781/" , "P762.781 Городской рюкзак Swiss Peak из rPET AWARE™, 15,6'")</f>
      </c>
      <c r="C27954" s="4" t="n">
        <v>10750.00</v>
      </c>
      <c r="D27954" s="4"/>
    </row>
    <row collapsed="" customFormat="false" customHeight="1" hidden="" ht="14" outlineLevel="0" r="27955">
      <c r="A27955" s="3" t="inlineStr">
        <is>
          <t>27832</t>
        </is>
      </c>
      <c r="B27955" s="4" t="s">
        <f>=HYPERLINK("http://anyluxury.ru/shop/sumki-i-ryukzaki/ryukzaki/ryukzak-dlya-puteshestviy-swiss-peak-iz-rpet-aware-s-reguliruemim-obemom-156-p762791/" , "P762.791 Рюкзак для путешествий Swiss Peak из rPET AWARE™ с регулируемым объемом, 15.6'")</f>
      </c>
      <c r="C27955" s="4" t="n">
        <v>12890.00</v>
      </c>
      <c r="D27955" s="4"/>
    </row>
    <row collapsed="" customFormat="false" customHeight="1" hidden="" ht="14" outlineLevel="0" r="27956">
      <c r="A27956" s="3" t="inlineStr">
        <is>
          <t>27833</t>
        </is>
      </c>
      <c r="B27956" s="4" t="s">
        <f>=HYPERLINK("http://anyluxury.ru/shop/sumki-i-ryukzaki/ryukzaki/ryukzak-landon-go-s-cherniy-1516730/" , "15167.30 Рюкзак Landon Go S, черный")</f>
      </c>
      <c r="C27956" s="4" t="n">
        <v>3290.00</v>
      </c>
      <c r="D27956" s="4"/>
    </row>
    <row collapsed="" customFormat="false" customHeight="1" hidden="" ht="14" outlineLevel="0" r="27957">
      <c r="A27957" s="3" t="inlineStr">
        <is>
          <t>27834</t>
        </is>
      </c>
      <c r="B27957" s="4" t="s">
        <f>=HYPERLINK("http://anyluxury.ru/shop/sumki-i-ryukzaki/ryukzaki/ryukzak-landon-go-s-siniy-1516740/" , "15167.40 Рюкзак Landon Go S, синий")</f>
      </c>
      <c r="C27957" s="4" t="n">
        <v>3290.00</v>
      </c>
      <c r="D27957" s="4"/>
    </row>
    <row collapsed="" customFormat="false" customHeight="1" hidden="" ht="14" outlineLevel="0" r="27958">
      <c r="A27958" s="3" t="inlineStr">
        <is>
          <t>27835</t>
        </is>
      </c>
      <c r="B27958" s="4" t="s">
        <f>=HYPERLINK("http://anyluxury.ru/shop/sumki-i-ryukzaki/ryukzaki/ryukzak-landon-go-m-siniy-1516840/" , "15168.40 Рюкзак Landon Go M, синий")</f>
      </c>
      <c r="C27958" s="4" t="n">
        <v>5490.00</v>
      </c>
      <c r="D27958" s="4"/>
    </row>
    <row collapsed="" customFormat="false" customHeight="1" hidden="" ht="14" outlineLevel="0" r="27959">
      <c r="A27959" s="3" t="inlineStr">
        <is>
          <t>27836</t>
        </is>
      </c>
      <c r="B27959" s="4" t="s">
        <f>=HYPERLINK("http://anyluxury.ru/shop/sumki-i-ryukzaki/ryukzaki/biznes-ryukzak-brams-cherniyseriy-20070010/" , "20070.010 Бизнес рюкзак Brams, черный/серый")</f>
      </c>
      <c r="C27959" s="4" t="n">
        <v>3450.00</v>
      </c>
      <c r="D27959" s="4"/>
    </row>
    <row collapsed="" customFormat="false" customHeight="1" hidden="" ht="14" outlineLevel="0" r="27960">
      <c r="A27960" s="3" t="inlineStr">
        <is>
          <t>27837</t>
        </is>
      </c>
      <c r="B27960" s="4" t="s">
        <f>=HYPERLINK("http://anyluxury.ru/shop/sumki-i-ryukzaki/ryukzaki/ryukzak-cross-body-sigma-cherniyseriy-20071010/" , "20071.010 Рюкзак cross body, Sigma, черный/серый")</f>
      </c>
      <c r="C27960" s="4" t="n">
        <v>2785.00</v>
      </c>
      <c r="D27960" s="4"/>
    </row>
    <row collapsed="" customFormat="false" customHeight="1" hidden="" ht="14" outlineLevel="0" r="27961">
      <c r="A27961" s="3" t="inlineStr">
        <is>
          <t>27838</t>
        </is>
      </c>
      <c r="B27961" s="4" t="s">
        <f>=HYPERLINK("http://anyluxury.ru/shop/sumki-i-ryukzaki/ryukzaki/ryukzak-easy-oranzheviy-1380620/" , "13806.20 Рюкзак Easy, оранжевый")</f>
      </c>
      <c r="C27961" s="4" t="n">
        <v>999.00</v>
      </c>
      <c r="D27961" s="4"/>
    </row>
    <row collapsed="" customFormat="false" customHeight="1" hidden="" ht="14" outlineLevel="0" r="27962">
      <c r="A27962" s="3" t="inlineStr">
        <is>
          <t>27839</t>
        </is>
      </c>
      <c r="B27962" s="4" t="s">
        <f>=HYPERLINK("http://anyluxury.ru/shop/sumki-i-ryukzaki/ryukzaki/ryukzak-sportivniy-athletic-cherniy-1391930/" , "13919.30 Рюкзак спортивный Athletic, черный")</f>
      </c>
      <c r="C27962" s="4" t="n">
        <v>1420.00</v>
      </c>
      <c r="D27962" s="4"/>
    </row>
    <row collapsed="" customFormat="false" customHeight="1" hidden="" ht="14" outlineLevel="0" r="27963">
      <c r="A27963" s="3" t="inlineStr">
        <is>
          <t>27840</t>
        </is>
      </c>
      <c r="B27963" s="4" t="s">
        <f>=HYPERLINK("http://anyluxury.ru/shop/sumki-i-ryukzaki/ryukzaki/sumkaholodilnik-swiss-peak-iz-rpet-aware-1200d-p422441/" , "P422.441 Сумка-холодильник Swiss Peak из RPET AWARE™ 1200D")</f>
      </c>
      <c r="C27963" s="4" t="n">
        <v>2481.00</v>
      </c>
      <c r="D27963" s="4"/>
    </row>
    <row collapsed="" customFormat="false" customHeight="1" hidden="" ht="14" outlineLevel="0" r="27964">
      <c r="A27964" s="3" t="inlineStr">
        <is>
          <t>27841</t>
        </is>
      </c>
      <c r="B27964" s="4" t="s">
        <f>=HYPERLINK("http://anyluxury.ru/shop/sumki-i-ryukzaki/ryukzaki/ryukzak-xd-design-bobby-explore-p705911/" , "P705.911 Рюкзак XD Design Bobby Explore")</f>
      </c>
      <c r="C27964" s="4" t="n">
        <v>18990.00</v>
      </c>
      <c r="D27964" s="4"/>
    </row>
    <row collapsed="" customFormat="false" customHeight="1" hidden="" ht="14" outlineLevel="0" r="27965">
      <c r="A27965" s="3" t="inlineStr">
        <is>
          <t>27842</t>
        </is>
      </c>
      <c r="B27965" s="4" t="s">
        <f>=HYPERLINK("http://anyluxury.ru/shop/sumki-i-ryukzaki/ryukzaki/ryukzak-xd-design-bobby-explore-p705917/" , "P705.917 Рюкзак XD Design Bobby Explore")</f>
      </c>
      <c r="C27965" s="4" t="n">
        <v>18990.00</v>
      </c>
      <c r="D27965" s="4"/>
    </row>
    <row collapsed="" customFormat="false" customHeight="1" hidden="" ht="14" outlineLevel="0" r="27966">
      <c r="A27966" s="3" t="inlineStr">
        <is>
          <t>27843</t>
        </is>
      </c>
      <c r="B27966" s="4" t="s">
        <f>=HYPERLINK("http://anyluxury.ru/shop/sumki-i-ryukzaki/ryukzaki/ryukzak-xd-design-bobby-explore-p705915/" , "P705.915 Рюкзак XD Design Bobby Explore")</f>
      </c>
      <c r="C27966" s="4" t="n">
        <v>18990.00</v>
      </c>
      <c r="D27966" s="4"/>
    </row>
    <row collapsed="" customFormat="false" customHeight="1" hidden="" ht="14" outlineLevel="0" r="27967">
      <c r="A27967" s="3" t="inlineStr">
        <is>
          <t>27844</t>
        </is>
      </c>
      <c r="B27967" s="4" t="s">
        <f>=HYPERLINK("http://anyluxury.ru/shop/sumki-i-ryukzaki/ryukzaki/ryukzak-impact-iz-pererabotannogo-kanvasa-aware-285-gm-p762998/" , "P762.998 Рюкзак Impact из переработанного канваса AWARE™, 285 г/м²")</f>
      </c>
      <c r="C27967" s="4" t="n">
        <v>1990.00</v>
      </c>
      <c r="D27967" s="4"/>
    </row>
    <row collapsed="" customFormat="false" customHeight="1" hidden="" ht="14" outlineLevel="0" r="27968">
      <c r="A27968" s="3" t="inlineStr">
        <is>
          <t>27845</t>
        </is>
      </c>
      <c r="B27968" s="4" t="s">
        <f>=HYPERLINK("http://anyluxury.ru/shop/sumki-i-ryukzaki/ryukzaki/ryukzak-impact-iz-pererabotannogo-kanvasa-aware-285-gm-p762997/" , "P762.997 Рюкзак Impact из переработанного канваса AWARE™, 285 г/м²")</f>
      </c>
      <c r="C27968" s="4" t="n">
        <v>1990.00</v>
      </c>
      <c r="D27968" s="4"/>
    </row>
    <row collapsed="" customFormat="false" customHeight="1" hidden="" ht="14" outlineLevel="0" r="27969">
      <c r="A27969" s="3" t="inlineStr">
        <is>
          <t>27846</t>
        </is>
      </c>
      <c r="B27969" s="4" t="s">
        <f>=HYPERLINK("http://anyluxury.ru/shop/sumki-i-ryukzaki/ryukzaki/ryukzak-impact-iz-pererabotannogo-kanvasa-aware-285-gm-p762996/" , "P762.996 Рюкзак Impact из переработанного канваса AWARE™, 285 г/м²")</f>
      </c>
      <c r="C27969" s="4" t="n">
        <v>1990.00</v>
      </c>
      <c r="D27969" s="4"/>
    </row>
    <row collapsed="" customFormat="false" customHeight="1" hidden="" ht="14" outlineLevel="0" r="27970">
      <c r="A27970" s="3" t="inlineStr">
        <is>
          <t>27847</t>
        </is>
      </c>
      <c r="B27970" s="4" t="s">
        <f>=HYPERLINK("http://anyluxury.ru/shop/sumki-i-ryukzaki/ryukzaki/ryukzak-impact-iz-pererabotannogo-kanvasa-aware-285-gm-p762995/" , "P762.995 Рюкзак Impact из переработанного канваса AWARE™, 285 г/м²")</f>
      </c>
      <c r="C27970" s="4" t="n">
        <v>1990.00</v>
      </c>
      <c r="D27970" s="4"/>
    </row>
    <row collapsed="" customFormat="false" customHeight="1" hidden="" ht="14" outlineLevel="0" r="27971">
      <c r="A27971" s="3" t="inlineStr">
        <is>
          <t>27848</t>
        </is>
      </c>
      <c r="B27971" s="4" t="s">
        <f>=HYPERLINK("http://anyluxury.ru/shop/sumki-i-ryukzaki/ryukzaki/ryukzak-impact-iz-pererabotannogo-kanvasa-aware-285-gm-p762994/" , "P762.994 Рюкзак Impact из переработанного канваса AWARE™, 285 г/м²")</f>
      </c>
      <c r="C27971" s="4" t="n">
        <v>1990.00</v>
      </c>
      <c r="D27971" s="4"/>
    </row>
    <row collapsed="" customFormat="false" customHeight="1" hidden="" ht="14" outlineLevel="0" r="27972">
      <c r="A27972" s="3" t="inlineStr">
        <is>
          <t>27849</t>
        </is>
      </c>
      <c r="B27972" s="4" t="s">
        <f>=HYPERLINK("http://anyluxury.ru/shop/sumki-i-ryukzaki/ryukzaki/sportivniy-ryukzak-delta-cherniy-20063010/" , "20063.010 Спортивный рюкзак Delta, черный")</f>
      </c>
      <c r="C27972" s="4" t="n">
        <v>2100.00</v>
      </c>
      <c r="D27972" s="4"/>
    </row>
    <row collapsed="" customFormat="false" customHeight="1" hidden="" ht="14" outlineLevel="0" r="27973">
      <c r="A27973" s="3" t="inlineStr">
        <is>
          <t>27850</t>
        </is>
      </c>
      <c r="B27973" s="4" t="s">
        <f>=HYPERLINK("http://anyluxury.ru/shop/sumki-i-ryukzaki/ryukzaki/poyasnaya-sumka-impact-iz-pererabotannogo-neokrashennogo-kanvasa-aware-285-gm-p730075/" , "P730.075 Поясная сумка Impact из переработанного неокрашенного канваса AWARE™, 285 г/м²")</f>
      </c>
      <c r="C27973" s="4" t="n">
        <v>1594.00</v>
      </c>
      <c r="D27973" s="4"/>
    </row>
    <row collapsed="" customFormat="false" customHeight="1" hidden="" ht="14" outlineLevel="0" r="27974">
      <c r="A27974" s="3" t="inlineStr">
        <is>
          <t>27851</t>
        </is>
      </c>
      <c r="B27974" s="4" t="s">
        <f>=HYPERLINK("http://anyluxury.ru/shop/sumki-i-ryukzaki/ryukzaki/poyasnaya-sumka-impact-iz-pererabotannogo-neokrashennogo-kanvasa-aware-285-gm-p730072/" , "P730.072 Поясная сумка Impact из переработанного неокрашенного канваса AWARE™, 285 г/м²")</f>
      </c>
      <c r="C27974" s="4" t="n">
        <v>1594.00</v>
      </c>
      <c r="D27974" s="4"/>
    </row>
    <row collapsed="" customFormat="false" customHeight="1" hidden="" ht="14" outlineLevel="0" r="27975">
      <c r="A27975" s="3" t="inlineStr">
        <is>
          <t>27852</t>
        </is>
      </c>
      <c r="B27975" s="4" t="s">
        <f>=HYPERLINK("http://anyluxury.ru/shop/sumki-i-ryukzaki/ryukzaki/poyasnaya-sumka-impact-iz-pererabotannogo-neokrashennogo-kanvasa-aware-285-gm-p730071/" , "P730.071 Поясная сумка Impact из переработанного неокрашенного канваса AWARE™, 285 г/м²")</f>
      </c>
      <c r="C27975" s="4" t="n">
        <v>1594.00</v>
      </c>
      <c r="D27975" s="4"/>
    </row>
    <row collapsed="" customFormat="false" customHeight="1" hidden="" ht="14" outlineLevel="0" r="27976">
      <c r="A27976" s="3" t="inlineStr">
        <is>
          <t>27853</t>
        </is>
      </c>
      <c r="B27976" s="4" t="s">
        <f>=HYPERLINK("http://anyluxury.ru/shop/sumki-i-ryukzaki/ryukzaki/poyasnaya-sumka-impact-iz-pererabotannogo-neokrashennogo-kanvasa-aware-285-gm-p730070/" , "P730.070 Поясная сумка Impact из переработанного неокрашенного канваса AWARE™, 285 г/м²")</f>
      </c>
      <c r="C27976" s="4" t="n">
        <v>1594.00</v>
      </c>
      <c r="D27976" s="4"/>
    </row>
    <row collapsed="" customFormat="false" customHeight="1" hidden="" ht="14" outlineLevel="0" r="27977">
      <c r="A27977" s="3" t="inlineStr">
        <is>
          <t>27854</t>
        </is>
      </c>
      <c r="B27977" s="4" t="s">
        <f>=HYPERLINK("http://anyluxury.ru/shop/sumki-i-ryukzaki/ryukzaki/sportivnaya-sumka-impact-iz-pererabotannogo-neokrashennogo-kanvasa-aware-285-gm-p707195/" , "P707.195 Спортивная сумка Impact из переработанного неокрашенного канваса AWARE™, 285 г/м²")</f>
      </c>
      <c r="C27977" s="4" t="n">
        <v>3490.00</v>
      </c>
      <c r="D27977" s="4"/>
    </row>
    <row collapsed="" customFormat="false" customHeight="1" hidden="" ht="14" outlineLevel="0" r="27978">
      <c r="A27978" s="3" t="inlineStr">
        <is>
          <t>27855</t>
        </is>
      </c>
      <c r="B27978" s="4" t="s">
        <f>=HYPERLINK("http://anyluxury.ru/shop/sumki-i-ryukzaki/ryukzaki/sportivnaya-sumka-impact-iz-pererabotannogo-neokrashennogo-kanvasa-aware-285-gm-p707192/" , "P707.192 Спортивная сумка Impact из переработанного неокрашенного канваса AWARE™, 285 г/м²")</f>
      </c>
      <c r="C27978" s="4" t="n">
        <v>3490.00</v>
      </c>
      <c r="D27978" s="4"/>
    </row>
    <row collapsed="" customFormat="false" customHeight="1" hidden="" ht="14" outlineLevel="0" r="27979">
      <c r="A27979" s="3" t="inlineStr">
        <is>
          <t>27856</t>
        </is>
      </c>
      <c r="B27979" s="4" t="s">
        <f>=HYPERLINK("http://anyluxury.ru/shop/sumki-i-ryukzaki/ryukzaki/sportivnaya-sumka-impact-iz-pererabotannogo-neokrashennogo-kanvasa-aware-285-gm-p707191/" , "P707.191 Спортивная сумка Impact из переработанного неокрашенного канваса AWARE™, 285 г/м²")</f>
      </c>
      <c r="C27979" s="4" t="n">
        <v>3490.00</v>
      </c>
      <c r="D27979" s="4"/>
    </row>
    <row collapsed="" customFormat="false" customHeight="1" hidden="" ht="14" outlineLevel="0" r="27980">
      <c r="A27980" s="3" t="inlineStr">
        <is>
          <t>27857</t>
        </is>
      </c>
      <c r="B27980" s="4" t="s">
        <f>=HYPERLINK("http://anyluxury.ru/shop/sumki-i-ryukzaki/ryukzaki/sportivnaya-sumka-impact-iz-pererabotannogo-neokrashennogo-kanvasa-aware-285-gm-p707190/" , "P707.190 Спортивная сумка Impact из переработанного неокрашенного канваса AWARE™, 285 г/м²")</f>
      </c>
      <c r="C27980" s="4" t="n">
        <v>3490.00</v>
      </c>
      <c r="D27980" s="4"/>
    </row>
    <row collapsed="" customFormat="false" customHeight="1" hidden="" ht="14" outlineLevel="0" r="27981">
      <c r="A27981" s="3" t="inlineStr">
        <is>
          <t>27858</t>
        </is>
      </c>
      <c r="B27981" s="4" t="s">
        <f>=HYPERLINK("http://anyluxury.ru/shop/sumki-i-ryukzaki/ryukzaki/ryukzak-impact-iz-pererabotannogo-neokrashennogo-kanvasa-aware-285-gm-p762985/" , "P762.985 Рюкзак Impact из переработанного неокрашенного канваса AWARE™, 285 г/м²")</f>
      </c>
      <c r="C27981" s="4" t="n">
        <v>1772.00</v>
      </c>
      <c r="D27981" s="4"/>
    </row>
    <row collapsed="" customFormat="false" customHeight="1" hidden="" ht="14" outlineLevel="0" r="27982">
      <c r="A27982" s="3" t="inlineStr">
        <is>
          <t>27859</t>
        </is>
      </c>
      <c r="B27982" s="4" t="s">
        <f>=HYPERLINK("http://anyluxury.ru/shop/sumki-i-ryukzaki/ryukzaki/ryukzak-impact-iz-pererabotannogo-neokrashennogo-kanvasa-aware-285-gm-p762982/" , "P762.982 Рюкзак Impact из переработанного неокрашенного канваса AWARE™, 285 г/м²")</f>
      </c>
      <c r="C27982" s="4" t="n">
        <v>1772.00</v>
      </c>
      <c r="D27982" s="4"/>
    </row>
    <row collapsed="" customFormat="false" customHeight="1" hidden="" ht="14" outlineLevel="0" r="27983">
      <c r="A27983" s="3" t="inlineStr">
        <is>
          <t>27860</t>
        </is>
      </c>
      <c r="B27983" s="4" t="s">
        <f>=HYPERLINK("http://anyluxury.ru/shop/sumki-i-ryukzaki/ryukzaki/ryukzak-impact-iz-pererabotannogo-neokrashennogo-kanvasa-aware-285-gm-p762981/" , "P762.981 Рюкзак Impact из переработанного неокрашенного канваса AWARE™, 285 г/м²")</f>
      </c>
      <c r="C27983" s="4" t="n">
        <v>1772.00</v>
      </c>
      <c r="D27983" s="4"/>
    </row>
    <row collapsed="" customFormat="false" customHeight="1" hidden="" ht="14" outlineLevel="0" r="27984">
      <c r="A27984" s="3" t="inlineStr">
        <is>
          <t>27861</t>
        </is>
      </c>
      <c r="B27984" s="4" t="s">
        <f>=HYPERLINK("http://anyluxury.ru/shop/sumki-i-ryukzaki/ryukzaki/ryukzak-impact-iz-pererabotannogo-neokrashennogo-kanvasa-aware-285-gm-p762980/" , "P762.980 Рюкзак Impact из переработанного неокрашенного канваса AWARE™, 285 г/м²")</f>
      </c>
      <c r="C27984" s="4" t="n">
        <v>1772.00</v>
      </c>
      <c r="D27984" s="4"/>
    </row>
    <row collapsed="" customFormat="false" customHeight="1" hidden="" ht="14" outlineLevel="0" r="27985">
      <c r="A27985" s="3" t="inlineStr">
        <is>
          <t>27862</t>
        </is>
      </c>
      <c r="B27985" s="4" t="s">
        <f>=HYPERLINK("http://anyluxury.ru/shop/sumki-i-ryukzaki/ryukzaki/sumkashopper-impact-iz-pererabotannogo-neokrashennogo-kanvasa-aware-s-karmanom-240-gm-p762969/" , "P762.969 Сумка-шоппер Impact из переработанного неокрашенного канваса AWARE™ с карманом, 240 г/м²")</f>
      </c>
      <c r="C27985" s="4" t="n">
        <v>1238.00</v>
      </c>
      <c r="D27985" s="4"/>
    </row>
    <row collapsed="" customFormat="false" customHeight="1" hidden="" ht="14" outlineLevel="0" r="27986">
      <c r="A27986" s="3" t="inlineStr">
        <is>
          <t>27863</t>
        </is>
      </c>
      <c r="B27986" s="4" t="s">
        <f>=HYPERLINK("http://anyluxury.ru/shop/sumki-i-ryukzaki/ryukzaki/sumkashopper-impact-iz-pererabotannogo-neokrashennogo-kanvasa-aware-s-karmanom-240-gm-p762968/" , "P762.968 Сумка-шоппер Impact из переработанного неокрашенного канваса AWARE™ с карманом, 240 г/м²")</f>
      </c>
      <c r="C27986" s="4" t="n">
        <v>1238.00</v>
      </c>
      <c r="D27986" s="4"/>
    </row>
    <row collapsed="" customFormat="false" customHeight="1" hidden="" ht="14" outlineLevel="0" r="27987">
      <c r="A27987" s="3" t="inlineStr">
        <is>
          <t>27864</t>
        </is>
      </c>
      <c r="B27987" s="4" t="s">
        <f>=HYPERLINK("http://anyluxury.ru/shop/sumki-i-ryukzaki/ryukzaki/sumkashopper-impact-iz-pererabotannogo-neokrashennogo-kanvasa-aware-s-karmanom-240-gm-p762967/" , "P762.967 Сумка-шоппер Impact из переработанного неокрашенного канваса AWARE™ с карманом, 240 г/м²")</f>
      </c>
      <c r="C27987" s="4" t="n">
        <v>1238.00</v>
      </c>
      <c r="D27987" s="4"/>
    </row>
    <row collapsed="" customFormat="false" customHeight="1" hidden="" ht="14" outlineLevel="0" r="27988">
      <c r="A27988" s="3" t="inlineStr">
        <is>
          <t>27865</t>
        </is>
      </c>
      <c r="B27988" s="4" t="s">
        <f>=HYPERLINK("http://anyluxury.ru/shop/sumki-i-ryukzaki/ryukzaki/sumkashopper-impact-iz-pererabotannogo-neokrashennogo-kanvasa-aware-s-karmanom-240-gm-p762965/" , "P762.965 Сумка-шоппер Impact из переработанного неокрашенного канваса AWARE™ с карманом, 240 г/м²")</f>
      </c>
      <c r="C27988" s="4" t="n">
        <v>1238.00</v>
      </c>
      <c r="D27988" s="4"/>
    </row>
    <row collapsed="" customFormat="false" customHeight="1" hidden="" ht="14" outlineLevel="0" r="27989">
      <c r="A27989" s="3" t="inlineStr">
        <is>
          <t>27866</t>
        </is>
      </c>
      <c r="B27989" s="4" t="s">
        <f>=HYPERLINK("http://anyluxury.ru/shop/sumki-i-ryukzaki/ryukzaki/sumkashopper-impact-iz-pererabotannogo-neokrashennogo-kanvasa-aware-s-karmanom-240-gm-p762962/" , "P762.962 Сумка-шоппер Impact из переработанного неокрашенного канваса AWARE™ с карманом, 240 г/м²")</f>
      </c>
      <c r="C27989" s="4" t="n">
        <v>1238.00</v>
      </c>
      <c r="D27989" s="4"/>
    </row>
    <row collapsed="" customFormat="false" customHeight="1" hidden="" ht="14" outlineLevel="0" r="27990">
      <c r="A27990" s="3" t="inlineStr">
        <is>
          <t>27867</t>
        </is>
      </c>
      <c r="B27990" s="4" t="s">
        <f>=HYPERLINK("http://anyluxury.ru/shop/sumki-i-ryukzaki/ryukzaki/sumkashopper-impact-iz-pererabotannogo-neokrashennogo-kanvasa-aware-s-karmanom-240-gm-p762961/" , "P762.961 Сумка-шоппер Impact из переработанного неокрашенного канваса AWARE™ с карманом, 240 г/м²")</f>
      </c>
      <c r="C27990" s="4" t="n">
        <v>1238.00</v>
      </c>
      <c r="D27990" s="4"/>
    </row>
    <row collapsed="" customFormat="false" customHeight="1" hidden="" ht="14" outlineLevel="0" r="27991">
      <c r="A27991" s="3" t="inlineStr">
        <is>
          <t>27868</t>
        </is>
      </c>
      <c r="B27991" s="4" t="s">
        <f>=HYPERLINK("http://anyluxury.ru/shop/sumki-i-ryukzaki/ryukzaki/sumkashopper-impact-iz-pererabotannogo-neokrashennogo-kanvasa-aware-s-karmanom-240-gm-p762960/" , "P762.960 Сумка-шоппер Impact из переработанного неокрашенного канваса AWARE™ с карманом, 240 г/м²")</f>
      </c>
      <c r="C27991" s="4" t="n">
        <v>1238.00</v>
      </c>
      <c r="D27991" s="4"/>
    </row>
    <row collapsed="" customFormat="false" customHeight="1" hidden="" ht="14" outlineLevel="0" r="27992">
      <c r="A27992" s="3" t="inlineStr">
        <is>
          <t>27869</t>
        </is>
      </c>
      <c r="B27992" s="4" t="s">
        <f>=HYPERLINK("http://anyluxury.ru/shop/sumki-i-ryukzaki/ryukzaki/bolshaya-sumkashopper-impact-iz-pererabotannogo-neokrashennogo-kanvasa-aware-240-gm-p762959/" , "P762.959 Большая сумка-шоппер Impact из переработанного неокрашенного канваса AWARE™, 240 г/м²")</f>
      </c>
      <c r="C27992" s="4" t="n">
        <v>1238.00</v>
      </c>
      <c r="D27992" s="4"/>
    </row>
    <row collapsed="" customFormat="false" customHeight="1" hidden="" ht="14" outlineLevel="0" r="27993">
      <c r="A27993" s="3" t="inlineStr">
        <is>
          <t>27870</t>
        </is>
      </c>
      <c r="B27993" s="4" t="s">
        <f>=HYPERLINK("http://anyluxury.ru/shop/sumki-i-ryukzaki/ryukzaki/bolshaya-sumkashopper-impact-iz-pererabotannogo-neokrashennogo-kanvasa-aware-240-gm-p762958/" , "P762.958 Большая сумка-шоппер Impact из переработанного неокрашенного канваса AWARE™, 240 г/м²")</f>
      </c>
      <c r="C27993" s="4" t="n">
        <v>1238.00</v>
      </c>
      <c r="D27993" s="4"/>
    </row>
    <row collapsed="" customFormat="false" customHeight="1" hidden="" ht="14" outlineLevel="0" r="27994">
      <c r="A27994" s="3" t="inlineStr">
        <is>
          <t>27871</t>
        </is>
      </c>
      <c r="B27994" s="4" t="s">
        <f>=HYPERLINK("http://anyluxury.ru/shop/sumki-i-ryukzaki/ryukzaki/bolshaya-sumkashopper-impact-iz-pererabotannogo-neokrashennogo-kanvasa-aware-240-gm-p762957/" , "P762.957 Большая сумка-шоппер Impact из переработанного неокрашенного канваса AWARE™, 240 г/м²")</f>
      </c>
      <c r="C27994" s="4" t="n">
        <v>1238.00</v>
      </c>
      <c r="D27994" s="4"/>
    </row>
    <row collapsed="" customFormat="false" customHeight="1" hidden="" ht="14" outlineLevel="0" r="27995">
      <c r="A27995" s="3" t="inlineStr">
        <is>
          <t>27872</t>
        </is>
      </c>
      <c r="B27995" s="4" t="s">
        <f>=HYPERLINK("http://anyluxury.ru/shop/sumki-i-ryukzaki/ryukzaki/bolshaya-sumkashopper-impact-iz-pererabotannogo-neokrashennogo-kanvasa-aware-240-gm-p762955/" , "P762.955 Большая сумка-шоппер Impact из переработанного неокрашенного канваса AWARE™, 240 г/м²")</f>
      </c>
      <c r="C27995" s="4" t="n">
        <v>1238.00</v>
      </c>
      <c r="D27995" s="4"/>
    </row>
    <row collapsed="" customFormat="false" customHeight="1" hidden="" ht="14" outlineLevel="0" r="27996">
      <c r="A27996" s="3" t="inlineStr">
        <is>
          <t>27873</t>
        </is>
      </c>
      <c r="B27996" s="4" t="s">
        <f>=HYPERLINK("http://anyluxury.ru/shop/sumki-i-ryukzaki/ryukzaki/bolshaya-sumkashopper-impact-iz-pererabotannogo-neokrashennogo-kanvasa-aware-240-gm-p762952/" , "P762.952 Большая сумка-шоппер Impact из переработанного неокрашенного канваса AWARE™, 240 г/м²")</f>
      </c>
      <c r="C27996" s="4" t="n">
        <v>1238.00</v>
      </c>
      <c r="D27996" s="4"/>
    </row>
    <row collapsed="" customFormat="false" customHeight="1" hidden="" ht="14" outlineLevel="0" r="27997">
      <c r="A27997" s="3" t="inlineStr">
        <is>
          <t>27874</t>
        </is>
      </c>
      <c r="B27997" s="4" t="s">
        <f>=HYPERLINK("http://anyluxury.ru/shop/sumki-i-ryukzaki/ryukzaki/bolshaya-sumkashopper-impact-iz-pererabotannogo-neokrashennogo-kanvasa-aware-240-gm-p762951/" , "P762.951 Большая сумка-шоппер Impact из переработанного неокрашенного канваса AWARE™, 240 г/м²")</f>
      </c>
      <c r="C27997" s="4" t="n">
        <v>1238.00</v>
      </c>
      <c r="D27997" s="4"/>
    </row>
    <row collapsed="" customFormat="false" customHeight="1" hidden="" ht="14" outlineLevel="0" r="27998">
      <c r="A27998" s="3" t="inlineStr">
        <is>
          <t>27875</t>
        </is>
      </c>
      <c r="B27998" s="4" t="s">
        <f>=HYPERLINK("http://anyluxury.ru/shop/sumki-i-ryukzaki/ryukzaki/bolshaya-sumkashopper-impact-iz-pererabotannogo-neokrashennogo-kanvasa-aware-240-gm-p762950/" , "P762.950 Большая сумка-шоппер Impact из переработанного неокрашенного канваса AWARE™, 240 г/м²")</f>
      </c>
      <c r="C27998" s="4" t="n">
        <v>1238.00</v>
      </c>
      <c r="D27998" s="4"/>
    </row>
    <row collapsed="" customFormat="false" customHeight="1" hidden="" ht="14" outlineLevel="0" r="27999">
      <c r="A27999" s="3" t="inlineStr">
        <is>
          <t>27876</t>
        </is>
      </c>
      <c r="B27999" s="4" t="s">
        <f>=HYPERLINK("http://anyluxury.ru/shop/sumki-i-ryukzaki/ryukzaki/sumkashopper-impact-iz-pererabotannogo-kanvasa-aware-285-gm-p762948/" , "P762.948 Сумка-шоппер Impact из переработанного канваса AWARE™, 285 г/м²")</f>
      </c>
      <c r="C27999" s="4" t="n">
        <v>899.00</v>
      </c>
      <c r="D27999" s="4"/>
    </row>
    <row collapsed="" customFormat="false" customHeight="1" hidden="" ht="14" outlineLevel="0" r="28000">
      <c r="A28000" s="3" t="inlineStr">
        <is>
          <t>27877</t>
        </is>
      </c>
      <c r="B28000" s="4" t="s">
        <f>=HYPERLINK("http://anyluxury.ru/shop/sumki-i-ryukzaki/ryukzaki/sumkashopper-impact-iz-pererabotannogo-kanvasa-aware-285-gm-p762947/" , "P762.947 Сумка-шоппер Impact из переработанного канваса AWARE™, 285 г/м²")</f>
      </c>
      <c r="C28000" s="4" t="n">
        <v>899.00</v>
      </c>
      <c r="D28000" s="4"/>
    </row>
    <row collapsed="" customFormat="false" customHeight="1" hidden="" ht="14" outlineLevel="0" r="28001">
      <c r="A28001" s="3" t="inlineStr">
        <is>
          <t>27878</t>
        </is>
      </c>
      <c r="B28001" s="4" t="s">
        <f>=HYPERLINK("http://anyluxury.ru/shop/sumki-i-ryukzaki/ryukzaki/sumkashopper-impact-iz-pererabotannogo-kanvasa-aware-285-gm-p762946/" , "P762.946 Сумка-шоппер Impact из переработанного канваса AWARE™, 285 г/м²")</f>
      </c>
      <c r="C28001" s="4" t="n">
        <v>899.00</v>
      </c>
      <c r="D28001" s="4"/>
    </row>
    <row collapsed="" customFormat="false" customHeight="1" hidden="" ht="14" outlineLevel="0" r="28002">
      <c r="A28002" s="3" t="inlineStr">
        <is>
          <t>27879</t>
        </is>
      </c>
      <c r="B28002" s="4" t="s">
        <f>=HYPERLINK("http://anyluxury.ru/shop/sumki-i-ryukzaki/ryukzaki/sumkashopper-impact-iz-pererabotannogo-kanvasa-aware-285-gm-p762945/" , "P762.945 Сумка-шоппер Impact из переработанного канваса AWARE™, 285 г/м²")</f>
      </c>
      <c r="C28002" s="4" t="n">
        <v>899.00</v>
      </c>
      <c r="D28002" s="4"/>
    </row>
    <row collapsed="" customFormat="false" customHeight="1" hidden="" ht="14" outlineLevel="0" r="28003">
      <c r="A28003" s="3" t="inlineStr">
        <is>
          <t>27880</t>
        </is>
      </c>
      <c r="B28003" s="4" t="s">
        <f>=HYPERLINK("http://anyluxury.ru/shop/sumki-i-ryukzaki/ryukzaki/sumkashopper-impact-iz-pererabotannogo-kanvasa-aware-285-gm-p762944/" , "P762.944 Сумка-шоппер Impact из переработанного канваса AWARE™, 285 г/м²")</f>
      </c>
      <c r="C28003" s="4" t="n">
        <v>899.00</v>
      </c>
      <c r="D28003" s="4"/>
    </row>
    <row collapsed="" customFormat="false" customHeight="1" hidden="" ht="14" outlineLevel="0" r="28004">
      <c r="A28004" s="3" t="inlineStr">
        <is>
          <t>27881</t>
        </is>
      </c>
      <c r="B28004" s="4" t="s">
        <f>=HYPERLINK("http://anyluxury.ru/shop/sumki-i-ryukzaki/ryukzaki/sumkashopper-impact-iz-pererabotannogo-neokrashennogo-kanvasa-aware-285-gm-p762938/" , "P762.938 Сумка-шоппер Impact из переработанного неокрашенного канваса AWARE™, 285 г/м²")</f>
      </c>
      <c r="C28004" s="4" t="n">
        <v>709.00</v>
      </c>
      <c r="D28004" s="4"/>
    </row>
    <row collapsed="" customFormat="false" customHeight="1" hidden="" ht="14" outlineLevel="0" r="28005">
      <c r="A28005" s="3" t="inlineStr">
        <is>
          <t>27882</t>
        </is>
      </c>
      <c r="B28005" s="4" t="s">
        <f>=HYPERLINK("http://anyluxury.ru/shop/sumki-i-ryukzaki/ryukzaki/sumkashopper-impact-iz-pererabotannogo-neokrashennogo-kanvasa-aware-285-gm-p762937/" , "P762.937 Сумка-шоппер Impact из переработанного неокрашенного канваса AWARE™, 285 г/м²")</f>
      </c>
      <c r="C28005" s="4" t="n">
        <v>709.00</v>
      </c>
      <c r="D28005" s="4"/>
    </row>
    <row collapsed="" customFormat="false" customHeight="1" hidden="" ht="14" outlineLevel="0" r="28006">
      <c r="A28006" s="3" t="inlineStr">
        <is>
          <t>27883</t>
        </is>
      </c>
      <c r="B28006" s="4" t="s">
        <f>=HYPERLINK("http://anyluxury.ru/shop/sumki-i-ryukzaki/ryukzaki/sumkashopper-impact-iz-pererabotannogo-neokrashennogo-kanvasa-aware-285-gm-p762932/" , "P762.932 Сумка-шоппер Impact из переработанного неокрашенного канваса AWARE™, 285 г/м²")</f>
      </c>
      <c r="C28006" s="4" t="n">
        <v>709.00</v>
      </c>
      <c r="D28006" s="4"/>
    </row>
    <row collapsed="" customFormat="false" customHeight="1" hidden="" ht="14" outlineLevel="0" r="28007">
      <c r="A28007" s="3" t="inlineStr">
        <is>
          <t>27884</t>
        </is>
      </c>
      <c r="B28007" s="4" t="s">
        <f>=HYPERLINK("http://anyluxury.ru/shop/sumki-i-ryukzaki/ryukzaki/sumkashopper-impact-iz-pererabotannogo-neokrashennogo-kanvasa-aware-285-gm-p762930/" , "P762.930 Сумка-шоппер Impact из переработанного неокрашенного канваса AWARE™, 285 г/м²")</f>
      </c>
      <c r="C28007" s="4" t="n">
        <v>709.00</v>
      </c>
      <c r="D28007" s="4"/>
    </row>
    <row collapsed="" customFormat="false" customHeight="1" hidden="" ht="14" outlineLevel="0" r="28008">
      <c r="A28008" s="3" t="inlineStr">
        <is>
          <t>27885</t>
        </is>
      </c>
      <c r="B28008" s="4" t="s">
        <f>=HYPERLINK("http://anyluxury.ru/shop/sumki-i-ryukzaki/ryukzaki/ryukzaktransformer-ringlink-cherniy-1383730/" , "13837.30 Рюкзак-трансформер ringLink, черный")</f>
      </c>
      <c r="C28008" s="4" t="n">
        <v>2790.00</v>
      </c>
      <c r="D28008" s="4"/>
    </row>
    <row collapsed="" customFormat="false" customHeight="1" hidden="" ht="14" outlineLevel="0" r="28009">
      <c r="A28009" s="3" t="inlineStr">
        <is>
          <t>27886</t>
        </is>
      </c>
      <c r="B28009" s="4" t="s">
        <f>=HYPERLINK("http://anyluxury.ru/shop/sumki-i-ryukzaki/ryukzaki/ryukzaktransformer-ringlink-s-otstegivayushhimsya-karmanom-cherniy-1536730/" , "15367.30 Рюкзак-трансформер ringLink с отстегивающимся карманом, черный")</f>
      </c>
      <c r="C28009" s="4" t="n">
        <v>4310.00</v>
      </c>
      <c r="D28009" s="4"/>
    </row>
    <row collapsed="" customFormat="false" customHeight="1" hidden="" ht="14" outlineLevel="0" r="28010">
      <c r="A28010" s="3" t="inlineStr">
        <is>
          <t>27887</t>
        </is>
      </c>
      <c r="B28010" s="4" t="s">
        <f>=HYPERLINK("http://anyluxury.ru/shop/sumki-i-ryukzaki/ryukzaki/ryukzaktransformer-ringlink-s-otstegivayushhimsya-organayzerom-cherniy-1536830/" , "15368.30 Рюкзак-трансформер ringLink с отстегивающимся органайзером, черный")</f>
      </c>
      <c r="C28010" s="4" t="n">
        <v>3610.00</v>
      </c>
      <c r="D28010" s="4"/>
    </row>
    <row collapsed="" customFormat="false" customHeight="1" hidden="" ht="14" outlineLevel="0" r="28011">
      <c r="A28011" s="3" t="inlineStr">
        <is>
          <t>27888</t>
        </is>
      </c>
      <c r="B28011" s="4" t="s">
        <f>=HYPERLINK("http://anyluxury.ru/shop/sumki-i-ryukzaki/ryukzaki/ryukzaktransformer-ringlink-s-otstegivayushhimisya-karmanom-i-organayzerom-cherniy-1536930/" , "15369.30 Рюкзак-трансформер ringLink с отстегивающимися карманом и органайзером, черный")</f>
      </c>
      <c r="C28011" s="4" t="n">
        <v>5115.00</v>
      </c>
      <c r="D28011" s="4"/>
    </row>
    <row collapsed="" customFormat="false" customHeight="1" hidden="" ht="14" outlineLevel="0" r="28012">
      <c r="A28012" s="3" t="inlineStr">
        <is>
          <t>27889</t>
        </is>
      </c>
      <c r="B28012" s="4" t="s">
        <f>=HYPERLINK("http://anyluxury.ru/shop/sumki-i-ryukzaki/ryukzaki/dorozhnaya-sumka-vinga-hunton-522019/" , "522019 Дорожная сумка VINGA Hunton")</f>
      </c>
      <c r="C28012" s="4" t="n">
        <v>8363.00</v>
      </c>
      <c r="D28012" s="4"/>
    </row>
    <row collapsed="" customFormat="false" customHeight="1" hidden="" ht="14" outlineLevel="0" r="28013">
      <c r="A28013" s="3" t="inlineStr">
        <is>
          <t>27890</t>
        </is>
      </c>
      <c r="B28013" s="4" t="s">
        <f>=HYPERLINK("http://anyluxury.ru/shop/sumki-i-ryukzaki/ryukzaki/dorozhnaya-sumka-vinga-bosler-iz-kanvasa-522218/" , "522218 Дорожная сумка VINGA Bosler из канваса")</f>
      </c>
      <c r="C28013" s="4" t="n">
        <v>8006.00</v>
      </c>
      <c r="D28013" s="4"/>
    </row>
    <row collapsed="" customFormat="false" customHeight="1" hidden="" ht="14" outlineLevel="0" r="28014">
      <c r="A28014" s="3" t="inlineStr">
        <is>
          <t>27891</t>
        </is>
      </c>
      <c r="B28014" s="4" t="s">
        <f>=HYPERLINK("http://anyluxury.ru/shop/sumki-i-ryukzaki/ryukzaki/dorozhnaya-sumka-vinga-bosler-iz-kanvasa-522221/" , "522221 Дорожная сумка VINGA Bosler из канваса")</f>
      </c>
      <c r="C28014" s="4" t="n">
        <v>8006.00</v>
      </c>
      <c r="D28014" s="4"/>
    </row>
    <row collapsed="" customFormat="false" customHeight="1" hidden="" ht="14" outlineLevel="0" r="28015">
      <c r="A28015" s="3" t="inlineStr">
        <is>
          <t>27892</t>
        </is>
      </c>
      <c r="B28015" s="4" t="s">
        <f>=HYPERLINK("http://anyluxury.ru/shop/sumki-i-ryukzaki/ryukzaki/dorozhnaya-sumka-vinga-bosler-iz-kanvasa-522220/" , "522220 Дорожная сумка VINGA Bosler из канваса")</f>
      </c>
      <c r="C28015" s="4" t="n">
        <v>8006.00</v>
      </c>
      <c r="D28015" s="4"/>
    </row>
    <row collapsed="" customFormat="false" customHeight="1" hidden="" ht="14" outlineLevel="0" r="28016">
      <c r="A28016" s="3" t="inlineStr">
        <is>
          <t>27893</t>
        </is>
      </c>
      <c r="B28016" s="4" t="s">
        <f>=HYPERLINK("http://anyluxury.ru/shop/sumki-i-ryukzaki/ryukzaki/dorozhnaya-sumka-vinga-bosler-iz-kanvasa-522219/" , "522219 Дорожная сумка VINGA Bosler из канваса")</f>
      </c>
      <c r="C28016" s="4" t="n">
        <v>8006.00</v>
      </c>
      <c r="D28016" s="4"/>
    </row>
    <row collapsed="" customFormat="false" customHeight="1" hidden="" ht="14" outlineLevel="0" r="28017">
      <c r="A28017" s="3" t="inlineStr">
        <is>
          <t>27894</t>
        </is>
      </c>
      <c r="B28017" s="4" t="s">
        <f>=HYPERLINK("http://anyluxury.ru/shop/sumki-i-ryukzaki/ryukzaki/sumkashopper-vinga-iz-kanvasa-2307/" , "2307 Сумка-шоппер VINGA из канваса")</f>
      </c>
      <c r="C28017" s="4" t="n">
        <v>934.00</v>
      </c>
      <c r="D28017" s="4"/>
    </row>
    <row collapsed="" customFormat="false" customHeight="1" hidden="" ht="14" outlineLevel="0" r="28018">
      <c r="A28018" s="3" t="inlineStr">
        <is>
          <t>27895</t>
        </is>
      </c>
      <c r="B28018" s="4" t="s">
        <f>=HYPERLINK("http://anyluxury.ru/shop/sumki-i-ryukzaki/ryukzaki/sumkashopper-vinga-iz-kanvasa-2316/" , "2316 Футболка Regent 150 светло-желтая, размер M")</f>
      </c>
      <c r="C28018" s="4" t="n">
        <v>531.00</v>
      </c>
      <c r="D28018" s="4"/>
    </row>
    <row collapsed="" customFormat="false" customHeight="1" hidden="" ht="14" outlineLevel="0" r="28019">
      <c r="A28019" s="3" t="inlineStr">
        <is>
          <t>27896</t>
        </is>
      </c>
      <c r="B28019" s="4" t="s">
        <f>=HYPERLINK("http://anyluxury.ru/shop/sumki-i-ryukzaki/ryukzaki/ryukzak-vinga-sloane-iz-rpet-560125/" , "560125 Рюкзак VINGA Sloane из rPET")</f>
      </c>
      <c r="C28019" s="4" t="n">
        <v>8725.00</v>
      </c>
      <c r="D28019" s="4"/>
    </row>
    <row collapsed="" customFormat="false" customHeight="1" hidden="" ht="14" outlineLevel="0" r="28020">
      <c r="A28020" s="3" t="inlineStr">
        <is>
          <t>27897</t>
        </is>
      </c>
      <c r="B28020" s="4" t="s">
        <f>=HYPERLINK("http://anyluxury.ru/shop/sumki-i-ryukzaki/ryukzaki/velosipednaya-sumkaholodilnik-vinga-sortino-iz-rpet-518003/" , "518003 Велосипедная сумка-холодильник VINGA Sortino из rPET")</f>
      </c>
      <c r="C28020" s="4" t="n">
        <v>2481.00</v>
      </c>
      <c r="D28020" s="4"/>
    </row>
    <row collapsed="" customFormat="false" customHeight="1" hidden="" ht="14" outlineLevel="0" r="28021">
      <c r="A28021" s="3" t="inlineStr">
        <is>
          <t>27898</t>
        </is>
      </c>
      <c r="B28021" s="4" t="s">
        <f>=HYPERLINK("http://anyluxury.ru/shop/sumki-i-ryukzaki/ryukzaki/velosipednaya-sumkaholodilnik-vinga-sortino-iz-rpet-518002/" , "518002 Велосипедная сумка-холодильник VINGA Sortino из rPET")</f>
      </c>
      <c r="C28021" s="4" t="n">
        <v>2481.00</v>
      </c>
      <c r="D28021" s="4"/>
    </row>
    <row collapsed="" customFormat="false" customHeight="1" hidden="" ht="14" outlineLevel="0" r="28022">
      <c r="A28022" s="3" t="inlineStr">
        <is>
          <t>27899</t>
        </is>
      </c>
      <c r="B28022" s="4" t="s">
        <f>=HYPERLINK("http://anyluxury.ru/shop/sumki-i-ryukzaki/ryukzaki/velosipednaya-sumkaholodilnik-vinga-sortino-iz-rpet-518001/" , "518001 Велосипедная сумка-холодильник VINGA Sortino из rPET")</f>
      </c>
      <c r="C28022" s="4" t="n">
        <v>2481.00</v>
      </c>
      <c r="D28022" s="4"/>
    </row>
    <row collapsed="" customFormat="false" customHeight="1" hidden="" ht="14" outlineLevel="0" r="28023">
      <c r="A28023" s="3" t="inlineStr">
        <is>
          <t>27900</t>
        </is>
      </c>
      <c r="B28023" s="4" t="s">
        <f>=HYPERLINK("http://anyluxury.ru/shop/sumki-i-ryukzaki/ryukzaki/ryukzak-vinga-hunton-508119/" , "508119 Рюкзак VINGA Hunton")</f>
      </c>
      <c r="C28023" s="4" t="n">
        <v>8006.00</v>
      </c>
      <c r="D28023" s="4"/>
    </row>
    <row collapsed="" customFormat="false" customHeight="1" hidden="" ht="14" outlineLevel="0" r="28024">
      <c r="A28024" s="3" t="inlineStr">
        <is>
          <t>27901</t>
        </is>
      </c>
      <c r="B28024" s="4" t="s">
        <f>=HYPERLINK("http://anyluxury.ru/shop/sumki-i-ryukzaki/ryukzaki/ofisnaya-sumka-vinga-baltimore-501719/" , "501719 Офисная сумка VINGA Baltimore")</f>
      </c>
      <c r="C28024" s="4" t="n">
        <v>9256.00</v>
      </c>
      <c r="D28024" s="4"/>
    </row>
    <row collapsed="" customFormat="false" customHeight="1" hidden="" ht="14" outlineLevel="0" r="28025">
      <c r="A28025" s="3" t="inlineStr">
        <is>
          <t>27902</t>
        </is>
      </c>
      <c r="B28025" s="4" t="s">
        <f>=HYPERLINK("http://anyluxury.ru/shop/sumki-i-ryukzaki/ryukzaki/sumkaryukzak-vinga-baltimore-501818/" , "501818 Сумка-рюкзак VINGA Baltimore")</f>
      </c>
      <c r="C28025" s="4" t="n">
        <v>6581.00</v>
      </c>
      <c r="D28025" s="4"/>
    </row>
    <row collapsed="" customFormat="false" customHeight="1" hidden="" ht="14" outlineLevel="0" r="28026">
      <c r="A28026" s="3" t="inlineStr">
        <is>
          <t>27903</t>
        </is>
      </c>
      <c r="B28026" s="4" t="s">
        <f>=HYPERLINK("http://anyluxury.ru/shop/sumki-i-ryukzaki/ryukzaki/sumkaryukzak-vinga-baltimore-501819/" , "501819 Сумка-рюкзак VINGA Baltimore")</f>
      </c>
      <c r="C28026" s="4" t="n">
        <v>6581.00</v>
      </c>
      <c r="D28026" s="4"/>
    </row>
    <row collapsed="" customFormat="false" customHeight="1" hidden="" ht="14" outlineLevel="0" r="28027">
      <c r="A28027" s="3" t="inlineStr">
        <is>
          <t>27904</t>
        </is>
      </c>
      <c r="B28027" s="4" t="s">
        <f>=HYPERLINK("http://anyluxury.ru/shop/sumki-i-ryukzaki/ryukzaki/sumkaryukzak-vinga-baltimore-501820/" , "501820 Сумка-рюкзак VINGA Baltimore")</f>
      </c>
      <c r="C28027" s="4" t="n">
        <v>6581.00</v>
      </c>
      <c r="D28027" s="4"/>
    </row>
    <row collapsed="" customFormat="false" customHeight="1" hidden="" ht="14" outlineLevel="0" r="28028">
      <c r="A28028" s="3" t="inlineStr">
        <is>
          <t>27905</t>
        </is>
      </c>
      <c r="B28028" s="4" t="s">
        <f>=HYPERLINK("http://anyluxury.ru/shop/sumki-i-ryukzaki/ryukzaki/sumkaryukzak-vinga-baltimore-501821/" , "501821 Сумка-рюкзак VINGA Baltimore")</f>
      </c>
      <c r="C28028" s="4" t="n">
        <v>6581.00</v>
      </c>
      <c r="D28028" s="4"/>
    </row>
    <row collapsed="" customFormat="false" customHeight="1" hidden="" ht="14" outlineLevel="0" r="28029">
      <c r="A28029" s="3" t="inlineStr">
        <is>
          <t>27906</t>
        </is>
      </c>
      <c r="B28029" s="4" t="s">
        <f>=HYPERLINK("http://anyluxury.ru/shop/sumki-i-ryukzaki/ryukzaki/sumka-dlya-noutbuka-vinga-baltimore-500518/" , "500518 Сумка для ноутбука VINGA Baltimore")</f>
      </c>
      <c r="C28029" s="4" t="n">
        <v>5866.00</v>
      </c>
      <c r="D28029" s="4"/>
    </row>
    <row collapsed="" customFormat="false" customHeight="1" hidden="" ht="14" outlineLevel="0" r="28030">
      <c r="A28030" s="3" t="inlineStr">
        <is>
          <t>27907</t>
        </is>
      </c>
      <c r="B28030" s="4" t="s">
        <f>=HYPERLINK("http://anyluxury.ru/shop/sumki-i-ryukzaki/ryukzaki/sumka-dlya-noutbuka-vinga-baltimore-500519/" , "500519 Сумка для ноутбука VINGA Baltimore")</f>
      </c>
      <c r="C28030" s="4" t="n">
        <v>5866.00</v>
      </c>
      <c r="D28030" s="4"/>
    </row>
    <row collapsed="" customFormat="false" customHeight="1" hidden="" ht="14" outlineLevel="0" r="28031">
      <c r="A28031" s="3" t="inlineStr">
        <is>
          <t>27908</t>
        </is>
      </c>
      <c r="B28031" s="4" t="s">
        <f>=HYPERLINK("http://anyluxury.ru/shop/sumki-i-ryukzaki/ryukzaki/sumka-dlya-noutbuka-vinga-baltimore-500520/" , "500520 Сумка для ноутбука VINGA Baltimore")</f>
      </c>
      <c r="C28031" s="4" t="n">
        <v>5866.00</v>
      </c>
      <c r="D28031" s="4"/>
    </row>
    <row collapsed="" customFormat="false" customHeight="1" hidden="" ht="14" outlineLevel="0" r="28032">
      <c r="A28032" s="3" t="inlineStr">
        <is>
          <t>27909</t>
        </is>
      </c>
      <c r="B28032" s="4" t="s">
        <f>=HYPERLINK("http://anyluxury.ru/shop/sumki-i-ryukzaki/ryukzaki/sumka-dlya-noutbuka-vinga-baltimore-500521/" , "500521 Сумка для ноутбука VINGA Baltimore")</f>
      </c>
      <c r="C28032" s="4" t="n">
        <v>5866.00</v>
      </c>
      <c r="D28032" s="4"/>
    </row>
    <row collapsed="" customFormat="false" customHeight="1" hidden="" ht="14" outlineLevel="0" r="28033">
      <c r="A28033" s="3" t="inlineStr">
        <is>
          <t>27910</t>
        </is>
      </c>
      <c r="B28033" s="4" t="s">
        <f>=HYPERLINK("http://anyluxury.ru/shop/sumki-i-ryukzaki/ryukzaki/ryukzak-dlya-noutbuka-onefold-temnosiniy-1008440/" , "10084.40 Рюкзак для ноутбука Onefold, темно-синий")</f>
      </c>
      <c r="C28033" s="4" t="n">
        <v>2617.00</v>
      </c>
      <c r="D28033" s="4"/>
    </row>
    <row collapsed="" customFormat="false" customHeight="1" hidden="" ht="14" outlineLevel="0" r="28034">
      <c r="A28034" s="3" t="inlineStr">
        <is>
          <t>27911</t>
        </is>
      </c>
      <c r="B28034" s="4" t="s">
        <f>=HYPERLINK("http://anyluxury.ru/shop/sumki-i-ryukzaki/ryukzaki/ryukzak-dlya-noutbuka-instark-1464830/" , "14648.30 Рюкзак для ноутбука inStark")</f>
      </c>
      <c r="C28034" s="4" t="n">
        <v>5900.00</v>
      </c>
      <c r="D28034" s="4"/>
    </row>
    <row collapsed="" customFormat="false" customHeight="1" hidden="" ht="14" outlineLevel="0" r="28035">
      <c r="A28035" s="3" t="inlineStr">
        <is>
          <t>27912</t>
        </is>
      </c>
      <c r="B28035" s="4" t="s">
        <f>=HYPERLINK("http://anyluxury.ru/shop/sumki-i-ryukzaki/ryukzaki/ryukzak-traffic-cherniy-1476430/" , "14764.30 Рюкзак Traffic, черный")</f>
      </c>
      <c r="C28035" s="4" t="n">
        <v>4402.00</v>
      </c>
      <c r="D28035" s="4"/>
    </row>
    <row collapsed="" customFormat="false" customHeight="1" hidden="" ht="14" outlineLevel="0" r="28036">
      <c r="A28036" s="3" t="inlineStr">
        <is>
          <t>27913</t>
        </is>
      </c>
      <c r="B28036" s="4" t="s">
        <f>=HYPERLINK("http://anyluxury.ru/shop/sumki-i-ryukzaki/ryukzaki/ryukzak-packmate-sides-seriy-1473510/" , "14735.10 Рюкзак Packmate Sides, серый")</f>
      </c>
      <c r="C28036" s="4" t="n">
        <v>822.00</v>
      </c>
      <c r="D28036" s="4"/>
    </row>
    <row collapsed="" customFormat="false" customHeight="1" hidden="" ht="14" outlineLevel="0" r="28037">
      <c r="A28037" s="3" t="inlineStr">
        <is>
          <t>27914</t>
        </is>
      </c>
      <c r="B28037" s="4" t="s">
        <f>=HYPERLINK("http://anyluxury.ru/shop/sumki-i-ryukzaki/ryukzaki/ryukzak-packmate-sides-cherniy-1473530/" , "14735.30 Рюкзак Packmate Sides, черный")</f>
      </c>
      <c r="C28037" s="4" t="n">
        <v>822.00</v>
      </c>
      <c r="D28037" s="4"/>
    </row>
    <row collapsed="" customFormat="false" customHeight="1" hidden="" ht="14" outlineLevel="0" r="28038">
      <c r="A28038" s="3" t="inlineStr">
        <is>
          <t>27915</t>
        </is>
      </c>
      <c r="B28038" s="4" t="s">
        <f>=HYPERLINK("http://anyluxury.ru/shop/sumki-i-ryukzaki/ryukzaki/ryukzak-packmate-sides-krasniy-1473550/" , "14735.50 Рюкзак Packmate Sides, красный")</f>
      </c>
      <c r="C28038" s="4" t="n">
        <v>822.00</v>
      </c>
      <c r="D28038" s="4"/>
    </row>
    <row collapsed="" customFormat="false" customHeight="1" hidden="" ht="14" outlineLevel="0" r="28039">
      <c r="A28039" s="3" t="inlineStr">
        <is>
          <t>27916</t>
        </is>
      </c>
      <c r="B28039" s="4" t="s">
        <f>=HYPERLINK("http://anyluxury.ru/shop/sumki-i-ryukzaki/ryukzaki/ryukzak-packmate-pocket-seriy-1473610/" , "14736.10 Рюкзак Packmate Pocket, серый")</f>
      </c>
      <c r="C28039" s="4" t="n">
        <v>1087.00</v>
      </c>
      <c r="D28039" s="4"/>
    </row>
    <row collapsed="" customFormat="false" customHeight="1" hidden="" ht="14" outlineLevel="0" r="28040">
      <c r="A28040" s="3" t="inlineStr">
        <is>
          <t>27917</t>
        </is>
      </c>
      <c r="B28040" s="4" t="s">
        <f>=HYPERLINK("http://anyluxury.ru/shop/sumki-i-ryukzaki/ryukzaki/ryukzak-packmate-pocket-siniy-1473640/" , "14736.40 Рюкзак Packmate Pocket, синий")</f>
      </c>
      <c r="C28040" s="4" t="n">
        <v>1087.00</v>
      </c>
      <c r="D28040" s="4"/>
    </row>
    <row collapsed="" customFormat="false" customHeight="1" hidden="" ht="14" outlineLevel="0" r="28041">
      <c r="A28041" s="3" t="inlineStr">
        <is>
          <t>27918</t>
        </is>
      </c>
      <c r="B28041" s="4" t="s">
        <f>=HYPERLINK("http://anyluxury.ru/shop/sumki-i-ryukzaki/ryukzaki/ryukzak-packmate-pocket-zeleniy-1473690/" , "14736.90 Рюкзак Packmate Pocket, зеленый")</f>
      </c>
      <c r="C28041" s="4" t="n">
        <v>1087.00</v>
      </c>
      <c r="D28041" s="4"/>
    </row>
    <row collapsed="" customFormat="false" customHeight="1" hidden="" ht="14" outlineLevel="0" r="28042">
      <c r="A28042" s="3" t="inlineStr">
        <is>
          <t>27919</t>
        </is>
      </c>
      <c r="B28042" s="4" t="s">
        <f>=HYPERLINK("http://anyluxury.ru/shop/sumki-i-ryukzaki/ryukzaki/ryukzak-packmate-roll-seriy-1473710/" , "14737.10 Рюкзак Packmate Roll, серый")</f>
      </c>
      <c r="C28042" s="4" t="n">
        <v>1397.00</v>
      </c>
      <c r="D28042" s="4"/>
    </row>
    <row collapsed="" customFormat="false" customHeight="1" hidden="" ht="14" outlineLevel="0" r="28043">
      <c r="A28043" s="3" t="inlineStr">
        <is>
          <t>27920</t>
        </is>
      </c>
      <c r="B28043" s="4" t="s">
        <f>=HYPERLINK("http://anyluxury.ru/shop/sumki-i-ryukzaki/ryukzaki/ryukzak-packmate-roll-cherniy-1473730/" , "14737.30 Рюкзак Packmate Roll, черный")</f>
      </c>
      <c r="C28043" s="4" t="n">
        <v>1397.00</v>
      </c>
      <c r="D28043" s="4"/>
    </row>
    <row collapsed="" customFormat="false" customHeight="1" hidden="" ht="14" outlineLevel="0" r="28044">
      <c r="A28044" s="3" t="inlineStr">
        <is>
          <t>27921</t>
        </is>
      </c>
      <c r="B28044" s="4" t="s">
        <f>=HYPERLINK("http://anyluxury.ru/shop/sumki-i-ryukzaki/ryukzaki/ryukzak-packmate-roll-siniy-1473740/" , "14737.40 Рюкзак Packmate Roll, синий")</f>
      </c>
      <c r="C28044" s="4" t="n">
        <v>1397.00</v>
      </c>
      <c r="D28044" s="4"/>
    </row>
    <row collapsed="" customFormat="false" customHeight="1" hidden="" ht="14" outlineLevel="0" r="28045">
      <c r="A28045" s="3" t="inlineStr">
        <is>
          <t>27922</t>
        </is>
      </c>
      <c r="B28045" s="4" t="s">
        <f>=HYPERLINK("http://anyluxury.ru/shop/sumki-i-ryukzaki/ryukzaki/plyazhnaya-sumka-vinga-sortino-iz-rpet-51331/" , "51331 Пляжная сумка VINGA Sortino из rPET")</f>
      </c>
      <c r="C28045" s="4" t="n">
        <v>2844.00</v>
      </c>
      <c r="D28045" s="4"/>
    </row>
    <row collapsed="" customFormat="false" customHeight="1" hidden="" ht="14" outlineLevel="0" r="28046">
      <c r="A28046" s="3" t="inlineStr">
        <is>
          <t>27923</t>
        </is>
      </c>
      <c r="B28046" s="4" t="s">
        <f>=HYPERLINK("http://anyluxury.ru/shop/sumki-i-ryukzaki/ryukzaki/plyazhnaya-sumka-vinga-sortino-iz-rpet-51333/" , "51333 Пляжная сумка VINGA Sortino из rPET")</f>
      </c>
      <c r="C28046" s="4" t="n">
        <v>2844.00</v>
      </c>
      <c r="D28046" s="4"/>
    </row>
    <row collapsed="" customFormat="false" customHeight="1" hidden="" ht="14" outlineLevel="0" r="28047">
      <c r="A28047" s="3" t="inlineStr">
        <is>
          <t>27924</t>
        </is>
      </c>
      <c r="B28047" s="4" t="s">
        <f>=HYPERLINK("http://anyluxury.ru/shop/sumki-i-ryukzaki/ryukzaki/bolshaya-sumkaholodilnik-vinga-sortino-iz-rpet-51313/" , "51313 Большая сумка-холодильник VINGA Sortino из rPET")</f>
      </c>
      <c r="C28047" s="4" t="n">
        <v>4447.00</v>
      </c>
      <c r="D28047" s="4"/>
    </row>
    <row collapsed="" customFormat="false" customHeight="1" hidden="" ht="14" outlineLevel="0" r="28048">
      <c r="A28048" s="3" t="inlineStr">
        <is>
          <t>27925</t>
        </is>
      </c>
      <c r="B28048" s="4" t="s">
        <f>=HYPERLINK("http://anyluxury.ru/shop/sumki-i-ryukzaki/ryukzaki/sumkaholodilnik-vinga-sortino-iz-rpet-51321/" , "51321 Сумка-холодильник VINGA Sortino из rPET")</f>
      </c>
      <c r="C28048" s="4" t="n">
        <v>2844.00</v>
      </c>
      <c r="D28048" s="4"/>
    </row>
    <row collapsed="" customFormat="false" customHeight="1" hidden="" ht="14" outlineLevel="0" r="28049">
      <c r="A28049" s="3" t="inlineStr">
        <is>
          <t>27926</t>
        </is>
      </c>
      <c r="B28049" s="4" t="s">
        <f>=HYPERLINK("http://anyluxury.ru/shop/sumki-i-ryukzaki/ryukzaki/sumkaholodilnik-vinga-sortino-iz-rpet-51322/" , "51322 Сумка-холодильник VINGA Sortino из rPET")</f>
      </c>
      <c r="C28049" s="4" t="n">
        <v>2844.00</v>
      </c>
      <c r="D28049" s="4"/>
    </row>
    <row collapsed="" customFormat="false" customHeight="1" hidden="" ht="14" outlineLevel="0" r="28050">
      <c r="A28050" s="3" t="inlineStr">
        <is>
          <t>27927</t>
        </is>
      </c>
      <c r="B28050" s="4" t="s">
        <f>=HYPERLINK("http://anyluxury.ru/shop/sumki-i-ryukzaki/ryukzaki/sumkaholodilnik-vinga-sortino-iz-rpet-51323/" , "51323 Сумка-холодильник VINGA Sortino из rPET")</f>
      </c>
      <c r="C28050" s="4" t="n">
        <v>2844.00</v>
      </c>
      <c r="D28050" s="4"/>
    </row>
    <row collapsed="" customFormat="false" customHeight="1" hidden="" ht="14" outlineLevel="0" r="28051">
      <c r="A28051" s="3" t="inlineStr">
        <is>
          <t>27928</t>
        </is>
      </c>
      <c r="B28051" s="4" t="s">
        <f>=HYPERLINK("http://anyluxury.ru/shop/sumki-i-ryukzaki/ryukzaki/ryukzak-vinga-baltimore-500119/" , "500119 Рюкзак VINGA Baltimore")</f>
      </c>
      <c r="C28051" s="4" t="n">
        <v>5866.00</v>
      </c>
      <c r="D28051" s="4"/>
    </row>
    <row collapsed="" customFormat="false" customHeight="1" hidden="" ht="14" outlineLevel="0" r="28052">
      <c r="A28052" s="3" t="inlineStr">
        <is>
          <t>27929</t>
        </is>
      </c>
      <c r="B28052" s="4" t="s">
        <f>=HYPERLINK("http://anyluxury.ru/shop/sumki-i-ryukzaki/ryukzaki/ryukzak-vinga-baltimore-500121/" , "500121 Рюкзак VINGA Baltimore")</f>
      </c>
      <c r="C28052" s="4" t="n">
        <v>5866.00</v>
      </c>
      <c r="D28052" s="4"/>
    </row>
    <row collapsed="" customFormat="false" customHeight="1" hidden="" ht="14" outlineLevel="0" r="28053">
      <c r="A28053" s="3" t="inlineStr">
        <is>
          <t>27930</t>
        </is>
      </c>
      <c r="B28053" s="4" t="s">
        <f>=HYPERLINK("http://anyluxury.ru/shop/sumki-i-ryukzaki/ryukzaki/dorozhnaya-sumka-vinga-baltimore-500218/" , "500218 Дорожная сумка VINGA Baltimore")</f>
      </c>
      <c r="C28053" s="4" t="n">
        <v>6228.00</v>
      </c>
      <c r="D28053" s="4"/>
    </row>
    <row collapsed="" customFormat="false" customHeight="1" hidden="" ht="14" outlineLevel="0" r="28054">
      <c r="A28054" s="3" t="inlineStr">
        <is>
          <t>27931</t>
        </is>
      </c>
      <c r="B28054" s="4" t="s">
        <f>=HYPERLINK("http://anyluxury.ru/shop/sumki-i-ryukzaki/ryukzaki/dorozhnaya-sumka-vinga-baltimore-500219/" , "500219 Дорожная сумка VINGA Baltimore")</f>
      </c>
      <c r="C28054" s="4" t="n">
        <v>6228.00</v>
      </c>
      <c r="D28054" s="4"/>
    </row>
    <row collapsed="" customFormat="false" customHeight="1" hidden="" ht="14" outlineLevel="0" r="28055">
      <c r="A28055" s="3" t="inlineStr">
        <is>
          <t>27932</t>
        </is>
      </c>
      <c r="B28055" s="4" t="s">
        <f>=HYPERLINK("http://anyluxury.ru/shop/sumki-i-ryukzaki/ryukzaki/dorozhnaya-sumka-vinga-baltimore-500220/" , "500220 Дорожная сумка VINGA Baltimore")</f>
      </c>
      <c r="C28055" s="4" t="n">
        <v>6228.00</v>
      </c>
      <c r="D28055" s="4"/>
    </row>
    <row collapsed="" customFormat="false" customHeight="1" hidden="" ht="14" outlineLevel="0" r="28056">
      <c r="A28056" s="3" t="inlineStr">
        <is>
          <t>27933</t>
        </is>
      </c>
      <c r="B28056" s="4" t="s">
        <f>=HYPERLINK("http://anyluxury.ru/shop/sumki-i-ryukzaki/ryukzaki/dorozhnaya-sumka-vinga-baltimore-500221/" , "500221 Дорожная сумка VINGA Baltimore")</f>
      </c>
      <c r="C28056" s="4" t="n">
        <v>6228.00</v>
      </c>
      <c r="D28056" s="4"/>
    </row>
    <row collapsed="" customFormat="false" customHeight="1" hidden="" ht="14" outlineLevel="0" r="28057">
      <c r="A28057" s="3" t="inlineStr">
        <is>
          <t>27934</t>
        </is>
      </c>
      <c r="B28057" s="4" t="s">
        <f>=HYPERLINK("http://anyluxury.ru/shop/sumki-i-ryukzaki/ryukzaki/ryukzak-dlya-puteshestviy-vinga-baltimore-500318/" , "500318 Рюкзак для путешествий VINGA Baltimore")</f>
      </c>
      <c r="C28057" s="4" t="n">
        <v>7113.00</v>
      </c>
      <c r="D28057" s="4"/>
    </row>
    <row collapsed="" customFormat="false" customHeight="1" hidden="" ht="14" outlineLevel="0" r="28058">
      <c r="A28058" s="3" t="inlineStr">
        <is>
          <t>27935</t>
        </is>
      </c>
      <c r="B28058" s="4" t="s">
        <f>=HYPERLINK("http://anyluxury.ru/shop/sumki-i-ryukzaki/ryukzaki/ryukzak-dlya-puteshestviy-vinga-baltimore-500319/" , "500319 Рюкзак для путешествий VINGA Baltimore")</f>
      </c>
      <c r="C28058" s="4" t="n">
        <v>7113.00</v>
      </c>
      <c r="D28058" s="4"/>
    </row>
    <row collapsed="" customFormat="false" customHeight="1" hidden="" ht="14" outlineLevel="0" r="28059">
      <c r="A28059" s="3" t="inlineStr">
        <is>
          <t>27936</t>
        </is>
      </c>
      <c r="B28059" s="4" t="s">
        <f>=HYPERLINK("http://anyluxury.ru/shop/sumki-i-ryukzaki/ryukzaki/ryukzak-dlya-puteshestviy-vinga-baltimore-500321/" , "500321 Рюкзак для путешествий VINGA Baltimore")</f>
      </c>
      <c r="C28059" s="4" t="n">
        <v>7113.00</v>
      </c>
      <c r="D28059" s="4"/>
    </row>
    <row collapsed="" customFormat="false" customHeight="1" hidden="" ht="14" outlineLevel="0" r="28060">
      <c r="A28060" s="3" t="inlineStr">
        <is>
          <t>27937</t>
        </is>
      </c>
      <c r="B28060" s="4" t="s">
        <f>=HYPERLINK("http://anyluxury.ru/shop/sumki-i-ryukzaki/ryukzaki/sumkaholodilnik-vinga-baltimore-500918/" , "500918 Сумка-холодильник VINGA Baltimore")</f>
      </c>
      <c r="C28060" s="4" t="n">
        <v>5341.00</v>
      </c>
      <c r="D28060" s="4"/>
    </row>
    <row collapsed="" customFormat="false" customHeight="1" hidden="" ht="14" outlineLevel="0" r="28061">
      <c r="A28061" s="3" t="inlineStr">
        <is>
          <t>27938</t>
        </is>
      </c>
      <c r="B28061" s="4" t="s">
        <f>=HYPERLINK("http://anyluxury.ru/shop/sumki-i-ryukzaki/ryukzaki/sumkaholodilnik-vinga-baltimore-500919/" , "500919 Сумка-холодильник VINGA Baltimore")</f>
      </c>
      <c r="C28061" s="4" t="n">
        <v>5341.00</v>
      </c>
      <c r="D28061" s="4"/>
    </row>
    <row collapsed="" customFormat="false" customHeight="1" hidden="" ht="14" outlineLevel="0" r="28062">
      <c r="A28062" s="3" t="inlineStr">
        <is>
          <t>27939</t>
        </is>
      </c>
      <c r="B28062" s="4" t="s">
        <f>=HYPERLINK("http://anyluxury.ru/shop/sumki-i-ryukzaki/ryukzaki/sumkaholodilnik-vinga-baltimore-500920/" , "500920 Сумка-холодильник VINGA Baltimore")</f>
      </c>
      <c r="C28062" s="4" t="n">
        <v>5341.00</v>
      </c>
      <c r="D28062" s="4"/>
    </row>
    <row collapsed="" customFormat="false" customHeight="1" hidden="" ht="14" outlineLevel="0" r="28063">
      <c r="A28063" s="3" t="inlineStr">
        <is>
          <t>27940</t>
        </is>
      </c>
      <c r="B28063" s="4" t="s">
        <f>=HYPERLINK("http://anyluxury.ru/shop/sumki-i-ryukzaki/ryukzaki/sumkaholodilnik-vinga-baltimore-500921/" , "500921 Сумка-холодильник VINGA Baltimore")</f>
      </c>
      <c r="C28063" s="4" t="n">
        <v>5341.00</v>
      </c>
      <c r="D28063" s="4"/>
    </row>
    <row collapsed="" customFormat="false" customHeight="1" hidden="" ht="14" outlineLevel="0" r="28064">
      <c r="A28064" s="3" t="inlineStr">
        <is>
          <t>27941</t>
        </is>
      </c>
      <c r="B28064" s="4" t="s">
        <f>=HYPERLINK("http://anyluxury.ru/shop/sumki-i-ryukzaki/ryukzaki/sumkatout-vinga-baltimore-501018/" , "501018 Сумка-тоут VINGA Baltimore")</f>
      </c>
      <c r="C28064" s="4" t="n">
        <v>4084.00</v>
      </c>
      <c r="D28064" s="4"/>
    </row>
    <row collapsed="" customFormat="false" customHeight="1" hidden="" ht="14" outlineLevel="0" r="28065">
      <c r="A28065" s="3" t="inlineStr">
        <is>
          <t>27942</t>
        </is>
      </c>
      <c r="B28065" s="4" t="s">
        <f>=HYPERLINK("http://anyluxury.ru/shop/sumki-i-ryukzaki/ryukzaki/sumkatout-vinga-baltimore-501019/" , "501019 Сумка-тоут VINGA Baltimore")</f>
      </c>
      <c r="C28065" s="4" t="n">
        <v>4084.00</v>
      </c>
      <c r="D28065" s="4"/>
    </row>
    <row collapsed="" customFormat="false" customHeight="1" hidden="" ht="14" outlineLevel="0" r="28066">
      <c r="A28066" s="3" t="inlineStr">
        <is>
          <t>27943</t>
        </is>
      </c>
      <c r="B28066" s="4" t="s">
        <f>=HYPERLINK("http://anyluxury.ru/shop/sumki-i-ryukzaki/ryukzaki/sumkatout-vinga-baltimore-501020/" , "501020 Сумка-тоут VINGA Baltimore")</f>
      </c>
      <c r="C28066" s="4" t="n">
        <v>4084.00</v>
      </c>
      <c r="D28066" s="4"/>
    </row>
    <row collapsed="" customFormat="false" customHeight="1" hidden="" ht="14" outlineLevel="0" r="28067">
      <c r="A28067" s="3" t="inlineStr">
        <is>
          <t>27944</t>
        </is>
      </c>
      <c r="B28067" s="4" t="s">
        <f>=HYPERLINK("http://anyluxury.ru/shop/sumki-i-ryukzaki/ryukzaki/sumkatout-vinga-baltimore-501021/" , "501021 Сумка-тоут VINGA Baltimore")</f>
      </c>
      <c r="C28067" s="4" t="n">
        <v>4084.00</v>
      </c>
      <c r="D28067" s="4"/>
    </row>
    <row collapsed="" customFormat="false" customHeight="1" hidden="" ht="14" outlineLevel="0" r="28068">
      <c r="A28068" s="3" t="inlineStr">
        <is>
          <t>27945</t>
        </is>
      </c>
      <c r="B28068" s="4" t="s">
        <f>=HYPERLINK("http://anyluxury.ru/shop/sumki-i-ryukzaki/ryukzaki/sportivnaya-sumka-vinga-baltimore-501118/" , "501118 Спортивная сумка VINGA Baltimore")</f>
      </c>
      <c r="C28068" s="4" t="n">
        <v>8463.00</v>
      </c>
      <c r="D28068" s="4"/>
    </row>
    <row collapsed="" customFormat="false" customHeight="1" hidden="" ht="14" outlineLevel="0" r="28069">
      <c r="A28069" s="3" t="inlineStr">
        <is>
          <t>27946</t>
        </is>
      </c>
      <c r="B28069" s="4" t="s">
        <f>=HYPERLINK("http://anyluxury.ru/shop/sumki-i-ryukzaki/ryukzaki/sportivniy-ryukzak-vinga-baltimore-501219/" , "501219 Спортивный рюкзак VINGA Baltimore")</f>
      </c>
      <c r="C28069" s="4" t="n">
        <v>12294.00</v>
      </c>
      <c r="D28069" s="4"/>
    </row>
    <row collapsed="" customFormat="false" customHeight="1" hidden="" ht="14" outlineLevel="0" r="28070">
      <c r="A28070" s="3" t="inlineStr">
        <is>
          <t>27947</t>
        </is>
      </c>
      <c r="B28070" s="4" t="s">
        <f>=HYPERLINK("http://anyluxury.ru/shop/sumki-i-ryukzaki/ryukzaki/ofisnaya-sumka-vinga-baltimore-501319/" , "501319 Офисная сумка VINGA Baltimore")</f>
      </c>
      <c r="C28070" s="4" t="n">
        <v>5697.00</v>
      </c>
      <c r="D28070" s="4"/>
    </row>
    <row collapsed="" customFormat="false" customHeight="1" hidden="" ht="14" outlineLevel="0" r="28071">
      <c r="A28071" s="3" t="inlineStr">
        <is>
          <t>27948</t>
        </is>
      </c>
      <c r="B28071" s="4" t="s">
        <f>=HYPERLINK("http://anyluxury.ru/shop/sumki-i-ryukzaki/ryukzaki/sumkaholodilnik-vinga-sortino-iz-rpet-514001/" , "514001 Сумка-холодильник VINGA Sortino из rPET")</f>
      </c>
      <c r="C28071" s="4" t="n">
        <v>5331.00</v>
      </c>
      <c r="D28071" s="4"/>
    </row>
    <row collapsed="" customFormat="false" customHeight="1" hidden="" ht="14" outlineLevel="0" r="28072">
      <c r="A28072" s="3" t="inlineStr">
        <is>
          <t>27949</t>
        </is>
      </c>
      <c r="B28072" s="4" t="s">
        <f>=HYPERLINK("http://anyluxury.ru/shop/sumki-i-ryukzaki/ryukzaki/sumkaholodilnik-vinga-sortino-iz-rpet-514002/" , "514002 Сумка-холодильник VINGA Sortino из rPET")</f>
      </c>
      <c r="C28072" s="4" t="n">
        <v>5331.00</v>
      </c>
      <c r="D28072" s="4"/>
    </row>
    <row collapsed="" customFormat="false" customHeight="1" hidden="" ht="14" outlineLevel="0" r="28073">
      <c r="A28073" s="3" t="inlineStr">
        <is>
          <t>27950</t>
        </is>
      </c>
      <c r="B28073" s="4" t="s">
        <f>=HYPERLINK("http://anyluxury.ru/shop/sumki-i-ryukzaki/ryukzaki/sumkaholodilnik-vinga-sortino-iz-rpet-514003/" , "514003 Сумка-холодильник VINGA Sortino из rPET")</f>
      </c>
      <c r="C28073" s="4" t="n">
        <v>5331.00</v>
      </c>
      <c r="D28073" s="4"/>
    </row>
    <row collapsed="" customFormat="false" customHeight="1" hidden="" ht="14" outlineLevel="0" r="28074">
      <c r="A28074" s="3" t="inlineStr">
        <is>
          <t>27951</t>
        </is>
      </c>
      <c r="B28074" s="4" t="s">
        <f>=HYPERLINK("http://anyluxury.ru/shop/sumki-i-ryukzaki/ryukzaki/gorodskaya-sumkaholodilnik-vinga-sortino-iz-rpet-515001/" , "515001 Городская сумка-холодильник VINGA Sortino из rPET")</f>
      </c>
      <c r="C28074" s="4" t="n">
        <v>4094.00</v>
      </c>
      <c r="D28074" s="4"/>
    </row>
    <row collapsed="" customFormat="false" customHeight="1" hidden="" ht="14" outlineLevel="0" r="28075">
      <c r="A28075" s="3" t="inlineStr">
        <is>
          <t>27952</t>
        </is>
      </c>
      <c r="B28075" s="4" t="s">
        <f>=HYPERLINK("http://anyluxury.ru/shop/sumki-i-ryukzaki/ryukzaki/gorodskaya-sumkaholodilnik-vinga-sortino-iz-rpet-515002/" , "515002 Городская сумка-холодильник VINGA Sortino из rPET")</f>
      </c>
      <c r="C28075" s="4" t="n">
        <v>4094.00</v>
      </c>
      <c r="D28075" s="4"/>
    </row>
    <row collapsed="" customFormat="false" customHeight="1" hidden="" ht="14" outlineLevel="0" r="28076">
      <c r="A28076" s="3" t="inlineStr">
        <is>
          <t>27953</t>
        </is>
      </c>
      <c r="B28076" s="4" t="s">
        <f>=HYPERLINK("http://anyluxury.ru/shop/sumki-i-ryukzaki/ryukzaki/gorodskaya-sumkaholodilnik-vinga-sortino-iz-rpet-515003/" , "515003 Городская сумка-холодильник VINGA Sortino из rPET")</f>
      </c>
      <c r="C28076" s="4" t="n">
        <v>4094.00</v>
      </c>
      <c r="D28076" s="4"/>
    </row>
    <row collapsed="" customFormat="false" customHeight="1" hidden="" ht="14" outlineLevel="0" r="28077">
      <c r="A28077" s="3" t="inlineStr">
        <is>
          <t>27954</t>
        </is>
      </c>
      <c r="B28077" s="4" t="s">
        <f>=HYPERLINK("http://anyluxury.ru/shop/sumki-i-ryukzaki/ryukzaki/dorozhnaya-sumka-vinga-sortino-iz-rpet-517001/" , "517001 Дорожная сумка VINGA Sortino из rPET")</f>
      </c>
      <c r="C28077" s="4" t="n">
        <v>5331.00</v>
      </c>
      <c r="D28077" s="4"/>
    </row>
    <row collapsed="" customFormat="false" customHeight="1" hidden="" ht="14" outlineLevel="0" r="28078">
      <c r="A28078" s="3" t="inlineStr">
        <is>
          <t>27955</t>
        </is>
      </c>
      <c r="B28078" s="4" t="s">
        <f>=HYPERLINK("http://anyluxury.ru/shop/sumki-i-ryukzaki/ryukzaki/dorozhnaya-sumka-vinga-sortino-iz-rpet-517002/" , "517002 Дорожная сумка VINGA Sortino из rPET")</f>
      </c>
      <c r="C28078" s="4" t="n">
        <v>5331.00</v>
      </c>
      <c r="D28078" s="4"/>
    </row>
    <row collapsed="" customFormat="false" customHeight="1" hidden="" ht="14" outlineLevel="0" r="28079">
      <c r="A28079" s="3" t="inlineStr">
        <is>
          <t>27956</t>
        </is>
      </c>
      <c r="B28079" s="4" t="s">
        <f>=HYPERLINK("http://anyluxury.ru/shop/sumki-i-ryukzaki/ryukzaki/dorozhnaya-sumka-vinga-sortino-iz-rpet-517003/" , "517003 Дорожная сумка VINGA Sortino из rPET")</f>
      </c>
      <c r="C28079" s="4" t="n">
        <v>5331.00</v>
      </c>
      <c r="D28079" s="4"/>
    </row>
    <row collapsed="" customFormat="false" customHeight="1" hidden="" ht="14" outlineLevel="0" r="28080">
      <c r="A28080" s="3" t="inlineStr">
        <is>
          <t>27957</t>
        </is>
      </c>
      <c r="B28080" s="4" t="s">
        <f>=HYPERLINK("http://anyluxury.ru/shop/sumki-i-ryukzaki/ryukzaki/velosipednaya-sumkaholodilnik-vinga-sortino-iz-rpet-519001/" , "519001 Велосипедная сумка-холодильник VINGA Sortino из rPET")</f>
      </c>
      <c r="C28080" s="4" t="n">
        <v>3553.00</v>
      </c>
      <c r="D28080" s="4"/>
    </row>
    <row collapsed="" customFormat="false" customHeight="1" hidden="" ht="14" outlineLevel="0" r="28081">
      <c r="A28081" s="3" t="inlineStr">
        <is>
          <t>27958</t>
        </is>
      </c>
      <c r="B28081" s="4" t="s">
        <f>=HYPERLINK("http://anyluxury.ru/shop/sumki-i-ryukzaki/ryukzaki/velosipednaya-sumkaholodilnik-vinga-sortino-iz-rpet-519002/" , "519002 Велосипедная сумка-холодильник VINGA Sortino из rPET")</f>
      </c>
      <c r="C28081" s="4" t="n">
        <v>3553.00</v>
      </c>
      <c r="D28081" s="4"/>
    </row>
    <row collapsed="" customFormat="false" customHeight="1" hidden="" ht="14" outlineLevel="0" r="28082">
      <c r="A28082" s="3" t="inlineStr">
        <is>
          <t>27959</t>
        </is>
      </c>
      <c r="B28082" s="4" t="s">
        <f>=HYPERLINK("http://anyluxury.ru/shop/sumki-i-ryukzaki/ryukzaki/velosipednaya-sumkaholodilnik-vinga-sortino-iz-rpet-519003/" , "519003 Велосипедная сумка-холодильник VINGA Sortino из rPET")</f>
      </c>
      <c r="C28082" s="4" t="n">
        <v>3553.00</v>
      </c>
      <c r="D28082" s="4"/>
    </row>
    <row collapsed="" customFormat="false" customHeight="1" hidden="" ht="14" outlineLevel="0" r="28083">
      <c r="A28083" s="3" t="inlineStr">
        <is>
          <t>27960</t>
        </is>
      </c>
      <c r="B28083" s="4" t="s">
        <f>=HYPERLINK("http://anyluxury.ru/shop/sumki-i-ryukzaki/ryukzaki/ryukzak-vinga-bosler-iz-pererabotannogo-kanvasa-521018/" , "521018 Рюкзак VINGA Bosler из переработанного канваса GRS, 15’’")</f>
      </c>
      <c r="C28083" s="4" t="n">
        <v>6759.00</v>
      </c>
      <c r="D28083" s="4"/>
    </row>
    <row collapsed="" customFormat="false" customHeight="1" hidden="" ht="14" outlineLevel="0" r="28084">
      <c r="A28084" s="3" t="inlineStr">
        <is>
          <t>27961</t>
        </is>
      </c>
      <c r="B28084" s="4" t="s">
        <f>=HYPERLINK("http://anyluxury.ru/shop/sumki-i-ryukzaki/ryukzaki/ryukzak-vinga-bosler-iz-pererabotannogo-kanvasa-521021/" , "521021 Рюкзак VINGA Bosler из переработанного канваса GRS, 15’’")</f>
      </c>
      <c r="C28084" s="4" t="n">
        <v>6759.00</v>
      </c>
      <c r="D28084" s="4"/>
    </row>
    <row collapsed="" customFormat="false" customHeight="1" hidden="" ht="14" outlineLevel="0" r="28085">
      <c r="A28085" s="3" t="inlineStr">
        <is>
          <t>27962</t>
        </is>
      </c>
      <c r="B28085" s="4" t="s">
        <f>=HYPERLINK("http://anyluxury.ru/shop/sumki-i-ryukzaki/ryukzaki/dorozhnaya-sumka-vinga-sloane-iz-rpet-560101/" , "560101 Дорожная сумка VINGA Sloane из rPET")</f>
      </c>
      <c r="C28085" s="4" t="n">
        <v>10506.00</v>
      </c>
      <c r="D28085" s="4"/>
    </row>
    <row collapsed="" customFormat="false" customHeight="1" hidden="" ht="14" outlineLevel="0" r="28086">
      <c r="A28086" s="3" t="inlineStr">
        <is>
          <t>27963</t>
        </is>
      </c>
      <c r="B28086" s="4" t="s">
        <f>=HYPERLINK("http://anyluxury.ru/shop/sumki-i-ryukzaki/ryukzaki/dorozhnaya-sumka-vinga-sloane-iz-rpet-560105/" , "560105 Дорожная сумка VINGA Sloane из rPET")</f>
      </c>
      <c r="C28086" s="4" t="n">
        <v>10506.00</v>
      </c>
      <c r="D28086" s="4"/>
    </row>
    <row collapsed="" customFormat="false" customHeight="1" hidden="" ht="14" outlineLevel="0" r="28087">
      <c r="A28087" s="3" t="inlineStr">
        <is>
          <t>27964</t>
        </is>
      </c>
      <c r="B28087" s="4" t="s">
        <f>=HYPERLINK("http://anyluxury.ru/shop/sumki-i-ryukzaki/ryukzaki/sumka-dlya-noutbuka-modus-cheriyseriy-59352010/" , "59352.010 Сумка для ноутбука Modus, черный/серый")</f>
      </c>
      <c r="C28087" s="4" t="n">
        <v>4465.00</v>
      </c>
      <c r="D28087" s="4"/>
    </row>
    <row collapsed="" customFormat="false" customHeight="1" hidden="" ht="14" outlineLevel="0" r="28088">
      <c r="A28088" s="3" t="inlineStr">
        <is>
          <t>27965</t>
        </is>
      </c>
      <c r="B28088" s="4" t="s">
        <f>=HYPERLINK("http://anyluxury.ru/shop/sumki-i-ryukzaki/ryukzaki/ryukzak-easy-gait-seriy-1495610/" , "14956.10 Рюкзак Easy Gait, серый")</f>
      </c>
      <c r="C28088" s="4" t="n">
        <v>1290.00</v>
      </c>
      <c r="D28088" s="4"/>
    </row>
    <row collapsed="" customFormat="false" customHeight="1" hidden="" ht="14" outlineLevel="0" r="28089">
      <c r="A28089" s="3" t="inlineStr">
        <is>
          <t>27966</t>
        </is>
      </c>
      <c r="B28089" s="4" t="s">
        <f>=HYPERLINK("http://anyluxury.ru/shop/sumki-i-ryukzaki/ryukzaki/ryukzak-easy-gait-cherniy-1495630/" , "14956.30 Рюкзак Easy Gait, черный")</f>
      </c>
      <c r="C28089" s="4" t="n">
        <v>1290.00</v>
      </c>
      <c r="D28089" s="4"/>
    </row>
    <row collapsed="" customFormat="false" customHeight="1" hidden="" ht="14" outlineLevel="0" r="28090">
      <c r="A28090" s="3" t="inlineStr">
        <is>
          <t>27967</t>
        </is>
      </c>
      <c r="B28090" s="4" t="s">
        <f>=HYPERLINK("http://anyluxury.ru/shop/sumki-i-ryukzaki/ryukzaki/ryukzak-easy-gait-beliy-1495660/" , "14956.60 Рюкзак Easy Gait, белый")</f>
      </c>
      <c r="C28090" s="4" t="n">
        <v>1290.00</v>
      </c>
      <c r="D28090" s="4"/>
    </row>
    <row collapsed="" customFormat="false" customHeight="1" hidden="" ht="14" outlineLevel="0" r="28091">
      <c r="A28091" s="3" t="inlineStr">
        <is>
          <t>27968</t>
        </is>
      </c>
      <c r="B28091" s="4" t="s">
        <f>=HYPERLINK("http://anyluxury.ru/shop/sumki-i-ryukzaki/ryukzaki/ryukzak-brevis-seriy-1495710/" , "14957.10 Рюкзак Brevis, серый")</f>
      </c>
      <c r="C28091" s="4" t="n">
        <v>1490.00</v>
      </c>
      <c r="D28091" s="4"/>
    </row>
    <row collapsed="" customFormat="false" customHeight="1" hidden="" ht="14" outlineLevel="0" r="28092">
      <c r="A28092" s="3" t="inlineStr">
        <is>
          <t>27969</t>
        </is>
      </c>
      <c r="B28092" s="4" t="s">
        <f>=HYPERLINK("http://anyluxury.ru/shop/sumki-i-ryukzaki/ryukzaki/ryukzak-brevis-siniy-1495740/" , "14957.40 Рюкзак Brevis, синий")</f>
      </c>
      <c r="C28092" s="4" t="n">
        <v>1490.00</v>
      </c>
      <c r="D28092" s="4"/>
    </row>
    <row collapsed="" customFormat="false" customHeight="1" hidden="" ht="14" outlineLevel="0" r="28093">
      <c r="A28093" s="3" t="inlineStr">
        <is>
          <t>27970</t>
        </is>
      </c>
      <c r="B28093" s="4" t="s">
        <f>=HYPERLINK("http://anyluxury.ru/shop/sumki-i-ryukzaki/ryukzaki/ryukzak-flexpack-air-cherniy-1546930/" , "15469.30 Рюкзак FlexPack Air, черный")</f>
      </c>
      <c r="C28093" s="4" t="n">
        <v>5150.00</v>
      </c>
      <c r="D28093" s="4"/>
    </row>
    <row collapsed="" customFormat="false" customHeight="1" hidden="" ht="14" outlineLevel="0" r="28094">
      <c r="A28094" s="3" t="inlineStr">
        <is>
          <t>27971</t>
        </is>
      </c>
      <c r="B28094" s="4" t="s">
        <f>=HYPERLINK("http://anyluxury.ru/shop/sumki-i-ryukzaki/ryukzaki/ryukzak-flexpack-air-seriy-1546910/" , "15469.10 Рюкзак FlexPack Air, серый")</f>
      </c>
      <c r="C28094" s="4" t="n">
        <v>5150.00</v>
      </c>
      <c r="D28094" s="4"/>
    </row>
    <row collapsed="" customFormat="false" customHeight="1" hidden="" ht="14" outlineLevel="0" r="28095">
      <c r="A28095" s="3" t="inlineStr">
        <is>
          <t>27972</t>
        </is>
      </c>
      <c r="B28095" s="4" t="s">
        <f>=HYPERLINK("http://anyluxury.ru/shop/sumki-i-ryukzaki/ryukzaki/ryukzak-flexpack-air-olivkoviy-1546990/" , "15469.90 Рюкзак FlexPack Air, оливковый")</f>
      </c>
      <c r="C28095" s="4" t="n">
        <v>5150.00</v>
      </c>
      <c r="D28095" s="4"/>
    </row>
    <row collapsed="" customFormat="false" customHeight="1" hidden="" ht="14" outlineLevel="0" r="28096">
      <c r="A28096" s="3" t="inlineStr">
        <is>
          <t>27973</t>
        </is>
      </c>
      <c r="B28096" s="4" t="s">
        <f>=HYPERLINK("http://anyluxury.ru/shop/sumki-i-ryukzaki/ryukzaki/ryukzak-flexpack-pro-cherniy-1547030/" , "15470.30 Рюкзак FlexPack Pro, черный")</f>
      </c>
      <c r="C28096" s="4" t="n">
        <v>20650.00</v>
      </c>
      <c r="D28096" s="4"/>
    </row>
    <row collapsed="" customFormat="false" customHeight="1" hidden="" ht="14" outlineLevel="0" r="28097">
      <c r="A28097" s="3" t="inlineStr">
        <is>
          <t>27974</t>
        </is>
      </c>
      <c r="B28097" s="4" t="s">
        <f>=HYPERLINK("http://anyluxury.ru/shop/sumki-i-ryukzaki/ryukzaki/ryukzak-flexpack-pro-temnoseriy-1547031/" , "15470.31 Рюкзак FlexPack Pro, темно-серый")</f>
      </c>
      <c r="C28097" s="4" t="n">
        <v>20650.00</v>
      </c>
      <c r="D28097" s="4"/>
    </row>
    <row collapsed="" customFormat="false" customHeight="1" hidden="" ht="14" outlineLevel="0" r="28098">
      <c r="A28098" s="3" t="inlineStr">
        <is>
          <t>27975</t>
        </is>
      </c>
      <c r="B28098" s="4" t="s">
        <f>=HYPERLINK("http://anyluxury.ru/shop/sumki-i-ryukzaki/ryukzaki/ryukzak-flexpack-pro-olivkoviy-1547090/" , "15470.90 Рюкзак FlexPack Pro, оливковый")</f>
      </c>
      <c r="C28098" s="4" t="n">
        <v>20650.00</v>
      </c>
      <c r="D28098" s="4"/>
    </row>
    <row collapsed="" customFormat="false" customHeight="1" hidden="" ht="14" outlineLevel="0" r="28099">
      <c r="A28099" s="3" t="inlineStr">
        <is>
          <t>27976</t>
        </is>
      </c>
      <c r="B28099" s="4" t="s">
        <f>=HYPERLINK("http://anyluxury.ru/shop/sumki-i-ryukzaki/ryukzaki/ryukzak-clickpack-cherniy-1547130/" , "15471.30 Рюкзак ClickPack, черный")</f>
      </c>
      <c r="C28099" s="4" t="n">
        <v>14450.00</v>
      </c>
      <c r="D28099" s="4"/>
    </row>
    <row collapsed="" customFormat="false" customHeight="1" hidden="" ht="14" outlineLevel="0" r="28100">
      <c r="A28100" s="3" t="inlineStr">
        <is>
          <t>27977</t>
        </is>
      </c>
      <c r="B28100" s="4" t="s">
        <f>=HYPERLINK("http://anyluxury.ru/shop/sumki-i-ryukzaki/ryukzaki/ryukzak-clickpack-seriy-1547131/" , "15471.31 Рюкзак ClickPack, серый")</f>
      </c>
      <c r="C28100" s="4" t="n">
        <v>14450.00</v>
      </c>
      <c r="D28100" s="4"/>
    </row>
    <row collapsed="" customFormat="false" customHeight="1" hidden="" ht="14" outlineLevel="0" r="28101">
      <c r="A28101" s="3" t="inlineStr">
        <is>
          <t>27978</t>
        </is>
      </c>
      <c r="B28101" s="4" t="s">
        <f>=HYPERLINK("http://anyluxury.ru/shop/sumki-i-ryukzaki/ryukzaki/sumkashopper-impact-iz-pererabotannogo-kanvasa-aware-s-karmanom-240-gm2-p762978/" , "P762.978 Сумка-шоппер Impact из переработанного канваса Aware™ с карманом, 240 г/м2")</f>
      </c>
      <c r="C28101" s="4" t="n">
        <v>1399.00</v>
      </c>
      <c r="D28101" s="4"/>
    </row>
    <row collapsed="" customFormat="false" customHeight="1" hidden="" ht="14" outlineLevel="0" r="28102">
      <c r="A28102" s="3" t="inlineStr">
        <is>
          <t>27979</t>
        </is>
      </c>
      <c r="B28102" s="4" t="s">
        <f>=HYPERLINK("http://anyluxury.ru/shop/sumki-i-ryukzaki/ryukzaki/sumkashopper-impact-iz-pererabotannogo-kanvasa-aware-s-karmanom-240-gm2-p762977/" , "P762.977 Сумка-шоппер Impact из переработанного канваса Aware™ с карманом, 240 г/м2")</f>
      </c>
      <c r="C28102" s="4" t="n">
        <v>1399.00</v>
      </c>
      <c r="D28102" s="4"/>
    </row>
    <row collapsed="" customFormat="false" customHeight="1" hidden="" ht="14" outlineLevel="0" r="28103">
      <c r="A28103" s="3" t="inlineStr">
        <is>
          <t>27980</t>
        </is>
      </c>
      <c r="B28103" s="4" t="s">
        <f>=HYPERLINK("http://anyluxury.ru/shop/sumki-i-ryukzaki/ryukzaki/sumkashopper-impact-iz-pererabotannogo-kanvasa-aware-s-karmanom-240-gm2-p762976/" , "P762.976 Сумка-шоппер Impact из переработанного канваса Aware™ с карманом, 240 г/м2")</f>
      </c>
      <c r="C28103" s="4" t="n">
        <v>1399.00</v>
      </c>
      <c r="D28103" s="4"/>
    </row>
    <row collapsed="" customFormat="false" customHeight="1" hidden="" ht="14" outlineLevel="0" r="28104">
      <c r="A28104" s="3" t="inlineStr">
        <is>
          <t>27981</t>
        </is>
      </c>
      <c r="B28104" s="4" t="s">
        <f>=HYPERLINK("http://anyluxury.ru/shop/sumki-i-ryukzaki/ryukzaki/sumkashopper-impact-iz-pererabotannogo-kanvasa-aware-s-karmanom-240-gm2-p762975/" , "P762.975 Сумка-шоппер Impact из переработанного канваса Aware™ с карманом, 240 г/м2")</f>
      </c>
      <c r="C28104" s="4" t="n">
        <v>1399.00</v>
      </c>
      <c r="D28104" s="4"/>
    </row>
    <row collapsed="" customFormat="false" customHeight="1" hidden="" ht="14" outlineLevel="0" r="28105">
      <c r="A28105" s="3" t="inlineStr">
        <is>
          <t>27982</t>
        </is>
      </c>
      <c r="B28105" s="4" t="s">
        <f>=HYPERLINK("http://anyluxury.ru/shop/sumki-i-ryukzaki/ryukzaki/sumkashopper-impact-iz-pererabotannogo-kanvasa-aware-s-karmanom-240-gm2-p762974/" , "P762.974 Сумка-шоппер Impact из переработанного канваса Aware™ с карманом, 240 г/м2")</f>
      </c>
      <c r="C28105" s="4" t="n">
        <v>1399.00</v>
      </c>
      <c r="D28105" s="4"/>
    </row>
    <row collapsed="" customFormat="false" customHeight="1" hidden="" ht="14" outlineLevel="0" r="28106">
      <c r="A28106" s="3" t="inlineStr">
        <is>
          <t>27983</t>
        </is>
      </c>
      <c r="B28106" s="4" t="s">
        <f>=HYPERLINK("http://anyluxury.ru/shop/sumki-i-ryukzaki/ryukzaki/ryukzak-coolstuff-temnosiniy-s-bezhevim-1475240/" , "14752.40 Рюкзак coolStuff, темно-синий с бежевым")</f>
      </c>
      <c r="C28106" s="4" t="n">
        <v>2390.00</v>
      </c>
      <c r="D28106" s="4"/>
    </row>
    <row collapsed="" customFormat="false" customHeight="1" hidden="" ht="14" outlineLevel="0" r="28107">
      <c r="A28107" s="3" t="inlineStr">
        <is>
          <t>27984</t>
        </is>
      </c>
      <c r="B28107" s="4" t="s">
        <f>=HYPERLINK("http://anyluxury.ru/shop/sumki-i-ryukzaki/ryukzaki/ryukzak-coolstuff-plus-bezheviy-c-temnosinim-1475304/" , "14753.04 Рюкзак coolStuff Plus, бежевый c темно-синим")</f>
      </c>
      <c r="C28107" s="4" t="n">
        <v>2999.00</v>
      </c>
      <c r="D28107" s="4"/>
    </row>
    <row collapsed="" customFormat="false" customHeight="1" hidden="" ht="14" outlineLevel="0" r="28108">
      <c r="A28108" s="3" t="inlineStr">
        <is>
          <t>27985</t>
        </is>
      </c>
      <c r="B28108" s="4" t="s">
        <f>=HYPERLINK("http://anyluxury.ru/shop/sumki-i-ryukzaki/ryukzaki/ryukzak-grinder-oxford-casual-beliy-1563260/" , "15632.60 Рюкзак Grinder Oxford Casual, белый")</f>
      </c>
      <c r="C28108" s="4" t="n">
        <v>4990.00</v>
      </c>
      <c r="D28108" s="4"/>
    </row>
    <row collapsed="" customFormat="false" customHeight="1" hidden="" ht="14" outlineLevel="0" r="28109">
      <c r="A28109" s="3" t="inlineStr">
        <is>
          <t>27986</t>
        </is>
      </c>
      <c r="B28109" s="4" t="s">
        <f>=HYPERLINK("http://anyluxury.ru/shop/sumki-i-ryukzaki/ryukzaki/ryukzak-urban-oxford-classic-cherniy-1563330/" , "15633.30 Рюкзак Urban Oxford Classic, черный")</f>
      </c>
      <c r="C28109" s="4" t="n">
        <v>7290.00</v>
      </c>
      <c r="D28109" s="4"/>
    </row>
    <row collapsed="" customFormat="false" customHeight="1" hidden="" ht="14" outlineLevel="0" r="28110">
      <c r="A28110" s="3" t="inlineStr">
        <is>
          <t>27987</t>
        </is>
      </c>
      <c r="B28110" s="4" t="s">
        <f>=HYPERLINK("http://anyluxury.ru/shop/sumki-i-ryukzaki/ryukzaki/ryukzak-urban-oxford-classic-seriy-1563310/" , "15633.10 Рюкзак Urban Oxford Classic, серый")</f>
      </c>
      <c r="C28110" s="4" t="n">
        <v>7290.00</v>
      </c>
      <c r="D28110" s="4"/>
    </row>
    <row collapsed="" customFormat="false" customHeight="1" hidden="" ht="14" outlineLevel="0" r="28111">
      <c r="A28111" s="3" t="inlineStr">
        <is>
          <t>27988</t>
        </is>
      </c>
      <c r="B28111" s="4" t="s">
        <f>=HYPERLINK("http://anyluxury.ru/shop/sumki-i-ryukzaki/ryukzaki/ryukzak-dlya-noutbuka-swiss-peak-iz-rpet-aware-15-p763111/" , "P763.111 Рюкзак для ноутбука Swiss Peak из rPET AWARE™, 15''")</f>
      </c>
      <c r="C28111" s="4" t="n">
        <v>6228.00</v>
      </c>
      <c r="D28111" s="4"/>
    </row>
    <row collapsed="" customFormat="false" customHeight="1" hidden="" ht="14" outlineLevel="0" r="28112">
      <c r="A28112" s="3" t="inlineStr">
        <is>
          <t>27989</t>
        </is>
      </c>
      <c r="B28112" s="4" t="s">
        <f>=HYPERLINK("http://anyluxury.ru/shop/sumki-i-ryukzaki/ryukzaki/ryukzak-na-shnurke-impact-iz-pererabotannogo-denima-aware-p762835/" , "P762.835 Рюкзак на шнурке Impact из переработанного денима AWARE™")</f>
      </c>
      <c r="C28112" s="4" t="n">
        <v>1059.00</v>
      </c>
      <c r="D28112" s="4"/>
    </row>
    <row collapsed="" customFormat="false" customHeight="1" hidden="" ht="14" outlineLevel="0" r="28113">
      <c r="A28113" s="3" t="inlineStr">
        <is>
          <t>27990</t>
        </is>
      </c>
      <c r="B28113" s="4" t="s">
        <f>=HYPERLINK("http://anyluxury.ru/shop/sumki-i-ryukzaki/ryukzaki/ryukzak-forst-siniyseriy-20072030/" , "20072.030 Рюкзак Forst, синий/серый")</f>
      </c>
      <c r="C28113" s="4" t="n">
        <v>4150.00</v>
      </c>
      <c r="D28113" s="4"/>
    </row>
    <row collapsed="" customFormat="false" customHeight="1" hidden="" ht="14" outlineLevel="0" r="28114">
      <c r="A28114" s="3" t="inlineStr">
        <is>
          <t>27991</t>
        </is>
      </c>
      <c r="B28114" s="4" t="s">
        <f>=HYPERLINK("http://anyluxury.ru/shop/sumki-i-ryukzaki/ryukzaki/sumka-dlya-noutbuka-fabio-cheriyseriy-20073010/" , "20073.010 Сумка для ноутбука Fabio, черный/серый")</f>
      </c>
      <c r="C28114" s="4" t="n">
        <v>2530.00</v>
      </c>
      <c r="D28114" s="4"/>
    </row>
    <row collapsed="" customFormat="false" customHeight="1" hidden="" ht="14" outlineLevel="0" r="28115">
      <c r="A28115" s="3" t="inlineStr">
        <is>
          <t>27992</t>
        </is>
      </c>
      <c r="B28115" s="4" t="s">
        <f>=HYPERLINK("http://anyluxury.ru/shop/sumki-i-ryukzaki/ryukzaki/ryukzak-dlya-noutbuka-onefold-haki-1008499/" , "10084.99 Рюкзак для ноутбука Onefold, хаки")</f>
      </c>
      <c r="C28115" s="4" t="n">
        <v>2617.00</v>
      </c>
      <c r="D28115" s="4"/>
    </row>
    <row collapsed="" customFormat="false" customHeight="1" hidden="" ht="14" outlineLevel="0" r="28116">
      <c r="A28116" s="3" t="inlineStr">
        <is>
          <t>27993</t>
        </is>
      </c>
      <c r="B28116" s="4" t="s">
        <f>=HYPERLINK("http://anyluxury.ru/shop/sumki-i-ryukzaki/ryukzaki/ryukzak-dlya-noutbuka-onefold-krasniy-1008450/" , "10084.50 Рюкзак для ноутбука Onefold, красный")</f>
      </c>
      <c r="C28116" s="4" t="n">
        <v>2617.00</v>
      </c>
      <c r="D28116" s="4"/>
    </row>
    <row collapsed="" customFormat="false" customHeight="1" hidden="" ht="14" outlineLevel="0" r="28117">
      <c r="A28117" s="3" t="inlineStr">
        <is>
          <t>27994</t>
        </is>
      </c>
      <c r="B28117" s="4" t="s">
        <f>=HYPERLINK("http://anyluxury.ru/shop/sumki-i-ryukzaki/ryukzaki/ryukzak-xd-design-bizz-p705931/" , "P705.931 Рюкзак XD Design Bizz")</f>
      </c>
      <c r="C28117" s="4" t="n">
        <v>18990.00</v>
      </c>
      <c r="D28117" s="4"/>
    </row>
    <row collapsed="" customFormat="false" customHeight="1" hidden="" ht="14" outlineLevel="0" r="28118">
      <c r="A28118" s="3" t="inlineStr">
        <is>
          <t>27995</t>
        </is>
      </c>
      <c r="B28118" s="4" t="s">
        <f>=HYPERLINK("http://anyluxury.ru/shop/sumki-i-ryukzaki/ryukzaki/ryukzak-xd-design-bizz-p705932/" , "P705.932 Рюкзак XD Design Bizz")</f>
      </c>
      <c r="C28118" s="4" t="n">
        <v>18990.00</v>
      </c>
      <c r="D28118" s="4"/>
    </row>
    <row collapsed="" customFormat="false" customHeight="1" hidden="" ht="14" outlineLevel="0" r="28119">
      <c r="A28119" s="3" t="inlineStr">
        <is>
          <t>27996</t>
        </is>
      </c>
      <c r="B28119" s="4" t="s">
        <f>=HYPERLINK("http://anyluxury.ru/shop/sumki-i-ryukzaki/ryukzaki/ryukzak-xd-design-bizz-p705935/" , "P705.935 Рюкзак XD Design Bizz")</f>
      </c>
      <c r="C28119" s="4" t="n">
        <v>18990.00</v>
      </c>
      <c r="D28119" s="4"/>
    </row>
    <row collapsed="" customFormat="false" customHeight="1" hidden="" ht="14" outlineLevel="0" r="28120">
      <c r="A28120" s="3" t="inlineStr">
        <is>
          <t>27997</t>
        </is>
      </c>
      <c r="B28120" s="4" t="s">
        <f>=HYPERLINK("http://anyluxury.ru/shop/sumki-i-ryukzaki/ryukzaki/ryukzak-eclatant-seriy-1495810/" , "14958.10 Рюкзак Eclatant, серый")</f>
      </c>
      <c r="C28120" s="4" t="n">
        <v>1590.00</v>
      </c>
      <c r="D28120" s="4"/>
    </row>
    <row collapsed="" customFormat="false" customHeight="1" hidden="" ht="14" outlineLevel="0" r="28121">
      <c r="A28121" s="3" t="inlineStr">
        <is>
          <t>27998</t>
        </is>
      </c>
      <c r="B28121" s="4" t="s">
        <f>=HYPERLINK("http://anyluxury.ru/shop/sumki-i-ryukzaki/ryukzaki/ryukzak-eclatant-siniy-1495840/" , "14958.40 Рюкзак Eclatant, синий")</f>
      </c>
      <c r="C28121" s="4" t="n">
        <v>1590.00</v>
      </c>
      <c r="D28121" s="4"/>
    </row>
    <row collapsed="" customFormat="false" customHeight="1" hidden="" ht="14" outlineLevel="0" r="28122">
      <c r="A28122" s="3" t="inlineStr">
        <is>
          <t>27999</t>
        </is>
      </c>
      <c r="B28122" s="4" t="s">
        <f>=HYPERLINK("http://anyluxury.ru/shop/sumki-i-ryukzaki/ryukzaki/ryukzak-sportivniy-athletic-siniy-1391940/" , "13919.40 Рюкзак спортивный Athletic, синий")</f>
      </c>
      <c r="C28122" s="4" t="n">
        <v>1420.00</v>
      </c>
      <c r="D28122" s="4"/>
    </row>
    <row collapsed="" customFormat="false" customHeight="1" hidden="" ht="14" outlineLevel="0" r="28123">
      <c r="A28123" s="3" t="inlineStr">
        <is>
          <t>28000</t>
        </is>
      </c>
      <c r="B28123" s="4" t="s">
        <f>=HYPERLINK("http://anyluxury.ru/shop/sumki-i-ryukzaki/ryukzaki/ryukzak-base-pesochniy-1392012/" , "13920.12 Рюкзак Base, песочный")</f>
      </c>
      <c r="C28123" s="4" t="n">
        <v>679.00</v>
      </c>
      <c r="D28123" s="4"/>
    </row>
    <row collapsed="" customFormat="false" customHeight="1" hidden="" ht="14" outlineLevel="0" r="28124">
      <c r="A28124" s="3" t="inlineStr">
        <is>
          <t>28001</t>
        </is>
      </c>
      <c r="B28124" s="4" t="s">
        <f>=HYPERLINK("http://anyluxury.ru/shop/sumki-i-ryukzaki/ryukzaki/ryukzak-base-temnoseriy-1392011/" , "13920.11 Рюкзак Base, темно-серый")</f>
      </c>
      <c r="C28124" s="4" t="n">
        <v>679.00</v>
      </c>
      <c r="D28124" s="4"/>
    </row>
    <row collapsed="" customFormat="false" customHeight="1" hidden="" ht="14" outlineLevel="0" r="28125">
      <c r="A28125" s="3" t="inlineStr">
        <is>
          <t>28002</t>
        </is>
      </c>
      <c r="B28125" s="4" t="s">
        <f>=HYPERLINK("http://anyluxury.ru/shop/sumki-i-ryukzaki/ryukzaki/ryukzak-base-zelenoe-yabloko-1392094/" , "13920.94 Рюкзак Base, зеленое яблоко")</f>
      </c>
      <c r="C28125" s="4" t="n">
        <v>679.00</v>
      </c>
      <c r="D28125" s="4"/>
    </row>
    <row collapsed="" customFormat="false" customHeight="1" hidden="" ht="14" outlineLevel="0" r="28126">
      <c r="A28126" s="3" t="inlineStr">
        <is>
          <t>28003</t>
        </is>
      </c>
      <c r="B28126" s="4" t="s">
        <f>=HYPERLINK("http://anyluxury.ru/shop/sumki-i-ryukzaki/ryukzaki/ryukzak-base-shokoladnokorichneviy-1392059/" , "13920.59 Рюкзак Base, шоколадно-коричневый")</f>
      </c>
      <c r="C28126" s="4" t="n">
        <v>679.00</v>
      </c>
      <c r="D28126" s="4"/>
    </row>
    <row collapsed="" customFormat="false" customHeight="1" hidden="" ht="14" outlineLevel="0" r="28127">
      <c r="A28127" s="3" t="inlineStr">
        <is>
          <t>28004</t>
        </is>
      </c>
      <c r="B28127" s="4" t="s">
        <f>=HYPERLINK("http://anyluxury.ru/shop/sumki-i-ryukzaki/ryukzaki/ryukzak-base-haki-1392099/" , "13920.99 Рюкзак Base, хаки")</f>
      </c>
      <c r="C28127" s="4" t="n">
        <v>679.00</v>
      </c>
      <c r="D28127" s="4"/>
    </row>
    <row collapsed="" customFormat="false" customHeight="1" hidden="" ht="14" outlineLevel="0" r="28128">
      <c r="A28128" s="3" t="inlineStr">
        <is>
          <t>28005</t>
        </is>
      </c>
      <c r="B28128" s="4" t="s">
        <f>=HYPERLINK("http://anyluxury.ru/shop/sumki-i-ryukzaki/ryukzaki/ryukzak-berna-malinoviy-1380851/" , "13808.51 Рюкзак Berna, малиновый")</f>
      </c>
      <c r="C28128" s="4" t="n">
        <v>1296.00</v>
      </c>
      <c r="D28128" s="4"/>
    </row>
    <row collapsed="" customFormat="false" customHeight="1" hidden="" ht="14" outlineLevel="0" r="28129">
      <c r="A28129" s="3" t="inlineStr">
        <is>
          <t>28006</t>
        </is>
      </c>
      <c r="B28129" s="4" t="s">
        <f>=HYPERLINK("http://anyluxury.ru/shop/sumki-i-ryukzaki/ryukzaki/ryukzak-bossy-cherniy-1541330/" , "15413.30 Рюкзак Bossy, черный")</f>
      </c>
      <c r="C28129" s="4" t="n">
        <v>4290.00</v>
      </c>
      <c r="D28129" s="4"/>
    </row>
    <row collapsed="" customFormat="false" customHeight="1" hidden="" ht="14" outlineLevel="0" r="28130">
      <c r="A28130" s="3" t="inlineStr">
        <is>
          <t>28007</t>
        </is>
      </c>
      <c r="B28130" s="4" t="s">
        <f>=HYPERLINK("http://anyluxury.ru/shop/sumki-i-ryukzaki/ryukzaki/ryukzak-corpus-cherniy-1541430/" , "15414.30 Рюкзак Corpus, черный")</f>
      </c>
      <c r="C28130" s="4" t="n">
        <v>3190.00</v>
      </c>
      <c r="D28130" s="4"/>
    </row>
    <row collapsed="" customFormat="false" customHeight="1" hidden="" ht="14" outlineLevel="0" r="28131">
      <c r="A28131" s="3" t="inlineStr">
        <is>
          <t>28008</t>
        </is>
      </c>
      <c r="B28131" s="4" t="s">
        <f>=HYPERLINK("http://anyluxury.ru/shop/sumki-i-ryukzaki/ryukzaki/ryukzak-citytravel-cherniy-1541530/" , "15415.30 Рюкзак cityTravel, черный")</f>
      </c>
      <c r="C28131" s="4" t="n">
        <v>5490.00</v>
      </c>
      <c r="D28131" s="4"/>
    </row>
    <row collapsed="" customFormat="false" customHeight="1" hidden="" ht="14" outlineLevel="0" r="28132">
      <c r="A28132" s="3" t="inlineStr">
        <is>
          <t>28009</t>
        </is>
      </c>
      <c r="B28132" s="4" t="s">
        <f>=HYPERLINK("http://anyluxury.ru/shop/sumki-i-ryukzaki/ryukzaki/sportivniy-ryukzak-verkko-serogoluboy-1546213/" , "15462.13 Спортивный рюкзак Verkko, серо-голубой")</f>
      </c>
      <c r="C28132" s="4" t="n">
        <v>2869.00</v>
      </c>
      <c r="D28132" s="4"/>
    </row>
    <row collapsed="" customFormat="false" customHeight="1" hidden="" ht="14" outlineLevel="0" r="28133">
      <c r="A28133" s="3" t="inlineStr">
        <is>
          <t>28010</t>
        </is>
      </c>
      <c r="B28133" s="4" t="s">
        <f>=HYPERLINK("http://anyluxury.ru/shop/sumki-i-ryukzaki/ryukzaki/ryukzakmeshok-verkko-serogoluboy-1546613/" , "15466.13 Рюкзак-мешок Verkko, серо-голубой")</f>
      </c>
      <c r="C28133" s="4" t="n">
        <v>1490.00</v>
      </c>
      <c r="D28133" s="4"/>
    </row>
    <row collapsed="" customFormat="false" customHeight="1" hidden="" ht="14" outlineLevel="0" r="28134">
      <c r="A28134" s="3" t="inlineStr">
        <is>
          <t>28011</t>
        </is>
      </c>
      <c r="B28134" s="4" t="s">
        <f>=HYPERLINK("http://anyluxury.ru/shop/sumki-i-ryukzaki/ryukzaki/ryukzakmeshok-melango-svetlozeleniy-1244991/" , "12449.91 Рюкзак-мешок Melango, светло-зеленый")</f>
      </c>
      <c r="C28134" s="4" t="n">
        <v>440.00</v>
      </c>
      <c r="D28134" s="4"/>
    </row>
    <row collapsed="" customFormat="false" customHeight="1" hidden="" ht="14" outlineLevel="0" r="28135">
      <c r="A28135" s="3" t="inlineStr">
        <is>
          <t>28012</t>
        </is>
      </c>
      <c r="B28135" s="4" t="s">
        <f>=HYPERLINK("http://anyluxury.ru/shop/sumki-i-ryukzaki/ryukzaki/ryukzak-xd-design-soft-daypack-16-p705981/" , "P705.981 Рюкзак XD Design Soft Daypack, 16’’")</f>
      </c>
      <c r="C28135" s="4" t="n">
        <v>14066.00</v>
      </c>
      <c r="D28135" s="4"/>
    </row>
    <row collapsed="" customFormat="false" customHeight="1" hidden="" ht="14" outlineLevel="0" r="28136">
      <c r="A28136" s="3" t="inlineStr">
        <is>
          <t>28013</t>
        </is>
      </c>
      <c r="B28136" s="4" t="s">
        <f>=HYPERLINK("http://anyluxury.ru/shop/sumki-i-ryukzaki/ryukzaki/ryukzak-xd-design-soft-daypack-16-p705983/" , "P705.983 Рюкзак XD Design Soft Daypack, 16’’")</f>
      </c>
      <c r="C28136" s="4" t="n">
        <v>14066.00</v>
      </c>
      <c r="D28136" s="4"/>
    </row>
    <row collapsed="" customFormat="false" customHeight="1" hidden="" ht="14" outlineLevel="0" r="28137">
      <c r="A28137" s="3" t="inlineStr">
        <is>
          <t>28014</t>
        </is>
      </c>
      <c r="B28137" s="4" t="s">
        <f>=HYPERLINK("http://anyluxury.ru/shop/sumki-i-ryukzaki/ryukzaki/ryukzak-xd-design-soft-daypack-16-p705985/" , "P705.985 Рюкзак XD Design Soft Daypack, 16’’")</f>
      </c>
      <c r="C28137" s="4" t="n">
        <v>14066.00</v>
      </c>
      <c r="D28137" s="4"/>
    </row>
    <row collapsed="" customFormat="false" customHeight="1" hidden="" ht="14" outlineLevel="0" r="28138">
      <c r="A28138" s="3" t="inlineStr">
        <is>
          <t>28015</t>
        </is>
      </c>
      <c r="B28138" s="4" t="s">
        <f>=HYPERLINK("http://anyluxury.ru/shop/sumki-i-ryukzaki/ryukzaki/ryukzak-xd-design-soft-daypack-16-p705987/" , "P705.987 Рюкзак XD Design Soft Daypack, 16’’")</f>
      </c>
      <c r="C28138" s="4" t="n">
        <v>14066.00</v>
      </c>
      <c r="D28138" s="4"/>
    </row>
    <row collapsed="" customFormat="false" customHeight="1" hidden="" ht="14" outlineLevel="0" r="28139">
      <c r="A28139" s="3" t="inlineStr">
        <is>
          <t>28016</t>
        </is>
      </c>
      <c r="B28139" s="4" t="s">
        <f>=HYPERLINK("http://anyluxury.ru/shop/sumki-i-ryukzaki/ryukzaki/antikrazhniy-ryukzak-bobby-soft-p705993/" , "P705.993 Антикражный рюкзак Bobby Soft")</f>
      </c>
      <c r="C28139" s="4" t="n">
        <v>9788.00</v>
      </c>
      <c r="D28139" s="4"/>
    </row>
    <row collapsed="" customFormat="false" customHeight="1" hidden="" ht="14" outlineLevel="0" r="28140">
      <c r="A28140" s="3" t="inlineStr">
        <is>
          <t>28017</t>
        </is>
      </c>
      <c r="B28140" s="4" t="s">
        <f>=HYPERLINK("http://anyluxury.ru/shop/sumki-i-ryukzaki/ryukzaki/antikrazhniy-ryukzak-bobby-soft-p705995/" , "P705.995 Антикражный рюкзак Bobby Soft")</f>
      </c>
      <c r="C28140" s="4" t="n">
        <v>9788.00</v>
      </c>
      <c r="D28140" s="4"/>
    </row>
    <row collapsed="" customFormat="false" customHeight="1" hidden="" ht="14" outlineLevel="0" r="28141">
      <c r="A28141" s="3" t="inlineStr">
        <is>
          <t>28018</t>
        </is>
      </c>
      <c r="B28141" s="4" t="s">
        <f>=HYPERLINK("http://anyluxury.ru/shop/sumki-i-ryukzaki/ryukzaki/antikrazhniy-ryukzak-bobby-soft-p705997/" , "P705.997 Антикражный рюкзак Bobby Soft")</f>
      </c>
      <c r="C28141" s="4" t="n">
        <v>9788.00</v>
      </c>
      <c r="D28141" s="4"/>
    </row>
    <row collapsed="" customFormat="false" customHeight="1" hidden="" ht="14" outlineLevel="0" r="28142">
      <c r="A28142" s="3" t="inlineStr">
        <is>
          <t>28019</t>
        </is>
      </c>
      <c r="B28142" s="4" t="s">
        <f>=HYPERLINK("http://anyluxury.ru/shop/sumki-i-ryukzaki/ryukzaki/antikrazhniy-ryukzak-bobby-soft-p705999/" , "P705.999 Антикражный рюкзак Bobby Soft")</f>
      </c>
      <c r="C28142" s="4" t="n">
        <v>9788.00</v>
      </c>
      <c r="D28142" s="4"/>
    </row>
    <row collapsed="" customFormat="false" customHeight="1" hidden="" ht="14" outlineLevel="0" r="28143">
      <c r="A28143" s="3" t="inlineStr">
        <is>
          <t>28020</t>
        </is>
      </c>
      <c r="B28143" s="4" t="s">
        <f>=HYPERLINK("http://anyluxury.ru/shop/sumki-i-ryukzaki/ryukzaki/antikrazhniy-ryukzak-bobby-soft-p705992/" , "P705.992 Антикражный рюкзак Bobby Soft")</f>
      </c>
      <c r="C28143" s="4" t="n">
        <v>9788.00</v>
      </c>
      <c r="D28143" s="4"/>
    </row>
    <row collapsed="" customFormat="false" customHeight="1" hidden="" ht="14" outlineLevel="0" r="28144">
      <c r="A28144" s="3" t="inlineStr">
        <is>
          <t>28021</t>
        </is>
      </c>
      <c r="B28144" s="4" t="s">
        <f>=HYPERLINK("http://anyluxury.ru/shop/sumki-i-ryukzaki/ryukzaki/sportivnaya-sumka-vinga-baltimore-500718/" , "500718 Спортивная сумка VINGA Baltimore")</f>
      </c>
      <c r="C28144" s="4" t="n">
        <v>5156.00</v>
      </c>
      <c r="D28144" s="4"/>
    </row>
    <row collapsed="" customFormat="false" customHeight="1" hidden="" ht="14" outlineLevel="0" r="28145">
      <c r="A28145" s="3" t="inlineStr">
        <is>
          <t>28022</t>
        </is>
      </c>
      <c r="B28145" s="4" t="s">
        <f>=HYPERLINK("http://anyluxury.ru/shop/sumki-i-ryukzaki/ryukzaki/sportivnaya-sumka-vinga-baltimore-500720/" , "500720 Спортивная сумка VINGA Baltimore")</f>
      </c>
      <c r="C28145" s="4" t="n">
        <v>5156.00</v>
      </c>
      <c r="D28145" s="4"/>
    </row>
    <row collapsed="" customFormat="false" customHeight="1" hidden="" ht="14" outlineLevel="0" r="28146">
      <c r="A28146" s="3" t="inlineStr">
        <is>
          <t>28023</t>
        </is>
      </c>
      <c r="B28146" s="4" t="s">
        <f>=HYPERLINK("http://anyluxury.ru/shop/sumki-i-ryukzaki/ryukzaki/sportivnaya-sumka-vinga-baltimore-500721/" , "500721 Спортивная сумка VINGA Baltimore")</f>
      </c>
      <c r="C28146" s="4" t="n">
        <v>5156.00</v>
      </c>
      <c r="D28146" s="4"/>
    </row>
    <row collapsed="" customFormat="false" customHeight="1" hidden="" ht="14" outlineLevel="0" r="28147">
      <c r="A28147" s="3" t="inlineStr">
        <is>
          <t>28024</t>
        </is>
      </c>
      <c r="B28147" s="4" t="s">
        <f>=HYPERLINK("http://anyluxury.ru/shop/sumki-i-ryukzaki/ryukzaki/ryukzak-b1-seriy-1534110/" , "15341.10 Рюкзак B1, серый")</f>
      </c>
      <c r="C28147" s="4" t="n">
        <v>2371.00</v>
      </c>
      <c r="D28147" s="4"/>
    </row>
    <row collapsed="" customFormat="false" customHeight="1" hidden="" ht="14" outlineLevel="0" r="28148">
      <c r="A28148" s="3" t="inlineStr">
        <is>
          <t>28025</t>
        </is>
      </c>
      <c r="B28148" s="4" t="s">
        <f>=HYPERLINK("http://anyluxury.ru/shop/sumki-i-ryukzaki/ryukzaki/ryukzak-b1-cherniy-1534130/" , "15341.30 Рюкзак B1, черный")</f>
      </c>
      <c r="C28148" s="4" t="n">
        <v>2371.00</v>
      </c>
      <c r="D28148" s="4"/>
    </row>
    <row collapsed="" customFormat="false" customHeight="1" hidden="" ht="14" outlineLevel="0" r="28149">
      <c r="A28149" s="3" t="inlineStr">
        <is>
          <t>28026</t>
        </is>
      </c>
      <c r="B28149" s="4" t="s">
        <f>=HYPERLINK("http://anyluxury.ru/shop/sumki-i-ryukzaki/ryukzaki/ryukzak-b1-siniy-1534140/" , "15341.40 Рюкзак B1, синий")</f>
      </c>
      <c r="C28149" s="4" t="n">
        <v>2371.00</v>
      </c>
      <c r="D28149" s="4"/>
    </row>
    <row collapsed="" customFormat="false" customHeight="1" hidden="" ht="14" outlineLevel="0" r="28150">
      <c r="A28150" s="3" t="inlineStr">
        <is>
          <t>28027</t>
        </is>
      </c>
      <c r="B28150" s="4" t="s">
        <f>=HYPERLINK("http://anyluxury.ru/shop/sumki-i-ryukzaki/ryukzaki/detskiy-ryukzak-comfit-beliy-s-sinim-1750440/" , "17504.40 Детский рюкзак Comfit, белый с синим")</f>
      </c>
      <c r="C28150" s="4" t="n">
        <v>727.00</v>
      </c>
      <c r="D28150" s="4"/>
    </row>
    <row collapsed="" customFormat="false" customHeight="1" hidden="" ht="14" outlineLevel="0" r="28151">
      <c r="A28151" s="3" t="inlineStr">
        <is>
          <t>28028</t>
        </is>
      </c>
      <c r="B28151" s="4" t="s">
        <f>=HYPERLINK("http://anyluxury.ru/shop/sumki-i-ryukzaki/ryukzaki/detskiy-ryukzak-comfit-beliy-s-serim-1750410/" , "17504.10 Детский рюкзак Comfit, белый с серым")</f>
      </c>
      <c r="C28151" s="4" t="n">
        <v>727.00</v>
      </c>
      <c r="D28151" s="4"/>
    </row>
    <row collapsed="" customFormat="false" customHeight="1" hidden="" ht="14" outlineLevel="0" r="28152">
      <c r="A28152" s="3" t="inlineStr">
        <is>
          <t>28029</t>
        </is>
      </c>
      <c r="B28152" s="4" t="s">
        <f>=HYPERLINK("http://anyluxury.ru/shop/sumki-i-ryukzaki/ryukzaki/detskiy-ryukzak-comfit-beliy-s-zelenim-yablokom-1750494/" , "17504.94 Детский рюкзак Comfit, белый с зеленым яблоком")</f>
      </c>
      <c r="C28152" s="4" t="n">
        <v>727.00</v>
      </c>
      <c r="D28152" s="4"/>
    </row>
    <row collapsed="" customFormat="false" customHeight="1" hidden="" ht="14" outlineLevel="0" r="28153">
      <c r="A28153" s="3" t="inlineStr">
        <is>
          <t>28030</t>
        </is>
      </c>
      <c r="B28153" s="4" t="s">
        <f>=HYPERLINK("http://anyluxury.ru/shop/sumki-i-ryukzaki/ryukzaki/detskiy-ryukzak-comfit-beliy-s-krasnim-1750450/" , "17504.50 Детский рюкзак Comfit, белый с красным")</f>
      </c>
      <c r="C28153" s="4" t="n">
        <v>727.00</v>
      </c>
      <c r="D28153" s="4"/>
    </row>
    <row collapsed="" customFormat="false" customHeight="1" hidden="" ht="14" outlineLevel="0" r="28154">
      <c r="A28154" s="3" t="inlineStr">
        <is>
          <t>28031</t>
        </is>
      </c>
      <c r="B28154" s="4" t="s">
        <f>=HYPERLINK("http://anyluxury.ru/shop/sumki-i-ryukzaki/ryukzaki/legkiy-skladnoy-ryukzak-dillon-iz-rpet-aware-p763171/" , "P763.171 Легкий складной рюкзак Dillon из rPET AWARE™")</f>
      </c>
      <c r="C28154" s="4" t="n">
        <v>2666.00</v>
      </c>
      <c r="D28154" s="4"/>
    </row>
    <row collapsed="" customFormat="false" customHeight="1" hidden="" ht="14" outlineLevel="0" r="28155">
      <c r="A28155" s="3" t="inlineStr">
        <is>
          <t>28032</t>
        </is>
      </c>
      <c r="B28155" s="4" t="s">
        <f>=HYPERLINK("http://anyluxury.ru/shop/sumki-i-ryukzaki/ryukzaki/legkiy-skladnoy-ryukzak-dillon-iz-rpet-aware-p763172/" , "P763.172 Легкий складной рюкзак Dillon из rPET AWARE™")</f>
      </c>
      <c r="C28155" s="4" t="n">
        <v>2666.00</v>
      </c>
      <c r="D28155" s="4"/>
    </row>
    <row collapsed="" customFormat="false" customHeight="1" hidden="" ht="14" outlineLevel="0" r="28156">
      <c r="A28156" s="3" t="inlineStr">
        <is>
          <t>28033</t>
        </is>
      </c>
      <c r="B28156" s="4" t="s">
        <f>=HYPERLINK("http://anyluxury.ru/shop/sumki-i-ryukzaki/ryukzaki/legkiy-skladnoy-ryukzak-dillon-iz-rpet-aware-p763173/" , "P763.173 Легкий складной рюкзак Dillon из rPET AWARE™")</f>
      </c>
      <c r="C28156" s="4" t="n">
        <v>2666.00</v>
      </c>
      <c r="D28156" s="4"/>
    </row>
    <row collapsed="" customFormat="false" customHeight="1" hidden="" ht="14" outlineLevel="0" r="28157">
      <c r="A28157" s="3" t="inlineStr">
        <is>
          <t>28034</t>
        </is>
      </c>
      <c r="B28157" s="4" t="s">
        <f>=HYPERLINK("http://anyluxury.ru/shop/sumki-i-ryukzaki/ryukzaki/legkiy-skladnoy-ryukzak-dillon-iz-rpet-aware-p763174/" , "P763.174 Легкий складной рюкзак Dillon из rPET AWARE™")</f>
      </c>
      <c r="C28157" s="4" t="n">
        <v>2666.00</v>
      </c>
      <c r="D28157" s="4"/>
    </row>
    <row collapsed="" customFormat="false" customHeight="1" hidden="" ht="14" outlineLevel="0" r="28158">
      <c r="A28158" s="3" t="inlineStr">
        <is>
          <t>28035</t>
        </is>
      </c>
      <c r="B28158" s="4" t="s">
        <f>=HYPERLINK("http://anyluxury.ru/shop/sumki-i-ryukzaki/ryukzaki/legkiy-skladnoy-ryukzak-dillon-iz-rpet-aware-p763175/" , "P763.175 Легкий складной рюкзак Dillon из rPET AWARE™")</f>
      </c>
      <c r="C28158" s="4" t="n">
        <v>2666.00</v>
      </c>
      <c r="D28158" s="4"/>
    </row>
    <row collapsed="" customFormat="false" customHeight="1" hidden="" ht="14" outlineLevel="0" r="28159">
      <c r="A28159" s="3" t="inlineStr">
        <is>
          <t>28036</t>
        </is>
      </c>
      <c r="B28159" s="4" t="s">
        <f>=HYPERLINK("http://anyluxury.ru/shop/sumki-i-ryukzaki/ryukzaki/legkiy-skladnoy-ryukzak-dillon-iz-rpet-aware-p763177/" , "P763.177 Легкий складной рюкзак Dillon из rPET AWARE™")</f>
      </c>
      <c r="C28159" s="4" t="n">
        <v>2666.00</v>
      </c>
      <c r="D28159" s="4"/>
    </row>
    <row collapsed="" customFormat="false" customHeight="1" hidden="" ht="14" outlineLevel="0" r="28160">
      <c r="A28160" s="3" t="inlineStr">
        <is>
          <t>28037</t>
        </is>
      </c>
      <c r="B28160" s="4" t="s">
        <f>=HYPERLINK("http://anyluxury.ru/shop/sumki-i-ryukzaki/ryukzaki/ryukzak-base-up-cherniy-s-serim-1569310/" , "15693.10 Рюкзак Base Up, черный с серым")</f>
      </c>
      <c r="C28160" s="4" t="n">
        <v>811.00</v>
      </c>
      <c r="D28160" s="4"/>
    </row>
    <row collapsed="" customFormat="false" customHeight="1" hidden="" ht="14" outlineLevel="0" r="28161">
      <c r="A28161" s="3" t="inlineStr">
        <is>
          <t>28038</t>
        </is>
      </c>
      <c r="B28161" s="4" t="s">
        <f>=HYPERLINK("http://anyluxury.ru/shop/sumki-i-ryukzaki/ryukzaki/ryukzak-base-up-cherniy-s-oranzhevim-1569320/" , "15693.20 Рюкзак Base Up, черный с оранжевым")</f>
      </c>
      <c r="C28161" s="4" t="n">
        <v>811.00</v>
      </c>
      <c r="D28161" s="4"/>
    </row>
    <row collapsed="" customFormat="false" customHeight="1" hidden="" ht="14" outlineLevel="0" r="28162">
      <c r="A28162" s="3" t="inlineStr">
        <is>
          <t>28039</t>
        </is>
      </c>
      <c r="B28162" s="4" t="s">
        <f>=HYPERLINK("http://anyluxury.ru/shop/sumki-i-ryukzaki/ryukzaki/ryukzak-base-up-cherniy-s-sinim-1569340/" , "15693.40 Рюкзак Base Up, черный с синим")</f>
      </c>
      <c r="C28162" s="4" t="n">
        <v>811.00</v>
      </c>
      <c r="D28162" s="4"/>
    </row>
    <row collapsed="" customFormat="false" customHeight="1" hidden="" ht="14" outlineLevel="0" r="28163">
      <c r="A28163" s="3" t="inlineStr">
        <is>
          <t>28040</t>
        </is>
      </c>
      <c r="B28163" s="4" t="s">
        <f>=HYPERLINK("http://anyluxury.ru/shop/sumki-i-ryukzaki/ryukzaki/ryukzak-base-up-cherniy-s-krasnim-1569350/" , "15693.50 Рюкзак Base Up, черный с красным")</f>
      </c>
      <c r="C28163" s="4" t="n">
        <v>811.00</v>
      </c>
      <c r="D28163" s="4"/>
    </row>
    <row collapsed="" customFormat="false" customHeight="1" hidden="" ht="14" outlineLevel="0" r="28164">
      <c r="A28164" s="3" t="inlineStr">
        <is>
          <t>28041</t>
        </is>
      </c>
      <c r="B28164" s="4" t="s">
        <f>=HYPERLINK("http://anyluxury.ru/shop/sumki-i-ryukzaki/ryukzaki/ryukzak-brevis-krasniy-1495750/" , "14957.50 Рюкзак Brevis, красный")</f>
      </c>
      <c r="C28164" s="4" t="n">
        <v>1490.00</v>
      </c>
      <c r="D28164" s="4"/>
    </row>
    <row collapsed="" customFormat="false" customHeight="1" hidden="" ht="14" outlineLevel="0" r="28165">
      <c r="A28165" s="3" t="inlineStr">
        <is>
          <t>28042</t>
        </is>
      </c>
      <c r="B28165" s="4" t="s">
        <f>=HYPERLINK("http://anyluxury.ru/shop/sumki-i-ryukzaki/ryukzaki/ryukzak-brevis-oranzheviy-1495720/" , "14957.20 Рюкзак Brevis, оранжевый")</f>
      </c>
      <c r="C28165" s="4" t="n">
        <v>1490.00</v>
      </c>
      <c r="D28165" s="4"/>
    </row>
    <row collapsed="" customFormat="false" customHeight="1" hidden="" ht="14" outlineLevel="0" r="28166">
      <c r="A28166" s="3" t="inlineStr">
        <is>
          <t>28043</t>
        </is>
      </c>
      <c r="B28166" s="4" t="s">
        <f>=HYPERLINK("http://anyluxury.ru/shop/sumki-i-ryukzaki/ryukzaki/ryukzak-brevis-cherniy-1495730/" , "14957.30 Рюкзак Brevis, черный")</f>
      </c>
      <c r="C28166" s="4" t="n">
        <v>1490.00</v>
      </c>
      <c r="D28166" s="4"/>
    </row>
    <row collapsed="" customFormat="false" customHeight="1" hidden="" ht="14" outlineLevel="0" r="28167">
      <c r="A28167" s="3" t="inlineStr">
        <is>
          <t>28044</t>
        </is>
      </c>
      <c r="B28167" s="4" t="s">
        <f>=HYPERLINK("http://anyluxury.ru/shop/sumki-i-ryukzaki/ryukzaki/ryukzak-dlya-noutbuka-santiago-slim-seriy-1656410/" , "16564.10 Рюкзак для ноутбука Santiago Slim, серый")</f>
      </c>
      <c r="C28167" s="4" t="n">
        <v>15000.00</v>
      </c>
      <c r="D28167" s="4"/>
    </row>
    <row collapsed="" customFormat="false" customHeight="1" hidden="" ht="14" outlineLevel="0" r="28168">
      <c r="A28168" s="3" t="inlineStr">
        <is>
          <t>28045</t>
        </is>
      </c>
      <c r="B28168" s="4" t="s">
        <f>=HYPERLINK("http://anyluxury.ru/shop/sumki-i-ryukzaki/ryukzaki/ryukzak-dlya-noutbuka-santiago-nylon-siniy-1656540/" , "16565.40 Рюкзак для ноутбука Santiago Nylon, синий")</f>
      </c>
      <c r="C28168" s="4" t="n">
        <v>12500.00</v>
      </c>
      <c r="D28168" s="4"/>
    </row>
    <row collapsed="" customFormat="false" customHeight="1" hidden="" ht="14" outlineLevel="0" r="28169">
      <c r="A28169" s="3" t="inlineStr">
        <is>
          <t>28046</t>
        </is>
      </c>
      <c r="B28169" s="4" t="s">
        <f>=HYPERLINK("http://anyluxury.ru/shop/sumki-i-ryukzaki/ryukzaki/ryukzak-dlya-noutbuka-santiago-seriy-1656610/" , "16566.10 Рюкзак для ноутбука Santiago, серый")</f>
      </c>
      <c r="C28169" s="4" t="n">
        <v>15000.00</v>
      </c>
      <c r="D28169" s="4"/>
    </row>
    <row collapsed="" customFormat="false" customHeight="1" hidden="" ht="14" outlineLevel="0" r="28170">
      <c r="A28170" s="3" t="inlineStr">
        <is>
          <t>28047</t>
        </is>
      </c>
      <c r="B28170" s="4" t="s">
        <f>=HYPERLINK("http://anyluxury.ru/shop/sumki-i-ryukzaki/ryukzaki/ryukzak-dlya-noutbuka-santiago-s-kozhanoy-otdelkoy-cherniy-1656730/" , "16567.30 Рюкзак для ноутбука Santiago с кожаной отделкой, черный")</f>
      </c>
      <c r="C28170" s="4" t="n">
        <v>20000.00</v>
      </c>
      <c r="D28170" s="4"/>
    </row>
    <row collapsed="" customFormat="false" customHeight="1" hidden="" ht="14" outlineLevel="0" r="28171">
      <c r="A28171" s="3" t="inlineStr">
        <is>
          <t>28048</t>
        </is>
      </c>
      <c r="B28171" s="4" t="s">
        <f>=HYPERLINK("http://anyluxury.ru/shop/sumki-i-ryukzaki/ryukzaki/kozhaniy-ryukzak-dlya-noutbuka-santiago-cherniy-1656830/" , "16568.30 Кожаный рюкзак для ноутбука Santiago, черный")</f>
      </c>
      <c r="C28171" s="4" t="n">
        <v>26500.00</v>
      </c>
      <c r="D28171" s="4"/>
    </row>
    <row collapsed="" customFormat="false" customHeight="1" hidden="" ht="14" outlineLevel="0" r="28172">
      <c r="A28172" s="3" t="inlineStr">
        <is>
          <t>28049</t>
        </is>
      </c>
      <c r="B28172" s="4" t="s">
        <f>=HYPERLINK("http://anyluxury.ru/shop/sumki-i-ryukzaki/ryukzaki/ryukzak-dlya-noutbuka-santiago-slim-s-kozhanoy-otdelkoy-cherniy-1656930/" , "16569.30 Рюкзак для ноутбука Santiago Slim с кожаной отделкой, черный")</f>
      </c>
      <c r="C28172" s="4" t="n">
        <v>12500.00</v>
      </c>
      <c r="D28172" s="4"/>
    </row>
    <row collapsed="" customFormat="false" customHeight="1" hidden="" ht="14" outlineLevel="0" r="28173">
      <c r="A28173" s="3" t="inlineStr">
        <is>
          <t>28050</t>
        </is>
      </c>
      <c r="B28173" s="4" t="s">
        <f>=HYPERLINK("http://anyluxury.ru/shop/sumki-i-ryukzaki/ryukzaki/ryukzak-dlya-noutbuka-burst-oneworld-seriy-1572610/" , "15726.10 Рюкзак для ноутбука Burst Oneworld, серый")</f>
      </c>
      <c r="C28173" s="4" t="n">
        <v>2820.00</v>
      </c>
      <c r="D28173" s="4"/>
    </row>
    <row collapsed="" customFormat="false" customHeight="1" hidden="" ht="14" outlineLevel="0" r="28174">
      <c r="A28174" s="3" t="inlineStr">
        <is>
          <t>28051</t>
        </is>
      </c>
      <c r="B28174" s="4" t="s">
        <f>=HYPERLINK("http://anyluxury.ru/shop/sumki-i-ryukzaki/ryukzaki/dorozhniy-ryukzak-dlya-noutbuka-armond-iz-rpet-aware-156-p763281/" , "P763.281 Дорожный рюкзак для ноутбука Armond из rPET AWARE™, 15,6”")</f>
      </c>
      <c r="C28174" s="4" t="n">
        <v>8006.00</v>
      </c>
      <c r="D28174" s="4"/>
    </row>
    <row collapsed="" customFormat="false" customHeight="1" hidden="" ht="14" outlineLevel="0" r="28175">
      <c r="A28175" s="3" t="inlineStr">
        <is>
          <t>28052</t>
        </is>
      </c>
      <c r="B28175" s="4" t="s">
        <f>=HYPERLINK("http://anyluxury.ru/shop/sumki-i-ryukzaki/ryukzaki/dorozhniy-ryukzak-dlya-noutbuka-armond-iz-rpet-aware-156-p763282/" , "P763.282 Дорожный рюкзак для ноутбука Armond из rPET AWARE™, 15,6”")</f>
      </c>
      <c r="C28175" s="4" t="n">
        <v>8006.00</v>
      </c>
      <c r="D28175" s="4"/>
    </row>
    <row collapsed="" customFormat="false" customHeight="1" hidden="" ht="14" outlineLevel="0" r="28176">
      <c r="A28176" s="3" t="inlineStr">
        <is>
          <t>28053</t>
        </is>
      </c>
      <c r="B28176" s="4" t="s">
        <f>=HYPERLINK("http://anyluxury.ru/shop/sumki-i-ryukzaki/ryukzaki/dorozhniy-ryukzak-dlya-noutbuka-armond-iz-rpet-aware-156-p763285/" , "P763.285 Дорожный рюкзак для ноутбука Armond из rPET AWARE™, 15,6”")</f>
      </c>
      <c r="C28176" s="4" t="n">
        <v>8006.00</v>
      </c>
      <c r="D28176" s="4"/>
    </row>
    <row collapsed="" customFormat="false" customHeight="1" hidden="" ht="14" outlineLevel="0" r="28177">
      <c r="A28177" s="3" t="inlineStr">
        <is>
          <t>28054</t>
        </is>
      </c>
      <c r="B28177" s="4" t="s">
        <f>=HYPERLINK("http://anyluxury.ru/shop/sumki-i-ryukzaki/ryukzaki/ryukzak-urbanpulse-cherniy-1568130/" , "15681.30 Рюкзак urbanPulse, черный")</f>
      </c>
      <c r="C28177" s="4" t="n">
        <v>3490.00</v>
      </c>
      <c r="D28177" s="4"/>
    </row>
    <row collapsed="" customFormat="false" customHeight="1" hidden="" ht="14" outlineLevel="0" r="28178">
      <c r="A28178" s="3" t="inlineStr">
        <is>
          <t>28055</t>
        </is>
      </c>
      <c r="B28178" s="4" t="s">
        <f>=HYPERLINK("http://anyluxury.ru/shop/sumki-i-ryukzaki/ryukzaki/ryukzak-urbanpulse-seriy-1568110/" , "15681.10 Рюкзак urbanPulse, серый")</f>
      </c>
      <c r="C28178" s="4" t="n">
        <v>3490.00</v>
      </c>
      <c r="D28178" s="4"/>
    </row>
    <row collapsed="" customFormat="false" customHeight="1" hidden="" ht="14" outlineLevel="0" r="28179">
      <c r="A28179" s="3" t="inlineStr">
        <is>
          <t>28056</t>
        </is>
      </c>
      <c r="B28179" s="4" t="s">
        <f>=HYPERLINK("http://anyluxury.ru/shop/sumki-i-ryukzaki/ryukzaki/ryukzak-urbanpulse-oranzheviy-1568120/" , "15681.20 Рюкзак urbanPulse, оранжевый")</f>
      </c>
      <c r="C28179" s="4" t="n">
        <v>3490.00</v>
      </c>
      <c r="D28179" s="4"/>
    </row>
    <row collapsed="" customFormat="false" customHeight="1" hidden="" ht="14" outlineLevel="0" r="28180">
      <c r="A28180" s="3" t="inlineStr">
        <is>
          <t>28057</t>
        </is>
      </c>
      <c r="B28180" s="4" t="s">
        <f>=HYPERLINK("http://anyluxury.ru/shop/sumki-i-ryukzaki/ryukzaki/ryukzak-urbanpulse-krasniy-1568150/" , "15681.50 Рюкзак urbanPulse, красный")</f>
      </c>
      <c r="C28180" s="4" t="n">
        <v>3490.00</v>
      </c>
      <c r="D28180" s="4"/>
    </row>
    <row collapsed="" customFormat="false" customHeight="1" hidden="" ht="14" outlineLevel="0" r="28181">
      <c r="A28181" s="3" t="inlineStr">
        <is>
          <t>28058</t>
        </is>
      </c>
      <c r="B28181" s="4" t="s">
        <f>=HYPERLINK("http://anyluxury.ru/shop/sumki-i-ryukzaki/ryukzaki/ryukzak-urbanpulse-siniy-1568140/" , "15681.40 Рюкзак urbanPulse, синий")</f>
      </c>
      <c r="C28181" s="4" t="n">
        <v>3490.00</v>
      </c>
      <c r="D28181" s="4"/>
    </row>
    <row collapsed="" customFormat="false" customHeight="1" hidden="" ht="14" outlineLevel="0" r="28182">
      <c r="A28182" s="3" t="inlineStr">
        <is>
          <t>28059</t>
        </is>
      </c>
      <c r="B28182" s="4" t="s">
        <f>=HYPERLINK("http://anyluxury.ru/shop/sumki-i-ryukzaki/ryukzaki/dorozhniy-ryukzak-pascal-iz-rpet-aware-156-p763221/" , "P763.221 Дорожный рюкзак Pascal из rPET AWARE™, 15,6’’")</f>
      </c>
      <c r="C28182" s="4" t="n">
        <v>14075.00</v>
      </c>
      <c r="D28182" s="4"/>
    </row>
    <row collapsed="" customFormat="false" customHeight="1" hidden="" ht="14" outlineLevel="0" r="28183">
      <c r="A28183" s="3" t="inlineStr">
        <is>
          <t>28060</t>
        </is>
      </c>
      <c r="B28183" s="4" t="s">
        <f>=HYPERLINK("http://anyluxury.ru/shop/sumki-i-ryukzaki/ryukzaki/dorozhniy-ryukzak-pascal-iz-rpet-aware-156-p763223/" , "P763.223 Дорожный рюкзак Pascal из rPET AWARE™, 15,6’’")</f>
      </c>
      <c r="C28183" s="4" t="n">
        <v>14075.00</v>
      </c>
      <c r="D28183" s="4"/>
    </row>
    <row collapsed="" customFormat="false" customHeight="1" hidden="" ht="14" outlineLevel="0" r="28184">
      <c r="A28184" s="3" t="inlineStr">
        <is>
          <t>28061</t>
        </is>
      </c>
      <c r="B28184" s="4" t="s">
        <f>=HYPERLINK("http://anyluxury.ru/shop/sumki-i-ryukzaki/ryukzaki/dorozhniy-ryukzak-pascal-iz-rpet-aware-156-p763225/" , "P763.225 Дорожный рюкзак Pascal из rPET AWARE™, 15,6’’")</f>
      </c>
      <c r="C28184" s="4" t="n">
        <v>14075.00</v>
      </c>
      <c r="D28184" s="4"/>
    </row>
    <row collapsed="" customFormat="false" customHeight="1" hidden="" ht="14" outlineLevel="0" r="28185">
      <c r="A28185" s="3" t="inlineStr">
        <is>
          <t>28062</t>
        </is>
      </c>
      <c r="B28185" s="4" t="s">
        <f>=HYPERLINK("http://anyluxury.ru/shop/sumki-i-ryukzaki/ryukzaki/ryukzak-traffic-seriy-1476410/" , "14764.10 Рюкзак Traffic, серый")</f>
      </c>
      <c r="C28185" s="4" t="n">
        <v>4402.00</v>
      </c>
      <c r="D28185" s="4"/>
    </row>
    <row collapsed="" customFormat="false" customHeight="1" hidden="" ht="14" outlineLevel="0" r="28186">
      <c r="A28186" s="3" t="inlineStr">
        <is>
          <t>28063</t>
        </is>
      </c>
      <c r="B28186" s="4" t="s">
        <f>=HYPERLINK("http://anyluxury.ru/shop/sumki-i-ryukzaki/ryukzaki/ryukzak-traffic-siniy-1476440/" , "14764.40 Рюкзак Traffic, синий")</f>
      </c>
      <c r="C28186" s="4" t="n">
        <v>4402.00</v>
      </c>
      <c r="D28186" s="4"/>
    </row>
    <row collapsed="" customFormat="false" customHeight="1" hidden="" ht="14" outlineLevel="0" r="28187">
      <c r="A28187" s="3" t="inlineStr">
        <is>
          <t>28064</t>
        </is>
      </c>
      <c r="B28187" s="4" t="s">
        <f>=HYPERLINK("http://anyluxury.ru/shop/sumki-i-ryukzaki/ryukzaki/ryukzak-boston-cherniy-20075010/" , "20075.010 Рюкзак Boston, черный")</f>
      </c>
      <c r="C28187" s="4" t="n">
        <v>4280.00</v>
      </c>
      <c r="D28187" s="4"/>
    </row>
    <row collapsed="" customFormat="false" customHeight="" hidden="" ht="12.1" outlineLevel="0" r="28188">
      <c r="A28188" s="5" t="inlineStr">
        <is>
          <t> -  - Спортивные сумки</t>
        </is>
      </c>
      <c r="B28188" s="6"/>
      <c r="C28188" s="6"/>
      <c r="D28188" s="6"/>
    </row>
    <row collapsed="" customFormat="false" customHeight="1" hidden="" ht="14" outlineLevel="0" r="28189">
      <c r="A28189" s="3" t="inlineStr">
        <is>
          <t>28065</t>
        </is>
      </c>
      <c r="B28189" s="4" t="s">
        <f>=HYPERLINK("http://anyluxury.ru/shop/sumki-i-ryukzaki/sportivnye-sumki/sumkadafl-swiss-peak-s-zashhitoy-ot-schitivaniya-dannih-rfid-p707361/" , "P707.361 Сумка-дафл Swiss Peak с защитой от считывания данных RFID")</f>
      </c>
      <c r="C28189" s="4" t="n">
        <v>6190.00</v>
      </c>
      <c r="D28189" s="4"/>
    </row>
    <row collapsed="" customFormat="false" customHeight="" hidden="" ht="12.1" outlineLevel="0" r="28190">
      <c r="A28190" s="5" t="inlineStr">
        <is>
          <t> -  - Сумки для документов</t>
        </is>
      </c>
      <c r="B28190" s="6"/>
      <c r="C28190" s="6"/>
      <c r="D28190" s="6"/>
    </row>
    <row collapsed="" customFormat="false" customHeight="1" hidden="" ht="14" outlineLevel="0" r="28191">
      <c r="A28191" s="3" t="inlineStr">
        <is>
          <t>28066</t>
        </is>
      </c>
      <c r="B28191" s="4" t="s">
        <f>=HYPERLINK("http://anyluxury.ru/shop/sumki-i-ryukzaki/sumki-dlya-dokumentov/sumka-zhenskaya-city-plume-seraya/" , "P61-16008 Сумка женская City Plume, серая")</f>
      </c>
      <c r="C28191" s="4" t="n">
        <v>4690.00</v>
      </c>
      <c r="D28191" s="4"/>
    </row>
    <row collapsed="" customFormat="false" customHeight="1" hidden="" ht="14" outlineLevel="0" r="28192">
      <c r="A28192" s="3" t="inlineStr">
        <is>
          <t>28067</t>
        </is>
      </c>
      <c r="B28192" s="4" t="s">
        <f>=HYPERLINK("http://anyluxury.ru/shop/sumki-i-ryukzaki/sumki-dlya-dokumentov/sumka-zhenskaya-city-plume-krasnaya/" , "P61-05008 Сумка женская City Plume, красная")</f>
      </c>
      <c r="C28192" s="4" t="n">
        <v>4690.00</v>
      </c>
      <c r="D28192" s="4"/>
    </row>
    <row collapsed="" customFormat="false" customHeight="1" hidden="" ht="14" outlineLevel="0" r="28193">
      <c r="A28193" s="3" t="inlineStr">
        <is>
          <t>28068</t>
        </is>
      </c>
      <c r="B28193" s="4" t="s">
        <f>=HYPERLINK("http://anyluxury.ru/shop/sumki-i-ryukzaki/sumki-dlya-dokumentov/sumka-zhenskaya-city-plume-chernaya/" , "P61-01008 Сумка женская City Plume, черная")</f>
      </c>
      <c r="C28193" s="4" t="n">
        <v>4690.00</v>
      </c>
      <c r="D28193" s="4"/>
    </row>
    <row collapsed="" customFormat="false" customHeight="1" hidden="" ht="14" outlineLevel="0" r="28194">
      <c r="A28194" s="3" t="inlineStr">
        <is>
          <t>28069</t>
        </is>
      </c>
      <c r="B28194" s="4" t="s">
        <f>=HYPERLINK("http://anyluxury.ru/shop/sumki-i-ryukzaki/sumki-dlya-dokumentov/sumka-zhenskaya-m-lady-plume-sinyaya/" , "P51-32103 Сумка женская M Lady Plume, синяя")</f>
      </c>
      <c r="C28194" s="4" t="n">
        <v>7990.00</v>
      </c>
      <c r="D28194" s="4"/>
    </row>
    <row collapsed="" customFormat="false" customHeight="1" hidden="" ht="14" outlineLevel="0" r="28195">
      <c r="A28195" s="3" t="inlineStr">
        <is>
          <t>28070</t>
        </is>
      </c>
      <c r="B28195" s="4" t="s">
        <f>=HYPERLINK("http://anyluxury.ru/shop/sumki-i-ryukzaki/sumki-dlya-dokumentov/sumka-zhenskaya-m-lady-plume-krasnaya/" , "P51-05103 Сумка женская M Lady Plume, красная")</f>
      </c>
      <c r="C28195" s="4" t="n">
        <v>7990.00</v>
      </c>
      <c r="D28195" s="4"/>
    </row>
    <row collapsed="" customFormat="false" customHeight="1" hidden="" ht="14" outlineLevel="0" r="28196">
      <c r="A28196" s="3" t="inlineStr">
        <is>
          <t>28071</t>
        </is>
      </c>
      <c r="B28196" s="4" t="s">
        <f>=HYPERLINK("http://anyluxury.ru/shop/sumki-i-ryukzaki/sumki-dlya-dokumentov/sumka-zhenskaya-m-lady-plume-chernaya/" , "P51-01103 Сумка женская M Lady Plume, черная")</f>
      </c>
      <c r="C28196" s="4" t="n">
        <v>7990.00</v>
      </c>
      <c r="D28196" s="4"/>
    </row>
    <row collapsed="" customFormat="false" customHeight="1" hidden="" ht="14" outlineLevel="0" r="28197">
      <c r="A28197" s="3" t="inlineStr">
        <is>
          <t>28072</t>
        </is>
      </c>
      <c r="B28197" s="4" t="s">
        <f>=HYPERLINK("http://anyluxury.ru/shop/sumki-i-ryukzaki/sumki-dlya-dokumentov/sumka-zhenskaya-city-plume-temno-sinyaya/" , "P61-32008 Сумка женская City Plume, темно-синяя")</f>
      </c>
      <c r="C28197" s="4" t="n">
        <v>4690.00</v>
      </c>
      <c r="D28197" s="4"/>
    </row>
    <row collapsed="" customFormat="false" customHeight="1" hidden="" ht="14" outlineLevel="0" r="28198">
      <c r="A28198" s="3" t="inlineStr">
        <is>
          <t>28073</t>
        </is>
      </c>
      <c r="B28198" s="4" t="s">
        <f>=HYPERLINK("http://anyluxury.ru/shop/sumki-i-ryukzaki/sumki-dlya-dokumentov/kompaktnaya-sumka-dlya-dokumentov-iz-serii-my-montblanc-nightflight/" , "118246 Компактная сумка для документов из серии My Montblanc Nightflight")</f>
      </c>
      <c r="C28198" s="4" t="n">
        <v>38700.00</v>
      </c>
      <c r="D28198" s="4"/>
    </row>
    <row collapsed="" customFormat="false" customHeight="1" hidden="" ht="14" outlineLevel="0" r="28199">
      <c r="A28199" s="3" t="inlineStr">
        <is>
          <t>28074</t>
        </is>
      </c>
      <c r="B28199" s="4" t="s">
        <f>=HYPERLINK("http://anyluxury.ru/shop/sumki-i-ryukzaki/sumki-dlya-dokumentov/sumka-dlya-dokumentov-srednego-razmera-iz-serii-my-montblanc-nightflight/" , "118248 Сумка для документов среднего размера из серии My Montblanc Nightflight")</f>
      </c>
      <c r="C28199" s="4" t="n">
        <v>44600.00</v>
      </c>
      <c r="D28199" s="4"/>
    </row>
    <row collapsed="" customFormat="false" customHeight="1" hidden="" ht="14" outlineLevel="0" r="28200">
      <c r="A28200" s="3" t="inlineStr">
        <is>
          <t>28075</t>
        </is>
      </c>
      <c r="B28200" s="4" t="s">
        <f>=HYPERLINK("http://anyluxury.ru/shop/sumki-i-ryukzaki/sumki-dlya-dokumentov/sumka-poyasnaya-global-ta-sinyaya/" , "CO1-11074 Сумка поясная Global TA, синяя")</f>
      </c>
      <c r="C28200" s="4" t="n">
        <v>1950.00</v>
      </c>
      <c r="D28200" s="4"/>
    </row>
    <row collapsed="" customFormat="false" customHeight="1" hidden="" ht="14" outlineLevel="0" r="28201">
      <c r="A28201" s="3" t="inlineStr">
        <is>
          <t>28076</t>
        </is>
      </c>
      <c r="B28201" s="4" t="s">
        <f>=HYPERLINK("http://anyluxury.ru/shop/sumki-i-ryukzaki/sumki-dlya-dokumentov/sumka-poyasnaya-global-ta-temno-seraya/" , "CO1-08074 Сумка поясная Global TA, темно-серая")</f>
      </c>
      <c r="C28201" s="4" t="n">
        <v>1950.00</v>
      </c>
      <c r="D28201" s="4"/>
    </row>
    <row collapsed="" customFormat="false" customHeight="1" hidden="" ht="14" outlineLevel="0" r="28202">
      <c r="A28202" s="3" t="inlineStr">
        <is>
          <t>28077</t>
        </is>
      </c>
      <c r="B28202" s="4" t="s">
        <f>=HYPERLINK("http://anyluxury.ru/shop/sumki-i-ryukzaki/sumki-dlya-dokumentov/sumka-dlya-dokumentov-global-ta-temno-seraya/" , "CO1-08075 Сумка для документов Global TA, темно-серая")</f>
      </c>
      <c r="C28202" s="4" t="n">
        <v>1540.00</v>
      </c>
      <c r="D28202" s="4"/>
    </row>
    <row collapsed="" customFormat="false" customHeight="1" hidden="" ht="14" outlineLevel="0" r="28203">
      <c r="A28203" s="3" t="inlineStr">
        <is>
          <t>28078</t>
        </is>
      </c>
      <c r="B28203" s="4" t="s">
        <f>=HYPERLINK("http://anyluxury.ru/shop/sumki-i-ryukzaki/sumki-dlya-dokumentov/sumka-fashion-temnoseriy-p729339/" , "P729.339 Сумка Fashion, темно-серый")</f>
      </c>
      <c r="C28203" s="4" t="n">
        <v>993.00</v>
      </c>
      <c r="D28203" s="4"/>
    </row>
    <row collapsed="" customFormat="false" customHeight="1" hidden="" ht="14" outlineLevel="0" r="28204">
      <c r="A28204" s="3" t="inlineStr">
        <is>
          <t>28079</t>
        </is>
      </c>
      <c r="B28204" s="4" t="s">
        <f>=HYPERLINK("http://anyluxury.ru/shop/sumki-i-ryukzaki/sumki-dlya-dokumentov/sumka-fashion-seriy-p729332/" , "P729.332 Сумка Fashion, серый")</f>
      </c>
      <c r="C28204" s="4" t="n">
        <v>876.00</v>
      </c>
      <c r="D28204" s="4"/>
    </row>
    <row collapsed="" customFormat="false" customHeight="1" hidden="" ht="14" outlineLevel="0" r="28205">
      <c r="A28205" s="3" t="inlineStr">
        <is>
          <t>28080</t>
        </is>
      </c>
      <c r="B28205" s="4" t="s">
        <f>=HYPERLINK("http://anyluxury.ru/shop/sumki-i-ryukzaki/sumki-dlya-dokumentov/sumka-fashion-siniy-p729335/" , "P729.335 Сумка Fashion, синий")</f>
      </c>
      <c r="C28205" s="4" t="n">
        <v>876.00</v>
      </c>
      <c r="D28205" s="4"/>
    </row>
    <row collapsed="" customFormat="false" customHeight="1" hidden="" ht="14" outlineLevel="0" r="28206">
      <c r="A28206" s="3" t="inlineStr">
        <is>
          <t>28081</t>
        </is>
      </c>
      <c r="B28206" s="4" t="s">
        <f>=HYPERLINK("http://anyluxury.ru/shop/sumki-i-ryukzaki/sumki-dlya-dokumentov/naplechnaya-sumka-dlya-dokumentov-cherniy-p729271/" , "P729.271 Наплечная сумка для документов, черный")</f>
      </c>
      <c r="C28206" s="4" t="n">
        <v>892.00</v>
      </c>
      <c r="D28206" s="4"/>
    </row>
    <row collapsed="" customFormat="false" customHeight="1" hidden="" ht="14" outlineLevel="0" r="28207">
      <c r="A28207" s="3" t="inlineStr">
        <is>
          <t>28082</t>
        </is>
      </c>
      <c r="B28207" s="4" t="s">
        <f>=HYPERLINK("http://anyluxury.ru/shop/sumki-i-ryukzaki/sumki-dlya-dokumentov/sumkapapka-simple-chernaya-529530/" , "5295.30 Сумка-папка Simple, черная")</f>
      </c>
      <c r="C28207" s="4" t="n">
        <v>208.00</v>
      </c>
      <c r="D28207" s="4"/>
    </row>
    <row collapsed="" customFormat="false" customHeight="1" hidden="" ht="14" outlineLevel="0" r="28208">
      <c r="A28208" s="3" t="inlineStr">
        <is>
          <t>28083</t>
        </is>
      </c>
      <c r="B28208" s="4" t="s">
        <f>=HYPERLINK("http://anyluxury.ru/shop/sumki-i-ryukzaki/sumki-dlya-dokumentov/sumkapapka-simple-temnosinyaya-529540/" , "5295.40 Сумка-папка Simple, темно-синяя")</f>
      </c>
      <c r="C28208" s="4" t="n">
        <v>208.00</v>
      </c>
      <c r="D28208" s="4"/>
    </row>
    <row collapsed="" customFormat="false" customHeight="1" hidden="" ht="14" outlineLevel="0" r="28209">
      <c r="A28209" s="3" t="inlineStr">
        <is>
          <t>28084</t>
        </is>
      </c>
      <c r="B28209" s="4" t="s">
        <f>=HYPERLINK("http://anyluxury.ru/shop/sumki-i-ryukzaki/sumki-dlya-dokumentov/sumkapapka-simple-yarkosinyaya-529544/" , "5295.44 Сумка-папка Simple, ярко-синяя")</f>
      </c>
      <c r="C28209" s="4" t="n">
        <v>208.00</v>
      </c>
      <c r="D28209" s="4"/>
    </row>
    <row collapsed="" customFormat="false" customHeight="1" hidden="" ht="14" outlineLevel="0" r="28210">
      <c r="A28210" s="3" t="inlineStr">
        <is>
          <t>28085</t>
        </is>
      </c>
      <c r="B28210" s="4" t="s">
        <f>=HYPERLINK("http://anyluxury.ru/shop/sumki-i-ryukzaki/sumki-dlya-dokumentov/sumkapapka-simple-krasnaya-529550/" , "5295.50 Сумка-папка Simple, красная")</f>
      </c>
      <c r="C28210" s="4" t="n">
        <v>208.00</v>
      </c>
      <c r="D28210" s="4"/>
    </row>
    <row collapsed="" customFormat="false" customHeight="1" hidden="" ht="14" outlineLevel="0" r="28211">
      <c r="A28211" s="3" t="inlineStr">
        <is>
          <t>28086</t>
        </is>
      </c>
      <c r="B28211" s="4" t="s">
        <f>=HYPERLINK("http://anyluxury.ru/shop/sumki-i-ryukzaki/sumki-dlya-dokumentov/sumkapapka-simple-oranzhevaya-529520/" , "5295.20 Сумка-папка Simple, оранжевая")</f>
      </c>
      <c r="C28211" s="4" t="n">
        <v>208.00</v>
      </c>
      <c r="D28211" s="4"/>
    </row>
    <row collapsed="" customFormat="false" customHeight="1" hidden="" ht="14" outlineLevel="0" r="28212">
      <c r="A28212" s="3" t="inlineStr">
        <is>
          <t>28087</t>
        </is>
      </c>
      <c r="B28212" s="4" t="s">
        <f>=HYPERLINK("http://anyluxury.ru/shop/sumki-i-ryukzaki/sumki-dlya-dokumentov/sumkapapka-simple-zelenaya-529590/" , "5295.90 Сумка-папка Simple, зеленая")</f>
      </c>
      <c r="C28212" s="4" t="n">
        <v>208.00</v>
      </c>
      <c r="D28212" s="4"/>
    </row>
    <row collapsed="" customFormat="false" customHeight="1" hidden="" ht="14" outlineLevel="0" r="28213">
      <c r="A28213" s="3" t="inlineStr">
        <is>
          <t>28088</t>
        </is>
      </c>
      <c r="B28213" s="4" t="s">
        <f>=HYPERLINK("http://anyluxury.ru/shop/sumki-i-ryukzaki/sumki-dlya-dokumentov/konferencsumka-burst-seraya-328410/" , "3284.10 Конференц-сумка The First, серая")</f>
      </c>
      <c r="C28213" s="4" t="n">
        <v>1547.00</v>
      </c>
      <c r="D28213" s="4"/>
    </row>
    <row collapsed="" customFormat="false" customHeight="1" hidden="" ht="14" outlineLevel="0" r="28214">
      <c r="A28214" s="3" t="inlineStr">
        <is>
          <t>28089</t>
        </is>
      </c>
      <c r="B28214" s="4" t="s">
        <f>=HYPERLINK("http://anyluxury.ru/shop/sumki-i-ryukzaki/sumki-dlya-dokumentov/konferencsumka-burst-temnoseraya-328430/" , "3284.30 Конференц-сумка The First, темно-серая")</f>
      </c>
      <c r="C28214" s="4" t="n">
        <v>1547.00</v>
      </c>
      <c r="D28214" s="4"/>
    </row>
    <row collapsed="" customFormat="false" customHeight="1" hidden="" ht="14" outlineLevel="0" r="28215">
      <c r="A28215" s="3" t="inlineStr">
        <is>
          <t>28090</t>
        </is>
      </c>
      <c r="B28215" s="4" t="s">
        <f>=HYPERLINK("http://anyluxury.ru/shop/sumki-i-ryukzaki/sumki-dlya-dokumentov/konferencsumka-burst-sinyaya-328440/" , "3284.40 Конференц-сумка The First, синяя")</f>
      </c>
      <c r="C28215" s="4" t="n">
        <v>1547.00</v>
      </c>
      <c r="D28215" s="4"/>
    </row>
    <row collapsed="" customFormat="false" customHeight="1" hidden="" ht="14" outlineLevel="0" r="28216">
      <c r="A28216" s="3" t="inlineStr">
        <is>
          <t>28091</t>
        </is>
      </c>
      <c r="B28216" s="4" t="s">
        <f>=HYPERLINK("http://anyluxury.ru/shop/sumki-i-ryukzaki/sumki-dlya-dokumentov/sumka-dlya-dokumentov-porter-cherniy-melanzh-02114348tun/" , "02114348TUN Сумка для документов Porter, черный меланж")</f>
      </c>
      <c r="C28216" s="4" t="n">
        <v>2738.00</v>
      </c>
      <c r="D28216" s="4"/>
    </row>
    <row collapsed="" customFormat="false" customHeight="1" hidden="" ht="14" outlineLevel="0" r="28217">
      <c r="A28217" s="3" t="inlineStr">
        <is>
          <t>28092</t>
        </is>
      </c>
      <c r="B28217" s="4" t="s">
        <f>=HYPERLINK("http://anyluxury.ru/shop/sumki-i-ryukzaki/sumki-dlya-dokumentov/sumka-dlya-dokumentov-burst-hotdoc-sinyaya-1010640/" , "10106.40 Сумка для документов HotDoc, синяя")</f>
      </c>
      <c r="C28217" s="4" t="n">
        <v>823.00</v>
      </c>
      <c r="D28217" s="4"/>
    </row>
    <row collapsed="" customFormat="false" customHeight="1" hidden="" ht="14" outlineLevel="0" r="28218">
      <c r="A28218" s="3" t="inlineStr">
        <is>
          <t>28093</t>
        </is>
      </c>
      <c r="B28218" s="4" t="s">
        <f>=HYPERLINK("http://anyluxury.ru/shop/sumki-i-ryukzaki/sumki-dlya-dokumentov/sumka-dlya-dokumentov-burst-hotdoc-temnoseraya-1010630/" , "10106.30 Сумка для документов HotDoc, темно-серая")</f>
      </c>
      <c r="C28218" s="4" t="n">
        <v>823.00</v>
      </c>
      <c r="D28218" s="4"/>
    </row>
    <row collapsed="" customFormat="false" customHeight="1" hidden="" ht="14" outlineLevel="0" r="28219">
      <c r="A28219" s="3" t="inlineStr">
        <is>
          <t>28094</t>
        </is>
      </c>
      <c r="B28219" s="4" t="s">
        <f>=HYPERLINK("http://anyluxury.ru/shop/sumki-i-ryukzaki/sumki-dlya-dokumentov/sumka-dlya-dokumentov-burst-hotdoc-seraya-1010610/" , "10106.10 Сумка для документов HotDoc, серая")</f>
      </c>
      <c r="C28219" s="4" t="n">
        <v>823.00</v>
      </c>
      <c r="D28219" s="4"/>
    </row>
    <row collapsed="" customFormat="false" customHeight="1" hidden="" ht="14" outlineLevel="0" r="28220">
      <c r="A28220" s="3" t="inlineStr">
        <is>
          <t>28095</t>
        </is>
      </c>
      <c r="B28220" s="4" t="s">
        <f>=HYPERLINK("http://anyluxury.ru/shop/sumki-i-ryukzaki/sumki-dlya-dokumentov/sumka-oficianta-felting-1033800/" , "10338.00 Сумка официанта Felting")</f>
      </c>
      <c r="C28220" s="4" t="n">
        <v>660.00</v>
      </c>
      <c r="D28220" s="4"/>
    </row>
    <row collapsed="" customFormat="false" customHeight="1" hidden="" ht="14" outlineLevel="0" r="28221">
      <c r="A28221" s="3" t="inlineStr">
        <is>
          <t>28096</t>
        </is>
      </c>
      <c r="B28221" s="4" t="s">
        <f>=HYPERLINK("http://anyluxury.ru/shop/sumki-i-ryukzaki/sumki-dlya-dokumentov/poyasnaya-sumka-fanny-pack-chernaya-7415730/" , "74157.30 Поясная сумка Fanny Pack, черная")</f>
      </c>
      <c r="C28221" s="4" t="n">
        <v>449.00</v>
      </c>
      <c r="D28221" s="4"/>
    </row>
    <row collapsed="" customFormat="false" customHeight="1" hidden="" ht="14" outlineLevel="0" r="28222">
      <c r="A28222" s="3" t="inlineStr">
        <is>
          <t>28097</t>
        </is>
      </c>
      <c r="B28222" s="4" t="s">
        <f>=HYPERLINK("http://anyluxury.ru/shop/sumki-i-ryukzaki/sumki-dlya-dokumentov/poyasnaya-sumka-fanny-pack-sinyaya-7415740/" , "74157.40 Поясная сумка Fanny Pack, синяя")</f>
      </c>
      <c r="C28222" s="4" t="n">
        <v>449.00</v>
      </c>
      <c r="D28222" s="4"/>
    </row>
    <row collapsed="" customFormat="false" customHeight="1" hidden="" ht="14" outlineLevel="0" r="28223">
      <c r="A28223" s="3" t="inlineStr">
        <is>
          <t>28098</t>
        </is>
      </c>
      <c r="B28223" s="4" t="s">
        <f>=HYPERLINK("http://anyluxury.ru/shop/sumki-i-ryukzaki/sumki-dlya-dokumentov/sumka-adventure-traveler-rfid-chernaya-1071230/" , "10712.30 Сумка Adventure Traveler RFID, черная")</f>
      </c>
      <c r="C28223" s="4" t="n">
        <v>7480.00</v>
      </c>
      <c r="D28223" s="4"/>
    </row>
    <row collapsed="" customFormat="false" customHeight="1" hidden="" ht="14" outlineLevel="0" r="28224">
      <c r="A28224" s="3" t="inlineStr">
        <is>
          <t>28099</t>
        </is>
      </c>
      <c r="B28224" s="4" t="s">
        <f>=HYPERLINK("http://anyluxury.ru/shop/sumki-i-ryukzaki/sumki-dlya-dokumentov/sumka-dlya-dokumentov-vintage-korichnevaya-5203259/" , "52032.59 Сумка для документов Vintage, коричневая")</f>
      </c>
      <c r="C28224" s="4" t="n">
        <v>22800.00</v>
      </c>
      <c r="D28224" s="4"/>
    </row>
    <row collapsed="" customFormat="false" customHeight="1" hidden="" ht="14" outlineLevel="0" r="28225">
      <c r="A28225" s="3" t="inlineStr">
        <is>
          <t>28100</t>
        </is>
      </c>
      <c r="B28225" s="4" t="s">
        <f>=HYPERLINK("http://anyluxury.ru/shop/sumki-i-ryukzaki/sumki-dlya-dokumentov/portfel-dlya-dokumentov-vintage-korichneviy-5207859/" , "52078.59 Портфель для документов Vintage, коричневый")</f>
      </c>
      <c r="C28225" s="4" t="n">
        <v>24575.00</v>
      </c>
      <c r="D28225" s="4"/>
    </row>
    <row collapsed="" customFormat="false" customHeight="1" hidden="" ht="14" outlineLevel="0" r="28226">
      <c r="A28226" s="3" t="inlineStr">
        <is>
          <t>28101</t>
        </is>
      </c>
      <c r="B28226" s="4" t="s">
        <f>=HYPERLINK("http://anyluxury.ru/shop/sumki-i-ryukzaki/sumki-dlya-dokumentov/sumka-dlya-dokumentov-agenda-sinyaya-1087440/" , "10874.40 Сумка для документов Agenda, синяя")</f>
      </c>
      <c r="C28226" s="4" t="n">
        <v>665.00</v>
      </c>
      <c r="D28226" s="4"/>
    </row>
    <row collapsed="" customFormat="false" customHeight="1" hidden="" ht="14" outlineLevel="0" r="28227">
      <c r="A28227" s="3" t="inlineStr">
        <is>
          <t>28102</t>
        </is>
      </c>
      <c r="B28227" s="4" t="s">
        <f>=HYPERLINK("http://anyluxury.ru/shop/sumki-i-ryukzaki/sumki-dlya-dokumentov/sumka-dlya-dokumentov-agenda-krasnaya-1087450/" , "10874.50 Сумка для документов Agenda, красная")</f>
      </c>
      <c r="C28227" s="4" t="n">
        <v>665.00</v>
      </c>
      <c r="D28227" s="4"/>
    </row>
    <row collapsed="" customFormat="false" customHeight="1" hidden="" ht="14" outlineLevel="0" r="28228">
      <c r="A28228" s="3" t="inlineStr">
        <is>
          <t>28103</t>
        </is>
      </c>
      <c r="B28228" s="4" t="s">
        <f>=HYPERLINK("http://anyluxury.ru/shop/sumki-i-ryukzaki/sumki-dlya-dokumentov/sumka-dlya-dokumentov-agenda-oranzhevaya-1087420/" , "10874.20 Сумка для документов Agenda, оранжевая")</f>
      </c>
      <c r="C28228" s="4" t="n">
        <v>665.00</v>
      </c>
      <c r="D28228" s="4"/>
    </row>
    <row collapsed="" customFormat="false" customHeight="1" hidden="" ht="14" outlineLevel="0" r="28229">
      <c r="A28229" s="3" t="inlineStr">
        <is>
          <t>28104</t>
        </is>
      </c>
      <c r="B28229" s="4" t="s">
        <f>=HYPERLINK("http://anyluxury.ru/shop/sumki-i-ryukzaki/sumki-dlya-dokumentov/sumka-dlya-dokumentov-agenda-zelenaya-1087490/" , "10874.90 Сумка для документов Agenda, зеленая")</f>
      </c>
      <c r="C28229" s="4" t="n">
        <v>665.00</v>
      </c>
      <c r="D28229" s="4"/>
    </row>
    <row collapsed="" customFormat="false" customHeight="1" hidden="" ht="14" outlineLevel="0" r="28230">
      <c r="A28230" s="3" t="inlineStr">
        <is>
          <t>28105</t>
        </is>
      </c>
      <c r="B28230" s="4" t="s">
        <f>=HYPERLINK("http://anyluxury.ru/shop/sumki-i-ryukzaki/sumki-dlya-dokumentov/sumka-zhenskaya-lady-plume-m-seraya-p5117112/" , "P51-17112 Сумка женская Lady Plume M, серая")</f>
      </c>
      <c r="C28230" s="4" t="n">
        <v>8490.00</v>
      </c>
      <c r="D28230" s="4"/>
    </row>
    <row collapsed="" customFormat="false" customHeight="1" hidden="" ht="14" outlineLevel="0" r="28231">
      <c r="A28231" s="3" t="inlineStr">
        <is>
          <t>28106</t>
        </is>
      </c>
      <c r="B28231" s="4" t="s">
        <f>=HYPERLINK("http://anyluxury.ru/shop/sumki-i-ryukzaki/sumki-dlya-dokumentov/sumka-zhenskaya-lady-plume-m-fioletovaya-p51a0112/" , "P51-A0112 Сумка женская Lady Plume M, фиолетовая")</f>
      </c>
      <c r="C28231" s="4" t="n">
        <v>8490.00</v>
      </c>
      <c r="D28231" s="4"/>
    </row>
    <row collapsed="" customFormat="false" customHeight="1" hidden="" ht="14" outlineLevel="0" r="28232">
      <c r="A28232" s="3" t="inlineStr">
        <is>
          <t>28107</t>
        </is>
      </c>
      <c r="B28232" s="4" t="s">
        <f>=HYPERLINK("http://anyluxury.ru/shop/sumki-i-ryukzaki/sumki-dlya-dokumentov/sumka-zhenskaya-lady-plume-m-chernaya-p5101112/" , "P51-01112 Сумка женская Lady Plume M, черная")</f>
      </c>
      <c r="C28232" s="4" t="n">
        <v>8490.00</v>
      </c>
      <c r="D28232" s="4"/>
    </row>
    <row collapsed="" customFormat="false" customHeight="1" hidden="" ht="14" outlineLevel="0" r="28233">
      <c r="A28233" s="3" t="inlineStr">
        <is>
          <t>28108</t>
        </is>
      </c>
      <c r="B28233" s="4" t="s">
        <f>=HYPERLINK("http://anyluxury.ru/shop/sumki-i-ryukzaki/sumki-dlya-dokumentov/sumka-zhenskaya-lady-plume-m-sinyaya-p5132112/" , "P51-32112 Сумка женская Lady Plume M, синяя")</f>
      </c>
      <c r="C28233" s="4" t="n">
        <v>8490.00</v>
      </c>
      <c r="D28233" s="4"/>
    </row>
    <row collapsed="" customFormat="false" customHeight="1" hidden="" ht="14" outlineLevel="0" r="28234">
      <c r="A28234" s="3" t="inlineStr">
        <is>
          <t>28109</t>
        </is>
      </c>
      <c r="B28234" s="4" t="s">
        <f>=HYPERLINK("http://anyluxury.ru/shop/sumki-i-ryukzaki/sumki-dlya-dokumentov/sumka-zhenskaya-lady-plume-s-sinyaya-p5132111/" , "P51-32111 Сумка женская Lady Plume S, синяя")</f>
      </c>
      <c r="C28234" s="4" t="n">
        <v>7990.00</v>
      </c>
      <c r="D28234" s="4"/>
    </row>
    <row collapsed="" customFormat="false" customHeight="1" hidden="" ht="14" outlineLevel="0" r="28235">
      <c r="A28235" s="3" t="inlineStr">
        <is>
          <t>28110</t>
        </is>
      </c>
      <c r="B28235" s="4" t="s">
        <f>=HYPERLINK("http://anyluxury.ru/shop/sumki-i-ryukzaki/sumki-dlya-dokumentov/sumka-zhenskaya-lady-plume-s-chernaya-p5101111/" , "P51-01111 Сумка женская Lady Plume S, черная")</f>
      </c>
      <c r="C28235" s="4" t="n">
        <v>7990.00</v>
      </c>
      <c r="D28235" s="4"/>
    </row>
    <row collapsed="" customFormat="false" customHeight="1" hidden="" ht="14" outlineLevel="0" r="28236">
      <c r="A28236" s="3" t="inlineStr">
        <is>
          <t>28111</t>
        </is>
      </c>
      <c r="B28236" s="4" t="s">
        <f>=HYPERLINK("http://anyluxury.ru/shop/sumki-i-ryukzaki/sumki-dlya-dokumentov/konferencsumka-holden-oranzhevaya-703220/" , "7032.20 Конференц-сумка Holden, оранжевая")</f>
      </c>
      <c r="C28236" s="4" t="n">
        <v>89.00</v>
      </c>
      <c r="D28236" s="4"/>
    </row>
    <row collapsed="" customFormat="false" customHeight="1" hidden="" ht="14" outlineLevel="0" r="28237">
      <c r="A28237" s="3" t="inlineStr">
        <is>
          <t>28112</t>
        </is>
      </c>
      <c r="B28237" s="4" t="s">
        <f>=HYPERLINK("http://anyluxury.ru/shop/sumki-i-ryukzaki/sumki-dlya-dokumentov/konferencsumka-melango-chernaya-1242930/" , "12429.30 Конференц-сумка Melango, черная")</f>
      </c>
      <c r="C28237" s="4" t="n">
        <v>343.00</v>
      </c>
      <c r="D28237" s="4"/>
    </row>
    <row collapsed="" customFormat="false" customHeight="1" hidden="" ht="14" outlineLevel="0" r="28238">
      <c r="A28238" s="3" t="inlineStr">
        <is>
          <t>28113</t>
        </is>
      </c>
      <c r="B28238" s="4" t="s">
        <f>=HYPERLINK("http://anyluxury.ru/shop/sumki-i-ryukzaki/sumki-dlya-dokumentov/konferencsumka-melango-seraya-1242910/" , "12429.10 Конференц-сумка Melango, серая")</f>
      </c>
      <c r="C28238" s="4" t="n">
        <v>343.00</v>
      </c>
      <c r="D28238" s="4"/>
    </row>
    <row collapsed="" customFormat="false" customHeight="1" hidden="" ht="14" outlineLevel="0" r="28239">
      <c r="A28239" s="3" t="inlineStr">
        <is>
          <t>28114</t>
        </is>
      </c>
      <c r="B28239" s="4" t="s">
        <f>=HYPERLINK("http://anyluxury.ru/shop/sumki-i-ryukzaki/sumki-dlya-dokumentov/konferencsumka-melango-sinyaya-1242940/" , "12429.40 Конференц-сумка Melango, синяя")</f>
      </c>
      <c r="C28239" s="4" t="n">
        <v>343.00</v>
      </c>
      <c r="D28239" s="4"/>
    </row>
    <row collapsed="" customFormat="false" customHeight="1" hidden="" ht="14" outlineLevel="0" r="28240">
      <c r="A28240" s="3" t="inlineStr">
        <is>
          <t>28115</t>
        </is>
      </c>
      <c r="B28240" s="4" t="s">
        <f>=HYPERLINK("http://anyluxury.ru/shop/sumki-i-ryukzaki/sumki-dlya-dokumentov/konferencsumka-melango-krasnaya-1242950/" , "12429.50 Конференц-сумка Melango, красная")</f>
      </c>
      <c r="C28240" s="4" t="n">
        <v>343.00</v>
      </c>
      <c r="D28240" s="4"/>
    </row>
    <row collapsed="" customFormat="false" customHeight="1" hidden="" ht="14" outlineLevel="0" r="28241">
      <c r="A28241" s="3" t="inlineStr">
        <is>
          <t>28116</t>
        </is>
      </c>
      <c r="B28241" s="4" t="s">
        <f>=HYPERLINK("http://anyluxury.ru/shop/sumki-i-ryukzaki/sumki-dlya-dokumentov/konferencsumka-member-seraya-1392310/" , "13923.10 Конференц-сумка Member, серая")</f>
      </c>
      <c r="C28241" s="4" t="n">
        <v>904.00</v>
      </c>
      <c r="D28241" s="4"/>
    </row>
    <row collapsed="" customFormat="false" customHeight="1" hidden="" ht="14" outlineLevel="0" r="28242">
      <c r="A28242" s="3" t="inlineStr">
        <is>
          <t>28117</t>
        </is>
      </c>
      <c r="B28242" s="4" t="s">
        <f>=HYPERLINK("http://anyluxury.ru/shop/sumki-i-ryukzaki/sumki-dlya-dokumentov/konferencsumka-member-chernaya-1392330/" , "13923.30 Конференц-сумка Member, черная")</f>
      </c>
      <c r="C28242" s="4" t="n">
        <v>904.00</v>
      </c>
      <c r="D28242" s="4"/>
    </row>
    <row collapsed="" customFormat="false" customHeight="1" hidden="" ht="14" outlineLevel="0" r="28243">
      <c r="A28243" s="3" t="inlineStr">
        <is>
          <t>28118</t>
        </is>
      </c>
      <c r="B28243" s="4" t="s">
        <f>=HYPERLINK("http://anyluxury.ru/shop/sumki-i-ryukzaki/sumki-dlya-dokumentov/konferencsumka-melango-temnosinyaya-1242944/" , "12429.44 Конференц-сумка Melango, темно-синяя")</f>
      </c>
      <c r="C28243" s="4" t="n">
        <v>343.00</v>
      </c>
      <c r="D28243" s="4"/>
    </row>
    <row collapsed="" customFormat="false" customHeight="1" hidden="" ht="14" outlineLevel="0" r="28244">
      <c r="A28244" s="3" t="inlineStr">
        <is>
          <t>28119</t>
        </is>
      </c>
      <c r="B28244" s="4" t="s">
        <f>=HYPERLINK("http://anyluxury.ru/shop/sumki-i-ryukzaki/sumki-dlya-dokumentov/sumkapapka-romance-chernaya-1551830/" , "15518.30 Сумка-папка Romance, черная")</f>
      </c>
      <c r="C28244" s="4" t="n">
        <v>3990.00</v>
      </c>
      <c r="D28244" s="4"/>
    </row>
    <row collapsed="" customFormat="false" customHeight="1" hidden="" ht="14" outlineLevel="0" r="28245">
      <c r="A28245" s="3" t="inlineStr">
        <is>
          <t>28120</t>
        </is>
      </c>
      <c r="B28245" s="4" t="s">
        <f>=HYPERLINK("http://anyluxury.ru/shop/sumki-i-ryukzaki/sumki-dlya-dokumentov/konferencsumka-member-sinyaya-1392340/" , "13923.40 Конференц-сумка Member, синяя")</f>
      </c>
      <c r="C28245" s="4" t="n">
        <v>904.00</v>
      </c>
      <c r="D28245" s="4"/>
    </row>
    <row collapsed="" customFormat="false" customHeight="" hidden="" ht="12.1" outlineLevel="0" r="28246">
      <c r="A28246" s="5" t="inlineStr">
        <is>
          <t> -  - Сумки для ноутбука</t>
        </is>
      </c>
      <c r="B28246" s="6"/>
      <c r="C28246" s="6"/>
      <c r="D28246" s="6"/>
    </row>
    <row collapsed="" customFormat="false" customHeight="1" hidden="" ht="14" outlineLevel="0" r="28247">
      <c r="A28247" s="3" t="inlineStr">
        <is>
          <t>28121</t>
        </is>
      </c>
      <c r="B28247" s="4" t="s">
        <f>=HYPERLINK("http://anyluxury.ru/shop/sumki-i-ryukzaki/sumki-dlya-noutbuka/sumka-dlya-noutbuka-guardit-chernaya/" , "88U-09002 Сумка для ноутбука GuardIT, черная")</f>
      </c>
      <c r="C28247" s="4" t="n">
        <v>3600.00</v>
      </c>
      <c r="D28247" s="4"/>
    </row>
    <row collapsed="" customFormat="false" customHeight="1" hidden="" ht="14" outlineLevel="0" r="28248">
      <c r="A28248" s="3" t="inlineStr">
        <is>
          <t>28122</t>
        </is>
      </c>
      <c r="B28248" s="4" t="s">
        <f>=HYPERLINK("http://anyluxury.ru/shop/sumki-i-ryukzaki/sumki-dlya-noutbuka/sumka-dlya-noutbuka-guardit-seraya/" , "88U-08002 Сумка для ноутбука GuardIT, серая")</f>
      </c>
      <c r="C28248" s="4" t="n">
        <v>3600.00</v>
      </c>
      <c r="D28248" s="4"/>
    </row>
    <row collapsed="" customFormat="false" customHeight="1" hidden="" ht="14" outlineLevel="0" r="28249">
      <c r="A28249" s="3" t="inlineStr">
        <is>
          <t>28123</t>
        </is>
      </c>
      <c r="B28249" s="4" t="s">
        <f>=HYPERLINK("http://anyluxury.ru/shop/sumki-i-ryukzaki/sumki-dlya-noutbuka/sumka-dlya-noutbuka-guardit-s-seraya/" , "88U-08001 Сумка для ноутбука GuardIT S, серая")</f>
      </c>
      <c r="C28249" s="4" t="n">
        <v>3100.00</v>
      </c>
      <c r="D28249" s="4"/>
    </row>
    <row collapsed="" customFormat="false" customHeight="1" hidden="" ht="14" outlineLevel="0" r="28250">
      <c r="A28250" s="3" t="inlineStr">
        <is>
          <t>28124</t>
        </is>
      </c>
      <c r="B28250" s="4" t="s">
        <f>=HYPERLINK("http://anyluxury.ru/shop/sumki-i-ryukzaki/sumki-dlya-noutbuka/sumka-dlya-noutbuka-guardit-s-chernaya/" , "88U-09001 Сумка для ноутбука GuardIT S, черная")</f>
      </c>
      <c r="C28250" s="4" t="n">
        <v>3100.00</v>
      </c>
      <c r="D28250" s="4"/>
    </row>
    <row collapsed="" customFormat="false" customHeight="1" hidden="" ht="14" outlineLevel="0" r="28251">
      <c r="A28251" s="3" t="inlineStr">
        <is>
          <t>28125</t>
        </is>
      </c>
      <c r="B28251" s="4" t="s">
        <f>=HYPERLINK("http://anyluxury.ru/shop/sumki-i-ryukzaki/sumki-dlya-noutbuka/sumka-dlya-noutbuka-swiss-peak-15-cherniy-p729341/" , "P729.341 Сумка для ноутбука Swiss Peak, 15, черный")</f>
      </c>
      <c r="C28251" s="4" t="n">
        <v>3490.00</v>
      </c>
      <c r="D28251" s="4"/>
    </row>
    <row collapsed="" customFormat="false" customHeight="1" hidden="" ht="14" outlineLevel="0" r="28252">
      <c r="A28252" s="3" t="inlineStr">
        <is>
          <t>28126</t>
        </is>
      </c>
      <c r="B28252" s="4" t="s">
        <f>=HYPERLINK("http://anyluxury.ru/shop/sumki-i-ryukzaki/sumki-dlya-noutbuka/sumka-dlya-noutbuka-canvas-seriy-p729352/" , "P729.352 Сумка для ноутбука Canvas")</f>
      </c>
      <c r="C28252" s="4" t="n">
        <v>6228.00</v>
      </c>
      <c r="D28252" s="4"/>
    </row>
    <row collapsed="" customFormat="false" customHeight="1" hidden="" ht="14" outlineLevel="0" r="28253">
      <c r="A28253" s="3" t="inlineStr">
        <is>
          <t>28127</t>
        </is>
      </c>
      <c r="B28253" s="4" t="s">
        <f>=HYPERLINK("http://anyluxury.ru/shop/sumki-i-ryukzaki/sumki-dlya-noutbuka/sumka-dlya-noutbuka-canvas-cherniy-p729351/" , "P729.351 Сумка для ноутбука Canvas")</f>
      </c>
      <c r="C28253" s="4" t="n">
        <v>5490.00</v>
      </c>
      <c r="D28253" s="4"/>
    </row>
    <row collapsed="" customFormat="false" customHeight="1" hidden="" ht="14" outlineLevel="0" r="28254">
      <c r="A28254" s="3" t="inlineStr">
        <is>
          <t>28128</t>
        </is>
      </c>
      <c r="B28254" s="4" t="s">
        <f>=HYPERLINK("http://anyluxury.ru/shop/sumki-i-ryukzaki/sumki-dlya-noutbuka/sumka-lima-dlya-noutbuka-156-goluboy-p732375/" , "P732.375 Сумка Lima для ноутбука 15,6', голубой")</f>
      </c>
      <c r="C28254" s="4" t="n">
        <v>3780.00</v>
      </c>
      <c r="D28254" s="4"/>
    </row>
    <row collapsed="" customFormat="false" customHeight="1" hidden="" ht="14" outlineLevel="0" r="28255">
      <c r="A28255" s="3" t="inlineStr">
        <is>
          <t>28129</t>
        </is>
      </c>
      <c r="B28255" s="4" t="s">
        <f>=HYPERLINK("http://anyluxury.ru/shop/sumki-i-ryukzaki/sumki-dlya-noutbuka/sumka-lima-dlya-noutbuka-156-seriy-p732372/" , "P732.372 Сумка Lima для ноутбука 15,6', серый")</f>
      </c>
      <c r="C28255" s="4" t="n">
        <v>3780.00</v>
      </c>
      <c r="D28255" s="4"/>
    </row>
    <row collapsed="" customFormat="false" customHeight="1" hidden="" ht="14" outlineLevel="0" r="28256">
      <c r="A28256" s="3" t="inlineStr">
        <is>
          <t>28130</t>
        </is>
      </c>
      <c r="B28256" s="4" t="s">
        <f>=HYPERLINK("http://anyluxury.ru/shop/sumki-i-ryukzaki/sumki-dlya-noutbuka/sumka-lima-dlya-noutbuka-156-cherniy-p732371/" , "P732.371 Сумка Lima для ноутбука 15,6', черный")</f>
      </c>
      <c r="C28256" s="4" t="n">
        <v>3780.00</v>
      </c>
      <c r="D28256" s="4"/>
    </row>
    <row collapsed="" customFormat="false" customHeight="1" hidden="" ht="14" outlineLevel="0" r="28257">
      <c r="A28257" s="3" t="inlineStr">
        <is>
          <t>28131</t>
        </is>
      </c>
      <c r="B28257" s="4" t="s">
        <f>=HYPERLINK("http://anyluxury.ru/shop/sumki-i-ryukzaki/sumki-dlya-noutbuka/sumka-dlya-noutbuka-elite-15-p762071/" , "P762.071 Сумка для ноутбука Elite, 15'")</f>
      </c>
      <c r="C28257" s="4" t="n">
        <v>3891.00</v>
      </c>
      <c r="D28257" s="4"/>
    </row>
    <row collapsed="" customFormat="false" customHeight="1" hidden="" ht="14" outlineLevel="0" r="28258">
      <c r="A28258" s="3" t="inlineStr">
        <is>
          <t>28132</t>
        </is>
      </c>
      <c r="B28258" s="4" t="s">
        <f>=HYPERLINK("http://anyluxury.ru/shop/sumki-i-ryukzaki/sumki-dlya-noutbuka/chehol-dlya-noutbuka-15-p788052/" , "P788.052 Чехол для ноутбука 15'")</f>
      </c>
      <c r="C28258" s="4" t="n">
        <v>1594.00</v>
      </c>
      <c r="D28258" s="4"/>
    </row>
    <row collapsed="" customFormat="false" customHeight="1" hidden="" ht="14" outlineLevel="0" r="28259">
      <c r="A28259" s="3" t="inlineStr">
        <is>
          <t>28133</t>
        </is>
      </c>
      <c r="B28259" s="4" t="s">
        <f>=HYPERLINK("http://anyluxury.ru/shop/sumki-i-ryukzaki/sumki-dlya-noutbuka/ryukzak-dlya-noutbuka-power-s-usbportom-p732061/" , "P732.061 Рюкзак для ноутбука Power с USB-портом")</f>
      </c>
      <c r="C28259" s="4" t="n">
        <v>5331.00</v>
      </c>
      <c r="D28259" s="4"/>
    </row>
    <row collapsed="" customFormat="false" customHeight="1" hidden="" ht="14" outlineLevel="0" r="28260">
      <c r="A28260" s="3" t="inlineStr">
        <is>
          <t>28134</t>
        </is>
      </c>
      <c r="B28260" s="4" t="s">
        <f>=HYPERLINK("http://anyluxury.ru/shop/sumki-i-ryukzaki/sumki-dlya-noutbuka/sumka-dlya-noutbuka-the-city-p729441/" , "P729.441 Сумка для ноутбука The City")</f>
      </c>
      <c r="C28260" s="4" t="n">
        <v>2262.00</v>
      </c>
      <c r="D28260" s="4"/>
    </row>
    <row collapsed="" customFormat="false" customHeight="1" hidden="" ht="14" outlineLevel="0" r="28261">
      <c r="A28261" s="3" t="inlineStr">
        <is>
          <t>28135</t>
        </is>
      </c>
      <c r="B28261" s="4" t="s">
        <f>=HYPERLINK("http://anyluxury.ru/shop/sumki-i-ryukzaki/sumki-dlya-noutbuka/sumka-dlya-noutbuka-hard-shell-p732002/" , "P732.002 Сумка для ноутбука Hard shell")</f>
      </c>
      <c r="C28261" s="4" t="n">
        <v>3564.00</v>
      </c>
      <c r="D28261" s="4"/>
    </row>
    <row collapsed="" customFormat="false" customHeight="1" hidden="" ht="14" outlineLevel="0" r="28262">
      <c r="A28262" s="3" t="inlineStr">
        <is>
          <t>28136</t>
        </is>
      </c>
      <c r="B28262" s="4" t="s">
        <f>=HYPERLINK("http://anyluxury.ru/shop/sumki-i-ryukzaki/sumki-dlya-noutbuka/sumka-dlya-noutbuka-guardit-s-chernaya-88u09001/" , "88U-09001 Сумка для ноутбука GuardIT S, черная")</f>
      </c>
      <c r="C28262" s="4" t="n">
        <v>2492.00</v>
      </c>
      <c r="D28262" s="4"/>
    </row>
    <row collapsed="" customFormat="false" customHeight="1" hidden="" ht="14" outlineLevel="0" r="28263">
      <c r="A28263" s="3" t="inlineStr">
        <is>
          <t>28137</t>
        </is>
      </c>
      <c r="B28263" s="4" t="s">
        <f>=HYPERLINK("http://anyluxury.ru/shop/sumki-i-ryukzaki/sumki-dlya-noutbuka/sumka-dlya-noutbuka-s-vneshnim-akkumulyatorom-regenerate-482159/" , "4821.59 Сумка для ноутбука с внешним аккумулятором reGenerate")</f>
      </c>
      <c r="C28263" s="4" t="n">
        <v>2493.00</v>
      </c>
      <c r="D28263" s="4"/>
    </row>
    <row collapsed="" customFormat="false" customHeight="1" hidden="" ht="14" outlineLevel="0" r="28264">
      <c r="A28264" s="3" t="inlineStr">
        <is>
          <t>28138</t>
        </is>
      </c>
      <c r="B28264" s="4" t="s">
        <f>=HYPERLINK("http://anyluxury.ru/shop/sumki-i-ryukzaki/sumki-dlya-noutbuka/sumka-dlya-noutbuka-2-v-1-twofold-seraya-s-bordovim-332515/" , "3325.15 Сумка для ноутбука 2 в 1 twoFold, серая с бордовым")</f>
      </c>
      <c r="C28264" s="4" t="n">
        <v>1887.00</v>
      </c>
      <c r="D28264" s="4"/>
    </row>
    <row collapsed="" customFormat="false" customHeight="1" hidden="" ht="14" outlineLevel="0" r="28265">
      <c r="A28265" s="3" t="inlineStr">
        <is>
          <t>28139</t>
        </is>
      </c>
      <c r="B28265" s="4" t="s">
        <f>=HYPERLINK("http://anyluxury.ru/shop/sumki-i-ryukzaki/sumki-dlya-noutbuka/sumka-dlya-noutbuka-burst-seraya-683610/" , "6836.10 Сумка для ноутбука The First, серая")</f>
      </c>
      <c r="C28265" s="4" t="n">
        <v>2371.00</v>
      </c>
      <c r="D28265" s="4"/>
    </row>
    <row collapsed="" customFormat="false" customHeight="1" hidden="" ht="14" outlineLevel="0" r="28266">
      <c r="A28266" s="3" t="inlineStr">
        <is>
          <t>28140</t>
        </is>
      </c>
      <c r="B28266" s="4" t="s">
        <f>=HYPERLINK("http://anyluxury.ru/shop/sumki-i-ryukzaki/sumki-dlya-noutbuka/sumka-dlya-noutbuka-burst-sinyaya-683640/" , "6836.40 Сумка для ноутбука The First, синяя")</f>
      </c>
      <c r="C28266" s="4" t="n">
        <v>2371.00</v>
      </c>
      <c r="D28266" s="4"/>
    </row>
    <row collapsed="" customFormat="false" customHeight="1" hidden="" ht="14" outlineLevel="0" r="28267">
      <c r="A28267" s="3" t="inlineStr">
        <is>
          <t>28141</t>
        </is>
      </c>
      <c r="B28267" s="4" t="s">
        <f>=HYPERLINK("http://anyluxury.ru/shop/sumki-i-ryukzaki/sumki-dlya-noutbuka/sumka-dlya-noutbuka-source-chernaya-1071730/" , "10717.30 Сумка для ноутбука Source, черная")</f>
      </c>
      <c r="C28267" s="4" t="n">
        <v>8980.00</v>
      </c>
      <c r="D28267" s="4"/>
    </row>
    <row collapsed="" customFormat="false" customHeight="1" hidden="" ht="14" outlineLevel="0" r="28268">
      <c r="A28268" s="3" t="inlineStr">
        <is>
          <t>28142</t>
        </is>
      </c>
      <c r="B28268" s="4" t="s">
        <f>=HYPERLINK("http://anyluxury.ru/shop/sumki-i-ryukzaki/sumki-dlya-noutbuka/sumka-dlya-noutbuka-classe-chernaya-5201734/" , "52017.34 Сумка для ноутбука Classe, черная")</f>
      </c>
      <c r="C28268" s="4" t="n">
        <v>33552.00</v>
      </c>
      <c r="D28268" s="4"/>
    </row>
    <row collapsed="" customFormat="false" customHeight="1" hidden="" ht="14" outlineLevel="0" r="28269">
      <c r="A28269" s="3" t="inlineStr">
        <is>
          <t>28143</t>
        </is>
      </c>
      <c r="B28269" s="4" t="s">
        <f>=HYPERLINK("http://anyluxury.ru/shop/sumki-i-ryukzaki/sumki-dlya-noutbuka/sumka-dlya-noutbuka-plume-business-chernaya-p5501103/" , "P55-01103 Сумка для ноутбука Plume Business, черная")</f>
      </c>
      <c r="C28269" s="4" t="n">
        <v>7990.00</v>
      </c>
      <c r="D28269" s="4"/>
    </row>
    <row collapsed="" customFormat="false" customHeight="1" hidden="" ht="14" outlineLevel="0" r="28270">
      <c r="A28270" s="3" t="inlineStr">
        <is>
          <t>28144</t>
        </is>
      </c>
      <c r="B28270" s="4" t="s">
        <f>=HYPERLINK("http://anyluxury.ru/shop/sumki-i-ryukzaki/sumki-dlya-noutbuka/sumka-dlya-noutbuka-plume-business-temnosinyaya-p5532103/" , "P55-32103 Сумка для ноутбука Plume Business, темно-синяя")</f>
      </c>
      <c r="C28270" s="4" t="n">
        <v>7990.00</v>
      </c>
      <c r="D28270" s="4"/>
    </row>
    <row collapsed="" customFormat="false" customHeight="1" hidden="" ht="14" outlineLevel="0" r="28271">
      <c r="A28271" s="3" t="inlineStr">
        <is>
          <t>28145</t>
        </is>
      </c>
      <c r="B28271" s="4" t="s">
        <f>=HYPERLINK("http://anyluxury.ru/shop/sumki-i-ryukzaki/sumki-dlya-noutbuka/sumka-dlya-noutbuka-business-avenue-chernaya-p7969004/" , "P79-69004 Сумка для ноутбука Business Avenue, черная")</f>
      </c>
      <c r="C28271" s="4" t="n">
        <v>17000.00</v>
      </c>
      <c r="D28271" s="4"/>
    </row>
    <row collapsed="" customFormat="false" customHeight="1" hidden="" ht="14" outlineLevel="0" r="28272">
      <c r="A28272" s="3" t="inlineStr">
        <is>
          <t>28146</t>
        </is>
      </c>
      <c r="B28272" s="4" t="s">
        <f>=HYPERLINK("http://anyluxury.ru/shop/sumki-i-ryukzaki/sumki-dlya-noutbuka/sumka-dlya-noutbuka-business-avenue-temnosinyaya-p7987004/" , "P79-87004 Сумка для ноутбука Business Avenue, темно-синяя")</f>
      </c>
      <c r="C28272" s="4" t="n">
        <v>17000.00</v>
      </c>
      <c r="D28272" s="4"/>
    </row>
    <row collapsed="" customFormat="false" customHeight="1" hidden="" ht="14" outlineLevel="0" r="28273">
      <c r="A28273" s="3" t="inlineStr">
        <is>
          <t>28147</t>
        </is>
      </c>
      <c r="B28273" s="4" t="s">
        <f>=HYPERLINK("http://anyluxury.ru/shop/sumki-i-ryukzaki/sumki-dlya-noutbuka/sumka-zhenskaya-business-avenue-chernaya-p7969005/" , "P79-69005 Сумка женская Business Avenue, черная")</f>
      </c>
      <c r="C28273" s="4" t="n">
        <v>13990.00</v>
      </c>
      <c r="D28273" s="4"/>
    </row>
    <row collapsed="" customFormat="false" customHeight="1" hidden="" ht="14" outlineLevel="0" r="28274">
      <c r="A28274" s="3" t="inlineStr">
        <is>
          <t>28148</t>
        </is>
      </c>
      <c r="B28274" s="4" t="s">
        <f>=HYPERLINK("http://anyluxury.ru/shop/sumki-i-ryukzaki/sumki-dlya-noutbuka/sumka-zhenskaya-business-avenue-temnosinyaya-p7987005/" , "P79-87005 Сумка женская Business Avenue, темно-синяя")</f>
      </c>
      <c r="C28274" s="4" t="n">
        <v>13990.00</v>
      </c>
      <c r="D28274" s="4"/>
    </row>
    <row collapsed="" customFormat="false" customHeight="1" hidden="" ht="14" outlineLevel="0" r="28275">
      <c r="A28275" s="3" t="inlineStr">
        <is>
          <t>28149</t>
        </is>
      </c>
      <c r="B28275" s="4" t="s">
        <f>=HYPERLINK("http://anyluxury.ru/shop/sumki-i-ryukzaki/sumki-dlya-noutbuka/sumka-dlya-noutbuka-business-avenue-s-chernaya-p7969007/" , "P79-69007 Сумка для ноутбука Business Avenue S, черная")</f>
      </c>
      <c r="C28275" s="4" t="n">
        <v>12500.00</v>
      </c>
      <c r="D28275" s="4"/>
    </row>
    <row collapsed="" customFormat="false" customHeight="1" hidden="" ht="14" outlineLevel="0" r="28276">
      <c r="A28276" s="3" t="inlineStr">
        <is>
          <t>28150</t>
        </is>
      </c>
      <c r="B28276" s="4" t="s">
        <f>=HYPERLINK("http://anyluxury.ru/shop/sumki-i-ryukzaki/sumki-dlya-noutbuka/sumka-dlya-noutbuka-business-avenue-s-temnosinyaya-p7987007/" , "P79-87007 Сумка для ноутбука Business Avenue S, темно-синяя")</f>
      </c>
      <c r="C28276" s="4" t="n">
        <v>12500.00</v>
      </c>
      <c r="D28276" s="4"/>
    </row>
    <row collapsed="" customFormat="false" customHeight="1" hidden="" ht="14" outlineLevel="0" r="28277">
      <c r="A28277" s="3" t="inlineStr">
        <is>
          <t>28151</t>
        </is>
      </c>
      <c r="B28277" s="4" t="s">
        <f>=HYPERLINK("http://anyluxury.ru/shop/sumki-i-ryukzaki/sumki-dlya-noutbuka/chehol-dlya-noutbuka-impact-iz-rpet-aware-156-p788035/" , "P788.035 Чехол для ноутбука Impact из RPET AWARE™, 15.6'")</f>
      </c>
      <c r="C28277" s="4" t="n">
        <v>2844.00</v>
      </c>
      <c r="D28277" s="4"/>
    </row>
    <row collapsed="" customFormat="false" customHeight="1" hidden="" ht="14" outlineLevel="0" r="28278">
      <c r="A28278" s="3" t="inlineStr">
        <is>
          <t>28152</t>
        </is>
      </c>
      <c r="B28278" s="4" t="s">
        <f>=HYPERLINK("http://anyluxury.ru/shop/sumki-i-ryukzaki/sumki-dlya-noutbuka/chehol-dlya-noutbuka-impact-iz-rpet-aware-156-p788032/" , "P788.032 Чехол для ноутбука Impact из RPET AWARE™, 15.6'")</f>
      </c>
      <c r="C28278" s="4" t="n">
        <v>2844.00</v>
      </c>
      <c r="D28278" s="4"/>
    </row>
    <row collapsed="" customFormat="false" customHeight="1" hidden="" ht="14" outlineLevel="0" r="28279">
      <c r="A28279" s="3" t="inlineStr">
        <is>
          <t>28153</t>
        </is>
      </c>
      <c r="B28279" s="4" t="s">
        <f>=HYPERLINK("http://anyluxury.ru/shop/sumki-i-ryukzaki/sumki-dlya-noutbuka/chehol-dlya-noutbuka-impact-iz-rpet-aware-156-p788031/" , "P788.031 Чехол для ноутбука Impact из RPET AWARE™, 15.6'")</f>
      </c>
      <c r="C28279" s="4" t="n">
        <v>2844.00</v>
      </c>
      <c r="D28279" s="4"/>
    </row>
    <row collapsed="" customFormat="false" customHeight="1" hidden="" ht="14" outlineLevel="0" r="28280">
      <c r="A28280" s="3" t="inlineStr">
        <is>
          <t>28154</t>
        </is>
      </c>
      <c r="B28280" s="4" t="s">
        <f>=HYPERLINK("http://anyluxury.ru/shop/sumki-i-ryukzaki/sumki-dlya-noutbuka/cheholorganayzer-dlya-noutbuka-swiss-peak-iz-ekokozhi-bez-pvh-p788001/" , "P788.001 Чехол-органайзер для ноутбука Swiss Peak из экокожи (без ПВХ)")</f>
      </c>
      <c r="C28280" s="4" t="n">
        <v>4690.00</v>
      </c>
      <c r="D28280" s="4"/>
    </row>
    <row collapsed="" customFormat="false" customHeight="1" hidden="" ht="14" outlineLevel="0" r="28281">
      <c r="A28281" s="3" t="inlineStr">
        <is>
          <t>28155</t>
        </is>
      </c>
      <c r="B28281" s="4" t="s">
        <f>=HYPERLINK("http://anyluxury.ru/shop/sumki-i-ryukzaki/sumki-dlya-noutbuka/sumka-dlya-pokupok-arris-hlopok-260-gm2-364010-cm-20823525/" , "20823.525 Сумка для покупок Arris, неокрашенная")</f>
      </c>
      <c r="C28281" s="4" t="n">
        <v>563.00</v>
      </c>
      <c r="D28281" s="4"/>
    </row>
    <row collapsed="" customFormat="false" customHeight="1" hidden="" ht="14" outlineLevel="0" r="28282">
      <c r="A28282" s="3" t="inlineStr">
        <is>
          <t>28156</t>
        </is>
      </c>
      <c r="B28282" s="4" t="s">
        <f>=HYPERLINK("http://anyluxury.ru/shop/sumki-i-ryukzaki/sumki-dlya-noutbuka/sumka-dlya-pokupok-nero-hlopok-240-gm2-3540-cm-ruchki-iz-stropi-703-sm-20825010/" , "20825.010 Сумка для покупок Nero, черная")</f>
      </c>
      <c r="C28282" s="4" t="n">
        <v>569.00</v>
      </c>
      <c r="D28282" s="4"/>
    </row>
    <row collapsed="" customFormat="false" customHeight="1" hidden="" ht="14" outlineLevel="0" r="28283">
      <c r="A28283" s="3" t="inlineStr">
        <is>
          <t>28157</t>
        </is>
      </c>
      <c r="B28283" s="4" t="s">
        <f>=HYPERLINK("http://anyluxury.ru/shop/sumki-i-ryukzaki/sumki-dlya-noutbuka/sumka-dlya-pokupok-erba-hlopok-260-gm2-3540-cm-ruchki-603-sm-20826010/" , "20826.010 Сумка для покупок Erba, черная")</f>
      </c>
      <c r="C28283" s="4" t="n">
        <v>500.00</v>
      </c>
      <c r="D28283" s="4"/>
    </row>
    <row collapsed="" customFormat="false" customHeight="1" hidden="" ht="14" outlineLevel="0" r="28284">
      <c r="A28284" s="3" t="inlineStr">
        <is>
          <t>28158</t>
        </is>
      </c>
      <c r="B28284" s="4" t="s">
        <f>=HYPERLINK("http://anyluxury.ru/shop/sumki-i-ryukzaki/sumki-dlya-noutbuka/dvuhcvetnaya-sumka-impact-iz-rpet-aware-dlya-noutbuka-156-p732185/" , "P732.185 Двухцветная сумка Impact из RPET AWARE™ для ноутбука 15.6'")</f>
      </c>
      <c r="C28284" s="4" t="n">
        <v>8363.00</v>
      </c>
      <c r="D28284" s="4"/>
    </row>
    <row collapsed="" customFormat="false" customHeight="1" hidden="" ht="14" outlineLevel="0" r="28285">
      <c r="A28285" s="3" t="inlineStr">
        <is>
          <t>28159</t>
        </is>
      </c>
      <c r="B28285" s="4" t="s">
        <f>=HYPERLINK("http://anyluxury.ru/shop/sumki-i-ryukzaki/sumki-dlya-noutbuka/dvuhcvetnaya-sumka-impact-iz-rpet-aware-dlya-noutbuka-156-p732182/" , "P732.182 Двухцветная сумка Impact из RPET AWARE™ для ноутбука 15.6'")</f>
      </c>
      <c r="C28285" s="4" t="n">
        <v>8363.00</v>
      </c>
      <c r="D28285" s="4"/>
    </row>
    <row collapsed="" customFormat="false" customHeight="1" hidden="" ht="14" outlineLevel="0" r="28286">
      <c r="A28286" s="3" t="inlineStr">
        <is>
          <t>28160</t>
        </is>
      </c>
      <c r="B28286" s="4" t="s">
        <f>=HYPERLINK("http://anyluxury.ru/shop/sumki-i-ryukzaki/sumki-dlya-noutbuka/dvuhcvetnaya-sumka-impact-iz-rpet-aware-dlya-noutbuka-156-p732181/" , "P732.181 Двухцветная сумка Impact из RPET AWARE™ для ноутбука 15.6'")</f>
      </c>
      <c r="C28286" s="4" t="n">
        <v>8363.00</v>
      </c>
      <c r="D28286" s="4"/>
    </row>
    <row collapsed="" customFormat="false" customHeight="1" hidden="" ht="14" outlineLevel="0" r="28287">
      <c r="A28287" s="3" t="inlineStr">
        <is>
          <t>28161</t>
        </is>
      </c>
      <c r="B28287" s="4" t="s">
        <f>=HYPERLINK("http://anyluxury.ru/shop/sumki-i-ryukzaki/sumki-dlya-noutbuka/sumka-dlya-noutbuka-metz-chernaya-1380930/" , "13809.30 Сумка для ноутбука Metz, черная")</f>
      </c>
      <c r="C28287" s="4" t="n">
        <v>2667.00</v>
      </c>
      <c r="D28287" s="4"/>
    </row>
    <row collapsed="" customFormat="false" customHeight="1" hidden="" ht="14" outlineLevel="0" r="28288">
      <c r="A28288" s="3" t="inlineStr">
        <is>
          <t>28162</t>
        </is>
      </c>
      <c r="B28288" s="4" t="s">
        <f>=HYPERLINK("http://anyluxury.ru/shop/sumki-i-ryukzaki/sumki-dlya-noutbuka/sumka-dlya-noutbuka-metz-sinyaya-1380940/" , "13809.40 Сумка для ноутбука Metz, синяя")</f>
      </c>
      <c r="C28288" s="4" t="n">
        <v>2667.00</v>
      </c>
      <c r="D28288" s="4"/>
    </row>
    <row collapsed="" customFormat="false" customHeight="1" hidden="" ht="14" outlineLevel="0" r="28289">
      <c r="A28289" s="3" t="inlineStr">
        <is>
          <t>28163</t>
        </is>
      </c>
      <c r="B28289" s="4" t="s">
        <f>=HYPERLINK("http://anyluxury.ru/shop/sumki-i-ryukzaki/sumki-dlya-noutbuka/sumka-dlya-noutbuka-graphs-svetloseraya-1381110/" , "13811.10 Сумка для ноутбука Graphs, светло-серая")</f>
      </c>
      <c r="C28289" s="4" t="n">
        <v>3107.00</v>
      </c>
      <c r="D28289" s="4"/>
    </row>
    <row collapsed="" customFormat="false" customHeight="1" hidden="" ht="14" outlineLevel="0" r="28290">
      <c r="A28290" s="3" t="inlineStr">
        <is>
          <t>28164</t>
        </is>
      </c>
      <c r="B28290" s="4" t="s">
        <f>=HYPERLINK("http://anyluxury.ru/shop/sumki-i-ryukzaki/sumki-dlya-noutbuka/sumka-dlya-noutbuka-graphs-temnoseraya-1381113/" , "13811.13 Сумка для ноутбука Graphs, темно-серая")</f>
      </c>
      <c r="C28290" s="4" t="n">
        <v>3107.00</v>
      </c>
      <c r="D28290" s="4"/>
    </row>
    <row collapsed="" customFormat="false" customHeight="1" hidden="" ht="14" outlineLevel="0" r="28291">
      <c r="A28291" s="3" t="inlineStr">
        <is>
          <t>28165</t>
        </is>
      </c>
      <c r="B28291" s="4" t="s">
        <f>=HYPERLINK("http://anyluxury.ru/shop/sumki-i-ryukzaki/sumki-dlya-noutbuka/sumka-dlya-noutbuka-migliores-seriyseriy-52003080/" , "52003.080 Сумка для ноутбука Migliores, серый/серый")</f>
      </c>
      <c r="C28291" s="4" t="n">
        <v>3960.00</v>
      </c>
      <c r="D28291" s="4"/>
    </row>
    <row collapsed="" customFormat="false" customHeight="1" hidden="" ht="14" outlineLevel="0" r="28292">
      <c r="A28292" s="3" t="inlineStr">
        <is>
          <t>28166</t>
        </is>
      </c>
      <c r="B28292" s="4" t="s">
        <f>=HYPERLINK("http://anyluxury.ru/shop/sumki-i-ryukzaki/sumki-dlya-noutbuka/sumka-dlya-noutbuka-network-4-s-sinyaya-ki301001/" , "KI3-01001 Сумка для ноутбука Network 4 S, синяя")</f>
      </c>
      <c r="C28292" s="4" t="n">
        <v>5600.00</v>
      </c>
      <c r="D28292" s="4"/>
    </row>
    <row collapsed="" customFormat="false" customHeight="1" hidden="" ht="14" outlineLevel="0" r="28293">
      <c r="A28293" s="3" t="inlineStr">
        <is>
          <t>28167</t>
        </is>
      </c>
      <c r="B28293" s="4" t="s">
        <f>=HYPERLINK("http://anyluxury.ru/shop/sumki-i-ryukzaki/sumki-dlya-noutbuka/sumka-dlya-noutbuka-network-4-s-chernaya-ki309001/" , "KI3-09001 Сумка для ноутбука Network 4 S, черная")</f>
      </c>
      <c r="C28293" s="4" t="n">
        <v>5600.00</v>
      </c>
      <c r="D28293" s="4"/>
    </row>
    <row collapsed="" customFormat="false" customHeight="1" hidden="" ht="14" outlineLevel="0" r="28294">
      <c r="A28294" s="3" t="inlineStr">
        <is>
          <t>28168</t>
        </is>
      </c>
      <c r="B28294" s="4" t="s">
        <f>=HYPERLINK("http://anyluxury.ru/shop/sumki-i-ryukzaki/sumki-dlya-noutbuka/sumka-dlya-noutbuka-network-4-m-sinyaya-ki301002/" , "KI3-01002 Сумка для ноутбука Network 4 M, синяя")</f>
      </c>
      <c r="C28294" s="4" t="n">
        <v>6100.00</v>
      </c>
      <c r="D28294" s="4"/>
    </row>
    <row collapsed="" customFormat="false" customHeight="1" hidden="" ht="14" outlineLevel="0" r="28295">
      <c r="A28295" s="3" t="inlineStr">
        <is>
          <t>28169</t>
        </is>
      </c>
      <c r="B28295" s="4" t="s">
        <f>=HYPERLINK("http://anyluxury.ru/shop/sumki-i-ryukzaki/sumki-dlya-noutbuka/sumka-dlya-noutbuka-network-4-m-chernaya-ki309002/" , "KI3-09002 Сумка для ноутбука Network 4 M, черная")</f>
      </c>
      <c r="C28295" s="4" t="n">
        <v>6100.00</v>
      </c>
      <c r="D28295" s="4"/>
    </row>
    <row collapsed="" customFormat="false" customHeight="1" hidden="" ht="14" outlineLevel="0" r="28296">
      <c r="A28296" s="3" t="inlineStr">
        <is>
          <t>28170</t>
        </is>
      </c>
      <c r="B28296" s="4" t="s">
        <f>=HYPERLINK("http://anyluxury.ru/shop/sumki-i-ryukzaki/sumki-dlya-noutbuka/ryukzak-dlya-noutbuka-impact-iz-pererabotannogo-kanvasa-aware-15-p760240/" , "P760.240 Рюкзак для ноутбука Impact из переработанного канваса AWARE™, 15'")</f>
      </c>
      <c r="C28296" s="4" t="n">
        <v>7113.00</v>
      </c>
      <c r="D28296" s="4"/>
    </row>
    <row collapsed="" customFormat="false" customHeight="1" hidden="" ht="14" outlineLevel="0" r="28297">
      <c r="A28297" s="3" t="inlineStr">
        <is>
          <t>28171</t>
        </is>
      </c>
      <c r="B28297" s="4" t="s">
        <f>=HYPERLINK("http://anyluxury.ru/shop/sumki-i-ryukzaki/sumki-dlya-noutbuka/ryukzak-dlya-noutbuka-impact-iz-pererabotannogo-kanvasa-aware-15-p760241/" , "P760.241 Рюкзак для ноутбука Impact из переработанного канваса AWARE™, 15'")</f>
      </c>
      <c r="C28297" s="4" t="n">
        <v>7113.00</v>
      </c>
      <c r="D28297" s="4"/>
    </row>
    <row collapsed="" customFormat="false" customHeight="1" hidden="" ht="14" outlineLevel="0" r="28298">
      <c r="A28298" s="3" t="inlineStr">
        <is>
          <t>28172</t>
        </is>
      </c>
      <c r="B28298" s="4" t="s">
        <f>=HYPERLINK("http://anyluxury.ru/shop/sumki-i-ryukzaki/sumki-dlya-noutbuka/ryukzak-dlya-noutbuka-impact-iz-pererabotannogo-kanvasa-aware-15-p760242/" , "P760.242 Рюкзак для ноутбука Impact из переработанного канваса AWARE™, 15'")</f>
      </c>
      <c r="C28298" s="4" t="n">
        <v>7113.00</v>
      </c>
      <c r="D28298" s="4"/>
    </row>
    <row collapsed="" customFormat="false" customHeight="1" hidden="" ht="14" outlineLevel="0" r="28299">
      <c r="A28299" s="3" t="inlineStr">
        <is>
          <t>28173</t>
        </is>
      </c>
      <c r="B28299" s="4" t="s">
        <f>=HYPERLINK("http://anyluxury.ru/shop/sumki-i-ryukzaki/sumki-dlya-noutbuka/ryukzak-dlya-noutbuka-impact-iz-pererabotannogo-kanvasa-aware-15-p760245/" , "P760.245 Рюкзак для ноутбука Impact из переработанного канваса AWARE™, 15'")</f>
      </c>
      <c r="C28299" s="4" t="n">
        <v>7113.00</v>
      </c>
      <c r="D28299" s="4"/>
    </row>
    <row collapsed="" customFormat="false" customHeight="1" hidden="" ht="14" outlineLevel="0" r="28300">
      <c r="A28300" s="3" t="inlineStr">
        <is>
          <t>28174</t>
        </is>
      </c>
      <c r="B28300" s="4" t="s">
        <f>=HYPERLINK("http://anyluxury.ru/shop/sumki-i-ryukzaki/sumki-dlya-noutbuka/ryukzak-dlya-noutbuka-impact-iz-pererabotannogo-kanvasa-aware-15-p760247/" , "P760.247 Рюкзак для ноутбука Impact из переработанного канваса AWARE™, 15'")</f>
      </c>
      <c r="C28300" s="4" t="n">
        <v>7113.00</v>
      </c>
      <c r="D28300" s="4"/>
    </row>
    <row collapsed="" customFormat="false" customHeight="1" hidden="" ht="14" outlineLevel="0" r="28301">
      <c r="A28301" s="3" t="inlineStr">
        <is>
          <t>28175</t>
        </is>
      </c>
      <c r="B28301" s="4" t="s">
        <f>=HYPERLINK("http://anyluxury.ru/shop/sumki-i-ryukzaki/sumki-dlya-noutbuka/chehol-dlya-noutbuka-swiss-peak-voyager-iz-rpet-aware-156-p788091/" , "P788.091 Чехол для ноутбука Swiss Peak Voyager из RPET AWARE™, 15.6'")</f>
      </c>
      <c r="C28301" s="4" t="n">
        <v>3690.00</v>
      </c>
      <c r="D28301" s="4"/>
    </row>
    <row collapsed="" customFormat="false" customHeight="1" hidden="" ht="14" outlineLevel="0" r="28302">
      <c r="A28302" s="3" t="inlineStr">
        <is>
          <t>28176</t>
        </is>
      </c>
      <c r="B28302" s="4" t="s">
        <f>=HYPERLINK("http://anyluxury.ru/shop/sumki-i-ryukzaki/sumki-dlya-noutbuka/ryukzak-dlya-noutbuka-minimalist-impact-iz-rpet-aware-1200d-156-p762811/" , "P762.811 Рюкзак для ноутбука Minimalist Impact из rPET AWARE™ 1200D, 15,6'")</f>
      </c>
      <c r="C28302" s="4" t="n">
        <v>7122.00</v>
      </c>
      <c r="D28302" s="4"/>
    </row>
    <row collapsed="" customFormat="false" customHeight="1" hidden="" ht="14" outlineLevel="0" r="28303">
      <c r="A28303" s="3" t="inlineStr">
        <is>
          <t>28177</t>
        </is>
      </c>
      <c r="B28303" s="4" t="s">
        <f>=HYPERLINK("http://anyluxury.ru/shop/sumki-i-ryukzaki/sumki-dlya-noutbuka/ryukzak-dlya-noutbuka-minimalist-impact-iz-rpet-aware-1200d-156-p762812/" , "P762.812 Рюкзак для ноутбука Minimalist Impact из rPET AWARE™ 1200D, 15,6'")</f>
      </c>
      <c r="C28303" s="4" t="n">
        <v>7122.00</v>
      </c>
      <c r="D28303" s="4"/>
    </row>
    <row collapsed="" customFormat="false" customHeight="1" hidden="" ht="14" outlineLevel="0" r="28304">
      <c r="A28304" s="3" t="inlineStr">
        <is>
          <t>28178</t>
        </is>
      </c>
      <c r="B28304" s="4" t="s">
        <f>=HYPERLINK("http://anyluxury.ru/shop/sumki-i-ryukzaki/sumki-dlya-noutbuka/ryukzak-dlya-noutbuka-minimalist-impact-iz-rpet-aware-1200d-156-p762815/" , "P762.815 Рюкзак для ноутбука Minimalist Impact из rPET AWARE™ 1200D, 15,6'")</f>
      </c>
      <c r="C28304" s="4" t="n">
        <v>7122.00</v>
      </c>
      <c r="D28304" s="4"/>
    </row>
    <row collapsed="" customFormat="false" customHeight="1" hidden="" ht="14" outlineLevel="0" r="28305">
      <c r="A28305" s="3" t="inlineStr">
        <is>
          <t>28179</t>
        </is>
      </c>
      <c r="B28305" s="4" t="s">
        <f>=HYPERLINK("http://anyluxury.ru/shop/sumki-i-ryukzaki/sumki-dlya-noutbuka/ryukzak-dlya-noutbuka-impact-iz-rpet-aware-1200d-156-p762821/" , "P762.821 Рюкзак для ноутбука Impact из rPET AWARE™ 1200D, 15.6''")</f>
      </c>
      <c r="C28305" s="4" t="n">
        <v>7113.00</v>
      </c>
      <c r="D28305" s="4"/>
    </row>
    <row collapsed="" customFormat="false" customHeight="1" hidden="" ht="14" outlineLevel="0" r="28306">
      <c r="A28306" s="3" t="inlineStr">
        <is>
          <t>28180</t>
        </is>
      </c>
      <c r="B28306" s="4" t="s">
        <f>=HYPERLINK("http://anyluxury.ru/shop/sumki-i-ryukzaki/sumki-dlya-noutbuka/ryukzak-dlya-noutbuka-impact-iz-rpet-aware-1200d-156-p762825/" , "P762.825 Рюкзак для ноутбука Impact из rPET AWARE™ 1200D, 15.6''")</f>
      </c>
      <c r="C28306" s="4" t="n">
        <v>7113.00</v>
      </c>
      <c r="D28306" s="4"/>
    </row>
    <row collapsed="" customFormat="false" customHeight="1" hidden="" ht="14" outlineLevel="0" r="28307">
      <c r="A28307" s="3" t="inlineStr">
        <is>
          <t>28181</t>
        </is>
      </c>
      <c r="B28307" s="4" t="s">
        <f>=HYPERLINK("http://anyluxury.ru/shop/sumki-i-ryukzaki/sumki-dlya-noutbuka/ryukzak-dlya-noutbuka-impact-iz-rpet-aware-1200d-156-p762827/" , "P762.827 Рюкзак для ноутбука Impact из rPET AWARE™ 1200D, 15.6''")</f>
      </c>
      <c r="C28307" s="4" t="n">
        <v>7113.00</v>
      </c>
      <c r="D28307" s="4"/>
    </row>
    <row collapsed="" customFormat="false" customHeight="1" hidden="" ht="14" outlineLevel="0" r="28308">
      <c r="A28308" s="3" t="inlineStr">
        <is>
          <t>28182</t>
        </is>
      </c>
      <c r="B28308" s="4" t="s">
        <f>=HYPERLINK("http://anyluxury.ru/shop/sumki-i-ryukzaki/sumki-dlya-noutbuka/ryukzak-dlya-noutbuka-impact-iz-rpet-aware-1200d-156-p762829/" , "P762.829 Рюкзак для ноутбука Impact из rPET AWARE™ 1200D, 15.6''")</f>
      </c>
      <c r="C28308" s="4" t="n">
        <v>7113.00</v>
      </c>
      <c r="D28308" s="4"/>
    </row>
    <row collapsed="" customFormat="false" customHeight="1" hidden="" ht="14" outlineLevel="0" r="28309">
      <c r="A28309" s="3" t="inlineStr">
        <is>
          <t>28183</t>
        </is>
      </c>
      <c r="B28309" s="4" t="s">
        <f>=HYPERLINK("http://anyluxury.ru/shop/sumki-i-ryukzaki/sumki-dlya-noutbuka/sumka-dlya-pokupok-erba-100-hlopok-260-gm2-3540-cm-ruchki-603-sm-neokrashennaya-20826525/" , "20826.525 Сумка для покупок Erba, неокрашенная")</f>
      </c>
      <c r="C28309" s="4" t="n">
        <v>500.00</v>
      </c>
      <c r="D28309" s="4"/>
    </row>
    <row collapsed="" customFormat="false" customHeight="1" hidden="" ht="14" outlineLevel="0" r="28310">
      <c r="A28310" s="3" t="inlineStr">
        <is>
          <t>28184</t>
        </is>
      </c>
      <c r="B28310" s="4" t="s">
        <f>=HYPERLINK("http://anyluxury.ru/shop/sumki-i-ryukzaki/sumki-dlya-noutbuka/chehol-dlya-noutbuka-impact-iz-rpet-aware-156-p788111/" , "P788.111 Чехол для ноутбука Impact из rPET AWARE™, 15.6''")</f>
      </c>
      <c r="C28310" s="4" t="n">
        <v>2303.00</v>
      </c>
      <c r="D28310" s="4"/>
    </row>
    <row collapsed="" customFormat="false" customHeight="1" hidden="" ht="14" outlineLevel="0" r="28311">
      <c r="A28311" s="3" t="inlineStr">
        <is>
          <t>28185</t>
        </is>
      </c>
      <c r="B28311" s="4" t="s">
        <f>=HYPERLINK("http://anyluxury.ru/shop/sumki-i-ryukzaki/sumki-dlya-noutbuka/chehol-dlya-noutbuka-impact-iz-rpet-aware-156-p788112/" , "P788.112 Чехол для ноутбука Impact из rPET AWARE™, 15.6''")</f>
      </c>
      <c r="C28311" s="4" t="n">
        <v>2303.00</v>
      </c>
      <c r="D28311" s="4"/>
    </row>
    <row collapsed="" customFormat="false" customHeight="1" hidden="" ht="14" outlineLevel="0" r="28312">
      <c r="A28312" s="3" t="inlineStr">
        <is>
          <t>28186</t>
        </is>
      </c>
      <c r="B28312" s="4" t="s">
        <f>=HYPERLINK("http://anyluxury.ru/shop/sumki-i-ryukzaki/sumki-dlya-noutbuka/chehol-dlya-noutbuka-impact-iz-rpet-aware-156-p788115/" , "P788.115 Чехол для ноутбука Impact из rPET AWARE™, 15.6''")</f>
      </c>
      <c r="C28312" s="4" t="n">
        <v>2303.00</v>
      </c>
      <c r="D28312" s="4"/>
    </row>
    <row collapsed="" customFormat="false" customHeight="1" hidden="" ht="14" outlineLevel="0" r="28313">
      <c r="A28313" s="3" t="inlineStr">
        <is>
          <t>28187</t>
        </is>
      </c>
      <c r="B28313" s="4" t="s">
        <f>=HYPERLINK("http://anyluxury.ru/shop/sumki-i-ryukzaki/sumki-dlya-noutbuka/chehol-dlya-noutbuka-impact-iz-rpet-aware-14-p788121/" , "P788.121 Чехол для ноутбука Impact из rPET AWARE™, 14''")</f>
      </c>
      <c r="C28313" s="4" t="n">
        <v>2313.00</v>
      </c>
      <c r="D28313" s="4"/>
    </row>
    <row collapsed="" customFormat="false" customHeight="1" hidden="" ht="14" outlineLevel="0" r="28314">
      <c r="A28314" s="3" t="inlineStr">
        <is>
          <t>28188</t>
        </is>
      </c>
      <c r="B28314" s="4" t="s">
        <f>=HYPERLINK("http://anyluxury.ru/shop/sumki-i-ryukzaki/sumki-dlya-noutbuka/chehol-dlya-noutbuka-impact-iz-rpet-aware-14-p788122/" , "P788.122 Чехол для ноутбука Impact из rPET AWARE™, 14''")</f>
      </c>
      <c r="C28314" s="4" t="n">
        <v>2313.00</v>
      </c>
      <c r="D28314" s="4"/>
    </row>
    <row collapsed="" customFormat="false" customHeight="1" hidden="" ht="14" outlineLevel="0" r="28315">
      <c r="A28315" s="3" t="inlineStr">
        <is>
          <t>28189</t>
        </is>
      </c>
      <c r="B28315" s="4" t="s">
        <f>=HYPERLINK("http://anyluxury.ru/shop/sumki-i-ryukzaki/sumki-dlya-noutbuka/chehol-dlya-noutbuka-impact-iz-rpet-aware-14-p788125/" , "P788.125 Чехол для ноутбука Impact из rPET AWARE™, 14''")</f>
      </c>
      <c r="C28315" s="4" t="n">
        <v>2313.00</v>
      </c>
      <c r="D28315" s="4"/>
    </row>
    <row collapsed="" customFormat="false" customHeight="1" hidden="" ht="14" outlineLevel="0" r="28316">
      <c r="A28316" s="3" t="inlineStr">
        <is>
          <t>28190</t>
        </is>
      </c>
      <c r="B28316" s="4" t="s">
        <f>=HYPERLINK("http://anyluxury.ru/shop/sumki-i-ryukzaki/sumki-dlya-noutbuka/sumka-dlya-noutbuka-vinga-bosler-iz-kanvasa-522318/" , "522318 Сумка для ноутбука 16' VINGA Bosler из канваса")</f>
      </c>
      <c r="C28316" s="4" t="n">
        <v>6759.00</v>
      </c>
      <c r="D28316" s="4"/>
    </row>
    <row collapsed="" customFormat="false" customHeight="1" hidden="" ht="14" outlineLevel="0" r="28317">
      <c r="A28317" s="3" t="inlineStr">
        <is>
          <t>28191</t>
        </is>
      </c>
      <c r="B28317" s="4" t="s">
        <f>=HYPERLINK("http://anyluxury.ru/shop/sumki-i-ryukzaki/sumki-dlya-noutbuka/sumka-dlya-noutbuka-vinga-bosler-iz-kanvasa-522319/" , "522319 Сумка для ноутбука 16' VINGA Bosler из канваса")</f>
      </c>
      <c r="C28317" s="4" t="n">
        <v>6759.00</v>
      </c>
      <c r="D28317" s="4"/>
    </row>
    <row collapsed="" customFormat="false" customHeight="1" hidden="" ht="14" outlineLevel="0" r="28318">
      <c r="A28318" s="3" t="inlineStr">
        <is>
          <t>28192</t>
        </is>
      </c>
      <c r="B28318" s="4" t="s">
        <f>=HYPERLINK("http://anyluxury.ru/shop/sumki-i-ryukzaki/sumki-dlya-noutbuka/sumka-dlya-noutbuka-vinga-bosler-iz-kanvasa-522320/" , "522320 Сумка для ноутбука 16' VINGA Bosler из канваса")</f>
      </c>
      <c r="C28318" s="4" t="n">
        <v>6759.00</v>
      </c>
      <c r="D28318" s="4"/>
    </row>
    <row collapsed="" customFormat="false" customHeight="1" hidden="" ht="14" outlineLevel="0" r="28319">
      <c r="A28319" s="3" t="inlineStr">
        <is>
          <t>28193</t>
        </is>
      </c>
      <c r="B28319" s="4" t="s">
        <f>=HYPERLINK("http://anyluxury.ru/shop/sumki-i-ryukzaki/sumki-dlya-noutbuka/chehol-dlya-noutbuka-vinga-hunton-528119/" , "528119 Чехол для ноутбука VINGA Hunton, 16'")</f>
      </c>
      <c r="C28319" s="4" t="n">
        <v>3022.00</v>
      </c>
      <c r="D28319" s="4"/>
    </row>
    <row collapsed="" customFormat="false" customHeight="1" hidden="" ht="14" outlineLevel="0" r="28320">
      <c r="A28320" s="3" t="inlineStr">
        <is>
          <t>28194</t>
        </is>
      </c>
      <c r="B28320" s="4" t="s">
        <f>=HYPERLINK("http://anyluxury.ru/shop/sumki-i-ryukzaki/sumki-dlya-noutbuka/chehol-dlya-noutbuka-vinga-hunton-528120/" , "528120 Чехол для ноутбука VINGA Hunton, 16'")</f>
      </c>
      <c r="C28320" s="4" t="n">
        <v>3022.00</v>
      </c>
      <c r="D28320" s="4"/>
    </row>
    <row collapsed="" customFormat="false" customHeight="1" hidden="" ht="14" outlineLevel="0" r="28321">
      <c r="A28321" s="3" t="inlineStr">
        <is>
          <t>28195</t>
        </is>
      </c>
      <c r="B28321" s="4" t="s">
        <f>=HYPERLINK("http://anyluxury.ru/shop/sumki-i-ryukzaki/sumki-dlya-noutbuka/chehol-dlya-noutbuka-vinga-baltimore-1214-501918/" , "501918 Чехол для ноутбука VINGA Baltimore, 12-14'")</f>
      </c>
      <c r="C28321" s="4" t="n">
        <v>3197.00</v>
      </c>
      <c r="D28321" s="4"/>
    </row>
    <row collapsed="" customFormat="false" customHeight="1" hidden="" ht="14" outlineLevel="0" r="28322">
      <c r="A28322" s="3" t="inlineStr">
        <is>
          <t>28196</t>
        </is>
      </c>
      <c r="B28322" s="4" t="s">
        <f>=HYPERLINK("http://anyluxury.ru/shop/sumki-i-ryukzaki/sumki-dlya-noutbuka/chehol-dlya-noutbuka-vinga-baltimore-1214-501920/" , "501920 Чехол для ноутбука VINGA Baltimore, 12-14'")</f>
      </c>
      <c r="C28322" s="4" t="n">
        <v>3197.00</v>
      </c>
      <c r="D28322" s="4"/>
    </row>
    <row collapsed="" customFormat="false" customHeight="1" hidden="" ht="14" outlineLevel="0" r="28323">
      <c r="A28323" s="3" t="inlineStr">
        <is>
          <t>28197</t>
        </is>
      </c>
      <c r="B28323" s="4" t="s">
        <f>=HYPERLINK("http://anyluxury.ru/shop/sumki-i-ryukzaki/sumki-dlya-noutbuka/chehol-dlya-noutbuka-vinga-baltimore-15-501618/" , "501618 Чехол для ноутбука VINGA Baltimore, 15'")</f>
      </c>
      <c r="C28323" s="4" t="n">
        <v>3375.00</v>
      </c>
      <c r="D28323" s="4"/>
    </row>
    <row collapsed="" customFormat="false" customHeight="1" hidden="" ht="14" outlineLevel="0" r="28324">
      <c r="A28324" s="3" t="inlineStr">
        <is>
          <t>28198</t>
        </is>
      </c>
      <c r="B28324" s="4" t="s">
        <f>=HYPERLINK("http://anyluxury.ru/shop/sumki-i-ryukzaki/sumki-dlya-noutbuka/chehol-dlya-noutbuka-vinga-baltimore-15-501620/" , "501620 Чехол для ноутбука VINGA Baltimore, 15'")</f>
      </c>
      <c r="C28324" s="4" t="n">
        <v>3375.00</v>
      </c>
      <c r="D28324" s="4"/>
    </row>
    <row collapsed="" customFormat="false" customHeight="1" hidden="" ht="14" outlineLevel="0" r="28325">
      <c r="A28325" s="3" t="inlineStr">
        <is>
          <t>28199</t>
        </is>
      </c>
      <c r="B28325" s="4" t="s">
        <f>=HYPERLINK("http://anyluxury.ru/shop/sumki-i-ryukzaki/sumki-dlya-noutbuka/chehol-dlya-noutbuka-vinga-baltimore-15-501621/" , "501621 Чехол для ноутбука VINGA Baltimore, 15'")</f>
      </c>
      <c r="C28325" s="4" t="n">
        <v>3375.00</v>
      </c>
      <c r="D28325" s="4"/>
    </row>
    <row collapsed="" customFormat="false" customHeight="1" hidden="" ht="14" outlineLevel="0" r="28326">
      <c r="A28326" s="3" t="inlineStr">
        <is>
          <t>28200</t>
        </is>
      </c>
      <c r="B28326" s="4" t="s">
        <f>=HYPERLINK("http://anyluxury.ru/shop/sumki-i-ryukzaki/sumki-dlya-noutbuka/sumka-dlya-noutbuka-vinga-hunton-528020/" , "528020 Сумка для ноутбука VINGA Hunton, 16'")</f>
      </c>
      <c r="C28326" s="4" t="n">
        <v>6228.00</v>
      </c>
      <c r="D28326" s="4"/>
    </row>
    <row collapsed="" customFormat="false" customHeight="1" hidden="" ht="14" outlineLevel="0" r="28327">
      <c r="A28327" s="3" t="inlineStr">
        <is>
          <t>28201</t>
        </is>
      </c>
      <c r="B28327" s="4" t="s">
        <f>=HYPERLINK("http://anyluxury.ru/shop/sumki-i-ryukzaki/sumki-dlya-noutbuka/sumka-clicksling-x-chernaya-1547230/" , "15472.30 Сумка ClickSling X, черная")</f>
      </c>
      <c r="C28327" s="4" t="n">
        <v>15600.00</v>
      </c>
      <c r="D28327" s="4"/>
    </row>
    <row collapsed="" customFormat="false" customHeight="1" hidden="" ht="14" outlineLevel="0" r="28328">
      <c r="A28328" s="3" t="inlineStr">
        <is>
          <t>28202</t>
        </is>
      </c>
      <c r="B28328" s="4" t="s">
        <f>=HYPERLINK("http://anyluxury.ru/shop/sumki-i-ryukzaki/sumki-dlya-noutbuka/ryukzak-dlya-noutbuka-impact-lima-iz-rpet-awaretm-rfid-156-p763151/" , "P763.151 Рюкзак для ноутбука Impact Lima из rPET AWARETM, RFID, 15.6'")</f>
      </c>
      <c r="C28328" s="4" t="n">
        <v>8903.00</v>
      </c>
      <c r="D28328" s="4"/>
    </row>
    <row collapsed="" customFormat="false" customHeight="1" hidden="" ht="14" outlineLevel="0" r="28329">
      <c r="A28329" s="3" t="inlineStr">
        <is>
          <t>28203</t>
        </is>
      </c>
      <c r="B28329" s="4" t="s">
        <f>=HYPERLINK("http://anyluxury.ru/shop/sumki-i-ryukzaki/sumki-dlya-noutbuka/ryukzak-dlya-noutbuka-impact-lima-iz-rpet-awaretm-rfid-156-p763155/" , "P763.155 Рюкзак для ноутбука Impact Lima из rPET AWARETM, RFID, 15.6'")</f>
      </c>
      <c r="C28329" s="4" t="n">
        <v>8903.00</v>
      </c>
      <c r="D28329" s="4"/>
    </row>
    <row collapsed="" customFormat="false" customHeight="1" hidden="" ht="14" outlineLevel="0" r="28330">
      <c r="A28330" s="3" t="inlineStr">
        <is>
          <t>28204</t>
        </is>
      </c>
      <c r="B28330" s="4" t="s">
        <f>=HYPERLINK("http://anyluxury.ru/shop/sumki-i-ryukzaki/sumki-dlya-noutbuka/ryukzak-dlya-noutbuka-impact-lima-iz-rpet-awaretm-rfid-156-p763157/" , "P763.157 Рюкзак для ноутбука Impact Lima из rPET AWARETM, RFID, 15.6'")</f>
      </c>
      <c r="C28330" s="4" t="n">
        <v>8903.00</v>
      </c>
      <c r="D28330" s="4"/>
    </row>
    <row collapsed="" customFormat="false" customHeight="1" hidden="" ht="14" outlineLevel="0" r="28331">
      <c r="A28331" s="3" t="inlineStr">
        <is>
          <t>28205</t>
        </is>
      </c>
      <c r="B28331" s="4" t="s">
        <f>=HYPERLINK("http://anyluxury.ru/shop/sumki-i-ryukzaki/sumki-dlya-noutbuka/sumka-dlya-pokupok-erba-100-hlopok-260-gm2-3540-cm-ruchki-603-sm-neokrashennaya-58011021/" , "58011.021 Сумка для покупок Erba NEO, неокрашенная")</f>
      </c>
      <c r="C28331" s="4" t="n">
        <v>550.00</v>
      </c>
      <c r="D28331" s="4"/>
    </row>
    <row collapsed="" customFormat="false" customHeight="1" hidden="" ht="14" outlineLevel="0" r="28332">
      <c r="A28332" s="3" t="inlineStr">
        <is>
          <t>28206</t>
        </is>
      </c>
      <c r="B28332" s="4" t="s">
        <f>=HYPERLINK("http://anyluxury.ru/shop/sumki-i-ryukzaki/sumki-dlya-noutbuka/sumka-dlya-pokupok-erba-100-hlopok-260-gm2-3540-cm-ruchki-603-sm-chernaya-58011010/" , "58011.010 Сумка для покупок Erba NEO, черная")</f>
      </c>
      <c r="C28332" s="4" t="n">
        <v>550.00</v>
      </c>
      <c r="D28332" s="4"/>
    </row>
    <row collapsed="" customFormat="false" customHeight="1" hidden="" ht="14" outlineLevel="0" r="28333">
      <c r="A28333" s="3" t="inlineStr">
        <is>
          <t>28207</t>
        </is>
      </c>
      <c r="B28333" s="4" t="s">
        <f>=HYPERLINK("http://anyluxury.ru/shop/sumki-i-ryukzaki/sumki-dlya-noutbuka/sumka-dlya-pokupok-nero-100-hlopok-260-gm2-3540-cm-ruchki-iz-stropi-703-sm-58013010/" , "58013.010 Сумка для покупок Nero NEO, черная")</f>
      </c>
      <c r="C28333" s="4" t="n">
        <v>569.00</v>
      </c>
      <c r="D28333" s="4"/>
    </row>
    <row collapsed="" customFormat="false" customHeight="1" hidden="" ht="14" outlineLevel="0" r="28334">
      <c r="A28334" s="3" t="inlineStr">
        <is>
          <t>28208</t>
        </is>
      </c>
      <c r="B28334" s="4" t="s">
        <f>=HYPERLINK("http://anyluxury.ru/shop/sumki-i-ryukzaki/sumki-dlya-noutbuka/sumka-dlya-pokupok-tessa-100-hlopok-260-gm2-3540-cm-ruchki-60h3-sm-58012021/" , "58012.021 Сумка для покупок Tessa NEO, неокрашенная")</f>
      </c>
      <c r="C28334" s="4" t="n">
        <v>600.00</v>
      </c>
      <c r="D28334" s="4"/>
    </row>
    <row collapsed="" customFormat="false" customHeight="1" hidden="" ht="14" outlineLevel="0" r="28335">
      <c r="A28335" s="3" t="inlineStr">
        <is>
          <t>28209</t>
        </is>
      </c>
      <c r="B28335" s="4" t="s">
        <f>=HYPERLINK("http://anyluxury.ru/shop/sumki-i-ryukzaki/sumki-dlya-noutbuka/ryukzak-dlya-noutbuka-impact-boardroom-iz-rpet-aware-p763071/" , "P763.071 Рюкзак для ноутбука Impact Boardroom из rPET AWARE™")</f>
      </c>
      <c r="C28335" s="4" t="n">
        <v>6228.00</v>
      </c>
      <c r="D28335" s="4"/>
    </row>
    <row collapsed="" customFormat="false" customHeight="1" hidden="" ht="14" outlineLevel="0" r="28336">
      <c r="A28336" s="3" t="inlineStr">
        <is>
          <t>28210</t>
        </is>
      </c>
      <c r="B28336" s="4" t="s">
        <f>=HYPERLINK("http://anyluxury.ru/shop/sumki-i-ryukzaki/sumki-dlya-noutbuka/sumkaryukzak-2v1-dlya-noutbuka-swiss-peak-iz-rpet-aware-p762711/" , "P762.711 Сумка-рюкзак 2-в-1 для ноутбука Swiss Peak из rPET AWARE™")</f>
      </c>
      <c r="C28336" s="4" t="n">
        <v>10900.00</v>
      </c>
      <c r="D28336" s="4"/>
    </row>
    <row collapsed="" customFormat="false" customHeight="1" hidden="" ht="14" outlineLevel="0" r="28337">
      <c r="A28337" s="3" t="inlineStr">
        <is>
          <t>28211</t>
        </is>
      </c>
      <c r="B28337" s="4" t="s">
        <f>=HYPERLINK("http://anyluxury.ru/shop/sumki-i-ryukzaki/sumki-dlya-noutbuka/sumka-dlya-pokupok-erba-neo-100-hlopok-260-gm2-3540-cm-ruchki-603-sm-belaya-58011100/" , "58011.100 Сумка для покупок Erba NEO, белая")</f>
      </c>
      <c r="C28337" s="4" t="n">
        <v>550.00</v>
      </c>
      <c r="D28337" s="4"/>
    </row>
    <row collapsed="" customFormat="false" customHeight="1" hidden="" ht="14" outlineLevel="0" r="28338">
      <c r="A28338" s="3" t="inlineStr">
        <is>
          <t>28212</t>
        </is>
      </c>
      <c r="B28338" s="4" t="s">
        <f>=HYPERLINK("http://anyluxury.ru/shop/sumki-i-ryukzaki/sumki-dlya-noutbuka/sumka-dlya-pokupok-erba-neo-100-hlopok-260-gm2-3540-cm-ruchki-603-sm-sinyaya-58011030/" , "58011.030 Сумка для покупок Erba NEO, синяя")</f>
      </c>
      <c r="C28338" s="4" t="n">
        <v>550.00</v>
      </c>
      <c r="D28338" s="4"/>
    </row>
    <row collapsed="" customFormat="false" customHeight="1" hidden="" ht="14" outlineLevel="0" r="28339">
      <c r="A28339" s="3" t="inlineStr">
        <is>
          <t>28213</t>
        </is>
      </c>
      <c r="B28339" s="4" t="s">
        <f>=HYPERLINK("http://anyluxury.ru/shop/sumki-i-ryukzaki/sumki-dlya-noutbuka/ryukzak-dlya-noutbuka-impact-universal-iz-rpet-aware-p763081/" , "P763.081 Рюкзак для ноутбука Impact Universal из rPET AWARE™")</f>
      </c>
      <c r="C28339" s="4" t="n">
        <v>8894.00</v>
      </c>
      <c r="D28339" s="4"/>
    </row>
    <row collapsed="" customFormat="false" customHeight="1" hidden="" ht="14" outlineLevel="0" r="28340">
      <c r="A28340" s="3" t="inlineStr">
        <is>
          <t>28214</t>
        </is>
      </c>
      <c r="B28340" s="4" t="s">
        <f>=HYPERLINK("http://anyluxury.ru/shop/sumki-i-ryukzaki/sumki-dlya-noutbuka/ryukzak-vinga-bermond-iz-pererabotannogo-poliuretana-rcs-15-v703001/" , "V703001 Рюкзак VINGA Bermond из переработанного полиуретана RCS, 15’’")</f>
      </c>
      <c r="C28340" s="4" t="n">
        <v>6581.00</v>
      </c>
      <c r="D28340" s="4"/>
    </row>
    <row collapsed="" customFormat="false" customHeight="1" hidden="" ht="14" outlineLevel="0" r="28341">
      <c r="A28341" s="3" t="inlineStr">
        <is>
          <t>28215</t>
        </is>
      </c>
      <c r="B28341" s="4" t="s">
        <f>=HYPERLINK("http://anyluxury.ru/shop/sumki-i-ryukzaki/sumki-dlya-noutbuka/ryukzak-vinga-bermond-iz-pererabotannogo-poliuretana-rcs-15-v703009/" , "V703009 Рюкзак VINGA Bermond из переработанного полиуретана RCS, 15’’")</f>
      </c>
      <c r="C28341" s="4" t="n">
        <v>6581.00</v>
      </c>
      <c r="D28341" s="4"/>
    </row>
    <row collapsed="" customFormat="false" customHeight="1" hidden="" ht="14" outlineLevel="0" r="28342">
      <c r="A28342" s="3" t="inlineStr">
        <is>
          <t>28216</t>
        </is>
      </c>
      <c r="B28342" s="4" t="s">
        <f>=HYPERLINK("http://anyluxury.ru/shop/sumki-i-ryukzaki/sumki-dlya-noutbuka/sumka-dlya-noutbuka-xd-design-14-p706221/" , "P706.221 Сумка для ноутбука XD Design из rPET AWARE™, 14’’")</f>
      </c>
      <c r="C28342" s="4" t="n">
        <v>4447.00</v>
      </c>
      <c r="D28342" s="4"/>
    </row>
    <row collapsed="" customFormat="false" customHeight="1" hidden="" ht="14" outlineLevel="0" r="28343">
      <c r="A28343" s="3" t="inlineStr">
        <is>
          <t>28217</t>
        </is>
      </c>
      <c r="B28343" s="4" t="s">
        <f>=HYPERLINK("http://anyluxury.ru/shop/sumki-i-ryukzaki/sumki-dlya-noutbuka/sumka-dlya-noutbuka-xd-design-16-p706231/" , "P706.231 Сумка для ноутбука XD Design из rPET AWARE™, 16’’")</f>
      </c>
      <c r="C28343" s="4" t="n">
        <v>4800.00</v>
      </c>
      <c r="D28343" s="4"/>
    </row>
    <row collapsed="" customFormat="false" customHeight="1" hidden="" ht="14" outlineLevel="0" r="28344">
      <c r="A28344" s="3" t="inlineStr">
        <is>
          <t>28218</t>
        </is>
      </c>
      <c r="B28344" s="4" t="s">
        <f>=HYPERLINK("http://anyluxury.ru/shop/sumki-i-ryukzaki/sumki-dlya-noutbuka/sumka-dlya-noutbuka-santiago-chernaya-1657030/" , "16570.30 Сумка для ноутбука Santiago, черная")</f>
      </c>
      <c r="C28344" s="4" t="n">
        <v>15000.00</v>
      </c>
      <c r="D28344" s="4"/>
    </row>
    <row collapsed="" customFormat="false" customHeight="1" hidden="" ht="14" outlineLevel="0" r="28345">
      <c r="A28345" s="3" t="inlineStr">
        <is>
          <t>28219</t>
        </is>
      </c>
      <c r="B28345" s="4" t="s">
        <f>=HYPERLINK("http://anyluxury.ru/shop/sumki-i-ryukzaki/sumki-dlya-noutbuka/sumka-dlya-noutbuka-santiago-pockets-chernaya-1657130/" , "16571.30 Сумка для ноутбука Santiago Pockets, черная")</f>
      </c>
      <c r="C28345" s="4" t="n">
        <v>16000.00</v>
      </c>
      <c r="D28345" s="4"/>
    </row>
    <row collapsed="" customFormat="false" customHeight="1" hidden="" ht="14" outlineLevel="0" r="28346">
      <c r="A28346" s="3" t="inlineStr">
        <is>
          <t>28220</t>
        </is>
      </c>
      <c r="B28346" s="4" t="s">
        <f>=HYPERLINK("http://anyluxury.ru/shop/sumki-i-ryukzaki/sumki-dlya-noutbuka/sumka-dlya-noutbuka-burst-oneworld-seraya-1572510/" , "15725.10 Сумка для ноутбука Burst Oneworld, серая")</f>
      </c>
      <c r="C28346" s="4" t="n">
        <v>2583.00</v>
      </c>
      <c r="D28346" s="4"/>
    </row>
    <row collapsed="" customFormat="false" customHeight="1" hidden="" ht="14" outlineLevel="0" r="28347">
      <c r="A28347" s="3" t="inlineStr">
        <is>
          <t>28221</t>
        </is>
      </c>
      <c r="B28347" s="4" t="s">
        <f>=HYPERLINK("http://anyluxury.ru/shop/sumki-i-ryukzaki/sumki-dlya-noutbuka/sumka-dlya-noutbuka-armond-iz-rpet-aware-156-p732221/" , "P732.221 Сумка для ноутбука Armond из rPET AWARE™, 15,6”")</f>
      </c>
      <c r="C28347" s="4" t="n">
        <v>4447.00</v>
      </c>
      <c r="D28347" s="4"/>
    </row>
    <row collapsed="" customFormat="false" customHeight="1" hidden="" ht="14" outlineLevel="0" r="28348">
      <c r="A28348" s="3" t="inlineStr">
        <is>
          <t>28222</t>
        </is>
      </c>
      <c r="B28348" s="4" t="s">
        <f>=HYPERLINK("http://anyluxury.ru/shop/sumki-i-ryukzaki/sumki-dlya-noutbuka/sumka-dlya-noutbuka-armond-iz-rpet-aware-156-p732222/" , "P732.222 Сумка для ноутбука Armond из rPET AWARE™, 15,6”")</f>
      </c>
      <c r="C28348" s="4" t="n">
        <v>4447.00</v>
      </c>
      <c r="D28348" s="4"/>
    </row>
    <row collapsed="" customFormat="false" customHeight="1" hidden="" ht="14" outlineLevel="0" r="28349">
      <c r="A28349" s="3" t="inlineStr">
        <is>
          <t>28223</t>
        </is>
      </c>
      <c r="B28349" s="4" t="s">
        <f>=HYPERLINK("http://anyluxury.ru/shop/sumki-i-ryukzaki/sumki-dlya-noutbuka/sumka-dlya-noutbuka-armond-iz-rpet-aware-156-p732225/" , "P732.225 Сумка для ноутбука Armond из rPET AWARE™, 15,6”")</f>
      </c>
      <c r="C28349" s="4" t="n">
        <v>4447.00</v>
      </c>
      <c r="D28349" s="4"/>
    </row>
    <row collapsed="" customFormat="false" customHeight="" hidden="" ht="12.1" outlineLevel="0" r="28350">
      <c r="A28350" s="5" t="inlineStr">
        <is>
          <t> -  - Сумки для пикника</t>
        </is>
      </c>
      <c r="B28350" s="6"/>
      <c r="C28350" s="6"/>
      <c r="D28350" s="6"/>
    </row>
    <row collapsed="" customFormat="false" customHeight="1" hidden="" ht="14" outlineLevel="0" r="28351">
      <c r="A28351" s="3" t="inlineStr">
        <is>
          <t>28224</t>
        </is>
      </c>
      <c r="B28351" s="4" t="s">
        <f>=HYPERLINK("http://anyluxury.ru/shop/sumki-i-ryukzaki/sumki-dlya-piknika/sumka-kholodilnik-glacier-krasnaya-1/" , "2398.5 Сумка холодильник Glacier, красная")</f>
      </c>
      <c r="C28351" s="4" t="n">
        <v>599.00</v>
      </c>
      <c r="D28351" s="4"/>
    </row>
    <row collapsed="" customFormat="false" customHeight="1" hidden="" ht="14" outlineLevel="0" r="28352">
      <c r="A28352" s="3" t="inlineStr">
        <is>
          <t>28225</t>
        </is>
      </c>
      <c r="B28352" s="4" t="s">
        <f>=HYPERLINK("http://anyluxury.ru/shop/sumki-i-ryukzaki/sumki-dlya-piknika/sumka-kholodilnik-glacier-sinyaya-1/" , "2398.4 Сумка холодильник Glacier, синяя")</f>
      </c>
      <c r="C28352" s="4" t="n">
        <v>599.00</v>
      </c>
      <c r="D28352" s="4"/>
    </row>
    <row collapsed="" customFormat="false" customHeight="1" hidden="" ht="14" outlineLevel="0" r="28353">
      <c r="A28353" s="3" t="inlineStr">
        <is>
          <t>28226</t>
        </is>
      </c>
      <c r="B28353" s="4" t="s">
        <f>=HYPERLINK("http://anyluxury.ru/shop/sumki-i-ryukzaki/sumki-dlya-piknika/nabor-dlya-piknika-fridag-na-2-personi-3900/" , "3900 Набор для пикника Fridag на 2 персоны, серый с голубым")</f>
      </c>
      <c r="C28353" s="4" t="n">
        <v>7900.00</v>
      </c>
      <c r="D28353" s="4"/>
    </row>
    <row collapsed="" customFormat="false" customHeight="1" hidden="" ht="14" outlineLevel="0" r="28354">
      <c r="A28354" s="3" t="inlineStr">
        <is>
          <t>28227</t>
        </is>
      </c>
      <c r="B28354" s="4" t="s">
        <f>=HYPERLINK("http://anyluxury.ru/shop/sumki-i-ryukzaki/sumki-dlya-piknika/sumka-holodilnik-vardo-krasnaya-239650/" , "2396.50 Термосумка Vardo, красная")</f>
      </c>
      <c r="C28354" s="4" t="n">
        <v>620.00</v>
      </c>
      <c r="D28354" s="4"/>
    </row>
    <row collapsed="" customFormat="false" customHeight="1" hidden="" ht="14" outlineLevel="0" r="28355">
      <c r="A28355" s="3" t="inlineStr">
        <is>
          <t>28228</t>
        </is>
      </c>
      <c r="B28355" s="4" t="s">
        <f>=HYPERLINK("http://anyluxury.ru/shop/sumki-i-ryukzaki/sumki-dlya-piknika/sumka-holodilnik-vardo-sinyaya-239640/" , "2396.40 Термосумка Vardo, синяя")</f>
      </c>
      <c r="C28355" s="4" t="n">
        <v>620.00</v>
      </c>
      <c r="D28355" s="4"/>
    </row>
    <row collapsed="" customFormat="false" customHeight="1" hidden="" ht="14" outlineLevel="0" r="28356">
      <c r="A28356" s="3" t="inlineStr">
        <is>
          <t>28229</t>
        </is>
      </c>
      <c r="B28356" s="4" t="s">
        <f>=HYPERLINK("http://anyluxury.ru/shop/sumki-i-ryukzaki/sumki-dlya-piknika/sumka-holodilnik-glacier-krasnaya-239850/" , "2398.50 Термосумка Glacier, красная")</f>
      </c>
      <c r="C28356" s="4" t="n">
        <v>948.00</v>
      </c>
      <c r="D28356" s="4"/>
    </row>
    <row collapsed="" customFormat="false" customHeight="1" hidden="" ht="14" outlineLevel="0" r="28357">
      <c r="A28357" s="3" t="inlineStr">
        <is>
          <t>28230</t>
        </is>
      </c>
      <c r="B28357" s="4" t="s">
        <f>=HYPERLINK("http://anyluxury.ru/shop/sumki-i-ryukzaki/sumki-dlya-piknika/sumka-holodilnik-glacier-sinyaya-239840/" , "2398.40 Термосумка Glacier, синяя")</f>
      </c>
      <c r="C28357" s="4" t="n">
        <v>996.00</v>
      </c>
      <c r="D28357" s="4"/>
    </row>
    <row collapsed="" customFormat="false" customHeight="1" hidden="" ht="14" outlineLevel="0" r="28358">
      <c r="A28358" s="3" t="inlineStr">
        <is>
          <t>28231</t>
        </is>
      </c>
      <c r="B28358" s="4" t="s">
        <f>=HYPERLINK("http://anyluxury.ru/shop/sumki-i-ryukzaki/sumki-dlya-piknika/nabor-dlya-piknika-lilla-fridag-na-2-personi-seriy-s-sinim-707614/" , "7076.14 Набор для пикника Lilla Fridag на 2 персоны, серый с синим")</f>
      </c>
      <c r="C28358" s="4" t="n">
        <v>5900.00</v>
      </c>
      <c r="D28358" s="4"/>
    </row>
    <row collapsed="" customFormat="false" customHeight="1" hidden="" ht="14" outlineLevel="0" r="28359">
      <c r="A28359" s="3" t="inlineStr">
        <is>
          <t>28232</t>
        </is>
      </c>
      <c r="B28359" s="4" t="s">
        <f>=HYPERLINK("http://anyluxury.ru/shop/sumki-i-ryukzaki/sumki-dlya-piknika/izotermicheskiy-ryukzak-liten-fest-seriy-s-sinim-707714/" , "7077.14 Терморюкзак Liten Fest, серый с синим")</f>
      </c>
      <c r="C28359" s="4" t="n">
        <v>2290.00</v>
      </c>
      <c r="D28359" s="4"/>
    </row>
    <row collapsed="" customFormat="false" customHeight="1" hidden="" ht="14" outlineLevel="0" r="28360">
      <c r="A28360" s="3" t="inlineStr">
        <is>
          <t>28233</t>
        </is>
      </c>
      <c r="B28360" s="4" t="s">
        <f>=HYPERLINK("http://anyluxury.ru/shop/sumki-i-ryukzaki/sumki-dlya-piknika/ryukzakholodilnik-tierra-p733081/" , "P733.081 Рюкзак-холодильник Tierra")</f>
      </c>
      <c r="C28360" s="4" t="n">
        <v>3375.00</v>
      </c>
      <c r="D28360" s="4"/>
    </row>
    <row collapsed="" customFormat="false" customHeight="1" hidden="" ht="14" outlineLevel="0" r="28361">
      <c r="A28361" s="3" t="inlineStr">
        <is>
          <t>28234</t>
        </is>
      </c>
      <c r="B28361" s="4" t="s">
        <f>=HYPERLINK("http://anyluxury.ru/shop/sumki-i-ryukzaki/sumki-dlya-piknika/izotermicheskaya-sumka-burst-oneworld-1242310/" , "12423.10 Термосумка Burst Oneworld, серая")</f>
      </c>
      <c r="C28361" s="4" t="n">
        <v>1180.00</v>
      </c>
      <c r="D28361" s="4"/>
    </row>
    <row collapsed="" customFormat="false" customHeight="1" hidden="" ht="14" outlineLevel="0" r="28362">
      <c r="A28362" s="3" t="inlineStr">
        <is>
          <t>28235</t>
        </is>
      </c>
      <c r="B28362" s="4" t="s">
        <f>=HYPERLINK("http://anyluxury.ru/shop/sumki-i-ryukzaki/sumki-dlya-piknika/akkumulyator-holoda-thermos-freezing-board-13260/" , "13260 Аккумулятор холода Thermos Freezing Board")</f>
      </c>
      <c r="C28362" s="4" t="n">
        <v>298.00</v>
      </c>
      <c r="D28362" s="4"/>
    </row>
    <row collapsed="" customFormat="false" customHeight="1" hidden="" ht="14" outlineLevel="0" r="28363">
      <c r="A28363" s="3" t="inlineStr">
        <is>
          <t>28236</t>
        </is>
      </c>
      <c r="B28363" s="4" t="s">
        <f>=HYPERLINK("http://anyluxury.ru/shop/sumki-i-ryukzaki/sumki-dlya-piknika/termosumka-thermos-classic-12-can-cooler-biryuzovaya-1326240/" , "13262.40 Термосумка Thermos Classic 12 Can Cooler, бирюзовая")</f>
      </c>
      <c r="C28363" s="4" t="n">
        <v>2178.00</v>
      </c>
      <c r="D28363" s="4"/>
    </row>
    <row collapsed="" customFormat="false" customHeight="1" hidden="" ht="14" outlineLevel="0" r="28364">
      <c r="A28364" s="3" t="inlineStr">
        <is>
          <t>28237</t>
        </is>
      </c>
      <c r="B28364" s="4" t="s">
        <f>=HYPERLINK("http://anyluxury.ru/shop/sumki-i-ryukzaki/sumki-dlya-piknika/izotermicheskiy-ryukzak-liten-fest-seriy-s-temnosinim-707741/" , "7077.41 Терморюкзак Liten Fest, серый с темно-синим")</f>
      </c>
      <c r="C28364" s="4" t="n">
        <v>2290.00</v>
      </c>
      <c r="D28364" s="4"/>
    </row>
    <row collapsed="" customFormat="false" customHeight="1" hidden="" ht="14" outlineLevel="0" r="28365">
      <c r="A28365" s="3" t="inlineStr">
        <is>
          <t>28238</t>
        </is>
      </c>
      <c r="B28365" s="4" t="s">
        <f>=HYPERLINK("http://anyluxury.ru/shop/sumki-i-ryukzaki/sumki-dlya-piknika/nabor-dlya-piknika-fridag-na-2-personi-temnosiniy-s-serim-390041/" , "3900.41 Набор для пикника Fridag на 2 персоны, темно-синий с серым")</f>
      </c>
      <c r="C28365" s="4" t="n">
        <v>7900.00</v>
      </c>
      <c r="D28365" s="4"/>
    </row>
    <row collapsed="" customFormat="false" customHeight="1" hidden="" ht="14" outlineLevel="0" r="28366">
      <c r="A28366" s="3" t="inlineStr">
        <is>
          <t>28239</t>
        </is>
      </c>
      <c r="B28366" s="4" t="s">
        <f>=HYPERLINK("http://anyluxury.ru/shop/sumki-i-ryukzaki/sumki-dlya-piknika/skladnaya-sumkaholodilnik-coast-sinyaya-1329840/" , "13298.40 Складная термосумка Coast, синяя")</f>
      </c>
      <c r="C28366" s="4" t="n">
        <v>4468.00</v>
      </c>
      <c r="D28366" s="4"/>
    </row>
    <row collapsed="" customFormat="false" customHeight="1" hidden="" ht="14" outlineLevel="0" r="28367">
      <c r="A28367" s="3" t="inlineStr">
        <is>
          <t>28240</t>
        </is>
      </c>
      <c r="B28367" s="4" t="s">
        <f>=HYPERLINK("http://anyluxury.ru/shop/sumki-i-ryukzaki/sumki-dlya-piknika/skladnaya-sumkaholodilnik-coast-bordovaya-1329850/" , "13298.50 Складная термосумка Coast, бордовая")</f>
      </c>
      <c r="C28367" s="4" t="n">
        <v>4468.00</v>
      </c>
      <c r="D28367" s="4"/>
    </row>
    <row collapsed="" customFormat="false" customHeight="1" hidden="" ht="14" outlineLevel="0" r="28368">
      <c r="A28368" s="3" t="inlineStr">
        <is>
          <t>28241</t>
        </is>
      </c>
      <c r="B28368" s="4" t="s">
        <f>=HYPERLINK("http://anyluxury.ru/shop/sumki-i-ryukzaki/sumki-dlya-piknika/termosumka-coolerbag-chernaya-1341030/" , "13410.30 Термосумка Coolerbag, черная")</f>
      </c>
      <c r="C28368" s="4" t="n">
        <v>4550.00</v>
      </c>
      <c r="D28368" s="4"/>
    </row>
    <row collapsed="" customFormat="false" customHeight="1" hidden="" ht="14" outlineLevel="0" r="28369">
      <c r="A28369" s="3" t="inlineStr">
        <is>
          <t>28242</t>
        </is>
      </c>
      <c r="B28369" s="4" t="s">
        <f>=HYPERLINK("http://anyluxury.ru/shop/sumki-i-ryukzaki/sumki-dlya-piknika/termosumka-coolerbag-krasnaya-1341050/" , "13410.50 Термосумка Coolerbag, красная")</f>
      </c>
      <c r="C28369" s="4" t="n">
        <v>4550.00</v>
      </c>
      <c r="D28369" s="4"/>
    </row>
    <row collapsed="" customFormat="false" customHeight="1" hidden="" ht="14" outlineLevel="0" r="28370">
      <c r="A28370" s="3" t="inlineStr">
        <is>
          <t>28243</t>
        </is>
      </c>
      <c r="B28370" s="4" t="s">
        <f>=HYPERLINK("http://anyluxury.ru/shop/sumki-i-ryukzaki/sumki-dlya-piknika/termosumka-coolerbag-twist-seriy-melanzh-1341410/" , "13414.10 Термосумка Coolerbag Twist, серый меланж")</f>
      </c>
      <c r="C28370" s="4" t="n">
        <v>4990.00</v>
      </c>
      <c r="D28370" s="4"/>
    </row>
    <row collapsed="" customFormat="false" customHeight="1" hidden="" ht="14" outlineLevel="0" r="28371">
      <c r="A28371" s="3" t="inlineStr">
        <is>
          <t>28244</t>
        </is>
      </c>
      <c r="B28371" s="4" t="s">
        <f>=HYPERLINK("http://anyluxury.ru/shop/sumki-i-ryukzaki/sumki-dlya-piknika/termosumka-coolerbag-twist-siniy-melanzh-1341440/" , "13414.40 Термосумка Coolerbag Twist, синий меланж")</f>
      </c>
      <c r="C28371" s="4" t="n">
        <v>5150.00</v>
      </c>
      <c r="D28371" s="4"/>
    </row>
    <row collapsed="" customFormat="false" customHeight="1" hidden="" ht="14" outlineLevel="0" r="28372">
      <c r="A28372" s="3" t="inlineStr">
        <is>
          <t>28245</t>
        </is>
      </c>
      <c r="B28372" s="4" t="s">
        <f>=HYPERLINK("http://anyluxury.ru/shop/sumki-i-ryukzaki/sumki-dlya-piknika/termosumka-coolerbag-m-sinyaya-1341140/" , "13411.40 Термосумка Coolerbag M, синяя")</f>
      </c>
      <c r="C28372" s="4" t="n">
        <v>3100.00</v>
      </c>
      <c r="D28372" s="4"/>
    </row>
    <row collapsed="" customFormat="false" customHeight="1" hidden="" ht="14" outlineLevel="0" r="28373">
      <c r="A28373" s="3" t="inlineStr">
        <is>
          <t>28246</t>
        </is>
      </c>
      <c r="B28373" s="4" t="s">
        <f>=HYPERLINK("http://anyluxury.ru/shop/sumki-i-ryukzaki/sumki-dlya-piknika/termosumka-coolerbag-m-chernaya-1341130/" , "13411.30 Термосумка Coolerbag M, черная")</f>
      </c>
      <c r="C28373" s="4" t="n">
        <v>3100.00</v>
      </c>
      <c r="D28373" s="4"/>
    </row>
    <row collapsed="" customFormat="false" customHeight="1" hidden="" ht="14" outlineLevel="0" r="28374">
      <c r="A28374" s="3" t="inlineStr">
        <is>
          <t>28247</t>
        </is>
      </c>
      <c r="B28374" s="4" t="s">
        <f>=HYPERLINK("http://anyluxury.ru/shop/sumki-i-ryukzaki/sumki-dlya-piknika/termosumka-coolerbag-s-chernaya-1341230/" , "13412.30 Термосумка Coolerbag S, черная")</f>
      </c>
      <c r="C28374" s="4" t="n">
        <v>2590.00</v>
      </c>
      <c r="D28374" s="4"/>
    </row>
    <row collapsed="" customFormat="false" customHeight="1" hidden="" ht="14" outlineLevel="0" r="28375">
      <c r="A28375" s="3" t="inlineStr">
        <is>
          <t>28248</t>
        </is>
      </c>
      <c r="B28375" s="4" t="s">
        <f>=HYPERLINK("http://anyluxury.ru/shop/sumki-i-ryukzaki/sumki-dlya-piknika/termosumka-coolerbag-s-sinyaya-1341240/" , "13412.40 Термосумка Coolerbag S, синяя")</f>
      </c>
      <c r="C28375" s="4" t="n">
        <v>2590.00</v>
      </c>
      <c r="D28375" s="4"/>
    </row>
    <row collapsed="" customFormat="false" customHeight="1" hidden="" ht="14" outlineLevel="0" r="28376">
      <c r="A28376" s="3" t="inlineStr">
        <is>
          <t>28249</t>
        </is>
      </c>
      <c r="B28376" s="4" t="s">
        <f>=HYPERLINK("http://anyluxury.ru/shop/sumki-i-ryukzaki/sumki-dlya-piknika/ryukzakholodilnik-hiking-10l-p733072/" , "P733.072 Рюкзак-холодильник Hiking, 10л")</f>
      </c>
      <c r="C28376" s="4" t="n">
        <v>3022.00</v>
      </c>
      <c r="D28376" s="4"/>
    </row>
    <row collapsed="" customFormat="false" customHeight="1" hidden="" ht="14" outlineLevel="0" r="28377">
      <c r="A28377" s="3" t="inlineStr">
        <is>
          <t>28250</t>
        </is>
      </c>
      <c r="B28377" s="4" t="s">
        <f>=HYPERLINK("http://anyluxury.ru/shop/sumki-i-ryukzaki/sumki-dlya-piknika/ryukzakholodilnik-hiking-10l-p733075/" , "P733.075 Рюкзак-холодильник Hiking, 10л")</f>
      </c>
      <c r="C28377" s="4" t="n">
        <v>3022.00</v>
      </c>
      <c r="D28377" s="4"/>
    </row>
    <row collapsed="" customFormat="false" customHeight="1" hidden="" ht="14" outlineLevel="0" r="28378">
      <c r="A28378" s="3" t="inlineStr">
        <is>
          <t>28251</t>
        </is>
      </c>
      <c r="B28378" s="4" t="s">
        <f>=HYPERLINK("http://anyluxury.ru/shop/sumki-i-ryukzaki/sumki-dlya-piknika/sumkaholodilnik-port-dikson-m-chernaya-1367830/" , "13678.30 Сумка-холодильник «Порт Диксон», M, черная")</f>
      </c>
      <c r="C28378" s="4" t="n">
        <v>4986.00</v>
      </c>
      <c r="D28378" s="4"/>
    </row>
    <row collapsed="" customFormat="false" customHeight="1" hidden="" ht="14" outlineLevel="0" r="28379">
      <c r="A28379" s="3" t="inlineStr">
        <is>
          <t>28252</t>
        </is>
      </c>
      <c r="B28379" s="4" t="s">
        <f>=HYPERLINK("http://anyluxury.ru/shop/sumki-i-ryukzaki/sumki-dlya-piknika/sumkaholodilnik-port-dikson-l-chernaya-1367930/" , "13679.30 Сумка-холодильник «Порт Диксон», L, черная")</f>
      </c>
      <c r="C28379" s="4" t="n">
        <v>4560.00</v>
      </c>
      <c r="D28379" s="4"/>
    </row>
    <row collapsed="" customFormat="false" customHeight="1" hidden="" ht="14" outlineLevel="0" r="28380">
      <c r="A28380" s="3" t="inlineStr">
        <is>
          <t>28253</t>
        </is>
      </c>
      <c r="B28380" s="4" t="s">
        <f>=HYPERLINK("http://anyluxury.ru/shop/sumki-i-ryukzaki/sumki-dlya-piknika/sumkaholodilnik-port-dikson-xl-chernaya-1368030/" , "13680.30 Сумка-холодильник «Порт Диксон», XL, черная")</f>
      </c>
      <c r="C28380" s="4" t="n">
        <v>6310.00</v>
      </c>
      <c r="D28380" s="4"/>
    </row>
    <row collapsed="" customFormat="false" customHeight="1" hidden="" ht="14" outlineLevel="0" r="28381">
      <c r="A28381" s="3" t="inlineStr">
        <is>
          <t>28254</t>
        </is>
      </c>
      <c r="B28381" s="4" t="s">
        <f>=HYPERLINK("http://anyluxury.ru/shop/sumki-i-ryukzaki/sumki-dlya-piknika/nabor-dlya-piknika-arktika-na-4-personi-siniy-1365640/" , "13656.40 Набор для пикника «Арктика» на 4 персоны, синий")</f>
      </c>
      <c r="C28381" s="4" t="n">
        <v>3925.00</v>
      </c>
      <c r="D28381" s="4"/>
    </row>
    <row collapsed="" customFormat="false" customHeight="1" hidden="" ht="14" outlineLevel="0" r="28382">
      <c r="A28382" s="3" t="inlineStr">
        <is>
          <t>28255</t>
        </is>
      </c>
      <c r="B28382" s="4" t="s">
        <f>=HYPERLINK("http://anyluxury.ru/shop/sumki-i-ryukzaki/sumki-dlya-piknika/akkumulyator-holoda-arktika-300-13673/" , "13673 Аккумулятор температуры «Арктика 300»")</f>
      </c>
      <c r="C28382" s="4" t="n">
        <v>235.00</v>
      </c>
      <c r="D28382" s="4"/>
    </row>
    <row collapsed="" customFormat="false" customHeight="1" hidden="" ht="14" outlineLevel="0" r="28383">
      <c r="A28383" s="3" t="inlineStr">
        <is>
          <t>28256</t>
        </is>
      </c>
      <c r="B28383" s="4" t="s">
        <f>=HYPERLINK("http://anyluxury.ru/shop/sumki-i-ryukzaki/sumki-dlya-piknika/akkumulyator-holoda-arktika-500-13674/" , "13674 Аккумулятор температуры «Арктика 500»")</f>
      </c>
      <c r="C28383" s="4" t="n">
        <v>276.00</v>
      </c>
      <c r="D28383" s="4"/>
    </row>
    <row collapsed="" customFormat="false" customHeight="1" hidden="" ht="14" outlineLevel="0" r="28384">
      <c r="A28384" s="3" t="inlineStr">
        <is>
          <t>28257</t>
        </is>
      </c>
      <c r="B28384" s="4" t="s">
        <f>=HYPERLINK("http://anyluxury.ru/shop/sumki-i-ryukzaki/sumki-dlya-piknika/sumkaholodilnik-arktika-s-zelenaya-1367590/" , "13675.90 Термосумка «Арктика», S, зеленая")</f>
      </c>
      <c r="C28384" s="4" t="n">
        <v>1490.00</v>
      </c>
      <c r="D28384" s="4"/>
    </row>
    <row collapsed="" customFormat="false" customHeight="1" hidden="" ht="14" outlineLevel="0" r="28385">
      <c r="A28385" s="3" t="inlineStr">
        <is>
          <t>28258</t>
        </is>
      </c>
      <c r="B28385" s="4" t="s">
        <f>=HYPERLINK("http://anyluxury.ru/shop/sumki-i-ryukzaki/sumki-dlya-piknika/sumkaholodilnik-arktika-s-sinyaya-1367540/" , "13675.40 Термосумка «Арктика», S, синяя")</f>
      </c>
      <c r="C28385" s="4" t="n">
        <v>1490.00</v>
      </c>
      <c r="D28385" s="4"/>
    </row>
    <row collapsed="" customFormat="false" customHeight="1" hidden="" ht="14" outlineLevel="0" r="28386">
      <c r="A28386" s="3" t="inlineStr">
        <is>
          <t>28259</t>
        </is>
      </c>
      <c r="B28386" s="4" t="s">
        <f>=HYPERLINK("http://anyluxury.ru/shop/sumki-i-ryukzaki/sumki-dlya-piknika/sumkaholodilnik-s-lyukom-arktika-m-zelenaya-1367690/" , "13676.90 Термосумка с люком «Арктика», M, зеленая")</f>
      </c>
      <c r="C28386" s="4" t="n">
        <v>2259.00</v>
      </c>
      <c r="D28386" s="4"/>
    </row>
    <row collapsed="" customFormat="false" customHeight="1" hidden="" ht="14" outlineLevel="0" r="28387">
      <c r="A28387" s="3" t="inlineStr">
        <is>
          <t>28260</t>
        </is>
      </c>
      <c r="B28387" s="4" t="s">
        <f>=HYPERLINK("http://anyluxury.ru/shop/sumki-i-ryukzaki/sumki-dlya-piknika/sumkaholodilnik-s-lyukom-arktika-m-sinyaya-1367640/" , "13676.40 Термосумка с люком «Арктика», M, синяя")</f>
      </c>
      <c r="C28387" s="4" t="n">
        <v>2259.00</v>
      </c>
      <c r="D28387" s="4"/>
    </row>
    <row collapsed="" customFormat="false" customHeight="1" hidden="" ht="14" outlineLevel="0" r="28388">
      <c r="A28388" s="3" t="inlineStr">
        <is>
          <t>28261</t>
        </is>
      </c>
      <c r="B28388" s="4" t="s">
        <f>=HYPERLINK("http://anyluxury.ru/shop/sumki-i-ryukzaki/sumki-dlya-piknika/sumkaholodilnik-s-lyukom-arktika-l-zelenaya-1367790/" , "13677.90 Термосумка с люком «Арктика», L, зеленая")</f>
      </c>
      <c r="C28388" s="4" t="n">
        <v>2104.00</v>
      </c>
      <c r="D28388" s="4"/>
    </row>
    <row collapsed="" customFormat="false" customHeight="1" hidden="" ht="14" outlineLevel="0" r="28389">
      <c r="A28389" s="3" t="inlineStr">
        <is>
          <t>28262</t>
        </is>
      </c>
      <c r="B28389" s="4" t="s">
        <f>=HYPERLINK("http://anyluxury.ru/shop/sumki-i-ryukzaki/sumki-dlya-piknika/sumkaholodilnik-s-lyukom-arktika-l-sinyaya-1367740/" , "13677.40 Термосумка с люком «Арктика», L, синяя")</f>
      </c>
      <c r="C28389" s="4" t="n">
        <v>2420.00</v>
      </c>
      <c r="D28389" s="4"/>
    </row>
    <row collapsed="" customFormat="false" customHeight="1" hidden="" ht="14" outlineLevel="0" r="28390">
      <c r="A28390" s="3" t="inlineStr">
        <is>
          <t>28263</t>
        </is>
      </c>
      <c r="B28390" s="4" t="s">
        <f>=HYPERLINK("http://anyluxury.ru/shop/sumki-i-ryukzaki/sumki-dlya-piknika/izotermicheskiy-konteyner-arktika-s-biryuzoviy-1368149/" , "13681.49 Термоконтейнер «Арктика», S, бирюзовый")</f>
      </c>
      <c r="C28390" s="4" t="n">
        <v>2933.00</v>
      </c>
      <c r="D28390" s="4"/>
    </row>
    <row collapsed="" customFormat="false" customHeight="1" hidden="" ht="14" outlineLevel="0" r="28391">
      <c r="A28391" s="3" t="inlineStr">
        <is>
          <t>28264</t>
        </is>
      </c>
      <c r="B28391" s="4" t="s">
        <f>=HYPERLINK("http://anyluxury.ru/shop/sumki-i-ryukzaki/sumki-dlya-piknika/izotermicheskiy-konteyner-arktika-s-siniy-1368140/" , "13681.40 Термоконтейнер «Арктика», S, синий")</f>
      </c>
      <c r="C28391" s="4" t="n">
        <v>2933.00</v>
      </c>
      <c r="D28391" s="4"/>
    </row>
    <row collapsed="" customFormat="false" customHeight="1" hidden="" ht="14" outlineLevel="0" r="28392">
      <c r="A28392" s="3" t="inlineStr">
        <is>
          <t>28265</t>
        </is>
      </c>
      <c r="B28392" s="4" t="s">
        <f>=HYPERLINK("http://anyluxury.ru/shop/sumki-i-ryukzaki/sumki-dlya-piknika/izotermicheskiy-konteyner-arktika-m-biryuzoviy-1365449/" , "13654.49 Термоконтейнер «Арктика», M, бирюзовый")</f>
      </c>
      <c r="C28392" s="4" t="n">
        <v>4517.00</v>
      </c>
      <c r="D28392" s="4"/>
    </row>
    <row collapsed="" customFormat="false" customHeight="1" hidden="" ht="14" outlineLevel="0" r="28393">
      <c r="A28393" s="3" t="inlineStr">
        <is>
          <t>28266</t>
        </is>
      </c>
      <c r="B28393" s="4" t="s">
        <f>=HYPERLINK("http://anyluxury.ru/shop/sumki-i-ryukzaki/sumki-dlya-piknika/izotermicheskiy-konteyner-arktika-m-siniy-1365440/" , "13654.40 Термоконтейнер «Арктика», M, синий")</f>
      </c>
      <c r="C28393" s="4" t="n">
        <v>4517.00</v>
      </c>
      <c r="D28393" s="4"/>
    </row>
    <row collapsed="" customFormat="false" customHeight="1" hidden="" ht="14" outlineLevel="0" r="28394">
      <c r="A28394" s="3" t="inlineStr">
        <is>
          <t>28267</t>
        </is>
      </c>
      <c r="B28394" s="4" t="s">
        <f>=HYPERLINK("http://anyluxury.ru/shop/sumki-i-ryukzaki/sumki-dlya-piknika/izotermicheskiy-konteyner-arktika-l-biryuzoviy-1365549/" , "13655.49 Термоконтейнер «Арктика», L, бирюзовый")</f>
      </c>
      <c r="C28394" s="4" t="n">
        <v>5017.00</v>
      </c>
      <c r="D28394" s="4"/>
    </row>
    <row collapsed="" customFormat="false" customHeight="1" hidden="" ht="14" outlineLevel="0" r="28395">
      <c r="A28395" s="3" t="inlineStr">
        <is>
          <t>28268</t>
        </is>
      </c>
      <c r="B28395" s="4" t="s">
        <f>=HYPERLINK("http://anyluxury.ru/shop/sumki-i-ryukzaki/sumki-dlya-piknika/izotermicheskiy-konteyner-arktika-l-siniy-1365540/" , "13655.40 Термоконтейнер «Арктика», L, синий")</f>
      </c>
      <c r="C28395" s="4" t="n">
        <v>5017.00</v>
      </c>
      <c r="D28395" s="4"/>
    </row>
    <row collapsed="" customFormat="false" customHeight="1" hidden="" ht="14" outlineLevel="0" r="28396">
      <c r="A28396" s="3" t="inlineStr">
        <is>
          <t>28269</t>
        </is>
      </c>
      <c r="B28396" s="4" t="s">
        <f>=HYPERLINK("http://anyluxury.ru/shop/sumki-i-ryukzaki/sumki-dlya-piknika/termosumka-bartolo-sinyaya-1365140/" , "13651.40 Термосумка Bartolo, синяя")</f>
      </c>
      <c r="C28396" s="4" t="n">
        <v>1731.00</v>
      </c>
      <c r="D28396" s="4"/>
    </row>
    <row collapsed="" customFormat="false" customHeight="1" hidden="" ht="14" outlineLevel="0" r="28397">
      <c r="A28397" s="3" t="inlineStr">
        <is>
          <t>28270</t>
        </is>
      </c>
      <c r="B28397" s="4" t="s">
        <f>=HYPERLINK("http://anyluxury.ru/shop/sumki-i-ryukzaki/sumki-dlya-piknika/termosumka-s-lanchboksom-smakk-seraya-1365210/" , "13652.10 Термосумка с ланчбоксом Smakk, серая")</f>
      </c>
      <c r="C28397" s="4" t="n">
        <v>1999.00</v>
      </c>
      <c r="D28397" s="4"/>
    </row>
    <row collapsed="" customFormat="false" customHeight="1" hidden="" ht="14" outlineLevel="0" r="28398">
      <c r="A28398" s="3" t="inlineStr">
        <is>
          <t>28271</t>
        </is>
      </c>
      <c r="B28398" s="4" t="s">
        <f>=HYPERLINK("http://anyluxury.ru/shop/sumki-i-ryukzaki/sumki-dlya-piknika/poyasnaya-sumka-s-termovstavkoy-vikbelt-seraya-1365310/" , "13653.10 Поясная сумка с термовставкой Vikbelt, серая")</f>
      </c>
      <c r="C28398" s="4" t="n">
        <v>2304.00</v>
      </c>
      <c r="D28398" s="4"/>
    </row>
    <row collapsed="" customFormat="false" customHeight="1" hidden="" ht="14" outlineLevel="0" r="28399">
      <c r="A28399" s="3" t="inlineStr">
        <is>
          <t>28272</t>
        </is>
      </c>
      <c r="B28399" s="4" t="s">
        <f>=HYPERLINK("http://anyluxury.ru/shop/sumki-i-ryukzaki/sumki-dlya-piknika/ryukzakholodilnik-swiss-peak-iz-rpet-aware-1200d-p422431/" , "P422.431 Рюкзак-холодильник Swiss Peak из RPET AWARE™ 1200D")</f>
      </c>
      <c r="C28399" s="4" t="n">
        <v>5331.00</v>
      </c>
      <c r="D28399" s="4"/>
    </row>
    <row collapsed="" customFormat="false" customHeight="1" hidden="" ht="14" outlineLevel="0" r="28400">
      <c r="A28400" s="3" t="inlineStr">
        <is>
          <t>28273</t>
        </is>
      </c>
      <c r="B28400" s="4" t="s">
        <f>=HYPERLINK("http://anyluxury.ru/shop/sumki-i-ryukzaki/sumki-dlya-piknika/ryukzakholodilnik-vinga-sortino-iz-rpet-51101/" , "51101 Рюкзак-холодильник VINGA Sortino из rPET")</f>
      </c>
      <c r="C28400" s="4" t="n">
        <v>4978.00</v>
      </c>
      <c r="D28400" s="4"/>
    </row>
    <row collapsed="" customFormat="false" customHeight="1" hidden="" ht="14" outlineLevel="0" r="28401">
      <c r="A28401" s="3" t="inlineStr">
        <is>
          <t>28274</t>
        </is>
      </c>
      <c r="B28401" s="4" t="s">
        <f>=HYPERLINK("http://anyluxury.ru/shop/sumki-i-ryukzaki/sumki-dlya-piknika/ryukzakholodilnik-vinga-sortino-iz-rpet-51103/" , "51103 Рюкзак-холодильник VINGA Sortino из rPET")</f>
      </c>
      <c r="C28401" s="4" t="n">
        <v>4978.00</v>
      </c>
      <c r="D28401" s="4"/>
    </row>
    <row collapsed="" customFormat="false" customHeight="1" hidden="" ht="14" outlineLevel="0" r="28402">
      <c r="A28402" s="3" t="inlineStr">
        <is>
          <t>28275</t>
        </is>
      </c>
      <c r="B28402" s="4" t="s">
        <f>=HYPERLINK("http://anyluxury.ru/shop/sumki-i-ryukzaki/sumki-dlya-piknika/ryukzakholodilnik-vinga-parks-5180/" , "5180 Рюкзак-холодильник VINGA Parks")</f>
      </c>
      <c r="C28402" s="4" t="n">
        <v>4800.00</v>
      </c>
      <c r="D28402" s="4"/>
    </row>
    <row collapsed="" customFormat="false" customHeight="1" hidden="" ht="14" outlineLevel="0" r="28403">
      <c r="A28403" s="3" t="inlineStr">
        <is>
          <t>28276</t>
        </is>
      </c>
      <c r="B28403" s="4" t="s">
        <f>=HYPERLINK("http://anyluxury.ru/shop/sumki-i-ryukzaki/sumki-dlya-piknika/ryukzakholodilnik-vinga-parks-5580/" , "5580 Рюкзак-холодильник VINGA Parks")</f>
      </c>
      <c r="C28403" s="4" t="n">
        <v>4800.00</v>
      </c>
      <c r="D28403" s="4"/>
    </row>
    <row collapsed="" customFormat="false" customHeight="1" hidden="" ht="14" outlineLevel="0" r="28404">
      <c r="A28404" s="3" t="inlineStr">
        <is>
          <t>28277</t>
        </is>
      </c>
      <c r="B28404" s="4" t="s">
        <f>=HYPERLINK("http://anyluxury.ru/shop/sumki-i-ryukzaki/sumki-dlya-piknika/sumkaholodilnik-vinga-sortino-iz-rpet-51201/" , "51201 Сумка-холодильник VINGA Sortino из rPET")</f>
      </c>
      <c r="C28404" s="4" t="n">
        <v>4625.00</v>
      </c>
      <c r="D28404" s="4"/>
    </row>
    <row collapsed="" customFormat="false" customHeight="1" hidden="" ht="14" outlineLevel="0" r="28405">
      <c r="A28405" s="3" t="inlineStr">
        <is>
          <t>28278</t>
        </is>
      </c>
      <c r="B28405" s="4" t="s">
        <f>=HYPERLINK("http://anyluxury.ru/shop/sumki-i-ryukzaki/sumki-dlya-piknika/sumkaholodilnik-vinga-sortino-iz-rpet-51203/" , "51203 Сумка-холодильник VINGA Sortino из rPET")</f>
      </c>
      <c r="C28405" s="4" t="n">
        <v>4625.00</v>
      </c>
      <c r="D28405" s="4"/>
    </row>
    <row collapsed="" customFormat="false" customHeight="1" hidden="" ht="14" outlineLevel="0" r="28406">
      <c r="A28406" s="3" t="inlineStr">
        <is>
          <t>28279</t>
        </is>
      </c>
      <c r="B28406" s="4" t="s">
        <f>=HYPERLINK("http://anyluxury.ru/shop/sumki-i-ryukzaki/sumki-dlya-piknika/sumkaholodilnik-vinga-sortino-iz-rpet-51342/" , "51342 Сумка-холодильник VINGA Sortino из rPET")</f>
      </c>
      <c r="C28406" s="4" t="n">
        <v>3375.00</v>
      </c>
      <c r="D28406" s="4"/>
    </row>
    <row collapsed="" customFormat="false" customHeight="1" hidden="" ht="14" outlineLevel="0" r="28407">
      <c r="A28407" s="3" t="inlineStr">
        <is>
          <t>28280</t>
        </is>
      </c>
      <c r="B28407" s="4" t="s">
        <f>=HYPERLINK("http://anyluxury.ru/shop/sumki-i-ryukzaki/sumki-dlya-piknika/sumkaholodilnik-vinga-sortino-iz-rpet-51343/" , "51343 Сумка-холодильник VINGA Sortino из rPET")</f>
      </c>
      <c r="C28407" s="4" t="n">
        <v>3375.00</v>
      </c>
      <c r="D28407" s="4"/>
    </row>
    <row collapsed="" customFormat="false" customHeight="1" hidden="" ht="14" outlineLevel="0" r="28408">
      <c r="A28408" s="3" t="inlineStr">
        <is>
          <t>28281</t>
        </is>
      </c>
      <c r="B28408" s="4" t="s">
        <f>=HYPERLINK("http://anyluxury.ru/shop/sumki-i-ryukzaki/sumki-dlya-piknika/ryukzakholodilnik-vinga-sortino-iz-rpet-52101/" , "52101 Рюкзак-холодильник VINGA Sortino из rPET")</f>
      </c>
      <c r="C28408" s="4" t="n">
        <v>5331.00</v>
      </c>
      <c r="D28408" s="4"/>
    </row>
    <row collapsed="" customFormat="false" customHeight="1" hidden="" ht="14" outlineLevel="0" r="28409">
      <c r="A28409" s="3" t="inlineStr">
        <is>
          <t>28282</t>
        </is>
      </c>
      <c r="B28409" s="4" t="s">
        <f>=HYPERLINK("http://anyluxury.ru/shop/sumki-i-ryukzaki/sumki-dlya-piknika/ryukzakholodilnik-vinga-sortino-iz-rpet-52103/" , "52103 Рюкзак-холодильник VINGA Sortino из rPET")</f>
      </c>
      <c r="C28409" s="4" t="n">
        <v>5331.00</v>
      </c>
      <c r="D28409" s="4"/>
    </row>
    <row collapsed="" customFormat="false" customHeight="1" hidden="" ht="14" outlineLevel="0" r="28410">
      <c r="A28410" s="3" t="inlineStr">
        <is>
          <t>28283</t>
        </is>
      </c>
      <c r="B28410" s="4" t="s">
        <f>=HYPERLINK("http://anyluxury.ru/shop/sumki-i-ryukzaki/sumki-dlya-piknika/ryukzakholodilnik-vinga-baltimore-501418/" , "501418 Рюкзак-холодильник VINGA Baltimore")</f>
      </c>
      <c r="C28410" s="4" t="n">
        <v>5872.00</v>
      </c>
      <c r="D28410" s="4"/>
    </row>
    <row collapsed="" customFormat="false" customHeight="1" hidden="" ht="14" outlineLevel="0" r="28411">
      <c r="A28411" s="3" t="inlineStr">
        <is>
          <t>28284</t>
        </is>
      </c>
      <c r="B28411" s="4" t="s">
        <f>=HYPERLINK("http://anyluxury.ru/shop/sumki-i-ryukzaki/sumki-dlya-piknika/ryukzakholodilnik-vinga-baltimore-501419/" , "501419 Рюкзак-холодильник VINGA Baltimore")</f>
      </c>
      <c r="C28411" s="4" t="n">
        <v>5872.00</v>
      </c>
      <c r="D28411" s="4"/>
    </row>
    <row collapsed="" customFormat="false" customHeight="1" hidden="" ht="14" outlineLevel="0" r="28412">
      <c r="A28412" s="3" t="inlineStr">
        <is>
          <t>28285</t>
        </is>
      </c>
      <c r="B28412" s="4" t="s">
        <f>=HYPERLINK("http://anyluxury.ru/shop/sumki-i-ryukzaki/sumki-dlya-piknika/ryukzakholodilnik-vinga-baltimore-501420/" , "501420 Рюкзак-холодильник VINGA Baltimore")</f>
      </c>
      <c r="C28412" s="4" t="n">
        <v>5872.00</v>
      </c>
      <c r="D28412" s="4"/>
    </row>
    <row collapsed="" customFormat="false" customHeight="1" hidden="" ht="14" outlineLevel="0" r="28413">
      <c r="A28413" s="3" t="inlineStr">
        <is>
          <t>28286</t>
        </is>
      </c>
      <c r="B28413" s="4" t="s">
        <f>=HYPERLINK("http://anyluxury.ru/shop/sumki-i-ryukzaki/sumki-dlya-piknika/ryukzakholodilnik-vinga-baltimore-501421/" , "501421 Рюкзак-холодильник VINGA Baltimore")</f>
      </c>
      <c r="C28413" s="4" t="n">
        <v>5872.00</v>
      </c>
      <c r="D28413" s="4"/>
    </row>
    <row collapsed="" customFormat="false" customHeight="1" hidden="" ht="14" outlineLevel="0" r="28414">
      <c r="A28414" s="3" t="inlineStr">
        <is>
          <t>28287</t>
        </is>
      </c>
      <c r="B28414" s="4" t="s">
        <f>=HYPERLINK("http://anyluxury.ru/shop/sumki-i-ryukzaki/sumki-dlya-piknika/termosumka-bodega-chernaya-1476830/" , "14768.30 Термосумка Bodega, черная")</f>
      </c>
      <c r="C28414" s="4" t="n">
        <v>1490.00</v>
      </c>
      <c r="D28414" s="4"/>
    </row>
    <row collapsed="" customFormat="false" customHeight="1" hidden="" ht="14" outlineLevel="0" r="28415">
      <c r="A28415" s="3" t="inlineStr">
        <is>
          <t>28288</t>
        </is>
      </c>
      <c r="B28415" s="4" t="s">
        <f>=HYPERLINK("http://anyluxury.ru/shop/sumki-i-ryukzaki/sumki-dlya-piknika/termosumka-bodega-seraya-1476810/" , "14768.10 Термосумка Bodega, серая")</f>
      </c>
      <c r="C28415" s="4" t="n">
        <v>1490.00</v>
      </c>
      <c r="D28415" s="4"/>
    </row>
    <row collapsed="" customFormat="false" customHeight="1" hidden="" ht="14" outlineLevel="0" r="28416">
      <c r="A28416" s="3" t="inlineStr">
        <is>
          <t>28289</t>
        </is>
      </c>
      <c r="B28416" s="4" t="s">
        <f>=HYPERLINK("http://anyluxury.ru/shop/sumki-i-ryukzaki/sumki-dlya-piknika/ryukzak-2v1-impact-s-otdeleniemholodilnikom-iz-rpet-aware-p762921/" , "P762.921 Рюкзак 2-в-1 Impact с отделением-холодильником из rPET Aware™")</f>
      </c>
      <c r="C28416" s="4" t="n">
        <v>7113.00</v>
      </c>
      <c r="D28416" s="4"/>
    </row>
    <row collapsed="" customFormat="false" customHeight="1" hidden="" ht="14" outlineLevel="0" r="28417">
      <c r="A28417" s="3" t="inlineStr">
        <is>
          <t>28290</t>
        </is>
      </c>
      <c r="B28417" s="4" t="s">
        <f>=HYPERLINK("http://anyluxury.ru/shop/sumki-i-ryukzaki/sumki-dlya-piknika/sumkaholodilnik-impact-iz-pererabotannogo-neokrashennogo-kanvasa-aware-285-gm-p422470/" , "P422.470 Сумка-холодильник Impact из переработанного неокрашенного канваса AWARE™, 285 г/м²")</f>
      </c>
      <c r="C28417" s="4" t="n">
        <v>2499.00</v>
      </c>
      <c r="D28417" s="4"/>
    </row>
    <row collapsed="" customFormat="false" customHeight="1" hidden="" ht="14" outlineLevel="0" r="28418">
      <c r="A28418" s="3" t="inlineStr">
        <is>
          <t>28291</t>
        </is>
      </c>
      <c r="B28418" s="4" t="s">
        <f>=HYPERLINK("http://anyluxury.ru/shop/sumki-i-ryukzaki/sumki-dlya-piknika/sumkaholodilnik-impact-iz-pererabotannogo-neokrashennogo-kanvasa-aware-285-gm-p422471/" , "P422.471 Сумка-холодильник Impact из переработанного неокрашенного канваса AWARE™, 285 г/м²")</f>
      </c>
      <c r="C28418" s="4" t="n">
        <v>2499.00</v>
      </c>
      <c r="D28418" s="4"/>
    </row>
    <row collapsed="" customFormat="false" customHeight="1" hidden="" ht="14" outlineLevel="0" r="28419">
      <c r="A28419" s="3" t="inlineStr">
        <is>
          <t>28292</t>
        </is>
      </c>
      <c r="B28419" s="4" t="s">
        <f>=HYPERLINK("http://anyluxury.ru/shop/sumki-i-ryukzaki/sumki-dlya-piknika/sumkaholodilnik-impact-iz-pererabotannogo-neokrashennogo-kanvasa-aware-285-gm-p422472/" , "P422.472 Сумка-холодильник Impact из переработанного неокрашенного канваса AWARE™, 285 г/м²")</f>
      </c>
      <c r="C28419" s="4" t="n">
        <v>2499.00</v>
      </c>
      <c r="D28419" s="4"/>
    </row>
    <row collapsed="" customFormat="false" customHeight="1" hidden="" ht="14" outlineLevel="0" r="28420">
      <c r="A28420" s="3" t="inlineStr">
        <is>
          <t>28293</t>
        </is>
      </c>
      <c r="B28420" s="4" t="s">
        <f>=HYPERLINK("http://anyluxury.ru/shop/sumki-i-ryukzaki/sumki-dlya-piknika/sumkaholodilnik-impact-iz-pererabotannogo-neokrashennogo-kanvasa-aware-285-gm-p422479/" , "P422.479 Сумка-холодильник Impact из переработанного неокрашенного канваса AWARE™, 285 г/м²")</f>
      </c>
      <c r="C28420" s="4" t="n">
        <v>2499.00</v>
      </c>
      <c r="D28420" s="4"/>
    </row>
    <row collapsed="" customFormat="false" customHeight="1" hidden="" ht="14" outlineLevel="0" r="28421">
      <c r="A28421" s="3" t="inlineStr">
        <is>
          <t>28294</t>
        </is>
      </c>
      <c r="B28421" s="4" t="s">
        <f>=HYPERLINK("http://anyluxury.ru/shop/sumki-i-ryukzaki/sumki-dlya-piknika/bolshaya-sumkaholodilnik-impact-iz-pererabotannogo-neokrashennogo-kanvasa-aware-285-gm-p422480/" , "P422.480 Большая сумка-холодильник Impact из переработанного неокрашенного канваса AWARE™, 285 г/м²")</f>
      </c>
      <c r="C28421" s="4" t="n">
        <v>2666.00</v>
      </c>
      <c r="D28421" s="4"/>
    </row>
    <row collapsed="" customFormat="false" customHeight="1" hidden="" ht="14" outlineLevel="0" r="28422">
      <c r="A28422" s="3" t="inlineStr">
        <is>
          <t>28295</t>
        </is>
      </c>
      <c r="B28422" s="4" t="s">
        <f>=HYPERLINK("http://anyluxury.ru/shop/sumki-i-ryukzaki/sumki-dlya-piknika/bolshaya-sumkaholodilnik-impact-iz-pererabotannogo-neokrashennogo-kanvasa-aware-285-gm-p422481/" , "P422.481 Большая сумка-холодильник Impact из переработанного неокрашенного канваса AWARE™, 285 г/м²")</f>
      </c>
      <c r="C28422" s="4" t="n">
        <v>2666.00</v>
      </c>
      <c r="D28422" s="4"/>
    </row>
    <row collapsed="" customFormat="false" customHeight="1" hidden="" ht="14" outlineLevel="0" r="28423">
      <c r="A28423" s="3" t="inlineStr">
        <is>
          <t>28296</t>
        </is>
      </c>
      <c r="B28423" s="4" t="s">
        <f>=HYPERLINK("http://anyluxury.ru/shop/sumki-i-ryukzaki/sumki-dlya-piknika/bolshaya-sumkaholodilnik-impact-iz-pererabotannogo-neokrashennogo-kanvasa-aware-285-gm-p422482/" , "P422.482 Большая сумка-холодильник Impact из переработанного неокрашенного канваса AWARE™, 285 г/м²")</f>
      </c>
      <c r="C28423" s="4" t="n">
        <v>2666.00</v>
      </c>
      <c r="D28423" s="4"/>
    </row>
    <row collapsed="" customFormat="false" customHeight="1" hidden="" ht="14" outlineLevel="0" r="28424">
      <c r="A28424" s="3" t="inlineStr">
        <is>
          <t>28297</t>
        </is>
      </c>
      <c r="B28424" s="4" t="s">
        <f>=HYPERLINK("http://anyluxury.ru/shop/sumki-i-ryukzaki/sumki-dlya-piknika/bolshaya-sumkaholodilnik-impact-iz-pererabotannogo-neokrashennogo-kanvasa-aware-285-gm-p422489/" , "P422.489 Большая сумка-холодильник Impact из переработанного неокрашенного канваса AWARE™, 285 г/м²")</f>
      </c>
      <c r="C28424" s="4" t="n">
        <v>2666.00</v>
      </c>
      <c r="D28424" s="4"/>
    </row>
    <row collapsed="" customFormat="false" customHeight="1" hidden="" ht="14" outlineLevel="0" r="28425">
      <c r="A28425" s="3" t="inlineStr">
        <is>
          <t>28298</t>
        </is>
      </c>
      <c r="B28425" s="4" t="s">
        <f>=HYPERLINK("http://anyluxury.ru/shop/sumki-i-ryukzaki/sumki-dlya-piknika/shoper-s-termootdeleniem-verkko-serogoluboy-1546313/" , "15463.13 Шопер с термоотделением Verkko, серо-голубой")</f>
      </c>
      <c r="C28425" s="4" t="n">
        <v>1790.00</v>
      </c>
      <c r="D28425" s="4"/>
    </row>
    <row collapsed="" customFormat="false" customHeight="1" hidden="" ht="14" outlineLevel="0" r="28426">
      <c r="A28426" s="3" t="inlineStr">
        <is>
          <t>28299</t>
        </is>
      </c>
      <c r="B28426" s="4" t="s">
        <f>=HYPERLINK("http://anyluxury.ru/shop/sumki-i-ryukzaki/sumki-dlya-piknika/sumkaholodilnik-vinga-sloane-iz-rpet-rcs-560161/" , "560161 Сумка-холодильник VINGA Sloane из rPET RCS")</f>
      </c>
      <c r="C28426" s="4" t="n">
        <v>4447.00</v>
      </c>
      <c r="D28426" s="4"/>
    </row>
    <row collapsed="" customFormat="false" customHeight="1" hidden="" ht="14" outlineLevel="0" r="28427">
      <c r="A28427" s="3" t="inlineStr">
        <is>
          <t>28300</t>
        </is>
      </c>
      <c r="B28427" s="4" t="s">
        <f>=HYPERLINK("http://anyluxury.ru/shop/sumki-i-ryukzaki/sumki-dlya-piknika/sumkaholodilnik-vinga-sloane-iz-rpet-rcs-560165/" , "560165 Сумка-холодильник VINGA Sloane из rPET RCS")</f>
      </c>
      <c r="C28427" s="4" t="n">
        <v>4447.00</v>
      </c>
      <c r="D28427" s="4"/>
    </row>
    <row collapsed="" customFormat="false" customHeight="1" hidden="" ht="14" outlineLevel="0" r="28428">
      <c r="A28428" s="3" t="inlineStr">
        <is>
          <t>28301</t>
        </is>
      </c>
      <c r="B28428" s="4" t="s">
        <f>=HYPERLINK("http://anyluxury.ru/shop/sumki-i-ryukzaki/sumki-dlya-piknika/sumkaholodilnik-kazu-iz-rpet-aware-p422521/" , "P422.521 Сумка-холодильник Kazu из rPET AWARE™")</f>
      </c>
      <c r="C28428" s="4" t="n">
        <v>2666.00</v>
      </c>
      <c r="D28428" s="4"/>
    </row>
    <row collapsed="" customFormat="false" customHeight="1" hidden="" ht="14" outlineLevel="0" r="28429">
      <c r="A28429" s="3" t="inlineStr">
        <is>
          <t>28302</t>
        </is>
      </c>
      <c r="B28429" s="4" t="s">
        <f>=HYPERLINK("http://anyluxury.ru/shop/sumki-i-ryukzaki/sumki-dlya-piknika/sumkaholodilnik-kazu-iz-rpet-aware-p422522/" , "P422.522 Сумка-холодильник Kazu из rPET AWARE™")</f>
      </c>
      <c r="C28429" s="4" t="n">
        <v>2666.00</v>
      </c>
      <c r="D28429" s="4"/>
    </row>
    <row collapsed="" customFormat="false" customHeight="1" hidden="" ht="14" outlineLevel="0" r="28430">
      <c r="A28430" s="3" t="inlineStr">
        <is>
          <t>28303</t>
        </is>
      </c>
      <c r="B28430" s="4" t="s">
        <f>=HYPERLINK("http://anyluxury.ru/shop/sumki-i-ryukzaki/sumki-dlya-piknika/sumkaholodilnik-kazu-iz-rpet-aware-p422523/" , "P422.523 Сумка-холодильник Kazu из rPET AWARE™")</f>
      </c>
      <c r="C28430" s="4" t="n">
        <v>2666.00</v>
      </c>
      <c r="D28430" s="4"/>
    </row>
    <row collapsed="" customFormat="false" customHeight="1" hidden="" ht="14" outlineLevel="0" r="28431">
      <c r="A28431" s="3" t="inlineStr">
        <is>
          <t>28304</t>
        </is>
      </c>
      <c r="B28431" s="4" t="s">
        <f>=HYPERLINK("http://anyluxury.ru/shop/sumki-i-ryukzaki/sumki-dlya-piknika/sumkaholodilnik-kazu-iz-rpet-aware-p422525/" , "P422.525 Сумка-холодильник Kazu из rPET AWARE™")</f>
      </c>
      <c r="C28431" s="4" t="n">
        <v>2666.00</v>
      </c>
      <c r="D28431" s="4"/>
    </row>
    <row collapsed="" customFormat="false" customHeight="1" hidden="" ht="14" outlineLevel="0" r="28432">
      <c r="A28432" s="3" t="inlineStr">
        <is>
          <t>28305</t>
        </is>
      </c>
      <c r="B28432" s="4" t="s">
        <f>=HYPERLINK("http://anyluxury.ru/shop/sumki-i-ryukzaki/sumki-dlya-piknika/sumkaholodilnik-kazu-iz-rpet-aware-p422527/" , "P422.527 Сумка-холодильник Kazu из rPET AWARE™")</f>
      </c>
      <c r="C28432" s="4" t="n">
        <v>2666.00</v>
      </c>
      <c r="D28432" s="4"/>
    </row>
    <row collapsed="" customFormat="false" customHeight="1" hidden="" ht="14" outlineLevel="0" r="28433">
      <c r="A28433" s="3" t="inlineStr">
        <is>
          <t>28306</t>
        </is>
      </c>
      <c r="B28433" s="4" t="s">
        <f>=HYPERLINK("http://anyluxury.ru/shop/sumki-i-ryukzaki/sumki-dlya-piknika/sumkaholodilnik-vinga-volonne-iz-pererabotannogo-kanvasa-i-rpet-aware-v422103/" , "V422103 Сумка-холодильник VINGA Volonne из переработанного канваса и rPET AWARE™")</f>
      </c>
      <c r="C28433" s="4" t="n">
        <v>4438.00</v>
      </c>
      <c r="D28433" s="4"/>
    </row>
    <row collapsed="" customFormat="false" customHeight="1" hidden="" ht="14" outlineLevel="0" r="28434">
      <c r="A28434" s="3" t="inlineStr">
        <is>
          <t>28307</t>
        </is>
      </c>
      <c r="B28434" s="4" t="s">
        <f>=HYPERLINK("http://anyluxury.ru/shop/sumki-i-ryukzaki/sumki-dlya-piknika/sumkaholodilnik-vinga-volonne-iz-pererabotannogo-kanvasa-i-rpet-aware-v422105/" , "V422105 Сумка-холодильник VINGA Volonne из переработанного канваса и rPET AWARE™")</f>
      </c>
      <c r="C28434" s="4" t="n">
        <v>4438.00</v>
      </c>
      <c r="D28434" s="4"/>
    </row>
    <row collapsed="" customFormat="false" customHeight="1" hidden="" ht="14" outlineLevel="0" r="28435">
      <c r="A28435" s="3" t="inlineStr">
        <is>
          <t>28308</t>
        </is>
      </c>
      <c r="B28435" s="4" t="s">
        <f>=HYPERLINK("http://anyluxury.ru/shop/sumki-i-ryukzaki/sumki-dlya-piknika/sumkaholodilnik-tout-vinga-volonne-iz-pererabotannogo-kanvasa-i-rpet-aware-v422113/" , "V422113 Сумка-холодильник тоут VINGA Volonne из переработанного канваса и rPET AWARE™")</f>
      </c>
      <c r="C28435" s="4" t="n">
        <v>3553.00</v>
      </c>
      <c r="D28435" s="4"/>
    </row>
    <row collapsed="" customFormat="false" customHeight="1" hidden="" ht="14" outlineLevel="0" r="28436">
      <c r="A28436" s="3" t="inlineStr">
        <is>
          <t>28309</t>
        </is>
      </c>
      <c r="B28436" s="4" t="s">
        <f>=HYPERLINK("http://anyluxury.ru/shop/sumki-i-ryukzaki/sumki-dlya-piknika/sumkaholodilnik-tout-vinga-volonne-iz-pererabotannogo-kanvasa-i-rpet-aware-v422115/" , "V422115 Сумка-холодильник тоут VINGA Volonne из переработанного канваса и rPET AWARE™")</f>
      </c>
      <c r="C28436" s="4" t="n">
        <v>3553.00</v>
      </c>
      <c r="D28436" s="4"/>
    </row>
    <row collapsed="" customFormat="false" customHeight="1" hidden="" ht="14" outlineLevel="0" r="28437">
      <c r="A28437" s="3" t="inlineStr">
        <is>
          <t>28310</t>
        </is>
      </c>
      <c r="B28437" s="4" t="s">
        <f>=HYPERLINK("http://anyluxury.ru/shop/sumki-i-ryukzaki/sumki-dlya-piknika/termoryukzak-paseo-seriy-1631610/" , "16316.10 Терморюкзак Paseo, серый")</f>
      </c>
      <c r="C28437" s="4" t="n">
        <v>1647.00</v>
      </c>
      <c r="D28437" s="4"/>
    </row>
    <row collapsed="" customFormat="false" customHeight="1" hidden="" ht="14" outlineLevel="0" r="28438">
      <c r="A28438" s="3" t="inlineStr">
        <is>
          <t>28311</t>
        </is>
      </c>
      <c r="B28438" s="4" t="s">
        <f>=HYPERLINK("http://anyluxury.ru/shop/sumki-i-ryukzaki/sumki-dlya-piknika/termoryukzak-paseo-siniy-1631640/" , "16316.40 Терморюкзак Paseo, синий")</f>
      </c>
      <c r="C28438" s="4" t="n">
        <v>1647.00</v>
      </c>
      <c r="D28438" s="4"/>
    </row>
    <row collapsed="" customFormat="false" customHeight="" hidden="" ht="12.1" outlineLevel="0" r="28439">
      <c r="A28439" s="5" t="inlineStr">
        <is>
          <t> -  - Сумки для покупок</t>
        </is>
      </c>
      <c r="B28439" s="6"/>
      <c r="C28439" s="6"/>
      <c r="D28439" s="6"/>
    </row>
    <row collapsed="" customFormat="false" customHeight="1" hidden="" ht="14" outlineLevel="0" r="28440">
      <c r="A28440" s="3" t="inlineStr">
        <is>
          <t>28312</t>
        </is>
      </c>
      <c r="B28440" s="4" t="s">
        <f>=HYPERLINK("http://anyluxury.ru/shop/sumki-i-ryukzaki/sumki-dlya-pokupok/holshhovaya-sumka-basic-105-neokrashennaya-129266/" , "1292.66 Холщовая сумка Basic 105, неокрашенная")</f>
      </c>
      <c r="C28440" s="4" t="n">
        <v>169.00</v>
      </c>
      <c r="D28440" s="4"/>
    </row>
    <row collapsed="" customFormat="false" customHeight="1" hidden="" ht="14" outlineLevel="0" r="28441">
      <c r="A28441" s="3" t="inlineStr">
        <is>
          <t>28313</t>
        </is>
      </c>
      <c r="B28441" s="4" t="s">
        <f>=HYPERLINK("http://anyluxury.ru/shop/sumki-i-ryukzaki/sumki-dlya-pokupok/holshhovaya-sumka-basic-105-chernaya-129230/" , "1292.30 Холщовая сумка Basic 105, черная")</f>
      </c>
      <c r="C28441" s="4" t="n">
        <v>169.00</v>
      </c>
      <c r="D28441" s="4"/>
    </row>
    <row collapsed="" customFormat="false" customHeight="1" hidden="" ht="14" outlineLevel="0" r="28442">
      <c r="A28442" s="3" t="inlineStr">
        <is>
          <t>28314</t>
        </is>
      </c>
      <c r="B28442" s="4" t="s">
        <f>=HYPERLINK("http://anyluxury.ru/shop/sumki-i-ryukzaki/sumki-dlya-pokupok/holshhovaya-sumka-basic-105-temnosinyaya-129240/" , "1292.40 Холщовая сумка Basic 105, темно-синяя")</f>
      </c>
      <c r="C28442" s="4" t="n">
        <v>169.00</v>
      </c>
      <c r="D28442" s="4"/>
    </row>
    <row collapsed="" customFormat="false" customHeight="1" hidden="" ht="14" outlineLevel="0" r="28443">
      <c r="A28443" s="3" t="inlineStr">
        <is>
          <t>28315</t>
        </is>
      </c>
      <c r="B28443" s="4" t="s">
        <f>=HYPERLINK("http://anyluxury.ru/shop/sumki-i-ryukzaki/sumki-dlya-pokupok/holshhovaya-sumka-basic-105-krasnaya-129250/" , "1292.50 Холщовая сумка Basic 105, красная")</f>
      </c>
      <c r="C28443" s="4" t="n">
        <v>169.00</v>
      </c>
      <c r="D28443" s="4"/>
    </row>
    <row collapsed="" customFormat="false" customHeight="1" hidden="" ht="14" outlineLevel="0" r="28444">
      <c r="A28444" s="3" t="inlineStr">
        <is>
          <t>28316</t>
        </is>
      </c>
      <c r="B28444" s="4" t="s">
        <f>=HYPERLINK("http://anyluxury.ru/shop/sumki-i-ryukzaki/sumki-dlya-pokupok/holshhovaya-sumka-vertica-105-neokrashennaya-478966/" , "4789.66 Холщовая сумка Vertica 105, неокрашенная")</f>
      </c>
      <c r="C28444" s="4" t="n">
        <v>117.00</v>
      </c>
      <c r="D28444" s="4"/>
    </row>
    <row collapsed="" customFormat="false" customHeight="1" hidden="" ht="14" outlineLevel="0" r="28445">
      <c r="A28445" s="3" t="inlineStr">
        <is>
          <t>28317</t>
        </is>
      </c>
      <c r="B28445" s="4" t="s">
        <f>=HYPERLINK("http://anyluxury.ru/shop/sumki-i-ryukzaki/sumki-dlya-pokupok/holshhovaya-sumka-na-plecho-juhu-neokrashennaya-486866/" , "4868.66 Холщовая сумка на плечо Juhu, неокрашенная")</f>
      </c>
      <c r="C28445" s="4" t="n">
        <v>474.00</v>
      </c>
      <c r="D28445" s="4"/>
    </row>
    <row collapsed="" customFormat="false" customHeight="1" hidden="" ht="14" outlineLevel="0" r="28446">
      <c r="A28446" s="3" t="inlineStr">
        <is>
          <t>28318</t>
        </is>
      </c>
      <c r="B28446" s="4" t="s">
        <f>=HYPERLINK("http://anyluxury.ru/shop/sumki-i-ryukzaki/sumki-dlya-pokupok/holshhovaya-sumka-optima-135-neokrashennaya-545266/" , "5452.66 Холщовая сумка Optima 135, неокрашенная")</f>
      </c>
      <c r="C28446" s="4" t="n">
        <v>227.00</v>
      </c>
      <c r="D28446" s="4"/>
    </row>
    <row collapsed="" customFormat="false" customHeight="1" hidden="" ht="14" outlineLevel="0" r="28447">
      <c r="A28447" s="3" t="inlineStr">
        <is>
          <t>28319</t>
        </is>
      </c>
      <c r="B28447" s="4" t="s">
        <f>=HYPERLINK("http://anyluxury.ru/shop/sumki-i-ryukzaki/sumki-dlya-pokupok/sumka-dlya-pokupok-span-70-belaya-418660/" , "4186.60 Сумка для покупок Span 70, белая")</f>
      </c>
      <c r="C28447" s="4" t="n">
        <v>52.00</v>
      </c>
      <c r="D28447" s="4"/>
    </row>
    <row collapsed="" customFormat="false" customHeight="1" hidden="" ht="14" outlineLevel="0" r="28448">
      <c r="A28448" s="3" t="inlineStr">
        <is>
          <t>28320</t>
        </is>
      </c>
      <c r="B28448" s="4" t="s">
        <f>=HYPERLINK("http://anyluxury.ru/shop/sumki-i-ryukzaki/sumki-dlya-pokupok/holshhovaya-sumka-optima-135-chernaya-545230/" , "5452.30 Холщовая сумка Optima 135, черная")</f>
      </c>
      <c r="C28448" s="4" t="n">
        <v>235.00</v>
      </c>
      <c r="D28448" s="4"/>
    </row>
    <row collapsed="" customFormat="false" customHeight="1" hidden="" ht="14" outlineLevel="0" r="28449">
      <c r="A28449" s="3" t="inlineStr">
        <is>
          <t>28321</t>
        </is>
      </c>
      <c r="B28449" s="4" t="s">
        <f>=HYPERLINK("http://anyluxury.ru/shop/sumki-i-ryukzaki/sumki-dlya-pokupok/holshhovaya-sumka-optima-135-temnosinyaya-545240/" , "5452.40 Холщовая сумка Optima 135, темно-синяя")</f>
      </c>
      <c r="C28449" s="4" t="n">
        <v>235.00</v>
      </c>
      <c r="D28449" s="4"/>
    </row>
    <row collapsed="" customFormat="false" customHeight="1" hidden="" ht="14" outlineLevel="0" r="28450">
      <c r="A28450" s="3" t="inlineStr">
        <is>
          <t>28322</t>
        </is>
      </c>
      <c r="B28450" s="4" t="s">
        <f>=HYPERLINK("http://anyluxury.ru/shop/sumki-i-ryukzaki/sumki-dlya-pokupok/sumka-dlya-pokupok-span-3d-belaya-431160/" , "4311.60 Сумка для покупок Span 3D, белая")</f>
      </c>
      <c r="C28450" s="4" t="n">
        <v>46.00</v>
      </c>
      <c r="D28450" s="4"/>
    </row>
    <row collapsed="" customFormat="false" customHeight="1" hidden="" ht="14" outlineLevel="0" r="28451">
      <c r="A28451" s="3" t="inlineStr">
        <is>
          <t>28323</t>
        </is>
      </c>
      <c r="B28451" s="4" t="s">
        <f>=HYPERLINK("http://anyluxury.ru/shop/sumki-i-ryukzaki/sumki-dlya-pokupok/holshhovaya-sumka-fiona-289866/" , "2898.66 Холщовая сумка Fiona")</f>
      </c>
      <c r="C28451" s="4" t="n">
        <v>769.00</v>
      </c>
      <c r="D28451" s="4"/>
    </row>
    <row collapsed="" customFormat="false" customHeight="1" hidden="" ht="14" outlineLevel="0" r="28452">
      <c r="A28452" s="3" t="inlineStr">
        <is>
          <t>28324</t>
        </is>
      </c>
      <c r="B28452" s="4" t="s">
        <f>=HYPERLINK("http://anyluxury.ru/shop/sumki-i-ryukzaki/sumki-dlya-pokupok/sumka-dlya-pokupok-span-3d-krasnaya-431150/" , "4311.50 Сумка для покупок Span 3D, красная")</f>
      </c>
      <c r="C28452" s="4" t="n">
        <v>49.00</v>
      </c>
      <c r="D28452" s="4"/>
    </row>
    <row collapsed="" customFormat="false" customHeight="1" hidden="" ht="14" outlineLevel="0" r="28453">
      <c r="A28453" s="3" t="inlineStr">
        <is>
          <t>28325</t>
        </is>
      </c>
      <c r="B28453" s="4" t="s">
        <f>=HYPERLINK("http://anyluxury.ru/shop/sumki-i-ryukzaki/sumki-dlya-pokupok/sumka-dlya-pokupok-span-3d-zelenaya-431190/" , "4311.90 Сумка для покупок Span 3D, зеленая")</f>
      </c>
      <c r="C28453" s="4" t="n">
        <v>49.00</v>
      </c>
      <c r="D28453" s="4"/>
    </row>
    <row collapsed="" customFormat="false" customHeight="1" hidden="" ht="14" outlineLevel="0" r="28454">
      <c r="A28454" s="3" t="inlineStr">
        <is>
          <t>28326</t>
        </is>
      </c>
      <c r="B28454" s="4" t="s">
        <f>=HYPERLINK("http://anyluxury.ru/shop/sumki-i-ryukzaki/sumki-dlya-pokupok/holshhovaya-sumka-strong-210-sinyaya-525340/" , "5253.40 Холщовая сумка Strong 210, синяя")</f>
      </c>
      <c r="C28454" s="4" t="n">
        <v>297.00</v>
      </c>
      <c r="D28454" s="4"/>
    </row>
    <row collapsed="" customFormat="false" customHeight="1" hidden="" ht="14" outlineLevel="0" r="28455">
      <c r="A28455" s="3" t="inlineStr">
        <is>
          <t>28327</t>
        </is>
      </c>
      <c r="B28455" s="4" t="s">
        <f>=HYPERLINK("http://anyluxury.ru/shop/sumki-i-ryukzaki/sumki-dlya-pokupok/holshhovaya-sumka-strong-210-krasnaya-525350/" , "5253.50 Холщовая сумка Strong 210, красная")</f>
      </c>
      <c r="C28455" s="4" t="n">
        <v>297.00</v>
      </c>
      <c r="D28455" s="4"/>
    </row>
    <row collapsed="" customFormat="false" customHeight="1" hidden="" ht="14" outlineLevel="0" r="28456">
      <c r="A28456" s="3" t="inlineStr">
        <is>
          <t>28328</t>
        </is>
      </c>
      <c r="B28456" s="4" t="s">
        <f>=HYPERLINK("http://anyluxury.ru/shop/sumki-i-ryukzaki/sumki-dlya-pokupok/sumka-dlya-pokupok-span-3d-svetlosinyaya-431141/" , "4311.41 Сумка для покупок Span 3D, светло-синяя")</f>
      </c>
      <c r="C28456" s="4" t="n">
        <v>49.00</v>
      </c>
      <c r="D28456" s="4"/>
    </row>
    <row collapsed="" customFormat="false" customHeight="1" hidden="" ht="14" outlineLevel="0" r="28457">
      <c r="A28457" s="3" t="inlineStr">
        <is>
          <t>28329</t>
        </is>
      </c>
      <c r="B28457" s="4" t="s">
        <f>=HYPERLINK("http://anyluxury.ru/shop/sumki-i-ryukzaki/sumki-dlya-pokupok/sumka-carryall-bolshaya-belaya-725060/" , "7250.60 Сумка Carryall, большая, белая")</f>
      </c>
      <c r="C28457" s="4" t="n">
        <v>42.00</v>
      </c>
      <c r="D28457" s="4"/>
    </row>
    <row collapsed="" customFormat="false" customHeight="1" hidden="" ht="14" outlineLevel="0" r="28458">
      <c r="A28458" s="3" t="inlineStr">
        <is>
          <t>28330</t>
        </is>
      </c>
      <c r="B28458" s="4" t="s">
        <f>=HYPERLINK("http://anyluxury.ru/shop/sumki-i-ryukzaki/sumki-dlya-pokupok/sumka-etoile-temnosinyaya-kobalt-02119319tun/" , "02119319TUN Сумка Etoile, темно-синяя (кобальт)")</f>
      </c>
      <c r="C28458" s="4" t="n">
        <v>896.00</v>
      </c>
      <c r="D28458" s="4"/>
    </row>
    <row collapsed="" customFormat="false" customHeight="1" hidden="" ht="14" outlineLevel="0" r="28459">
      <c r="A28459" s="3" t="inlineStr">
        <is>
          <t>28331</t>
        </is>
      </c>
      <c r="B28459" s="4" t="s">
        <f>=HYPERLINK("http://anyluxury.ru/shop/sumki-i-ryukzaki/sumki-dlya-pokupok/sumka-etoile-belaya-02119102tun/" , "02119102TUN Сумка Etoile, белая")</f>
      </c>
      <c r="C28459" s="4" t="n">
        <v>896.00</v>
      </c>
      <c r="D28459" s="4"/>
    </row>
    <row collapsed="" customFormat="false" customHeight="1" hidden="" ht="14" outlineLevel="0" r="28460">
      <c r="A28460" s="3" t="inlineStr">
        <is>
          <t>28332</t>
        </is>
      </c>
      <c r="B28460" s="4" t="s">
        <f>=HYPERLINK("http://anyluxury.ru/shop/sumki-i-ryukzaki/sumki-dlya-pokupok/sumka-fever-sinyaya-denim-02112600tun/" , "02112600TUN Сумка Fever, синяя (деним)")</f>
      </c>
      <c r="C28460" s="4" t="n">
        <v>1111.00</v>
      </c>
      <c r="D28460" s="4"/>
    </row>
    <row collapsed="" customFormat="false" customHeight="1" hidden="" ht="14" outlineLevel="0" r="28461">
      <c r="A28461" s="3" t="inlineStr">
        <is>
          <t>28333</t>
        </is>
      </c>
      <c r="B28461" s="4" t="s">
        <f>=HYPERLINK("http://anyluxury.ru/shop/sumki-i-ryukzaki/sumki-dlya-pokupok/sumka-luna-belaya-s-krasnim-02097987tun/" , "02097987TUN Сумка Luna, белая с красным")</f>
      </c>
      <c r="C28461" s="4" t="n">
        <v>919.00</v>
      </c>
      <c r="D28461" s="4"/>
    </row>
    <row collapsed="" customFormat="false" customHeight="1" hidden="" ht="14" outlineLevel="0" r="28462">
      <c r="A28462" s="3" t="inlineStr">
        <is>
          <t>28334</t>
        </is>
      </c>
      <c r="B28462" s="4" t="s">
        <f>=HYPERLINK("http://anyluxury.ru/shop/sumki-i-ryukzaki/sumki-dlya-pokupok/holshhovaya-sumka-na-plecho-juhu-krasnaya-486850/" , "4868.50 Холщовая сумка на плечо Juhu, красная")</f>
      </c>
      <c r="C28462" s="4" t="n">
        <v>474.00</v>
      </c>
      <c r="D28462" s="4"/>
    </row>
    <row collapsed="" customFormat="false" customHeight="1" hidden="" ht="14" outlineLevel="0" r="28463">
      <c r="A28463" s="3" t="inlineStr">
        <is>
          <t>28335</t>
        </is>
      </c>
      <c r="B28463" s="4" t="s">
        <f>=HYPERLINK("http://anyluxury.ru/shop/sumki-i-ryukzaki/sumki-dlya-pokupok/holshhovaya-sumka-na-plecho-juhu-chernaya-486830/" , "4868.30 Холщовая сумка на плечо Juhu, черная")</f>
      </c>
      <c r="C28463" s="4" t="n">
        <v>474.00</v>
      </c>
      <c r="D28463" s="4"/>
    </row>
    <row collapsed="" customFormat="false" customHeight="1" hidden="" ht="14" outlineLevel="0" r="28464">
      <c r="A28464" s="3" t="inlineStr">
        <is>
          <t>28336</t>
        </is>
      </c>
      <c r="B28464" s="4" t="s">
        <f>=HYPERLINK("http://anyluxury.ru/shop/sumki-i-ryukzaki/sumki-dlya-pokupok/holshhovaya-sumka-eco-vision-740666/" , "7406.66 Холщовая сумка Eco Vision")</f>
      </c>
      <c r="C28464" s="4" t="n">
        <v>449.00</v>
      </c>
      <c r="D28464" s="4"/>
    </row>
    <row collapsed="" customFormat="false" customHeight="1" hidden="" ht="14" outlineLevel="0" r="28465">
      <c r="A28465" s="3" t="inlineStr">
        <is>
          <t>28337</t>
        </is>
      </c>
      <c r="B28465" s="4" t="s">
        <f>=HYPERLINK("http://anyluxury.ru/shop/sumki-i-ryukzaki/sumki-dlya-pokupok/sumka-dlya-pokupok-span-70-svetlosinyaya-418641/" , "4186.41 Сумка для покупок Span 70, светло-синяя")</f>
      </c>
      <c r="C28465" s="4" t="n">
        <v>57.00</v>
      </c>
      <c r="D28465" s="4"/>
    </row>
    <row collapsed="" customFormat="false" customHeight="1" hidden="" ht="14" outlineLevel="0" r="28466">
      <c r="A28466" s="3" t="inlineStr">
        <is>
          <t>28338</t>
        </is>
      </c>
      <c r="B28466" s="4" t="s">
        <f>=HYPERLINK("http://anyluxury.ru/shop/sumki-i-ryukzaki/sumki-dlya-pokupok/sumka-dlya-pokupok-span-70-svetlozelenaya-418691/" , "4186.91 Сумка для покупок Span 70, светло-зеленая")</f>
      </c>
      <c r="C28466" s="4" t="n">
        <v>57.00</v>
      </c>
      <c r="D28466" s="4"/>
    </row>
    <row collapsed="" customFormat="false" customHeight="1" hidden="" ht="14" outlineLevel="0" r="28467">
      <c r="A28467" s="3" t="inlineStr">
        <is>
          <t>28339</t>
        </is>
      </c>
      <c r="B28467" s="4" t="s">
        <f>=HYPERLINK("http://anyluxury.ru/shop/sumki-i-ryukzaki/sumki-dlya-pokupok/holshhovaya-sumka-countryside-260-neokrashennaya-2266/" , "22.66 Холщовая сумка Countryside, неокрашенная")</f>
      </c>
      <c r="C28467" s="4" t="n">
        <v>434.00</v>
      </c>
      <c r="D28467" s="4"/>
    </row>
    <row collapsed="" customFormat="false" customHeight="1" hidden="" ht="14" outlineLevel="0" r="28468">
      <c r="A28468" s="3" t="inlineStr">
        <is>
          <t>28340</t>
        </is>
      </c>
      <c r="B28468" s="4" t="s">
        <f>=HYPERLINK("http://anyluxury.ru/shop/sumki-i-ryukzaki/sumki-dlya-pokupok/holshhovaya-sumka-strong-210-belaya-525360/" , "5253.60 Холщовая сумка Strong 210, белая")</f>
      </c>
      <c r="C28468" s="4" t="n">
        <v>297.00</v>
      </c>
      <c r="D28468" s="4"/>
    </row>
    <row collapsed="" customFormat="false" customHeight="1" hidden="" ht="14" outlineLevel="0" r="28469">
      <c r="A28469" s="3" t="inlineStr">
        <is>
          <t>28341</t>
        </is>
      </c>
      <c r="B28469" s="4" t="s">
        <f>=HYPERLINK("http://anyluxury.ru/shop/sumki-i-ryukzaki/sumki-dlya-pokupok/holshhovaya-sumka-strong-210-seraya-525310/" , "5253.10 Холщовая сумка Strong 210, серая")</f>
      </c>
      <c r="C28469" s="4" t="n">
        <v>297.00</v>
      </c>
      <c r="D28469" s="4"/>
    </row>
    <row collapsed="" customFormat="false" customHeight="1" hidden="" ht="14" outlineLevel="0" r="28470">
      <c r="A28470" s="3" t="inlineStr">
        <is>
          <t>28342</t>
        </is>
      </c>
      <c r="B28470" s="4" t="s">
        <f>=HYPERLINK("http://anyluxury.ru/shop/sumki-i-ryukzaki/sumki-dlya-pokupok/sumka-medvezhya-nezhnost-71121/" , "71121 Сумка «Медвежья нежность»")</f>
      </c>
      <c r="C28470" s="4" t="n">
        <v>1490.00</v>
      </c>
      <c r="D28470" s="4"/>
    </row>
    <row collapsed="" customFormat="false" customHeight="1" hidden="" ht="14" outlineLevel="0" r="28471">
      <c r="A28471" s="3" t="inlineStr">
        <is>
          <t>28343</t>
        </is>
      </c>
      <c r="B28471" s="4" t="s">
        <f>=HYPERLINK("http://anyluxury.ru/shop/sumki-i-ryukzaki/sumki-dlya-pokupok/holshhovaya-sumka-evergreen-limited-edition-7007630/" , "70076.30 Холщовая сумка Evergreen Limited Edition")</f>
      </c>
      <c r="C28471" s="4" t="n">
        <v>490.00</v>
      </c>
      <c r="D28471" s="4"/>
    </row>
    <row collapsed="" customFormat="false" customHeight="1" hidden="" ht="14" outlineLevel="0" r="28472">
      <c r="A28472" s="3" t="inlineStr">
        <is>
          <t>28344</t>
        </is>
      </c>
      <c r="B28472" s="4" t="s">
        <f>=HYPERLINK("http://anyluxury.ru/shop/sumki-i-ryukzaki/sumki-dlya-pokupok/holshhovaya-sumka-evergreen-leaves-7007730/" , "70077.30 Холщовая сумка Evergreen Leaves")</f>
      </c>
      <c r="C28472" s="4" t="n">
        <v>490.00</v>
      </c>
      <c r="D28472" s="4"/>
    </row>
    <row collapsed="" customFormat="false" customHeight="1" hidden="" ht="14" outlineLevel="0" r="28473">
      <c r="A28473" s="3" t="inlineStr">
        <is>
          <t>28345</t>
        </is>
      </c>
      <c r="B28473" s="4" t="s">
        <f>=HYPERLINK("http://anyluxury.ru/shop/sumki-i-ryukzaki/sumki-dlya-pokupok/holshhovaya-sumka-avoska-molochnobelaya-1129361/" , "11293.61 Холщовая сумка Avoska, молочно-белая")</f>
      </c>
      <c r="C28473" s="4" t="n">
        <v>399.00</v>
      </c>
      <c r="D28473" s="4"/>
    </row>
    <row collapsed="" customFormat="false" customHeight="1" hidden="" ht="14" outlineLevel="0" r="28474">
      <c r="A28474" s="3" t="inlineStr">
        <is>
          <t>28346</t>
        </is>
      </c>
      <c r="B28474" s="4" t="s">
        <f>=HYPERLINK("http://anyluxury.ru/shop/sumki-i-ryukzaki/sumki-dlya-pokupok/holshhovaya-sumka-avoska-chernaya-1129330/" , "11293.30 Холщовая сумка Avoska, черная")</f>
      </c>
      <c r="C28474" s="4" t="n">
        <v>399.00</v>
      </c>
      <c r="D28474" s="4"/>
    </row>
    <row collapsed="" customFormat="false" customHeight="1" hidden="" ht="14" outlineLevel="0" r="28475">
      <c r="A28475" s="3" t="inlineStr">
        <is>
          <t>28347</t>
        </is>
      </c>
      <c r="B28475" s="4" t="s">
        <f>=HYPERLINK("http://anyluxury.ru/shop/sumki-i-ryukzaki/sumki-dlya-pokupok/holshhovaya-sumka-avoska-krasnaya-1129350/" , "11293.50 Холщовая сумка Avoska, красная")</f>
      </c>
      <c r="C28475" s="4" t="n">
        <v>399.00</v>
      </c>
      <c r="D28475" s="4"/>
    </row>
    <row collapsed="" customFormat="false" customHeight="1" hidden="" ht="14" outlineLevel="0" r="28476">
      <c r="A28476" s="3" t="inlineStr">
        <is>
          <t>28348</t>
        </is>
      </c>
      <c r="B28476" s="4" t="s">
        <f>=HYPERLINK("http://anyluxury.ru/shop/sumki-i-ryukzaki/sumki-dlya-pokupok/holshhovaya-sumka-avoska-yarkosinyaya-1129344/" , "11293.44 Холщовая сумка Avoska, ярко-синяя")</f>
      </c>
      <c r="C28476" s="4" t="n">
        <v>399.00</v>
      </c>
      <c r="D28476" s="4"/>
    </row>
    <row collapsed="" customFormat="false" customHeight="1" hidden="" ht="14" outlineLevel="0" r="28477">
      <c r="A28477" s="3" t="inlineStr">
        <is>
          <t>28349</t>
        </is>
      </c>
      <c r="B28477" s="4" t="s">
        <f>=HYPERLINK("http://anyluxury.ru/shop/sumki-i-ryukzaki/sumki-dlya-pokupok/holshhovaya-sumka-avoska-yarkozelenaya-1129390/" , "11293.90 Холщовая сумка Avoska, ярко-зеленая")</f>
      </c>
      <c r="C28477" s="4" t="n">
        <v>399.00</v>
      </c>
      <c r="D28477" s="4"/>
    </row>
    <row collapsed="" customFormat="false" customHeight="1" hidden="" ht="14" outlineLevel="0" r="28478">
      <c r="A28478" s="3" t="inlineStr">
        <is>
          <t>28350</t>
        </is>
      </c>
      <c r="B28478" s="4" t="s">
        <f>=HYPERLINK("http://anyluxury.ru/shop/sumki-i-ryukzaki/sumki-dlya-pokupok/holshhovaya-sumka-avoska-seraya-1129311/" , "11293.11 Холщовая сумка Avoska, серая")</f>
      </c>
      <c r="C28478" s="4" t="n">
        <v>399.00</v>
      </c>
      <c r="D28478" s="4"/>
    </row>
    <row collapsed="" customFormat="false" customHeight="1" hidden="" ht="14" outlineLevel="0" r="28479">
      <c r="A28479" s="3" t="inlineStr">
        <is>
          <t>28351</t>
        </is>
      </c>
      <c r="B28479" s="4" t="s">
        <f>=HYPERLINK("http://anyluxury.ru/shop/sumki-i-ryukzaki/sumki-dlya-pokupok/holshhovaya-sumka-avoska-oranzhevaya-1129320/" , "11293.20 Холщовая сумка Avoska, оранжевая")</f>
      </c>
      <c r="C28479" s="4" t="n">
        <v>399.00</v>
      </c>
      <c r="D28479" s="4"/>
    </row>
    <row collapsed="" customFormat="false" customHeight="1" hidden="" ht="14" outlineLevel="0" r="28480">
      <c r="A28480" s="3" t="inlineStr">
        <is>
          <t>28352</t>
        </is>
      </c>
      <c r="B28480" s="4" t="s">
        <f>=HYPERLINK("http://anyluxury.ru/shop/sumki-i-ryukzaki/sumki-dlya-pokupok/holshhovaya-sumka-shopaholic-neokrashenaya-1174366/" , "11743.66 Холщовая сумка Shopaholic, неокрашенная")</f>
      </c>
      <c r="C28480" s="4" t="n">
        <v>567.00</v>
      </c>
      <c r="D28480" s="4"/>
    </row>
    <row collapsed="" customFormat="false" customHeight="1" hidden="" ht="14" outlineLevel="0" r="28481">
      <c r="A28481" s="3" t="inlineStr">
        <is>
          <t>28353</t>
        </is>
      </c>
      <c r="B28481" s="4" t="s">
        <f>=HYPERLINK("http://anyluxury.ru/shop/sumki-i-ryukzaki/sumki-dlya-pokupok/holshhovaya-sumka-shopaholic-krasnaya-1174350/" , "11743.50 Холщовая сумка Shopaholic, красная")</f>
      </c>
      <c r="C28481" s="4" t="n">
        <v>587.00</v>
      </c>
      <c r="D28481" s="4"/>
    </row>
    <row collapsed="" customFormat="false" customHeight="1" hidden="" ht="14" outlineLevel="0" r="28482">
      <c r="A28482" s="3" t="inlineStr">
        <is>
          <t>28354</t>
        </is>
      </c>
      <c r="B28482" s="4" t="s">
        <f>=HYPERLINK("http://anyluxury.ru/shop/sumki-i-ryukzaki/sumki-dlya-pokupok/holshhovaya-sumka-shopaholic-yarkosinyaya-1174344/" , "11743.44 Холщовая сумка Shopaholic, ярко-синяя")</f>
      </c>
      <c r="C28482" s="4" t="n">
        <v>587.00</v>
      </c>
      <c r="D28482" s="4"/>
    </row>
    <row collapsed="" customFormat="false" customHeight="1" hidden="" ht="14" outlineLevel="0" r="28483">
      <c r="A28483" s="3" t="inlineStr">
        <is>
          <t>28355</t>
        </is>
      </c>
      <c r="B28483" s="4" t="s">
        <f>=HYPERLINK("http://anyluxury.ru/shop/sumki-i-ryukzaki/sumki-dlya-pokupok/holshhovaya-sumka-shopaholic-temnosinyaya-1174340/" , "11743.40 Холщовая сумка Shopaholic, темно-синяя")</f>
      </c>
      <c r="C28483" s="4" t="n">
        <v>587.00</v>
      </c>
      <c r="D28483" s="4"/>
    </row>
    <row collapsed="" customFormat="false" customHeight="1" hidden="" ht="14" outlineLevel="0" r="28484">
      <c r="A28484" s="3" t="inlineStr">
        <is>
          <t>28356</t>
        </is>
      </c>
      <c r="B28484" s="4" t="s">
        <f>=HYPERLINK("http://anyluxury.ru/shop/sumki-i-ryukzaki/sumki-dlya-pokupok/holshhovaya-sumka-shopaholic-yarkozelenaya-1174390/" , "11743.90 Холщовая сумка Shopaholic, ярко-зеленая")</f>
      </c>
      <c r="C28484" s="4" t="n">
        <v>587.00</v>
      </c>
      <c r="D28484" s="4"/>
    </row>
    <row collapsed="" customFormat="false" customHeight="1" hidden="" ht="14" outlineLevel="0" r="28485">
      <c r="A28485" s="3" t="inlineStr">
        <is>
          <t>28357</t>
        </is>
      </c>
      <c r="B28485" s="4" t="s">
        <f>=HYPERLINK("http://anyluxury.ru/shop/sumki-i-ryukzaki/sumki-dlya-pokupok/holshhovaya-sumka-shopaholic-fioletovaya-1174378/" , "11743.78 Холщовая сумка Shopaholic, фиолетовая")</f>
      </c>
      <c r="C28485" s="4" t="n">
        <v>587.00</v>
      </c>
      <c r="D28485" s="4"/>
    </row>
    <row collapsed="" customFormat="false" customHeight="1" hidden="" ht="14" outlineLevel="0" r="28486">
      <c r="A28486" s="3" t="inlineStr">
        <is>
          <t>28358</t>
        </is>
      </c>
      <c r="B28486" s="4" t="s">
        <f>=HYPERLINK("http://anyluxury.ru/shop/sumki-i-ryukzaki/sumki-dlya-pokupok/holshhovaya-sumka-shopaholic-oranzhevaya-1174320/" , "11743.20 Холщовая сумка Shopaholic, оранжевая")</f>
      </c>
      <c r="C28486" s="4" t="n">
        <v>587.00</v>
      </c>
      <c r="D28486" s="4"/>
    </row>
    <row collapsed="" customFormat="false" customHeight="1" hidden="" ht="14" outlineLevel="0" r="28487">
      <c r="A28487" s="3" t="inlineStr">
        <is>
          <t>28359</t>
        </is>
      </c>
      <c r="B28487" s="4" t="s">
        <f>=HYPERLINK("http://anyluxury.ru/shop/sumki-i-ryukzaki/sumki-dlya-pokupok/holshhovaya-sumka-avoska-fioletovaya-1129378/" , "11293.78 Холщовая сумка Avoska, фиолетовая")</f>
      </c>
      <c r="C28487" s="4" t="n">
        <v>399.00</v>
      </c>
      <c r="D28487" s="4"/>
    </row>
    <row collapsed="" customFormat="false" customHeight="1" hidden="" ht="14" outlineLevel="0" r="28488">
      <c r="A28488" s="3" t="inlineStr">
        <is>
          <t>28360</t>
        </is>
      </c>
      <c r="B28488" s="4" t="s">
        <f>=HYPERLINK("http://anyluxury.ru/shop/sumki-i-ryukzaki/sumki-dlya-pokupok/holshhovaya-sumka-leon-chernaya-7014330/" , "70143.30 Холщовая сумка «Леон», черная")</f>
      </c>
      <c r="C28488" s="4" t="n">
        <v>693.00</v>
      </c>
      <c r="D28488" s="4"/>
    </row>
    <row collapsed="" customFormat="false" customHeight="1" hidden="" ht="14" outlineLevel="0" r="28489">
      <c r="A28489" s="3" t="inlineStr">
        <is>
          <t>28361</t>
        </is>
      </c>
      <c r="B28489" s="4" t="s">
        <f>=HYPERLINK("http://anyluxury.ru/shop/sumki-i-ryukzaki/sumki-dlya-pokupok/sumka-slava-boshu-chernaya-70184/" , "70184 Сумка «Слава Босху!», черная")</f>
      </c>
      <c r="C28489" s="4" t="n">
        <v>490.00</v>
      </c>
      <c r="D28489" s="4"/>
    </row>
    <row collapsed="" customFormat="false" customHeight="1" hidden="" ht="14" outlineLevel="0" r="28490">
      <c r="A28490" s="3" t="inlineStr">
        <is>
          <t>28362</t>
        </is>
      </c>
      <c r="B28490" s="4" t="s">
        <f>=HYPERLINK("http://anyluxury.ru/shop/sumki-i-ryukzaki/sumki-dlya-pokupok/holshhovaya-sumka-nebodusha-molochnobelaya-7022460/" , "70224.60 Холщовая сумка «Небо-душа», молочно-белая")</f>
      </c>
      <c r="C28490" s="4" t="n">
        <v>490.00</v>
      </c>
      <c r="D28490" s="4"/>
    </row>
    <row collapsed="" customFormat="false" customHeight="1" hidden="" ht="14" outlineLevel="0" r="28491">
      <c r="A28491" s="3" t="inlineStr">
        <is>
          <t>28363</t>
        </is>
      </c>
      <c r="B28491" s="4" t="s">
        <f>=HYPERLINK("http://anyluxury.ru/shop/sumki-i-ryukzaki/sumki-dlya-pokupok/holshhovaya-sumka-kola-chernaya-7023730/" , "70237.30 Холщовая сумка «Кола», черная")</f>
      </c>
      <c r="C28491" s="4" t="n">
        <v>490.00</v>
      </c>
      <c r="D28491" s="4"/>
    </row>
    <row collapsed="" customFormat="false" customHeight="1" hidden="" ht="14" outlineLevel="0" r="28492">
      <c r="A28492" s="3" t="inlineStr">
        <is>
          <t>28364</t>
        </is>
      </c>
      <c r="B28492" s="4" t="s">
        <f>=HYPERLINK("http://anyluxury.ru/shop/sumki-i-ryukzaki/sumki-dlya-pokupok/holshhovaya-sumka-neat-140-zelenaya-2390/" , "23.90 Холщовая сумка Neat 140, зеленая")</f>
      </c>
      <c r="C28492" s="4" t="n">
        <v>264.00</v>
      </c>
      <c r="D28492" s="4"/>
    </row>
    <row collapsed="" customFormat="false" customHeight="1" hidden="" ht="14" outlineLevel="0" r="28493">
      <c r="A28493" s="3" t="inlineStr">
        <is>
          <t>28365</t>
        </is>
      </c>
      <c r="B28493" s="4" t="s">
        <f>=HYPERLINK("http://anyluxury.ru/shop/sumki-i-ryukzaki/sumki-dlya-pokupok/sumka-dlya-pokupok-span-70-yarkokrasnaya-418651/" , "4186.51 Сумка для покупок Span 70, ярко-красная")</f>
      </c>
      <c r="C28493" s="4" t="n">
        <v>57.00</v>
      </c>
      <c r="D28493" s="4"/>
    </row>
    <row collapsed="" customFormat="false" customHeight="1" hidden="" ht="14" outlineLevel="0" r="28494">
      <c r="A28494" s="3" t="inlineStr">
        <is>
          <t>28366</t>
        </is>
      </c>
      <c r="B28494" s="4" t="s">
        <f>=HYPERLINK("http://anyluxury.ru/shop/sumki-i-ryukzaki/sumki-dlya-pokupok/holshhovaya-sumka-neat-140-chernaya-2330/" , "23.30 Холщовая сумка Neat 140, черная")</f>
      </c>
      <c r="C28494" s="4" t="n">
        <v>264.00</v>
      </c>
      <c r="D28494" s="4"/>
    </row>
    <row collapsed="" customFormat="false" customHeight="1" hidden="" ht="14" outlineLevel="0" r="28495">
      <c r="A28495" s="3" t="inlineStr">
        <is>
          <t>28367</t>
        </is>
      </c>
      <c r="B28495" s="4" t="s">
        <f>=HYPERLINK("http://anyluxury.ru/shop/sumki-i-ryukzaki/sumki-dlya-pokupok/holshhovaya-sumka-brightone-chernaya-s-temnosinimi-ruchkami-1076634/" , "10766.34 Холщовая сумка BrighTone, черная с темно-синими ручками")</f>
      </c>
      <c r="C28495" s="4" t="n">
        <v>527.00</v>
      </c>
      <c r="D28495" s="4"/>
    </row>
    <row collapsed="" customFormat="false" customHeight="1" hidden="" ht="14" outlineLevel="0" r="28496">
      <c r="A28496" s="3" t="inlineStr">
        <is>
          <t>28368</t>
        </is>
      </c>
      <c r="B28496" s="4" t="s">
        <f>=HYPERLINK("http://anyluxury.ru/shop/sumki-i-ryukzaki/sumki-dlya-pokupok/holshhovaya-sumka-brightone-chernaya-s-krasnimi-ruchkami-1076635/" , "10766.35 Холщовая сумка BrighTone, черная с красными ручками")</f>
      </c>
      <c r="C28496" s="4" t="n">
        <v>556.00</v>
      </c>
      <c r="D28496" s="4"/>
    </row>
    <row collapsed="" customFormat="false" customHeight="1" hidden="" ht="14" outlineLevel="0" r="28497">
      <c r="A28497" s="3" t="inlineStr">
        <is>
          <t>28369</t>
        </is>
      </c>
      <c r="B28497" s="4" t="s">
        <f>=HYPERLINK("http://anyluxury.ru/shop/sumki-i-ryukzaki/sumki-dlya-pokupok/holshhovaya-sumka-brightone-chernaya-s-belimi-ruchkami-1076636/" , "10766.36 Холщовая сумка BrighTone, черная с белыми ручками")</f>
      </c>
      <c r="C28497" s="4" t="n">
        <v>556.00</v>
      </c>
      <c r="D28497" s="4"/>
    </row>
    <row collapsed="" customFormat="false" customHeight="1" hidden="" ht="14" outlineLevel="0" r="28498">
      <c r="A28498" s="3" t="inlineStr">
        <is>
          <t>28370</t>
        </is>
      </c>
      <c r="B28498" s="4" t="s">
        <f>=HYPERLINK("http://anyluxury.ru/shop/sumki-i-ryukzaki/sumki-dlya-pokupok/holshhovaya-sumka-brightone-chernaya-s-zelenimi-ruchkami-1076639/" , "10766.39 Холщовая сумка BrighTone, черная с зелеными ручками")</f>
      </c>
      <c r="C28498" s="4" t="n">
        <v>556.00</v>
      </c>
      <c r="D28498" s="4"/>
    </row>
    <row collapsed="" customFormat="false" customHeight="1" hidden="" ht="14" outlineLevel="0" r="28499">
      <c r="A28499" s="3" t="inlineStr">
        <is>
          <t>28371</t>
        </is>
      </c>
      <c r="B28499" s="4" t="s">
        <f>=HYPERLINK("http://anyluxury.ru/shop/sumki-i-ryukzaki/sumki-dlya-pokupok/holshhovaya-sumka-brightone-chernaya-s-chernimi-ruchkami-1076633/" , "10766.33 Холщовая сумка BrighTone, черная с черными ручками")</f>
      </c>
      <c r="C28499" s="4" t="n">
        <v>556.00</v>
      </c>
      <c r="D28499" s="4"/>
    </row>
    <row collapsed="" customFormat="false" customHeight="1" hidden="" ht="14" outlineLevel="0" r="28500">
      <c r="A28500" s="3" t="inlineStr">
        <is>
          <t>28372</t>
        </is>
      </c>
      <c r="B28500" s="4" t="s">
        <f>=HYPERLINK("http://anyluxury.ru/shop/sumki-i-ryukzaki/sumki-dlya-pokupok/holshhovaya-sumka-brightone-chernaya-s-yarkosinimi-ruchkami-1076638/" , "10766.38 Холщовая сумка BrighTone, черная с ярко-синими ручками")</f>
      </c>
      <c r="C28500" s="4" t="n">
        <v>556.00</v>
      </c>
      <c r="D28500" s="4"/>
    </row>
    <row collapsed="" customFormat="false" customHeight="1" hidden="" ht="14" outlineLevel="0" r="28501">
      <c r="A28501" s="3" t="inlineStr">
        <is>
          <t>28373</t>
        </is>
      </c>
      <c r="B28501" s="4" t="s">
        <f>=HYPERLINK("http://anyluxury.ru/shop/sumki-i-ryukzaki/sumki-dlya-pokupok/holshhovaya-sumka-neat-140-sinyaya-2340/" , "23.40 Холщовая сумка Neat 140, синяя")</f>
      </c>
      <c r="C28501" s="4" t="n">
        <v>264.00</v>
      </c>
      <c r="D28501" s="4"/>
    </row>
    <row collapsed="" customFormat="false" customHeight="1" hidden="" ht="14" outlineLevel="0" r="28502">
      <c r="A28502" s="3" t="inlineStr">
        <is>
          <t>28374</t>
        </is>
      </c>
      <c r="B28502" s="4" t="s">
        <f>=HYPERLINK("http://anyluxury.ru/shop/sumki-i-ryukzaki/sumki-dlya-pokupok/sumka-luna-belaya-s-temnosinim-02097904tun/" , "02097904TUN Сумка Luna, белая с темно-синим")</f>
      </c>
      <c r="C28502" s="4" t="n">
        <v>919.00</v>
      </c>
      <c r="D28502" s="4"/>
    </row>
    <row collapsed="" customFormat="false" customHeight="1" hidden="" ht="14" outlineLevel="0" r="28503">
      <c r="A28503" s="3" t="inlineStr">
        <is>
          <t>28375</t>
        </is>
      </c>
      <c r="B28503" s="4" t="s">
        <f>=HYPERLINK("http://anyluxury.ru/shop/sumki-i-ryukzaki/sumki-dlya-pokupok/sumka-dlya-pokupok-span-3d-chernaya-431130/" , "4311.30 Сумка для покупок Span 3D, черная")</f>
      </c>
      <c r="C28503" s="4" t="n">
        <v>49.00</v>
      </c>
      <c r="D28503" s="4"/>
    </row>
    <row collapsed="" customFormat="false" customHeight="1" hidden="" ht="14" outlineLevel="0" r="28504">
      <c r="A28504" s="3" t="inlineStr">
        <is>
          <t>28376</t>
        </is>
      </c>
      <c r="B28504" s="4" t="s">
        <f>=HYPERLINK("http://anyluxury.ru/shop/sumki-i-ryukzaki/sumki-dlya-pokupok/holshhovaya-sumka-strong-210-chernaya-525330/" , "5253.30 Холщовая сумка Strong 210, черная")</f>
      </c>
      <c r="C28504" s="4" t="n">
        <v>297.00</v>
      </c>
      <c r="D28504" s="4"/>
    </row>
    <row collapsed="" customFormat="false" customHeight="1" hidden="" ht="14" outlineLevel="0" r="28505">
      <c r="A28505" s="3" t="inlineStr">
        <is>
          <t>28377</t>
        </is>
      </c>
      <c r="B28505" s="4" t="s">
        <f>=HYPERLINK("http://anyluxury.ru/shop/sumki-i-ryukzaki/sumki-dlya-pokupok/holshhovaya-sumka-avoska-temnosinyaya-1129340/" , "11293.40 Холщовая сумка Avoska, темно-синяя")</f>
      </c>
      <c r="C28505" s="4" t="n">
        <v>399.00</v>
      </c>
      <c r="D28505" s="4"/>
    </row>
    <row collapsed="" customFormat="false" customHeight="1" hidden="" ht="14" outlineLevel="0" r="28506">
      <c r="A28506" s="3" t="inlineStr">
        <is>
          <t>28378</t>
        </is>
      </c>
      <c r="B28506" s="4" t="s">
        <f>=HYPERLINK("http://anyluxury.ru/shop/sumki-i-ryukzaki/sumki-dlya-pokupok/holshhovaya-sumka-countryside-260-chernaya-2230/" , "22.30 Холщовая сумка Countryside, черная")</f>
      </c>
      <c r="C28506" s="4" t="n">
        <v>434.00</v>
      </c>
      <c r="D28506" s="4"/>
    </row>
    <row collapsed="" customFormat="false" customHeight="1" hidden="" ht="14" outlineLevel="0" r="28507">
      <c r="A28507" s="3" t="inlineStr">
        <is>
          <t>28379</t>
        </is>
      </c>
      <c r="B28507" s="4" t="s">
        <f>=HYPERLINK("http://anyluxury.ru/shop/sumki-i-ryukzaki/sumki-dlya-pokupok/holshhovaya-sumka-shelty-neokrashennaya-1160466/" , "11604.66 Холщовая сумка Shelty, неокрашенная")</f>
      </c>
      <c r="C28507" s="4" t="n">
        <v>687.00</v>
      </c>
      <c r="D28507" s="4"/>
    </row>
    <row collapsed="" customFormat="false" customHeight="1" hidden="" ht="14" outlineLevel="0" r="28508">
      <c r="A28508" s="3" t="inlineStr">
        <is>
          <t>28380</t>
        </is>
      </c>
      <c r="B28508" s="4" t="s">
        <f>=HYPERLINK("http://anyluxury.ru/shop/sumki-i-ryukzaki/sumki-dlya-pokupok/sumka-holshhovaya-cherez-plecho-artspace-neokrashennaya-1087866/" , "10878.66 Сумка холщовая через плечо Artspace, неокрашенная")</f>
      </c>
      <c r="C28508" s="4" t="n">
        <v>694.00</v>
      </c>
      <c r="D28508" s="4"/>
    </row>
    <row collapsed="" customFormat="false" customHeight="1" hidden="" ht="14" outlineLevel="0" r="28509">
      <c r="A28509" s="3" t="inlineStr">
        <is>
          <t>28381</t>
        </is>
      </c>
      <c r="B28509" s="4" t="s">
        <f>=HYPERLINK("http://anyluxury.ru/shop/sumki-i-ryukzaki/sumki-dlya-pokupok/holshhovaya-sumka-avoska-neokrashennaya-1129366/" , "11293.66 Холщовая сумка Avoska, неокрашенная")</f>
      </c>
      <c r="C28509" s="4" t="n">
        <v>399.00</v>
      </c>
      <c r="D28509" s="4"/>
    </row>
    <row collapsed="" customFormat="false" customHeight="1" hidden="" ht="14" outlineLevel="0" r="28510">
      <c r="A28510" s="3" t="inlineStr">
        <is>
          <t>28382</t>
        </is>
      </c>
      <c r="B28510" s="4" t="s">
        <f>=HYPERLINK("http://anyluxury.ru/shop/sumki-i-ryukzaki/sumki-dlya-pokupok/sumka-dlya-pokupok-organic-zen-kremovaya-76900101tun/" , "76900101TUN Сумка для покупок Organic Zen, бежевая")</f>
      </c>
      <c r="C28510" s="4" t="n">
        <v>481.00</v>
      </c>
      <c r="D28510" s="4"/>
    </row>
    <row collapsed="" customFormat="false" customHeight="1" hidden="" ht="14" outlineLevel="0" r="28511">
      <c r="A28511" s="3" t="inlineStr">
        <is>
          <t>28383</t>
        </is>
      </c>
      <c r="B28511" s="4" t="s">
        <f>=HYPERLINK("http://anyluxury.ru/shop/sumki-i-ryukzaki/sumki-dlya-pokupok/sumka-dlya-pokupok-hamilton-zelenoe-yabloko-s-yarkosinim-01683887tun/" , "01683887TUN Сумка для покупок Hamilton, зеленое яблоко с ярко-синим")</f>
      </c>
      <c r="C28511" s="4" t="n">
        <v>559.00</v>
      </c>
      <c r="D28511" s="4"/>
    </row>
    <row collapsed="" customFormat="false" customHeight="1" hidden="" ht="14" outlineLevel="0" r="28512">
      <c r="A28512" s="3" t="inlineStr">
        <is>
          <t>28384</t>
        </is>
      </c>
      <c r="B28512" s="4" t="s">
        <f>=HYPERLINK("http://anyluxury.ru/shop/sumki-i-ryukzaki/sumki-dlya-pokupok/sumka-dlya-pokupok-hamilton-krasnaya-s-belim-01683908tun/" , "01683908TUN Сумка для покупок Hamilton, красная с белым")</f>
      </c>
      <c r="C28512" s="4" t="n">
        <v>559.00</v>
      </c>
      <c r="D28512" s="4"/>
    </row>
    <row collapsed="" customFormat="false" customHeight="1" hidden="" ht="14" outlineLevel="0" r="28513">
      <c r="A28513" s="3" t="inlineStr">
        <is>
          <t>28385</t>
        </is>
      </c>
      <c r="B28513" s="4" t="s">
        <f>=HYPERLINK("http://anyluxury.ru/shop/sumki-i-ryukzaki/sumki-dlya-pokupok/sumka-dlya-pokupok-hamilton-sinyaya-c-oranzhevim-01683885tun/" , "01683885TUN Сумка для покупок Hamilton, синяя c оранжевым")</f>
      </c>
      <c r="C28513" s="4" t="n">
        <v>559.00</v>
      </c>
      <c r="D28513" s="4"/>
    </row>
    <row collapsed="" customFormat="false" customHeight="1" hidden="" ht="14" outlineLevel="0" r="28514">
      <c r="A28514" s="3" t="inlineStr">
        <is>
          <t>28386</t>
        </is>
      </c>
      <c r="B28514" s="4" t="s">
        <f>=HYPERLINK("http://anyluxury.ru/shop/sumki-i-ryukzaki/sumki-dlya-pokupok/sumka-dlya-pokupok-hamilton-belaya-s-temnosinim-01683989tun/" , "01683989TUN Сумка для покупок Hamilton, белая с темно-синим")</f>
      </c>
      <c r="C28514" s="4" t="n">
        <v>559.00</v>
      </c>
      <c r="D28514" s="4"/>
    </row>
    <row collapsed="" customFormat="false" customHeight="1" hidden="" ht="14" outlineLevel="0" r="28515">
      <c r="A28515" s="3" t="inlineStr">
        <is>
          <t>28387</t>
        </is>
      </c>
      <c r="B28515" s="4" t="s">
        <f>=HYPERLINK("http://anyluxury.ru/shop/sumki-i-ryukzaki/sumki-dlya-pokupok/holshhovaya-sumka-countryside-belaya-2260/" , "22.60 Холщовая сумка Countryside, белая")</f>
      </c>
      <c r="C28515" s="4" t="n">
        <v>434.00</v>
      </c>
      <c r="D28515" s="4"/>
    </row>
    <row collapsed="" customFormat="false" customHeight="1" hidden="" ht="14" outlineLevel="0" r="28516">
      <c r="A28516" s="3" t="inlineStr">
        <is>
          <t>28388</t>
        </is>
      </c>
      <c r="B28516" s="4" t="s">
        <f>=HYPERLINK("http://anyluxury.ru/shop/sumki-i-ryukzaki/sumki-dlya-pokupok/sumka-dlya-pokupok-na-molnii-shopaholic-zip-chernaya-1168330/" , "11683.30 Сумка для покупок на молнии Shopaholic Zip, неокрашенная с черным")</f>
      </c>
      <c r="C28516" s="4" t="n">
        <v>739.00</v>
      </c>
      <c r="D28516" s="4"/>
    </row>
    <row collapsed="" customFormat="false" customHeight="1" hidden="" ht="14" outlineLevel="0" r="28517">
      <c r="A28517" s="3" t="inlineStr">
        <is>
          <t>28389</t>
        </is>
      </c>
      <c r="B28517" s="4" t="s">
        <f>=HYPERLINK("http://anyluxury.ru/shop/sumki-i-ryukzaki/sumki-dlya-pokupok/sumka-dlya-pokupok-na-molnii-shopaholic-zip-yarkosinyaya-1168344/" , "11683.44 Сумка для покупок на молнии Shopaholic Zip, неокрашенная с синим")</f>
      </c>
      <c r="C28517" s="4" t="n">
        <v>739.00</v>
      </c>
      <c r="D28517" s="4"/>
    </row>
    <row collapsed="" customFormat="false" customHeight="1" hidden="" ht="14" outlineLevel="0" r="28518">
      <c r="A28518" s="3" t="inlineStr">
        <is>
          <t>28390</t>
        </is>
      </c>
      <c r="B28518" s="4" t="s">
        <f>=HYPERLINK("http://anyluxury.ru/shop/sumki-i-ryukzaki/sumki-dlya-pokupok/holshhovaya-sumka-shopaholic-chernaya-1174363/" , "11743.63 Холщовая сумка Shopaholic, черная")</f>
      </c>
      <c r="C28518" s="4" t="n">
        <v>587.00</v>
      </c>
      <c r="D28518" s="4"/>
    </row>
    <row collapsed="" customFormat="false" customHeight="1" hidden="" ht="14" outlineLevel="0" r="28519">
      <c r="A28519" s="3" t="inlineStr">
        <is>
          <t>28391</t>
        </is>
      </c>
      <c r="B28519" s="4" t="s">
        <f>=HYPERLINK("http://anyluxury.ru/shop/sumki-i-ryukzaki/sumki-dlya-pokupok/sumka-carryall-bolshaya-navy-725044/" , "7250.44 Сумка Carryall, большая, темно-синяя (navy)")</f>
      </c>
      <c r="C28519" s="4" t="n">
        <v>42.00</v>
      </c>
      <c r="D28519" s="4"/>
    </row>
    <row collapsed="" customFormat="false" customHeight="1" hidden="" ht="14" outlineLevel="0" r="28520">
      <c r="A28520" s="3" t="inlineStr">
        <is>
          <t>28392</t>
        </is>
      </c>
      <c r="B28520" s="4" t="s">
        <f>=HYPERLINK("http://anyluxury.ru/shop/sumki-i-ryukzaki/sumki-dlya-pokupok/sumka-dlya-pokupok-mercat-neokrashennaya-1267766/" , "12677.66 Сумка для покупок Mercat, неокрашенная")</f>
      </c>
      <c r="C28520" s="4" t="n">
        <v>407.00</v>
      </c>
      <c r="D28520" s="4"/>
    </row>
    <row collapsed="" customFormat="false" customHeight="1" hidden="" ht="14" outlineLevel="0" r="28521">
      <c r="A28521" s="3" t="inlineStr">
        <is>
          <t>28393</t>
        </is>
      </c>
      <c r="B28521" s="4" t="s">
        <f>=HYPERLINK("http://anyluxury.ru/shop/sumki-i-ryukzaki/sumki-dlya-pokupok/sumka-dlya-pokupok-packins-belaya-1246260/" , "12462.60 Складная сумка для покупок Packins, белая")</f>
      </c>
      <c r="C28521" s="4" t="n">
        <v>319.00</v>
      </c>
      <c r="D28521" s="4"/>
    </row>
    <row collapsed="" customFormat="false" customHeight="1" hidden="" ht="14" outlineLevel="0" r="28522">
      <c r="A28522" s="3" t="inlineStr">
        <is>
          <t>28394</t>
        </is>
      </c>
      <c r="B28522" s="4" t="s">
        <f>=HYPERLINK("http://anyluxury.ru/shop/sumki-i-ryukzaki/sumki-dlya-pokupok/sumka-dlya-pokupok-glare-flare-1236100/" , "12361.00 Сумка для покупок Glare Flare")</f>
      </c>
      <c r="C28522" s="4" t="n">
        <v>822.00</v>
      </c>
      <c r="D28522" s="4"/>
    </row>
    <row collapsed="" customFormat="false" customHeight="1" hidden="" ht="14" outlineLevel="0" r="28523">
      <c r="A28523" s="3" t="inlineStr">
        <is>
          <t>28395</t>
        </is>
      </c>
      <c r="B28523" s="4" t="s">
        <f>=HYPERLINK("http://anyluxury.ru/shop/sumki-i-ryukzaki/sumki-dlya-pokupok/holshhovaya-sumka-avoska-zheltaya-1129380/" , "11293.80 Холщовая сумка Avoska, желтая")</f>
      </c>
      <c r="C28523" s="4" t="n">
        <v>399.00</v>
      </c>
      <c r="D28523" s="4"/>
    </row>
    <row collapsed="" customFormat="false" customHeight="1" hidden="" ht="14" outlineLevel="0" r="28524">
      <c r="A28524" s="3" t="inlineStr">
        <is>
          <t>28396</t>
        </is>
      </c>
      <c r="B28524" s="4" t="s">
        <f>=HYPERLINK("http://anyluxury.ru/shop/sumki-i-ryukzaki/sumki-dlya-pokupok/holshhovaya-sumka-avoska-zelenoe-yabloko-1129394/" , "11293.94 Холщовая сумка Avoska, зеленое яблоко")</f>
      </c>
      <c r="C28524" s="4" t="n">
        <v>399.00</v>
      </c>
      <c r="D28524" s="4"/>
    </row>
    <row collapsed="" customFormat="false" customHeight="1" hidden="" ht="14" outlineLevel="0" r="28525">
      <c r="A28525" s="3" t="inlineStr">
        <is>
          <t>28397</t>
        </is>
      </c>
      <c r="B28525" s="4" t="s">
        <f>=HYPERLINK("http://anyluxury.ru/shop/sumki-i-ryukzaki/sumki-dlya-pokupok/holshhovaya-sumka-countryside-temnosinyaya-2240/" , "22.40 Холщовая сумка Countryside, темно-синяя")</f>
      </c>
      <c r="C28525" s="4" t="n">
        <v>434.00</v>
      </c>
      <c r="D28525" s="4"/>
    </row>
    <row collapsed="" customFormat="false" customHeight="1" hidden="" ht="14" outlineLevel="0" r="28526">
      <c r="A28526" s="3" t="inlineStr">
        <is>
          <t>28398</t>
        </is>
      </c>
      <c r="B28526" s="4" t="s">
        <f>=HYPERLINK("http://anyluxury.ru/shop/sumki-i-ryukzaki/sumki-dlya-pokupok/sumka-dlya-pokupok-na-molnii-shopaholic-zip-sinyaya-1168340/" , "11683.40 Сумка для покупок на молнии Shopaholic Zip, синяя")</f>
      </c>
      <c r="C28526" s="4" t="n">
        <v>739.00</v>
      </c>
      <c r="D28526" s="4"/>
    </row>
    <row collapsed="" customFormat="false" customHeight="1" hidden="" ht="14" outlineLevel="0" r="28527">
      <c r="A28527" s="3" t="inlineStr">
        <is>
          <t>28399</t>
        </is>
      </c>
      <c r="B28527" s="4" t="s">
        <f>=HYPERLINK("http://anyluxury.ru/shop/sumki-i-ryukzaki/sumki-dlya-pokupok/sumka-dlya-pokupok-torbica-neokrashennaya-1381366/" , "13813.66 Сумка для покупок Torbica, неокрашенная")</f>
      </c>
      <c r="C28527" s="4" t="n">
        <v>260.00</v>
      </c>
      <c r="D28527" s="4"/>
    </row>
    <row collapsed="" customFormat="false" customHeight="1" hidden="" ht="14" outlineLevel="0" r="28528">
      <c r="A28528" s="3" t="inlineStr">
        <is>
          <t>28400</t>
        </is>
      </c>
      <c r="B28528" s="4" t="s">
        <f>=HYPERLINK("http://anyluxury.ru/shop/sumki-i-ryukzaki/sumki-dlya-pokupok/sumka-dlya-pokupok-torbica-color-chernaya-1381430/" , "13814.30 Сумка для покупок Torbica Color, черная")</f>
      </c>
      <c r="C28528" s="4" t="n">
        <v>278.00</v>
      </c>
      <c r="D28528" s="4"/>
    </row>
    <row collapsed="" customFormat="false" customHeight="1" hidden="" ht="14" outlineLevel="0" r="28529">
      <c r="A28529" s="3" t="inlineStr">
        <is>
          <t>28401</t>
        </is>
      </c>
      <c r="B28529" s="4" t="s">
        <f>=HYPERLINK("http://anyluxury.ru/shop/sumki-i-ryukzaki/sumki-dlya-pokupok/sumka-dlya-pokupok-torbica-color-krasnaya-1381450/" , "13814.50 Сумка для покупок Torbica Color, красная")</f>
      </c>
      <c r="C28529" s="4" t="n">
        <v>278.00</v>
      </c>
      <c r="D28529" s="4"/>
    </row>
    <row collapsed="" customFormat="false" customHeight="1" hidden="" ht="14" outlineLevel="0" r="28530">
      <c r="A28530" s="3" t="inlineStr">
        <is>
          <t>28402</t>
        </is>
      </c>
      <c r="B28530" s="4" t="s">
        <f>=HYPERLINK("http://anyluxury.ru/shop/sumki-i-ryukzaki/sumki-dlya-pokupok/sumka-dlya-pokupok-torbica-color-belaya-1381460/" , "13814.60 Сумка для покупок Torbica Color, белая")</f>
      </c>
      <c r="C28530" s="4" t="n">
        <v>278.00</v>
      </c>
      <c r="D28530" s="4"/>
    </row>
    <row collapsed="" customFormat="false" customHeight="1" hidden="" ht="14" outlineLevel="0" r="28531">
      <c r="A28531" s="3" t="inlineStr">
        <is>
          <t>28403</t>
        </is>
      </c>
      <c r="B28531" s="4" t="s">
        <f>=HYPERLINK("http://anyluxury.ru/shop/sumki-i-ryukzaki/sumki-dlya-pokupok/sumka-dlya-pokupok-torbica-color-zheltaya-1381480/" , "13814.80 Сумка для покупок Torbica Color, желтая")</f>
      </c>
      <c r="C28531" s="4" t="n">
        <v>278.00</v>
      </c>
      <c r="D28531" s="4"/>
    </row>
    <row collapsed="" customFormat="false" customHeight="1" hidden="" ht="14" outlineLevel="0" r="28532">
      <c r="A28532" s="3" t="inlineStr">
        <is>
          <t>28404</t>
        </is>
      </c>
      <c r="B28532" s="4" t="s">
        <f>=HYPERLINK("http://anyluxury.ru/shop/sumki-i-ryukzaki/sumki-dlya-pokupok/sumka-dlya-pokupok-torbica-color-sinyaya-1381440/" , "13814.40 Сумка для покупок Torbica Color, синяя")</f>
      </c>
      <c r="C28532" s="4" t="n">
        <v>278.00</v>
      </c>
      <c r="D28532" s="4"/>
    </row>
    <row collapsed="" customFormat="false" customHeight="1" hidden="" ht="14" outlineLevel="0" r="28533">
      <c r="A28533" s="3" t="inlineStr">
        <is>
          <t>28405</t>
        </is>
      </c>
      <c r="B28533" s="4" t="s">
        <f>=HYPERLINK("http://anyluxury.ru/shop/sumki-i-ryukzaki/sumki-dlya-pokupok/sumka-dlya-pokupok-torbica-color-zelenoe-yabloko-1381494/" , "13814.94 Сумка для покупок Torbica Color, зеленое яблоко")</f>
      </c>
      <c r="C28533" s="4" t="n">
        <v>278.00</v>
      </c>
      <c r="D28533" s="4"/>
    </row>
    <row collapsed="" customFormat="false" customHeight="1" hidden="" ht="14" outlineLevel="0" r="28534">
      <c r="A28534" s="3" t="inlineStr">
        <is>
          <t>28406</t>
        </is>
      </c>
      <c r="B28534" s="4" t="s">
        <f>=HYPERLINK("http://anyluxury.ru/shop/sumki-i-ryukzaki/sumki-dlya-pokupok/sumka-dlya-pokupok-torbica-color-oranzhevaya-1381420/" , "13814.20 Сумка для покупок Torbica Color, оранжевая")</f>
      </c>
      <c r="C28534" s="4" t="n">
        <v>278.00</v>
      </c>
      <c r="D28534" s="4"/>
    </row>
    <row collapsed="" customFormat="false" customHeight="1" hidden="" ht="14" outlineLevel="0" r="28535">
      <c r="A28535" s="3" t="inlineStr">
        <is>
          <t>28407</t>
        </is>
      </c>
      <c r="B28535" s="4" t="s">
        <f>=HYPERLINK("http://anyluxury.ru/shop/sumki-i-ryukzaki/sumki-dlya-pokupok/holshhovaya-sumka-avoska-temnoseraya-1129313/" , "11293.13 Холщовая сумка Avoska, темно-серая (серо-стальная)")</f>
      </c>
      <c r="C28535" s="4" t="n">
        <v>399.00</v>
      </c>
      <c r="D28535" s="4"/>
    </row>
    <row collapsed="" customFormat="false" customHeight="1" hidden="" ht="14" outlineLevel="0" r="28536">
      <c r="A28536" s="3" t="inlineStr">
        <is>
          <t>28408</t>
        </is>
      </c>
      <c r="B28536" s="4" t="s">
        <f>=HYPERLINK("http://anyluxury.ru/shop/sumki-i-ryukzaki/sumki-dlya-pokupok/holshhovaya-sumka-avoska-haki-1129399/" , "11293.99 Холщовая сумка Avoska, хаки")</f>
      </c>
      <c r="C28536" s="4" t="n">
        <v>399.00</v>
      </c>
      <c r="D28536" s="4"/>
    </row>
    <row collapsed="" customFormat="false" customHeight="1" hidden="" ht="14" outlineLevel="0" r="28537">
      <c r="A28537" s="3" t="inlineStr">
        <is>
          <t>28409</t>
        </is>
      </c>
      <c r="B28537" s="4" t="s">
        <f>=HYPERLINK("http://anyluxury.ru/shop/sumki-i-ryukzaki/sumki-dlya-pokupok/shoper-manifest-color-iz-svetootrazhayushhey-tkani-siniy-1342440/" , "13424.40 Шопер Manifest Color из светоотражающей ткани, синий")</f>
      </c>
      <c r="C28537" s="4" t="n">
        <v>799.00</v>
      </c>
      <c r="D28537" s="4"/>
    </row>
    <row collapsed="" customFormat="false" customHeight="1" hidden="" ht="14" outlineLevel="0" r="28538">
      <c r="A28538" s="3" t="inlineStr">
        <is>
          <t>28410</t>
        </is>
      </c>
      <c r="B28538" s="4" t="s">
        <f>=HYPERLINK("http://anyluxury.ru/shop/sumki-i-ryukzaki/sumki-dlya-pokupok/shoper-manifest-color-iz-svetootrazhayushhey-tkani-zheltiy-neon-1342489/" , "13424.89 Шопер Manifest Color из светоотражающей ткани, желтый неон")</f>
      </c>
      <c r="C28538" s="4" t="n">
        <v>799.00</v>
      </c>
      <c r="D28538" s="4"/>
    </row>
    <row collapsed="" customFormat="false" customHeight="1" hidden="" ht="14" outlineLevel="0" r="28539">
      <c r="A28539" s="3" t="inlineStr">
        <is>
          <t>28411</t>
        </is>
      </c>
      <c r="B28539" s="4" t="s">
        <f>=HYPERLINK("http://anyluxury.ru/shop/sumki-i-ryukzaki/sumki-dlya-pokupok/shoper-manifest-color-iz-svetootrazhayushhey-tkani-oranzheviy-1342420/" , "13424.20 Шопер Manifest Color из светоотражающей ткани, оранжевый")</f>
      </c>
      <c r="C28539" s="4" t="n">
        <v>799.00</v>
      </c>
      <c r="D28539" s="4"/>
    </row>
    <row collapsed="" customFormat="false" customHeight="1" hidden="" ht="14" outlineLevel="0" r="28540">
      <c r="A28540" s="3" t="inlineStr">
        <is>
          <t>28412</t>
        </is>
      </c>
      <c r="B28540" s="4" t="s">
        <f>=HYPERLINK("http://anyluxury.ru/shop/sumki-i-ryukzaki/sumki-dlya-pokupok/sumka-dlya-pokupok-blue-marble-7148814/" , "71488.14 Сумка для покупок Blue Marble")</f>
      </c>
      <c r="C28540" s="4" t="n">
        <v>890.00</v>
      </c>
      <c r="D28540" s="4"/>
    </row>
    <row collapsed="" customFormat="false" customHeight="1" hidden="" ht="14" outlineLevel="0" r="28541">
      <c r="A28541" s="3" t="inlineStr">
        <is>
          <t>28413</t>
        </is>
      </c>
      <c r="B28541" s="4" t="s">
        <f>=HYPERLINK("http://anyluxury.ru/shop/sumki-i-ryukzaki/sumki-dlya-pokupok/sumka-dlya-pokupok-doodles-7149380/" , "71493.80 Сумка для покупок Doodles")</f>
      </c>
      <c r="C28541" s="4" t="n">
        <v>890.00</v>
      </c>
      <c r="D28541" s="4"/>
    </row>
    <row collapsed="" customFormat="false" customHeight="1" hidden="" ht="14" outlineLevel="0" r="28542">
      <c r="A28542" s="3" t="inlineStr">
        <is>
          <t>28414</t>
        </is>
      </c>
      <c r="B28542" s="4" t="s">
        <f>=HYPERLINK("http://anyluxury.ru/shop/sumki-i-ryukzaki/sumki-dlya-pokupok/sumka-ecotorba-na-zakaz-1894001/" , "18940.01 Сумка EcoBag из спанбонда на заказ")</f>
      </c>
      <c r="C28542" s="4" t="n">
        <v>59.33</v>
      </c>
      <c r="D28542" s="4"/>
    </row>
    <row collapsed="" customFormat="false" customHeight="1" hidden="" ht="14" outlineLevel="0" r="28543">
      <c r="A28543" s="3" t="inlineStr">
        <is>
          <t>28415</t>
        </is>
      </c>
      <c r="B28543" s="4" t="s">
        <f>=HYPERLINK("http://anyluxury.ru/shop/sumki-i-ryukzaki/sumki-dlya-pokupok/sumka-ecotorba-iz-spanbonda-na-zakaz-1894601/" , "18946.01 Сумка EcoTorba из спанбонда на заказ")</f>
      </c>
      <c r="C28543" s="4" t="n">
        <v>68.46</v>
      </c>
      <c r="D28543" s="4"/>
    </row>
    <row collapsed="" customFormat="false" customHeight="1" hidden="" ht="14" outlineLevel="0" r="28544">
      <c r="A28544" s="3" t="inlineStr">
        <is>
          <t>28416</t>
        </is>
      </c>
      <c r="B28544" s="4" t="s">
        <f>=HYPERLINK("http://anyluxury.ru/shop/sumki-i-ryukzaki/sumki-dlya-pokupok/sumka-dlya-pokupok-awake-bezhevaya-03829101tun/" , "03829101TUN Сумка для покупок Awake, бежевая")</f>
      </c>
      <c r="C28544" s="4" t="n">
        <v>416.00</v>
      </c>
      <c r="D28544" s="4"/>
    </row>
    <row collapsed="" customFormat="false" customHeight="1" hidden="" ht="14" outlineLevel="0" r="28545">
      <c r="A28545" s="3" t="inlineStr">
        <is>
          <t>28417</t>
        </is>
      </c>
      <c r="B28545" s="4" t="s">
        <f>=HYPERLINK("http://anyluxury.ru/shop/sumki-i-ryukzaki/sumki-dlya-pokupok/sumka-dlya-pokupok-awake-chernaya-03829312tun/" , "03829312TUN Сумка для покупок Awake, черная")</f>
      </c>
      <c r="C28545" s="4" t="n">
        <v>416.00</v>
      </c>
      <c r="D28545" s="4"/>
    </row>
    <row collapsed="" customFormat="false" customHeight="1" hidden="" ht="14" outlineLevel="0" r="28546">
      <c r="A28546" s="3" t="inlineStr">
        <is>
          <t>28418</t>
        </is>
      </c>
      <c r="B28546" s="4" t="s">
        <f>=HYPERLINK("http://anyluxury.ru/shop/sumki-i-ryukzaki/sumki-dlya-pokupok/sumka-dlya-pokupok-awake-temnosinyaya-03829319tun/" , "03829319TUN Сумка для покупок Awake, темно-синяя")</f>
      </c>
      <c r="C28546" s="4" t="n">
        <v>416.00</v>
      </c>
      <c r="D28546" s="4"/>
    </row>
    <row collapsed="" customFormat="false" customHeight="1" hidden="" ht="14" outlineLevel="0" r="28547">
      <c r="A28547" s="3" t="inlineStr">
        <is>
          <t>28419</t>
        </is>
      </c>
      <c r="B28547" s="4" t="s">
        <f>=HYPERLINK("http://anyluxury.ru/shop/sumki-i-ryukzaki/sumki-dlya-pokupok/sumka-dlya-pokupok-awake-goluboy-melanzh-03829236tun/" , "03829236TUN Сумка для покупок Awake, голубой меланж")</f>
      </c>
      <c r="C28547" s="4" t="n">
        <v>416.00</v>
      </c>
      <c r="D28547" s="4"/>
    </row>
    <row collapsed="" customFormat="false" customHeight="1" hidden="" ht="14" outlineLevel="0" r="28548">
      <c r="A28548" s="3" t="inlineStr">
        <is>
          <t>28420</t>
        </is>
      </c>
      <c r="B28548" s="4" t="s">
        <f>=HYPERLINK("http://anyluxury.ru/shop/sumki-i-ryukzaki/sumki-dlya-pokupok/sumka-dlya-pokupok-awake-rozoviy-melanzh-03829151tun/" , "03829151TUN Сумка для покупок Awake, розовый меланж")</f>
      </c>
      <c r="C28548" s="4" t="n">
        <v>416.00</v>
      </c>
      <c r="D28548" s="4"/>
    </row>
    <row collapsed="" customFormat="false" customHeight="1" hidden="" ht="14" outlineLevel="0" r="28549">
      <c r="A28549" s="3" t="inlineStr">
        <is>
          <t>28421</t>
        </is>
      </c>
      <c r="B28549" s="4" t="s">
        <f>=HYPERLINK("http://anyluxury.ru/shop/sumki-i-ryukzaki/sumki-dlya-pokupok/sumka-dlya-pokupok-awake-haki-03829268tun/" , "03829268TUN Сумка для покупок Awake, хаки")</f>
      </c>
      <c r="C28549" s="4" t="n">
        <v>416.00</v>
      </c>
      <c r="D28549" s="4"/>
    </row>
    <row collapsed="" customFormat="false" customHeight="1" hidden="" ht="14" outlineLevel="0" r="28550">
      <c r="A28550" s="3" t="inlineStr">
        <is>
          <t>28422</t>
        </is>
      </c>
      <c r="B28550" s="4" t="s">
        <f>=HYPERLINK("http://anyluxury.ru/shop/sumki-i-ryukzaki/sumki-dlya-pokupok/sumka-dlya-pokupok-awake-seriy-melanzh-03829360tun/" , "03829360TUN Сумка для покупок Awake, серый меланж")</f>
      </c>
      <c r="C28550" s="4" t="n">
        <v>416.00</v>
      </c>
      <c r="D28550" s="4"/>
    </row>
    <row collapsed="" customFormat="false" customHeight="1" hidden="" ht="14" outlineLevel="0" r="28551">
      <c r="A28551" s="3" t="inlineStr">
        <is>
          <t>28423</t>
        </is>
      </c>
      <c r="B28551" s="4" t="s">
        <f>=HYPERLINK("http://anyluxury.ru/shop/sumki-i-ryukzaki/sumki-dlya-pokupok/holshhovaya-sumka-colorit-s-pechatyu-na-zakaz-1895401/" , "18954.01 Холщовая сумка Colorit 250 с печатью на заказ")</f>
      </c>
      <c r="C28551" s="4" t="n">
        <v>418.00</v>
      </c>
      <c r="D28551" s="4"/>
    </row>
    <row collapsed="" customFormat="false" customHeight="1" hidden="" ht="14" outlineLevel="0" r="28552">
      <c r="A28552" s="3" t="inlineStr">
        <is>
          <t>28424</t>
        </is>
      </c>
      <c r="B28552" s="4" t="s">
        <f>=HYPERLINK("http://anyluxury.ru/shop/sumki-i-ryukzaki/sumki-dlya-pokupok/holshhovaya-sumka-countryside-oranzhevaya-2220/" , "22.20 Холщовая сумка Countryside, оранжевая")</f>
      </c>
      <c r="C28552" s="4" t="n">
        <v>399.00</v>
      </c>
      <c r="D28552" s="4"/>
    </row>
    <row collapsed="" customFormat="false" customHeight="1" hidden="" ht="14" outlineLevel="0" r="28553">
      <c r="A28553" s="3" t="inlineStr">
        <is>
          <t>28425</t>
        </is>
      </c>
      <c r="B28553" s="4" t="s">
        <f>=HYPERLINK("http://anyluxury.ru/shop/sumki-i-ryukzaki/sumki-dlya-pokupok/holshhovaya-sumka-countryside-golubaya-vasilkovaya-2241/" , "22.41 Холщовая сумка Countryside, голубая (васильковая)")</f>
      </c>
      <c r="C28553" s="4" t="n">
        <v>399.00</v>
      </c>
      <c r="D28553" s="4"/>
    </row>
    <row collapsed="" customFormat="false" customHeight="1" hidden="" ht="14" outlineLevel="0" r="28554">
      <c r="A28554" s="3" t="inlineStr">
        <is>
          <t>28426</t>
        </is>
      </c>
      <c r="B28554" s="4" t="s">
        <f>=HYPERLINK("http://anyluxury.ru/shop/sumki-i-ryukzaki/sumki-dlya-pokupok/holshhovaya-sumka-countryside-fioletovaya-2270/" , "22.70 Холщовая сумка Countryside, фиолетовая")</f>
      </c>
      <c r="C28554" s="4" t="n">
        <v>399.00</v>
      </c>
      <c r="D28554" s="4"/>
    </row>
    <row collapsed="" customFormat="false" customHeight="1" hidden="" ht="14" outlineLevel="0" r="28555">
      <c r="A28555" s="3" t="inlineStr">
        <is>
          <t>28427</t>
        </is>
      </c>
      <c r="B28555" s="4" t="s">
        <f>=HYPERLINK("http://anyluxury.ru/shop/sumki-i-ryukzaki/sumki-dlya-pokupok/sumka-dlya-pokupok-linne-belaya-1521760/" , "15217.60 Сумка для покупок Linne, белая")</f>
      </c>
      <c r="C28555" s="4" t="n">
        <v>591.00</v>
      </c>
      <c r="D28555" s="4"/>
    </row>
    <row collapsed="" customFormat="false" customHeight="1" hidden="" ht="14" outlineLevel="0" r="28556">
      <c r="A28556" s="3" t="inlineStr">
        <is>
          <t>28428</t>
        </is>
      </c>
      <c r="B28556" s="4" t="s">
        <f>=HYPERLINK("http://anyluxury.ru/shop/sumki-i-ryukzaki/sumki-dlya-pokupok/sumka-dlya-pokupok-primernaya-chernaya-7149730/" , "71497.30 Сумка для покупок «Примерная», черная")</f>
      </c>
      <c r="C28556" s="4" t="n">
        <v>890.00</v>
      </c>
      <c r="D28556" s="4"/>
    </row>
    <row collapsed="" customFormat="false" customHeight="1" hidden="" ht="14" outlineLevel="0" r="28557">
      <c r="A28557" s="3" t="inlineStr">
        <is>
          <t>28429</t>
        </is>
      </c>
      <c r="B28557" s="4" t="s">
        <f>=HYPERLINK("http://anyluxury.ru/shop/sumki-i-ryukzaki/sumki-dlya-pokupok/shopper-tie-hard-neokrashenniy-1381666/" , "13816.66 Шопер Tie Hard, неокрашенный")</f>
      </c>
      <c r="C28557" s="4" t="n">
        <v>863.00</v>
      </c>
      <c r="D28557" s="4"/>
    </row>
    <row collapsed="" customFormat="false" customHeight="1" hidden="" ht="14" outlineLevel="0" r="28558">
      <c r="A28558" s="3" t="inlineStr">
        <is>
          <t>28430</t>
        </is>
      </c>
      <c r="B28558" s="4" t="s">
        <f>=HYPERLINK("http://anyluxury.ru/shop/sumki-i-ryukzaki/sumki-dlya-pokupok/shoper-sensa-seriy-s-sinim-1382342/" , "13823.42 Шопер Sensa, серый с синим")</f>
      </c>
      <c r="C28558" s="4" t="n">
        <v>734.00</v>
      </c>
      <c r="D28558" s="4"/>
    </row>
    <row collapsed="" customFormat="false" customHeight="1" hidden="" ht="14" outlineLevel="0" r="28559">
      <c r="A28559" s="3" t="inlineStr">
        <is>
          <t>28431</t>
        </is>
      </c>
      <c r="B28559" s="4" t="s">
        <f>=HYPERLINK("http://anyluxury.ru/shop/sumki-i-ryukzaki/sumki-dlya-pokupok/shoper-sensa-seriy-s-oranzhevim-1382312/" , "13823.12 Шопер Sensa, серый с оранжевым")</f>
      </c>
      <c r="C28559" s="4" t="n">
        <v>734.00</v>
      </c>
      <c r="D28559" s="4"/>
    </row>
    <row collapsed="" customFormat="false" customHeight="1" hidden="" ht="14" outlineLevel="0" r="28560">
      <c r="A28560" s="3" t="inlineStr">
        <is>
          <t>28432</t>
        </is>
      </c>
      <c r="B28560" s="4" t="s">
        <f>=HYPERLINK("http://anyluxury.ru/shop/sumki-i-ryukzaki/sumki-dlya-pokupok/shoper-clarity-s-organayzerom-cherniy-1402330/" , "14023.30 Шопер Clarity с черным органайзером, прозрачный")</f>
      </c>
      <c r="C28560" s="4" t="n">
        <v>2110.00</v>
      </c>
      <c r="D28560" s="4"/>
    </row>
    <row collapsed="" customFormat="false" customHeight="1" hidden="" ht="14" outlineLevel="0" r="28561">
      <c r="A28561" s="3" t="inlineStr">
        <is>
          <t>28433</t>
        </is>
      </c>
      <c r="B28561" s="4" t="s">
        <f>=HYPERLINK("http://anyluxury.ru/shop/sumki-i-ryukzaki/sumki-dlya-pokupok/shoper-clarity-s-organayzerom-beliy-1402360/" , "14023.60 Шопер Clarity с белым органайзером, прозрачный")</f>
      </c>
      <c r="C28561" s="4" t="n">
        <v>2110.00</v>
      </c>
      <c r="D28561" s="4"/>
    </row>
    <row collapsed="" customFormat="false" customHeight="1" hidden="" ht="14" outlineLevel="0" r="28562">
      <c r="A28562" s="3" t="inlineStr">
        <is>
          <t>28434</t>
        </is>
      </c>
      <c r="B28562" s="4" t="s">
        <f>=HYPERLINK("http://anyluxury.ru/shop/sumki-i-ryukzaki/sumki-dlya-pokupok/butilka-impact-iz-borosilikatnogo-stekla-s-bambukovoy-krishkoy-750-ml-p436770/" , "P436.770 Бутылка Impact из боросиликатного стекла с бамбуковой крышкой, 750 мл")</f>
      </c>
      <c r="C28562" s="4" t="n">
        <v>2249.00</v>
      </c>
      <c r="D28562" s="4"/>
    </row>
    <row collapsed="" customFormat="false" customHeight="1" hidden="" ht="14" outlineLevel="0" r="28563">
      <c r="A28563" s="3" t="inlineStr">
        <is>
          <t>28435</t>
        </is>
      </c>
      <c r="B28563" s="4" t="s">
        <f>=HYPERLINK("http://anyluxury.ru/shop/sumki-i-ryukzaki/sumki-dlya-pokupok/beysbolka-impact-c-setkoy-iz-pererabotannogo-hlopka-aware-5-klinev-190-g-p453359/" , "P453.359 Бейсболка Impact c сеткой из переработанного хлопка AWARE™, 5 клиньев, 190 г")</f>
      </c>
      <c r="C28563" s="4" t="n">
        <v>489.00</v>
      </c>
      <c r="D28563" s="4"/>
    </row>
    <row collapsed="" customFormat="false" customHeight="1" hidden="" ht="14" outlineLevel="0" r="28564">
      <c r="A28564" s="3" t="inlineStr">
        <is>
          <t>28436</t>
        </is>
      </c>
      <c r="B28564" s="4" t="s">
        <f>=HYPERLINK("http://anyluxury.ru/shop/sumki-i-ryukzaki/sumki-dlya-pokupok/beysbolka-impact-c-setkoy-iz-pererabotannogo-hlopka-aware-5-klinev-190-g-p453353/" , "P453.353 Бейсболка Impact c сеткой из переработанного хлопка AWARE™, 5 клиньев, 190 г")</f>
      </c>
      <c r="C28564" s="4" t="n">
        <v>489.00</v>
      </c>
      <c r="D28564" s="4"/>
    </row>
    <row collapsed="" customFormat="false" customHeight="1" hidden="" ht="14" outlineLevel="0" r="28565">
      <c r="A28565" s="3" t="inlineStr">
        <is>
          <t>28437</t>
        </is>
      </c>
      <c r="B28565" s="4" t="s">
        <f>=HYPERLINK("http://anyluxury.ru/shop/sumki-i-ryukzaki/sumki-dlya-pokupok/shapka-impact-iz-polylanar-aware-p453346/" , "P453.346 Шапка Impact из Polylana® AWARE™")</f>
      </c>
      <c r="C28565" s="4" t="n">
        <v>559.00</v>
      </c>
      <c r="D28565" s="4"/>
    </row>
    <row collapsed="" customFormat="false" customHeight="1" hidden="" ht="14" outlineLevel="0" r="28566">
      <c r="A28566" s="3" t="inlineStr">
        <is>
          <t>28438</t>
        </is>
      </c>
      <c r="B28566" s="4" t="s">
        <f>=HYPERLINK("http://anyluxury.ru/shop/sumki-i-ryukzaki/sumki-dlya-pokupok/shapka-impact-iz-polylanar-aware-p453343/" , "P453.343 Шапка Impact из Polylana® AWARE™")</f>
      </c>
      <c r="C28566" s="4" t="n">
        <v>559.00</v>
      </c>
      <c r="D28566" s="4"/>
    </row>
    <row collapsed="" customFormat="false" customHeight="1" hidden="" ht="14" outlineLevel="0" r="28567">
      <c r="A28567" s="3" t="inlineStr">
        <is>
          <t>28439</t>
        </is>
      </c>
      <c r="B28567" s="4" t="s">
        <f>=HYPERLINK("http://anyluxury.ru/shop/sumki-i-ryukzaki/sumki-dlya-pokupok/sumka-modulo-seraya-1383210/" , "13832.10 Сумка Modulo, серая")</f>
      </c>
      <c r="C28567" s="4" t="n">
        <v>2990.00</v>
      </c>
      <c r="D28567" s="4"/>
    </row>
    <row collapsed="" customFormat="false" customHeight="1" hidden="" ht="14" outlineLevel="0" r="28568">
      <c r="A28568" s="3" t="inlineStr">
        <is>
          <t>28440</t>
        </is>
      </c>
      <c r="B28568" s="4" t="s">
        <f>=HYPERLINK("http://anyluxury.ru/shop/sumki-i-ryukzaki/sumki-dlya-pokupok/sumka-agio-bezhevaya-1383316/" , "13833.16 Сумка Agio, бежевая")</f>
      </c>
      <c r="C28568" s="4" t="n">
        <v>2490.00</v>
      </c>
      <c r="D28568" s="4"/>
    </row>
    <row collapsed="" customFormat="false" customHeight="1" hidden="" ht="14" outlineLevel="0" r="28569">
      <c r="A28569" s="3" t="inlineStr">
        <is>
          <t>28441</t>
        </is>
      </c>
      <c r="B28569" s="4" t="s">
        <f>=HYPERLINK("http://anyluxury.ru/shop/sumki-i-ryukzaki/sumki-dlya-pokupok/sumka-dlya-pokupok-span-70-zelenaya-418690/" , "4186.90 Сумка для покупок Span 70, зеленая")</f>
      </c>
      <c r="C28569" s="4" t="n">
        <v>57.00</v>
      </c>
      <c r="D28569" s="4"/>
    </row>
    <row collapsed="" customFormat="false" customHeight="1" hidden="" ht="14" outlineLevel="0" r="28570">
      <c r="A28570" s="3" t="inlineStr">
        <is>
          <t>28442</t>
        </is>
      </c>
      <c r="B28570" s="4" t="s">
        <f>=HYPERLINK("http://anyluxury.ru/shop/sumki-i-ryukzaki/sumki-dlya-pokupok/shopper-clear-fest-prozrachniy-s-oranzhevimi-ruchkami-1536520/" , "15365.20 Шопер Clear Fest, прозрачный с оранжевыми ручками")</f>
      </c>
      <c r="C28570" s="4" t="n">
        <v>1350.00</v>
      </c>
      <c r="D28570" s="4"/>
    </row>
    <row collapsed="" customFormat="false" customHeight="1" hidden="" ht="14" outlineLevel="0" r="28571">
      <c r="A28571" s="3" t="inlineStr">
        <is>
          <t>28443</t>
        </is>
      </c>
      <c r="B28571" s="4" t="s">
        <f>=HYPERLINK("http://anyluxury.ru/shop/sumki-i-ryukzaki/sumki-dlya-pokupok/shopper-clear-fest-prozrachniy-s-sinimi-ruchkami-1536540/" , "15365.40 Шопер Clear Fest, прозрачный с синими ручками")</f>
      </c>
      <c r="C28571" s="4" t="n">
        <v>1350.00</v>
      </c>
      <c r="D28571" s="4"/>
    </row>
    <row collapsed="" customFormat="false" customHeight="1" hidden="" ht="14" outlineLevel="0" r="28572">
      <c r="A28572" s="3" t="inlineStr">
        <is>
          <t>28444</t>
        </is>
      </c>
      <c r="B28572" s="4" t="s">
        <f>=HYPERLINK("http://anyluxury.ru/shop/sumki-i-ryukzaki/sumki-dlya-pokupok/shopper-clear-fest-prozrachniy-s-krasnimi-ruchkami-1536550/" , "15365.50 Шопер Clear Fest, прозрачный с красными ручками")</f>
      </c>
      <c r="C28572" s="4" t="n">
        <v>1350.00</v>
      </c>
      <c r="D28572" s="4"/>
    </row>
    <row collapsed="" customFormat="false" customHeight="1" hidden="" ht="14" outlineLevel="0" r="28573">
      <c r="A28573" s="3" t="inlineStr">
        <is>
          <t>28445</t>
        </is>
      </c>
      <c r="B28573" s="4" t="s">
        <f>=HYPERLINK("http://anyluxury.ru/shop/sumki-i-ryukzaki/sumki-dlya-pokupok/shopper-clear-fest-prozrachniy-s-zheltimi-ruchkami-1536580/" , "15365.80 Шопер Clear Fest, прозрачный с желтыми ручками")</f>
      </c>
      <c r="C28573" s="4" t="n">
        <v>1350.00</v>
      </c>
      <c r="D28573" s="4"/>
    </row>
    <row collapsed="" customFormat="false" customHeight="1" hidden="" ht="14" outlineLevel="0" r="28574">
      <c r="A28574" s="3" t="inlineStr">
        <is>
          <t>28446</t>
        </is>
      </c>
      <c r="B28574" s="4" t="s">
        <f>=HYPERLINK("http://anyluxury.ru/shop/sumki-i-ryukzaki/sumki-dlya-pokupok/shopper-clear-fest-prozrachniy-s-zelenimi-ruchkami-1536590/" , "15365.90 Шопер Clear Fest, прозрачный с зелеными ручками")</f>
      </c>
      <c r="C28574" s="4" t="n">
        <v>1350.00</v>
      </c>
      <c r="D28574" s="4"/>
    </row>
    <row collapsed="" customFormat="false" customHeight="1" hidden="" ht="14" outlineLevel="0" r="28575">
      <c r="A28575" s="3" t="inlineStr">
        <is>
          <t>28447</t>
        </is>
      </c>
      <c r="B28575" s="4" t="s">
        <f>=HYPERLINK("http://anyluxury.ru/shop/sumki-i-ryukzaki/sumki-dlya-pokupok/shopper-clear-fest-prozrachniy-seriy-s-oranzhevimi-ruchkami-1536521/" , "15365.21 Шопер Clear Fest, прозрачный серый с оранжевыми ручками")</f>
      </c>
      <c r="C28575" s="4" t="n">
        <v>1350.00</v>
      </c>
      <c r="D28575" s="4"/>
    </row>
    <row collapsed="" customFormat="false" customHeight="1" hidden="" ht="14" outlineLevel="0" r="28576">
      <c r="A28576" s="3" t="inlineStr">
        <is>
          <t>28448</t>
        </is>
      </c>
      <c r="B28576" s="4" t="s">
        <f>=HYPERLINK("http://anyluxury.ru/shop/sumki-i-ryukzaki/sumki-dlya-pokupok/shopper-clear-fest-prozrachniy-seriy-s-sinimi-ruchkami-1536541/" , "15365.41 Шопер Clear Fest, прозрачный серый с синими ручками")</f>
      </c>
      <c r="C28576" s="4" t="n">
        <v>1350.00</v>
      </c>
      <c r="D28576" s="4"/>
    </row>
    <row collapsed="" customFormat="false" customHeight="1" hidden="" ht="14" outlineLevel="0" r="28577">
      <c r="A28577" s="3" t="inlineStr">
        <is>
          <t>28449</t>
        </is>
      </c>
      <c r="B28577" s="4" t="s">
        <f>=HYPERLINK("http://anyluxury.ru/shop/sumki-i-ryukzaki/sumki-dlya-pokupok/shopper-clear-fest-prozrachniy-seriy-s-krasnimi-ruchkami-1536551/" , "15365.51 Шопер Clear Fest, прозрачный серый с красными ручками")</f>
      </c>
      <c r="C28577" s="4" t="n">
        <v>1350.00</v>
      </c>
      <c r="D28577" s="4"/>
    </row>
    <row collapsed="" customFormat="false" customHeight="1" hidden="" ht="14" outlineLevel="0" r="28578">
      <c r="A28578" s="3" t="inlineStr">
        <is>
          <t>28450</t>
        </is>
      </c>
      <c r="B28578" s="4" t="s">
        <f>=HYPERLINK("http://anyluxury.ru/shop/sumki-i-ryukzaki/sumki-dlya-pokupok/shopper-clear-fest-prozrachniy-seriy-s-zheltimi-ruchkami-1536581/" , "15365.81 Шопер Clear Fest, прозрачный серый с желтыми ручками")</f>
      </c>
      <c r="C28578" s="4" t="n">
        <v>1350.00</v>
      </c>
      <c r="D28578" s="4"/>
    </row>
    <row collapsed="" customFormat="false" customHeight="1" hidden="" ht="14" outlineLevel="0" r="28579">
      <c r="A28579" s="3" t="inlineStr">
        <is>
          <t>28451</t>
        </is>
      </c>
      <c r="B28579" s="4" t="s">
        <f>=HYPERLINK("http://anyluxury.ru/shop/sumki-i-ryukzaki/sumki-dlya-pokupok/shopper-clear-fest-prozrachniy-seriy-s-zelenimi-ruchkami-1536591/" , "15365.91 Шопер Clear Fest, прозрачный серый с зелеными ручками")</f>
      </c>
      <c r="C28579" s="4" t="n">
        <v>1350.00</v>
      </c>
      <c r="D28579" s="4"/>
    </row>
    <row collapsed="" customFormat="false" customHeight="1" hidden="" ht="14" outlineLevel="0" r="28580">
      <c r="A28580" s="3" t="inlineStr">
        <is>
          <t>28452</t>
        </is>
      </c>
      <c r="B28580" s="4" t="s">
        <f>=HYPERLINK("http://anyluxury.ru/shop/sumki-i-ryukzaki/sumki-dlya-pokupok/holshhovaya-sumka-basic-105-belaya-129260/" , "1292.60 Холщовая сумка Basic 105, белая")</f>
      </c>
      <c r="C28580" s="4" t="n">
        <v>169.00</v>
      </c>
      <c r="D28580" s="4"/>
    </row>
    <row collapsed="" customFormat="false" customHeight="1" hidden="" ht="14" outlineLevel="0" r="28581">
      <c r="A28581" s="3" t="inlineStr">
        <is>
          <t>28453</t>
        </is>
      </c>
      <c r="B28581" s="4" t="s">
        <f>=HYPERLINK("http://anyluxury.ru/shop/sumki-i-ryukzaki/sumki-dlya-pokupok/holshhovaya-sumka-basic-105-seraya-129210/" , "1292.10 Холщовая сумка Basic 105, серая")</f>
      </c>
      <c r="C28581" s="4" t="n">
        <v>169.00</v>
      </c>
      <c r="D28581" s="4"/>
    </row>
    <row collapsed="" customFormat="false" customHeight="1" hidden="" ht="14" outlineLevel="0" r="28582">
      <c r="A28582" s="3" t="inlineStr">
        <is>
          <t>28454</t>
        </is>
      </c>
      <c r="B28582" s="4" t="s">
        <f>=HYPERLINK("http://anyluxury.ru/shop/sumki-i-ryukzaki/sumki-dlya-pokupok/holshhovaya-sumka-basic-105-yarkosinyaya-129244/" , "1292.44 Холщовая сумка Basic 105, ярко-синяя")</f>
      </c>
      <c r="C28582" s="4" t="n">
        <v>169.00</v>
      </c>
      <c r="D28582" s="4"/>
    </row>
    <row collapsed="" customFormat="false" customHeight="1" hidden="" ht="14" outlineLevel="0" r="28583">
      <c r="A28583" s="3" t="inlineStr">
        <is>
          <t>28455</t>
        </is>
      </c>
      <c r="B28583" s="4" t="s">
        <f>=HYPERLINK("http://anyluxury.ru/shop/sumki-i-ryukzaki/sumki-dlya-pokupok/holshhovaya-sumka-avoska-rozovaya-1129353/" , "11293.53 Холщовая сумка Avoska, розовая")</f>
      </c>
      <c r="C28583" s="4" t="n">
        <v>399.00</v>
      </c>
      <c r="D28583" s="4"/>
    </row>
    <row collapsed="" customFormat="false" customHeight="1" hidden="" ht="14" outlineLevel="0" r="28584">
      <c r="A28584" s="3" t="inlineStr">
        <is>
          <t>28456</t>
        </is>
      </c>
      <c r="B28584" s="4" t="s">
        <f>=HYPERLINK("http://anyluxury.ru/shop/sumki-i-ryukzaki/sumki-dlya-pokupok/holshhovaya-sumka-optima-135-yarkosinyaya-545241/" , "5452.41 Холщовая сумка Optima 135, ярко-синяя")</f>
      </c>
      <c r="C28584" s="4" t="n">
        <v>235.00</v>
      </c>
      <c r="D28584" s="4"/>
    </row>
    <row collapsed="" customFormat="false" customHeight="1" hidden="" ht="14" outlineLevel="0" r="28585">
      <c r="A28585" s="3" t="inlineStr">
        <is>
          <t>28457</t>
        </is>
      </c>
      <c r="B28585" s="4" t="s">
        <f>=HYPERLINK("http://anyluxury.ru/shop/sumki-i-ryukzaki/sumki-dlya-pokupok/holshhovaya-sumka-optima-135-seraya-545210/" , "5452.10 Холщовая сумка Optima 135, серая")</f>
      </c>
      <c r="C28585" s="4" t="n">
        <v>235.00</v>
      </c>
      <c r="D28585" s="4"/>
    </row>
    <row collapsed="" customFormat="false" customHeight="1" hidden="" ht="14" outlineLevel="0" r="28586">
      <c r="A28586" s="3" t="inlineStr">
        <is>
          <t>28458</t>
        </is>
      </c>
      <c r="B28586" s="4" t="s">
        <f>=HYPERLINK("http://anyluxury.ru/shop/sumki-i-ryukzaki/sumki-dlya-pokupok/sumka-dlya-raskrashivaniya-create-belaya-1621860/" , "16218.60 Сумка для раскрашивания Create, белая")</f>
      </c>
      <c r="C28586" s="4" t="n">
        <v>125.00</v>
      </c>
      <c r="D28586" s="4"/>
    </row>
    <row collapsed="" customFormat="false" customHeight="1" hidden="" ht="14" outlineLevel="0" r="28587">
      <c r="A28587" s="3" t="inlineStr">
        <is>
          <t>28459</t>
        </is>
      </c>
      <c r="B28587" s="4" t="s">
        <f>=HYPERLINK("http://anyluxury.ru/shop/sumki-i-ryukzaki/sumki-dlya-pokupok/shoper-clarity-s-serim-organayzerom-prozrachniy-1402310/" , "14023.10 Шопер Clarity с серым органайзером, прозрачный")</f>
      </c>
      <c r="C28587" s="4" t="n">
        <v>2110.00</v>
      </c>
      <c r="D28587" s="4"/>
    </row>
    <row collapsed="" customFormat="false" customHeight="1" hidden="" ht="14" outlineLevel="0" r="28588">
      <c r="A28588" s="3" t="inlineStr">
        <is>
          <t>28460</t>
        </is>
      </c>
      <c r="B28588" s="4" t="s">
        <f>=HYPERLINK("http://anyluxury.ru/shop/sumki-i-ryukzaki/sumki-dlya-pokupok/shoper-clarity-s-golubim-organayzerom-prozrachniy-1402314/" , "14023.14 Шопер Clarity с голубым органайзером, прозрачный")</f>
      </c>
      <c r="C28588" s="4" t="n">
        <v>2110.00</v>
      </c>
      <c r="D28588" s="4"/>
    </row>
    <row collapsed="" customFormat="false" customHeight="1" hidden="" ht="14" outlineLevel="0" r="28589">
      <c r="A28589" s="3" t="inlineStr">
        <is>
          <t>28461</t>
        </is>
      </c>
      <c r="B28589" s="4" t="s">
        <f>=HYPERLINK("http://anyluxury.ru/shop/sumki-i-ryukzaki/sumki-dlya-pokupok/shoper-clarity-s-oranzhevim-organayzerom-prozrachniy-1402320/" , "14023.20 Шопер Clarity с оранжевым органайзером, прозрачный")</f>
      </c>
      <c r="C28589" s="4" t="n">
        <v>2110.00</v>
      </c>
      <c r="D28589" s="4"/>
    </row>
    <row collapsed="" customFormat="false" customHeight="1" hidden="" ht="14" outlineLevel="0" r="28590">
      <c r="A28590" s="3" t="inlineStr">
        <is>
          <t>28462</t>
        </is>
      </c>
      <c r="B28590" s="4" t="s">
        <f>=HYPERLINK("http://anyluxury.ru/shop/sumki-i-ryukzaki/sumki-dlya-pokupok/shoper-clarity-s-krasnim-organayzerom-prozrachniy-1402350/" , "14023.50 Шопер Clarity с красным органайзером, прозрачный")</f>
      </c>
      <c r="C28590" s="4" t="n">
        <v>2110.00</v>
      </c>
      <c r="D28590" s="4"/>
    </row>
    <row collapsed="" customFormat="false" customHeight="1" hidden="" ht="14" outlineLevel="0" r="28591">
      <c r="A28591" s="3" t="inlineStr">
        <is>
          <t>28463</t>
        </is>
      </c>
      <c r="B28591" s="4" t="s">
        <f>=HYPERLINK("http://anyluxury.ru/shop/sumki-i-ryukzaki/sumki-dlya-pokupok/shoper-clear-fest-prozrachniy-s-serimi-ruchkami-1536510/" , "15365.10 Шопер Clear Fest, прозрачный с серыми ручками")</f>
      </c>
      <c r="C28591" s="4" t="n">
        <v>1350.00</v>
      </c>
      <c r="D28591" s="4"/>
    </row>
    <row collapsed="" customFormat="false" customHeight="1" hidden="" ht="14" outlineLevel="0" r="28592">
      <c r="A28592" s="3" t="inlineStr">
        <is>
          <t>28464</t>
        </is>
      </c>
      <c r="B28592" s="4" t="s">
        <f>=HYPERLINK("http://anyluxury.ru/shop/sumki-i-ryukzaki/sumki-dlya-pokupok/shoper-clear-fest-prozrachniy-seriy-s-serimi-ruchkami-1536511/" , "15365.11 Шопер Clear Fest, прозрачный серый с серыми ручками")</f>
      </c>
      <c r="C28592" s="4" t="n">
        <v>1350.00</v>
      </c>
      <c r="D28592" s="4"/>
    </row>
    <row collapsed="" customFormat="false" customHeight="1" hidden="" ht="14" outlineLevel="0" r="28593">
      <c r="A28593" s="3" t="inlineStr">
        <is>
          <t>28465</t>
        </is>
      </c>
      <c r="B28593" s="4" t="s">
        <f>=HYPERLINK("http://anyluxury.ru/shop/sumki-i-ryukzaki/sumki-dlya-pokupok/holshhovaya-sumka-avoska-bezhevaya-mokko-1129310/" , "11293.10 Холщовая сумка Avoska, бежевая (мокко)")</f>
      </c>
      <c r="C28593" s="4" t="n">
        <v>399.00</v>
      </c>
      <c r="D28593" s="4"/>
    </row>
    <row collapsed="" customFormat="false" customHeight="1" hidden="" ht="14" outlineLevel="0" r="28594">
      <c r="A28594" s="3" t="inlineStr">
        <is>
          <t>28466</t>
        </is>
      </c>
      <c r="B28594" s="4" t="s">
        <f>=HYPERLINK("http://anyluxury.ru/shop/sumki-i-ryukzaki/sumki-dlya-pokupok/holshhovaya-sumka-avoska-temnosinyaya-navy-1129341/" , "11293.41 Холщовая сумка Avoska, темно-синяя (navy)")</f>
      </c>
      <c r="C28594" s="4" t="n">
        <v>399.00</v>
      </c>
      <c r="D28594" s="4"/>
    </row>
    <row collapsed="" customFormat="false" customHeight="1" hidden="" ht="14" outlineLevel="0" r="28595">
      <c r="A28595" s="3" t="inlineStr">
        <is>
          <t>28467</t>
        </is>
      </c>
      <c r="B28595" s="4" t="s">
        <f>=HYPERLINK("http://anyluxury.ru/shop/sumki-i-ryukzaki/sumki-dlya-pokupok/holshhovaya-sumka-avoska-bordovaya-1129355/" , "11293.55 Холщовая сумка Avoska, бордовая")</f>
      </c>
      <c r="C28595" s="4" t="n">
        <v>399.00</v>
      </c>
      <c r="D28595" s="4"/>
    </row>
    <row collapsed="" customFormat="false" customHeight="1" hidden="" ht="14" outlineLevel="0" r="28596">
      <c r="A28596" s="3" t="inlineStr">
        <is>
          <t>28468</t>
        </is>
      </c>
      <c r="B28596" s="4" t="s">
        <f>=HYPERLINK("http://anyluxury.ru/shop/sumki-i-ryukzaki/sumki-dlya-pokupok/holshhovaya-sumka-avoska-yarkorozovaya-fuksiya-1129357/" , "11293.57 Холщовая сумка Avoska, ярко-розовая (фуксия)")</f>
      </c>
      <c r="C28596" s="4" t="n">
        <v>399.00</v>
      </c>
      <c r="D28596" s="4"/>
    </row>
    <row collapsed="" customFormat="false" customHeight="1" hidden="" ht="14" outlineLevel="0" r="28597">
      <c r="A28597" s="3" t="inlineStr">
        <is>
          <t>28469</t>
        </is>
      </c>
      <c r="B28597" s="4" t="s">
        <f>=HYPERLINK("http://anyluxury.ru/shop/sumki-i-ryukzaki/sumki-dlya-pokupok/holshhovaya-sumka-avoska-zelenaya-1129391/" , "11293.91 Холщовая сумка Avoska, зеленая")</f>
      </c>
      <c r="C28597" s="4" t="n">
        <v>399.00</v>
      </c>
      <c r="D28597" s="4"/>
    </row>
    <row collapsed="" customFormat="false" customHeight="" hidden="" ht="12.1" outlineLevel="0" r="28598">
      <c r="A28598" s="5" t="inlineStr">
        <is>
          <t>Упаковка</t>
        </is>
      </c>
      <c r="B28598" s="6"/>
      <c r="C28598" s="6"/>
      <c r="D28598" s="6"/>
    </row>
    <row collapsed="" customFormat="false" customHeight="" hidden="" ht="12.1" outlineLevel="0" r="28599">
      <c r="A28599" s="5" t="inlineStr">
        <is>
          <t> -  - Подарочная упаковка</t>
        </is>
      </c>
      <c r="B28599" s="6"/>
      <c r="C28599" s="6"/>
      <c r="D28599" s="6"/>
    </row>
    <row collapsed="" customFormat="false" customHeight="1" hidden="" ht="14" outlineLevel="0" r="28600">
      <c r="A28600" s="3" t="inlineStr">
        <is>
          <t>28470</t>
        </is>
      </c>
      <c r="B28600" s="4" t="s">
        <f>=HYPERLINK("http://anyluxury.ru/shop/upakovka/podarochnaya-upakovka/korobka-podarochnaya-z30014/" , "Z30014 Коробка подарочная Naja с наполнителем")</f>
      </c>
      <c r="C28600" s="4" t="n">
        <v>449.00</v>
      </c>
      <c r="D28600" s="4"/>
    </row>
    <row collapsed="" customFormat="false" customHeight="1" hidden="" ht="14" outlineLevel="0" r="28601">
      <c r="A28601" s="3" t="inlineStr">
        <is>
          <t>28471</t>
        </is>
      </c>
      <c r="B28601" s="4" t="s">
        <f>=HYPERLINK("http://anyluxury.ru/shop/upakovka/podarochnaya-upakovka/sumka-pvh-566260/" , "5662.60 Сумка ПВХ")</f>
      </c>
      <c r="C28601" s="4" t="n">
        <v>245.00</v>
      </c>
      <c r="D28601" s="4"/>
    </row>
    <row collapsed="" customFormat="false" customHeight="1" hidden="" ht="14" outlineLevel="0" r="28602">
      <c r="A28602" s="3" t="inlineStr">
        <is>
          <t>28472</t>
        </is>
      </c>
      <c r="B28602" s="4" t="s">
        <f>=HYPERLINK("http://anyluxury.ru/shop/upakovka/podarochnaya-upakovka/upakovka-podushechka-sinyaya-170740/" , "1707.40 Упаковка «Подушечка», синяя")</f>
      </c>
      <c r="C28602" s="4" t="n">
        <v>127.00</v>
      </c>
      <c r="D28602" s="4"/>
    </row>
    <row collapsed="" customFormat="false" customHeight="1" hidden="" ht="14" outlineLevel="0" r="28603">
      <c r="A28603" s="3" t="inlineStr">
        <is>
          <t>28473</t>
        </is>
      </c>
      <c r="B28603" s="4" t="s">
        <f>=HYPERLINK("http://anyluxury.ru/shop/upakovka/podarochnaya-upakovka/upakovka-podushechka-chernaya-170730/" , "1707.30 Упаковка «Подушечка», черная")</f>
      </c>
      <c r="C28603" s="4" t="n">
        <v>127.00</v>
      </c>
      <c r="D28603" s="4"/>
    </row>
    <row collapsed="" customFormat="false" customHeight="1" hidden="" ht="14" outlineLevel="0" r="28604">
      <c r="A28604" s="3" t="inlineStr">
        <is>
          <t>28474</t>
        </is>
      </c>
      <c r="B28604" s="4" t="s">
        <f>=HYPERLINK("http://anyluxury.ru/shop/upakovka/podarochnaya-upakovka/bumazhniy-napolnitel-chip-beliy-280560/" , "2805.60 Бумажный наполнитель Chip, белый")</f>
      </c>
      <c r="C28604" s="4" t="n">
        <v>124.00</v>
      </c>
      <c r="D28604" s="4"/>
    </row>
    <row collapsed="" customFormat="false" customHeight="1" hidden="" ht="14" outlineLevel="0" r="28605">
      <c r="A28605" s="3" t="inlineStr">
        <is>
          <t>28475</t>
        </is>
      </c>
      <c r="B28605" s="4" t="s">
        <f>=HYPERLINK("http://anyluxury.ru/shop/upakovka/podarochnaya-upakovka/bumazhniy-napolnitel-chip-seriy-280510/" , "2805.10 Бумажный наполнитель Chip, серый")</f>
      </c>
      <c r="C28605" s="4" t="n">
        <v>124.00</v>
      </c>
      <c r="D28605" s="4"/>
    </row>
    <row collapsed="" customFormat="false" customHeight="1" hidden="" ht="14" outlineLevel="0" r="28606">
      <c r="A28606" s="3" t="inlineStr">
        <is>
          <t>28476</t>
        </is>
      </c>
      <c r="B28606" s="4" t="s">
        <f>=HYPERLINK("http://anyluxury.ru/shop/upakovka/podarochnaya-upakovka/bumazhniy-napolnitel-chip-krasniy-280550/" , "2805.50 Бумажный наполнитель Chip, красный")</f>
      </c>
      <c r="C28606" s="4" t="n">
        <v>124.00</v>
      </c>
      <c r="D28606" s="4"/>
    </row>
    <row collapsed="" customFormat="false" customHeight="1" hidden="" ht="14" outlineLevel="0" r="28607">
      <c r="A28607" s="3" t="inlineStr">
        <is>
          <t>28477</t>
        </is>
      </c>
      <c r="B28607" s="4" t="s">
        <f>=HYPERLINK("http://anyluxury.ru/shop/upakovka/podarochnaya-upakovka/bumazhniy-napolnitel-chip-kraft-280500/" , "2805.00 Бумажный наполнитель Chip, крафт")</f>
      </c>
      <c r="C28607" s="4" t="n">
        <v>124.00</v>
      </c>
      <c r="D28607" s="4"/>
    </row>
    <row collapsed="" customFormat="false" customHeight="1" hidden="" ht="14" outlineLevel="0" r="28608">
      <c r="A28608" s="3" t="inlineStr">
        <is>
          <t>28478</t>
        </is>
      </c>
      <c r="B28608" s="4" t="s">
        <f>=HYPERLINK("http://anyluxury.ru/shop/upakovka/podarochnaya-upakovka/bumazhniy-napolnitel-chip-zeleniy-280590/" , "2805.90 Бумажный наполнитель Chip, зеленый")</f>
      </c>
      <c r="C28608" s="4" t="n">
        <v>124.00</v>
      </c>
      <c r="D28608" s="4"/>
    </row>
    <row collapsed="" customFormat="false" customHeight="1" hidden="" ht="14" outlineLevel="0" r="28609">
      <c r="A28609" s="3" t="inlineStr">
        <is>
          <t>28479</t>
        </is>
      </c>
      <c r="B28609" s="4" t="s">
        <f>=HYPERLINK("http://anyluxury.ru/shop/upakovka/podarochnaya-upakovka/bumazhniy-napolnitel-chip-oranzheviy-280520/" , "2805.20 Бумажный наполнитель Chip, оранжевый")</f>
      </c>
      <c r="C28609" s="4" t="n">
        <v>124.00</v>
      </c>
      <c r="D28609" s="4"/>
    </row>
    <row collapsed="" customFormat="false" customHeight="1" hidden="" ht="14" outlineLevel="0" r="28610">
      <c r="A28610" s="3" t="inlineStr">
        <is>
          <t>28480</t>
        </is>
      </c>
      <c r="B28610" s="4" t="s">
        <f>=HYPERLINK("http://anyluxury.ru/shop/upakovka/podarochnaya-upakovka/bumazhniy-napolnitel-chip-siniy-280540/" , "2805.40 Бумажный наполнитель Chip, синий")</f>
      </c>
      <c r="C28610" s="4" t="n">
        <v>151.00</v>
      </c>
      <c r="D28610" s="4"/>
    </row>
    <row collapsed="" customFormat="false" customHeight="1" hidden="" ht="14" outlineLevel="0" r="28611">
      <c r="A28611" s="3" t="inlineStr">
        <is>
          <t>28481</t>
        </is>
      </c>
      <c r="B28611" s="4" t="s">
        <f>=HYPERLINK("http://anyluxury.ru/shop/upakovka/podarochnaya-upakovka/upakovka-dlya-elochnogo-shara-6-sm-7240/" , "7240 Упаковка для елочного шара 6 см")</f>
      </c>
      <c r="C28611" s="4" t="n">
        <v>21.00</v>
      </c>
      <c r="D28611" s="4"/>
    </row>
    <row collapsed="" customFormat="false" customHeight="1" hidden="" ht="14" outlineLevel="0" r="28612">
      <c r="A28612" s="3" t="inlineStr">
        <is>
          <t>28482</t>
        </is>
      </c>
      <c r="B28612" s="4" t="s">
        <f>=HYPERLINK("http://anyluxury.ru/shop/upakovka/podarochnaya-upakovka/upakovka-dlya-elochnogo-shara-10-sm-7242/" , "7242 Упаковка для елочного шара 10 см")</f>
      </c>
      <c r="C28612" s="4" t="n">
        <v>33.10</v>
      </c>
      <c r="D28612" s="4"/>
    </row>
    <row collapsed="" customFormat="false" customHeight="1" hidden="" ht="14" outlineLevel="0" r="28613">
      <c r="A28613" s="3" t="inlineStr">
        <is>
          <t>28483</t>
        </is>
      </c>
      <c r="B28613" s="4" t="s">
        <f>=HYPERLINK("http://anyluxury.ru/shop/upakovka/podarochnaya-upakovka/futlyar-dlya-ruchki-renome-cherniy-690630/" , "6906.30 Футляр для ручки «Реноме», черный")</f>
      </c>
      <c r="C28613" s="4" t="n">
        <v>276.00</v>
      </c>
      <c r="D28613" s="4"/>
    </row>
    <row collapsed="" customFormat="false" customHeight="1" hidden="" ht="14" outlineLevel="0" r="28614">
      <c r="A28614" s="3" t="inlineStr">
        <is>
          <t>28484</t>
        </is>
      </c>
      <c r="B28614" s="4" t="s">
        <f>=HYPERLINK("http://anyluxury.ru/shop/upakovka/podarochnaya-upakovka/upakovka-podushechka-kraft-170700/" , "1707.00 Упаковка «Подушечка», крафт")</f>
      </c>
      <c r="C28614" s="4" t="n">
        <v>127.00</v>
      </c>
      <c r="D28614" s="4"/>
    </row>
    <row collapsed="" customFormat="false" customHeight="1" hidden="" ht="14" outlineLevel="0" r="28615">
      <c r="A28615" s="3" t="inlineStr">
        <is>
          <t>28485</t>
        </is>
      </c>
      <c r="B28615" s="4" t="s">
        <f>=HYPERLINK("http://anyluxury.ru/shop/upakovka/podarochnaya-upakovka/upakovka-podushechka-belaya-170760/" , "1707.60 Упаковка «Подушечка», белая")</f>
      </c>
      <c r="C28615" s="4" t="n">
        <v>127.00</v>
      </c>
      <c r="D28615" s="4"/>
    </row>
    <row collapsed="" customFormat="false" customHeight="1" hidden="" ht="14" outlineLevel="0" r="28616">
      <c r="A28616" s="3" t="inlineStr">
        <is>
          <t>28486</t>
        </is>
      </c>
      <c r="B28616" s="4" t="s">
        <f>=HYPERLINK("http://anyluxury.ru/shop/upakovka/podarochnaya-upakovka/upakovka-cleo-sinyaya-721540/" , "7215.40 Упаковка Cleo, синяя")</f>
      </c>
      <c r="C28616" s="4" t="n">
        <v>106.00</v>
      </c>
      <c r="D28616" s="4"/>
    </row>
    <row collapsed="" customFormat="false" customHeight="1" hidden="" ht="14" outlineLevel="0" r="28617">
      <c r="A28617" s="3" t="inlineStr">
        <is>
          <t>28487</t>
        </is>
      </c>
      <c r="B28617" s="4" t="s">
        <f>=HYPERLINK("http://anyluxury.ru/shop/upakovka/podarochnaya-upakovka/holshhoviy-meshok-foster-thank-s-beliy-706860/" , "7068.60 Холщовый мешок Foster Thank, S, белый")</f>
      </c>
      <c r="C28617" s="4" t="n">
        <v>81.40</v>
      </c>
      <c r="D28617" s="4"/>
    </row>
    <row collapsed="" customFormat="false" customHeight="1" hidden="" ht="14" outlineLevel="0" r="28618">
      <c r="A28618" s="3" t="inlineStr">
        <is>
          <t>28488</t>
        </is>
      </c>
      <c r="B28618" s="4" t="s">
        <f>=HYPERLINK("http://anyluxury.ru/shop/upakovka/podarochnaya-upakovka/holshhoviy-meshok-foster-thank-m-bezheviy-706900/" , "7069.00 Холщовый мешок Foster Thank, M, бежевый")</f>
      </c>
      <c r="C28618" s="4" t="n">
        <v>90.10</v>
      </c>
      <c r="D28618" s="4"/>
    </row>
    <row collapsed="" customFormat="false" customHeight="1" hidden="" ht="14" outlineLevel="0" r="28619">
      <c r="A28619" s="3" t="inlineStr">
        <is>
          <t>28489</t>
        </is>
      </c>
      <c r="B28619" s="4" t="s">
        <f>=HYPERLINK("http://anyluxury.ru/shop/upakovka/podarochnaya-upakovka/holshhoviy-meshok-foster-thank-m-siniy-706940/" , "7069.40 Холщовый мешок Foster Thank, M, синий")</f>
      </c>
      <c r="C28619" s="4" t="n">
        <v>90.10</v>
      </c>
      <c r="D28619" s="4"/>
    </row>
    <row collapsed="" customFormat="false" customHeight="1" hidden="" ht="14" outlineLevel="0" r="28620">
      <c r="A28620" s="3" t="inlineStr">
        <is>
          <t>28490</t>
        </is>
      </c>
      <c r="B28620" s="4" t="s">
        <f>=HYPERLINK("http://anyluxury.ru/shop/upakovka/podarochnaya-upakovka/holshhoviy-meshok-foster-thank-l-bezheviy-707000/" , "7070.00 Холщовый мешок Foster Thank, L, бежевый")</f>
      </c>
      <c r="C28620" s="4" t="n">
        <v>109.00</v>
      </c>
      <c r="D28620" s="4"/>
    </row>
    <row collapsed="" customFormat="false" customHeight="1" hidden="" ht="14" outlineLevel="0" r="28621">
      <c r="A28621" s="3" t="inlineStr">
        <is>
          <t>28491</t>
        </is>
      </c>
      <c r="B28621" s="4" t="s">
        <f>=HYPERLINK("http://anyluxury.ru/shop/upakovka/podarochnaya-upakovka/holshhoviy-meshok-foster-thank-l-beliy-707060/" , "7070.60 Холщовый мешок Foster Thank, L, белый")</f>
      </c>
      <c r="C28621" s="4" t="n">
        <v>109.00</v>
      </c>
      <c r="D28621" s="4"/>
    </row>
    <row collapsed="" customFormat="false" customHeight="1" hidden="" ht="14" outlineLevel="0" r="28622">
      <c r="A28622" s="3" t="inlineStr">
        <is>
          <t>28492</t>
        </is>
      </c>
      <c r="B28622" s="4" t="s">
        <f>=HYPERLINK("http://anyluxury.ru/shop/upakovka/podarochnaya-upakovka/derevyannaya-podveska-carving-v-forme-pugovici-santi-1014504/" , "10145.04 Деревянная подвеска Carving, в форме пуговицы Санты")</f>
      </c>
      <c r="C28622" s="4" t="n">
        <v>50.00</v>
      </c>
      <c r="D28622" s="4"/>
    </row>
    <row collapsed="" customFormat="false" customHeight="1" hidden="" ht="14" outlineLevel="0" r="28623">
      <c r="A28623" s="3" t="inlineStr">
        <is>
          <t>28493</t>
        </is>
      </c>
      <c r="B28623" s="4" t="s">
        <f>=HYPERLINK("http://anyluxury.ru/shop/upakovka/podarochnaya-upakovka/podveska-logger-malaya-s-varezhkoy-4660403/" , "46604.03 Подвеска Logger, малая, с варежкой")</f>
      </c>
      <c r="C28623" s="4" t="n">
        <v>98.90</v>
      </c>
      <c r="D28623" s="4"/>
    </row>
    <row collapsed="" customFormat="false" customHeight="1" hidden="" ht="14" outlineLevel="0" r="28624">
      <c r="A28624" s="3" t="inlineStr">
        <is>
          <t>28494</t>
        </is>
      </c>
      <c r="B28624" s="4" t="s">
        <f>=HYPERLINK("http://anyluxury.ru/shop/upakovka/podarochnaya-upakovka/upakovka-transparent-belaya-1060560/" , "10605.60 Упаковка Transparent, белая")</f>
      </c>
      <c r="C28624" s="4" t="n">
        <v>279.00</v>
      </c>
      <c r="D28624" s="4"/>
    </row>
    <row collapsed="" customFormat="false" customHeight="1" hidden="" ht="14" outlineLevel="0" r="28625">
      <c r="A28625" s="3" t="inlineStr">
        <is>
          <t>28495</t>
        </is>
      </c>
      <c r="B28625" s="4" t="s">
        <f>=HYPERLINK("http://anyluxury.ru/shop/upakovka/podarochnaya-upakovka/bumazhniy-napolnitel-chip-cherniy-280530/" , "2805.30 Бумажный наполнитель Chip, черный")</f>
      </c>
      <c r="C28625" s="4" t="n">
        <v>124.00</v>
      </c>
      <c r="D28625" s="4"/>
    </row>
    <row collapsed="" customFormat="false" customHeight="1" hidden="" ht="14" outlineLevel="0" r="28626">
      <c r="A28626" s="3" t="inlineStr">
        <is>
          <t>28496</t>
        </is>
      </c>
      <c r="B28626" s="4" t="s">
        <f>=HYPERLINK("http://anyluxury.ru/shop/upakovka/podarochnaya-upakovka/bumazhniy-napolnitel-chip-izumrudniy-280599/" , "2805.99 Бумажный наполнитель Chip, темно-зеленый (изумрудный)")</f>
      </c>
      <c r="C28626" s="4" t="n">
        <v>151.00</v>
      </c>
      <c r="D28626" s="4"/>
    </row>
    <row collapsed="" customFormat="false" customHeight="1" hidden="" ht="14" outlineLevel="0" r="28627">
      <c r="A28627" s="3" t="inlineStr">
        <is>
          <t>28497</t>
        </is>
      </c>
      <c r="B28627" s="4" t="s">
        <f>=HYPERLINK("http://anyluxury.ru/shop/upakovka/podarochnaya-upakovka/bumazhniy-napolnitel-chip-oranzheviy-neon-280522/" , "2805.22 Бумажный наполнитель Chip, оранжевый неон")</f>
      </c>
      <c r="C28627" s="4" t="n">
        <v>151.00</v>
      </c>
      <c r="D28627" s="4"/>
    </row>
    <row collapsed="" customFormat="false" customHeight="1" hidden="" ht="14" outlineLevel="0" r="28628">
      <c r="A28628" s="3" t="inlineStr">
        <is>
          <t>28498</t>
        </is>
      </c>
      <c r="B28628" s="4" t="s">
        <f>=HYPERLINK("http://anyluxury.ru/shop/upakovka/podarochnaya-upakovka/holshhovaya-sumka-rombo-perviy-sneg-belaya-7190160/" , "71901.60 Холщовая сумка «Ромбо. Первый снег», белая")</f>
      </c>
      <c r="C28628" s="4" t="n">
        <v>767.00</v>
      </c>
      <c r="D28628" s="4"/>
    </row>
    <row collapsed="" customFormat="false" customHeight="1" hidden="" ht="14" outlineLevel="0" r="28629">
      <c r="A28629" s="3" t="inlineStr">
        <is>
          <t>28499</t>
        </is>
      </c>
      <c r="B28629" s="4" t="s">
        <f>=HYPERLINK("http://anyluxury.ru/shop/upakovka/podarochnaya-upakovka/holshhovaya-sumka-noviy-god-belaya-7190560/" , "71905.60 Холщовая сумка «Новый GOD», белая")</f>
      </c>
      <c r="C28629" s="4" t="n">
        <v>452.00</v>
      </c>
      <c r="D28629" s="4"/>
    </row>
    <row collapsed="" customFormat="false" customHeight="1" hidden="" ht="14" outlineLevel="0" r="28630">
      <c r="A28630" s="3" t="inlineStr">
        <is>
          <t>28500</t>
        </is>
      </c>
      <c r="B28630" s="4" t="s">
        <f>=HYPERLINK("http://anyluxury.ru/shop/upakovka/podarochnaya-upakovka/bumazhniy-napolnitel-dlya-podarochnoy-upakovki-cvet-kraft-50-grupak-giftboxunfiller020/" , "GIFT-BOX-UN-filler-020 Бумажный наполнитель для подарочной упаковки, крафт (50 гр./упак.)")</f>
      </c>
      <c r="C28630" s="4" t="n">
        <v>122.00</v>
      </c>
      <c r="D28630" s="4"/>
    </row>
    <row collapsed="" customFormat="false" customHeight="1" hidden="" ht="14" outlineLevel="0" r="28631">
      <c r="A28631" s="3" t="inlineStr">
        <is>
          <t>28501</t>
        </is>
      </c>
      <c r="B28631" s="4" t="s">
        <f>=HYPERLINK("http://anyluxury.ru/shop/upakovka/podarochnaya-upakovka/podarochnaya-korobka-dlya-nabora-universalnaya-bezhevaya-280215113-mm-giftboxun0201/" , "GIFT-BOX-UN-020.1 Подарочная коробка универсальная малая, крафт")</f>
      </c>
      <c r="C28631" s="4" t="n">
        <v>129.00</v>
      </c>
      <c r="D28631" s="4"/>
    </row>
    <row collapsed="" customFormat="false" customHeight="1" hidden="" ht="14" outlineLevel="0" r="28632">
      <c r="A28632" s="3" t="inlineStr">
        <is>
          <t>28502</t>
        </is>
      </c>
      <c r="B28632" s="4" t="s">
        <f>=HYPERLINK("http://anyluxury.ru/shop/upakovka/podarochnaya-upakovka/podarochnaya-lenta-dlya-universalnoy-podarochnoy-korobki-280215113-mm-krasnaya-20-mm-lenta3095201/" , "lenta-3095-20-1 Подарочная лента для малой универсальной подарочной коробки, красная")</f>
      </c>
      <c r="C28632" s="4" t="n">
        <v>21.00</v>
      </c>
      <c r="D28632" s="4"/>
    </row>
    <row collapsed="" customFormat="false" customHeight="1" hidden="" ht="14" outlineLevel="0" r="28633">
      <c r="A28633" s="3" t="inlineStr">
        <is>
          <t>28503</t>
        </is>
      </c>
      <c r="B28633" s="4" t="s">
        <f>=HYPERLINK("http://anyluxury.ru/shop/upakovka/podarochnaya-upakovka/podarochnaya-lenta-dlya-universalnoy-podarochnoy-korobki-350255113-mm-krasnaya-20-mm-lenta3095202/" , "lenta-3095-20-2 Подарочная лента для большой универсальной подарочной коробки, красная")</f>
      </c>
      <c r="C28633" s="4" t="n">
        <v>25.00</v>
      </c>
      <c r="D28633" s="4"/>
    </row>
    <row collapsed="" customFormat="false" customHeight="1" hidden="" ht="14" outlineLevel="0" r="28634">
      <c r="A28634" s="3" t="inlineStr">
        <is>
          <t>28504</t>
        </is>
      </c>
      <c r="B28634" s="4" t="s">
        <f>=HYPERLINK("http://anyluxury.ru/shop/upakovka/podarochnaya-upakovka/meshok-dlya-podarkov-noel-s-mishkoy-1281203/" , "12812.03 Мешок для подарков Noel, с мышкой")</f>
      </c>
      <c r="C28634" s="4" t="n">
        <v>750.00</v>
      </c>
      <c r="D28634" s="4"/>
    </row>
    <row collapsed="" customFormat="false" customHeight="1" hidden="" ht="14" outlineLevel="0" r="28635">
      <c r="A28635" s="3" t="inlineStr">
        <is>
          <t>28505</t>
        </is>
      </c>
      <c r="B28635" s="4" t="s">
        <f>=HYPERLINK("http://anyluxury.ru/shop/upakovka/podarochnaya-upakovka/nosok-dlya-podarkov-noel-s-mishkoy-1281003/" , "12810.03 Носок для подарков Noel, с мышкой")</f>
      </c>
      <c r="C28635" s="4" t="n">
        <v>750.00</v>
      </c>
      <c r="D28635" s="4"/>
    </row>
    <row collapsed="" customFormat="false" customHeight="1" hidden="" ht="14" outlineLevel="0" r="28636">
      <c r="A28636" s="3" t="inlineStr">
        <is>
          <t>28506</t>
        </is>
      </c>
      <c r="B28636" s="4" t="s">
        <f>=HYPERLINK("http://anyluxury.ru/shop/upakovka/podarochnaya-upakovka/banka-christmas-mood-krasnaya-1282950/" , "12829.50 Банка Christmas Mood, красная")</f>
      </c>
      <c r="C28636" s="4" t="n">
        <v>120.80</v>
      </c>
      <c r="D28636" s="4"/>
    </row>
    <row collapsed="" customFormat="false" customHeight="1" hidden="" ht="14" outlineLevel="0" r="28637">
      <c r="A28637" s="3" t="inlineStr">
        <is>
          <t>28507</t>
        </is>
      </c>
      <c r="B28637" s="4" t="s">
        <f>=HYPERLINK("http://anyluxury.ru/shop/upakovka/podarochnaya-upakovka/bumazhniy-napolnitel-blesk-cherniy-1280730/" , "12807.30 Бумажный наполнитель «Блеск», черный")</f>
      </c>
      <c r="C28637" s="4" t="n">
        <v>199.00</v>
      </c>
      <c r="D28637" s="4"/>
    </row>
    <row collapsed="" customFormat="false" customHeight="1" hidden="" ht="14" outlineLevel="0" r="28638">
      <c r="A28638" s="3" t="inlineStr">
        <is>
          <t>28508</t>
        </is>
      </c>
      <c r="B28638" s="4" t="s">
        <f>=HYPERLINK("http://anyluxury.ru/shop/upakovka/podarochnaya-upakovka/bumazhniy-napolnitel-blesk-zeleniy-1280790/" , "12807.90 Бумажный наполнитель «Блеск», зеленый")</f>
      </c>
      <c r="C28638" s="4" t="n">
        <v>199.00</v>
      </c>
      <c r="D28638" s="4"/>
    </row>
    <row collapsed="" customFormat="false" customHeight="1" hidden="" ht="14" outlineLevel="0" r="28639">
      <c r="A28639" s="3" t="inlineStr">
        <is>
          <t>28509</t>
        </is>
      </c>
      <c r="B28639" s="4" t="s">
        <f>=HYPERLINK("http://anyluxury.ru/shop/upakovka/podarochnaya-upakovka/bumazhniy-napolnitel-blesk-zolotistiy-1280700/" , "12807.00 Бумажный наполнитель «Блеск», золотистый")</f>
      </c>
      <c r="C28639" s="4" t="n">
        <v>199.00</v>
      </c>
      <c r="D28639" s="4"/>
    </row>
    <row collapsed="" customFormat="false" customHeight="1" hidden="" ht="14" outlineLevel="0" r="28640">
      <c r="A28640" s="3" t="inlineStr">
        <is>
          <t>28510</t>
        </is>
      </c>
      <c r="B28640" s="4" t="s">
        <f>=HYPERLINK("http://anyluxury.ru/shop/upakovka/podarochnaya-upakovka/bumazhniy-napolnitel-blesk-serebristiy-1280710/" , "12807.10 Бумажный наполнитель «Блеск», серебристый")</f>
      </c>
      <c r="C28640" s="4" t="n">
        <v>273.00</v>
      </c>
      <c r="D28640" s="4"/>
    </row>
    <row collapsed="" customFormat="false" customHeight="1" hidden="" ht="14" outlineLevel="0" r="28641">
      <c r="A28641" s="3" t="inlineStr">
        <is>
          <t>28511</t>
        </is>
      </c>
      <c r="B28641" s="4" t="s">
        <f>=HYPERLINK("http://anyluxury.ru/shop/upakovka/podarochnaya-upakovka/bumazhniy-napolnitel-blesk-beliy-1280760/" , "12807.60 Бумажный наполнитель «Блеск», белый")</f>
      </c>
      <c r="C28641" s="4" t="n">
        <v>239.00</v>
      </c>
      <c r="D28641" s="4"/>
    </row>
    <row collapsed="" customFormat="false" customHeight="1" hidden="" ht="14" outlineLevel="0" r="28642">
      <c r="A28642" s="3" t="inlineStr">
        <is>
          <t>28512</t>
        </is>
      </c>
      <c r="B28642" s="4" t="s">
        <f>=HYPERLINK("http://anyluxury.ru/shop/upakovka/podarochnaya-upakovka/bumazhniy-napolnitel-blesk-temnobronzoviy-1280703/" , "12807.03 Бумажный наполнитель «Блеск», темно-бронзовый")</f>
      </c>
      <c r="C28642" s="4" t="n">
        <v>199.00</v>
      </c>
      <c r="D28642" s="4"/>
    </row>
    <row collapsed="" customFormat="false" customHeight="1" hidden="" ht="14" outlineLevel="0" r="28643">
      <c r="A28643" s="3" t="inlineStr">
        <is>
          <t>28513</t>
        </is>
      </c>
      <c r="B28643" s="4" t="s">
        <f>=HYPERLINK("http://anyluxury.ru/shop/upakovka/podarochnaya-upakovka/bumazhniy-napolnitel-blesk-svetlobezheviy-1280711/" , "12807.11 Бумажный наполнитель «Блеск», светло-бежевый")</f>
      </c>
      <c r="C28643" s="4" t="n">
        <v>199.00</v>
      </c>
      <c r="D28643" s="4"/>
    </row>
    <row collapsed="" customFormat="false" customHeight="1" hidden="" ht="14" outlineLevel="0" r="28644">
      <c r="A28644" s="3" t="inlineStr">
        <is>
          <t>28514</t>
        </is>
      </c>
      <c r="B28644" s="4" t="s">
        <f>=HYPERLINK("http://anyluxury.ru/shop/upakovka/podarochnaya-upakovka/bumazhniy-napolnitel-blesk-temnoseriy-1280713/" , "12807.13 Бумажный наполнитель «Блеск», темно-серый")</f>
      </c>
      <c r="C28644" s="4" t="n">
        <v>199.00</v>
      </c>
      <c r="D28644" s="4"/>
    </row>
    <row collapsed="" customFormat="false" customHeight="1" hidden="" ht="14" outlineLevel="0" r="28645">
      <c r="A28645" s="3" t="inlineStr">
        <is>
          <t>28515</t>
        </is>
      </c>
      <c r="B28645" s="4" t="s">
        <f>=HYPERLINK("http://anyluxury.ru/shop/upakovka/podarochnaya-upakovka/bumazhniy-napolnitel-blesk-goluboy-1280714/" , "12807.14 Бумажный наполнитель «Блеск», голубой")</f>
      </c>
      <c r="C28645" s="4" t="n">
        <v>199.00</v>
      </c>
      <c r="D28645" s="4"/>
    </row>
    <row collapsed="" customFormat="false" customHeight="1" hidden="" ht="14" outlineLevel="0" r="28646">
      <c r="A28646" s="3" t="inlineStr">
        <is>
          <t>28516</t>
        </is>
      </c>
      <c r="B28646" s="4" t="s">
        <f>=HYPERLINK("http://anyluxury.ru/shop/upakovka/podarochnaya-upakovka/bumazhniy-napolnitel-blesk-krasniy-1280750/" , "12807.50 Бумажный наполнитель «Блеск», красный")</f>
      </c>
      <c r="C28646" s="4" t="n">
        <v>199.00</v>
      </c>
      <c r="D28646" s="4"/>
    </row>
    <row collapsed="" customFormat="false" customHeight="1" hidden="" ht="14" outlineLevel="0" r="28647">
      <c r="A28647" s="3" t="inlineStr">
        <is>
          <t>28517</t>
        </is>
      </c>
      <c r="B28647" s="4" t="s">
        <f>=HYPERLINK("http://anyluxury.ru/shop/upakovka/podarochnaya-upakovka/podarochnaya-korobka-dlya-nabora-cinyaya-307307-mm-svetliy-lozhement-pod-semnie-lozhementi-giftbox34blue/" , "GIFT-BOX-34.BLUE Подарочная коробка с ложементом для ежедневника, ручки и аккумулятора, синяя (под съемные ложементы)")</f>
      </c>
      <c r="C28647" s="4" t="n">
        <v>1353.00</v>
      </c>
      <c r="D28647" s="4"/>
    </row>
    <row collapsed="" customFormat="false" customHeight="1" hidden="" ht="14" outlineLevel="0" r="28648">
      <c r="A28648" s="3" t="inlineStr">
        <is>
          <t>28518</t>
        </is>
      </c>
      <c r="B28648" s="4" t="s">
        <f>=HYPERLINK("http://anyluxury.ru/shop/upakovka/podarochnaya-upakovka/podarochnaya-korobka-dlya-nabora-chernaya-307307-mm-cherniy-lozhement-pod-semnie-lozhementi-giftbox34black/" , "GIFT-BOX-34.BLACK Подарочная коробка с ложементом для ежедневника, ручки и аккумулятора, черная (под съемные ложементы)")</f>
      </c>
      <c r="C28648" s="4" t="n">
        <v>1353.00</v>
      </c>
      <c r="D28648" s="4"/>
    </row>
    <row collapsed="" customFormat="false" customHeight="1" hidden="" ht="14" outlineLevel="0" r="28649">
      <c r="A28649" s="3" t="inlineStr">
        <is>
          <t>28519</t>
        </is>
      </c>
      <c r="B28649" s="4" t="s">
        <f>=HYPERLINK("http://anyluxury.ru/shop/upakovka/podarochnaya-upakovka/podarochnaya-korobka-pod-ezhednevnikruchka-sinyaya-260260-mm-svetliy-lozhement-giftbox24blue/" , "GIFT-BOX-24.BLUE Подарочная коробка с ложементом для ежедневника и ручки, синяя")</f>
      </c>
      <c r="C28649" s="4" t="n">
        <v>1154.00</v>
      </c>
      <c r="D28649" s="4"/>
    </row>
    <row collapsed="" customFormat="false" customHeight="1" hidden="" ht="14" outlineLevel="0" r="28650">
      <c r="A28650" s="3" t="inlineStr">
        <is>
          <t>28520</t>
        </is>
      </c>
      <c r="B28650" s="4" t="s">
        <f>=HYPERLINK("http://anyluxury.ru/shop/upakovka/podarochnaya-upakovka/dekorativnaya-shkatulka-lighthouse-malaya-12888/" , "12888 Декоративная шкатулка Lighthouse, малая")</f>
      </c>
      <c r="C28650" s="4" t="n">
        <v>380.00</v>
      </c>
      <c r="D28650" s="4"/>
    </row>
    <row collapsed="" customFormat="false" customHeight="1" hidden="" ht="14" outlineLevel="0" r="28651">
      <c r="A28651" s="3" t="inlineStr">
        <is>
          <t>28521</t>
        </is>
      </c>
      <c r="B28651" s="4" t="s">
        <f>=HYPERLINK("http://anyluxury.ru/shop/upakovka/podarochnaya-upakovka/chehol-dlya-ruchki-hood-color-siniy-7703840/" , "77038.40 Чехол для ручки Hood Color, синий")</f>
      </c>
      <c r="C28651" s="4" t="n">
        <v>27.00</v>
      </c>
      <c r="D28651" s="4"/>
    </row>
    <row collapsed="" customFormat="false" customHeight="1" hidden="" ht="14" outlineLevel="0" r="28652">
      <c r="A28652" s="3" t="inlineStr">
        <is>
          <t>28522</t>
        </is>
      </c>
      <c r="B28652" s="4" t="s">
        <f>=HYPERLINK("http://anyluxury.ru/shop/upakovka/podarochnaya-upakovka/chehol-dlya-ruchki-hood-color-beliy-7703860/" , "77038.60 Чехол для ручки Hood Color, белый")</f>
      </c>
      <c r="C28652" s="4" t="n">
        <v>27.00</v>
      </c>
      <c r="D28652" s="4"/>
    </row>
    <row collapsed="" customFormat="false" customHeight="1" hidden="" ht="14" outlineLevel="0" r="28653">
      <c r="A28653" s="3" t="inlineStr">
        <is>
          <t>28523</t>
        </is>
      </c>
      <c r="B28653" s="4" t="s">
        <f>=HYPERLINK("http://anyluxury.ru/shop/upakovka/podarochnaya-upakovka/paket-pod-butilku-vindemia-siniy-7555640/" , "75556.40 Пакет под бутылку Vindemia, синий")</f>
      </c>
      <c r="C28653" s="4" t="n">
        <v>177.00</v>
      </c>
      <c r="D28653" s="4"/>
    </row>
    <row collapsed="" customFormat="false" customHeight="1" hidden="" ht="14" outlineLevel="0" r="28654">
      <c r="A28654" s="3" t="inlineStr">
        <is>
          <t>28524</t>
        </is>
      </c>
      <c r="B28654" s="4" t="s">
        <f>=HYPERLINK("http://anyluxury.ru/shop/upakovka/podarochnaya-upakovka/podarochnaya-korobka-dlya-nabora-universalnaya-kraft-350255113-mm-21002020/" , "21002.020 Подарочная коробка универсальная средняя, крафт")</f>
      </c>
      <c r="C28654" s="4" t="n">
        <v>160.00</v>
      </c>
      <c r="D28654" s="4"/>
    </row>
    <row collapsed="" customFormat="false" customHeight="1" hidden="" ht="14" outlineLevel="0" r="28655">
      <c r="A28655" s="3" t="inlineStr">
        <is>
          <t>28525</t>
        </is>
      </c>
      <c r="B28655" s="4" t="s">
        <f>=HYPERLINK("http://anyluxury.ru/shop/upakovka/podarochnaya-upakovka/podarochnaya-korobka-dlya-nabora-universalnaya-kraft-280215113-mm-21001020/" , "21001.020 Подарочная коробка универсальная малая, крафт")</f>
      </c>
      <c r="C28655" s="4" t="n">
        <v>129.00</v>
      </c>
      <c r="D28655" s="4"/>
    </row>
    <row collapsed="" customFormat="false" customHeight="1" hidden="" ht="14" outlineLevel="0" r="28656">
      <c r="A28656" s="3" t="inlineStr">
        <is>
          <t>28526</t>
        </is>
      </c>
      <c r="B28656" s="4" t="s">
        <f>=HYPERLINK("http://anyluxury.ru/shop/upakovka/podarochnaya-upakovka/podarochnaya-korobka-dlya-nabora-universalnaya-belaya-350255113-mm-21002100/" , "21002.100 Подарочная коробка универсальная средняя, белая")</f>
      </c>
      <c r="C28656" s="4" t="n">
        <v>160.00</v>
      </c>
      <c r="D28656" s="4"/>
    </row>
    <row collapsed="" customFormat="false" customHeight="1" hidden="" ht="14" outlineLevel="0" r="28657">
      <c r="A28657" s="3" t="inlineStr">
        <is>
          <t>28527</t>
        </is>
      </c>
      <c r="B28657" s="4" t="s">
        <f>=HYPERLINK("http://anyluxury.ru/shop/upakovka/podarochnaya-upakovka/podarochnaya-korobka-dlya-nabora-universalnaya-belaya-280215113-mm-21001100/" , "21001.100 Подарочная коробка универсальная малая, белая")</f>
      </c>
      <c r="C28657" s="4" t="n">
        <v>129.00</v>
      </c>
      <c r="D28657" s="4"/>
    </row>
    <row collapsed="" customFormat="false" customHeight="1" hidden="" ht="14" outlineLevel="0" r="28658">
      <c r="A28658" s="3" t="inlineStr">
        <is>
          <t>28528</t>
        </is>
      </c>
      <c r="B28658" s="4" t="s">
        <f>=HYPERLINK("http://anyluxury.ru/shop/upakovka/podarochnaya-upakovka/podarochnaya-korobka-pod-ezhednevnikruchka-seraya-260260-mm-svetliy-lozhement-giftbox24grey/" , "GIFT-BOX-24.GREY Подарочная коробка с ложементом для ежедневника и ручки, серая")</f>
      </c>
      <c r="C28658" s="4" t="n">
        <v>1154.00</v>
      </c>
      <c r="D28658" s="4"/>
    </row>
    <row collapsed="" customFormat="false" customHeight="1" hidden="" ht="14" outlineLevel="0" r="28659">
      <c r="A28659" s="3" t="inlineStr">
        <is>
          <t>28529</t>
        </is>
      </c>
      <c r="B28659" s="4" t="s">
        <f>=HYPERLINK("http://anyluxury.ru/shop/upakovka/podarochnaya-upakovka/holshhoviy-meshok-chamber-krasniy-1317150/" , "13171.50 Холщовый мешок Chamber, красный")</f>
      </c>
      <c r="C28659" s="4" t="n">
        <v>160.00</v>
      </c>
      <c r="D28659" s="4"/>
    </row>
    <row collapsed="" customFormat="false" customHeight="1" hidden="" ht="14" outlineLevel="0" r="28660">
      <c r="A28660" s="3" t="inlineStr">
        <is>
          <t>28530</t>
        </is>
      </c>
      <c r="B28660" s="4" t="s">
        <f>=HYPERLINK("http://anyluxury.ru/shop/upakovka/podarochnaya-upakovka/holshhoviy-meshok-chamber-cherniy-1317130/" , "13171.30 Холщовый мешок Chamber, черный")</f>
      </c>
      <c r="C28660" s="4" t="n">
        <v>160.00</v>
      </c>
      <c r="D28660" s="4"/>
    </row>
    <row collapsed="" customFormat="false" customHeight="1" hidden="" ht="14" outlineLevel="0" r="28661">
      <c r="A28661" s="3" t="inlineStr">
        <is>
          <t>28531</t>
        </is>
      </c>
      <c r="B28661" s="4" t="s">
        <f>=HYPERLINK("http://anyluxury.ru/shop/upakovka/podarochnaya-upakovka/holshhoviy-meshok-chamber-siniy-1317140/" , "13171.40 Холщовый мешок Chamber, синий")</f>
      </c>
      <c r="C28661" s="4" t="n">
        <v>160.00</v>
      </c>
      <c r="D28661" s="4"/>
    </row>
    <row collapsed="" customFormat="false" customHeight="1" hidden="" ht="14" outlineLevel="0" r="28662">
      <c r="A28662" s="3" t="inlineStr">
        <is>
          <t>28532</t>
        </is>
      </c>
      <c r="B28662" s="4" t="s">
        <f>=HYPERLINK("http://anyluxury.ru/shop/upakovka/podarochnaya-upakovka/holshhoviy-meshok-flaxy-maliy-1317200/" , "13172.00 Холщовый мешок Flaxy, малый")</f>
      </c>
      <c r="C28662" s="4" t="n">
        <v>138.00</v>
      </c>
      <c r="D28662" s="4"/>
    </row>
    <row collapsed="" customFormat="false" customHeight="1" hidden="" ht="14" outlineLevel="0" r="28663">
      <c r="A28663" s="3" t="inlineStr">
        <is>
          <t>28533</t>
        </is>
      </c>
      <c r="B28663" s="4" t="s">
        <f>=HYPERLINK("http://anyluxury.ru/shop/upakovka/podarochnaya-upakovka/holshhoviy-meshok-flaxy-bolshoy-1317300/" , "13173.00 Холщовый мешок Flaxy, большой")</f>
      </c>
      <c r="C28663" s="4" t="n">
        <v>250.00</v>
      </c>
      <c r="D28663" s="4"/>
    </row>
    <row collapsed="" customFormat="false" customHeight="1" hidden="" ht="14" outlineLevel="0" r="28664">
      <c r="A28664" s="3" t="inlineStr">
        <is>
          <t>28534</t>
        </is>
      </c>
      <c r="B28664" s="4" t="s">
        <f>=HYPERLINK("http://anyluxury.ru/shop/upakovka/podarochnaya-upakovka/paket-pod-butilku-vindemia-krasniy-7555650/" , "75556.50 Пакет под бутылку Vindemia, красный")</f>
      </c>
      <c r="C28664" s="4" t="n">
        <v>177.00</v>
      </c>
      <c r="D28664" s="4"/>
    </row>
    <row collapsed="" customFormat="false" customHeight="1" hidden="" ht="14" outlineLevel="0" r="28665">
      <c r="A28665" s="3" t="inlineStr">
        <is>
          <t>28535</t>
        </is>
      </c>
      <c r="B28665" s="4" t="s">
        <f>=HYPERLINK("http://anyluxury.ru/shop/upakovka/podarochnaya-upakovka/upakovka-maiden-malaya-kraft-2701600/" , "27016.00 Упаковка Maiden, малая, крафт")</f>
      </c>
      <c r="C28665" s="4" t="n">
        <v>108.00</v>
      </c>
      <c r="D28665" s="4"/>
    </row>
    <row collapsed="" customFormat="false" customHeight="1" hidden="" ht="14" outlineLevel="0" r="28666">
      <c r="A28666" s="3" t="inlineStr">
        <is>
          <t>28536</t>
        </is>
      </c>
      <c r="B28666" s="4" t="s">
        <f>=HYPERLINK("http://anyluxury.ru/shop/upakovka/podarochnaya-upakovka/upakovka-maiden-bolshaya-kraft-2701700/" , "27017.00 Упаковка Maiden, большая, крафт")</f>
      </c>
      <c r="C28666" s="4" t="n">
        <v>129.00</v>
      </c>
      <c r="D28666" s="4"/>
    </row>
    <row collapsed="" customFormat="false" customHeight="1" hidden="" ht="14" outlineLevel="0" r="28667">
      <c r="A28667" s="3" t="inlineStr">
        <is>
          <t>28537</t>
        </is>
      </c>
      <c r="B28667" s="4" t="s">
        <f>=HYPERLINK("http://anyluxury.ru/shop/upakovka/podarochnaya-upakovka/upakovka-maiden-bolshaya-belaya-2701760/" , "27017.60 Упаковка Maiden, большая, белая")</f>
      </c>
      <c r="C28667" s="4" t="n">
        <v>129.00</v>
      </c>
      <c r="D28667" s="4"/>
    </row>
    <row collapsed="" customFormat="false" customHeight="1" hidden="" ht="14" outlineLevel="0" r="28668">
      <c r="A28668" s="3" t="inlineStr">
        <is>
          <t>28538</t>
        </is>
      </c>
      <c r="B28668" s="4" t="s">
        <f>=HYPERLINK("http://anyluxury.ru/shop/upakovka/podarochnaya-upakovka/dekorativnaya-upakovochnaya-bumaga-kraft-767102/" , "7671.02 Декоративная упаковочная бумага, крафт")</f>
      </c>
      <c r="C28668" s="4" t="n">
        <v>27.00</v>
      </c>
      <c r="D28668" s="4"/>
    </row>
    <row collapsed="" customFormat="false" customHeight="1" hidden="" ht="14" outlineLevel="0" r="28669">
      <c r="A28669" s="3" t="inlineStr">
        <is>
          <t>28539</t>
        </is>
      </c>
      <c r="B28669" s="4" t="s">
        <f>=HYPERLINK("http://anyluxury.ru/shop/upakovka/podarochnaya-upakovka/sumka-na-zakaz-peto-net-akril-1887201/" , "18872.01 Сумка на заказ Peto Net, акрил")</f>
      </c>
      <c r="C28669" s="4" t="n">
        <v>1277.00</v>
      </c>
      <c r="D28669" s="4"/>
    </row>
    <row collapsed="" customFormat="false" customHeight="1" hidden="" ht="14" outlineLevel="0" r="28670">
      <c r="A28670" s="3" t="inlineStr">
        <is>
          <t>28540</t>
        </is>
      </c>
      <c r="B28670" s="4" t="s">
        <f>=HYPERLINK("http://anyluxury.ru/shop/upakovka/podarochnaya-upakovka/korobka-drummer-ovalnaya-s-siney-lentoy-6460240/" , "64602.40 Коробка Drummer, овальная, с синей лентой")</f>
      </c>
      <c r="C28670" s="4" t="n">
        <v>480.00</v>
      </c>
      <c r="D28670" s="4"/>
    </row>
    <row collapsed="" customFormat="false" customHeight="1" hidden="" ht="14" outlineLevel="0" r="28671">
      <c r="A28671" s="3" t="inlineStr">
        <is>
          <t>28541</t>
        </is>
      </c>
      <c r="B28671" s="4" t="s">
        <f>=HYPERLINK("http://anyluxury.ru/shop/upakovka/podarochnaya-upakovka/korobka-drummer-kruglaya-s-siney-lentoy-6460340/" , "64603.40 Коробка Drummer, круглая, с синей лентой")</f>
      </c>
      <c r="C28671" s="4" t="n">
        <v>529.00</v>
      </c>
      <c r="D28671" s="4"/>
    </row>
    <row collapsed="" customFormat="false" customHeight="1" hidden="" ht="14" outlineLevel="0" r="28672">
      <c r="A28672" s="3" t="inlineStr">
        <is>
          <t>28542</t>
        </is>
      </c>
      <c r="B28672" s="4" t="s">
        <f>=HYPERLINK("http://anyluxury.ru/shop/upakovka/podarochnaya-upakovka/paket-s-zamkom-zippa-xl-cherniy-6809430/" , "68094.30 Пакет с замком Zippa XL, черный")</f>
      </c>
      <c r="C28672" s="4" t="n">
        <v>71.30</v>
      </c>
      <c r="D28672" s="4"/>
    </row>
    <row collapsed="" customFormat="false" customHeight="1" hidden="" ht="14" outlineLevel="0" r="28673">
      <c r="A28673" s="3" t="inlineStr">
        <is>
          <t>28543</t>
        </is>
      </c>
      <c r="B28673" s="4" t="s">
        <f>=HYPERLINK("http://anyluxury.ru/shop/upakovka/podarochnaya-upakovka/paket-s-zamkom-zippa-xs-poluprozrachniy-matoviy-1399600/" , "13996.00 Пакет с замком Zippa XS, полупрозрачный матовый")</f>
      </c>
      <c r="C28673" s="4" t="n">
        <v>19.20</v>
      </c>
      <c r="D28673" s="4"/>
    </row>
    <row collapsed="" customFormat="false" customHeight="1" hidden="" ht="14" outlineLevel="0" r="28674">
      <c r="A28674" s="3" t="inlineStr">
        <is>
          <t>28544</t>
        </is>
      </c>
      <c r="B28674" s="4" t="s">
        <f>=HYPERLINK("http://anyluxury.ru/shop/upakovka/podarochnaya-upakovka/paket-s-zamkom-zippa-l-beliy-matoviy-1399760/" , "13997.60 Пакет с замком Zippa L, белый матовый")</f>
      </c>
      <c r="C28674" s="4" t="n">
        <v>38.30</v>
      </c>
      <c r="D28674" s="4"/>
    </row>
    <row collapsed="" customFormat="false" customHeight="1" hidden="" ht="14" outlineLevel="0" r="28675">
      <c r="A28675" s="3" t="inlineStr">
        <is>
          <t>28545</t>
        </is>
      </c>
      <c r="B28675" s="4" t="s">
        <f>=HYPERLINK("http://anyluxury.ru/shop/upakovka/podarochnaya-upakovka/elochnaya-minipodveska-elochka-dub-1023002/" , "10230.02 Елочная мини-подвеска «Елочка», дуб")</f>
      </c>
      <c r="C28675" s="4" t="n">
        <v>45.00</v>
      </c>
      <c r="D28675" s="4"/>
    </row>
    <row collapsed="" customFormat="false" customHeight="1" hidden="" ht="14" outlineLevel="0" r="28676">
      <c r="A28676" s="3" t="inlineStr">
        <is>
          <t>28546</t>
        </is>
      </c>
      <c r="B28676" s="4" t="s">
        <f>=HYPERLINK("http://anyluxury.ru/shop/upakovka/podarochnaya-upakovka/paket-pod-butilku-vindemia-kraft-7555600/" , "75556.00 Пакет под бутылку Vindemia, крафт")</f>
      </c>
      <c r="C28676" s="4" t="n">
        <v>177.00</v>
      </c>
      <c r="D28676" s="4"/>
    </row>
    <row collapsed="" customFormat="false" customHeight="1" hidden="" ht="14" outlineLevel="0" r="28677">
      <c r="A28677" s="3" t="inlineStr">
        <is>
          <t>28547</t>
        </is>
      </c>
      <c r="B28677" s="4" t="s">
        <f>=HYPERLINK("http://anyluxury.ru/shop/upakovka/podarochnaya-upakovka/shuber-daydreamer-cvetochniy-1422801/" , "14228.01 Шубер Daydreamer, цветочный")</f>
      </c>
      <c r="C28677" s="4" t="n">
        <v>88.90</v>
      </c>
      <c r="D28677" s="4"/>
    </row>
    <row collapsed="" customFormat="false" customHeight="1" hidden="" ht="14" outlineLevel="0" r="28678">
      <c r="A28678" s="3" t="inlineStr">
        <is>
          <t>28548</t>
        </is>
      </c>
      <c r="B28678" s="4" t="s">
        <f>=HYPERLINK("http://anyluxury.ru/shop/upakovka/podarochnaya-upakovka/shuber-daydreamer-novogodniy-1422802/" , "14228.02 Шубер Daydreamer, новогодний")</f>
      </c>
      <c r="C28678" s="4" t="n">
        <v>89.10</v>
      </c>
      <c r="D28678" s="4"/>
    </row>
    <row collapsed="" customFormat="false" customHeight="1" hidden="" ht="14" outlineLevel="0" r="28679">
      <c r="A28679" s="3" t="inlineStr">
        <is>
          <t>28549</t>
        </is>
      </c>
      <c r="B28679" s="4" t="s">
        <f>=HYPERLINK("http://anyluxury.ru/shop/upakovka/podarochnaya-upakovka/meshok-earony-30144/" , "30144 Мешок Earony для конфет или бутылки шампанского")</f>
      </c>
      <c r="C28679" s="4" t="n">
        <v>490.00</v>
      </c>
      <c r="D28679" s="4"/>
    </row>
    <row collapsed="" customFormat="false" customHeight="1" hidden="" ht="14" outlineLevel="0" r="28680">
      <c r="A28680" s="3" t="inlineStr">
        <is>
          <t>28550</t>
        </is>
      </c>
      <c r="B28680" s="4" t="s">
        <f>=HYPERLINK("http://anyluxury.ru/shop/upakovka/podarochnaya-upakovka/korobka-frosto-s-belaya-1768660/" , "17686.60 Коробка Frosto, S, белая")</f>
      </c>
      <c r="C28680" s="4" t="n">
        <v>548.00</v>
      </c>
      <c r="D28680" s="4"/>
    </row>
    <row collapsed="" customFormat="false" customHeight="1" hidden="" ht="14" outlineLevel="0" r="28681">
      <c r="A28681" s="3" t="inlineStr">
        <is>
          <t>28551</t>
        </is>
      </c>
      <c r="B28681" s="4" t="s">
        <f>=HYPERLINK("http://anyluxury.ru/shop/upakovka/podarochnaya-upakovka/korobka-frosto-s-seraya-1768610/" , "17686.10 Коробка Frosto, S, серая")</f>
      </c>
      <c r="C28681" s="4" t="n">
        <v>548.00</v>
      </c>
      <c r="D28681" s="4"/>
    </row>
    <row collapsed="" customFormat="false" customHeight="1" hidden="" ht="14" outlineLevel="0" r="28682">
      <c r="A28682" s="3" t="inlineStr">
        <is>
          <t>28552</t>
        </is>
      </c>
      <c r="B28682" s="4" t="s">
        <f>=HYPERLINK("http://anyluxury.ru/shop/upakovka/podarochnaya-upakovka/chemodan-s-taymerom-obratnogo-otscheta-chas-iks-30163/" , "30163 Чемодан с таймером обратного отсчета «Час Икс»")</f>
      </c>
      <c r="C28682" s="4" t="n">
        <v>4950.00</v>
      </c>
      <c r="D28682" s="4"/>
    </row>
    <row collapsed="" customFormat="false" customHeight="1" hidden="" ht="14" outlineLevel="0" r="28683">
      <c r="A28683" s="3" t="inlineStr">
        <is>
          <t>28553</t>
        </is>
      </c>
      <c r="B28683" s="4" t="s">
        <f>=HYPERLINK("http://anyluxury.ru/shop/upakovka/podarochnaya-upakovka/upakovka-cleo-chernaya-721530/" , "7215.30 Упаковка Cleo, черная")</f>
      </c>
      <c r="C28683" s="4" t="n">
        <v>106.00</v>
      </c>
      <c r="D28683" s="4"/>
    </row>
    <row collapsed="" customFormat="false" customHeight="1" hidden="" ht="14" outlineLevel="0" r="28684">
      <c r="A28684" s="3" t="inlineStr">
        <is>
          <t>28554</t>
        </is>
      </c>
      <c r="B28684" s="4" t="s">
        <f>=HYPERLINK("http://anyluxury.ru/shop/upakovka/podarochnaya-upakovka/futlyarsvetilnik-good-job-30157/" , "30157 Футляр-светильник Good Job")</f>
      </c>
      <c r="C28684" s="4" t="n">
        <v>2996.00</v>
      </c>
      <c r="D28684" s="4"/>
    </row>
    <row collapsed="" customFormat="false" customHeight="1" hidden="" ht="14" outlineLevel="0" r="28685">
      <c r="A28685" s="3" t="inlineStr">
        <is>
          <t>28555</t>
        </is>
      </c>
      <c r="B28685" s="4" t="s">
        <f>=HYPERLINK("http://anyluxury.ru/shop/upakovka/podarochnaya-upakovka/cvetok-hlopka-cotton-goluboy-1507544/" , "15075.44 Цветок хлопка Cotton, голубой")</f>
      </c>
      <c r="C28685" s="4" t="n">
        <v>80.00</v>
      </c>
      <c r="D28685" s="4"/>
    </row>
    <row collapsed="" customFormat="false" customHeight="1" hidden="" ht="14" outlineLevel="0" r="28686">
      <c r="A28686" s="3" t="inlineStr">
        <is>
          <t>28556</t>
        </is>
      </c>
      <c r="B28686" s="4" t="s">
        <f>=HYPERLINK("http://anyluxury.ru/shop/upakovka/podarochnaya-upakovka/cvetok-hlopka-cotton-oranzheviy-1507520/" , "15075.20 Цветок хлопка Cotton, оранжевый")</f>
      </c>
      <c r="C28686" s="4" t="n">
        <v>80.00</v>
      </c>
      <c r="D28686" s="4"/>
    </row>
    <row collapsed="" customFormat="false" customHeight="1" hidden="" ht="14" outlineLevel="0" r="28687">
      <c r="A28687" s="3" t="inlineStr">
        <is>
          <t>28557</t>
        </is>
      </c>
      <c r="B28687" s="4" t="s">
        <f>=HYPERLINK("http://anyluxury.ru/shop/upakovka/podarochnaya-upakovka/podarochnaya-korobka-dlya-nabora-universalnaya-kraft-23017080-mm-2010202101/" , "20102021.01 Подарочная коробка универсальная мини, крафт")</f>
      </c>
      <c r="C28687" s="4" t="n">
        <v>113.00</v>
      </c>
      <c r="D28687" s="4"/>
    </row>
    <row collapsed="" customFormat="false" customHeight="1" hidden="" ht="14" outlineLevel="0" r="28688">
      <c r="A28688" s="3" t="inlineStr">
        <is>
          <t>28558</t>
        </is>
      </c>
      <c r="B28688" s="4" t="s">
        <f>=HYPERLINK("http://anyluxury.ru/shop/upakovka/podarochnaya-upakovka/shuber-novogodniy-pingvini-dlya-podarochnoy-korobki-23017080-mm-2010202202/" , "20102022.02 Шубер новогодний 'Пингвины' для подарочной коробки 230*170*80 мм")</f>
      </c>
      <c r="C28688" s="4" t="n">
        <v>120.00</v>
      </c>
      <c r="D28688" s="4"/>
    </row>
    <row collapsed="" customFormat="false" customHeight="1" hidden="" ht="14" outlineLevel="0" r="28689">
      <c r="A28689" s="3" t="inlineStr">
        <is>
          <t>28559</t>
        </is>
      </c>
      <c r="B28689" s="4" t="s">
        <f>=HYPERLINK("http://anyluxury.ru/shop/upakovka/podarochnaya-upakovka/shuber-novogodniy-snezhinki-dlya-podarochnoy-korobki-23017080-mm-2010202201/" , "20102022.01 Шубер новогодний 'Снежинки' для подарочной коробки 230*170*80 мм")</f>
      </c>
      <c r="C28689" s="4" t="n">
        <v>120.00</v>
      </c>
      <c r="D28689" s="4"/>
    </row>
    <row collapsed="" customFormat="false" customHeight="1" hidden="" ht="14" outlineLevel="0" r="28690">
      <c r="A28690" s="3" t="inlineStr">
        <is>
          <t>28560</t>
        </is>
      </c>
      <c r="B28690" s="4" t="s">
        <f>=HYPERLINK("http://anyluxury.ru/shop/upakovka/podarochnaya-upakovka/nabor-stikerov-novogodnee-nastroenie-14748/" , "14748 Набор стикеров «Новогоднее настроение»")</f>
      </c>
      <c r="C28690" s="4" t="n">
        <v>73.10</v>
      </c>
      <c r="D28690" s="4"/>
    </row>
    <row collapsed="" customFormat="false" customHeight="1" hidden="" ht="14" outlineLevel="0" r="28691">
      <c r="A28691" s="3" t="inlineStr">
        <is>
          <t>28561</t>
        </is>
      </c>
      <c r="B28691" s="4" t="s">
        <f>=HYPERLINK("http://anyluxury.ru/shop/upakovka/podarochnaya-upakovka/korobka-new-year-case-krasnaya-1768850/" , "17688.50 Коробка New Year Case, красная")</f>
      </c>
      <c r="C28691" s="4" t="n">
        <v>865.00</v>
      </c>
      <c r="D28691" s="4"/>
    </row>
    <row collapsed="" customFormat="false" customHeight="1" hidden="" ht="14" outlineLevel="0" r="28692">
      <c r="A28692" s="3" t="inlineStr">
        <is>
          <t>28562</t>
        </is>
      </c>
      <c r="B28692" s="4" t="s">
        <f>=HYPERLINK("http://anyluxury.ru/shop/upakovka/podarochnaya-upakovka/dekorativnaya-korica-adorno-zolotistaya-1585001/" , "15850.01 Декоративная корица Adorno, золотистая")</f>
      </c>
      <c r="C28692" s="4" t="n">
        <v>161.00</v>
      </c>
      <c r="D28692" s="4"/>
    </row>
    <row collapsed="" customFormat="false" customHeight="1" hidden="" ht="14" outlineLevel="0" r="28693">
      <c r="A28693" s="3" t="inlineStr">
        <is>
          <t>28563</t>
        </is>
      </c>
      <c r="B28693" s="4" t="s">
        <f>=HYPERLINK("http://anyluxury.ru/shop/upakovka/podarochnaya-upakovka/buket-suhocvetov-adorno-beliy-1585101/" , "15851.01 Букет сухоцветов Adorno, белый")</f>
      </c>
      <c r="C28693" s="4" t="n">
        <v>169.00</v>
      </c>
      <c r="D28693" s="4"/>
    </row>
    <row collapsed="" customFormat="false" customHeight="1" hidden="" ht="14" outlineLevel="0" r="28694">
      <c r="A28694" s="3" t="inlineStr">
        <is>
          <t>28564</t>
        </is>
      </c>
      <c r="B28694" s="4" t="s">
        <f>=HYPERLINK("http://anyluxury.ru/shop/upakovka/podarochnaya-upakovka/buket-suhocvetov-adorno-krasniy-1585102/" , "15851.02 Букет сухоцветов Adorno, красный")</f>
      </c>
      <c r="C28694" s="4" t="n">
        <v>128.00</v>
      </c>
      <c r="D28694" s="4"/>
    </row>
    <row collapsed="" customFormat="false" customHeight="1" hidden="" ht="14" outlineLevel="0" r="28695">
      <c r="A28695" s="3" t="inlineStr">
        <is>
          <t>28565</t>
        </is>
      </c>
      <c r="B28695" s="4" t="s">
        <f>=HYPERLINK("http://anyluxury.ru/shop/upakovka/podarochnaya-upakovka/buket-suhocvetov-adorno-bezheviy-1585103/" , "15851.03 Букет сухоцветов Adorno, бежевый")</f>
      </c>
      <c r="C28695" s="4" t="n">
        <v>162.00</v>
      </c>
      <c r="D28695" s="4"/>
    </row>
    <row collapsed="" customFormat="false" customHeight="1" hidden="" ht="14" outlineLevel="0" r="28696">
      <c r="A28696" s="3" t="inlineStr">
        <is>
          <t>28566</t>
        </is>
      </c>
      <c r="B28696" s="4" t="s">
        <f>=HYPERLINK("http://anyluxury.ru/shop/upakovka/podarochnaya-upakovka/aromaticheskoe-sashe-s-lavandoy-adorno-krasnooranzhevoe-1585201/" , "15852.01 Ароматическое саше с лавандой Adorno, красно-оранжевое")</f>
      </c>
      <c r="C28696" s="4" t="n">
        <v>181.00</v>
      </c>
      <c r="D28696" s="4"/>
    </row>
    <row collapsed="" customFormat="false" customHeight="1" hidden="" ht="14" outlineLevel="0" r="28697">
      <c r="A28697" s="3" t="inlineStr">
        <is>
          <t>28567</t>
        </is>
      </c>
      <c r="B28697" s="4" t="s">
        <f>=HYPERLINK("http://anyluxury.ru/shop/upakovka/podarochnaya-upakovka/pletenaya-figurka-adorno-krasnoe-serdce-1585301/" , "15853.01 Плетеная фигурка Adorno, красное сердце")</f>
      </c>
      <c r="C28697" s="4" t="n">
        <v>114.00</v>
      </c>
      <c r="D28697" s="4"/>
    </row>
    <row collapsed="" customFormat="false" customHeight="1" hidden="" ht="14" outlineLevel="0" r="28698">
      <c r="A28698" s="3" t="inlineStr">
        <is>
          <t>28568</t>
        </is>
      </c>
      <c r="B28698" s="4" t="s">
        <f>=HYPERLINK("http://anyluxury.ru/shop/upakovka/podarochnaya-upakovka/pletenaya-figurka-adorno-sinyaya-zvezda-1585302/" , "15853.02 Плетеная фигурка Adorno, синяя звезда")</f>
      </c>
      <c r="C28698" s="4" t="n">
        <v>114.00</v>
      </c>
      <c r="D28698" s="4"/>
    </row>
    <row collapsed="" customFormat="false" customHeight="1" hidden="" ht="14" outlineLevel="0" r="28699">
      <c r="A28699" s="3" t="inlineStr">
        <is>
          <t>28569</t>
        </is>
      </c>
      <c r="B28699" s="4" t="s">
        <f>=HYPERLINK("http://anyluxury.ru/shop/upakovka/podarochnaya-upakovka/meshochek-podarochniy-gauze-cherniy-8030/" , "80.30 Мешочек подарочный Gauze, черный")</f>
      </c>
      <c r="C28699" s="4" t="n">
        <v>36.00</v>
      </c>
      <c r="D28699" s="4"/>
    </row>
    <row collapsed="" customFormat="false" customHeight="1" hidden="" ht="14" outlineLevel="0" r="28700">
      <c r="A28700" s="3" t="inlineStr">
        <is>
          <t>28570</t>
        </is>
      </c>
      <c r="B28700" s="4" t="s">
        <f>=HYPERLINK("http://anyluxury.ru/shop/upakovka/podarochnaya-upakovka/meshochek-podarochniy-gauze-zolotistiy-8000/" , "80.00 Мешочек подарочный Gauze, золотистый")</f>
      </c>
      <c r="C28700" s="4" t="n">
        <v>36.00</v>
      </c>
      <c r="D28700" s="4"/>
    </row>
    <row collapsed="" customFormat="false" customHeight="1" hidden="" ht="14" outlineLevel="0" r="28701">
      <c r="A28701" s="3" t="inlineStr">
        <is>
          <t>28571</t>
        </is>
      </c>
      <c r="B28701" s="4" t="s">
        <f>=HYPERLINK("http://anyluxury.ru/shop/upakovka/podarochnaya-upakovka/korobka-plus-chernaya-s-krasnim-1660250/" , "16602.50 Коробка Plus, черная с красным")</f>
      </c>
      <c r="C28701" s="4" t="n">
        <v>650.00</v>
      </c>
      <c r="D28701" s="4"/>
    </row>
    <row collapsed="" customFormat="false" customHeight="1" hidden="" ht="14" outlineLevel="0" r="28702">
      <c r="A28702" s="3" t="inlineStr">
        <is>
          <t>28572</t>
        </is>
      </c>
      <c r="B28702" s="4" t="s">
        <f>=HYPERLINK("http://anyluxury.ru/shop/upakovka/podarochnaya-upakovka/podarochnaya-korobka-dlya-nabora-cinyaya-307307-mm-svetliy-lozhement-pod-semnie-lozhementi-695703030/" , "695703.030 Подарочная коробка с ложементом для ежедневника, ручки и аккумулятора, синяя (под съемные ложементы)")</f>
      </c>
      <c r="C28702" s="4" t="n">
        <v>1353.00</v>
      </c>
      <c r="D28702" s="4"/>
    </row>
    <row collapsed="" customFormat="false" customHeight="1" hidden="" ht="14" outlineLevel="0" r="28703">
      <c r="A28703" s="3" t="inlineStr">
        <is>
          <t>28573</t>
        </is>
      </c>
      <c r="B28703" s="4" t="s">
        <f>=HYPERLINK("http://anyluxury.ru/shop/upakovka/podarochnaya-upakovka/podarochnaya-korobka-pod-ezhednevnikruchka-chernaya-260260-mm-cherniy-lozhement-695702010/" , "695702.010 Подарочная коробка с ложементом для ежедневника и ручки, черная")</f>
      </c>
      <c r="C28703" s="4" t="n">
        <v>1154.00</v>
      </c>
      <c r="D28703" s="4"/>
    </row>
    <row collapsed="" customFormat="false" customHeight="1" hidden="" ht="14" outlineLevel="0" r="28704">
      <c r="A28704" s="3" t="inlineStr">
        <is>
          <t>28574</t>
        </is>
      </c>
      <c r="B28704" s="4" t="s">
        <f>=HYPERLINK("http://anyluxury.ru/shop/upakovka/podarochnaya-upakovka/futlyar-dlya-ruchek-devon-siniy-1620940/" , "16209.40 Футляр для ручек Devon, синий")</f>
      </c>
      <c r="C28704" s="4" t="n">
        <v>141.00</v>
      </c>
      <c r="D28704" s="4"/>
    </row>
    <row collapsed="" customFormat="false" customHeight="1" hidden="" ht="14" outlineLevel="0" r="28705">
      <c r="A28705" s="3" t="inlineStr">
        <is>
          <t>28575</t>
        </is>
      </c>
      <c r="B28705" s="4" t="s">
        <f>=HYPERLINK("http://anyluxury.ru/shop/upakovka/podarochnaya-upakovka/futlyar-dlya-ruchek-devon-cherniy-1620930/" , "16209.30 Футляр для ручек Devon, черный")</f>
      </c>
      <c r="C28705" s="4" t="n">
        <v>141.00</v>
      </c>
      <c r="D28705" s="4"/>
    </row>
    <row collapsed="" customFormat="false" customHeight="1" hidden="" ht="14" outlineLevel="0" r="28706">
      <c r="A28706" s="3" t="inlineStr">
        <is>
          <t>28576</t>
        </is>
      </c>
      <c r="B28706" s="4" t="s">
        <f>=HYPERLINK("http://anyluxury.ru/shop/upakovka/podarochnaya-upakovka/futlyar-dlya-ruchek-devon-krasniy-1620950/" , "16209.50 Футляр для ручек Devon, красный")</f>
      </c>
      <c r="C28706" s="4" t="n">
        <v>141.00</v>
      </c>
      <c r="D28706" s="4"/>
    </row>
    <row collapsed="" customFormat="false" customHeight="1" hidden="" ht="14" outlineLevel="0" r="28707">
      <c r="A28707" s="3" t="inlineStr">
        <is>
          <t>28577</t>
        </is>
      </c>
      <c r="B28707" s="4" t="s">
        <f>=HYPERLINK("http://anyluxury.ru/shop/upakovka/podarochnaya-upakovka/holshhoviy-meshok-foster-thank-m-bezheviy-ver1-706901/" , "7069.01 Холщовый мешок Foster Thank, M, бежевый, ver.1")</f>
      </c>
      <c r="C28707" s="4" t="n">
        <v>119.00</v>
      </c>
      <c r="D28707" s="4"/>
    </row>
    <row collapsed="" customFormat="false" customHeight="1" hidden="" ht="14" outlineLevel="0" r="28708">
      <c r="A28708" s="3" t="inlineStr">
        <is>
          <t>28578</t>
        </is>
      </c>
      <c r="B28708" s="4" t="s">
        <f>=HYPERLINK("http://anyluxury.ru/shop/upakovka/podarochnaya-upakovka/varezhkipodveski-fiore-na-zakaz-1824201/" , "18242.01 Варежки-подвески Fiore на заказ")</f>
      </c>
      <c r="C28708" s="4" t="n">
        <v>371.00</v>
      </c>
      <c r="D28708" s="4"/>
    </row>
    <row collapsed="" customFormat="false" customHeight="1" hidden="" ht="14" outlineLevel="0" r="28709">
      <c r="A28709" s="3" t="inlineStr">
        <is>
          <t>28579</t>
        </is>
      </c>
      <c r="B28709" s="4" t="s">
        <f>=HYPERLINK("http://anyluxury.ru/shop/upakovka/podarochnaya-upakovka/dekorativnaya-upakovochnaya-bumaga-tissue-belaya-2767260/" , "27672.60 Декоративная упаковочная бумага Tissue, белая")</f>
      </c>
      <c r="C28709" s="4" t="n">
        <v>242.00</v>
      </c>
      <c r="D28709" s="4"/>
    </row>
    <row collapsed="" customFormat="false" customHeight="1" hidden="" ht="14" outlineLevel="0" r="28710">
      <c r="A28710" s="3" t="inlineStr">
        <is>
          <t>28580</t>
        </is>
      </c>
      <c r="B28710" s="4" t="s">
        <f>=HYPERLINK("http://anyluxury.ru/shop/upakovka/podarochnaya-upakovka/dekorativnaya-upakovochnaya-bumaga-tissue-chernaya-2767230/" , "27672.30 Декоративная упаковочная бумага Tissue, черная")</f>
      </c>
      <c r="C28710" s="4" t="n">
        <v>242.00</v>
      </c>
      <c r="D28710" s="4"/>
    </row>
    <row collapsed="" customFormat="false" customHeight="1" hidden="" ht="14" outlineLevel="0" r="28711">
      <c r="A28711" s="3" t="inlineStr">
        <is>
          <t>28581</t>
        </is>
      </c>
      <c r="B28711" s="4" t="s">
        <f>=HYPERLINK("http://anyluxury.ru/shop/upakovka/podarochnaya-upakovka/drevesnaya-sherst-woodly-28204/" , "28204 Древесная шерсть Woodly")</f>
      </c>
      <c r="C28711" s="4" t="n">
        <v>155.00</v>
      </c>
      <c r="D28711" s="4"/>
    </row>
    <row collapsed="" customFormat="false" customHeight="1" hidden="" ht="14" outlineLevel="0" r="28712">
      <c r="A28712" s="3" t="inlineStr">
        <is>
          <t>28582</t>
        </is>
      </c>
      <c r="B28712" s="4" t="s">
        <f>=HYPERLINK("http://anyluxury.ru/shop/upakovka/podarochnaya-upakovka/korobkapenal-domus-20227/" , "20227 Коробка-пенал Domus")</f>
      </c>
      <c r="C28712" s="4" t="n">
        <v>995.00</v>
      </c>
      <c r="D28712" s="4"/>
    </row>
    <row collapsed="" customFormat="false" customHeight="1" hidden="" ht="14" outlineLevel="0" r="28713">
      <c r="A28713" s="3" t="inlineStr">
        <is>
          <t>28583</t>
        </is>
      </c>
      <c r="B28713" s="4" t="s">
        <f>=HYPERLINK("http://anyluxury.ru/shop/upakovka/podarochnaya-upakovka/tubus-tinto-kraft-1775400/" , "17754.00 Тубус Tinto, крафт")</f>
      </c>
      <c r="C28713" s="4" t="n">
        <v>230.00</v>
      </c>
      <c r="D28713" s="4"/>
    </row>
    <row collapsed="" customFormat="false" customHeight="1" hidden="" ht="14" outlineLevel="0" r="28714">
      <c r="A28714" s="3" t="inlineStr">
        <is>
          <t>28584</t>
        </is>
      </c>
      <c r="B28714" s="4" t="s">
        <f>=HYPERLINK("http://anyluxury.ru/shop/upakovka/podarochnaya-upakovka/tubus-tinto-siniy-1775440/" , "17754.40 Тубус Tinto, синий")</f>
      </c>
      <c r="C28714" s="4" t="n">
        <v>270.00</v>
      </c>
      <c r="D28714" s="4"/>
    </row>
    <row collapsed="" customFormat="false" customHeight="1" hidden="" ht="14" outlineLevel="0" r="28715">
      <c r="A28715" s="3" t="inlineStr">
        <is>
          <t>28585</t>
        </is>
      </c>
      <c r="B28715" s="4" t="s">
        <f>=HYPERLINK("http://anyluxury.ru/shop/upakovka/podarochnaya-upakovka/tubus-tinto-cherniy-1775430/" , "17754.30 Тубус Tinto, черный")</f>
      </c>
      <c r="C28715" s="4" t="n">
        <v>270.00</v>
      </c>
      <c r="D28715" s="4"/>
    </row>
    <row collapsed="" customFormat="false" customHeight="1" hidden="" ht="14" outlineLevel="0" r="28716">
      <c r="A28716" s="3" t="inlineStr">
        <is>
          <t>28586</t>
        </is>
      </c>
      <c r="B28716" s="4" t="s">
        <f>=HYPERLINK("http://anyluxury.ru/shop/upakovka/podarochnaya-upakovka/podarochnaya-korobka-dlya-nabora-cinyaya-307307-mm-svetliy-lozhement-pod-semnie-lozhementi-695704030/" , "695704.030 Подарочная коробка с ложементом для ежедневника, ручки и аккумулятора, синяя (под съемные ложементы)")</f>
      </c>
      <c r="C28716" s="4" t="n">
        <v>1353.00</v>
      </c>
      <c r="D28716" s="4"/>
    </row>
    <row collapsed="" customFormat="false" customHeight="1" hidden="" ht="14" outlineLevel="0" r="28717">
      <c r="A28717" s="3" t="inlineStr">
        <is>
          <t>28587</t>
        </is>
      </c>
      <c r="B28717" s="4" t="s">
        <f>=HYPERLINK("http://anyluxury.ru/shop/upakovka/podarochnaya-upakovka/podarochnaya-korobka-dlya-nabora-seraya-307307-mm-svetliy-lozhement-pod-semnie-lozhementi-695704080/" , "695704.080 Подарочная коробка с ложементом для ежедневника, ручки и аккумулятора, серая (под съемные ложементы)")</f>
      </c>
      <c r="C28717" s="4" t="n">
        <v>1353.00</v>
      </c>
      <c r="D28717" s="4"/>
    </row>
    <row collapsed="" customFormat="false" customHeight="1" hidden="" ht="14" outlineLevel="0" r="28718">
      <c r="A28718" s="3" t="inlineStr">
        <is>
          <t>28588</t>
        </is>
      </c>
      <c r="B28718" s="4" t="s">
        <f>=HYPERLINK("http://anyluxury.ru/shop/upakovka/podarochnaya-upakovka/podarochnaya-korobka-dlya-nabora-chernaya-307307-mm-cherniy-lozhement-pod-semnie-lozhementi-695704010/" , "695704.010 Подарочная коробка с ложементом для ежедневника, ручки и аккумулятора, черная (под съемные ложементы)")</f>
      </c>
      <c r="C28718" s="4" t="n">
        <v>1353.00</v>
      </c>
      <c r="D28718" s="4"/>
    </row>
    <row collapsed="" customFormat="false" customHeight="1" hidden="" ht="14" outlineLevel="0" r="28719">
      <c r="A28719" s="3" t="inlineStr">
        <is>
          <t>28589</t>
        </is>
      </c>
      <c r="B28719" s="4" t="s">
        <f>=HYPERLINK("http://anyluxury.ru/shop/upakovka/podarochnaya-upakovka/podarochnaya-korobka-pod-ezhednevnikruchka-seraya-260260-mm-svetliy-lozhement-695701080/" , "695701.080 Подарочная коробка с ложементом для ежедневника и ручки, серая")</f>
      </c>
      <c r="C28719" s="4" t="n">
        <v>1154.00</v>
      </c>
      <c r="D28719" s="4"/>
    </row>
    <row collapsed="" customFormat="false" customHeight="1" hidden="" ht="14" outlineLevel="0" r="28720">
      <c r="A28720" s="3" t="inlineStr">
        <is>
          <t>28590</t>
        </is>
      </c>
      <c r="B28720" s="4" t="s">
        <f>=HYPERLINK("http://anyluxury.ru/shop/upakovka/podarochnaya-upakovka/podarochnaya-korobka-pod-ezhednevnikruchka-sinyaya-260260-mm-svetliy-lozhement-695701030/" , "695701.030 Подарочная коробка с ложементом для ежедневника и ручки, синяя")</f>
      </c>
      <c r="C28720" s="4" t="n">
        <v>1154.00</v>
      </c>
      <c r="D28720" s="4"/>
    </row>
    <row collapsed="" customFormat="false" customHeight="1" hidden="" ht="14" outlineLevel="0" r="28721">
      <c r="A28721" s="3" t="inlineStr">
        <is>
          <t>28591</t>
        </is>
      </c>
      <c r="B28721" s="4" t="s">
        <f>=HYPERLINK("http://anyluxury.ru/shop/upakovka/podarochnaya-upakovka/podarochnaya-korobka-pod-ezhednevnikruchka-chernaya-260260-mm-cherniy-lozhement-695701010/" , "695701.010 Подарочная коробка с ложементом для ежедневника и ручки, черная")</f>
      </c>
      <c r="C28721" s="4" t="n">
        <v>1154.00</v>
      </c>
      <c r="D28721" s="4"/>
    </row>
    <row collapsed="" customFormat="false" customHeight="1" hidden="" ht="14" outlineLevel="0" r="28722">
      <c r="A28722" s="3" t="inlineStr">
        <is>
          <t>28592</t>
        </is>
      </c>
      <c r="B28722" s="4" t="s">
        <f>=HYPERLINK("http://anyluxury.ru/shop/upakovka/podarochnaya-upakovka/podarochnaya-korobka-dlya-nabora-s-lozhementom-pod-palermo-kraft-350255113-mm-21003020/" , "21003.020 Подарочная коробка для набора с ложементом под Palermo, крафт, 350*255*113 мм")</f>
      </c>
      <c r="C28722" s="4" t="n">
        <v>210.00</v>
      </c>
      <c r="D28722" s="4"/>
    </row>
    <row collapsed="" customFormat="false" customHeight="1" hidden="" ht="14" outlineLevel="0" r="28723">
      <c r="A28723" s="3" t="inlineStr">
        <is>
          <t>28593</t>
        </is>
      </c>
      <c r="B28723" s="4" t="s">
        <f>=HYPERLINK("http://anyluxury.ru/shop/upakovka/podarochnaya-upakovka/podarochnaya-korobka-dlya-nabora-s-lozhementom-pod-terso-bianca-prima-kraft-350255113-mm-21004020/" , "21004.020 Подарочная коробка для набора с ложементом под Terso, Bianca, Prima, крафт, 350*255*113 мм")</f>
      </c>
      <c r="C28723" s="4" t="n">
        <v>213.00</v>
      </c>
      <c r="D28723" s="4"/>
    </row>
    <row collapsed="" customFormat="false" customHeight="1" hidden="" ht="14" outlineLevel="0" r="28724">
      <c r="A28724" s="3" t="inlineStr">
        <is>
          <t>28594</t>
        </is>
      </c>
      <c r="B28724" s="4" t="s">
        <f>=HYPERLINK("http://anyluxury.ru/shop/upakovka/podarochnaya-upakovka/podarochnaya-korobka-universalnaya-bolshaya-kraft-21005020/" , "21005.020 Подарочная коробка универсальная большая, крафт")</f>
      </c>
      <c r="C28724" s="4" t="n">
        <v>165.00</v>
      </c>
      <c r="D28724" s="4"/>
    </row>
    <row collapsed="" customFormat="false" customHeight="" hidden="" ht="12.1" outlineLevel="0" r="28725">
      <c r="A28725" s="5" t="inlineStr">
        <is>
          <t> -  - Подарочные коробки</t>
        </is>
      </c>
      <c r="B28725" s="6"/>
      <c r="C28725" s="6"/>
      <c r="D28725" s="6"/>
    </row>
    <row collapsed="" customFormat="false" customHeight="1" hidden="" ht="14" outlineLevel="0" r="28726">
      <c r="A28726" s="3" t="inlineStr">
        <is>
          <t>28595</t>
        </is>
      </c>
      <c r="B28726" s="4" t="s">
        <f>=HYPERLINK("http://anyluxury.ru/shop/upakovka/podarochnye-korobki/korobka-podarochnaya-pozhelanie-malaya-z30005/" , "Z30005 Коробка подарочная «Пожелание», малая")</f>
      </c>
      <c r="C28726" s="4" t="n">
        <v>430.00</v>
      </c>
      <c r="D28726" s="4"/>
    </row>
    <row collapsed="" customFormat="false" customHeight="1" hidden="" ht="14" outlineLevel="0" r="28727">
      <c r="A28727" s="3" t="inlineStr">
        <is>
          <t>28596</t>
        </is>
      </c>
      <c r="B28727" s="4" t="s">
        <f>=HYPERLINK("http://anyluxury.ru/shop/upakovka/podarochnye-korobki/korobka-kruglaya-srednyaya-serebristaya-5585/" , "5585 Коробка круглая, средняя, серебристая")</f>
      </c>
      <c r="C28727" s="4" t="n">
        <v>263.00</v>
      </c>
      <c r="D28727" s="4"/>
    </row>
    <row collapsed="" customFormat="false" customHeight="1" hidden="" ht="14" outlineLevel="0" r="28728">
      <c r="A28728" s="3" t="inlineStr">
        <is>
          <t>28597</t>
        </is>
      </c>
      <c r="B28728" s="4" t="s">
        <f>=HYPERLINK("http://anyluxury.ru/shop/upakovka/podarochnye-korobki/korobka-pryamougolnaya-visokaya-serebristaya-5586/" , "5586 Коробка прямоугольная, высокая, серебристая")</f>
      </c>
      <c r="C28728" s="4" t="n">
        <v>175.00</v>
      </c>
      <c r="D28728" s="4"/>
    </row>
    <row collapsed="" customFormat="false" customHeight="1" hidden="" ht="14" outlineLevel="0" r="28729">
      <c r="A28729" s="3" t="inlineStr">
        <is>
          <t>28598</t>
        </is>
      </c>
      <c r="B28729" s="4" t="s">
        <f>=HYPERLINK("http://anyluxury.ru/shop/upakovka/podarochnye-korobki/korobka-kvadratnaya-serebristaya-5587/" , "5587 Коробка квадратная, серебристая")</f>
      </c>
      <c r="C28729" s="4" t="n">
        <v>109.00</v>
      </c>
      <c r="D28729" s="4"/>
    </row>
    <row collapsed="" customFormat="false" customHeight="1" hidden="" ht="14" outlineLevel="0" r="28730">
      <c r="A28730" s="3" t="inlineStr">
        <is>
          <t>28599</t>
        </is>
      </c>
      <c r="B28730" s="4" t="s">
        <f>=HYPERLINK("http://anyluxury.ru/shop/upakovka/podarochnye-korobki/korobka-pryamougolnaya-malaya-serebristaya-5588/" , "5588 Коробка прямоугольная, малая, серебристая")</f>
      </c>
      <c r="C28730" s="4" t="n">
        <v>112.80</v>
      </c>
      <c r="D28730" s="4"/>
    </row>
    <row collapsed="" customFormat="false" customHeight="1" hidden="" ht="14" outlineLevel="0" r="28731">
      <c r="A28731" s="3" t="inlineStr">
        <is>
          <t>28600</t>
        </is>
      </c>
      <c r="B28731" s="4" t="s">
        <f>=HYPERLINK("http://anyluxury.ru/shop/upakovka/podarochnye-korobki/korobka-kruglaya-malaya-serebristaya-5589/" , "5589 Коробка круглая, малая, серебристая")</f>
      </c>
      <c r="C28731" s="4" t="n">
        <v>123.00</v>
      </c>
      <c r="D28731" s="4"/>
    </row>
    <row collapsed="" customFormat="false" customHeight="1" hidden="" ht="14" outlineLevel="0" r="28732">
      <c r="A28732" s="3" t="inlineStr">
        <is>
          <t>28601</t>
        </is>
      </c>
      <c r="B28732" s="4" t="s">
        <f>=HYPERLINK("http://anyluxury.ru/shop/upakovka/podarochnye-korobki/korobka-podarochnaya-pod-ezhednevnik-fleshku-i-ruchku-serebristaya-662410/" , "6624.10 Коробка Triplet, серая")</f>
      </c>
      <c r="C28732" s="4" t="n">
        <v>482.00</v>
      </c>
      <c r="D28732" s="4"/>
    </row>
    <row collapsed="" customFormat="false" customHeight="1" hidden="" ht="14" outlineLevel="0" r="28733">
      <c r="A28733" s="3" t="inlineStr">
        <is>
          <t>28602</t>
        </is>
      </c>
      <c r="B28733" s="4" t="s">
        <f>=HYPERLINK("http://anyluxury.ru/shop/upakovka/podarochnye-korobki/korobka-podarochnaya-pod-ezhednevnik-fleshku-i-ruchku-sinyaya-662440/" , "6624.40 Коробка Triplet, синяя")</f>
      </c>
      <c r="C28733" s="4" t="n">
        <v>482.00</v>
      </c>
      <c r="D28733" s="4"/>
    </row>
    <row collapsed="" customFormat="false" customHeight="1" hidden="" ht="14" outlineLevel="0" r="28734">
      <c r="A28734" s="3" t="inlineStr">
        <is>
          <t>28603</t>
        </is>
      </c>
      <c r="B28734" s="4" t="s">
        <f>=HYPERLINK("http://anyluxury.ru/shop/upakovka/podarochnye-korobki/korobka-case-podarochnaya-sinyaya-114240/" , "1142.40 Коробка Case, подарочная, темно-синяя")</f>
      </c>
      <c r="C28734" s="4" t="n">
        <v>876.00</v>
      </c>
      <c r="D28734" s="4"/>
    </row>
    <row collapsed="" customFormat="false" customHeight="1" hidden="" ht="14" outlineLevel="0" r="28735">
      <c r="A28735" s="3" t="inlineStr">
        <is>
          <t>28604</t>
        </is>
      </c>
      <c r="B28735" s="4" t="s">
        <f>=HYPERLINK("http://anyluxury.ru/shop/upakovka/podarochnye-korobki/korobka-case-podarochnaya-krasnaya-114250/" , "1142.50 Коробка Case, подарочная, красная")</f>
      </c>
      <c r="C28735" s="4" t="n">
        <v>876.00</v>
      </c>
      <c r="D28735" s="4"/>
    </row>
    <row collapsed="" customFormat="false" customHeight="1" hidden="" ht="14" outlineLevel="0" r="28736">
      <c r="A28736" s="3" t="inlineStr">
        <is>
          <t>28605</t>
        </is>
      </c>
      <c r="B28736" s="4" t="s">
        <f>=HYPERLINK("http://anyluxury.ru/shop/upakovka/podarochnye-korobki/korobka-case-podarochnaya-serebristaya-114210/" , "1142.10 Коробка Case, подарочная, серебристая")</f>
      </c>
      <c r="C28736" s="4" t="n">
        <v>876.00</v>
      </c>
      <c r="D28736" s="4"/>
    </row>
    <row collapsed="" customFormat="false" customHeight="1" hidden="" ht="14" outlineLevel="0" r="28737">
      <c r="A28737" s="3" t="inlineStr">
        <is>
          <t>28606</t>
        </is>
      </c>
      <c r="B28737" s="4" t="s">
        <f>=HYPERLINK("http://anyluxury.ru/shop/upakovka/podarochnye-korobki/korobka-dlya-kruzhki-large-kraft-333400/" , "3334.00 Коробка для кружки Large, крафт")</f>
      </c>
      <c r="C28737" s="4" t="n">
        <v>44.00</v>
      </c>
      <c r="D28737" s="4"/>
    </row>
    <row collapsed="" customFormat="false" customHeight="1" hidden="" ht="14" outlineLevel="0" r="28738">
      <c r="A28738" s="3" t="inlineStr">
        <is>
          <t>28607</t>
        </is>
      </c>
      <c r="B28738" s="4" t="s">
        <f>=HYPERLINK("http://anyluxury.ru/shop/upakovka/podarochnye-korobki/korobka-dlya-kruzhki-large-belaya-333460/" , "3334.60 Коробка для кружки Large, белая")</f>
      </c>
      <c r="C28738" s="4" t="n">
        <v>44.00</v>
      </c>
      <c r="D28738" s="4"/>
    </row>
    <row collapsed="" customFormat="false" customHeight="1" hidden="" ht="14" outlineLevel="0" r="28739">
      <c r="A28739" s="3" t="inlineStr">
        <is>
          <t>28608</t>
        </is>
      </c>
      <c r="B28739" s="4" t="s">
        <f>=HYPERLINK("http://anyluxury.ru/shop/upakovka/podarochnye-korobki/korobka-pryamougolnaya-bolshaya-serebristaya-6777/" , "6777 Коробка прямоугольная, большая, серебристая")</f>
      </c>
      <c r="C28739" s="4" t="n">
        <v>293.00</v>
      </c>
      <c r="D28739" s="4"/>
    </row>
    <row collapsed="" customFormat="false" customHeight="1" hidden="" ht="14" outlineLevel="0" r="28740">
      <c r="A28740" s="3" t="inlineStr">
        <is>
          <t>28609</t>
        </is>
      </c>
      <c r="B28740" s="4" t="s">
        <f>=HYPERLINK("http://anyluxury.ru/shop/upakovka/podarochnye-korobki/podarochnaya-korobka-giftbox-sinyaya-335740/" , "3357.40 Коробка Giftbox, синяя")</f>
      </c>
      <c r="C28740" s="4" t="n">
        <v>423.00</v>
      </c>
      <c r="D28740" s="4"/>
    </row>
    <row collapsed="" customFormat="false" customHeight="1" hidden="" ht="14" outlineLevel="0" r="28741">
      <c r="A28741" s="3" t="inlineStr">
        <is>
          <t>28610</t>
        </is>
      </c>
      <c r="B28741" s="4" t="s">
        <f>=HYPERLINK("http://anyluxury.ru/shop/upakovka/podarochnye-korobki/korobka-case-podarochnaya-belaya-114260/" , "1142.60 Коробка Case, подарочная, белая")</f>
      </c>
      <c r="C28741" s="4" t="n">
        <v>876.00</v>
      </c>
      <c r="D28741" s="4"/>
    </row>
    <row collapsed="" customFormat="false" customHeight="1" hidden="" ht="14" outlineLevel="0" r="28742">
      <c r="A28742" s="3" t="inlineStr">
        <is>
          <t>28611</t>
        </is>
      </c>
      <c r="B28742" s="4" t="s">
        <f>=HYPERLINK("http://anyluxury.ru/shop/upakovka/podarochnye-korobki/podarochnaya-korobka-rond-belaya-339260/" , "3392.60 Подарочная коробка Rond, белая")</f>
      </c>
      <c r="C28742" s="4" t="n">
        <v>730.00</v>
      </c>
      <c r="D28742" s="4"/>
    </row>
    <row collapsed="" customFormat="false" customHeight="1" hidden="" ht="14" outlineLevel="0" r="28743">
      <c r="A28743" s="3" t="inlineStr">
        <is>
          <t>28612</t>
        </is>
      </c>
      <c r="B28743" s="4" t="s">
        <f>=HYPERLINK("http://anyluxury.ru/shop/upakovka/podarochnye-korobki/podarochnaya-korobka-rond-chernaya-339230/" , "3392.30 Подарочная коробка Rond, черная")</f>
      </c>
      <c r="C28743" s="4" t="n">
        <v>730.00</v>
      </c>
      <c r="D28743" s="4"/>
    </row>
    <row collapsed="" customFormat="false" customHeight="1" hidden="" ht="14" outlineLevel="0" r="28744">
      <c r="A28744" s="3" t="inlineStr">
        <is>
          <t>28613</t>
        </is>
      </c>
      <c r="B28744" s="4" t="s">
        <f>=HYPERLINK("http://anyluxury.ru/shop/upakovka/podarochnye-korobki/podarochnaya-korobka-rond-sinyaya-339240/" , "3392.40 Подарочная коробка Rond, синяя")</f>
      </c>
      <c r="C28744" s="4" t="n">
        <v>730.00</v>
      </c>
      <c r="D28744" s="4"/>
    </row>
    <row collapsed="" customFormat="false" customHeight="1" hidden="" ht="14" outlineLevel="0" r="28745">
      <c r="A28745" s="3" t="inlineStr">
        <is>
          <t>28614</t>
        </is>
      </c>
      <c r="B28745" s="4" t="s">
        <f>=HYPERLINK("http://anyluxury.ru/shop/upakovka/podarochnye-korobki/korobka-case-podarochnaya-chernaya-114230/" , "1142.30 Коробка Case, подарочная, черная")</f>
      </c>
      <c r="C28745" s="4" t="n">
        <v>876.00</v>
      </c>
      <c r="D28745" s="4"/>
    </row>
    <row collapsed="" customFormat="false" customHeight="1" hidden="" ht="14" outlineLevel="0" r="28746">
      <c r="A28746" s="3" t="inlineStr">
        <is>
          <t>28615</t>
        </is>
      </c>
      <c r="B28746" s="4" t="s">
        <f>=HYPERLINK("http://anyluxury.ru/shop/upakovka/podarochnye-korobki/korobka-mini-sinyaya-338740/" , "3387.40 Коробка Mini, синяя")</f>
      </c>
      <c r="C28746" s="4" t="n">
        <v>224.00</v>
      </c>
      <c r="D28746" s="4"/>
    </row>
    <row collapsed="" customFormat="false" customHeight="1" hidden="" ht="14" outlineLevel="0" r="28747">
      <c r="A28747" s="3" t="inlineStr">
        <is>
          <t>28616</t>
        </is>
      </c>
      <c r="B28747" s="4" t="s">
        <f>=HYPERLINK("http://anyluxury.ru/shop/upakovka/podarochnye-korobki/korobka-mini-serebristaya-338710/" , "3387.10 Коробка Mini, серебристая")</f>
      </c>
      <c r="C28747" s="4" t="n">
        <v>189.00</v>
      </c>
      <c r="D28747" s="4"/>
    </row>
    <row collapsed="" customFormat="false" customHeight="1" hidden="" ht="14" outlineLevel="0" r="28748">
      <c r="A28748" s="3" t="inlineStr">
        <is>
          <t>28617</t>
        </is>
      </c>
      <c r="B28748" s="4" t="s">
        <f>=HYPERLINK("http://anyluxury.ru/shop/upakovka/podarochnye-korobki/korobka-grande-kraft-347900/" , "3479.00 Коробка Grande, крафт")</f>
      </c>
      <c r="C28748" s="4" t="n">
        <v>154.00</v>
      </c>
      <c r="D28748" s="4"/>
    </row>
    <row collapsed="" customFormat="false" customHeight="1" hidden="" ht="14" outlineLevel="0" r="28749">
      <c r="A28749" s="3" t="inlineStr">
        <is>
          <t>28618</t>
        </is>
      </c>
      <c r="B28749" s="4" t="s">
        <f>=HYPERLINK("http://anyluxury.ru/shop/upakovka/podarochnye-korobki/korobka-grande-belaya-347960/" , "3479.60 Коробка Grande, белая")</f>
      </c>
      <c r="C28749" s="4" t="n">
        <v>150.00</v>
      </c>
      <c r="D28749" s="4"/>
    </row>
    <row collapsed="" customFormat="false" customHeight="1" hidden="" ht="14" outlineLevel="0" r="28750">
      <c r="A28750" s="3" t="inlineStr">
        <is>
          <t>28619</t>
        </is>
      </c>
      <c r="B28750" s="4" t="s">
        <f>=HYPERLINK("http://anyluxury.ru/shop/upakovka/podarochnye-korobki/korobka-medio-kraft-344900/" , "3449.00 Коробка Medio, крафт")</f>
      </c>
      <c r="C28750" s="4" t="n">
        <v>92.40</v>
      </c>
      <c r="D28750" s="4"/>
    </row>
    <row collapsed="" customFormat="false" customHeight="1" hidden="" ht="14" outlineLevel="0" r="28751">
      <c r="A28751" s="3" t="inlineStr">
        <is>
          <t>28620</t>
        </is>
      </c>
      <c r="B28751" s="4" t="s">
        <f>=HYPERLINK("http://anyluxury.ru/shop/upakovka/podarochnye-korobki/korobka-medio-belaya-344960/" , "3449.60 Коробка Medio, белая")</f>
      </c>
      <c r="C28751" s="4" t="n">
        <v>92.40</v>
      </c>
      <c r="D28751" s="4"/>
    </row>
    <row collapsed="" customFormat="false" customHeight="1" hidden="" ht="14" outlineLevel="0" r="28752">
      <c r="A28752" s="3" t="inlineStr">
        <is>
          <t>28621</t>
        </is>
      </c>
      <c r="B28752" s="4" t="s">
        <f>=HYPERLINK("http://anyluxury.ru/shop/upakovka/podarochnye-korobki/korobka-piccolo-kraft-339900/" , "3399.00 Коробка Piccolo, крафт")</f>
      </c>
      <c r="C28752" s="4" t="n">
        <v>96.00</v>
      </c>
      <c r="D28752" s="4"/>
    </row>
    <row collapsed="" customFormat="false" customHeight="1" hidden="" ht="14" outlineLevel="0" r="28753">
      <c r="A28753" s="3" t="inlineStr">
        <is>
          <t>28622</t>
        </is>
      </c>
      <c r="B28753" s="4" t="s">
        <f>=HYPERLINK("http://anyluxury.ru/shop/upakovka/podarochnye-korobki/korobka-piccolo-belaya-339960/" , "3399.60 Коробка Piccolo, белая")</f>
      </c>
      <c r="C28753" s="4" t="n">
        <v>96.00</v>
      </c>
      <c r="D28753" s="4"/>
    </row>
    <row collapsed="" customFormat="false" customHeight="1" hidden="" ht="14" outlineLevel="0" r="28754">
      <c r="A28754" s="3" t="inlineStr">
        <is>
          <t>28623</t>
        </is>
      </c>
      <c r="B28754" s="4" t="s">
        <f>=HYPERLINK("http://anyluxury.ru/shop/upakovka/podarochnye-korobki/tubus-kraft-721100/" , "7211.00 Тубус, крафт")</f>
      </c>
      <c r="C28754" s="4" t="n">
        <v>231.00</v>
      </c>
      <c r="D28754" s="4"/>
    </row>
    <row collapsed="" customFormat="false" customHeight="1" hidden="" ht="14" outlineLevel="0" r="28755">
      <c r="A28755" s="3" t="inlineStr">
        <is>
          <t>28624</t>
        </is>
      </c>
      <c r="B28755" s="4" t="s">
        <f>=HYPERLINK("http://anyluxury.ru/shop/upakovka/podarochnye-korobki/korobka-vindu-malaya-339300/" , "3393.00 Коробка с окном Vindu, малая")</f>
      </c>
      <c r="C28755" s="4" t="n">
        <v>66.20</v>
      </c>
      <c r="D28755" s="4"/>
    </row>
    <row collapsed="" customFormat="false" customHeight="1" hidden="" ht="14" outlineLevel="0" r="28756">
      <c r="A28756" s="3" t="inlineStr">
        <is>
          <t>28625</t>
        </is>
      </c>
      <c r="B28756" s="4" t="s">
        <f>=HYPERLINK("http://anyluxury.ru/shop/upakovka/podarochnye-korobki/korobka-vindu-bolshaya-339400/" , "3394.00 Коробка с окном Vindu, средняя")</f>
      </c>
      <c r="C28756" s="4" t="n">
        <v>105.80</v>
      </c>
      <c r="D28756" s="4"/>
    </row>
    <row collapsed="" customFormat="false" customHeight="1" hidden="" ht="14" outlineLevel="0" r="28757">
      <c r="A28757" s="3" t="inlineStr">
        <is>
          <t>28626</t>
        </is>
      </c>
      <c r="B28757" s="4" t="s">
        <f>=HYPERLINK("http://anyluxury.ru/shop/upakovka/podarochnye-korobki/korobka-satin-bolshaya-chernaya-730830/" , "7308.30 Коробка Satin, большая, черная")</f>
      </c>
      <c r="C28757" s="4" t="n">
        <v>581.00</v>
      </c>
      <c r="D28757" s="4"/>
    </row>
    <row collapsed="" customFormat="false" customHeight="1" hidden="" ht="14" outlineLevel="0" r="28758">
      <c r="A28758" s="3" t="inlineStr">
        <is>
          <t>28627</t>
        </is>
      </c>
      <c r="B28758" s="4" t="s">
        <f>=HYPERLINK("http://anyluxury.ru/shop/upakovka/podarochnye-korobki/korobka-satin-bolshaya-sinyaya-730840/" , "7308.40 Коробка Satin, большая, синяя")</f>
      </c>
      <c r="C28758" s="4" t="n">
        <v>581.00</v>
      </c>
      <c r="D28758" s="4"/>
    </row>
    <row collapsed="" customFormat="false" customHeight="1" hidden="" ht="14" outlineLevel="0" r="28759">
      <c r="A28759" s="3" t="inlineStr">
        <is>
          <t>28628</t>
        </is>
      </c>
      <c r="B28759" s="4" t="s">
        <f>=HYPERLINK("http://anyluxury.ru/shop/upakovka/podarochnye-korobki/korobka-satin-bolshaya-belaya-730860/" , "7308.60 Коробка Satin, большая, белая")</f>
      </c>
      <c r="C28759" s="4" t="n">
        <v>581.00</v>
      </c>
      <c r="D28759" s="4"/>
    </row>
    <row collapsed="" customFormat="false" customHeight="1" hidden="" ht="14" outlineLevel="0" r="28760">
      <c r="A28760" s="3" t="inlineStr">
        <is>
          <t>28629</t>
        </is>
      </c>
      <c r="B28760" s="4" t="s">
        <f>=HYPERLINK("http://anyluxury.ru/shop/upakovka/podarochnye-korobki/korobka-satin-malaya-chernaya-730930/" , "7309.30 Коробка Satin, малая, черная")</f>
      </c>
      <c r="C28760" s="4" t="n">
        <v>445.00</v>
      </c>
      <c r="D28760" s="4"/>
    </row>
    <row collapsed="" customFormat="false" customHeight="1" hidden="" ht="14" outlineLevel="0" r="28761">
      <c r="A28761" s="3" t="inlineStr">
        <is>
          <t>28630</t>
        </is>
      </c>
      <c r="B28761" s="4" t="s">
        <f>=HYPERLINK("http://anyluxury.ru/shop/upakovka/podarochnye-korobki/korobka-satin-malaya-sinyaya-730940/" , "7309.40 Коробка Satin, малая, синяя")</f>
      </c>
      <c r="C28761" s="4" t="n">
        <v>445.00</v>
      </c>
      <c r="D28761" s="4"/>
    </row>
    <row collapsed="" customFormat="false" customHeight="1" hidden="" ht="14" outlineLevel="0" r="28762">
      <c r="A28762" s="3" t="inlineStr">
        <is>
          <t>28631</t>
        </is>
      </c>
      <c r="B28762" s="4" t="s">
        <f>=HYPERLINK("http://anyluxury.ru/shop/upakovka/podarochnye-korobki/korobka-satin-malaya-belaya-730960/" , "7309.60 Коробка Satin, малая, белая")</f>
      </c>
      <c r="C28762" s="4" t="n">
        <v>445.00</v>
      </c>
      <c r="D28762" s="4"/>
    </row>
    <row collapsed="" customFormat="false" customHeight="1" hidden="" ht="14" outlineLevel="0" r="28763">
      <c r="A28763" s="3" t="inlineStr">
        <is>
          <t>28632</t>
        </is>
      </c>
      <c r="B28763" s="4" t="s">
        <f>=HYPERLINK("http://anyluxury.ru/shop/upakovka/podarochnye-korobki/shkatulka-s-sekretom-gearbox-malaya-7100/" , "7100 Шкатулка с секретом Gearbox, малая")</f>
      </c>
      <c r="C28763" s="4" t="n">
        <v>4074.00</v>
      </c>
      <c r="D28763" s="4"/>
    </row>
    <row collapsed="" customFormat="false" customHeight="1" hidden="" ht="14" outlineLevel="0" r="28764">
      <c r="A28764" s="3" t="inlineStr">
        <is>
          <t>28633</t>
        </is>
      </c>
      <c r="B28764" s="4" t="s">
        <f>=HYPERLINK("http://anyluxury.ru/shop/upakovka/podarochnye-korobki/korobka-amaze-belaya-758660/" , "7586.60 Коробка Amaze, белая")</f>
      </c>
      <c r="C28764" s="4" t="n">
        <v>686.00</v>
      </c>
      <c r="D28764" s="4"/>
    </row>
    <row collapsed="" customFormat="false" customHeight="1" hidden="" ht="14" outlineLevel="0" r="28765">
      <c r="A28765" s="3" t="inlineStr">
        <is>
          <t>28634</t>
        </is>
      </c>
      <c r="B28765" s="4" t="s">
        <f>=HYPERLINK("http://anyluxury.ru/shop/upakovka/podarochnye-korobki/korobka-koffer-chernaya-787330/" , "7873.30 Коробка Koffer, черная")</f>
      </c>
      <c r="C28765" s="4" t="n">
        <v>917.00</v>
      </c>
      <c r="D28765" s="4"/>
    </row>
    <row collapsed="" customFormat="false" customHeight="1" hidden="" ht="14" outlineLevel="0" r="28766">
      <c r="A28766" s="3" t="inlineStr">
        <is>
          <t>28635</t>
        </is>
      </c>
      <c r="B28766" s="4" t="s">
        <f>=HYPERLINK("http://anyluxury.ru/shop/upakovka/podarochnye-korobki/korobka-koffer-sinyaya-787340/" , "7873.40 Коробка Koffer, синяя")</f>
      </c>
      <c r="C28766" s="4" t="n">
        <v>917.00</v>
      </c>
      <c r="D28766" s="4"/>
    </row>
    <row collapsed="" customFormat="false" customHeight="1" hidden="" ht="14" outlineLevel="0" r="28767">
      <c r="A28767" s="3" t="inlineStr">
        <is>
          <t>28636</t>
        </is>
      </c>
      <c r="B28767" s="4" t="s">
        <f>=HYPERLINK("http://anyluxury.ru/shop/upakovka/podarochnye-korobki/korobka-koffer-belaya-787360/" , "7873.60 Коробка Koffer, белая")</f>
      </c>
      <c r="C28767" s="4" t="n">
        <v>917.00</v>
      </c>
      <c r="D28767" s="4"/>
    </row>
    <row collapsed="" customFormat="false" customHeight="1" hidden="" ht="14" outlineLevel="0" r="28768">
      <c r="A28768" s="3" t="inlineStr">
        <is>
          <t>28637</t>
        </is>
      </c>
      <c r="B28768" s="4" t="s">
        <f>=HYPERLINK("http://anyluxury.ru/shop/upakovka/podarochnye-korobki/korobka-common-l-692000/" , "6920.00 Коробка Common, L")</f>
      </c>
      <c r="C28768" s="4" t="n">
        <v>143.00</v>
      </c>
      <c r="D28768" s="4"/>
    </row>
    <row collapsed="" customFormat="false" customHeight="1" hidden="" ht="14" outlineLevel="0" r="28769">
      <c r="A28769" s="3" t="inlineStr">
        <is>
          <t>28638</t>
        </is>
      </c>
      <c r="B28769" s="4" t="s">
        <f>=HYPERLINK("http://anyluxury.ru/shop/upakovka/podarochnye-korobki/korobka-common-s-693200/" , "6932.00 Коробка Common, S")</f>
      </c>
      <c r="C28769" s="4" t="n">
        <v>91.90</v>
      </c>
      <c r="D28769" s="4"/>
    </row>
    <row collapsed="" customFormat="false" customHeight="1" hidden="" ht="14" outlineLevel="0" r="28770">
      <c r="A28770" s="3" t="inlineStr">
        <is>
          <t>28639</t>
        </is>
      </c>
      <c r="B28770" s="4" t="s">
        <f>=HYPERLINK("http://anyluxury.ru/shop/upakovka/podarochnye-korobki/korobka-common-xl-699000/" , "6990.00 Коробка Common, XL")</f>
      </c>
      <c r="C28770" s="4" t="n">
        <v>197.00</v>
      </c>
      <c r="D28770" s="4"/>
    </row>
    <row collapsed="" customFormat="false" customHeight="1" hidden="" ht="14" outlineLevel="0" r="28771">
      <c r="A28771" s="3" t="inlineStr">
        <is>
          <t>28640</t>
        </is>
      </c>
      <c r="B28771" s="4" t="s">
        <f>=HYPERLINK("http://anyluxury.ru/shop/upakovka/podarochnye-korobki/korobka-slender-malaya-chernaya-751030/" , "7510.30 Коробка Slender, малая, черная")</f>
      </c>
      <c r="C28771" s="4" t="n">
        <v>262.00</v>
      </c>
      <c r="D28771" s="4"/>
    </row>
    <row collapsed="" customFormat="false" customHeight="1" hidden="" ht="14" outlineLevel="0" r="28772">
      <c r="A28772" s="3" t="inlineStr">
        <is>
          <t>28641</t>
        </is>
      </c>
      <c r="B28772" s="4" t="s">
        <f>=HYPERLINK("http://anyluxury.ru/shop/upakovka/podarochnye-korobki/korobka-slender-bolshaya-sinyaya-752040/" , "7520.40 Коробка Slender, большая, синяя")</f>
      </c>
      <c r="C28772" s="4" t="n">
        <v>279.00</v>
      </c>
      <c r="D28772" s="4"/>
    </row>
    <row collapsed="" customFormat="false" customHeight="1" hidden="" ht="14" outlineLevel="0" r="28773">
      <c r="A28773" s="3" t="inlineStr">
        <is>
          <t>28642</t>
        </is>
      </c>
      <c r="B28773" s="4" t="s">
        <f>=HYPERLINK("http://anyluxury.ru/shop/upakovka/podarochnye-korobki/korobka-alian-chernaya-788730/" , "7887.30 Коробка Alian, черная")</f>
      </c>
      <c r="C28773" s="4" t="n">
        <v>396.00</v>
      </c>
      <c r="D28773" s="4"/>
    </row>
    <row collapsed="" customFormat="false" customHeight="1" hidden="" ht="14" outlineLevel="0" r="28774">
      <c r="A28774" s="3" t="inlineStr">
        <is>
          <t>28643</t>
        </is>
      </c>
      <c r="B28774" s="4" t="s">
        <f>=HYPERLINK("http://anyluxury.ru/shop/upakovka/podarochnye-korobki/korobka-alian-sinyaya-788740/" , "7887.40 Коробка Alian, синяя")</f>
      </c>
      <c r="C28774" s="4" t="n">
        <v>396.00</v>
      </c>
      <c r="D28774" s="4"/>
    </row>
    <row collapsed="" customFormat="false" customHeight="1" hidden="" ht="14" outlineLevel="0" r="28775">
      <c r="A28775" s="3" t="inlineStr">
        <is>
          <t>28644</t>
        </is>
      </c>
      <c r="B28775" s="4" t="s">
        <f>=HYPERLINK("http://anyluxury.ru/shop/upakovka/podarochnye-korobki/korobka-alian-belaya-788760/" , "7887.60 Коробка Alian, белая")</f>
      </c>
      <c r="C28775" s="4" t="n">
        <v>396.00</v>
      </c>
      <c r="D28775" s="4"/>
    </row>
    <row collapsed="" customFormat="false" customHeight="1" hidden="" ht="14" outlineLevel="0" r="28776">
      <c r="A28776" s="3" t="inlineStr">
        <is>
          <t>28645</t>
        </is>
      </c>
      <c r="B28776" s="4" t="s">
        <f>=HYPERLINK("http://anyluxury.ru/shop/upakovka/podarochnye-korobki/korobka-common-m-694000/" , "6940.00 Коробка Common, M")</f>
      </c>
      <c r="C28776" s="4" t="n">
        <v>102.00</v>
      </c>
      <c r="D28776" s="4"/>
    </row>
    <row collapsed="" customFormat="false" customHeight="1" hidden="" ht="14" outlineLevel="0" r="28777">
      <c r="A28777" s="3" t="inlineStr">
        <is>
          <t>28646</t>
        </is>
      </c>
      <c r="B28777" s="4" t="s">
        <f>=HYPERLINK("http://anyluxury.ru/shop/upakovka/podarochnye-korobki/korobka-in-case-s-kraft-693400/" , "6934.00 Коробка In Case S, крафт")</f>
      </c>
      <c r="C28777" s="4" t="n">
        <v>119.00</v>
      </c>
      <c r="D28777" s="4"/>
    </row>
    <row collapsed="" customFormat="false" customHeight="1" hidden="" ht="14" outlineLevel="0" r="28778">
      <c r="A28778" s="3" t="inlineStr">
        <is>
          <t>28647</t>
        </is>
      </c>
      <c r="B28778" s="4" t="s">
        <f>=HYPERLINK("http://anyluxury.ru/shop/upakovka/podarochnye-korobki/korobka-in-case-m-kraft-693500/" , "6935.00 Коробка In Case M, крафт")</f>
      </c>
      <c r="C28778" s="4" t="n">
        <v>79.10</v>
      </c>
      <c r="D28778" s="4"/>
    </row>
    <row collapsed="" customFormat="false" customHeight="1" hidden="" ht="14" outlineLevel="0" r="28779">
      <c r="A28779" s="3" t="inlineStr">
        <is>
          <t>28648</t>
        </is>
      </c>
      <c r="B28779" s="4" t="s">
        <f>=HYPERLINK("http://anyluxury.ru/shop/upakovka/podarochnye-korobki/korobka-in-case-l-kraft-693600/" , "6936.00 Коробка In Case L, крафт")</f>
      </c>
      <c r="C28779" s="4" t="n">
        <v>136.00</v>
      </c>
      <c r="D28779" s="4"/>
    </row>
    <row collapsed="" customFormat="false" customHeight="1" hidden="" ht="14" outlineLevel="0" r="28780">
      <c r="A28780" s="3" t="inlineStr">
        <is>
          <t>28649</t>
        </is>
      </c>
      <c r="B28780" s="4" t="s">
        <f>=HYPERLINK("http://anyluxury.ru/shop/upakovka/podarochnye-korobki/korobka-slender-bolshaya-belaya-752060/" , "7520.60 Коробка Slender, большая, белая")</f>
      </c>
      <c r="C28780" s="4" t="n">
        <v>279.00</v>
      </c>
      <c r="D28780" s="4"/>
    </row>
    <row collapsed="" customFormat="false" customHeight="1" hidden="" ht="14" outlineLevel="0" r="28781">
      <c r="A28781" s="3" t="inlineStr">
        <is>
          <t>28650</t>
        </is>
      </c>
      <c r="B28781" s="4" t="s">
        <f>=HYPERLINK("http://anyluxury.ru/shop/upakovka/podarochnye-korobki/korobka-in-case-m-beliy-693560/" , "6935.60 Коробка In Case M, белая")</f>
      </c>
      <c r="C28781" s="4" t="n">
        <v>79.00</v>
      </c>
      <c r="D28781" s="4"/>
    </row>
    <row collapsed="" customFormat="false" customHeight="1" hidden="" ht="14" outlineLevel="0" r="28782">
      <c r="A28782" s="3" t="inlineStr">
        <is>
          <t>28651</t>
        </is>
      </c>
      <c r="B28782" s="4" t="s">
        <f>=HYPERLINK("http://anyluxury.ru/shop/upakovka/podarochnye-korobki/korobka-in-case-l-beliy-693660/" , "6936.60 Коробка In Case L, белая")</f>
      </c>
      <c r="C28782" s="4" t="n">
        <v>136.00</v>
      </c>
      <c r="D28782" s="4"/>
    </row>
    <row collapsed="" customFormat="false" customHeight="1" hidden="" ht="14" outlineLevel="0" r="28783">
      <c r="A28783" s="3" t="inlineStr">
        <is>
          <t>28652</t>
        </is>
      </c>
      <c r="B28783" s="4" t="s">
        <f>=HYPERLINK("http://anyluxury.ru/shop/upakovka/podarochnye-korobki/korobka-dlya-termostakana-inside-belaya-696560/" , "6965.60 Коробка для термостакана Inside, белая")</f>
      </c>
      <c r="C28783" s="4" t="n">
        <v>52.30</v>
      </c>
      <c r="D28783" s="4"/>
    </row>
    <row collapsed="" customFormat="false" customHeight="1" hidden="" ht="14" outlineLevel="0" r="28784">
      <c r="A28784" s="3" t="inlineStr">
        <is>
          <t>28653</t>
        </is>
      </c>
      <c r="B28784" s="4" t="s">
        <f>=HYPERLINK("http://anyluxury.ru/shop/upakovka/podarochnye-korobki/korobka-reason-sinyaya-706740/" , "7067.40 Коробка Reason, синяя")</f>
      </c>
      <c r="C28784" s="4" t="n">
        <v>374.00</v>
      </c>
      <c r="D28784" s="4"/>
    </row>
    <row collapsed="" customFormat="false" customHeight="1" hidden="" ht="14" outlineLevel="0" r="28785">
      <c r="A28785" s="3" t="inlineStr">
        <is>
          <t>28654</t>
        </is>
      </c>
      <c r="B28785" s="4" t="s">
        <f>=HYPERLINK("http://anyluxury.ru/shop/upakovka/podarochnye-korobki/korobka-reason-krasnaya-706750/" , "7067.50 Коробка Reason, красная")</f>
      </c>
      <c r="C28785" s="4" t="n">
        <v>374.00</v>
      </c>
      <c r="D28785" s="4"/>
    </row>
    <row collapsed="" customFormat="false" customHeight="1" hidden="" ht="14" outlineLevel="0" r="28786">
      <c r="A28786" s="3" t="inlineStr">
        <is>
          <t>28655</t>
        </is>
      </c>
      <c r="B28786" s="4" t="s">
        <f>=HYPERLINK("http://anyluxury.ru/shop/upakovka/podarochnye-korobki/korobka-horizon-sinyaya-707340/" , "7073.40 Коробка Horizon, синяя")</f>
      </c>
      <c r="C28786" s="4" t="n">
        <v>405.00</v>
      </c>
      <c r="D28786" s="4"/>
    </row>
    <row collapsed="" customFormat="false" customHeight="1" hidden="" ht="14" outlineLevel="0" r="28787">
      <c r="A28787" s="3" t="inlineStr">
        <is>
          <t>28656</t>
        </is>
      </c>
      <c r="B28787" s="4" t="s">
        <f>=HYPERLINK("http://anyluxury.ru/shop/upakovka/podarochnye-korobki/korobka-horizon-krasnaya-707350/" , "7073.50 Коробка Horizon, красная")</f>
      </c>
      <c r="C28787" s="4" t="n">
        <v>405.00</v>
      </c>
      <c r="D28787" s="4"/>
    </row>
    <row collapsed="" customFormat="false" customHeight="1" hidden="" ht="14" outlineLevel="0" r="28788">
      <c r="A28788" s="3" t="inlineStr">
        <is>
          <t>28657</t>
        </is>
      </c>
      <c r="B28788" s="4" t="s">
        <f>=HYPERLINK("http://anyluxury.ru/shop/upakovka/podarochnye-korobki/korobka-matter-chernaya-761030/" , "7610.30 Коробка Matter, черная")</f>
      </c>
      <c r="C28788" s="4" t="n">
        <v>635.00</v>
      </c>
      <c r="D28788" s="4"/>
    </row>
    <row collapsed="" customFormat="false" customHeight="1" hidden="" ht="14" outlineLevel="0" r="28789">
      <c r="A28789" s="3" t="inlineStr">
        <is>
          <t>28658</t>
        </is>
      </c>
      <c r="B28789" s="4" t="s">
        <f>=HYPERLINK("http://anyluxury.ru/shop/upakovka/podarochnye-korobki/korobka-matter-sinyaya-761040/" , "7610.40 Коробка Matter, синяя")</f>
      </c>
      <c r="C28789" s="4" t="n">
        <v>635.00</v>
      </c>
      <c r="D28789" s="4"/>
    </row>
    <row collapsed="" customFormat="false" customHeight="1" hidden="" ht="14" outlineLevel="0" r="28790">
      <c r="A28790" s="3" t="inlineStr">
        <is>
          <t>28659</t>
        </is>
      </c>
      <c r="B28790" s="4" t="s">
        <f>=HYPERLINK("http://anyluxury.ru/shop/upakovka/podarochnye-korobki/korobka-matter-belaya-761060/" , "7610.60 Коробка Matter, белая")</f>
      </c>
      <c r="C28790" s="4" t="n">
        <v>541.00</v>
      </c>
      <c r="D28790" s="4"/>
    </row>
    <row collapsed="" customFormat="false" customHeight="1" hidden="" ht="14" outlineLevel="0" r="28791">
      <c r="A28791" s="3" t="inlineStr">
        <is>
          <t>28660</t>
        </is>
      </c>
      <c r="B28791" s="4" t="s">
        <f>=HYPERLINK("http://anyluxury.ru/shop/upakovka/podarochnye-korobki/korobka-taken-764500/" , "7645.00 Коробка Taken")</f>
      </c>
      <c r="C28791" s="4" t="n">
        <v>48.10</v>
      </c>
      <c r="D28791" s="4"/>
    </row>
    <row collapsed="" customFormat="false" customHeight="1" hidden="" ht="14" outlineLevel="0" r="28792">
      <c r="A28792" s="3" t="inlineStr">
        <is>
          <t>28661</t>
        </is>
      </c>
      <c r="B28792" s="4" t="s">
        <f>=HYPERLINK("http://anyluxury.ru/shop/upakovka/podarochnye-korobki/korobka-behold-764700/" , "7647.00 Коробка с окном Behold")</f>
      </c>
      <c r="C28792" s="4" t="n">
        <v>78.80</v>
      </c>
      <c r="D28792" s="4"/>
    </row>
    <row collapsed="" customFormat="false" customHeight="1" hidden="" ht="14" outlineLevel="0" r="28793">
      <c r="A28793" s="3" t="inlineStr">
        <is>
          <t>28662</t>
        </is>
      </c>
      <c r="B28793" s="4" t="s">
        <f>=HYPERLINK("http://anyluxury.ru/shop/upakovka/podarochnye-korobki/korobka-tackle-chernaya-795630/" , "7956.30 Коробка Tackle, черная")</f>
      </c>
      <c r="C28793" s="4" t="n">
        <v>255.00</v>
      </c>
      <c r="D28793" s="4"/>
    </row>
    <row collapsed="" customFormat="false" customHeight="1" hidden="" ht="14" outlineLevel="0" r="28794">
      <c r="A28794" s="3" t="inlineStr">
        <is>
          <t>28663</t>
        </is>
      </c>
      <c r="B28794" s="4" t="s">
        <f>=HYPERLINK("http://anyluxury.ru/shop/upakovka/podarochnye-korobki/korobka-tackle-sinyaya-795640/" , "7956.40 Коробка Tackle, синяя")</f>
      </c>
      <c r="C28794" s="4" t="n">
        <v>255.00</v>
      </c>
      <c r="D28794" s="4"/>
    </row>
    <row collapsed="" customFormat="false" customHeight="1" hidden="" ht="14" outlineLevel="0" r="28795">
      <c r="A28795" s="3" t="inlineStr">
        <is>
          <t>28664</t>
        </is>
      </c>
      <c r="B28795" s="4" t="s">
        <f>=HYPERLINK("http://anyluxury.ru/shop/upakovka/podarochnye-korobki/korobka-tackle-krasnaya-795650/" , "7956.50 Коробка Tackle, красная")</f>
      </c>
      <c r="C28795" s="4" t="n">
        <v>255.00</v>
      </c>
      <c r="D28795" s="4"/>
    </row>
    <row collapsed="" customFormat="false" customHeight="1" hidden="" ht="14" outlineLevel="0" r="28796">
      <c r="A28796" s="3" t="inlineStr">
        <is>
          <t>28665</t>
        </is>
      </c>
      <c r="B28796" s="4" t="s">
        <f>=HYPERLINK("http://anyluxury.ru/shop/upakovka/podarochnye-korobki/korobka-claptone-chernaya-799430/" , "7994.30 Коробка ClapTone, черная")</f>
      </c>
      <c r="C28796" s="4" t="n">
        <v>519.00</v>
      </c>
      <c r="D28796" s="4"/>
    </row>
    <row collapsed="" customFormat="false" customHeight="1" hidden="" ht="14" outlineLevel="0" r="28797">
      <c r="A28797" s="3" t="inlineStr">
        <is>
          <t>28666</t>
        </is>
      </c>
      <c r="B28797" s="4" t="s">
        <f>=HYPERLINK("http://anyluxury.ru/shop/upakovka/podarochnye-korobki/korobka-claptone-krasnaya-799450/" , "7994.50 Коробка ClapTone, красная")</f>
      </c>
      <c r="C28797" s="4" t="n">
        <v>519.00</v>
      </c>
      <c r="D28797" s="4"/>
    </row>
    <row collapsed="" customFormat="false" customHeight="1" hidden="" ht="14" outlineLevel="0" r="28798">
      <c r="A28798" s="3" t="inlineStr">
        <is>
          <t>28667</t>
        </is>
      </c>
      <c r="B28798" s="4" t="s">
        <f>=HYPERLINK("http://anyluxury.ru/shop/upakovka/podarochnye-korobki/korobka-in-place-10227/" , "10227 Коробка In Place")</f>
      </c>
      <c r="C28798" s="4" t="n">
        <v>170.00</v>
      </c>
      <c r="D28798" s="4"/>
    </row>
    <row collapsed="" customFormat="false" customHeight="1" hidden="" ht="14" outlineLevel="0" r="28799">
      <c r="A28799" s="3" t="inlineStr">
        <is>
          <t>28668</t>
        </is>
      </c>
      <c r="B28799" s="4" t="s">
        <f>=HYPERLINK("http://anyluxury.ru/shop/upakovka/podarochnye-korobki/korobka-lumibox-krasnaya-1014750/" , "10147.50 Коробка LumiBox, красная")</f>
      </c>
      <c r="C28799" s="4" t="n">
        <v>594.00</v>
      </c>
      <c r="D28799" s="4"/>
    </row>
    <row collapsed="" customFormat="false" customHeight="1" hidden="" ht="14" outlineLevel="0" r="28800">
      <c r="A28800" s="3" t="inlineStr">
        <is>
          <t>28669</t>
        </is>
      </c>
      <c r="B28800" s="4" t="s">
        <f>=HYPERLINK("http://anyluxury.ru/shop/upakovka/podarochnye-korobki/korobka-lumibox-chernaya-1014730/" , "10147.30 Коробка LumiBox, черная")</f>
      </c>
      <c r="C28800" s="4" t="n">
        <v>594.00</v>
      </c>
      <c r="D28800" s="4"/>
    </row>
    <row collapsed="" customFormat="false" customHeight="1" hidden="" ht="14" outlineLevel="0" r="28801">
      <c r="A28801" s="3" t="inlineStr">
        <is>
          <t>28670</t>
        </is>
      </c>
      <c r="B28801" s="4" t="s">
        <f>=HYPERLINK("http://anyluxury.ru/shop/upakovka/podarochnye-korobki/korobka-flip-deep-krasnaya-1058550/" , "10585.50 Коробка Flip Deep, красная")</f>
      </c>
      <c r="C28801" s="4" t="n">
        <v>642.00</v>
      </c>
      <c r="D28801" s="4"/>
    </row>
    <row collapsed="" customFormat="false" customHeight="1" hidden="" ht="14" outlineLevel="0" r="28802">
      <c r="A28802" s="3" t="inlineStr">
        <is>
          <t>28671</t>
        </is>
      </c>
      <c r="B28802" s="4" t="s">
        <f>=HYPERLINK("http://anyluxury.ru/shop/upakovka/podarochnye-korobki/korobka-s-oknom-visible-chernaya-1102430/" , "11024.30 Коробка с окном Visible, черная")</f>
      </c>
      <c r="C28802" s="4" t="n">
        <v>175.00</v>
      </c>
      <c r="D28802" s="4"/>
    </row>
    <row collapsed="" customFormat="false" customHeight="1" hidden="" ht="14" outlineLevel="0" r="28803">
      <c r="A28803" s="3" t="inlineStr">
        <is>
          <t>28672</t>
        </is>
      </c>
      <c r="B28803" s="4" t="s">
        <f>=HYPERLINK("http://anyluxury.ru/shop/upakovka/podarochnye-korobki/korobka-s-oknom-visible-serebristaya-1102410/" , "11024.10 Коробка с окном Visible, серебристая")</f>
      </c>
      <c r="C28803" s="4" t="n">
        <v>203.00</v>
      </c>
      <c r="D28803" s="4"/>
    </row>
    <row collapsed="" customFormat="false" customHeight="1" hidden="" ht="14" outlineLevel="0" r="28804">
      <c r="A28804" s="3" t="inlineStr">
        <is>
          <t>28673</t>
        </is>
      </c>
      <c r="B28804" s="4" t="s">
        <f>=HYPERLINK("http://anyluxury.ru/shop/upakovka/podarochnye-korobki/korobka-s-oknom-english-breakfast-sinyaya-1150340/" , "11503.40 Коробка с окном English Breakfast, синяя")</f>
      </c>
      <c r="C28804" s="4" t="n">
        <v>58.00</v>
      </c>
      <c r="D28804" s="4"/>
    </row>
    <row collapsed="" customFormat="false" customHeight="1" hidden="" ht="14" outlineLevel="0" r="28805">
      <c r="A28805" s="3" t="inlineStr">
        <is>
          <t>28674</t>
        </is>
      </c>
      <c r="B28805" s="4" t="s">
        <f>=HYPERLINK("http://anyluxury.ru/shop/upakovka/podarochnye-korobki/korobka-s-oknom-english-breakfast-krasnaya-1150350/" , "11503.50 Коробка с окном English Breakfast, красная")</f>
      </c>
      <c r="C28805" s="4" t="n">
        <v>58.10</v>
      </c>
      <c r="D28805" s="4"/>
    </row>
    <row collapsed="" customFormat="false" customHeight="1" hidden="" ht="14" outlineLevel="0" r="28806">
      <c r="A28806" s="3" t="inlineStr">
        <is>
          <t>28675</t>
        </is>
      </c>
      <c r="B28806" s="4" t="s">
        <f>=HYPERLINK("http://anyluxury.ru/shop/upakovka/podarochnye-korobki/korobka-s-oknom-english-breakfast-belaya-1150360/" , "11503.60 Коробка с окном English Breakfast, белая")</f>
      </c>
      <c r="C28806" s="4" t="n">
        <v>58.10</v>
      </c>
      <c r="D28806" s="4"/>
    </row>
    <row collapsed="" customFormat="false" customHeight="1" hidden="" ht="14" outlineLevel="0" r="28807">
      <c r="A28807" s="3" t="inlineStr">
        <is>
          <t>28676</t>
        </is>
      </c>
      <c r="B28807" s="4" t="s">
        <f>=HYPERLINK("http://anyluxury.ru/shop/upakovka/podarochnye-korobki/korobka-na-lentah-tie-up-krasnaya-1060050/" , "10600.50 Коробка на лентах Tie Up, красная")</f>
      </c>
      <c r="C28807" s="4" t="n">
        <v>924.00</v>
      </c>
      <c r="D28807" s="4"/>
    </row>
    <row collapsed="" customFormat="false" customHeight="1" hidden="" ht="14" outlineLevel="0" r="28808">
      <c r="A28808" s="3" t="inlineStr">
        <is>
          <t>28677</t>
        </is>
      </c>
      <c r="B28808" s="4" t="s">
        <f>=HYPERLINK("http://anyluxury.ru/shop/upakovka/podarochnye-korobki/korobka-duo-pod-ezhednevnik-i-ruchku-belaya-163960/" , "1639.60 Коробка Duo под ежедневник и ручку, белая")</f>
      </c>
      <c r="C28808" s="4" t="n">
        <v>488.00</v>
      </c>
      <c r="D28808" s="4"/>
    </row>
    <row collapsed="" customFormat="false" customHeight="1" hidden="" ht="14" outlineLevel="0" r="28809">
      <c r="A28809" s="3" t="inlineStr">
        <is>
          <t>28678</t>
        </is>
      </c>
      <c r="B28809" s="4" t="s">
        <f>=HYPERLINK("http://anyluxury.ru/shop/upakovka/podarochnye-korobki/korobka-brightside-chernaya-1039030/" , "10390.30 Коробка BrightSide, черная")</f>
      </c>
      <c r="C28809" s="4" t="n">
        <v>635.00</v>
      </c>
      <c r="D28809" s="4"/>
    </row>
    <row collapsed="" customFormat="false" customHeight="1" hidden="" ht="14" outlineLevel="0" r="28810">
      <c r="A28810" s="3" t="inlineStr">
        <is>
          <t>28679</t>
        </is>
      </c>
      <c r="B28810" s="4" t="s">
        <f>=HYPERLINK("http://anyluxury.ru/shop/upakovka/podarochnye-korobki/korobka-brightside-sinyaya-1039040/" , "10390.40 Коробка BrightSide, синяя")</f>
      </c>
      <c r="C28810" s="4" t="n">
        <v>635.00</v>
      </c>
      <c r="D28810" s="4"/>
    </row>
    <row collapsed="" customFormat="false" customHeight="1" hidden="" ht="14" outlineLevel="0" r="28811">
      <c r="A28811" s="3" t="inlineStr">
        <is>
          <t>28680</t>
        </is>
      </c>
      <c r="B28811" s="4" t="s">
        <f>=HYPERLINK("http://anyluxury.ru/shop/upakovka/podarochnye-korobki/korobka-new-case-sinyaya-1104240/" , "11042.40 Коробка New Case, синяя")</f>
      </c>
      <c r="C28811" s="4" t="n">
        <v>845.00</v>
      </c>
      <c r="D28811" s="4"/>
    </row>
    <row collapsed="" customFormat="false" customHeight="1" hidden="" ht="14" outlineLevel="0" r="28812">
      <c r="A28812" s="3" t="inlineStr">
        <is>
          <t>28681</t>
        </is>
      </c>
      <c r="B28812" s="4" t="s">
        <f>=HYPERLINK("http://anyluxury.ru/shop/upakovka/podarochnye-korobki/korobka-new-case-belaya-1104260/" , "11042.60 Коробка New Case, белая")</f>
      </c>
      <c r="C28812" s="4" t="n">
        <v>845.00</v>
      </c>
      <c r="D28812" s="4"/>
    </row>
    <row collapsed="" customFormat="false" customHeight="1" hidden="" ht="14" outlineLevel="0" r="28813">
      <c r="A28813" s="3" t="inlineStr">
        <is>
          <t>28682</t>
        </is>
      </c>
      <c r="B28813" s="4" t="s">
        <f>=HYPERLINK("http://anyluxury.ru/shop/upakovka/podarochnye-korobki/korobka-suitable-11051/" , "11051 Коробка самосборная Suitable")</f>
      </c>
      <c r="C28813" s="4" t="n">
        <v>232.00</v>
      </c>
      <c r="D28813" s="4"/>
    </row>
    <row collapsed="" customFormat="false" customHeight="1" hidden="" ht="14" outlineLevel="0" r="28814">
      <c r="A28814" s="3" t="inlineStr">
        <is>
          <t>28683</t>
        </is>
      </c>
      <c r="B28814" s="4" t="s">
        <f>=HYPERLINK("http://anyluxury.ru/shop/upakovka/podarochnye-korobki/korobka-na-lentah-tie-up-belaya-1060060/" , "10600.60 Коробка на лентах Tie Up, белая")</f>
      </c>
      <c r="C28814" s="4" t="n">
        <v>924.00</v>
      </c>
      <c r="D28814" s="4"/>
    </row>
    <row collapsed="" customFormat="false" customHeight="1" hidden="" ht="14" outlineLevel="0" r="28815">
      <c r="A28815" s="3" t="inlineStr">
        <is>
          <t>28684</t>
        </is>
      </c>
      <c r="B28815" s="4" t="s">
        <f>=HYPERLINK("http://anyluxury.ru/shop/upakovka/podarochnye-korobki/korobka-kirpich-11002/" , "11002 Коробка «Кирпич»")</f>
      </c>
      <c r="C28815" s="4" t="n">
        <v>139.00</v>
      </c>
      <c r="D28815" s="4"/>
    </row>
    <row collapsed="" customFormat="false" customHeight="1" hidden="" ht="14" outlineLevel="0" r="28816">
      <c r="A28816" s="3" t="inlineStr">
        <is>
          <t>28685</t>
        </is>
      </c>
      <c r="B28816" s="4" t="s">
        <f>=HYPERLINK("http://anyluxury.ru/shop/upakovka/podarochnye-korobki/korobka-beton-11003/" , "11003 Коробка «Бетон»")</f>
      </c>
      <c r="C28816" s="4" t="n">
        <v>182.00</v>
      </c>
      <c r="D28816" s="4"/>
    </row>
    <row collapsed="" customFormat="false" customHeight="1" hidden="" ht="14" outlineLevel="0" r="28817">
      <c r="A28817" s="3" t="inlineStr">
        <is>
          <t>28686</t>
        </is>
      </c>
      <c r="B28817" s="4" t="s">
        <f>=HYPERLINK("http://anyluxury.ru/shop/upakovka/podarochnye-korobki/korobka-my-warm-box-chernaya-1086030/" , "10860.30 Коробка My Warm Box, черная")</f>
      </c>
      <c r="C28817" s="4" t="n">
        <v>1424.00</v>
      </c>
      <c r="D28817" s="4"/>
    </row>
    <row collapsed="" customFormat="false" customHeight="1" hidden="" ht="14" outlineLevel="0" r="28818">
      <c r="A28818" s="3" t="inlineStr">
        <is>
          <t>28687</t>
        </is>
      </c>
      <c r="B28818" s="4" t="s">
        <f>=HYPERLINK("http://anyluxury.ru/shop/upakovka/podarochnye-korobki/korobka-my-warm-box-belaya-1086060/" , "10860.60 Коробка My Warm Box, белая")</f>
      </c>
      <c r="C28818" s="4" t="n">
        <v>1424.00</v>
      </c>
      <c r="D28818" s="4"/>
    </row>
    <row collapsed="" customFormat="false" customHeight="1" hidden="" ht="14" outlineLevel="0" r="28819">
      <c r="A28819" s="3" t="inlineStr">
        <is>
          <t>28688</t>
        </is>
      </c>
      <c r="B28819" s="4" t="s">
        <f>=HYPERLINK("http://anyluxury.ru/shop/upakovka/podarochnye-korobki/korobka-pod-bloknot-i-ruchku-shade-chernaya-1202230/" , "12022.30 Коробка Shade под блокнот и ручку, черная")</f>
      </c>
      <c r="C28819" s="4" t="n">
        <v>359.00</v>
      </c>
      <c r="D28819" s="4"/>
    </row>
    <row collapsed="" customFormat="false" customHeight="1" hidden="" ht="14" outlineLevel="0" r="28820">
      <c r="A28820" s="3" t="inlineStr">
        <is>
          <t>28689</t>
        </is>
      </c>
      <c r="B28820" s="4" t="s">
        <f>=HYPERLINK("http://anyluxury.ru/shop/upakovka/podarochnye-korobki/korobka-pod-bloknot-i-ruchku-shade-belaya-1202260/" , "12022.60 Коробка Shade под блокнот и ручку, белая")</f>
      </c>
      <c r="C28820" s="4" t="n">
        <v>359.00</v>
      </c>
      <c r="D28820" s="4"/>
    </row>
    <row collapsed="" customFormat="false" customHeight="1" hidden="" ht="14" outlineLevel="0" r="28821">
      <c r="A28821" s="3" t="inlineStr">
        <is>
          <t>28690</t>
        </is>
      </c>
      <c r="B28821" s="4" t="s">
        <f>=HYPERLINK("http://anyluxury.ru/shop/upakovka/podarochnye-korobki/korobka-surprise-chernaya-1160330/" , "11603.30 Коробка Surprise, черная")</f>
      </c>
      <c r="C28821" s="4" t="n">
        <v>691.00</v>
      </c>
      <c r="D28821" s="4"/>
    </row>
    <row collapsed="" customFormat="false" customHeight="1" hidden="" ht="14" outlineLevel="0" r="28822">
      <c r="A28822" s="3" t="inlineStr">
        <is>
          <t>28691</t>
        </is>
      </c>
      <c r="B28822" s="4" t="s">
        <f>=HYPERLINK("http://anyluxury.ru/shop/upakovka/podarochnye-korobki/korobka-gifthouse-belaya-1092060/" , "10920.60 Коробка с окном Gifthouse, белая")</f>
      </c>
      <c r="C28822" s="4" t="n">
        <v>99.10</v>
      </c>
      <c r="D28822" s="4"/>
    </row>
    <row collapsed="" customFormat="false" customHeight="1" hidden="" ht="14" outlineLevel="0" r="28823">
      <c r="A28823" s="3" t="inlineStr">
        <is>
          <t>28692</t>
        </is>
      </c>
      <c r="B28823" s="4" t="s">
        <f>=HYPERLINK("http://anyluxury.ru/shop/upakovka/podarochnye-korobki/korobka-gifthouse-korichnevaya-1092055/" , "10920.55 Коробка с окном Gifthouse, коричневая")</f>
      </c>
      <c r="C28823" s="4" t="n">
        <v>99.10</v>
      </c>
      <c r="D28823" s="4"/>
    </row>
    <row collapsed="" customFormat="false" customHeight="1" hidden="" ht="14" outlineLevel="0" r="28824">
      <c r="A28824" s="3" t="inlineStr">
        <is>
          <t>28693</t>
        </is>
      </c>
      <c r="B28824" s="4" t="s">
        <f>=HYPERLINK("http://anyluxury.ru/shop/upakovka/podarochnye-korobki/podarochnaya-korobka/" , "PM-7-B Подарочная коробка")</f>
      </c>
      <c r="C28824" s="4" t="n">
        <v>180.00</v>
      </c>
      <c r="D28824" s="4"/>
    </row>
    <row collapsed="" customFormat="false" customHeight="1" hidden="" ht="14" outlineLevel="0" r="28825">
      <c r="A28825" s="3" t="inlineStr">
        <is>
          <t>28694</t>
        </is>
      </c>
      <c r="B28825" s="4" t="s">
        <f>=HYPERLINK("http://anyluxury.ru/shop/upakovka/podarochnye-korobki/korobka-pod-ezhednevnik-akkumulyator-i-ruchku-daily-chernaya-1205430/" , "12054.30 Коробка Daily под ежедневник, аккумулятор и ручку, черная")</f>
      </c>
      <c r="C28825" s="4" t="n">
        <v>817.00</v>
      </c>
      <c r="D28825" s="4"/>
    </row>
    <row collapsed="" customFormat="false" customHeight="1" hidden="" ht="14" outlineLevel="0" r="28826">
      <c r="A28826" s="3" t="inlineStr">
        <is>
          <t>28695</t>
        </is>
      </c>
      <c r="B28826" s="4" t="s">
        <f>=HYPERLINK("http://anyluxury.ru/shop/upakovka/podarochnye-korobki/korobka-pod-bloknot-akkumulyator-i-ruchku-doc-serebristaya-1205310/" , "12053.10 Коробка Doc под блокнот, аккумулятор и ручку, серебристая")</f>
      </c>
      <c r="C28826" s="4" t="n">
        <v>583.00</v>
      </c>
      <c r="D28826" s="4"/>
    </row>
    <row collapsed="" customFormat="false" customHeight="1" hidden="" ht="14" outlineLevel="0" r="28827">
      <c r="A28827" s="3" t="inlineStr">
        <is>
          <t>28696</t>
        </is>
      </c>
      <c r="B28827" s="4" t="s">
        <f>=HYPERLINK("http://anyluxury.ru/shop/upakovka/podarochnye-korobki/korobka-pod-bloknot-akkumulyator-i-ruchku-doc-chernaya-1205330/" , "12053.30 Коробка Doc под блокнот, аккумулятор и ручку, черная")</f>
      </c>
      <c r="C28827" s="4" t="n">
        <v>583.00</v>
      </c>
      <c r="D28827" s="4"/>
    </row>
    <row collapsed="" customFormat="false" customHeight="1" hidden="" ht="14" outlineLevel="0" r="28828">
      <c r="A28828" s="3" t="inlineStr">
        <is>
          <t>28697</t>
        </is>
      </c>
      <c r="B28828" s="4" t="s">
        <f>=HYPERLINK("http://anyluxury.ru/shop/upakovka/podarochnye-korobki/korobka-pod-bloknot-i-ruchku-rime-serebristaya-1205210/" , "12052.10 Коробка Rime под блокнот и ручку, серебристая")</f>
      </c>
      <c r="C28828" s="4" t="n">
        <v>557.00</v>
      </c>
      <c r="D28828" s="4"/>
    </row>
    <row collapsed="" customFormat="false" customHeight="1" hidden="" ht="14" outlineLevel="0" r="28829">
      <c r="A28829" s="3" t="inlineStr">
        <is>
          <t>28698</t>
        </is>
      </c>
      <c r="B28829" s="4" t="s">
        <f>=HYPERLINK("http://anyluxury.ru/shop/upakovka/podarochnye-korobki/korobka-pod-bloknot-i-ruchku-rime-chernaya-1205230/" , "12052.30 Коробка Rime под блокнот и ручку, черная")</f>
      </c>
      <c r="C28829" s="4" t="n">
        <v>557.00</v>
      </c>
      <c r="D28829" s="4"/>
    </row>
    <row collapsed="" customFormat="false" customHeight="1" hidden="" ht="14" outlineLevel="0" r="28830">
      <c r="A28830" s="3" t="inlineStr">
        <is>
          <t>28699</t>
        </is>
      </c>
      <c r="B28830" s="4" t="s">
        <f>=HYPERLINK("http://anyluxury.ru/shop/upakovka/podarochnye-korobki/korobka-s-oknom-insight-sinyaya-1088640/" , "10886.40 Коробка с окном InSight, синяя")</f>
      </c>
      <c r="C28830" s="4" t="n">
        <v>211.00</v>
      </c>
      <c r="D28830" s="4"/>
    </row>
    <row collapsed="" customFormat="false" customHeight="1" hidden="" ht="14" outlineLevel="0" r="28831">
      <c r="A28831" s="3" t="inlineStr">
        <is>
          <t>28700</t>
        </is>
      </c>
      <c r="B28831" s="4" t="s">
        <f>=HYPERLINK("http://anyluxury.ru/shop/upakovka/podarochnye-korobki/korobka-s-oknom-insight-belaya-1088660/" , "10886.60 Коробка с окном InSight, белая")</f>
      </c>
      <c r="C28831" s="4" t="n">
        <v>211.00</v>
      </c>
      <c r="D28831" s="4"/>
    </row>
    <row collapsed="" customFormat="false" customHeight="1" hidden="" ht="14" outlineLevel="0" r="28832">
      <c r="A28832" s="3" t="inlineStr">
        <is>
          <t>28701</t>
        </is>
      </c>
      <c r="B28832" s="4" t="s">
        <f>=HYPERLINK("http://anyluxury.ru/shop/upakovka/podarochnye-korobki/korobka-in-case-s-ver2-belaya-s-kraftovim-oborotom-693461/" , "6934.61 Коробка In Case S, ver.2, белая с крафтовым оборотом")</f>
      </c>
      <c r="C28832" s="4" t="n">
        <v>119.00</v>
      </c>
      <c r="D28832" s="4"/>
    </row>
    <row collapsed="" customFormat="false" customHeight="1" hidden="" ht="14" outlineLevel="0" r="28833">
      <c r="A28833" s="3" t="inlineStr">
        <is>
          <t>28702</t>
        </is>
      </c>
      <c r="B28833" s="4" t="s">
        <f>=HYPERLINK("http://anyluxury.ru/shop/upakovka/podarochnye-korobki/korobka-latern-dlya-akkumulyatora-i-ruchki-sinyaya-1160540/" , "11605.40 Коробка Latern для аккумулятора и ручки, синяя")</f>
      </c>
      <c r="C28833" s="4" t="n">
        <v>699.00</v>
      </c>
      <c r="D28833" s="4"/>
    </row>
    <row collapsed="" customFormat="false" customHeight="1" hidden="" ht="14" outlineLevel="0" r="28834">
      <c r="A28834" s="3" t="inlineStr">
        <is>
          <t>28703</t>
        </is>
      </c>
      <c r="B28834" s="4" t="s">
        <f>=HYPERLINK("http://anyluxury.ru/shop/upakovka/podarochnye-korobki/korobka-latern-dlya-akkumulyatora-i-ruchki-krasnaya-1160550/" , "11605.50 Коробка Latern для аккумулятора и ручки, красная")</f>
      </c>
      <c r="C28834" s="4" t="n">
        <v>699.00</v>
      </c>
      <c r="D28834" s="4"/>
    </row>
    <row collapsed="" customFormat="false" customHeight="1" hidden="" ht="14" outlineLevel="0" r="28835">
      <c r="A28835" s="3" t="inlineStr">
        <is>
          <t>28704</t>
        </is>
      </c>
      <c r="B28835" s="4" t="s">
        <f>=HYPERLINK("http://anyluxury.ru/shop/upakovka/podarochnye-korobki/korobka-latern-dlya-akkumulyatora-5000-mach-i-fleshki-sinyaya-1160640/" , "11606.40 Коробка Latern для аккумулятора 5000 мАч и флешки, синяя")</f>
      </c>
      <c r="C28835" s="4" t="n">
        <v>641.00</v>
      </c>
      <c r="D28835" s="4"/>
    </row>
    <row collapsed="" customFormat="false" customHeight="1" hidden="" ht="14" outlineLevel="0" r="28836">
      <c r="A28836" s="3" t="inlineStr">
        <is>
          <t>28705</t>
        </is>
      </c>
      <c r="B28836" s="4" t="s">
        <f>=HYPERLINK("http://anyluxury.ru/shop/upakovka/podarochnye-korobki/korobka-latern-dlya-akkumulyatora-5000-mach-i-fleshki-krasnaya-1160650/" , "11606.50 Коробка Latern для аккумулятора 5000 мАч и флешки, красная")</f>
      </c>
      <c r="C28836" s="4" t="n">
        <v>641.00</v>
      </c>
      <c r="D28836" s="4"/>
    </row>
    <row collapsed="" customFormat="false" customHeight="1" hidden="" ht="14" outlineLevel="0" r="28837">
      <c r="A28837" s="3" t="inlineStr">
        <is>
          <t>28706</t>
        </is>
      </c>
      <c r="B28837" s="4" t="s">
        <f>=HYPERLINK("http://anyluxury.ru/shop/upakovka/podarochnye-korobki/korobka-latern-dlya-akkumulyatora-5000-mach-fleshki-i-ruchki-sinyaya-1160740/" , "11607.40 Коробка Latern для аккумулятора 5000 мАч, флешки и ручки, синяя")</f>
      </c>
      <c r="C28837" s="4" t="n">
        <v>641.00</v>
      </c>
      <c r="D28837" s="4"/>
    </row>
    <row collapsed="" customFormat="false" customHeight="1" hidden="" ht="14" outlineLevel="0" r="28838">
      <c r="A28838" s="3" t="inlineStr">
        <is>
          <t>28707</t>
        </is>
      </c>
      <c r="B28838" s="4" t="s">
        <f>=HYPERLINK("http://anyluxury.ru/shop/upakovka/podarochnye-korobki/korobka-latern-dlya-akkumulyatora-5000-mach-fleshki-i-ruchki-krasnaya-1160750/" , "11607.50 Коробка Latern для аккумулятора 5000 мАч, флешки и ручки, красная")</f>
      </c>
      <c r="C28838" s="4" t="n">
        <v>641.00</v>
      </c>
      <c r="D28838" s="4"/>
    </row>
    <row collapsed="" customFormat="false" customHeight="1" hidden="" ht="14" outlineLevel="0" r="28839">
      <c r="A28839" s="3" t="inlineStr">
        <is>
          <t>28708</t>
        </is>
      </c>
      <c r="B28839" s="4" t="s">
        <f>=HYPERLINK("http://anyluxury.ru/shop/upakovka/podarochnye-korobki/korobka-rapture-dlya-akkumulyatora-i-ruchki-sinyaya-1161040/" , "11610.40 Коробка Rapture для аккумулятора и ручки, синяя")</f>
      </c>
      <c r="C28839" s="4" t="n">
        <v>699.00</v>
      </c>
      <c r="D28839" s="4"/>
    </row>
    <row collapsed="" customFormat="false" customHeight="1" hidden="" ht="14" outlineLevel="0" r="28840">
      <c r="A28840" s="3" t="inlineStr">
        <is>
          <t>28709</t>
        </is>
      </c>
      <c r="B28840" s="4" t="s">
        <f>=HYPERLINK("http://anyluxury.ru/shop/upakovka/podarochnye-korobki/korobka-rapture-dlya-akkumulyatora-i-ruchki-krasnaya-1161050/" , "11610.50 Коробка Rapture для аккумулятора и ручки, красная")</f>
      </c>
      <c r="C28840" s="4" t="n">
        <v>699.00</v>
      </c>
      <c r="D28840" s="4"/>
    </row>
    <row collapsed="" customFormat="false" customHeight="1" hidden="" ht="14" outlineLevel="0" r="28841">
      <c r="A28841" s="3" t="inlineStr">
        <is>
          <t>28710</t>
        </is>
      </c>
      <c r="B28841" s="4" t="s">
        <f>=HYPERLINK("http://anyluxury.ru/shop/upakovka/podarochnye-korobki/korobka-rapture-dlya-akkumulyatora-10000-mach-i-fleshki-sinyaya-1161140/" , "11611.40 Коробка Rapture для аккумулятора 10000 мАч и флешки, синяя")</f>
      </c>
      <c r="C28841" s="4" t="n">
        <v>699.00</v>
      </c>
      <c r="D28841" s="4"/>
    </row>
    <row collapsed="" customFormat="false" customHeight="1" hidden="" ht="14" outlineLevel="0" r="28842">
      <c r="A28842" s="3" t="inlineStr">
        <is>
          <t>28711</t>
        </is>
      </c>
      <c r="B28842" s="4" t="s">
        <f>=HYPERLINK("http://anyluxury.ru/shop/upakovka/podarochnye-korobki/korobka-rapture-dlya-akkumulyatora-10000-mach-i-fleshki-krasnaya-1161150/" , "11611.50 Коробка Rapture для аккумулятора 10000 мАч и флешки, красная")</f>
      </c>
      <c r="C28842" s="4" t="n">
        <v>699.00</v>
      </c>
      <c r="D28842" s="4"/>
    </row>
    <row collapsed="" customFormat="false" customHeight="1" hidden="" ht="14" outlineLevel="0" r="28843">
      <c r="A28843" s="3" t="inlineStr">
        <is>
          <t>28712</t>
        </is>
      </c>
      <c r="B28843" s="4" t="s">
        <f>=HYPERLINK("http://anyluxury.ru/shop/upakovka/podarochnye-korobki/korobka-rapture-dlya-akkumulyatora-10000-mach-fleshki-i-ruchki-sinyaya-1161240/" , "11612.40 Коробка Rapture для аккумулятора 10000 мАч, флешки и ручки, синяя")</f>
      </c>
      <c r="C28843" s="4" t="n">
        <v>699.00</v>
      </c>
      <c r="D28843" s="4"/>
    </row>
    <row collapsed="" customFormat="false" customHeight="1" hidden="" ht="14" outlineLevel="0" r="28844">
      <c r="A28844" s="3" t="inlineStr">
        <is>
          <t>28713</t>
        </is>
      </c>
      <c r="B28844" s="4" t="s">
        <f>=HYPERLINK("http://anyluxury.ru/shop/upakovka/podarochnye-korobki/korobka-rapture-dlya-akkumulyatora-10000-mach-fleshki-i-ruchki-krasnaya-1161250/" , "11612.50 Коробка Rapture для аккумулятора 10000 мАч, флешки и ручки, красная")</f>
      </c>
      <c r="C28844" s="4" t="n">
        <v>699.00</v>
      </c>
      <c r="D28844" s="4"/>
    </row>
    <row collapsed="" customFormat="false" customHeight="1" hidden="" ht="14" outlineLevel="0" r="28845">
      <c r="A28845" s="3" t="inlineStr">
        <is>
          <t>28714</t>
        </is>
      </c>
      <c r="B28845" s="4" t="s">
        <f>=HYPERLINK("http://anyluxury.ru/shop/upakovka/podarochnye-korobki/korobka-new-case-chernaya-1104230/" , "11042.30 Коробка New Case, черная")</f>
      </c>
      <c r="C28845" s="4" t="n">
        <v>845.00</v>
      </c>
      <c r="D28845" s="4"/>
    </row>
    <row collapsed="" customFormat="false" customHeight="1" hidden="" ht="14" outlineLevel="0" r="28846">
      <c r="A28846" s="3" t="inlineStr">
        <is>
          <t>28715</t>
        </is>
      </c>
      <c r="B28846" s="4" t="s">
        <f>=HYPERLINK("http://anyluxury.ru/shop/upakovka/podarochnye-korobki/korobka-claptone-belaya-799460/" , "7994.60 Коробка ClapTone, белая")</f>
      </c>
      <c r="C28846" s="4" t="n">
        <v>519.00</v>
      </c>
      <c r="D28846" s="4"/>
    </row>
    <row collapsed="" customFormat="false" customHeight="1" hidden="" ht="14" outlineLevel="0" r="28847">
      <c r="A28847" s="3" t="inlineStr">
        <is>
          <t>28716</t>
        </is>
      </c>
      <c r="B28847" s="4" t="s">
        <f>=HYPERLINK("http://anyluxury.ru/shop/upakovka/podarochnye-korobki/korobka-very-much-belaya-707560/" , "7075.60 Коробка Very Much, белая")</f>
      </c>
      <c r="C28847" s="4" t="n">
        <v>546.00</v>
      </c>
      <c r="D28847" s="4"/>
    </row>
    <row collapsed="" customFormat="false" customHeight="1" hidden="" ht="14" outlineLevel="0" r="28848">
      <c r="A28848" s="3" t="inlineStr">
        <is>
          <t>28717</t>
        </is>
      </c>
      <c r="B28848" s="4" t="s">
        <f>=HYPERLINK("http://anyluxury.ru/shop/upakovka/podarochnye-korobki/korobka-modum-seraya-1170010/" , "11700.10 Коробка Modum, серая")</f>
      </c>
      <c r="C28848" s="4" t="n">
        <v>601.00</v>
      </c>
      <c r="D28848" s="4"/>
    </row>
    <row collapsed="" customFormat="false" customHeight="1" hidden="" ht="14" outlineLevel="0" r="28849">
      <c r="A28849" s="3" t="inlineStr">
        <is>
          <t>28718</t>
        </is>
      </c>
      <c r="B28849" s="4" t="s">
        <f>=HYPERLINK("http://anyluxury.ru/shop/upakovka/podarochnye-korobki/korobka-modum-chernaya-1170030/" , "11700.30 Коробка Modum, черная")</f>
      </c>
      <c r="C28849" s="4" t="n">
        <v>601.00</v>
      </c>
      <c r="D28849" s="4"/>
    </row>
    <row collapsed="" customFormat="false" customHeight="1" hidden="" ht="14" outlineLevel="0" r="28850">
      <c r="A28850" s="3" t="inlineStr">
        <is>
          <t>28719</t>
        </is>
      </c>
      <c r="B28850" s="4" t="s">
        <f>=HYPERLINK("http://anyluxury.ru/shop/upakovka/podarochnye-korobki/korobka-senzo-seraya-1170810/" , "11708.10 Коробка Senzo, серая")</f>
      </c>
      <c r="C28850" s="4" t="n">
        <v>429.00</v>
      </c>
      <c r="D28850" s="4"/>
    </row>
    <row collapsed="" customFormat="false" customHeight="1" hidden="" ht="14" outlineLevel="0" r="28851">
      <c r="A28851" s="3" t="inlineStr">
        <is>
          <t>28720</t>
        </is>
      </c>
      <c r="B28851" s="4" t="s">
        <f>=HYPERLINK("http://anyluxury.ru/shop/upakovka/podarochnye-korobki/korobka-na-lentah-tie-up-malaya-sinyaya-1260040/" , "12600.40 Коробка на лентах Tie Up, малая, синяя")</f>
      </c>
      <c r="C28851" s="4" t="n">
        <v>594.00</v>
      </c>
      <c r="D28851" s="4"/>
    </row>
    <row collapsed="" customFormat="false" customHeight="1" hidden="" ht="14" outlineLevel="0" r="28852">
      <c r="A28852" s="3" t="inlineStr">
        <is>
          <t>28721</t>
        </is>
      </c>
      <c r="B28852" s="4" t="s">
        <f>=HYPERLINK("http://anyluxury.ru/shop/upakovka/podarochnye-korobki/korobka-na-lentah-tie-up-malaya-belaya-1260060/" , "12600.60 Коробка на лентах Tie Up, малая, белая")</f>
      </c>
      <c r="C28852" s="4" t="n">
        <v>594.00</v>
      </c>
      <c r="D28852" s="4"/>
    </row>
    <row collapsed="" customFormat="false" customHeight="1" hidden="" ht="14" outlineLevel="0" r="28853">
      <c r="A28853" s="3" t="inlineStr">
        <is>
          <t>28722</t>
        </is>
      </c>
      <c r="B28853" s="4" t="s">
        <f>=HYPERLINK("http://anyluxury.ru/shop/upakovka/podarochnye-korobki/korobka-pickle-dlya-pleda-725600/" , "7256.00 Коробка Pickle для пледа")</f>
      </c>
      <c r="C28853" s="4" t="n">
        <v>384.00</v>
      </c>
      <c r="D28853" s="4"/>
    </row>
    <row collapsed="" customFormat="false" customHeight="1" hidden="" ht="14" outlineLevel="0" r="28854">
      <c r="A28854" s="3" t="inlineStr">
        <is>
          <t>28723</t>
        </is>
      </c>
      <c r="B28854" s="4" t="s">
        <f>=HYPERLINK("http://anyluxury.ru/shop/upakovka/podarochnye-korobki/korobka-arbor-pod-ezhednevnik-akkumulyator-i-ruchku-seraya-1170310/" , "11703.10 Коробка Arbor под ежедневник, аккумулятор и ручку, серая")</f>
      </c>
      <c r="C28854" s="4" t="n">
        <v>767.00</v>
      </c>
      <c r="D28854" s="4"/>
    </row>
    <row collapsed="" customFormat="false" customHeight="1" hidden="" ht="14" outlineLevel="0" r="28855">
      <c r="A28855" s="3" t="inlineStr">
        <is>
          <t>28724</t>
        </is>
      </c>
      <c r="B28855" s="4" t="s">
        <f>=HYPERLINK("http://anyluxury.ru/shop/upakovka/podarochnye-korobki/korobka-emmet-malaya-krasnaya-1224150/" , "12241.50 Коробка Emmet, малая, красная")</f>
      </c>
      <c r="C28855" s="4" t="n">
        <v>409.00</v>
      </c>
      <c r="D28855" s="4"/>
    </row>
    <row collapsed="" customFormat="false" customHeight="1" hidden="" ht="14" outlineLevel="0" r="28856">
      <c r="A28856" s="3" t="inlineStr">
        <is>
          <t>28725</t>
        </is>
      </c>
      <c r="B28856" s="4" t="s">
        <f>=HYPERLINK("http://anyluxury.ru/shop/upakovka/podarochnye-korobki/korobka-emmet-malaya-korichnevaya-1224155/" , "12241.55 Коробка Emmet, малая, коричневая")</f>
      </c>
      <c r="C28856" s="4" t="n">
        <v>409.00</v>
      </c>
      <c r="D28856" s="4"/>
    </row>
    <row collapsed="" customFormat="false" customHeight="1" hidden="" ht="14" outlineLevel="0" r="28857">
      <c r="A28857" s="3" t="inlineStr">
        <is>
          <t>28726</t>
        </is>
      </c>
      <c r="B28857" s="4" t="s">
        <f>=HYPERLINK("http://anyluxury.ru/shop/upakovka/podarochnye-korobki/korobka-emmet-malaya-zelenaya-1224190/" , "12241.90 Коробка Emmet, малая, зеленая")</f>
      </c>
      <c r="C28857" s="4" t="n">
        <v>409.00</v>
      </c>
      <c r="D28857" s="4"/>
    </row>
    <row collapsed="" customFormat="false" customHeight="1" hidden="" ht="14" outlineLevel="0" r="28858">
      <c r="A28858" s="3" t="inlineStr">
        <is>
          <t>28727</t>
        </is>
      </c>
      <c r="B28858" s="4" t="s">
        <f>=HYPERLINK("http://anyluxury.ru/shop/upakovka/podarochnye-korobki/korobka-emmet-malaya-chernaya-1224130/" , "12241.30 Коробка Emmet, малая, черная")</f>
      </c>
      <c r="C28858" s="4" t="n">
        <v>409.00</v>
      </c>
      <c r="D28858" s="4"/>
    </row>
    <row collapsed="" customFormat="false" customHeight="1" hidden="" ht="14" outlineLevel="0" r="28859">
      <c r="A28859" s="3" t="inlineStr">
        <is>
          <t>28728</t>
        </is>
      </c>
      <c r="B28859" s="4" t="s">
        <f>=HYPERLINK("http://anyluxury.ru/shop/upakovka/podarochnye-korobki/korobka-emmet-srednyaya-krasnaya-1224250/" , "12242.50 Коробка Emmet, средняя, красная")</f>
      </c>
      <c r="C28859" s="4" t="n">
        <v>572.00</v>
      </c>
      <c r="D28859" s="4"/>
    </row>
    <row collapsed="" customFormat="false" customHeight="1" hidden="" ht="14" outlineLevel="0" r="28860">
      <c r="A28860" s="3" t="inlineStr">
        <is>
          <t>28729</t>
        </is>
      </c>
      <c r="B28860" s="4" t="s">
        <f>=HYPERLINK("http://anyluxury.ru/shop/upakovka/podarochnye-korobki/korobka-emmet-srednyaya-korichnevaya-1224255/" , "12242.55 Коробка Emmet, средняя, коричневая")</f>
      </c>
      <c r="C28860" s="4" t="n">
        <v>572.00</v>
      </c>
      <c r="D28860" s="4"/>
    </row>
    <row collapsed="" customFormat="false" customHeight="1" hidden="" ht="14" outlineLevel="0" r="28861">
      <c r="A28861" s="3" t="inlineStr">
        <is>
          <t>28730</t>
        </is>
      </c>
      <c r="B28861" s="4" t="s">
        <f>=HYPERLINK("http://anyluxury.ru/shop/upakovka/podarochnye-korobki/korobka-emmet-srednyaya-zelenaya-1224290/" , "12242.90 Коробка Emmet, средняя, зеленая")</f>
      </c>
      <c r="C28861" s="4" t="n">
        <v>572.00</v>
      </c>
      <c r="D28861" s="4"/>
    </row>
    <row collapsed="" customFormat="false" customHeight="1" hidden="" ht="14" outlineLevel="0" r="28862">
      <c r="A28862" s="3" t="inlineStr">
        <is>
          <t>28731</t>
        </is>
      </c>
      <c r="B28862" s="4" t="s">
        <f>=HYPERLINK("http://anyluxury.ru/shop/upakovka/podarochnye-korobki/korobka-emmet-srednyaya-chernaya-1224230/" , "12242.30 Коробка Emmet, средняя, черная")</f>
      </c>
      <c r="C28862" s="4" t="n">
        <v>572.00</v>
      </c>
      <c r="D28862" s="4"/>
    </row>
    <row collapsed="" customFormat="false" customHeight="1" hidden="" ht="14" outlineLevel="0" r="28863">
      <c r="A28863" s="3" t="inlineStr">
        <is>
          <t>28732</t>
        </is>
      </c>
      <c r="B28863" s="4" t="s">
        <f>=HYPERLINK("http://anyluxury.ru/shop/upakovka/podarochnye-korobki/korobka-emmet-bolshaya-sinyaya-1224340/" , "12243.40 Коробка Emmet, большая, синяя")</f>
      </c>
      <c r="C28863" s="4" t="n">
        <v>658.00</v>
      </c>
      <c r="D28863" s="4"/>
    </row>
    <row collapsed="" customFormat="false" customHeight="1" hidden="" ht="14" outlineLevel="0" r="28864">
      <c r="A28864" s="3" t="inlineStr">
        <is>
          <t>28733</t>
        </is>
      </c>
      <c r="B28864" s="4" t="s">
        <f>=HYPERLINK("http://anyluxury.ru/shop/upakovka/podarochnye-korobki/korobka-emmet-bolshaya-belaya-1224360/" , "12243.60 Коробка Emmet, большая, белая")</f>
      </c>
      <c r="C28864" s="4" t="n">
        <v>658.00</v>
      </c>
      <c r="D28864" s="4"/>
    </row>
    <row collapsed="" customFormat="false" customHeight="1" hidden="" ht="14" outlineLevel="0" r="28865">
      <c r="A28865" s="3" t="inlineStr">
        <is>
          <t>28734</t>
        </is>
      </c>
      <c r="B28865" s="4" t="s">
        <f>=HYPERLINK("http://anyluxury.ru/shop/upakovka/podarochnye-korobki/korobka-emmet-bolshaya-korichnevaya-1224355/" , "12243.55 Коробка Emmet, большая, коричневая")</f>
      </c>
      <c r="C28865" s="4" t="n">
        <v>658.00</v>
      </c>
      <c r="D28865" s="4"/>
    </row>
    <row collapsed="" customFormat="false" customHeight="1" hidden="" ht="14" outlineLevel="0" r="28866">
      <c r="A28866" s="3" t="inlineStr">
        <is>
          <t>28735</t>
        </is>
      </c>
      <c r="B28866" s="4" t="s">
        <f>=HYPERLINK("http://anyluxury.ru/shop/upakovka/podarochnye-korobki/korobka-emmet-bolshaya-zelenaya-1224390/" , "12243.90 Коробка Emmet, большая, зеленая")</f>
      </c>
      <c r="C28866" s="4" t="n">
        <v>658.00</v>
      </c>
      <c r="D28866" s="4"/>
    </row>
    <row collapsed="" customFormat="false" customHeight="1" hidden="" ht="14" outlineLevel="0" r="28867">
      <c r="A28867" s="3" t="inlineStr">
        <is>
          <t>28736</t>
        </is>
      </c>
      <c r="B28867" s="4" t="s">
        <f>=HYPERLINK("http://anyluxury.ru/shop/upakovka/podarochnye-korobki/korobka-emmet-bolshaya-chernaya-1224330/" , "12243.30 Коробка Emmet, большая, черная")</f>
      </c>
      <c r="C28867" s="4" t="n">
        <v>658.00</v>
      </c>
      <c r="D28867" s="4"/>
    </row>
    <row collapsed="" customFormat="false" customHeight="1" hidden="" ht="14" outlineLevel="0" r="28868">
      <c r="A28868" s="3" t="inlineStr">
        <is>
          <t>28737</t>
        </is>
      </c>
      <c r="B28868" s="4" t="s">
        <f>=HYPERLINK("http://anyluxury.ru/shop/upakovka/podarochnye-korobki/korobka-kruglaya-flapjack-bolshaya-serebristaya-15584/" , "15584 Коробка круглая Flapjack, большая, серебристая")</f>
      </c>
      <c r="C28868" s="4" t="n">
        <v>312.00</v>
      </c>
      <c r="D28868" s="4"/>
    </row>
    <row collapsed="" customFormat="false" customHeight="1" hidden="" ht="14" outlineLevel="0" r="28869">
      <c r="A28869" s="3" t="inlineStr">
        <is>
          <t>28738</t>
        </is>
      </c>
      <c r="B28869" s="4" t="s">
        <f>=HYPERLINK("http://anyluxury.ru/shop/upakovka/podarochnye-korobki/korobka-horizon-chernaya-707330/" , "7073.30 Коробка Horizon, черная")</f>
      </c>
      <c r="C28869" s="4" t="n">
        <v>405.00</v>
      </c>
      <c r="D28869" s="4"/>
    </row>
    <row collapsed="" customFormat="false" customHeight="1" hidden="" ht="14" outlineLevel="0" r="28870">
      <c r="A28870" s="3" t="inlineStr">
        <is>
          <t>28739</t>
        </is>
      </c>
      <c r="B28870" s="4" t="s">
        <f>=HYPERLINK("http://anyluxury.ru/shop/upakovka/podarochnye-korobki/korobka-reason-chernaya-706730/" , "7067.30 Коробка Reason, черная")</f>
      </c>
      <c r="C28870" s="4" t="n">
        <v>374.00</v>
      </c>
      <c r="D28870" s="4"/>
    </row>
    <row collapsed="" customFormat="false" customHeight="1" hidden="" ht="14" outlineLevel="0" r="28871">
      <c r="A28871" s="3" t="inlineStr">
        <is>
          <t>28740</t>
        </is>
      </c>
      <c r="B28871" s="4" t="s">
        <f>=HYPERLINK("http://anyluxury.ru/shop/upakovka/podarochnye-korobki/podarochnaya-korobka-giftbox-chernaya-335730/" , "3357.30 Коробка Giftbox, черная")</f>
      </c>
      <c r="C28871" s="4" t="n">
        <v>423.00</v>
      </c>
      <c r="D28871" s="4"/>
    </row>
    <row collapsed="" customFormat="false" customHeight="1" hidden="" ht="14" outlineLevel="0" r="28872">
      <c r="A28872" s="3" t="inlineStr">
        <is>
          <t>28741</t>
        </is>
      </c>
      <c r="B28872" s="4" t="s">
        <f>=HYPERLINK("http://anyluxury.ru/shop/upakovka/podarochnye-korobki/korobka-eco-style-sinyaya-7200140/" , "72001.40 Коробка Eco Style, синяя")</f>
      </c>
      <c r="C28872" s="4" t="n">
        <v>471.00</v>
      </c>
      <c r="D28872" s="4"/>
    </row>
    <row collapsed="" customFormat="false" customHeight="1" hidden="" ht="14" outlineLevel="0" r="28873">
      <c r="A28873" s="3" t="inlineStr">
        <is>
          <t>28742</t>
        </is>
      </c>
      <c r="B28873" s="4" t="s">
        <f>=HYPERLINK("http://anyluxury.ru/shop/upakovka/podarochnye-korobki/korobka-eco-style-chernaya-7200130/" , "72001.30 Коробка Eco Style, черная")</f>
      </c>
      <c r="C28873" s="4" t="n">
        <v>471.00</v>
      </c>
      <c r="D28873" s="4"/>
    </row>
    <row collapsed="" customFormat="false" customHeight="1" hidden="" ht="14" outlineLevel="0" r="28874">
      <c r="A28874" s="3" t="inlineStr">
        <is>
          <t>28743</t>
        </is>
      </c>
      <c r="B28874" s="4" t="s">
        <f>=HYPERLINK("http://anyluxury.ru/shop/upakovka/podarochnye-korobki/korobka-eco-style-belaya-7200160/" , "72001.60 Коробка Eco Style, белая")</f>
      </c>
      <c r="C28874" s="4" t="n">
        <v>471.00</v>
      </c>
      <c r="D28874" s="4"/>
    </row>
    <row collapsed="" customFormat="false" customHeight="1" hidden="" ht="14" outlineLevel="0" r="28875">
      <c r="A28875" s="3" t="inlineStr">
        <is>
          <t>28744</t>
        </is>
      </c>
      <c r="B28875" s="4" t="s">
        <f>=HYPERLINK("http://anyluxury.ru/shop/upakovka/podarochnye-korobki/korobka-store-core-belaya-1243060/" , "12430.60 Коробка Store Core, белая")</f>
      </c>
      <c r="C28875" s="4" t="n">
        <v>614.00</v>
      </c>
      <c r="D28875" s="4"/>
    </row>
    <row collapsed="" customFormat="false" customHeight="1" hidden="" ht="14" outlineLevel="0" r="28876">
      <c r="A28876" s="3" t="inlineStr">
        <is>
          <t>28745</t>
        </is>
      </c>
      <c r="B28876" s="4" t="s">
        <f>=HYPERLINK("http://anyluxury.ru/shop/upakovka/podarochnye-korobki/korobka-triplet-pod-ezhednevnik-fleshku-i-ruchku-serebristaya-1246710/" , "12467.10 Коробка Triplet под ежедневник, флешку и ручку, серая")</f>
      </c>
      <c r="C28876" s="4" t="n">
        <v>805.00</v>
      </c>
      <c r="D28876" s="4"/>
    </row>
    <row collapsed="" customFormat="false" customHeight="1" hidden="" ht="14" outlineLevel="0" r="28877">
      <c r="A28877" s="3" t="inlineStr">
        <is>
          <t>28746</t>
        </is>
      </c>
      <c r="B28877" s="4" t="s">
        <f>=HYPERLINK("http://anyluxury.ru/shop/upakovka/podarochnye-korobki/korobka-triplet-pod-ezhednevnik-fleshku-i-ruchku-sinyaya-1246740/" , "12467.40 Коробка Triplet под ежедневник, флешку и ручку, синяя")</f>
      </c>
      <c r="C28877" s="4" t="n">
        <v>805.00</v>
      </c>
      <c r="D28877" s="4"/>
    </row>
    <row collapsed="" customFormat="false" customHeight="1" hidden="" ht="14" outlineLevel="0" r="28878">
      <c r="A28878" s="3" t="inlineStr">
        <is>
          <t>28747</t>
        </is>
      </c>
      <c r="B28878" s="4" t="s">
        <f>=HYPERLINK("http://anyluxury.ru/shop/upakovka/podarochnye-korobki/korobka-dlya-pleda-very-marque-3400/" , "34.00 Коробка для пледа Stille")</f>
      </c>
      <c r="C28878" s="4" t="n">
        <v>189.80</v>
      </c>
      <c r="D28878" s="4"/>
    </row>
    <row collapsed="" customFormat="false" customHeight="1" hidden="" ht="14" outlineLevel="0" r="28879">
      <c r="A28879" s="3" t="inlineStr">
        <is>
          <t>28748</t>
        </is>
      </c>
      <c r="B28879" s="4" t="s">
        <f>=HYPERLINK("http://anyluxury.ru/shop/upakovka/podarochnye-korobki/korobka-mezzo-kraft-1274700/" , "12747.00 Коробка Mezzo, крафт")</f>
      </c>
      <c r="C28879" s="4" t="n">
        <v>125.00</v>
      </c>
      <c r="D28879" s="4"/>
    </row>
    <row collapsed="" customFormat="false" customHeight="1" hidden="" ht="14" outlineLevel="0" r="28880">
      <c r="A28880" s="3" t="inlineStr">
        <is>
          <t>28749</t>
        </is>
      </c>
      <c r="B28880" s="4" t="s">
        <f>=HYPERLINK("http://anyluxury.ru/shop/upakovka/podarochnye-korobki/korobka-casey-kraft-1274800/" , "12748.00 Коробка Casey, крафт")</f>
      </c>
      <c r="C28880" s="4" t="n">
        <v>125.00</v>
      </c>
      <c r="D28880" s="4"/>
    </row>
    <row collapsed="" customFormat="false" customHeight="1" hidden="" ht="14" outlineLevel="0" r="28881">
      <c r="A28881" s="3" t="inlineStr">
        <is>
          <t>28750</t>
        </is>
      </c>
      <c r="B28881" s="4" t="s">
        <f>=HYPERLINK("http://anyluxury.ru/shop/upakovka/podarochnye-korobki/korobka-sideboard-kraft-1271200/" , "12712.00 Коробка Sideboard, крафт")</f>
      </c>
      <c r="C28881" s="4" t="n">
        <v>557.00</v>
      </c>
      <c r="D28881" s="4"/>
    </row>
    <row collapsed="" customFormat="false" customHeight="1" hidden="" ht="14" outlineLevel="0" r="28882">
      <c r="A28882" s="3" t="inlineStr">
        <is>
          <t>28751</t>
        </is>
      </c>
      <c r="B28882" s="4" t="s">
        <f>=HYPERLINK("http://anyluxury.ru/shop/upakovka/podarochnye-korobki/korobka-basement-kraft-1277200/" , "12772.00 Коробка Basement, крафт")</f>
      </c>
      <c r="C28882" s="4" t="n">
        <v>250.00</v>
      </c>
      <c r="D28882" s="4"/>
    </row>
    <row collapsed="" customFormat="false" customHeight="1" hidden="" ht="14" outlineLevel="0" r="28883">
      <c r="A28883" s="3" t="inlineStr">
        <is>
          <t>28752</t>
        </is>
      </c>
      <c r="B28883" s="4" t="s">
        <f>=HYPERLINK("http://anyluxury.ru/shop/upakovka/podarochnye-korobki/korobka-magnus-chernaya-1277130/" , "12771.30 Коробка Magnus, черная")</f>
      </c>
      <c r="C28883" s="4" t="n">
        <v>370.00</v>
      </c>
      <c r="D28883" s="4"/>
    </row>
    <row collapsed="" customFormat="false" customHeight="1" hidden="" ht="14" outlineLevel="0" r="28884">
      <c r="A28884" s="3" t="inlineStr">
        <is>
          <t>28753</t>
        </is>
      </c>
      <c r="B28884" s="4" t="s">
        <f>=HYPERLINK("http://anyluxury.ru/shop/upakovka/podarochnye-korobki/korobka-magnus-sinyaya-1277140/" , "12771.40 Коробка Magnus, синяя")</f>
      </c>
      <c r="C28884" s="4" t="n">
        <v>370.00</v>
      </c>
      <c r="D28884" s="4"/>
    </row>
    <row collapsed="" customFormat="false" customHeight="1" hidden="" ht="14" outlineLevel="0" r="28885">
      <c r="A28885" s="3" t="inlineStr">
        <is>
          <t>28754</t>
        </is>
      </c>
      <c r="B28885" s="4" t="s">
        <f>=HYPERLINK("http://anyluxury.ru/shop/upakovka/podarochnye-korobki/korobka-magnus-belaya-1277160/" , "12771.60 Коробка Magnus, белая")</f>
      </c>
      <c r="C28885" s="4" t="n">
        <v>370.00</v>
      </c>
      <c r="D28885" s="4"/>
    </row>
    <row collapsed="" customFormat="false" customHeight="1" hidden="" ht="14" outlineLevel="0" r="28886">
      <c r="A28886" s="3" t="inlineStr">
        <is>
          <t>28755</t>
        </is>
      </c>
      <c r="B28886" s="4" t="s">
        <f>=HYPERLINK("http://anyluxury.ru/shop/upakovka/podarochnye-korobki/korobka-emmet-bolshaya-biryuzovaya-1224342/" , "12243.42 Коробка Emmet, большая, бирюзовая")</f>
      </c>
      <c r="C28886" s="4" t="n">
        <v>658.00</v>
      </c>
      <c r="D28886" s="4"/>
    </row>
    <row collapsed="" customFormat="false" customHeight="1" hidden="" ht="14" outlineLevel="0" r="28887">
      <c r="A28887" s="3" t="inlineStr">
        <is>
          <t>28756</t>
        </is>
      </c>
      <c r="B28887" s="4" t="s">
        <f>=HYPERLINK("http://anyluxury.ru/shop/upakovka/podarochnye-korobki/korobka-quadra-chernaya-1267930/" , "12679.30 Коробка Quadra, черная")</f>
      </c>
      <c r="C28887" s="4" t="n">
        <v>805.00</v>
      </c>
      <c r="D28887" s="4"/>
    </row>
    <row collapsed="" customFormat="false" customHeight="1" hidden="" ht="14" outlineLevel="0" r="28888">
      <c r="A28888" s="3" t="inlineStr">
        <is>
          <t>28757</t>
        </is>
      </c>
      <c r="B28888" s="4" t="s">
        <f>=HYPERLINK("http://anyluxury.ru/shop/upakovka/podarochnye-korobki/korobka-quadra-belaya-1267960/" , "12679.60 Коробка Quadra, белая")</f>
      </c>
      <c r="C28888" s="4" t="n">
        <v>805.00</v>
      </c>
      <c r="D28888" s="4"/>
    </row>
    <row collapsed="" customFormat="false" customHeight="1" hidden="" ht="14" outlineLevel="0" r="28889">
      <c r="A28889" s="3" t="inlineStr">
        <is>
          <t>28758</t>
        </is>
      </c>
      <c r="B28889" s="4" t="s">
        <f>=HYPERLINK("http://anyluxury.ru/shop/upakovka/podarochnye-korobki/korobka-very-marque-malaya-kraft-1720411/" , "17204.11 Коробка Very Marque, малая, крафт")</f>
      </c>
      <c r="C28889" s="4" t="n">
        <v>446.50</v>
      </c>
      <c r="D28889" s="4"/>
    </row>
    <row collapsed="" customFormat="false" customHeight="1" hidden="" ht="14" outlineLevel="0" r="28890">
      <c r="A28890" s="3" t="inlineStr">
        <is>
          <t>28759</t>
        </is>
      </c>
      <c r="B28890" s="4" t="s">
        <f>=HYPERLINK("http://anyluxury.ru/shop/upakovka/podarochnye-korobki/korobka-very-marque-bolshaya-kraft-1720511/" , "17205.11 Коробка Very Marque, большая, крафт")</f>
      </c>
      <c r="C28890" s="4" t="n">
        <v>873.80</v>
      </c>
      <c r="D28890" s="4"/>
    </row>
    <row collapsed="" customFormat="false" customHeight="1" hidden="" ht="14" outlineLevel="0" r="28891">
      <c r="A28891" s="3" t="inlineStr">
        <is>
          <t>28760</t>
        </is>
      </c>
      <c r="B28891" s="4" t="s">
        <f>=HYPERLINK("http://anyluxury.ru/shop/upakovka/podarochnye-korobki/korobka-teplo-malaya-kraft-1720211/" , "17202.11 Коробка Teplo, малая, крафт")</f>
      </c>
      <c r="C28891" s="4" t="n">
        <v>281.00</v>
      </c>
      <c r="D28891" s="4"/>
    </row>
    <row collapsed="" customFormat="false" customHeight="1" hidden="" ht="14" outlineLevel="0" r="28892">
      <c r="A28892" s="3" t="inlineStr">
        <is>
          <t>28761</t>
        </is>
      </c>
      <c r="B28892" s="4" t="s">
        <f>=HYPERLINK("http://anyluxury.ru/shop/upakovka/podarochnye-korobki/korobka-teplo-bolshaya-kraft-1720311/" , "17203.11 Коробка Teplo, большая, крафт")</f>
      </c>
      <c r="C28892" s="4" t="n">
        <v>541.00</v>
      </c>
      <c r="D28892" s="4"/>
    </row>
    <row collapsed="" customFormat="false" customHeight="1" hidden="" ht="14" outlineLevel="0" r="28893">
      <c r="A28893" s="3" t="inlineStr">
        <is>
          <t>28762</t>
        </is>
      </c>
      <c r="B28893" s="4" t="s">
        <f>=HYPERLINK("http://anyluxury.ru/shop/upakovka/podarochnye-korobki/korobka-reason-serebro-706710/" , "7067.10 Коробка Reason, серая")</f>
      </c>
      <c r="C28893" s="4" t="n">
        <v>374.00</v>
      </c>
      <c r="D28893" s="4"/>
    </row>
    <row collapsed="" customFormat="false" customHeight="1" hidden="" ht="14" outlineLevel="0" r="28894">
      <c r="A28894" s="3" t="inlineStr">
        <is>
          <t>28763</t>
        </is>
      </c>
      <c r="B28894" s="4" t="s">
        <f>=HYPERLINK("http://anyluxury.ru/shop/upakovka/podarochnye-korobki/korobka-modum-sinyaya-1170040/" , "11700.40 Коробка Modum, синяя")</f>
      </c>
      <c r="C28894" s="4" t="n">
        <v>601.00</v>
      </c>
      <c r="D28894" s="4"/>
    </row>
    <row collapsed="" customFormat="false" customHeight="1" hidden="" ht="14" outlineLevel="0" r="28895">
      <c r="A28895" s="3" t="inlineStr">
        <is>
          <t>28764</t>
        </is>
      </c>
      <c r="B28895" s="4" t="s">
        <f>=HYPERLINK("http://anyluxury.ru/shop/upakovka/podarochnye-korobki/korobka-arbor-pod-ezhednevnik-i-ruchku-sinyaya-1170440/" , "11704.40 Коробка Arbor под ежедневник и ручку, темно-синяя")</f>
      </c>
      <c r="C28895" s="4" t="n">
        <v>890.00</v>
      </c>
      <c r="D28895" s="4"/>
    </row>
    <row collapsed="" customFormat="false" customHeight="1" hidden="" ht="14" outlineLevel="0" r="28896">
      <c r="A28896" s="3" t="inlineStr">
        <is>
          <t>28765</t>
        </is>
      </c>
      <c r="B28896" s="4" t="s">
        <f>=HYPERLINK("http://anyluxury.ru/shop/upakovka/podarochnye-korobki/korobka-handgrip-bolshaya-sinyaya-2114240/" , "21142.40 Коробка Handgrip, большая, синяя")</f>
      </c>
      <c r="C28896" s="4" t="n">
        <v>983.00</v>
      </c>
      <c r="D28896" s="4"/>
    </row>
    <row collapsed="" customFormat="false" customHeight="1" hidden="" ht="14" outlineLevel="0" r="28897">
      <c r="A28897" s="3" t="inlineStr">
        <is>
          <t>28766</t>
        </is>
      </c>
      <c r="B28897" s="4" t="s">
        <f>=HYPERLINK("http://anyluxury.ru/shop/upakovka/podarochnye-korobki/korobka-handgrip-bolshaya-belaya-2114260/" , "21142.60 Коробка Handgrip, большая, белая")</f>
      </c>
      <c r="C28897" s="4" t="n">
        <v>930.00</v>
      </c>
      <c r="D28897" s="4"/>
    </row>
    <row collapsed="" customFormat="false" customHeight="1" hidden="" ht="14" outlineLevel="0" r="28898">
      <c r="A28898" s="3" t="inlineStr">
        <is>
          <t>28767</t>
        </is>
      </c>
      <c r="B28898" s="4" t="s">
        <f>=HYPERLINK("http://anyluxury.ru/shop/upakovka/podarochnye-korobki/korobka-handgrip-bolshaya-chernaya-2114230/" , "21142.30 Коробка Handgrip, большая, черная")</f>
      </c>
      <c r="C28898" s="4" t="n">
        <v>930.00</v>
      </c>
      <c r="D28898" s="4"/>
    </row>
    <row collapsed="" customFormat="false" customHeight="1" hidden="" ht="14" outlineLevel="0" r="28899">
      <c r="A28899" s="3" t="inlineStr">
        <is>
          <t>28768</t>
        </is>
      </c>
      <c r="B28899" s="4" t="s">
        <f>=HYPERLINK("http://anyluxury.ru/shop/upakovka/podarochnye-korobki/korobka-handgrip-malaya-sinyaya-2114340/" , "21143.40 Коробка Handgrip, малая, синяя")</f>
      </c>
      <c r="C28899" s="4" t="n">
        <v>559.00</v>
      </c>
      <c r="D28899" s="4"/>
    </row>
    <row collapsed="" customFormat="false" customHeight="1" hidden="" ht="14" outlineLevel="0" r="28900">
      <c r="A28900" s="3" t="inlineStr">
        <is>
          <t>28769</t>
        </is>
      </c>
      <c r="B28900" s="4" t="s">
        <f>=HYPERLINK("http://anyluxury.ru/shop/upakovka/podarochnye-korobki/korobka-handgrip-malaya-belaya-2114360/" , "21143.60 Коробка Handgrip, малая, белая")</f>
      </c>
      <c r="C28900" s="4" t="n">
        <v>559.00</v>
      </c>
      <c r="D28900" s="4"/>
    </row>
    <row collapsed="" customFormat="false" customHeight="1" hidden="" ht="14" outlineLevel="0" r="28901">
      <c r="A28901" s="3" t="inlineStr">
        <is>
          <t>28770</t>
        </is>
      </c>
      <c r="B28901" s="4" t="s">
        <f>=HYPERLINK("http://anyluxury.ru/shop/upakovka/podarochnye-korobki/korobka-handgrip-malaya-chernaya-2114330/" , "21143.30 Коробка Handgrip, малая, черная")</f>
      </c>
      <c r="C28901" s="4" t="n">
        <v>559.00</v>
      </c>
      <c r="D28901" s="4"/>
    </row>
    <row collapsed="" customFormat="false" customHeight="1" hidden="" ht="14" outlineLevel="0" r="28902">
      <c r="A28902" s="3" t="inlineStr">
        <is>
          <t>28771</t>
        </is>
      </c>
      <c r="B28902" s="4" t="s">
        <f>=HYPERLINK("http://anyluxury.ru/shop/upakovka/podarochnye-korobki/korobka-senzo-sinyaya-1170840/" , "11708.40 Коробка Senzo, темно-синяя")</f>
      </c>
      <c r="C28902" s="4" t="n">
        <v>490.00</v>
      </c>
      <c r="D28902" s="4"/>
    </row>
    <row collapsed="" customFormat="false" customHeight="1" hidden="" ht="14" outlineLevel="0" r="28903">
      <c r="A28903" s="3" t="inlineStr">
        <is>
          <t>28772</t>
        </is>
      </c>
      <c r="B28903" s="4" t="s">
        <f>=HYPERLINK("http://anyluxury.ru/shop/upakovka/podarochnye-korobki/korobka-quadra-sinyaya-1267940/" , "12679.40 Коробка Quadra, синяя")</f>
      </c>
      <c r="C28903" s="4" t="n">
        <v>805.00</v>
      </c>
      <c r="D28903" s="4"/>
    </row>
    <row collapsed="" customFormat="false" customHeight="1" hidden="" ht="14" outlineLevel="0" r="28904">
      <c r="A28904" s="3" t="inlineStr">
        <is>
          <t>28773</t>
        </is>
      </c>
      <c r="B28904" s="4" t="s">
        <f>=HYPERLINK("http://anyluxury.ru/shop/upakovka/podarochnye-korobki/korobka-quadra-seraya-1267910/" , "12679.10 Коробка Quadra, серая")</f>
      </c>
      <c r="C28904" s="4" t="n">
        <v>805.00</v>
      </c>
      <c r="D28904" s="4"/>
    </row>
    <row collapsed="" customFormat="false" customHeight="1" hidden="" ht="14" outlineLevel="0" r="28905">
      <c r="A28905" s="3" t="inlineStr">
        <is>
          <t>28774</t>
        </is>
      </c>
      <c r="B28905" s="4" t="s">
        <f>=HYPERLINK("http://anyluxury.ru/shop/upakovka/podarochnye-korobki/korobka-dlya-kruzhki-kitbag-s-dlinnimi-ruchkami-1317400/" , "13174.00 Коробка для кружки Kitbag, с длинными ручками")</f>
      </c>
      <c r="C28905" s="4" t="n">
        <v>113.90</v>
      </c>
      <c r="D28905" s="4"/>
    </row>
    <row collapsed="" customFormat="false" customHeight="1" hidden="" ht="14" outlineLevel="0" r="28906">
      <c r="A28906" s="3" t="inlineStr">
        <is>
          <t>28775</t>
        </is>
      </c>
      <c r="B28906" s="4" t="s">
        <f>=HYPERLINK("http://anyluxury.ru/shop/upakovka/podarochnye-korobki/korobka-dlya-fleshki-minne-seraya-1322710/" , "13227.10 Коробка для флешки Minne, серая")</f>
      </c>
      <c r="C28906" s="4" t="n">
        <v>185.00</v>
      </c>
      <c r="D28906" s="4"/>
    </row>
    <row collapsed="" customFormat="false" customHeight="1" hidden="" ht="14" outlineLevel="0" r="28907">
      <c r="A28907" s="3" t="inlineStr">
        <is>
          <t>28776</t>
        </is>
      </c>
      <c r="B28907" s="4" t="s">
        <f>=HYPERLINK("http://anyluxury.ru/shop/upakovka/podarochnye-korobki/korobka-silk-s-lozhementom-pod-ezhednevnik-i-ruchku-seraya-1306910/" , "13069.10 Коробка Silk с ложементом под ежедневник 15х21 см и ручку, серебристая")</f>
      </c>
      <c r="C28907" s="4" t="n">
        <v>716.00</v>
      </c>
      <c r="D28907" s="4"/>
    </row>
    <row collapsed="" customFormat="false" customHeight="1" hidden="" ht="14" outlineLevel="0" r="28908">
      <c r="A28908" s="3" t="inlineStr">
        <is>
          <t>28777</t>
        </is>
      </c>
      <c r="B28908" s="4" t="s">
        <f>=HYPERLINK("http://anyluxury.ru/shop/upakovka/podarochnye-korobki/korobka-silk-s-lozhementom-pod-ezhednevnik-i-ruchku-chernaya-1306930/" , "13069.30 Коробка Silk с ложементом под ежедневник 15х21 см и ручку, черная")</f>
      </c>
      <c r="C28908" s="4" t="n">
        <v>716.00</v>
      </c>
      <c r="D28908" s="4"/>
    </row>
    <row collapsed="" customFormat="false" customHeight="1" hidden="" ht="14" outlineLevel="0" r="28909">
      <c r="A28909" s="3" t="inlineStr">
        <is>
          <t>28778</t>
        </is>
      </c>
      <c r="B28909" s="4" t="s">
        <f>=HYPERLINK("http://anyluxury.ru/shop/upakovka/podarochnye-korobki/korobka-latern-dlya-akkumulyatora-5000-mach-fleshki-i-ruchki-seraya-1160710/" , "11607.10 Коробка Latern для аккумулятора 5000 мАч, флешки и ручки, серая")</f>
      </c>
      <c r="C28909" s="4" t="n">
        <v>641.00</v>
      </c>
      <c r="D28909" s="4"/>
    </row>
    <row collapsed="" customFormat="false" customHeight="1" hidden="" ht="14" outlineLevel="0" r="28910">
      <c r="A28910" s="3" t="inlineStr">
        <is>
          <t>28779</t>
        </is>
      </c>
      <c r="B28910" s="4" t="s">
        <f>=HYPERLINK("http://anyluxury.ru/shop/upakovka/podarochnye-korobki/korobka-spatium-1160901/" , "11609.01 Коробка Spatium")</f>
      </c>
      <c r="C28910" s="4" t="n">
        <v>127.00</v>
      </c>
      <c r="D28910" s="4"/>
    </row>
    <row collapsed="" customFormat="false" customHeight="1" hidden="" ht="14" outlineLevel="0" r="28911">
      <c r="A28911" s="3" t="inlineStr">
        <is>
          <t>28780</t>
        </is>
      </c>
      <c r="B28911" s="4" t="s">
        <f>=HYPERLINK("http://anyluxury.ru/shop/upakovka/podarochnye-korobki/korobka-handgrip-bolshaya-seraya-2114210/" , "21142.10 Коробка Handgrip, большая, серая")</f>
      </c>
      <c r="C28911" s="4" t="n">
        <v>930.00</v>
      </c>
      <c r="D28911" s="4"/>
    </row>
    <row collapsed="" customFormat="false" customHeight="1" hidden="" ht="14" outlineLevel="0" r="28912">
      <c r="A28912" s="3" t="inlineStr">
        <is>
          <t>28781</t>
        </is>
      </c>
      <c r="B28912" s="4" t="s">
        <f>=HYPERLINK("http://anyluxury.ru/shop/upakovka/podarochnye-korobki/korobka-handgrip-malaya-seraya-2114310/" , "21143.10 Коробка Handgrip, малая, серая")</f>
      </c>
      <c r="C28912" s="4" t="n">
        <v>559.00</v>
      </c>
      <c r="D28912" s="4"/>
    </row>
    <row collapsed="" customFormat="false" customHeight="1" hidden="" ht="14" outlineLevel="0" r="28913">
      <c r="A28913" s="3" t="inlineStr">
        <is>
          <t>28782</t>
        </is>
      </c>
      <c r="B28913" s="4" t="s">
        <f>=HYPERLINK("http://anyluxury.ru/shop/upakovka/podarochnye-korobki/korobka-overlap-sinyaya-1388040/" , "13880.40 Коробка Overlap, синяя")</f>
      </c>
      <c r="C28913" s="4" t="n">
        <v>409.00</v>
      </c>
      <c r="D28913" s="4"/>
    </row>
    <row collapsed="" customFormat="false" customHeight="1" hidden="" ht="14" outlineLevel="0" r="28914">
      <c r="A28914" s="3" t="inlineStr">
        <is>
          <t>28783</t>
        </is>
      </c>
      <c r="B28914" s="4" t="s">
        <f>=HYPERLINK("http://anyluxury.ru/shop/upakovka/podarochnye-korobki/korobka-overlap-chernaya-1388030/" , "13880.30 Коробка Overlap, черная")</f>
      </c>
      <c r="C28914" s="4" t="n">
        <v>409.00</v>
      </c>
      <c r="D28914" s="4"/>
    </row>
    <row collapsed="" customFormat="false" customHeight="1" hidden="" ht="14" outlineLevel="0" r="28915">
      <c r="A28915" s="3" t="inlineStr">
        <is>
          <t>28784</t>
        </is>
      </c>
      <c r="B28915" s="4" t="s">
        <f>=HYPERLINK("http://anyluxury.ru/shop/upakovka/podarochnye-korobki/korobka-overlap-seraya-1388010/" , "13880.10 Коробка Overlap, серая")</f>
      </c>
      <c r="C28915" s="4" t="n">
        <v>409.00</v>
      </c>
      <c r="D28915" s="4"/>
    </row>
    <row collapsed="" customFormat="false" customHeight="1" hidden="" ht="14" outlineLevel="0" r="28916">
      <c r="A28916" s="3" t="inlineStr">
        <is>
          <t>28785</t>
        </is>
      </c>
      <c r="B28916" s="4" t="s">
        <f>=HYPERLINK("http://anyluxury.ru/shop/upakovka/podarochnye-korobki/korobka-pryamougolnaya-jarra-serebro-1558610/" , "15586.10 Коробка прямоугольная Jarra, серебристая")</f>
      </c>
      <c r="C28916" s="4" t="n">
        <v>264.00</v>
      </c>
      <c r="D28916" s="4"/>
    </row>
    <row collapsed="" customFormat="false" customHeight="1" hidden="" ht="14" outlineLevel="0" r="28917">
      <c r="A28917" s="3" t="inlineStr">
        <is>
          <t>28786</t>
        </is>
      </c>
      <c r="B28917" s="4" t="s">
        <f>=HYPERLINK("http://anyluxury.ru/shop/upakovka/podarochnye-korobki/korobka-pryamougolnaya-jarra-belaya-1558660/" , "15586.60 Коробка прямоугольная Jarra, белая")</f>
      </c>
      <c r="C28917" s="4" t="n">
        <v>239.00</v>
      </c>
      <c r="D28917" s="4"/>
    </row>
    <row collapsed="" customFormat="false" customHeight="1" hidden="" ht="14" outlineLevel="0" r="28918">
      <c r="A28918" s="3" t="inlineStr">
        <is>
          <t>28787</t>
        </is>
      </c>
      <c r="B28918" s="4" t="s">
        <f>=HYPERLINK("http://anyluxury.ru/shop/upakovka/podarochnye-korobki/korobka-roomy-sinyaya-1309740/" , "13097.40 Коробка Roomy, синяя")</f>
      </c>
      <c r="C28918" s="4" t="n">
        <v>497.00</v>
      </c>
      <c r="D28918" s="4"/>
    </row>
    <row collapsed="" customFormat="false" customHeight="1" hidden="" ht="14" outlineLevel="0" r="28919">
      <c r="A28919" s="3" t="inlineStr">
        <is>
          <t>28788</t>
        </is>
      </c>
      <c r="B28919" s="4" t="s">
        <f>=HYPERLINK("http://anyluxury.ru/shop/upakovka/podarochnye-korobki/korobka-new-case-seraya-1104211/" , "11042.11 Коробка New Case, серая")</f>
      </c>
      <c r="C28919" s="4" t="n">
        <v>845.00</v>
      </c>
      <c r="D28919" s="4"/>
    </row>
    <row collapsed="" customFormat="false" customHeight="1" hidden="" ht="14" outlineLevel="0" r="28920">
      <c r="A28920" s="3" t="inlineStr">
        <is>
          <t>28789</t>
        </is>
      </c>
      <c r="B28920" s="4" t="s">
        <f>=HYPERLINK("http://anyluxury.ru/shop/upakovka/podarochnye-korobki/korobka-koffer-seraya-787311/" , "7873.11 Коробка Koffer, серая")</f>
      </c>
      <c r="C28920" s="4" t="n">
        <v>917.00</v>
      </c>
      <c r="D28920" s="4"/>
    </row>
    <row collapsed="" customFormat="false" customHeight="1" hidden="" ht="14" outlineLevel="0" r="28921">
      <c r="A28921" s="3" t="inlineStr">
        <is>
          <t>28790</t>
        </is>
      </c>
      <c r="B28921" s="4" t="s">
        <f>=HYPERLINK("http://anyluxury.ru/shop/upakovka/podarochnye-korobki/korobka-horizon-seraya-707311/" , "7073.11 Коробка Horizon, серая")</f>
      </c>
      <c r="C28921" s="4" t="n">
        <v>405.00</v>
      </c>
      <c r="D28921" s="4"/>
    </row>
    <row collapsed="" customFormat="false" customHeight="1" hidden="" ht="14" outlineLevel="0" r="28922">
      <c r="A28922" s="3" t="inlineStr">
        <is>
          <t>28791</t>
        </is>
      </c>
      <c r="B28922" s="4" t="s">
        <f>=HYPERLINK("http://anyluxury.ru/shop/upakovka/podarochnye-korobki/korobka-amaze-seraya-758611/" , "7586.11 Коробка Amaze, серая")</f>
      </c>
      <c r="C28922" s="4" t="n">
        <v>689.00</v>
      </c>
      <c r="D28922" s="4"/>
    </row>
    <row collapsed="" customFormat="false" customHeight="1" hidden="" ht="14" outlineLevel="0" r="28923">
      <c r="A28923" s="3" t="inlineStr">
        <is>
          <t>28792</t>
        </is>
      </c>
      <c r="B28923" s="4" t="s">
        <f>=HYPERLINK("http://anyluxury.ru/shop/upakovka/podarochnye-korobki/korobka-matter-seraya-761011/" , "7610.11 Коробка Matter, серая")</f>
      </c>
      <c r="C28923" s="4" t="n">
        <v>635.00</v>
      </c>
      <c r="D28923" s="4"/>
    </row>
    <row collapsed="" customFormat="false" customHeight="1" hidden="" ht="14" outlineLevel="0" r="28924">
      <c r="A28924" s="3" t="inlineStr">
        <is>
          <t>28793</t>
        </is>
      </c>
      <c r="B28924" s="4" t="s">
        <f>=HYPERLINK("http://anyluxury.ru/shop/upakovka/podarochnye-korobki/korobka-latern-dlya-akkumulyatora-i-ruchki-seraya-1160510/" , "11605.10 Коробка Latern для аккумулятора и ручки, серая")</f>
      </c>
      <c r="C28924" s="4" t="n">
        <v>699.00</v>
      </c>
      <c r="D28924" s="4"/>
    </row>
    <row collapsed="" customFormat="false" customHeight="1" hidden="" ht="14" outlineLevel="0" r="28925">
      <c r="A28925" s="3" t="inlineStr">
        <is>
          <t>28794</t>
        </is>
      </c>
      <c r="B28925" s="4" t="s">
        <f>=HYPERLINK("http://anyluxury.ru/shop/upakovka/podarochnye-korobki/korobka-latern-dlya-akkumulyatora-5000-mach-i-fleshki-seraya-1160610/" , "11606.10 Коробка Latern для аккумулятора 5000 мАч и флешки, серая")</f>
      </c>
      <c r="C28925" s="4" t="n">
        <v>641.00</v>
      </c>
      <c r="D28925" s="4"/>
    </row>
    <row collapsed="" customFormat="false" customHeight="1" hidden="" ht="14" outlineLevel="0" r="28926">
      <c r="A28926" s="3" t="inlineStr">
        <is>
          <t>28795</t>
        </is>
      </c>
      <c r="B28926" s="4" t="s">
        <f>=HYPERLINK("http://anyluxury.ru/shop/upakovka/podarochnye-korobki/korobka-s-oknom-lilly-kraft-2333600/" , "23336.00 Коробка с окном Lilly, крафт")</f>
      </c>
      <c r="C28926" s="4" t="n">
        <v>98.90</v>
      </c>
      <c r="D28926" s="4"/>
    </row>
    <row collapsed="" customFormat="false" customHeight="1" hidden="" ht="14" outlineLevel="0" r="28927">
      <c r="A28927" s="3" t="inlineStr">
        <is>
          <t>28796</t>
        </is>
      </c>
      <c r="B28927" s="4" t="s">
        <f>=HYPERLINK("http://anyluxury.ru/shop/upakovka/podarochnye-korobki/korobka-s-oknom-lilly-belaya-2333660/" , "23336.60 Коробка с окном Lilly, белая")</f>
      </c>
      <c r="C28927" s="4" t="n">
        <v>99.20</v>
      </c>
      <c r="D28927" s="4"/>
    </row>
    <row collapsed="" customFormat="false" customHeight="1" hidden="" ht="14" outlineLevel="0" r="28928">
      <c r="A28928" s="3" t="inlineStr">
        <is>
          <t>28797</t>
        </is>
      </c>
      <c r="B28928" s="4" t="s">
        <f>=HYPERLINK("http://anyluxury.ru/shop/upakovka/podarochnye-korobki/korobka-my-warm-box-seraya-1086011/" , "10860.11 Коробка My Warm Box, серая")</f>
      </c>
      <c r="C28928" s="4" t="n">
        <v>1424.00</v>
      </c>
      <c r="D28928" s="4"/>
    </row>
    <row collapsed="" customFormat="false" customHeight="1" hidden="" ht="14" outlineLevel="0" r="28929">
      <c r="A28929" s="3" t="inlineStr">
        <is>
          <t>28798</t>
        </is>
      </c>
      <c r="B28929" s="4" t="s">
        <f>=HYPERLINK("http://anyluxury.ru/shop/upakovka/podarochnye-korobki/korobka-sherst-belaya-1510311/" , "15103.11 Коробка Sherst, белая")</f>
      </c>
      <c r="C28929" s="4" t="n">
        <v>486.00</v>
      </c>
      <c r="D28929" s="4"/>
    </row>
    <row collapsed="" customFormat="false" customHeight="1" hidden="" ht="14" outlineLevel="0" r="28930">
      <c r="A28930" s="3" t="inlineStr">
        <is>
          <t>28799</t>
        </is>
      </c>
      <c r="B28930" s="4" t="s">
        <f>=HYPERLINK("http://anyluxury.ru/shop/upakovka/podarochnye-korobki/korobka-enorme-s-lozhementom-dlya-pleda-i-bokalov-15830/" , "15830 Коробка Enorme с ложементом для пледа и бокалов")</f>
      </c>
      <c r="C28930" s="4" t="n">
        <v>333.00</v>
      </c>
      <c r="D28930" s="4"/>
    </row>
    <row collapsed="" customFormat="false" customHeight="1" hidden="" ht="14" outlineLevel="0" r="28931">
      <c r="A28931" s="3" t="inlineStr">
        <is>
          <t>28800</t>
        </is>
      </c>
      <c r="B28931" s="4" t="s">
        <f>=HYPERLINK("http://anyluxury.ru/shop/upakovka/podarochnye-korobki/korobka-s-ruchkoy-platt-korichnevaya-2102455/" , "21024.55 Коробка с ручкой Platt, коричневая")</f>
      </c>
      <c r="C28931" s="4" t="n">
        <v>460.00</v>
      </c>
      <c r="D28931" s="4"/>
    </row>
    <row collapsed="" customFormat="false" customHeight="1" hidden="" ht="14" outlineLevel="0" r="28932">
      <c r="A28932" s="3" t="inlineStr">
        <is>
          <t>28801</t>
        </is>
      </c>
      <c r="B28932" s="4" t="s">
        <f>=HYPERLINK("http://anyluxury.ru/shop/upakovka/podarochnye-korobki/korobka-s-ruchkoy-platt-sinyaya-2102440/" , "21024.40 Коробка с ручкой Platt, синяя")</f>
      </c>
      <c r="C28932" s="4" t="n">
        <v>460.00</v>
      </c>
      <c r="D28932" s="4"/>
    </row>
    <row collapsed="" customFormat="false" customHeight="1" hidden="" ht="14" outlineLevel="0" r="28933">
      <c r="A28933" s="3" t="inlineStr">
        <is>
          <t>28802</t>
        </is>
      </c>
      <c r="B28933" s="4" t="s">
        <f>=HYPERLINK("http://anyluxury.ru/shop/upakovka/podarochnye-korobki/korobka-koffer-golubaya-787344/" , "7873.44 Коробка Koffer, голубая")</f>
      </c>
      <c r="C28933" s="4" t="n">
        <v>850.00</v>
      </c>
      <c r="D28933" s="4"/>
    </row>
    <row collapsed="" customFormat="false" customHeight="1" hidden="" ht="14" outlineLevel="0" r="28934">
      <c r="A28934" s="3" t="inlineStr">
        <is>
          <t>28803</t>
        </is>
      </c>
      <c r="B28934" s="4" t="s">
        <f>=HYPERLINK("http://anyluxury.ru/shop/upakovka/podarochnye-korobki/korobka-fence-dvustoronnyaya-1693200/" , "16932.00 Коробка Fence, двусторонняя")</f>
      </c>
      <c r="C28934" s="4" t="n">
        <v>93.90</v>
      </c>
      <c r="D28934" s="4"/>
    </row>
    <row collapsed="" customFormat="false" customHeight="1" hidden="" ht="14" outlineLevel="0" r="28935">
      <c r="A28935" s="3" t="inlineStr">
        <is>
          <t>28804</t>
        </is>
      </c>
      <c r="B28935" s="4" t="s">
        <f>=HYPERLINK("http://anyluxury.ru/shop/upakovka/podarochnye-korobki/korobka-teaser-s-okoshkom-seraya-1387910/" , "13879.10 Коробка Teaser с окном, серая")</f>
      </c>
      <c r="C28935" s="4" t="n">
        <v>558.00</v>
      </c>
      <c r="D28935" s="4"/>
    </row>
    <row collapsed="" customFormat="false" customHeight="1" hidden="" ht="14" outlineLevel="0" r="28936">
      <c r="A28936" s="3" t="inlineStr">
        <is>
          <t>28805</t>
        </is>
      </c>
      <c r="B28936" s="4" t="s">
        <f>=HYPERLINK("http://anyluxury.ru/shop/upakovka/podarochnye-korobki/korobka-teaser-s-okoshkom-belaya-1387960/" , "13879.60 Коробка Teaser с окном, белая")</f>
      </c>
      <c r="C28936" s="4" t="n">
        <v>559.00</v>
      </c>
      <c r="D28936" s="4"/>
    </row>
    <row collapsed="" customFormat="false" customHeight="1" hidden="" ht="14" outlineLevel="0" r="28937">
      <c r="A28937" s="3" t="inlineStr">
        <is>
          <t>28806</t>
        </is>
      </c>
      <c r="B28937" s="4" t="s">
        <f>=HYPERLINK("http://anyluxury.ru/shop/upakovka/podarochnye-korobki/korobka-hatte-sinyaya-1338240/" , "13382.40 Коробка круглая Hatte, синяя")</f>
      </c>
      <c r="C28937" s="4" t="n">
        <v>890.00</v>
      </c>
      <c r="D28937" s="4"/>
    </row>
    <row collapsed="" customFormat="false" customHeight="1" hidden="" ht="14" outlineLevel="0" r="28938">
      <c r="A28938" s="3" t="inlineStr">
        <is>
          <t>28807</t>
        </is>
      </c>
      <c r="B28938" s="4" t="s">
        <f>=HYPERLINK("http://anyluxury.ru/shop/upakovka/podarochnye-korobki/korobka-hatte-chernaya-1338230/" , "13382.30 Коробка круглая Hatte, черная")</f>
      </c>
      <c r="C28938" s="4" t="n">
        <v>890.00</v>
      </c>
      <c r="D28938" s="4"/>
    </row>
    <row collapsed="" customFormat="false" customHeight="1" hidden="" ht="14" outlineLevel="0" r="28939">
      <c r="A28939" s="3" t="inlineStr">
        <is>
          <t>28808</t>
        </is>
      </c>
      <c r="B28939" s="4" t="s">
        <f>=HYPERLINK("http://anyluxury.ru/shop/upakovka/podarochnye-korobki/korobka-six-malaya-kraft-2101500/" , "21015.00 Коробка Six, малая, крафт")</f>
      </c>
      <c r="C28939" s="4" t="n">
        <v>59.90</v>
      </c>
      <c r="D28939" s="4"/>
    </row>
    <row collapsed="" customFormat="false" customHeight="1" hidden="" ht="14" outlineLevel="0" r="28940">
      <c r="A28940" s="3" t="inlineStr">
        <is>
          <t>28809</t>
        </is>
      </c>
      <c r="B28940" s="4" t="s">
        <f>=HYPERLINK("http://anyluxury.ru/shop/upakovka/podarochnye-korobki/korobka-six-malaya-belaya-2101560/" , "21015.60 Коробка Six, малая, белая")</f>
      </c>
      <c r="C28940" s="4" t="n">
        <v>59.90</v>
      </c>
      <c r="D28940" s="4"/>
    </row>
    <row collapsed="" customFormat="false" customHeight="1" hidden="" ht="14" outlineLevel="0" r="28941">
      <c r="A28941" s="3" t="inlineStr">
        <is>
          <t>28810</t>
        </is>
      </c>
      <c r="B28941" s="4" t="s">
        <f>=HYPERLINK("http://anyluxury.ru/shop/upakovka/podarochnye-korobki/korobka-six-srednyaya-kraft-2101600/" , "21016.00 Коробка Six, средняя, крафт")</f>
      </c>
      <c r="C28941" s="4" t="n">
        <v>59.90</v>
      </c>
      <c r="D28941" s="4"/>
    </row>
    <row collapsed="" customFormat="false" customHeight="1" hidden="" ht="14" outlineLevel="0" r="28942">
      <c r="A28942" s="3" t="inlineStr">
        <is>
          <t>28811</t>
        </is>
      </c>
      <c r="B28942" s="4" t="s">
        <f>=HYPERLINK("http://anyluxury.ru/shop/upakovka/podarochnye-korobki/korobka-six-srednyaya-belaya-2101660/" , "21016.60 Коробка Six, средняя, белая")</f>
      </c>
      <c r="C28942" s="4" t="n">
        <v>59.90</v>
      </c>
      <c r="D28942" s="4"/>
    </row>
    <row collapsed="" customFormat="false" customHeight="1" hidden="" ht="14" outlineLevel="0" r="28943">
      <c r="A28943" s="3" t="inlineStr">
        <is>
          <t>28812</t>
        </is>
      </c>
      <c r="B28943" s="4" t="s">
        <f>=HYPERLINK("http://anyluxury.ru/shop/upakovka/podarochnye-korobki/korobka-drummer-kruglaya-s-krasnoy-lentoy-6460350/" , "64603.50 Коробка Drummer, круглая, с красной лентой")</f>
      </c>
      <c r="C28943" s="4" t="n">
        <v>529.00</v>
      </c>
      <c r="D28943" s="4"/>
    </row>
    <row collapsed="" customFormat="false" customHeight="1" hidden="" ht="14" outlineLevel="0" r="28944">
      <c r="A28944" s="3" t="inlineStr">
        <is>
          <t>28813</t>
        </is>
      </c>
      <c r="B28944" s="4" t="s">
        <f>=HYPERLINK("http://anyluxury.ru/shop/upakovka/podarochnye-korobki/korobka-vindu-bolshaya-1425900/" , "14259.00 Коробка с окном Vindu, большая")</f>
      </c>
      <c r="C28944" s="4" t="n">
        <v>115.00</v>
      </c>
      <c r="D28944" s="4"/>
    </row>
    <row collapsed="" customFormat="false" customHeight="1" hidden="" ht="14" outlineLevel="0" r="28945">
      <c r="A28945" s="3" t="inlineStr">
        <is>
          <t>28814</t>
        </is>
      </c>
      <c r="B28945" s="4" t="s">
        <f>=HYPERLINK("http://anyluxury.ru/shop/upakovka/podarochnye-korobki/upakovka-dlya-chaynoy-pari-cozy-morning-2008900/" , "20089.00 Упаковка для чайной пары Cozy Morning")</f>
      </c>
      <c r="C28945" s="4" t="n">
        <v>200.60</v>
      </c>
      <c r="D28945" s="4"/>
    </row>
    <row collapsed="" customFormat="false" customHeight="1" hidden="" ht="14" outlineLevel="0" r="28946">
      <c r="A28946" s="3" t="inlineStr">
        <is>
          <t>28815</t>
        </is>
      </c>
      <c r="B28946" s="4" t="s">
        <f>=HYPERLINK("http://anyluxury.ru/shop/upakovka/podarochnye-korobki/korobka-anima-sinyaya-1338040/" , "13380.40 Коробка Anima, синяя")</f>
      </c>
      <c r="C28946" s="4" t="n">
        <v>145.00</v>
      </c>
      <c r="D28946" s="4"/>
    </row>
    <row collapsed="" customFormat="false" customHeight="1" hidden="" ht="14" outlineLevel="0" r="28947">
      <c r="A28947" s="3" t="inlineStr">
        <is>
          <t>28816</t>
        </is>
      </c>
      <c r="B28947" s="4" t="s">
        <f>=HYPERLINK("http://anyluxury.ru/shop/upakovka/podarochnye-korobki/korobka-anima-chernaya-1338030/" , "13380.30 Коробка Anima, черная")</f>
      </c>
      <c r="C28947" s="4" t="n">
        <v>145.00</v>
      </c>
      <c r="D28947" s="4"/>
    </row>
    <row collapsed="" customFormat="false" customHeight="1" hidden="" ht="14" outlineLevel="0" r="28948">
      <c r="A28948" s="3" t="inlineStr">
        <is>
          <t>28817</t>
        </is>
      </c>
      <c r="B28948" s="4" t="s">
        <f>=HYPERLINK("http://anyluxury.ru/shop/upakovka/podarochnye-korobki/korobka-anima-krasnaya-1338050/" , "13380.50 Коробка Anima, красная")</f>
      </c>
      <c r="C28948" s="4" t="n">
        <v>145.00</v>
      </c>
      <c r="D28948" s="4"/>
    </row>
    <row collapsed="" customFormat="false" customHeight="1" hidden="" ht="14" outlineLevel="0" r="28949">
      <c r="A28949" s="3" t="inlineStr">
        <is>
          <t>28818</t>
        </is>
      </c>
      <c r="B28949" s="4" t="s">
        <f>=HYPERLINK("http://anyluxury.ru/shop/upakovka/podarochnye-korobki/korobka-anima-seraya-1338010/" , "13380.10 Коробка Anima, серая")</f>
      </c>
      <c r="C28949" s="4" t="n">
        <v>145.00</v>
      </c>
      <c r="D28949" s="4"/>
    </row>
    <row collapsed="" customFormat="false" customHeight="1" hidden="" ht="14" outlineLevel="0" r="28950">
      <c r="A28950" s="3" t="inlineStr">
        <is>
          <t>28819</t>
        </is>
      </c>
      <c r="B28950" s="4" t="s">
        <f>=HYPERLINK("http://anyluxury.ru/shop/upakovka/podarochnye-korobki/korobka-coverpack-15997/" , "15997 Коробка Coverpack")</f>
      </c>
      <c r="C28950" s="4" t="n">
        <v>69.20</v>
      </c>
      <c r="D28950" s="4"/>
    </row>
    <row collapsed="" customFormat="false" customHeight="1" hidden="" ht="14" outlineLevel="0" r="28951">
      <c r="A28951" s="3" t="inlineStr">
        <is>
          <t>28820</t>
        </is>
      </c>
      <c r="B28951" s="4" t="s">
        <f>=HYPERLINK("http://anyluxury.ru/shop/upakovka/podarochnye-korobki/korobka-s-shuberom-hard-work-malaya-7158001/" , "71580.01 Коробка с шубером Hard Work, малая")</f>
      </c>
      <c r="C28951" s="4" t="n">
        <v>161.00</v>
      </c>
      <c r="D28951" s="4"/>
    </row>
    <row collapsed="" customFormat="false" customHeight="1" hidden="" ht="14" outlineLevel="0" r="28952">
      <c r="A28952" s="3" t="inlineStr">
        <is>
          <t>28821</t>
        </is>
      </c>
      <c r="B28952" s="4" t="s">
        <f>=HYPERLINK("http://anyluxury.ru/shop/upakovka/podarochnye-korobki/korobka-s-shuberom-hard-work-srednyaya-7158002/" , "71580.02 Коробка с шубером Hard Work, средняя")</f>
      </c>
      <c r="C28952" s="4" t="n">
        <v>170.40</v>
      </c>
      <c r="D28952" s="4"/>
    </row>
    <row collapsed="" customFormat="false" customHeight="1" hidden="" ht="14" outlineLevel="0" r="28953">
      <c r="A28953" s="3" t="inlineStr">
        <is>
          <t>28822</t>
        </is>
      </c>
      <c r="B28953" s="4" t="s">
        <f>=HYPERLINK("http://anyluxury.ru/shop/upakovka/podarochnye-korobki/korobka-slender-bolshaya-seraya-752011/" , "7520.11 Коробка Slender, большая, серая")</f>
      </c>
      <c r="C28953" s="4" t="n">
        <v>279.00</v>
      </c>
      <c r="D28953" s="4"/>
    </row>
    <row collapsed="" customFormat="false" customHeight="1" hidden="" ht="14" outlineLevel="0" r="28954">
      <c r="A28954" s="3" t="inlineStr">
        <is>
          <t>28823</t>
        </is>
      </c>
      <c r="B28954" s="4" t="s">
        <f>=HYPERLINK("http://anyluxury.ru/shop/upakovka/podarochnye-korobki/korobka-case-podarochnaya-golubaya-114244/" , "1142.44 Коробка Case, подарочная, голубая")</f>
      </c>
      <c r="C28954" s="4" t="n">
        <v>780.00</v>
      </c>
      <c r="D28954" s="4"/>
    </row>
    <row collapsed="" customFormat="false" customHeight="1" hidden="" ht="14" outlineLevel="0" r="28955">
      <c r="A28955" s="3" t="inlineStr">
        <is>
          <t>28824</t>
        </is>
      </c>
      <c r="B28955" s="4" t="s">
        <f>=HYPERLINK("http://anyluxury.ru/shop/upakovka/podarochnye-korobki/korobka-flip-deep-golubaya-1058544/" , "10585.44 Коробка Flip Deep, голубая")</f>
      </c>
      <c r="C28955" s="4" t="n">
        <v>596.00</v>
      </c>
      <c r="D28955" s="4"/>
    </row>
    <row collapsed="" customFormat="false" customHeight="1" hidden="" ht="14" outlineLevel="0" r="28956">
      <c r="A28956" s="3" t="inlineStr">
        <is>
          <t>28825</t>
        </is>
      </c>
      <c r="B28956" s="4" t="s">
        <f>=HYPERLINK("http://anyluxury.ru/shop/upakovka/podarochnye-korobki/korobka-quadra-golubaya-1267944/" , "12679.44 Коробка Quadra, голубая")</f>
      </c>
      <c r="C28956" s="4" t="n">
        <v>750.00</v>
      </c>
      <c r="D28956" s="4"/>
    </row>
    <row collapsed="" customFormat="false" customHeight="1" hidden="" ht="14" outlineLevel="0" r="28957">
      <c r="A28957" s="3" t="inlineStr">
        <is>
          <t>28826</t>
        </is>
      </c>
      <c r="B28957" s="4" t="s">
        <f>=HYPERLINK("http://anyluxury.ru/shop/upakovka/podarochnye-korobki/korobka-quadra-krasnaya-1267950/" , "12679.50 Коробка Quadra, красная")</f>
      </c>
      <c r="C28957" s="4" t="n">
        <v>805.00</v>
      </c>
      <c r="D28957" s="4"/>
    </row>
    <row collapsed="" customFormat="false" customHeight="1" hidden="" ht="14" outlineLevel="0" r="28958">
      <c r="A28958" s="3" t="inlineStr">
        <is>
          <t>28827</t>
        </is>
      </c>
      <c r="B28958" s="4" t="s">
        <f>=HYPERLINK("http://anyluxury.ru/shop/upakovka/podarochnye-korobki/korobka-koffer-krasnaya-787350/" , "7873.50 Коробка Koffer, красная")</f>
      </c>
      <c r="C28958" s="4" t="n">
        <v>917.00</v>
      </c>
      <c r="D28958" s="4"/>
    </row>
    <row collapsed="" customFormat="false" customHeight="1" hidden="" ht="14" outlineLevel="0" r="28959">
      <c r="A28959" s="3" t="inlineStr">
        <is>
          <t>28828</t>
        </is>
      </c>
      <c r="B28959" s="4" t="s">
        <f>=HYPERLINK("http://anyluxury.ru/shop/upakovka/podarochnye-korobki/korobka-amaze-golubaya-758644/" , "7586.44 Коробка Amaze, голубая")</f>
      </c>
      <c r="C28959" s="4" t="n">
        <v>686.00</v>
      </c>
      <c r="D28959" s="4"/>
    </row>
    <row collapsed="" customFormat="false" customHeight="1" hidden="" ht="14" outlineLevel="0" r="28960">
      <c r="A28960" s="3" t="inlineStr">
        <is>
          <t>28829</t>
        </is>
      </c>
      <c r="B28960" s="4" t="s">
        <f>=HYPERLINK("http://anyluxury.ru/shop/upakovka/podarochnye-korobki/korobka-snezhnost-13952/" , "13952 Коробка «Снежность»")</f>
      </c>
      <c r="C28960" s="4" t="n">
        <v>1192.00</v>
      </c>
      <c r="D28960" s="4"/>
    </row>
    <row collapsed="" customFormat="false" customHeight="1" hidden="" ht="14" outlineLevel="0" r="28961">
      <c r="A28961" s="3" t="inlineStr">
        <is>
          <t>28830</t>
        </is>
      </c>
      <c r="B28961" s="4" t="s">
        <f>=HYPERLINK("http://anyluxury.ru/shop/upakovka/podarochnye-korobki/korobkapenal-shift-bolshaya-seraya-1295210/" , "12952.10 Коробка-пенал Shift, большая, серая")</f>
      </c>
      <c r="C28961" s="4" t="n">
        <v>145.00</v>
      </c>
      <c r="D28961" s="4"/>
    </row>
    <row collapsed="" customFormat="false" customHeight="1" hidden="" ht="14" outlineLevel="0" r="28962">
      <c r="A28962" s="3" t="inlineStr">
        <is>
          <t>28831</t>
        </is>
      </c>
      <c r="B28962" s="4" t="s">
        <f>=HYPERLINK("http://anyluxury.ru/shop/upakovka/podarochnye-korobki/korobkapenal-shift-malaya-seraya-1295310/" , "12953.10 Коробка-пенал Shift, малая, серая")</f>
      </c>
      <c r="C28962" s="4" t="n">
        <v>119.00</v>
      </c>
      <c r="D28962" s="4"/>
    </row>
    <row collapsed="" customFormat="false" customHeight="1" hidden="" ht="14" outlineLevel="0" r="28963">
      <c r="A28963" s="3" t="inlineStr">
        <is>
          <t>28832</t>
        </is>
      </c>
      <c r="B28963" s="4" t="s">
        <f>=HYPERLINK("http://anyluxury.ru/shop/upakovka/podarochnye-korobki/korobka-enorme-1395301/" , "13953.01 Коробка Enorme")</f>
      </c>
      <c r="C28963" s="4" t="n">
        <v>238.00</v>
      </c>
      <c r="D28963" s="4"/>
    </row>
    <row collapsed="" customFormat="false" customHeight="1" hidden="" ht="14" outlineLevel="0" r="28964">
      <c r="A28964" s="3" t="inlineStr">
        <is>
          <t>28833</t>
        </is>
      </c>
      <c r="B28964" s="4" t="s">
        <f>=HYPERLINK("http://anyluxury.ru/shop/upakovka/podarochnye-korobki/korobka-pack-hack-seraya-1355810/" , "13558.10 Коробка Pack Hack, серая")</f>
      </c>
      <c r="C28964" s="4" t="n">
        <v>243.00</v>
      </c>
      <c r="D28964" s="4"/>
    </row>
    <row collapsed="" customFormat="false" customHeight="1" hidden="" ht="14" outlineLevel="0" r="28965">
      <c r="A28965" s="3" t="inlineStr">
        <is>
          <t>28834</t>
        </is>
      </c>
      <c r="B28965" s="4" t="s">
        <f>=HYPERLINK("http://anyluxury.ru/shop/upakovka/podarochnye-korobki/korobka-pack-hack-chernaya-1355830/" , "13558.30 Коробка Pack Hack, черная")</f>
      </c>
      <c r="C28965" s="4" t="n">
        <v>243.00</v>
      </c>
      <c r="D28965" s="4"/>
    </row>
    <row collapsed="" customFormat="false" customHeight="1" hidden="" ht="14" outlineLevel="0" r="28966">
      <c r="A28966" s="3" t="inlineStr">
        <is>
          <t>28835</t>
        </is>
      </c>
      <c r="B28966" s="4" t="s">
        <f>=HYPERLINK("http://anyluxury.ru/shop/upakovka/podarochnye-korobki/korobka-craft-medium-1420300/" , "14203.00 Коробка Craft Medium")</f>
      </c>
      <c r="C28966" s="4" t="n">
        <v>72.90</v>
      </c>
      <c r="D28966" s="4"/>
    </row>
    <row collapsed="" customFormat="false" customHeight="1" hidden="" ht="14" outlineLevel="0" r="28967">
      <c r="A28967" s="3" t="inlineStr">
        <is>
          <t>28836</t>
        </is>
      </c>
      <c r="B28967" s="4" t="s">
        <f>=HYPERLINK("http://anyluxury.ru/shop/upakovka/podarochnye-korobki/korobka-thalia-1323260/" , "13232.60 Коробка Thalia")</f>
      </c>
      <c r="C28967" s="4" t="n">
        <v>155.00</v>
      </c>
      <c r="D28967" s="4"/>
    </row>
    <row collapsed="" customFormat="false" customHeight="1" hidden="" ht="14" outlineLevel="0" r="28968">
      <c r="A28968" s="3" t="inlineStr">
        <is>
          <t>28837</t>
        </is>
      </c>
      <c r="B28968" s="4" t="s">
        <f>=HYPERLINK("http://anyluxury.ru/shop/upakovka/podarochnye-korobki/korobka-dlya-chaynoy-pari-clio-2009000/" , "20090.00 Коробка для чайной пары Clio")</f>
      </c>
      <c r="C28968" s="4" t="n">
        <v>221.90</v>
      </c>
      <c r="D28968" s="4"/>
    </row>
    <row collapsed="" customFormat="false" customHeight="1" hidden="" ht="14" outlineLevel="0" r="28969">
      <c r="A28969" s="3" t="inlineStr">
        <is>
          <t>28838</t>
        </is>
      </c>
      <c r="B28969" s="4" t="s">
        <f>=HYPERLINK("http://anyluxury.ru/shop/upakovka/podarochnye-korobki/korobka-august-1395660/" , "13956.60 Коробка August")</f>
      </c>
      <c r="C28969" s="4" t="n">
        <v>719.00</v>
      </c>
      <c r="D28969" s="4"/>
    </row>
    <row collapsed="" customFormat="false" customHeight="1" hidden="" ht="14" outlineLevel="0" r="28970">
      <c r="A28970" s="3" t="inlineStr">
        <is>
          <t>28839</t>
        </is>
      </c>
      <c r="B28970" s="4" t="s">
        <f>=HYPERLINK("http://anyluxury.ru/shop/upakovka/podarochnye-korobki/korobka-generator-pozhelaniy-zelenaya-1403790/" , "14037.90 Коробка «Генератор пожеланий», зеленая")</f>
      </c>
      <c r="C28970" s="4" t="n">
        <v>519.00</v>
      </c>
      <c r="D28970" s="4"/>
    </row>
    <row collapsed="" customFormat="false" customHeight="1" hidden="" ht="14" outlineLevel="0" r="28971">
      <c r="A28971" s="3" t="inlineStr">
        <is>
          <t>28840</t>
        </is>
      </c>
      <c r="B28971" s="4" t="s">
        <f>=HYPERLINK("http://anyluxury.ru/shop/upakovka/podarochnye-korobki/korobka-generator-pozhelaniy-krasnaya-1403750/" , "14037.50 Коробка «Генератор пожеланий», красная")</f>
      </c>
      <c r="C28971" s="4" t="n">
        <v>519.00</v>
      </c>
      <c r="D28971" s="4"/>
    </row>
    <row collapsed="" customFormat="false" customHeight="1" hidden="" ht="14" outlineLevel="0" r="28972">
      <c r="A28972" s="3" t="inlineStr">
        <is>
          <t>28841</t>
        </is>
      </c>
      <c r="B28972" s="4" t="s">
        <f>=HYPERLINK("http://anyluxury.ru/shop/upakovka/podarochnye-korobki/korobka-good-luck-sinyaya-1271440/" , "12714.40 Коробка Good Luck, синяя")</f>
      </c>
      <c r="C28972" s="4" t="n">
        <v>190.00</v>
      </c>
      <c r="D28972" s="4"/>
    </row>
    <row collapsed="" customFormat="false" customHeight="1" hidden="" ht="14" outlineLevel="0" r="28973">
      <c r="A28973" s="3" t="inlineStr">
        <is>
          <t>28842</t>
        </is>
      </c>
      <c r="B28973" s="4" t="s">
        <f>=HYPERLINK("http://anyluxury.ru/shop/upakovka/podarochnye-korobki/korobka-novogodnyaya-istoriya-belaya-1413760/" , "14137.60 Коробка «Новогодняя история», белая")</f>
      </c>
      <c r="C28973" s="4" t="n">
        <v>669.00</v>
      </c>
      <c r="D28973" s="4"/>
    </row>
    <row collapsed="" customFormat="false" customHeight="1" hidden="" ht="14" outlineLevel="0" r="28974">
      <c r="A28974" s="3" t="inlineStr">
        <is>
          <t>28843</t>
        </is>
      </c>
      <c r="B28974" s="4" t="s">
        <f>=HYPERLINK("http://anyluxury.ru/shop/upakovka/podarochnye-korobki/korobka-novogodnyaya-istoriya-serebristaya-1413710/" , "14137.10 Коробка «Новогодняя история», серебристая")</f>
      </c>
      <c r="C28974" s="4" t="n">
        <v>669.00</v>
      </c>
      <c r="D28974" s="4"/>
    </row>
    <row collapsed="" customFormat="false" customHeight="1" hidden="" ht="14" outlineLevel="0" r="28975">
      <c r="A28975" s="3" t="inlineStr">
        <is>
          <t>28844</t>
        </is>
      </c>
      <c r="B28975" s="4" t="s">
        <f>=HYPERLINK("http://anyluxury.ru/shop/upakovka/podarochnye-korobki/korobka-silk-serebristaya-1308010/" , "13080.10 Коробка Silk, серебристая")</f>
      </c>
      <c r="C28975" s="4" t="n">
        <v>396.00</v>
      </c>
      <c r="D28975" s="4"/>
    </row>
    <row collapsed="" customFormat="false" customHeight="1" hidden="" ht="14" outlineLevel="0" r="28976">
      <c r="A28976" s="3" t="inlineStr">
        <is>
          <t>28845</t>
        </is>
      </c>
      <c r="B28976" s="4" t="s">
        <f>=HYPERLINK("http://anyluxury.ru/shop/upakovka/podarochnye-korobki/korobka-silk-chernaya-1308030/" , "13080.30 Коробка Silk, черная")</f>
      </c>
      <c r="C28976" s="4" t="n">
        <v>396.00</v>
      </c>
      <c r="D28976" s="4"/>
    </row>
    <row collapsed="" customFormat="false" customHeight="1" hidden="" ht="14" outlineLevel="0" r="28977">
      <c r="A28977" s="3" t="inlineStr">
        <is>
          <t>28846</t>
        </is>
      </c>
      <c r="B28977" s="4" t="s">
        <f>=HYPERLINK("http://anyluxury.ru/shop/upakovka/podarochnye-korobki/korobka-slender-malaya-seraya-751011/" , "7510.11 Коробка Slender, малая, серая")</f>
      </c>
      <c r="C28977" s="4" t="n">
        <v>262.00</v>
      </c>
      <c r="D28977" s="4"/>
    </row>
    <row collapsed="" customFormat="false" customHeight="1" hidden="" ht="14" outlineLevel="0" r="28978">
      <c r="A28978" s="3" t="inlineStr">
        <is>
          <t>28847</t>
        </is>
      </c>
      <c r="B28978" s="4" t="s">
        <f>=HYPERLINK("http://anyluxury.ru/shop/upakovka/podarochnye-korobki/korobka-predvkushenie-volshebstva-s-lozhementom-1413560/" , "14135.60 Коробка «Предвкушение волшебства» с ложементом")</f>
      </c>
      <c r="C28978" s="4" t="n">
        <v>618.20</v>
      </c>
      <c r="D28978" s="4"/>
    </row>
    <row collapsed="" customFormat="false" customHeight="1" hidden="" ht="14" outlineLevel="0" r="28979">
      <c r="A28979" s="3" t="inlineStr">
        <is>
          <t>28848</t>
        </is>
      </c>
      <c r="B28979" s="4" t="s">
        <f>=HYPERLINK("http://anyluxury.ru/shop/upakovka/podarochnye-korobki/korobka-reason-belaya-706760/" , "7067.60 Коробка Reason, белая")</f>
      </c>
      <c r="C28979" s="4" t="n">
        <v>374.00</v>
      </c>
      <c r="D28979" s="4"/>
    </row>
    <row collapsed="" customFormat="false" customHeight="1" hidden="" ht="14" outlineLevel="0" r="28980">
      <c r="A28980" s="3" t="inlineStr">
        <is>
          <t>28849</t>
        </is>
      </c>
      <c r="B28980" s="4" t="s">
        <f>=HYPERLINK("http://anyluxury.ru/shop/upakovka/podarochnye-korobki/korobka-kubus-chernaya-1393130/" , "13931.30 Коробка Kubus, черная")</f>
      </c>
      <c r="C28980" s="4" t="n">
        <v>433.00</v>
      </c>
      <c r="D28980" s="4"/>
    </row>
    <row collapsed="" customFormat="false" customHeight="1" hidden="" ht="14" outlineLevel="0" r="28981">
      <c r="A28981" s="3" t="inlineStr">
        <is>
          <t>28850</t>
        </is>
      </c>
      <c r="B28981" s="4" t="s">
        <f>=HYPERLINK("http://anyluxury.ru/shop/upakovka/podarochnye-korobki/korobka-kubus-seraya-1393110/" , "13931.10 Коробка Kubus, серая")</f>
      </c>
      <c r="C28981" s="4" t="n">
        <v>433.00</v>
      </c>
      <c r="D28981" s="4"/>
    </row>
    <row collapsed="" customFormat="false" customHeight="1" hidden="" ht="14" outlineLevel="0" r="28982">
      <c r="A28982" s="3" t="inlineStr">
        <is>
          <t>28851</t>
        </is>
      </c>
      <c r="B28982" s="4" t="s">
        <f>=HYPERLINK("http://anyluxury.ru/shop/upakovka/podarochnye-korobki/korobka-cube-s-seraya-1409410/" , "14094.10 Коробка Cube, S, серая")</f>
      </c>
      <c r="C28982" s="4" t="n">
        <v>432.00</v>
      </c>
      <c r="D28982" s="4"/>
    </row>
    <row collapsed="" customFormat="false" customHeight="1" hidden="" ht="14" outlineLevel="0" r="28983">
      <c r="A28983" s="3" t="inlineStr">
        <is>
          <t>28852</t>
        </is>
      </c>
      <c r="B28983" s="4" t="s">
        <f>=HYPERLINK("http://anyluxury.ru/shop/upakovka/podarochnye-korobki/korobka-cube-s-chernaya-1409430/" , "14094.30 Коробка Cube, S, черная")</f>
      </c>
      <c r="C28983" s="4" t="n">
        <v>432.00</v>
      </c>
      <c r="D28983" s="4"/>
    </row>
    <row collapsed="" customFormat="false" customHeight="1" hidden="" ht="14" outlineLevel="0" r="28984">
      <c r="A28984" s="3" t="inlineStr">
        <is>
          <t>28853</t>
        </is>
      </c>
      <c r="B28984" s="4" t="s">
        <f>=HYPERLINK("http://anyluxury.ru/shop/upakovka/podarochnye-korobki/korobka-cube-s-sinyaya-1409440/" , "14094.40 Коробка Cube, S, синяя")</f>
      </c>
      <c r="C28984" s="4" t="n">
        <v>432.00</v>
      </c>
      <c r="D28984" s="4"/>
    </row>
    <row collapsed="" customFormat="false" customHeight="1" hidden="" ht="14" outlineLevel="0" r="28985">
      <c r="A28985" s="3" t="inlineStr">
        <is>
          <t>28854</t>
        </is>
      </c>
      <c r="B28985" s="4" t="s">
        <f>=HYPERLINK("http://anyluxury.ru/shop/upakovka/podarochnye-korobki/korobka-cube-s-golubaya-1409444/" , "14094.44 Коробка Cube, S, голубая")</f>
      </c>
      <c r="C28985" s="4" t="n">
        <v>432.00</v>
      </c>
      <c r="D28985" s="4"/>
    </row>
    <row collapsed="" customFormat="false" customHeight="1" hidden="" ht="14" outlineLevel="0" r="28986">
      <c r="A28986" s="3" t="inlineStr">
        <is>
          <t>28855</t>
        </is>
      </c>
      <c r="B28986" s="4" t="s">
        <f>=HYPERLINK("http://anyluxury.ru/shop/upakovka/podarochnye-korobki/korobka-cube-s-krasnaya-1409450/" , "14094.50 Коробка Cube, S, красная")</f>
      </c>
      <c r="C28986" s="4" t="n">
        <v>432.00</v>
      </c>
      <c r="D28986" s="4"/>
    </row>
    <row collapsed="" customFormat="false" customHeight="1" hidden="" ht="14" outlineLevel="0" r="28987">
      <c r="A28987" s="3" t="inlineStr">
        <is>
          <t>28856</t>
        </is>
      </c>
      <c r="B28987" s="4" t="s">
        <f>=HYPERLINK("http://anyluxury.ru/shop/upakovka/podarochnye-korobki/korobka-cube-m-chernaya-1409530/" , "14095.30 Коробка Cube, M, черная")</f>
      </c>
      <c r="C28987" s="4" t="n">
        <v>620.00</v>
      </c>
      <c r="D28987" s="4"/>
    </row>
    <row collapsed="" customFormat="false" customHeight="1" hidden="" ht="14" outlineLevel="0" r="28988">
      <c r="A28988" s="3" t="inlineStr">
        <is>
          <t>28857</t>
        </is>
      </c>
      <c r="B28988" s="4" t="s">
        <f>=HYPERLINK("http://anyluxury.ru/shop/upakovka/podarochnye-korobki/korobka-cube-m-sinyaya-1409540/" , "14095.40 Коробка Cube, M, синяя")</f>
      </c>
      <c r="C28988" s="4" t="n">
        <v>620.00</v>
      </c>
      <c r="D28988" s="4"/>
    </row>
    <row collapsed="" customFormat="false" customHeight="1" hidden="" ht="14" outlineLevel="0" r="28989">
      <c r="A28989" s="3" t="inlineStr">
        <is>
          <t>28858</t>
        </is>
      </c>
      <c r="B28989" s="4" t="s">
        <f>=HYPERLINK("http://anyluxury.ru/shop/upakovka/podarochnye-korobki/korobka-cube-m-golubaya-1409544/" , "14095.44 Коробка Cube, M, голубая")</f>
      </c>
      <c r="C28989" s="4" t="n">
        <v>620.00</v>
      </c>
      <c r="D28989" s="4"/>
    </row>
    <row collapsed="" customFormat="false" customHeight="1" hidden="" ht="14" outlineLevel="0" r="28990">
      <c r="A28990" s="3" t="inlineStr">
        <is>
          <t>28859</t>
        </is>
      </c>
      <c r="B28990" s="4" t="s">
        <f>=HYPERLINK("http://anyluxury.ru/shop/upakovka/podarochnye-korobki/korobka-cube-m-krasnaya-1409550/" , "14095.50 Коробка Cube, M, красная")</f>
      </c>
      <c r="C28990" s="4" t="n">
        <v>620.00</v>
      </c>
      <c r="D28990" s="4"/>
    </row>
    <row collapsed="" customFormat="false" customHeight="1" hidden="" ht="14" outlineLevel="0" r="28991">
      <c r="A28991" s="3" t="inlineStr">
        <is>
          <t>28860</t>
        </is>
      </c>
      <c r="B28991" s="4" t="s">
        <f>=HYPERLINK("http://anyluxury.ru/shop/upakovka/podarochnye-korobki/korobka-cube-l-seraya-1409610/" , "14096.10 Коробка Cube, L, серая")</f>
      </c>
      <c r="C28991" s="4" t="n">
        <v>679.00</v>
      </c>
      <c r="D28991" s="4"/>
    </row>
    <row collapsed="" customFormat="false" customHeight="1" hidden="" ht="14" outlineLevel="0" r="28992">
      <c r="A28992" s="3" t="inlineStr">
        <is>
          <t>28861</t>
        </is>
      </c>
      <c r="B28992" s="4" t="s">
        <f>=HYPERLINK("http://anyluxury.ru/shop/upakovka/podarochnye-korobki/korobka-cube-l-chernaya-1409630/" , "14096.30 Коробка Cube, L, черная")</f>
      </c>
      <c r="C28992" s="4" t="n">
        <v>679.00</v>
      </c>
      <c r="D28992" s="4"/>
    </row>
    <row collapsed="" customFormat="false" customHeight="1" hidden="" ht="14" outlineLevel="0" r="28993">
      <c r="A28993" s="3" t="inlineStr">
        <is>
          <t>28862</t>
        </is>
      </c>
      <c r="B28993" s="4" t="s">
        <f>=HYPERLINK("http://anyluxury.ru/shop/upakovka/podarochnye-korobki/korobka-cube-l-sinyaya-1409640/" , "14096.40 Коробка Cube, L, синяя")</f>
      </c>
      <c r="C28993" s="4" t="n">
        <v>679.00</v>
      </c>
      <c r="D28993" s="4"/>
    </row>
    <row collapsed="" customFormat="false" customHeight="1" hidden="" ht="14" outlineLevel="0" r="28994">
      <c r="A28994" s="3" t="inlineStr">
        <is>
          <t>28863</t>
        </is>
      </c>
      <c r="B28994" s="4" t="s">
        <f>=HYPERLINK("http://anyluxury.ru/shop/upakovka/podarochnye-korobki/korobka-cube-l-golubaya-1409644/" , "14096.44 Коробка Cube, L, голубая")</f>
      </c>
      <c r="C28994" s="4" t="n">
        <v>679.00</v>
      </c>
      <c r="D28994" s="4"/>
    </row>
    <row collapsed="" customFormat="false" customHeight="1" hidden="" ht="14" outlineLevel="0" r="28995">
      <c r="A28995" s="3" t="inlineStr">
        <is>
          <t>28864</t>
        </is>
      </c>
      <c r="B28995" s="4" t="s">
        <f>=HYPERLINK("http://anyluxury.ru/shop/upakovka/podarochnye-korobki/korobka-cube-l-krasnaya-1409650/" , "14096.50 Коробка Cube, L, красная")</f>
      </c>
      <c r="C28995" s="4" t="n">
        <v>679.00</v>
      </c>
      <c r="D28995" s="4"/>
    </row>
    <row collapsed="" customFormat="false" customHeight="1" hidden="" ht="14" outlineLevel="0" r="28996">
      <c r="A28996" s="3" t="inlineStr">
        <is>
          <t>28865</t>
        </is>
      </c>
      <c r="B28996" s="4" t="s">
        <f>=HYPERLINK("http://anyluxury.ru/shop/upakovka/podarochnye-korobki/korobka-cube-s-belaya-1409460/" , "14094.60 Коробка Cube, S, белая")</f>
      </c>
      <c r="C28996" s="4" t="n">
        <v>432.00</v>
      </c>
      <c r="D28996" s="4"/>
    </row>
    <row collapsed="" customFormat="false" customHeight="1" hidden="" ht="14" outlineLevel="0" r="28997">
      <c r="A28997" s="3" t="inlineStr">
        <is>
          <t>28866</t>
        </is>
      </c>
      <c r="B28997" s="4" t="s">
        <f>=HYPERLINK("http://anyluxury.ru/shop/upakovka/podarochnye-korobki/korobka-cube-m-belaya-1409560/" , "14095.60 Коробка Cube, M, белая")</f>
      </c>
      <c r="C28997" s="4" t="n">
        <v>620.00</v>
      </c>
      <c r="D28997" s="4"/>
    </row>
    <row collapsed="" customFormat="false" customHeight="1" hidden="" ht="14" outlineLevel="0" r="28998">
      <c r="A28998" s="3" t="inlineStr">
        <is>
          <t>28867</t>
        </is>
      </c>
      <c r="B28998" s="4" t="s">
        <f>=HYPERLINK("http://anyluxury.ru/shop/upakovka/podarochnye-korobki/korobka-cube-l-belaya-1409660/" , "14096.60 Коробка Cube, L, белая")</f>
      </c>
      <c r="C28998" s="4" t="n">
        <v>679.00</v>
      </c>
      <c r="D28998" s="4"/>
    </row>
    <row collapsed="" customFormat="false" customHeight="1" hidden="" ht="14" outlineLevel="0" r="28999">
      <c r="A28999" s="3" t="inlineStr">
        <is>
          <t>28868</t>
        </is>
      </c>
      <c r="B28999" s="4" t="s">
        <f>=HYPERLINK("http://anyluxury.ru/shop/upakovka/podarochnye-korobki/korobka-dlya-kruzhki-corky-kraft-1433500/" , "14335.00 Коробка для кружки Corky, крафт")</f>
      </c>
      <c r="C28999" s="4" t="n">
        <v>34.30</v>
      </c>
      <c r="D28999" s="4"/>
    </row>
    <row collapsed="" customFormat="false" customHeight="1" hidden="" ht="14" outlineLevel="0" r="29000">
      <c r="A29000" s="3" t="inlineStr">
        <is>
          <t>28869</t>
        </is>
      </c>
      <c r="B29000" s="4" t="s">
        <f>=HYPERLINK("http://anyluxury.ru/shop/upakovka/podarochnye-korobki/korobka-dlya-kruzhki-corky-belaya-1433560/" , "14335.60 Коробка для кружки Corky, белая")</f>
      </c>
      <c r="C29000" s="4" t="n">
        <v>34.30</v>
      </c>
      <c r="D29000" s="4"/>
    </row>
    <row collapsed="" customFormat="false" customHeight="1" hidden="" ht="14" outlineLevel="0" r="29001">
      <c r="A29001" s="3" t="inlineStr">
        <is>
          <t>28870</t>
        </is>
      </c>
      <c r="B29001" s="4" t="s">
        <f>=HYPERLINK("http://anyluxury.ru/shop/upakovka/podarochnye-korobki/korobka-big-case-seraya-2104210/" , "21042.10 Коробка Big Case, серая")</f>
      </c>
      <c r="C29001" s="4" t="n">
        <v>999.00</v>
      </c>
      <c r="D29001" s="4"/>
    </row>
    <row collapsed="" customFormat="false" customHeight="1" hidden="" ht="14" outlineLevel="0" r="29002">
      <c r="A29002" s="3" t="inlineStr">
        <is>
          <t>28871</t>
        </is>
      </c>
      <c r="B29002" s="4" t="s">
        <f>=HYPERLINK("http://anyluxury.ru/shop/upakovka/podarochnye-korobki/korobka-big-casechernaya-2104230/" , "21042.30 Коробка Big Case,черная")</f>
      </c>
      <c r="C29002" s="4" t="n">
        <v>999.00</v>
      </c>
      <c r="D29002" s="4"/>
    </row>
    <row collapsed="" customFormat="false" customHeight="1" hidden="" ht="14" outlineLevel="0" r="29003">
      <c r="A29003" s="3" t="inlineStr">
        <is>
          <t>28872</t>
        </is>
      </c>
      <c r="B29003" s="4" t="s">
        <f>=HYPERLINK("http://anyluxury.ru/shop/upakovka/podarochnye-korobki/korobka-big-case-sinyaya-2104240/" , "21042.40 Коробка Big Case, темно-синяя")</f>
      </c>
      <c r="C29003" s="4" t="n">
        <v>999.00</v>
      </c>
      <c r="D29003" s="4"/>
    </row>
    <row collapsed="" customFormat="false" customHeight="1" hidden="" ht="14" outlineLevel="0" r="29004">
      <c r="A29004" s="3" t="inlineStr">
        <is>
          <t>28873</t>
        </is>
      </c>
      <c r="B29004" s="4" t="s">
        <f>=HYPERLINK("http://anyluxury.ru/shop/upakovka/podarochnye-korobki/korobka-big-case-golubaya-2104244/" , "21042.44 Коробка Big Case, голубая")</f>
      </c>
      <c r="C29004" s="4" t="n">
        <v>999.00</v>
      </c>
      <c r="D29004" s="4"/>
    </row>
    <row collapsed="" customFormat="false" customHeight="1" hidden="" ht="14" outlineLevel="0" r="29005">
      <c r="A29005" s="3" t="inlineStr">
        <is>
          <t>28874</t>
        </is>
      </c>
      <c r="B29005" s="4" t="s">
        <f>=HYPERLINK("http://anyluxury.ru/shop/upakovka/podarochnye-korobki/korobka-big-case-krasnaya-2104250/" , "21042.50 Коробка Big Case, красная")</f>
      </c>
      <c r="C29005" s="4" t="n">
        <v>999.00</v>
      </c>
      <c r="D29005" s="4"/>
    </row>
    <row collapsed="" customFormat="false" customHeight="1" hidden="" ht="14" outlineLevel="0" r="29006">
      <c r="A29006" s="3" t="inlineStr">
        <is>
          <t>28875</t>
        </is>
      </c>
      <c r="B29006" s="4" t="s">
        <f>=HYPERLINK("http://anyluxury.ru/shop/upakovka/podarochnye-korobki/korobka-big-case-belaya-2104260/" , "21042.60 Коробка Big Case, белая")</f>
      </c>
      <c r="C29006" s="4" t="n">
        <v>999.00</v>
      </c>
      <c r="D29006" s="4"/>
    </row>
    <row collapsed="" customFormat="false" customHeight="1" hidden="" ht="14" outlineLevel="0" r="29007">
      <c r="A29007" s="3" t="inlineStr">
        <is>
          <t>28876</t>
        </is>
      </c>
      <c r="B29007" s="4" t="s">
        <f>=HYPERLINK("http://anyluxury.ru/shop/upakovka/podarochnye-korobki/korobka-pod-kruzhku-best-noon-belaya-1733560/" , "17335.60 Коробка под кружку Best Noon, белая")</f>
      </c>
      <c r="C29007" s="4" t="n">
        <v>34.50</v>
      </c>
      <c r="D29007" s="4"/>
    </row>
    <row collapsed="" customFormat="false" customHeight="1" hidden="" ht="14" outlineLevel="0" r="29008">
      <c r="A29008" s="3" t="inlineStr">
        <is>
          <t>28877</t>
        </is>
      </c>
      <c r="B29008" s="4" t="s">
        <f>=HYPERLINK("http://anyluxury.ru/shop/upakovka/podarochnye-korobki/korobka-pod-kruzhku-best-noon-kraft-1733500/" , "17335.00 Коробка под кружку Best Noon, крафт")</f>
      </c>
      <c r="C29008" s="4" t="n">
        <v>34.50</v>
      </c>
      <c r="D29008" s="4"/>
    </row>
    <row collapsed="" customFormat="false" customHeight="1" hidden="" ht="14" outlineLevel="0" r="29009">
      <c r="A29009" s="3" t="inlineStr">
        <is>
          <t>28878</t>
        </is>
      </c>
      <c r="B29009" s="4" t="s">
        <f>=HYPERLINK("http://anyluxury.ru/shop/upakovka/podarochnye-korobki/korobka-brightside-belaya-1039060/" , "10390.60 Коробка BrightSide, белая")</f>
      </c>
      <c r="C29009" s="4" t="n">
        <v>635.00</v>
      </c>
      <c r="D29009" s="4"/>
    </row>
    <row collapsed="" customFormat="false" customHeight="1" hidden="" ht="14" outlineLevel="0" r="29010">
      <c r="A29010" s="3" t="inlineStr">
        <is>
          <t>28879</t>
        </is>
      </c>
      <c r="B29010" s="4" t="s">
        <f>=HYPERLINK("http://anyluxury.ru/shop/upakovka/podarochnye-korobki/korobka-dlya-kruzhki-chunky-belaya-1474660/" , "14746.60 Коробка для кружки Chunky, белая")</f>
      </c>
      <c r="C29010" s="4" t="n">
        <v>66.00</v>
      </c>
      <c r="D29010" s="4"/>
    </row>
    <row collapsed="" customFormat="false" customHeight="1" hidden="" ht="14" outlineLevel="0" r="29011">
      <c r="A29011" s="3" t="inlineStr">
        <is>
          <t>28880</t>
        </is>
      </c>
      <c r="B29011" s="4" t="s">
        <f>=HYPERLINK("http://anyluxury.ru/shop/upakovka/podarochnye-korobki/korobka-big-case-sinyaya-2104214/" , "21042.14 Коробка Big Case, синяя")</f>
      </c>
      <c r="C29011" s="4" t="n">
        <v>999.00</v>
      </c>
      <c r="D29011" s="4"/>
    </row>
    <row collapsed="" customFormat="false" customHeight="1" hidden="" ht="14" outlineLevel="0" r="29012">
      <c r="A29012" s="3" t="inlineStr">
        <is>
          <t>28881</t>
        </is>
      </c>
      <c r="B29012" s="4" t="s">
        <f>=HYPERLINK("http://anyluxury.ru/shop/upakovka/podarochnye-korobki/korobka-triplet-chernaya-662430/" , "6624.30 Коробка Triplet, черная")</f>
      </c>
      <c r="C29012" s="4" t="n">
        <v>482.00</v>
      </c>
      <c r="D29012" s="4"/>
    </row>
    <row collapsed="" customFormat="false" customHeight="1" hidden="" ht="14" outlineLevel="0" r="29013">
      <c r="A29013" s="3" t="inlineStr">
        <is>
          <t>28882</t>
        </is>
      </c>
      <c r="B29013" s="4" t="s">
        <f>=HYPERLINK("http://anyluxury.ru/shop/upakovka/podarochnye-korobki/korobka-frosto-m-belaya-1768760/" , "17687.60 Коробка Frosto, M, белая")</f>
      </c>
      <c r="C29013" s="4" t="n">
        <v>598.00</v>
      </c>
      <c r="D29013" s="4"/>
    </row>
    <row collapsed="" customFormat="false" customHeight="1" hidden="" ht="14" outlineLevel="0" r="29014">
      <c r="A29014" s="3" t="inlineStr">
        <is>
          <t>28883</t>
        </is>
      </c>
      <c r="B29014" s="4" t="s">
        <f>=HYPERLINK("http://anyluxury.ru/shop/upakovka/podarochnye-korobki/korobka-new-year-case-belaya-1768860/" , "17688.60 Коробка New Year Case, белая")</f>
      </c>
      <c r="C29014" s="4" t="n">
        <v>792.00</v>
      </c>
      <c r="D29014" s="4"/>
    </row>
    <row collapsed="" customFormat="false" customHeight="1" hidden="" ht="14" outlineLevel="0" r="29015">
      <c r="A29015" s="3" t="inlineStr">
        <is>
          <t>28884</t>
        </is>
      </c>
      <c r="B29015" s="4" t="s">
        <f>=HYPERLINK("http://anyluxury.ru/shop/upakovka/podarochnye-korobki/korobka-circa-l-belaya-1433460/" , "14334.60 Коробка Circa L, белая")</f>
      </c>
      <c r="C29015" s="4" t="n">
        <v>490.00</v>
      </c>
      <c r="D29015" s="4"/>
    </row>
    <row collapsed="" customFormat="false" customHeight="1" hidden="" ht="14" outlineLevel="0" r="29016">
      <c r="A29016" s="3" t="inlineStr">
        <is>
          <t>28885</t>
        </is>
      </c>
      <c r="B29016" s="4" t="s">
        <f>=HYPERLINK("http://anyluxury.ru/shop/upakovka/podarochnye-korobki/korobka-circa-l-chernaya-1433430/" , "14334.30 Коробка Circa L, черная")</f>
      </c>
      <c r="C29016" s="4" t="n">
        <v>490.00</v>
      </c>
      <c r="D29016" s="4"/>
    </row>
    <row collapsed="" customFormat="false" customHeight="1" hidden="" ht="14" outlineLevel="0" r="29017">
      <c r="A29017" s="3" t="inlineStr">
        <is>
          <t>28886</t>
        </is>
      </c>
      <c r="B29017" s="4" t="s">
        <f>=HYPERLINK("http://anyluxury.ru/shop/upakovka/podarochnye-korobki/korobka-circa-l-krasnaya-1433450/" , "14334.50 Коробка Circa L, красная")</f>
      </c>
      <c r="C29017" s="4" t="n">
        <v>490.00</v>
      </c>
      <c r="D29017" s="4"/>
    </row>
    <row collapsed="" customFormat="false" customHeight="1" hidden="" ht="14" outlineLevel="0" r="29018">
      <c r="A29018" s="3" t="inlineStr">
        <is>
          <t>28887</t>
        </is>
      </c>
      <c r="B29018" s="4" t="s">
        <f>=HYPERLINK("http://anyluxury.ru/shop/upakovka/podarochnye-korobki/korobka-dlya-kruzhki-chunky-kraft-1474600/" , "14746.00 Коробка для кружки Chunky, крафт")</f>
      </c>
      <c r="C29018" s="4" t="n">
        <v>66.00</v>
      </c>
      <c r="D29018" s="4"/>
    </row>
    <row collapsed="" customFormat="false" customHeight="1" hidden="" ht="14" outlineLevel="0" r="29019">
      <c r="A29019" s="3" t="inlineStr">
        <is>
          <t>28888</t>
        </is>
      </c>
      <c r="B29019" s="4" t="s">
        <f>=HYPERLINK("http://anyluxury.ru/shop/upakovka/podarochnye-korobki/korobka-big-case-zelenaya-2104290/" , "21042.90 Коробка Big Case, зеленая")</f>
      </c>
      <c r="C29019" s="4" t="n">
        <v>999.00</v>
      </c>
      <c r="D29019" s="4"/>
    </row>
    <row collapsed="" customFormat="false" customHeight="1" hidden="" ht="14" outlineLevel="0" r="29020">
      <c r="A29020" s="3" t="inlineStr">
        <is>
          <t>28889</t>
        </is>
      </c>
      <c r="B29020" s="4" t="s">
        <f>=HYPERLINK("http://anyluxury.ru/shop/upakovka/podarochnye-korobki/tubus-s-polnocvetnoy-pechatyu-vinum-na-zakaz-1897401/" , "18974.01 Тубус с полноцветной печатью Vinum на заказ")</f>
      </c>
      <c r="C29020" s="4" t="n">
        <v>378.00</v>
      </c>
      <c r="D29020" s="4"/>
    </row>
    <row collapsed="" customFormat="false" customHeight="1" hidden="" ht="14" outlineLevel="0" r="29021">
      <c r="A29021" s="3" t="inlineStr">
        <is>
          <t>28890</t>
        </is>
      </c>
      <c r="B29021" s="4" t="s">
        <f>=HYPERLINK("http://anyluxury.ru/shop/upakovka/podarochnye-korobki/korobka-overlap-belaya-1388060/" , "13880.60 Коробка Overlap, белая")</f>
      </c>
      <c r="C29021" s="4" t="n">
        <v>409.00</v>
      </c>
      <c r="D29021" s="4"/>
    </row>
    <row collapsed="" customFormat="false" customHeight="1" hidden="" ht="14" outlineLevel="0" r="29022">
      <c r="A29022" s="3" t="inlineStr">
        <is>
          <t>28891</t>
        </is>
      </c>
      <c r="B29022" s="4" t="s">
        <f>=HYPERLINK("http://anyluxury.ru/shop/upakovka/podarochnye-korobki/korobka-frosto-s-krasnaya-1768650/" , "17686.50 Коробка Frosto, S, красная")</f>
      </c>
      <c r="C29022" s="4" t="n">
        <v>548.00</v>
      </c>
      <c r="D29022" s="4"/>
    </row>
    <row collapsed="" customFormat="false" customHeight="1" hidden="" ht="14" outlineLevel="0" r="29023">
      <c r="A29023" s="3" t="inlineStr">
        <is>
          <t>28892</t>
        </is>
      </c>
      <c r="B29023" s="4" t="s">
        <f>=HYPERLINK("http://anyluxury.ru/shop/upakovka/podarochnye-korobki/korobka-frosto-m-krasnaya-1768750/" , "17687.50 Коробка Frosto, M, красная")</f>
      </c>
      <c r="C29023" s="4" t="n">
        <v>598.00</v>
      </c>
      <c r="D29023" s="4"/>
    </row>
    <row collapsed="" customFormat="false" customHeight="1" hidden="" ht="14" outlineLevel="0" r="29024">
      <c r="A29024" s="3" t="inlineStr">
        <is>
          <t>28893</t>
        </is>
      </c>
      <c r="B29024" s="4" t="s">
        <f>=HYPERLINK("http://anyluxury.ru/shop/upakovka/podarochnye-korobki/korobka-horizon-belaya-707360/" , "7073.60 Коробка Horizon, белая")</f>
      </c>
      <c r="C29024" s="4" t="n">
        <v>405.00</v>
      </c>
      <c r="D29024" s="4"/>
    </row>
    <row collapsed="" customFormat="false" customHeight="1" hidden="" ht="14" outlineLevel="0" r="29025">
      <c r="A29025" s="3" t="inlineStr">
        <is>
          <t>28894</t>
        </is>
      </c>
      <c r="B29025" s="4" t="s">
        <f>=HYPERLINK("http://anyluxury.ru/shop/upakovka/podarochnye-korobki/korobka-go-with-the-flow-sinyaya-6804440/" , "68044.40 Коробка Go With The Flow, синяя")</f>
      </c>
      <c r="C29025" s="4" t="n">
        <v>324.00</v>
      </c>
      <c r="D29025" s="4"/>
    </row>
    <row collapsed="" customFormat="false" customHeight="1" hidden="" ht="14" outlineLevel="0" r="29026">
      <c r="A29026" s="3" t="inlineStr">
        <is>
          <t>28895</t>
        </is>
      </c>
      <c r="B29026" s="4" t="s">
        <f>=HYPERLINK("http://anyluxury.ru/shop/upakovka/podarochnye-korobki/korobka-silk-belaya-1308060/" , "13080.60 Коробка Silk, белая")</f>
      </c>
      <c r="C29026" s="4" t="n">
        <v>396.00</v>
      </c>
      <c r="D29026" s="4"/>
    </row>
    <row collapsed="" customFormat="false" customHeight="1" hidden="" ht="14" outlineLevel="0" r="29027">
      <c r="A29027" s="3" t="inlineStr">
        <is>
          <t>28896</t>
        </is>
      </c>
      <c r="B29027" s="4" t="s">
        <f>=HYPERLINK("http://anyluxury.ru/shop/upakovka/podarochnye-korobki/korobka-triplet-belaya-662460/" , "6624.60 Коробка Triplet, белая")</f>
      </c>
      <c r="C29027" s="4" t="n">
        <v>482.00</v>
      </c>
      <c r="D29027" s="4"/>
    </row>
    <row collapsed="" customFormat="false" customHeight="1" hidden="" ht="14" outlineLevel="0" r="29028">
      <c r="A29028" s="3" t="inlineStr">
        <is>
          <t>28897</t>
        </is>
      </c>
      <c r="B29028" s="4" t="s">
        <f>=HYPERLINK("http://anyluxury.ru/shop/upakovka/podarochnye-korobki/korobka-horizon-magnet-temnosinyaya-1727340/" , "17273.40 Коробка Horizon Magnet, темно-синяя")</f>
      </c>
      <c r="C29028" s="4" t="n">
        <v>432.00</v>
      </c>
      <c r="D29028" s="4"/>
    </row>
    <row collapsed="" customFormat="false" customHeight="1" hidden="" ht="14" outlineLevel="0" r="29029">
      <c r="A29029" s="3" t="inlineStr">
        <is>
          <t>28898</t>
        </is>
      </c>
      <c r="B29029" s="4" t="s">
        <f>=HYPERLINK("http://anyluxury.ru/shop/upakovka/podarochnye-korobki/korobka-storeville-bolshaya-temnosinyaya-1514240/" , "15142.40 Коробка Storeville, большая, темно-синяя")</f>
      </c>
      <c r="C29029" s="4" t="n">
        <v>634.00</v>
      </c>
      <c r="D29029" s="4"/>
    </row>
    <row collapsed="" customFormat="false" customHeight="1" hidden="" ht="14" outlineLevel="0" r="29030">
      <c r="A29030" s="3" t="inlineStr">
        <is>
          <t>28899</t>
        </is>
      </c>
      <c r="B29030" s="4" t="s">
        <f>=HYPERLINK("http://anyluxury.ru/shop/upakovka/podarochnye-korobki/korobka-storeville-bolshaya-oranzhevaya-1514220/" , "15142.20 Коробка Storeville, большая, оранжевая")</f>
      </c>
      <c r="C29030" s="4" t="n">
        <v>634.00</v>
      </c>
      <c r="D29030" s="4"/>
    </row>
    <row collapsed="" customFormat="false" customHeight="1" hidden="" ht="14" outlineLevel="0" r="29031">
      <c r="A29031" s="3" t="inlineStr">
        <is>
          <t>28900</t>
        </is>
      </c>
      <c r="B29031" s="4" t="s">
        <f>=HYPERLINK("http://anyluxury.ru/shop/upakovka/podarochnye-korobki/korobka-storeville-bolshaya-seraya-1514210/" , "15142.10 Коробка Storeville, большая, серая")</f>
      </c>
      <c r="C29031" s="4" t="n">
        <v>634.00</v>
      </c>
      <c r="D29031" s="4"/>
    </row>
    <row collapsed="" customFormat="false" customHeight="1" hidden="" ht="14" outlineLevel="0" r="29032">
      <c r="A29032" s="3" t="inlineStr">
        <is>
          <t>28901</t>
        </is>
      </c>
      <c r="B29032" s="4" t="s">
        <f>=HYPERLINK("http://anyluxury.ru/shop/upakovka/podarochnye-korobki/korobka-storeville-bolshaya-krasnaya-1514250/" , "15142.50 Коробка Storeville, большая, красная")</f>
      </c>
      <c r="C29032" s="4" t="n">
        <v>634.00</v>
      </c>
      <c r="D29032" s="4"/>
    </row>
    <row collapsed="" customFormat="false" customHeight="1" hidden="" ht="14" outlineLevel="0" r="29033">
      <c r="A29033" s="3" t="inlineStr">
        <is>
          <t>28902</t>
        </is>
      </c>
      <c r="B29033" s="4" t="s">
        <f>=HYPERLINK("http://anyluxury.ru/shop/upakovka/podarochnye-korobki/korobka-grande-s-lozhementom-dlya-stopok-kraft-1647902/" , "16479.02 Коробка Grande с ложементом для стопок, крафт")</f>
      </c>
      <c r="C29033" s="4" t="n">
        <v>297.00</v>
      </c>
      <c r="D29033" s="4"/>
    </row>
    <row collapsed="" customFormat="false" customHeight="1" hidden="" ht="14" outlineLevel="0" r="29034">
      <c r="A29034" s="3" t="inlineStr">
        <is>
          <t>28903</t>
        </is>
      </c>
      <c r="B29034" s="4" t="s">
        <f>=HYPERLINK("http://anyluxury.ru/shop/upakovka/podarochnye-korobki/korobka-grande-s-lozhementom-dlya-stopok-belaya-1647904/" , "16479.04 Коробка Grande с ложементом для стопок, белая")</f>
      </c>
      <c r="C29034" s="4" t="n">
        <v>293.00</v>
      </c>
      <c r="D29034" s="4"/>
    </row>
    <row collapsed="" customFormat="false" customHeight="1" hidden="" ht="14" outlineLevel="0" r="29035">
      <c r="A29035" s="3" t="inlineStr">
        <is>
          <t>28904</t>
        </is>
      </c>
      <c r="B29035" s="4" t="s">
        <f>=HYPERLINK("http://anyluxury.ru/shop/upakovka/podarochnye-korobki/korobka-grande-kraft-s-krasnim-napolneniem-1476051/" , "14760.51 Коробка Grande, крафт с красным наполнением")</f>
      </c>
      <c r="C29035" s="4" t="n">
        <v>776.00</v>
      </c>
      <c r="D29035" s="4"/>
    </row>
    <row collapsed="" customFormat="false" customHeight="1" hidden="" ht="14" outlineLevel="0" r="29036">
      <c r="A29036" s="3" t="inlineStr">
        <is>
          <t>28905</t>
        </is>
      </c>
      <c r="B29036" s="4" t="s">
        <f>=HYPERLINK("http://anyluxury.ru/shop/upakovka/podarochnye-korobki/korobka-grande-belaya-s-krasnim-napolneniem-1476151/" , "14761.51 Коробка Grande, белая с красным наполнением")</f>
      </c>
      <c r="C29036" s="4" t="n">
        <v>772.00</v>
      </c>
      <c r="D29036" s="4"/>
    </row>
    <row collapsed="" customFormat="false" customHeight="1" hidden="" ht="14" outlineLevel="0" r="29037">
      <c r="A29037" s="3" t="inlineStr">
        <is>
          <t>28906</t>
        </is>
      </c>
      <c r="B29037" s="4" t="s">
        <f>=HYPERLINK("http://anyluxury.ru/shop/upakovka/podarochnye-korobki/korobka-s-oknom-insight-belaya-s-krasnim-napolneniem-1476251/" , "14762.51 Коробка с окном InSight, белая с красным наполнением")</f>
      </c>
      <c r="C29037" s="4" t="n">
        <v>848.00</v>
      </c>
      <c r="D29037" s="4"/>
    </row>
    <row collapsed="" customFormat="false" customHeight="1" hidden="" ht="14" outlineLevel="0" r="29038">
      <c r="A29038" s="3" t="inlineStr">
        <is>
          <t>28907</t>
        </is>
      </c>
      <c r="B29038" s="4" t="s">
        <f>=HYPERLINK("http://anyluxury.ru/shop/upakovka/podarochnye-korobki/korobka-storeville-malaya-seraya-1614210/" , "16142.10 Коробка Storeville, малая, серая")</f>
      </c>
      <c r="C29038" s="4" t="n">
        <v>396.00</v>
      </c>
      <c r="D29038" s="4"/>
    </row>
    <row collapsed="" customFormat="false" customHeight="1" hidden="" ht="14" outlineLevel="0" r="29039">
      <c r="A29039" s="3" t="inlineStr">
        <is>
          <t>28908</t>
        </is>
      </c>
      <c r="B29039" s="4" t="s">
        <f>=HYPERLINK("http://anyluxury.ru/shop/upakovka/podarochnye-korobki/korobka-storeville-malaya-chernaya-1614230/" , "16142.30 Коробка Storeville, малая, черная")</f>
      </c>
      <c r="C29039" s="4" t="n">
        <v>396.00</v>
      </c>
      <c r="D29039" s="4"/>
    </row>
    <row collapsed="" customFormat="false" customHeight="1" hidden="" ht="14" outlineLevel="0" r="29040">
      <c r="A29040" s="3" t="inlineStr">
        <is>
          <t>28909</t>
        </is>
      </c>
      <c r="B29040" s="4" t="s">
        <f>=HYPERLINK("http://anyluxury.ru/shop/upakovka/podarochnye-korobki/korobka-storeville-malaya-temnosinyaya-1614240/" , "16142.40 Коробка Storeville, малая, темно-синяя")</f>
      </c>
      <c r="C29040" s="4" t="n">
        <v>396.00</v>
      </c>
      <c r="D29040" s="4"/>
    </row>
    <row collapsed="" customFormat="false" customHeight="1" hidden="" ht="14" outlineLevel="0" r="29041">
      <c r="A29041" s="3" t="inlineStr">
        <is>
          <t>28910</t>
        </is>
      </c>
      <c r="B29041" s="4" t="s">
        <f>=HYPERLINK("http://anyluxury.ru/shop/upakovka/podarochnye-korobki/korobka-storeville-malaya-krasnaya-1614250/" , "16142.50 Коробка Storeville, малая, красная")</f>
      </c>
      <c r="C29041" s="4" t="n">
        <v>396.00</v>
      </c>
      <c r="D29041" s="4"/>
    </row>
    <row collapsed="" customFormat="false" customHeight="1" hidden="" ht="14" outlineLevel="0" r="29042">
      <c r="A29042" s="3" t="inlineStr">
        <is>
          <t>28911</t>
        </is>
      </c>
      <c r="B29042" s="4" t="s">
        <f>=HYPERLINK("http://anyluxury.ru/shop/upakovka/podarochnye-korobki/korobka-s-oknom-visible-s-lozhementom-pod-kruzhki-chernaya-1594730/" , "15947.30 Коробка с окном Visible с ложементом под кружки, черная")</f>
      </c>
      <c r="C29042" s="4" t="n">
        <v>239.90</v>
      </c>
      <c r="D29042" s="4"/>
    </row>
    <row collapsed="" customFormat="false" customHeight="1" hidden="" ht="14" outlineLevel="0" r="29043">
      <c r="A29043" s="3" t="inlineStr">
        <is>
          <t>28912</t>
        </is>
      </c>
      <c r="B29043" s="4" t="s">
        <f>=HYPERLINK("http://anyluxury.ru/shop/upakovka/podarochnye-korobki/korobka-storeville-bolshaya-sinyaya-1514241/" , "15142.41 Коробка Storeville, большая, синяя")</f>
      </c>
      <c r="C29043" s="4" t="n">
        <v>634.00</v>
      </c>
      <c r="D29043" s="4"/>
    </row>
    <row collapsed="" customFormat="false" customHeight="1" hidden="" ht="14" outlineLevel="0" r="29044">
      <c r="A29044" s="3" t="inlineStr">
        <is>
          <t>28913</t>
        </is>
      </c>
      <c r="B29044" s="4" t="s">
        <f>=HYPERLINK("http://anyluxury.ru/shop/upakovka/podarochnye-korobki/upakovka-dlya-zontov-bugatti-5261110/" , "52611.10 Упаковка для зонтов Bugatti")</f>
      </c>
      <c r="C29044" s="4" t="n">
        <v>174.00</v>
      </c>
      <c r="D29044" s="4"/>
    </row>
    <row collapsed="" customFormat="false" customHeight="1" hidden="" ht="14" outlineLevel="0" r="29045">
      <c r="A29045" s="3" t="inlineStr">
        <is>
          <t>28914</t>
        </is>
      </c>
      <c r="B29045" s="4" t="s">
        <f>=HYPERLINK("http://anyluxury.ru/shop/upakovka/podarochnye-korobki/korobka-wingbox-seraya-1554610/" , "15546.10 Коробка Wingbox, серая")</f>
      </c>
      <c r="C29045" s="4" t="n">
        <v>1525.00</v>
      </c>
      <c r="D29045" s="4"/>
    </row>
    <row collapsed="" customFormat="false" customHeight="1" hidden="" ht="14" outlineLevel="0" r="29046">
      <c r="A29046" s="3" t="inlineStr">
        <is>
          <t>28915</t>
        </is>
      </c>
      <c r="B29046" s="4" t="s">
        <f>=HYPERLINK("http://anyluxury.ru/shop/upakovka/podarochnye-korobki/korobka-wingbox-temnosinyaya-1554640/" , "15546.40 Коробка Wingbox, темно-синяя")</f>
      </c>
      <c r="C29046" s="4" t="n">
        <v>1525.00</v>
      </c>
      <c r="D29046" s="4"/>
    </row>
    <row collapsed="" customFormat="false" customHeight="1" hidden="" ht="14" outlineLevel="0" r="29047">
      <c r="A29047" s="3" t="inlineStr">
        <is>
          <t>28916</t>
        </is>
      </c>
      <c r="B29047" s="4" t="s">
        <f>=HYPERLINK("http://anyluxury.ru/shop/upakovka/podarochnye-korobki/korobka-wingbox-sinyaya-1554641/" , "15546.41 Коробка Wingbox, синяя")</f>
      </c>
      <c r="C29047" s="4" t="n">
        <v>1525.00</v>
      </c>
      <c r="D29047" s="4"/>
    </row>
    <row collapsed="" customFormat="false" customHeight="1" hidden="" ht="14" outlineLevel="0" r="29048">
      <c r="A29048" s="3" t="inlineStr">
        <is>
          <t>28917</t>
        </is>
      </c>
      <c r="B29048" s="4" t="s">
        <f>=HYPERLINK("http://anyluxury.ru/shop/upakovka/podarochnye-korobki/korobka-wingbox-belaya-1554660/" , "15546.60 Коробка Wingbox, белая")</f>
      </c>
      <c r="C29048" s="4" t="n">
        <v>1525.00</v>
      </c>
      <c r="D29048" s="4"/>
    </row>
    <row collapsed="" customFormat="false" customHeight="1" hidden="" ht="14" outlineLevel="0" r="29049">
      <c r="A29049" s="3" t="inlineStr">
        <is>
          <t>28918</t>
        </is>
      </c>
      <c r="B29049" s="4" t="s">
        <f>=HYPERLINK("http://anyluxury.ru/shop/upakovka/podarochnye-korobki/korobka-silk-s-lozhementom-pod-ezhednevnik-i-ruchku-belaya-1306960/" , "13069.60 Коробка Silk с ложементом под ежедневник 15х21 см и ручку, белая")</f>
      </c>
      <c r="C29049" s="4" t="n">
        <v>716.00</v>
      </c>
      <c r="D29049" s="4"/>
    </row>
    <row collapsed="" customFormat="false" customHeight="1" hidden="" ht="14" outlineLevel="0" r="29050">
      <c r="A29050" s="3" t="inlineStr">
        <is>
          <t>28919</t>
        </is>
      </c>
      <c r="B29050" s="4" t="s">
        <f>=HYPERLINK("http://anyluxury.ru/shop/upakovka/podarochnye-korobki/korobka-magnus-seraya-1277110/" , "12771.10 Коробка Magnus, серая")</f>
      </c>
      <c r="C29050" s="4" t="n">
        <v>370.00</v>
      </c>
      <c r="D29050" s="4"/>
    </row>
    <row collapsed="" customFormat="false" customHeight="1" hidden="" ht="14" outlineLevel="0" r="29051">
      <c r="A29051" s="3" t="inlineStr">
        <is>
          <t>28920</t>
        </is>
      </c>
      <c r="B29051" s="4" t="s">
        <f>=HYPERLINK("http://anyluxury.ru/shop/upakovka/podarochnye-korobki/korobka-magnus-krasnaya-1277150/" , "12771.50 Коробка Magnus, красная")</f>
      </c>
      <c r="C29051" s="4" t="n">
        <v>370.00</v>
      </c>
      <c r="D29051" s="4"/>
    </row>
    <row collapsed="" customFormat="false" customHeight="1" hidden="" ht="14" outlineLevel="0" r="29052">
      <c r="A29052" s="3" t="inlineStr">
        <is>
          <t>28921</t>
        </is>
      </c>
      <c r="B29052" s="4" t="s">
        <f>=HYPERLINK("http://anyluxury.ru/shop/upakovka/podarochnye-korobki/korobka-pack-in-style-chernaya-7200530/" , "72005.30 Коробка Pack In Style, черная")</f>
      </c>
      <c r="C29052" s="4" t="n">
        <v>426.00</v>
      </c>
      <c r="D29052" s="4"/>
    </row>
    <row collapsed="" customFormat="false" customHeight="1" hidden="" ht="14" outlineLevel="0" r="29053">
      <c r="A29053" s="3" t="inlineStr">
        <is>
          <t>28922</t>
        </is>
      </c>
      <c r="B29053" s="4" t="s">
        <f>=HYPERLINK("http://anyluxury.ru/shop/upakovka/podarochnye-korobki/korobka-pack-in-style-krasnaya-7200550/" , "72005.50 Коробка Pack In Style, красная")</f>
      </c>
      <c r="C29053" s="4" t="n">
        <v>426.00</v>
      </c>
      <c r="D29053" s="4"/>
    </row>
    <row collapsed="" customFormat="false" customHeight="1" hidden="" ht="14" outlineLevel="0" r="29054">
      <c r="A29054" s="3" t="inlineStr">
        <is>
          <t>28923</t>
        </is>
      </c>
      <c r="B29054" s="4" t="s">
        <f>=HYPERLINK("http://anyluxury.ru/shop/upakovka/podarochnye-korobki/korobka-lumibox-sinyaya-matovaya-1014744/" , "10147.44 Коробка LumiBox, синяя матовая")</f>
      </c>
      <c r="C29054" s="4" t="n">
        <v>594.00</v>
      </c>
      <c r="D29054" s="4"/>
    </row>
    <row collapsed="" customFormat="false" customHeight="1" hidden="" ht="14" outlineLevel="0" r="29055">
      <c r="A29055" s="3" t="inlineStr">
        <is>
          <t>28924</t>
        </is>
      </c>
      <c r="B29055" s="4" t="s">
        <f>=HYPERLINK("http://anyluxury.ru/shop/upakovka/podarochnye-korobki/korobka-predvkushenie-volshebstva-s-shuberom-belaya-s-sinim-1613540/" , "16135.40 Коробка «Предвкушение волшебства» с ложементом и шубером, белая с синим")</f>
      </c>
      <c r="C29055" s="4" t="n">
        <v>719.60</v>
      </c>
      <c r="D29055" s="4"/>
    </row>
    <row collapsed="" customFormat="false" customHeight="1" hidden="" ht="14" outlineLevel="0" r="29056">
      <c r="A29056" s="3" t="inlineStr">
        <is>
          <t>28925</t>
        </is>
      </c>
      <c r="B29056" s="4" t="s">
        <f>=HYPERLINK("http://anyluxury.ru/shop/upakovka/podarochnye-korobki/korobka-predvkushenie-volshebstva-s-shuberom-belaya-s-krasnim-1613550/" , "16135.50 Коробка «Предвкушение волшебства» с ложементом и шубером, белая с красным")</f>
      </c>
      <c r="C29056" s="4" t="n">
        <v>719.60</v>
      </c>
      <c r="D29056" s="4"/>
    </row>
    <row collapsed="" customFormat="false" customHeight="1" hidden="" ht="14" outlineLevel="0" r="29057">
      <c r="A29057" s="3" t="inlineStr">
        <is>
          <t>28926</t>
        </is>
      </c>
      <c r="B29057" s="4" t="s">
        <f>=HYPERLINK("http://anyluxury.ru/shop/upakovka/podarochnye-korobki/korobka-predvkushenie-volshebstva-s-shuberom-belaya-s-zelenim-1613590/" , "16135.90 Коробка «Предвкушение волшебства» с ложементом и шубером, белая с зеленым")</f>
      </c>
      <c r="C29057" s="4" t="n">
        <v>719.60</v>
      </c>
      <c r="D29057" s="4"/>
    </row>
    <row collapsed="" customFormat="false" customHeight="1" hidden="" ht="14" outlineLevel="0" r="29058">
      <c r="A29058" s="3" t="inlineStr">
        <is>
          <t>28927</t>
        </is>
      </c>
      <c r="B29058" s="4" t="s">
        <f>=HYPERLINK("http://anyluxury.ru/shop/upakovka/podarochnye-korobki/korobka-storeville-malaya-zelenaya-1614290/" , "16142.90 Коробка Storeville, малая, зеленая")</f>
      </c>
      <c r="C29058" s="4" t="n">
        <v>396.00</v>
      </c>
      <c r="D29058" s="4"/>
    </row>
    <row collapsed="" customFormat="false" customHeight="1" hidden="" ht="14" outlineLevel="0" r="29059">
      <c r="A29059" s="3" t="inlineStr">
        <is>
          <t>28928</t>
        </is>
      </c>
      <c r="B29059" s="4" t="s">
        <f>=HYPERLINK("http://anyluxury.ru/shop/upakovka/podarochnye-korobki/korobka-igray-garmoniya-s-krasnim-printom-6807750/" , "68077.50 Коробка «Играй гармония», с красным принтом")</f>
      </c>
      <c r="C29059" s="4" t="n">
        <v>420.00</v>
      </c>
      <c r="D29059" s="4"/>
    </row>
    <row collapsed="" customFormat="false" customHeight="1" hidden="" ht="14" outlineLevel="0" r="29060">
      <c r="A29060" s="3" t="inlineStr">
        <is>
          <t>28929</t>
        </is>
      </c>
      <c r="B29060" s="4" t="s">
        <f>=HYPERLINK("http://anyluxury.ru/shop/upakovka/podarochnye-korobki/korobka-igray-garmoniya-s-zolotistim-printom-6807700/" , "68077.00 Коробка «Играй гармония», с золотистым принтом")</f>
      </c>
      <c r="C29060" s="4" t="n">
        <v>420.00</v>
      </c>
      <c r="D29060" s="4"/>
    </row>
    <row collapsed="" customFormat="false" customHeight="1" hidden="" ht="14" outlineLevel="0" r="29061">
      <c r="A29061" s="3" t="inlineStr">
        <is>
          <t>28930</t>
        </is>
      </c>
      <c r="B29061" s="4" t="s">
        <f>=HYPERLINK("http://anyluxury.ru/shop/upakovka/podarochnye-korobki/korobka-senzo-sinyaya-1170844/" , "11708.44 Коробка Senzo, синяя")</f>
      </c>
      <c r="C29061" s="4" t="n">
        <v>490.00</v>
      </c>
      <c r="D29061" s="4"/>
    </row>
    <row collapsed="" customFormat="false" customHeight="1" hidden="" ht="14" outlineLevel="0" r="29062">
      <c r="A29062" s="3" t="inlineStr">
        <is>
          <t>28931</t>
        </is>
      </c>
      <c r="B29062" s="4" t="s">
        <f>=HYPERLINK("http://anyluxury.ru/shop/upakovka/podarochnye-korobki/korobka-senzo-svetloseraya-1170811/" , "11708.11 Коробка Senzo, светло-серая")</f>
      </c>
      <c r="C29062" s="4" t="n">
        <v>490.00</v>
      </c>
      <c r="D29062" s="4"/>
    </row>
    <row collapsed="" customFormat="false" customHeight="1" hidden="" ht="14" outlineLevel="0" r="29063">
      <c r="A29063" s="3" t="inlineStr">
        <is>
          <t>28932</t>
        </is>
      </c>
      <c r="B29063" s="4" t="s">
        <f>=HYPERLINK("http://anyluxury.ru/shop/upakovka/podarochnye-korobki/korobka-flip-deep-sinyaya-matovaya-1058541/" , "10585.41 Коробка Flip Deep, синяя матовая")</f>
      </c>
      <c r="C29063" s="4" t="n">
        <v>642.00</v>
      </c>
      <c r="D29063" s="4"/>
    </row>
    <row collapsed="" customFormat="false" customHeight="1" hidden="" ht="14" outlineLevel="0" r="29064">
      <c r="A29064" s="3" t="inlineStr">
        <is>
          <t>28933</t>
        </is>
      </c>
      <c r="B29064" s="4" t="s">
        <f>=HYPERLINK("http://anyluxury.ru/shop/upakovka/podarochnye-korobki/korobka-s-virubnoy-krishkoy-klap-na-zakaz-malaya-kraft-1898801/" , "18988.01 Коробка с вырубной крышкой Klap на заказ, малая, крафт")</f>
      </c>
      <c r="C29064" s="4" t="n">
        <v>306.40</v>
      </c>
      <c r="D29064" s="4"/>
    </row>
    <row collapsed="" customFormat="false" customHeight="1" hidden="" ht="14" outlineLevel="0" r="29065">
      <c r="A29065" s="3" t="inlineStr">
        <is>
          <t>28934</t>
        </is>
      </c>
      <c r="B29065" s="4" t="s">
        <f>=HYPERLINK("http://anyluxury.ru/shop/upakovka/podarochnye-korobki/korobka-s-virubnoy-krishkoy-klap-na-zakaz-srednyaya-kraft-1898802/" , "18988.02 Коробка с вырубной крышкой Klap на заказ, средняя, крафт")</f>
      </c>
      <c r="C29065" s="4" t="n">
        <v>522.90</v>
      </c>
      <c r="D29065" s="4"/>
    </row>
    <row collapsed="" customFormat="false" customHeight="1" hidden="" ht="14" outlineLevel="0" r="29066">
      <c r="A29066" s="3" t="inlineStr">
        <is>
          <t>28935</t>
        </is>
      </c>
      <c r="B29066" s="4" t="s">
        <f>=HYPERLINK("http://anyluxury.ru/shop/upakovka/podarochnye-korobki/korobka-arbor-pod-ezhednevnik-akkumulyator-i-ruchku-sinyaya-1170344/" , "11703.44 Коробка Arbor под ежедневник, аккумулятор и ручку, синяя")</f>
      </c>
      <c r="C29066" s="4" t="n">
        <v>828.00</v>
      </c>
      <c r="D29066" s="4"/>
    </row>
    <row collapsed="" customFormat="false" customHeight="1" hidden="" ht="14" outlineLevel="0" r="29067">
      <c r="A29067" s="3" t="inlineStr">
        <is>
          <t>28936</t>
        </is>
      </c>
      <c r="B29067" s="4" t="s">
        <f>=HYPERLINK("http://anyluxury.ru/shop/upakovka/podarochnye-korobki/korobka-dlya-termosa-inside-kraft-1696500/" , "16965.00 Коробка для термоса Inside, крафт")</f>
      </c>
      <c r="C29067" s="4" t="n">
        <v>66.00</v>
      </c>
      <c r="D29067" s="4"/>
    </row>
    <row collapsed="" customFormat="false" customHeight="1" hidden="" ht="14" outlineLevel="0" r="29068">
      <c r="A29068" s="3" t="inlineStr">
        <is>
          <t>28937</t>
        </is>
      </c>
      <c r="B29068" s="4" t="s">
        <f>=HYPERLINK("http://anyluxury.ru/shop/upakovka/podarochnye-korobki/korobka-dlya-termosa-inside-belaya-1696560/" , "16965.60 Коробка для термоса Inside, белая")</f>
      </c>
      <c r="C29068" s="4" t="n">
        <v>66.00</v>
      </c>
      <c r="D29068" s="4"/>
    </row>
    <row collapsed="" customFormat="false" customHeight="1" hidden="" ht="14" outlineLevel="0" r="29069">
      <c r="A29069" s="3" t="inlineStr">
        <is>
          <t>28938</t>
        </is>
      </c>
      <c r="B29069" s="4" t="s">
        <f>=HYPERLINK("http://anyluxury.ru/shop/upakovka/podarochnye-korobki/korobka-ridge-dlya-ezhednevnika-kalendarya-i-ruchki-serebristaya-1622110/" , "16221.10 Коробка Ridge для ежедневника, календаря и ручки, серебристая")</f>
      </c>
      <c r="C29069" s="4" t="n">
        <v>690.00</v>
      </c>
      <c r="D29069" s="4"/>
    </row>
    <row collapsed="" customFormat="false" customHeight="1" hidden="" ht="14" outlineLevel="0" r="29070">
      <c r="A29070" s="3" t="inlineStr">
        <is>
          <t>28939</t>
        </is>
      </c>
      <c r="B29070" s="4" t="s">
        <f>=HYPERLINK("http://anyluxury.ru/shop/upakovka/podarochnye-korobki/korobka-bright-sinyaya-1691740/" , "16917.40 Коробка Bright, синяя")</f>
      </c>
      <c r="C29070" s="4" t="n">
        <v>436.00</v>
      </c>
      <c r="D29070" s="4"/>
    </row>
    <row collapsed="" customFormat="false" customHeight="1" hidden="" ht="14" outlineLevel="0" r="29071">
      <c r="A29071" s="3" t="inlineStr">
        <is>
          <t>28940</t>
        </is>
      </c>
      <c r="B29071" s="4" t="s">
        <f>=HYPERLINK("http://anyluxury.ru/shop/upakovka/podarochnye-korobki/korobka-bright-krasnaya-1691750/" , "16917.50 Коробка Bright, красная")</f>
      </c>
      <c r="C29071" s="4" t="n">
        <v>436.00</v>
      </c>
      <c r="D29071" s="4"/>
    </row>
    <row collapsed="" customFormat="false" customHeight="1" hidden="" ht="14" outlineLevel="0" r="29072">
      <c r="A29072" s="3" t="inlineStr">
        <is>
          <t>28941</t>
        </is>
      </c>
      <c r="B29072" s="4" t="s">
        <f>=HYPERLINK("http://anyluxury.ru/shop/upakovka/podarochnye-korobki/korobka-bright-seraya-1691710/" , "16917.10 Коробка Bright, серая")</f>
      </c>
      <c r="C29072" s="4" t="n">
        <v>436.00</v>
      </c>
      <c r="D29072" s="4"/>
    </row>
    <row collapsed="" customFormat="false" customHeight="1" hidden="" ht="14" outlineLevel="0" r="29073">
      <c r="A29073" s="3" t="inlineStr">
        <is>
          <t>28942</t>
        </is>
      </c>
      <c r="B29073" s="4" t="s">
        <f>=HYPERLINK("http://anyluxury.ru/shop/upakovka/podarochnye-korobki/korobka-pod-butilku-color-jacket-krasnaya-1202350/" , "12023.50 Коробка под бутылку Color Jacket, красная")</f>
      </c>
      <c r="C29073" s="4" t="n">
        <v>488.00</v>
      </c>
      <c r="D29073" s="4"/>
    </row>
    <row collapsed="" customFormat="false" customHeight="1" hidden="" ht="14" outlineLevel="0" r="29074">
      <c r="A29074" s="3" t="inlineStr">
        <is>
          <t>28943</t>
        </is>
      </c>
      <c r="B29074" s="4" t="s">
        <f>=HYPERLINK("http://anyluxury.ru/shop/upakovka/podarochnye-korobki/korobka-satin-bolshaya-krasnaya-730850/" , "7308.50 Коробка Satin, большая, красная")</f>
      </c>
      <c r="C29074" s="4" t="n">
        <v>581.00</v>
      </c>
      <c r="D29074" s="4"/>
    </row>
    <row collapsed="" customFormat="false" customHeight="1" hidden="" ht="14" outlineLevel="0" r="29075">
      <c r="A29075" s="3" t="inlineStr">
        <is>
          <t>28944</t>
        </is>
      </c>
      <c r="B29075" s="4" t="s">
        <f>=HYPERLINK("http://anyluxury.ru/shop/upakovka/podarochnye-korobki/korobka-english-breakfast-kraft-12440/" , "12440 Коробка English Breakfast, крафт")</f>
      </c>
      <c r="C29075" s="4" t="n">
        <v>39.00</v>
      </c>
      <c r="D29075" s="4"/>
    </row>
    <row collapsed="" customFormat="false" customHeight="1" hidden="" ht="14" outlineLevel="0" r="29076">
      <c r="A29076" s="3" t="inlineStr">
        <is>
          <t>28945</t>
        </is>
      </c>
      <c r="B29076" s="4" t="s">
        <f>=HYPERLINK("http://anyluxury.ru/shop/upakovka/podarochnye-korobki/nabor-dlya-upakovki-podarka-adorno-beliy-s-sinim-1565140/" , "15651.40 Набор для упаковки подарка Adorno, белый с синим")</f>
      </c>
      <c r="C29076" s="4" t="n">
        <v>1091.00</v>
      </c>
      <c r="D29076" s="4"/>
    </row>
    <row collapsed="" customFormat="false" customHeight="1" hidden="" ht="14" outlineLevel="0" r="29077">
      <c r="A29077" s="3" t="inlineStr">
        <is>
          <t>28946</t>
        </is>
      </c>
      <c r="B29077" s="4" t="s">
        <f>=HYPERLINK("http://anyluxury.ru/shop/upakovka/podarochnye-korobki/nabor-dlya-upakovki-podarka-adorno-beliy-s-bezhevim-1565112/" , "15651.12 Набор для упаковки подарка Adorno, белый с бежевым")</f>
      </c>
      <c r="C29077" s="4" t="n">
        <v>989.00</v>
      </c>
      <c r="D29077" s="4"/>
    </row>
    <row collapsed="" customFormat="false" customHeight="1" hidden="" ht="14" outlineLevel="0" r="29078">
      <c r="A29078" s="3" t="inlineStr">
        <is>
          <t>28947</t>
        </is>
      </c>
      <c r="B29078" s="4" t="s">
        <f>=HYPERLINK("http://anyluxury.ru/shop/upakovka/podarochnye-korobki/nabor-dlya-upakovki-podarka-adorno-beliy-s-krasnim-1565150/" , "15651.50 Набор для упаковки подарка Adorno, белый с красным")</f>
      </c>
      <c r="C29078" s="4" t="n">
        <v>994.00</v>
      </c>
      <c r="D29078" s="4"/>
    </row>
    <row collapsed="" customFormat="false" customHeight="1" hidden="" ht="14" outlineLevel="0" r="29079">
      <c r="A29079" s="3" t="inlineStr">
        <is>
          <t>28948</t>
        </is>
      </c>
      <c r="B29079" s="4" t="s">
        <f>=HYPERLINK("http://anyluxury.ru/shop/upakovka/podarochnye-korobki/nabor-dlya-upakovki-podarka-adorno-beliy-1565160/" , "15651.60 Набор для упаковки подарка Adorno, белый")</f>
      </c>
      <c r="C29079" s="4" t="n">
        <v>1023.00</v>
      </c>
      <c r="D29079" s="4"/>
    </row>
    <row collapsed="" customFormat="false" customHeight="1" hidden="" ht="14" outlineLevel="0" r="29080">
      <c r="A29080" s="3" t="inlineStr">
        <is>
          <t>28949</t>
        </is>
      </c>
      <c r="B29080" s="4" t="s">
        <f>=HYPERLINK("http://anyluxury.ru/shop/upakovka/podarochnye-korobki/korobka-big-case-oranzhevaya-2104220/" , "21042.20 Коробка Big Case, оранжевая")</f>
      </c>
      <c r="C29080" s="4" t="n">
        <v>999.00</v>
      </c>
      <c r="D29080" s="4"/>
    </row>
    <row collapsed="" customFormat="false" customHeight="1" hidden="" ht="14" outlineLevel="0" r="29081">
      <c r="A29081" s="3" t="inlineStr">
        <is>
          <t>28950</t>
        </is>
      </c>
      <c r="B29081" s="4" t="s">
        <f>=HYPERLINK("http://anyluxury.ru/shop/upakovka/podarochnye-korobki/korobka-satin-bolshaya-oranzhevaya-730820/" , "7308.20 Коробка Satin, большая, оранжевая")</f>
      </c>
      <c r="C29081" s="4" t="n">
        <v>581.00</v>
      </c>
      <c r="D29081" s="4"/>
    </row>
    <row collapsed="" customFormat="false" customHeight="1" hidden="" ht="14" outlineLevel="0" r="29082">
      <c r="A29082" s="3" t="inlineStr">
        <is>
          <t>28951</t>
        </is>
      </c>
      <c r="B29082" s="4" t="s">
        <f>=HYPERLINK("http://anyluxury.ru/shop/upakovka/podarochnye-korobki/korobka-s-oknom-dlya-kruzhki-window-ver2-kraft-4333600/" , "43336.00 Коробка с окном для кружки Window, ver.2, крафт")</f>
      </c>
      <c r="C29082" s="4" t="n">
        <v>42.20</v>
      </c>
      <c r="D29082" s="4"/>
    </row>
    <row collapsed="" customFormat="false" customHeight="1" hidden="" ht="14" outlineLevel="0" r="29083">
      <c r="A29083" s="3" t="inlineStr">
        <is>
          <t>28952</t>
        </is>
      </c>
      <c r="B29083" s="4" t="s">
        <f>=HYPERLINK("http://anyluxury.ru/shop/upakovka/podarochnye-korobki/korobka-s-oknom-dlya-kruzhki-window-ver2-belaya-4333660/" , "43336.60 Коробка с окном для кружки Window, ver.2, белая")</f>
      </c>
      <c r="C29083" s="4" t="n">
        <v>42.20</v>
      </c>
      <c r="D29083" s="4"/>
    </row>
    <row collapsed="" customFormat="false" customHeight="1" hidden="" ht="14" outlineLevel="0" r="29084">
      <c r="A29084" s="3" t="inlineStr">
        <is>
          <t>28953</t>
        </is>
      </c>
      <c r="B29084" s="4" t="s">
        <f>=HYPERLINK("http://anyluxury.ru/shop/upakovka/podarochnye-korobki/korobka-dlya-kruzhki-s-oknom-cupcase-kraft-4333700/" , "43337.00 Коробка для кружки с окном Cupcase, крафт")</f>
      </c>
      <c r="C29084" s="4" t="n">
        <v>42.20</v>
      </c>
      <c r="D29084" s="4"/>
    </row>
    <row collapsed="" customFormat="false" customHeight="1" hidden="" ht="14" outlineLevel="0" r="29085">
      <c r="A29085" s="3" t="inlineStr">
        <is>
          <t>28954</t>
        </is>
      </c>
      <c r="B29085" s="4" t="s">
        <f>=HYPERLINK("http://anyluxury.ru/shop/upakovka/podarochnye-korobki/korobka-dlya-kruzhki-s-oknom-cupcase-belaya-4333760/" , "43337.60 Коробка для кружки с окном Cupcase, белая")</f>
      </c>
      <c r="C29085" s="4" t="n">
        <v>42.20</v>
      </c>
      <c r="D29085" s="4"/>
    </row>
    <row collapsed="" customFormat="false" customHeight="1" hidden="" ht="14" outlineLevel="0" r="29086">
      <c r="A29086" s="3" t="inlineStr">
        <is>
          <t>28955</t>
        </is>
      </c>
      <c r="B29086" s="4" t="s">
        <f>=HYPERLINK("http://anyluxury.ru/shop/upakovka/podarochnye-korobki/korobka-new-grande-kraft-2347900/" , "23479.00 Коробка New Grande, крафт")</f>
      </c>
      <c r="C29086" s="4" t="n">
        <v>158.00</v>
      </c>
      <c r="D29086" s="4"/>
    </row>
    <row collapsed="" customFormat="false" customHeight="1" hidden="" ht="14" outlineLevel="0" r="29087">
      <c r="A29087" s="3" t="inlineStr">
        <is>
          <t>28956</t>
        </is>
      </c>
      <c r="B29087" s="4" t="s">
        <f>=HYPERLINK("http://anyluxury.ru/shop/upakovka/podarochnye-korobki/korobka-new-grande-belaya-2347960/" , "23479.60 Коробка New Grande, белая")</f>
      </c>
      <c r="C29087" s="4" t="n">
        <v>158.00</v>
      </c>
      <c r="D29087" s="4"/>
    </row>
    <row collapsed="" customFormat="false" customHeight="1" hidden="" ht="14" outlineLevel="0" r="29088">
      <c r="A29088" s="3" t="inlineStr">
        <is>
          <t>28957</t>
        </is>
      </c>
      <c r="B29088" s="4" t="s">
        <f>=HYPERLINK("http://anyluxury.ru/shop/upakovka/podarochnye-korobki/korobka-nonstop-s-lozhementom-pod-termostakan-i-akkumulyator-15924/" , "15924 Коробка Non-Stop с ложементом под термостакан и аккумулятор")</f>
      </c>
      <c r="C29088" s="4" t="n">
        <v>467.00</v>
      </c>
      <c r="D29088" s="4"/>
    </row>
    <row collapsed="" customFormat="false" customHeight="1" hidden="" ht="14" outlineLevel="0" r="29089">
      <c r="A29089" s="3" t="inlineStr">
        <is>
          <t>28958</t>
        </is>
      </c>
      <c r="B29089" s="4" t="s">
        <f>=HYPERLINK("http://anyluxury.ru/shop/upakovka/podarochnye-korobki/korobka-bright-belaya-1691760/" , "16917.60 Коробка Bright, белая")</f>
      </c>
      <c r="C29089" s="4" t="n">
        <v>436.00</v>
      </c>
      <c r="D29089" s="4"/>
    </row>
    <row collapsed="" customFormat="false" customHeight="1" hidden="" ht="14" outlineLevel="0" r="29090">
      <c r="A29090" s="3" t="inlineStr">
        <is>
          <t>28959</t>
        </is>
      </c>
      <c r="B29090" s="4" t="s">
        <f>=HYPERLINK("http://anyluxury.ru/shop/upakovka/podarochnye-korobki/korobka-jamming-1321900/" , "13219.00 Коробка Jamming")</f>
      </c>
      <c r="C29090" s="4" t="n">
        <v>82.50</v>
      </c>
      <c r="D29090" s="4"/>
    </row>
    <row collapsed="" customFormat="false" customHeight="1" hidden="" ht="14" outlineLevel="0" r="29091">
      <c r="A29091" s="3" t="inlineStr">
        <is>
          <t>28960</t>
        </is>
      </c>
      <c r="B29091" s="4" t="s">
        <f>=HYPERLINK("http://anyluxury.ru/shop/upakovka/podarochnye-korobki/korobka-daily-touch-pod-ezhednevnik-akkumulyator-i-ruchku-belaya-2767360/" , "27673.60 Коробка Daily Touch под ежедневник, аккумулятор и ручку, белая")</f>
      </c>
      <c r="C29091" s="4" t="n">
        <v>948.00</v>
      </c>
      <c r="D29091" s="4"/>
    </row>
    <row collapsed="" customFormat="false" customHeight="1" hidden="" ht="14" outlineLevel="0" r="29092">
      <c r="A29092" s="3" t="inlineStr">
        <is>
          <t>28961</t>
        </is>
      </c>
      <c r="B29092" s="4" t="s">
        <f>=HYPERLINK("http://anyluxury.ru/shop/upakovka/podarochnye-korobki/korobka-couple-cup-pod-2-kruzhki-malaya-kraft-1517600/" , "15176.00 Коробка Couple Cup под 2 кружки, малая, крафт")</f>
      </c>
      <c r="C29092" s="4" t="n">
        <v>64.00</v>
      </c>
      <c r="D29092" s="4"/>
    </row>
    <row collapsed="" customFormat="false" customHeight="1" hidden="" ht="14" outlineLevel="0" r="29093">
      <c r="A29093" s="3" t="inlineStr">
        <is>
          <t>28962</t>
        </is>
      </c>
      <c r="B29093" s="4" t="s">
        <f>=HYPERLINK("http://anyluxury.ru/shop/upakovka/podarochnye-korobki/korobka-couple-cup-pod-2-kruzhki-malaya-belaya-1517660/" , "15176.60 Коробка Couple Cup под 2 кружки, малая, белая")</f>
      </c>
      <c r="C29093" s="4" t="n">
        <v>64.00</v>
      </c>
      <c r="D29093" s="4"/>
    </row>
    <row collapsed="" customFormat="false" customHeight="1" hidden="" ht="14" outlineLevel="0" r="29094">
      <c r="A29094" s="3" t="inlineStr">
        <is>
          <t>28963</t>
        </is>
      </c>
      <c r="B29094" s="4" t="s">
        <f>=HYPERLINK("http://anyluxury.ru/shop/upakovka/podarochnye-korobki/korobka-couple-cup-pod-2-kruzhki-bolshaya-kraft-1517700/" , "15177.00 Коробка Couple Cup под 2 кружки, большая, крафт")</f>
      </c>
      <c r="C29094" s="4" t="n">
        <v>69.00</v>
      </c>
      <c r="D29094" s="4"/>
    </row>
    <row collapsed="" customFormat="false" customHeight="1" hidden="" ht="14" outlineLevel="0" r="29095">
      <c r="A29095" s="3" t="inlineStr">
        <is>
          <t>28964</t>
        </is>
      </c>
      <c r="B29095" s="4" t="s">
        <f>=HYPERLINK("http://anyluxury.ru/shop/upakovka/podarochnye-korobki/korobka-couple-cup-pod-2-kruzhki-bolshaya-belaya-1517760/" , "15177.60 Коробка Couple Cup под 2 кружки, большая, белая")</f>
      </c>
      <c r="C29095" s="4" t="n">
        <v>69.00</v>
      </c>
      <c r="D29095" s="4"/>
    </row>
    <row collapsed="" customFormat="false" customHeight="1" hidden="" ht="14" outlineLevel="0" r="29096">
      <c r="A29096" s="3" t="inlineStr">
        <is>
          <t>28965</t>
        </is>
      </c>
      <c r="B29096" s="4" t="s">
        <f>=HYPERLINK("http://anyluxury.ru/shop/upakovka/podarochnye-korobki/korobka-handtake-kraft-1517800/" , "15178.00 Коробка Handtake, крафт")</f>
      </c>
      <c r="C29096" s="4" t="n">
        <v>40.00</v>
      </c>
      <c r="D29096" s="4"/>
    </row>
    <row collapsed="" customFormat="false" customHeight="1" hidden="" ht="14" outlineLevel="0" r="29097">
      <c r="A29097" s="3" t="inlineStr">
        <is>
          <t>28966</t>
        </is>
      </c>
      <c r="B29097" s="4" t="s">
        <f>=HYPERLINK("http://anyluxury.ru/shop/upakovka/podarochnye-korobki/korobka-handtake-belaya-1517860/" , "15178.60 Коробка Handtake, белая")</f>
      </c>
      <c r="C29097" s="4" t="n">
        <v>40.00</v>
      </c>
      <c r="D29097" s="4"/>
    </row>
    <row collapsed="" customFormat="false" customHeight="1" hidden="" ht="14" outlineLevel="0" r="29098">
      <c r="A29098" s="3" t="inlineStr">
        <is>
          <t>28967</t>
        </is>
      </c>
      <c r="B29098" s="4" t="s">
        <f>=HYPERLINK("http://anyluxury.ru/shop/upakovka/podarochnye-korobki/korobka-planning-serebristaya-1061910/" , "10619.10 Коробка Planning, серебристая")</f>
      </c>
      <c r="C29098" s="4" t="n">
        <v>483.00</v>
      </c>
      <c r="D29098" s="4"/>
    </row>
    <row collapsed="" customFormat="false" customHeight="1" hidden="" ht="14" outlineLevel="0" r="29099">
      <c r="A29099" s="3" t="inlineStr">
        <is>
          <t>28968</t>
        </is>
      </c>
      <c r="B29099" s="4" t="s">
        <f>=HYPERLINK("http://anyluxury.ru/shop/upakovka/podarochnye-korobki/korobka-planning-s-lozhementom-pod-nabor-s-planingom-ezhednevnikom-ruchkoy-i-akkumulyatorom-serebristaya-1961911/" , "19619.11 Коробка Planning с ложементом под набор с планингом, ежедневником, ручкой и аккумулятором, серебристая")</f>
      </c>
      <c r="C29099" s="4" t="n">
        <v>851.00</v>
      </c>
      <c r="D29099" s="4"/>
    </row>
    <row collapsed="" customFormat="false" customHeight="1" hidden="" ht="14" outlineLevel="0" r="29100">
      <c r="A29100" s="3" t="inlineStr">
        <is>
          <t>28969</t>
        </is>
      </c>
      <c r="B29100" s="4" t="s">
        <f>=HYPERLINK("http://anyluxury.ru/shop/upakovka/podarochnye-korobki/korobka-planning-s-lozhementom-pod-nabor-s-planingom-ezhednevnikom-ruchkoy-i-vizitnicey-serebristaya-1961912/" , "19619.12 Коробка Planning с ложементом под набор с планингом, ежедневником, ручкой и визитницей, серебристая")</f>
      </c>
      <c r="C29100" s="4" t="n">
        <v>851.00</v>
      </c>
      <c r="D29100" s="4"/>
    </row>
    <row collapsed="" customFormat="false" customHeight="1" hidden="" ht="14" outlineLevel="0" r="29101">
      <c r="A29101" s="3" t="inlineStr">
        <is>
          <t>28970</t>
        </is>
      </c>
      <c r="B29101" s="4" t="s">
        <f>=HYPERLINK("http://anyluxury.ru/shop/upakovka/podarochnye-korobki/korobka-duo-pod-ezhednevnik-i-ruchku-oranzhevaya-163920/" , "1639.20 Коробка Duo под ежедневник и ручку, оранжевая")</f>
      </c>
      <c r="C29101" s="4" t="n">
        <v>488.00</v>
      </c>
      <c r="D29101" s="4"/>
    </row>
    <row collapsed="" customFormat="false" customHeight="1" hidden="" ht="14" outlineLevel="0" r="29102">
      <c r="A29102" s="3" t="inlineStr">
        <is>
          <t>28971</t>
        </is>
      </c>
      <c r="B29102" s="4" t="s">
        <f>=HYPERLINK("http://anyluxury.ru/shop/upakovka/podarochnye-korobki/korobka-duo-pod-ezhednevnik-i-ruchku-fioletovaya-163970/" , "1639.70 Коробка Duo под ежедневник и ручку, фиолетовая")</f>
      </c>
      <c r="C29102" s="4" t="n">
        <v>488.00</v>
      </c>
      <c r="D29102" s="4"/>
    </row>
    <row collapsed="" customFormat="false" customHeight="1" hidden="" ht="14" outlineLevel="0" r="29103">
      <c r="A29103" s="3" t="inlineStr">
        <is>
          <t>28972</t>
        </is>
      </c>
      <c r="B29103" s="4" t="s">
        <f>=HYPERLINK("http://anyluxury.ru/shop/upakovka/podarochnye-korobki/korobka-duo-pod-ezhednevnik-i-ruchku-krasnaya-163950/" , "1639.50 Коробка Duo под ежедневник и ручку, красная")</f>
      </c>
      <c r="C29103" s="4" t="n">
        <v>488.00</v>
      </c>
      <c r="D29103" s="4"/>
    </row>
    <row collapsed="" customFormat="false" customHeight="1" hidden="" ht="14" outlineLevel="0" r="29104">
      <c r="A29104" s="3" t="inlineStr">
        <is>
          <t>28973</t>
        </is>
      </c>
      <c r="B29104" s="4" t="s">
        <f>=HYPERLINK("http://anyluxury.ru/shop/upakovka/podarochnye-korobki/korobka-duo-pod-ezhednevnik-i-ruchku-biryuzovaya-163914/" , "1639.14 Коробка Duo под ежедневник и ручку, бирюзовая")</f>
      </c>
      <c r="C29104" s="4" t="n">
        <v>488.00</v>
      </c>
      <c r="D29104" s="4"/>
    </row>
    <row collapsed="" customFormat="false" customHeight="1" hidden="" ht="14" outlineLevel="0" r="29105">
      <c r="A29105" s="3" t="inlineStr">
        <is>
          <t>28974</t>
        </is>
      </c>
      <c r="B29105" s="4" t="s">
        <f>=HYPERLINK("http://anyluxury.ru/shop/upakovka/podarochnye-korobki/korobka-handsel-1576560/" , "15765.60 Коробка Handsel")</f>
      </c>
      <c r="C29105" s="4" t="n">
        <v>560.00</v>
      </c>
      <c r="D29105" s="4"/>
    </row>
    <row collapsed="" customFormat="false" customHeight="1" hidden="" ht="14" outlineLevel="0" r="29106">
      <c r="A29106" s="3" t="inlineStr">
        <is>
          <t>28975</t>
        </is>
      </c>
      <c r="B29106" s="4" t="s">
        <f>=HYPERLINK("http://anyluxury.ru/shop/upakovka/podarochnye-korobki/kartonnaya-korobka-first-class-s-nadpisyu-snaruzhi-25328352/" , "253283.52 Картонная коробка First Class, с надписью снаружи")</f>
      </c>
      <c r="C29106" s="4" t="n">
        <v>480.00</v>
      </c>
      <c r="D29106" s="4"/>
    </row>
    <row collapsed="" customFormat="false" customHeight="1" hidden="" ht="14" outlineLevel="0" r="29107">
      <c r="A29107" s="3" t="inlineStr">
        <is>
          <t>28976</t>
        </is>
      </c>
      <c r="B29107" s="4" t="s">
        <f>=HYPERLINK("http://anyluxury.ru/shop/upakovka/podarochnye-korobki/kartonnaya-korobka-first-class-s-nadpisyu-vnutri-25328353/" , "253283.53 Картонная коробка First Class, с надписью внутри")</f>
      </c>
      <c r="C29107" s="4" t="n">
        <v>480.00</v>
      </c>
      <c r="D29107" s="4"/>
    </row>
    <row collapsed="" customFormat="false" customHeight="1" hidden="" ht="14" outlineLevel="0" r="29108">
      <c r="A29108" s="3" t="inlineStr">
        <is>
          <t>28977</t>
        </is>
      </c>
      <c r="B29108" s="4" t="s">
        <f>=HYPERLINK("http://anyluxury.ru/shop/upakovka/podarochnye-korobki/korobka-pack-in-style-fioletovaya-7200570/" , "72005.70 Коробка Pack In Style, фиолетовая")</f>
      </c>
      <c r="C29108" s="4" t="n">
        <v>426.00</v>
      </c>
      <c r="D29108" s="4"/>
    </row>
    <row collapsed="" customFormat="false" customHeight="1" hidden="" ht="14" outlineLevel="0" r="29109">
      <c r="A29109" s="3" t="inlineStr">
        <is>
          <t>28978</t>
        </is>
      </c>
      <c r="B29109" s="4" t="s">
        <f>=HYPERLINK("http://anyluxury.ru/shop/upakovka/podarochnye-korobki/korobka-pack-in-style-zheltaya-7200580/" , "72005.80 Коробка Pack In Style, желтая")</f>
      </c>
      <c r="C29109" s="4" t="n">
        <v>426.00</v>
      </c>
      <c r="D29109" s="4"/>
    </row>
    <row collapsed="" customFormat="false" customHeight="1" hidden="" ht="14" outlineLevel="0" r="29110">
      <c r="A29110" s="3" t="inlineStr">
        <is>
          <t>28979</t>
        </is>
      </c>
      <c r="B29110" s="4" t="s">
        <f>=HYPERLINK("http://anyluxury.ru/shop/upakovka/podarochnye-korobki/korobka-pack-in-style-zelenaya-7200590/" , "72005.90 Коробка Pack In Style, зеленая")</f>
      </c>
      <c r="C29110" s="4" t="n">
        <v>426.00</v>
      </c>
      <c r="D29110" s="4"/>
    </row>
    <row collapsed="" customFormat="false" customHeight="1" hidden="" ht="14" outlineLevel="0" r="29111">
      <c r="A29111" s="3" t="inlineStr">
        <is>
          <t>28980</t>
        </is>
      </c>
      <c r="B29111" s="4" t="s">
        <f>=HYPERLINK("http://anyluxury.ru/shop/upakovka/podarochnye-korobki/korobka-pack-in-style-biryuzovaya-7200542/" , "72005.42 Коробка Pack In Style, бирюзовая")</f>
      </c>
      <c r="C29111" s="4" t="n">
        <v>426.00</v>
      </c>
      <c r="D29111" s="4"/>
    </row>
    <row collapsed="" customFormat="false" customHeight="1" hidden="" ht="14" outlineLevel="0" r="29112">
      <c r="A29112" s="3" t="inlineStr">
        <is>
          <t>28981</t>
        </is>
      </c>
      <c r="B29112" s="4" t="s">
        <f>=HYPERLINK("http://anyluxury.ru/shop/upakovka/podarochnye-korobki/korobka-pack-in-style-rozovaya-fuksiya-7200515/" , "72005.15 Коробка Pack In Style, розовая (фуксия)")</f>
      </c>
      <c r="C29112" s="4" t="n">
        <v>426.00</v>
      </c>
      <c r="D29112" s="4"/>
    </row>
    <row collapsed="" customFormat="false" customHeight="1" hidden="" ht="14" outlineLevel="0" r="29113">
      <c r="A29113" s="3" t="inlineStr">
        <is>
          <t>28982</t>
        </is>
      </c>
      <c r="B29113" s="4" t="s">
        <f>=HYPERLINK("http://anyluxury.ru/shop/upakovka/podarochnye-korobki/korobka-pack-in-style-oranzhevaya-7200520/" , "72005.20 Коробка Pack In Style, оранжевая")</f>
      </c>
      <c r="C29113" s="4" t="n">
        <v>426.00</v>
      </c>
      <c r="D29113" s="4"/>
    </row>
    <row collapsed="" customFormat="false" customHeight="1" hidden="" ht="14" outlineLevel="0" r="29114">
      <c r="A29114" s="3" t="inlineStr">
        <is>
          <t>28983</t>
        </is>
      </c>
      <c r="B29114" s="4" t="s">
        <f>=HYPERLINK("http://anyluxury.ru/shop/upakovka/podarochnye-korobki/korobka-notes-s-lozhementom-dlya-ruchki-i-fleshki-sinyaya-1653140/" , "16531.40 Коробка Notes с ложементом для ручки и флешки, синяя")</f>
      </c>
      <c r="C29114" s="4" t="n">
        <v>270.00</v>
      </c>
      <c r="D29114" s="4"/>
    </row>
    <row collapsed="" customFormat="false" customHeight="1" hidden="" ht="14" outlineLevel="0" r="29115">
      <c r="A29115" s="3" t="inlineStr">
        <is>
          <t>28984</t>
        </is>
      </c>
      <c r="B29115" s="4" t="s">
        <f>=HYPERLINK("http://anyluxury.ru/shop/upakovka/podarochnye-korobki/korobka-notes-s-lozhementom-dlya-ruchki-i-fleshki-zelenaya-1653190/" , "16531.90 Коробка Notes с ложементом для ручки и флешки, зеленая")</f>
      </c>
      <c r="C29115" s="4" t="n">
        <v>270.00</v>
      </c>
      <c r="D29115" s="4"/>
    </row>
    <row collapsed="" customFormat="false" customHeight="1" hidden="" ht="14" outlineLevel="0" r="29116">
      <c r="A29116" s="3" t="inlineStr">
        <is>
          <t>28985</t>
        </is>
      </c>
      <c r="B29116" s="4" t="s">
        <f>=HYPERLINK("http://anyluxury.ru/shop/upakovka/podarochnye-korobki/korobka-notes-s-lozhementom-dlya-ruchki-i-fleshki-krasnaya-1653150/" , "16531.50 Коробка Notes с ложементом для ручки и флешки, красная")</f>
      </c>
      <c r="C29116" s="4" t="n">
        <v>270.00</v>
      </c>
      <c r="D29116" s="4"/>
    </row>
    <row collapsed="" customFormat="false" customHeight="1" hidden="" ht="14" outlineLevel="0" r="29117">
      <c r="A29117" s="3" t="inlineStr">
        <is>
          <t>28986</t>
        </is>
      </c>
      <c r="B29117" s="4" t="s">
        <f>=HYPERLINK("http://anyluxury.ru/shop/upakovka/podarochnye-korobki/korobka-selfmade-serebristaya-1561710/" , "15617.10 Коробка самосборная Selfmade, серебристая")</f>
      </c>
      <c r="C29117" s="4" t="n">
        <v>845.00</v>
      </c>
      <c r="D29117" s="4"/>
    </row>
    <row collapsed="" customFormat="false" customHeight="1" hidden="" ht="14" outlineLevel="0" r="29118">
      <c r="A29118" s="3" t="inlineStr">
        <is>
          <t>28987</t>
        </is>
      </c>
      <c r="B29118" s="4" t="s">
        <f>=HYPERLINK("http://anyluxury.ru/shop/upakovka/podarochnye-korobki/korobka-selfmade-belaya-1561760/" , "15617.60 Коробка самосборная Selfmade, белая")</f>
      </c>
      <c r="C29118" s="4" t="n">
        <v>845.00</v>
      </c>
      <c r="D29118" s="4"/>
    </row>
    <row collapsed="" customFormat="false" customHeight="1" hidden="" ht="14" outlineLevel="0" r="29119">
      <c r="A29119" s="3" t="inlineStr">
        <is>
          <t>28988</t>
        </is>
      </c>
      <c r="B29119" s="4" t="s">
        <f>=HYPERLINK("http://anyluxury.ru/shop/upakovka/podarochnye-korobki/korobka-selfmade-sinyaya-1561740/" , "15617.40 Коробка самосборная Selfmade, синяя")</f>
      </c>
      <c r="C29119" s="4" t="n">
        <v>845.00</v>
      </c>
      <c r="D29119" s="4"/>
    </row>
    <row collapsed="" customFormat="false" customHeight="1" hidden="" ht="14" outlineLevel="0" r="29120">
      <c r="A29120" s="3" t="inlineStr">
        <is>
          <t>28989</t>
        </is>
      </c>
      <c r="B29120" s="4" t="s">
        <f>=HYPERLINK("http://anyluxury.ru/shop/upakovka/podarochnye-korobki/korobkapodstavka-spicado-dlya-speciy-64601/" , "64601 Коробка-подставка Spicado для специй")</f>
      </c>
      <c r="C29120" s="4" t="n">
        <v>480.00</v>
      </c>
      <c r="D29120" s="4"/>
    </row>
    <row collapsed="" customFormat="false" customHeight="1" hidden="" ht="14" outlineLevel="0" r="29121">
      <c r="A29121" s="3" t="inlineStr">
        <is>
          <t>28990</t>
        </is>
      </c>
      <c r="B29121" s="4" t="s">
        <f>=HYPERLINK("http://anyluxury.ru/shop/upakovka/podarochnye-korobki/korobka-matter-svetlosinyaya-761041/" , "7610.41 Коробка Matter, светло-синяя")</f>
      </c>
      <c r="C29121" s="4" t="n">
        <v>635.00</v>
      </c>
      <c r="D29121" s="4"/>
    </row>
    <row collapsed="" customFormat="false" customHeight="1" hidden="" ht="14" outlineLevel="0" r="29122">
      <c r="A29122" s="3" t="inlineStr">
        <is>
          <t>28991</t>
        </is>
      </c>
      <c r="B29122" s="4" t="s">
        <f>=HYPERLINK("http://anyluxury.ru/shop/upakovka/podarochnye-korobki/korobka-koffer-zolotistobelaya-787361/" , "7873.61 Коробка Koffer, золотисто-белая")</f>
      </c>
      <c r="C29122" s="4" t="n">
        <v>917.00</v>
      </c>
      <c r="D29122" s="4"/>
    </row>
    <row collapsed="" customFormat="false" customHeight="1" hidden="" ht="14" outlineLevel="0" r="29123">
      <c r="A29123" s="3" t="inlineStr">
        <is>
          <t>28992</t>
        </is>
      </c>
      <c r="B29123" s="4" t="s">
        <f>=HYPERLINK("http://anyluxury.ru/shop/upakovka/podarochnye-korobki/korobka-dlya-butilki-vinci-kraft-1919100/" , "19191.00 Коробка для бутылки Vinci, крафт")</f>
      </c>
      <c r="C29123" s="4" t="n">
        <v>100.00</v>
      </c>
      <c r="D29123" s="4"/>
    </row>
    <row collapsed="" customFormat="false" customHeight="1" hidden="" ht="14" outlineLevel="0" r="29124">
      <c r="A29124" s="3" t="inlineStr">
        <is>
          <t>28993</t>
        </is>
      </c>
      <c r="B29124" s="4" t="s">
        <f>=HYPERLINK("http://anyluxury.ru/shop/upakovka/podarochnye-korobki/korobka-dlya-butilki-vinci-belaya-1919160/" , "19191.60 Коробка для бутылки Vinci, белая")</f>
      </c>
      <c r="C29124" s="4" t="n">
        <v>100.00</v>
      </c>
      <c r="D29124" s="4"/>
    </row>
    <row collapsed="" customFormat="false" customHeight="1" hidden="" ht="14" outlineLevel="0" r="29125">
      <c r="A29125" s="3" t="inlineStr">
        <is>
          <t>28994</t>
        </is>
      </c>
      <c r="B29125" s="4" t="s">
        <f>=HYPERLINK("http://anyluxury.ru/shop/upakovka/podarochnye-korobki/korobka-dlya-dvuh-butilok-vinci-duo-kraft-1919200/" , "19192.00 Коробка для двух бутылок Vinci Duo, крафт")</f>
      </c>
      <c r="C29125" s="4" t="n">
        <v>120.00</v>
      </c>
      <c r="D29125" s="4"/>
    </row>
    <row collapsed="" customFormat="false" customHeight="1" hidden="" ht="14" outlineLevel="0" r="29126">
      <c r="A29126" s="3" t="inlineStr">
        <is>
          <t>28995</t>
        </is>
      </c>
      <c r="B29126" s="4" t="s">
        <f>=HYPERLINK("http://anyluxury.ru/shop/upakovka/podarochnye-korobki/korobka-dlya-dvuh-butilok-vinci-duo-belaya-1919260/" , "19192.60 Коробка для двух бутылок Vinci Duo, белая")</f>
      </c>
      <c r="C29126" s="4" t="n">
        <v>120.00</v>
      </c>
      <c r="D29126" s="4"/>
    </row>
    <row collapsed="" customFormat="false" customHeight="1" hidden="" ht="14" outlineLevel="0" r="29127">
      <c r="A29127" s="3" t="inlineStr">
        <is>
          <t>28996</t>
        </is>
      </c>
      <c r="B29127" s="4" t="s">
        <f>=HYPERLINK("http://anyluxury.ru/shop/upakovka/podarochnye-korobki/derevyanniy-yashhik-eske-s-20228/" , "20228 Деревянный ящик Eske, S")</f>
      </c>
      <c r="C29127" s="4" t="n">
        <v>600.00</v>
      </c>
      <c r="D29127" s="4"/>
    </row>
    <row collapsed="" customFormat="false" customHeight="1" hidden="" ht="14" outlineLevel="0" r="29128">
      <c r="A29128" s="3" t="inlineStr">
        <is>
          <t>28997</t>
        </is>
      </c>
      <c r="B29128" s="4" t="s">
        <f>=HYPERLINK("http://anyluxury.ru/shop/upakovka/podarochnye-korobki/korobka-samosbornaya-light-case-kraft-s-beloy-ruchkoy-1916760/" , "19167.60 Коробка самосборная Light Case, крафт, с белой ручкой")</f>
      </c>
      <c r="C29128" s="4" t="n">
        <v>150.00</v>
      </c>
      <c r="D29128" s="4"/>
    </row>
    <row collapsed="" customFormat="false" customHeight="1" hidden="" ht="14" outlineLevel="0" r="29129">
      <c r="A29129" s="3" t="inlineStr">
        <is>
          <t>28998</t>
        </is>
      </c>
      <c r="B29129" s="4" t="s">
        <f>=HYPERLINK("http://anyluxury.ru/shop/upakovka/podarochnye-korobki/korobka-samosbornaya-light-case-kraft-s-chernoy-ruchkoy-1916730/" , "19167.30 Коробка самосборная Light Case, крафт, с черной ручкой")</f>
      </c>
      <c r="C29129" s="4" t="n">
        <v>150.00</v>
      </c>
      <c r="D29129" s="4"/>
    </row>
    <row collapsed="" customFormat="false" customHeight="1" hidden="" ht="14" outlineLevel="0" r="29130">
      <c r="A29130" s="3" t="inlineStr">
        <is>
          <t>28999</t>
        </is>
      </c>
      <c r="B29130" s="4" t="s">
        <f>=HYPERLINK("http://anyluxury.ru/shop/upakovka/podarochnye-korobki/korobka-samosbornaya-light-case-belaya-s-beloy-ruchkoy-1916761/" , "19167.61 Коробка самосборная Light Case, белая, с белой ручкой")</f>
      </c>
      <c r="C29130" s="4" t="n">
        <v>150.00</v>
      </c>
      <c r="D29130" s="4"/>
    </row>
    <row collapsed="" customFormat="false" customHeight="1" hidden="" ht="14" outlineLevel="0" r="29131">
      <c r="A29131" s="3" t="inlineStr">
        <is>
          <t>29000</t>
        </is>
      </c>
      <c r="B29131" s="4" t="s">
        <f>=HYPERLINK("http://anyluxury.ru/shop/upakovka/podarochnye-korobki/korobka-samosbornaya-light-case-belaya-s-chernoy-ruchkoy-1916763/" , "19167.63 Коробка самосборная Light Case, белая, с черной ручкой")</f>
      </c>
      <c r="C29131" s="4" t="n">
        <v>150.00</v>
      </c>
      <c r="D29131" s="4"/>
    </row>
    <row collapsed="" customFormat="false" customHeight="1" hidden="" ht="14" outlineLevel="0" r="29132">
      <c r="A29132" s="3" t="inlineStr">
        <is>
          <t>29001</t>
        </is>
      </c>
      <c r="B29132" s="4" t="s">
        <f>=HYPERLINK("http://anyluxury.ru/shop/upakovka/podarochnye-korobki/korobka-samosbornaya-rainmate-dlya-zontatrosti-chernaya-s-beloy-ruchkoy-1916836/" , "19168.36 Коробка самосборная Rainmate для зонта-трости, черная, с белой ручкой")</f>
      </c>
      <c r="C29132" s="4" t="n">
        <v>270.00</v>
      </c>
      <c r="D29132" s="4"/>
    </row>
    <row collapsed="" customFormat="false" customHeight="1" hidden="" ht="14" outlineLevel="0" r="29133">
      <c r="A29133" s="3" t="inlineStr">
        <is>
          <t>29002</t>
        </is>
      </c>
      <c r="B29133" s="4" t="s">
        <f>=HYPERLINK("http://anyluxury.ru/shop/upakovka/podarochnye-korobki/korobka-samosbornaya-rainmate-dlya-zontatrosti-chernaya-s-chernoy-ruchkoy-1916830/" , "19168.30 Коробка самосборная Rainmate для зонта-трости, черная, с черной ручкой")</f>
      </c>
      <c r="C29133" s="4" t="n">
        <v>270.00</v>
      </c>
      <c r="D29133" s="4"/>
    </row>
    <row collapsed="" customFormat="false" customHeight="1" hidden="" ht="14" outlineLevel="0" r="29134">
      <c r="A29134" s="3" t="inlineStr">
        <is>
          <t>29003</t>
        </is>
      </c>
      <c r="B29134" s="4" t="s">
        <f>=HYPERLINK("http://anyluxury.ru/shop/upakovka/podarochnye-korobki/tubus-teaparty-ver-2-cherniy-1767530/" , "17675.30 Тубус TeaParty ver. 2, черный")</f>
      </c>
      <c r="C29134" s="4" t="n">
        <v>140.00</v>
      </c>
      <c r="D29134" s="4"/>
    </row>
    <row collapsed="" customFormat="false" customHeight="1" hidden="" ht="14" outlineLevel="0" r="29135">
      <c r="A29135" s="3" t="inlineStr">
        <is>
          <t>29004</t>
        </is>
      </c>
      <c r="B29135" s="4" t="s">
        <f>=HYPERLINK("http://anyluxury.ru/shop/upakovka/podarochnye-korobki/tubus-teaparty-ver-2-siniy-1767540/" , "17675.40 Тубус TeaParty ver. 2, синий")</f>
      </c>
      <c r="C29135" s="4" t="n">
        <v>140.00</v>
      </c>
      <c r="D29135" s="4"/>
    </row>
    <row collapsed="" customFormat="false" customHeight="1" hidden="" ht="14" outlineLevel="0" r="29136">
      <c r="A29136" s="3" t="inlineStr">
        <is>
          <t>29005</t>
        </is>
      </c>
      <c r="B29136" s="4" t="s">
        <f>=HYPERLINK("http://anyluxury.ru/shop/upakovka/podarochnye-korobki/tubus-teaparty-ver-2-beliy-1767560/" , "17675.60 Тубус TeaParty ver. 2, белый")</f>
      </c>
      <c r="C29136" s="4" t="n">
        <v>140.00</v>
      </c>
      <c r="D29136" s="4"/>
    </row>
    <row collapsed="" customFormat="false" customHeight="1" hidden="" ht="14" outlineLevel="0" r="29137">
      <c r="A29137" s="3" t="inlineStr">
        <is>
          <t>29006</t>
        </is>
      </c>
      <c r="B29137" s="4" t="s">
        <f>=HYPERLINK("http://anyluxury.ru/shop/upakovka/podarochnye-korobki/korobka-kuori-pod-oblozhku-i-chehol-dlya-kart-chernaya-2219730/" , "22197.30 Коробка Kuori под обложку и чехол для карт, черная")</f>
      </c>
      <c r="C29137" s="4" t="n">
        <v>590.00</v>
      </c>
      <c r="D29137" s="4"/>
    </row>
    <row collapsed="" customFormat="false" customHeight="1" hidden="" ht="14" outlineLevel="0" r="29138">
      <c r="A29138" s="3" t="inlineStr">
        <is>
          <t>29007</t>
        </is>
      </c>
      <c r="B29138" s="4" t="s">
        <f>=HYPERLINK("http://anyluxury.ru/shop/upakovka/podarochnye-korobki/korobka-roomy-s-lozhementom-pod-ezhednevnik-i-ruchku-seraya-1828610/" , "18286.10 Коробка Roomy с ложементом под ежедневник и ручку, серая")</f>
      </c>
      <c r="C29138" s="4" t="n">
        <v>870.00</v>
      </c>
      <c r="D29138" s="4"/>
    </row>
    <row collapsed="" customFormat="false" customHeight="1" hidden="" ht="14" outlineLevel="0" r="29139">
      <c r="A29139" s="3" t="inlineStr">
        <is>
          <t>29008</t>
        </is>
      </c>
      <c r="B29139" s="4" t="s">
        <f>=HYPERLINK("http://anyluxury.ru/shop/upakovka/podarochnye-korobki/korobka-roomy-s-lozhementom-pod-ezhednevnik-i-ruchku-chernaya-1828630/" , "18286.30 Коробка Roomy с ложементом под ежедневник и ручку, черная")</f>
      </c>
      <c r="C29139" s="4" t="n">
        <v>870.00</v>
      </c>
      <c r="D29139" s="4"/>
    </row>
    <row collapsed="" customFormat="false" customHeight="" hidden="" ht="12.1" outlineLevel="0" r="29140">
      <c r="A29140" s="5" t="inlineStr">
        <is>
          <t> -  - Подарочные пакеты</t>
        </is>
      </c>
      <c r="B29140" s="6"/>
      <c r="C29140" s="6"/>
      <c r="D29140" s="6"/>
    </row>
    <row collapsed="" customFormat="false" customHeight="1" hidden="" ht="14" outlineLevel="0" r="29141">
      <c r="A29141" s="3" t="inlineStr">
        <is>
          <t>29009</t>
        </is>
      </c>
      <c r="B29141" s="4" t="s">
        <f>=HYPERLINK("http://anyluxury.ru/shop/upakovka/podarochnye-pakety/paket-podarochnyy-s-simvolikoy-chm-fifa-2018-34-28-9-sm-glyantsevyy-zelenyy/" , "Т11903 Пакет подарочный FIFA-2018 34х28х9 см, глянцевый, зеленый")</f>
      </c>
      <c r="C29141" s="4" t="n">
        <v>103.00</v>
      </c>
      <c r="D29141" s="4"/>
    </row>
    <row collapsed="" customFormat="false" customHeight="1" hidden="" ht="14" outlineLevel="0" r="29142">
      <c r="A29142" s="3" t="inlineStr">
        <is>
          <t>29010</t>
        </is>
      </c>
      <c r="B29142" s="4" t="s">
        <f>=HYPERLINK("http://anyluxury.ru/shop/upakovka/podarochnye-pakety/paket-bumazhniy-blesk-sredniy-siniy-586740/" , "5867.40 Пакет бумажный «Блеск», средний, синий")</f>
      </c>
      <c r="C29142" s="4" t="n">
        <v>304.00</v>
      </c>
      <c r="D29142" s="4"/>
    </row>
    <row collapsed="" customFormat="false" customHeight="1" hidden="" ht="14" outlineLevel="0" r="29143">
      <c r="A29143" s="3" t="inlineStr">
        <is>
          <t>29011</t>
        </is>
      </c>
      <c r="B29143" s="4" t="s">
        <f>=HYPERLINK("http://anyluxury.ru/shop/upakovka/podarochnye-pakety/paket-bumazhniy-blesk-sredniy-serebristiy-586710/" , "5867.10 Пакет бумажный «Блеск», средний, серебристый")</f>
      </c>
      <c r="C29143" s="4" t="n">
        <v>304.00</v>
      </c>
      <c r="D29143" s="4"/>
    </row>
    <row collapsed="" customFormat="false" customHeight="1" hidden="" ht="14" outlineLevel="0" r="29144">
      <c r="A29144" s="3" t="inlineStr">
        <is>
          <t>29012</t>
        </is>
      </c>
      <c r="B29144" s="4" t="s">
        <f>=HYPERLINK("http://anyluxury.ru/shop/upakovka/podarochnye-pakety/paket-bumazhniy-blesk-bolshoy-siniy-586840/" , "5868.40 Пакет бумажный «Блеск», большой, синий")</f>
      </c>
      <c r="C29144" s="4" t="n">
        <v>436.00</v>
      </c>
      <c r="D29144" s="4"/>
    </row>
    <row collapsed="" customFormat="false" customHeight="1" hidden="" ht="14" outlineLevel="0" r="29145">
      <c r="A29145" s="3" t="inlineStr">
        <is>
          <t>29013</t>
        </is>
      </c>
      <c r="B29145" s="4" t="s">
        <f>=HYPERLINK("http://anyluxury.ru/shop/upakovka/podarochnye-pakety/paket-bumazhniy-blesk-bolshoy-serebristiy-586810/" , "5868.10 Пакет бумажный «Блеск», большой, серебристый")</f>
      </c>
      <c r="C29145" s="4" t="n">
        <v>436.00</v>
      </c>
      <c r="D29145" s="4"/>
    </row>
    <row collapsed="" customFormat="false" customHeight="1" hidden="" ht="14" outlineLevel="0" r="29146">
      <c r="A29146" s="3" t="inlineStr">
        <is>
          <t>29014</t>
        </is>
      </c>
      <c r="B29146" s="4" t="s">
        <f>=HYPERLINK("http://anyluxury.ru/shop/upakovka/podarochnye-pakety/paket-kraft-m-1155/" , "1155 Пакет «Крафт», M, неокрашенный")</f>
      </c>
      <c r="C29146" s="4" t="n">
        <v>140.00</v>
      </c>
      <c r="D29146" s="4"/>
    </row>
    <row collapsed="" customFormat="false" customHeight="1" hidden="" ht="14" outlineLevel="0" r="29147">
      <c r="A29147" s="3" t="inlineStr">
        <is>
          <t>29015</t>
        </is>
      </c>
      <c r="B29147" s="4" t="s">
        <f>=HYPERLINK("http://anyluxury.ru/shop/upakovka/podarochnye-pakety/paket-kraft-xs-7555/" , "7555 Пакет «Крафт», XS, неокрашенный")</f>
      </c>
      <c r="C29147" s="4" t="n">
        <v>83.00</v>
      </c>
      <c r="D29147" s="4"/>
    </row>
    <row collapsed="" customFormat="false" customHeight="1" hidden="" ht="14" outlineLevel="0" r="29148">
      <c r="A29148" s="3" t="inlineStr">
        <is>
          <t>29016</t>
        </is>
      </c>
      <c r="B29148" s="4" t="s">
        <f>=HYPERLINK("http://anyluxury.ru/shop/upakovka/podarochnye-pakety/paket-kraft-s-7556/" , "7556 Пакет «Крафт», S, неокрашенный")</f>
      </c>
      <c r="C29148" s="4" t="n">
        <v>115.00</v>
      </c>
      <c r="D29148" s="4"/>
    </row>
    <row collapsed="" customFormat="false" customHeight="1" hidden="" ht="14" outlineLevel="0" r="29149">
      <c r="A29149" s="3" t="inlineStr">
        <is>
          <t>29017</t>
        </is>
      </c>
      <c r="B29149" s="4" t="s">
        <f>=HYPERLINK("http://anyluxury.ru/shop/upakovka/podarochnye-pakety/paket-ample-m-beliy-744060/" , "7440.60 Пакет Ample M, белый")</f>
      </c>
      <c r="C29149" s="4" t="n">
        <v>210.00</v>
      </c>
      <c r="D29149" s="4"/>
    </row>
    <row collapsed="" customFormat="false" customHeight="1" hidden="" ht="14" outlineLevel="0" r="29150">
      <c r="A29150" s="3" t="inlineStr">
        <is>
          <t>29018</t>
        </is>
      </c>
      <c r="B29150" s="4" t="s">
        <f>=HYPERLINK("http://anyluxury.ru/shop/upakovka/podarochnye-pakety/paket-ample-l-beliy-753060/" , "7530.60 Пакет Ample L, белый")</f>
      </c>
      <c r="C29150" s="4" t="n">
        <v>444.00</v>
      </c>
      <c r="D29150" s="4"/>
    </row>
    <row collapsed="" customFormat="false" customHeight="1" hidden="" ht="14" outlineLevel="0" r="29151">
      <c r="A29151" s="3" t="inlineStr">
        <is>
          <t>29019</t>
        </is>
      </c>
      <c r="B29151" s="4" t="s">
        <f>=HYPERLINK("http://anyluxury.ru/shop/upakovka/podarochnye-pakety/paket-ample-l-cherniy-753030/" , "7530.30 Пакет Ample L, черный")</f>
      </c>
      <c r="C29151" s="4" t="n">
        <v>444.00</v>
      </c>
      <c r="D29151" s="4"/>
    </row>
    <row collapsed="" customFormat="false" customHeight="1" hidden="" ht="14" outlineLevel="0" r="29152">
      <c r="A29152" s="3" t="inlineStr">
        <is>
          <t>29020</t>
        </is>
      </c>
      <c r="B29152" s="4" t="s">
        <f>=HYPERLINK("http://anyluxury.ru/shop/upakovka/podarochnye-pakety/paket-ample-l-siniy-753040/" , "7530.40 Пакет Ample L, синий")</f>
      </c>
      <c r="C29152" s="4" t="n">
        <v>444.00</v>
      </c>
      <c r="D29152" s="4"/>
    </row>
    <row collapsed="" customFormat="false" customHeight="1" hidden="" ht="14" outlineLevel="0" r="29153">
      <c r="A29153" s="3" t="inlineStr">
        <is>
          <t>29021</t>
        </is>
      </c>
      <c r="B29153" s="4" t="s">
        <f>=HYPERLINK("http://anyluxury.ru/shop/upakovka/podarochnye-pakety/paket-bumazhniy-blesk-sredniy-beliy-586760/" , "5867.60 Пакет бумажный «Блеск», средний, белый")</f>
      </c>
      <c r="C29153" s="4" t="n">
        <v>304.00</v>
      </c>
      <c r="D29153" s="4"/>
    </row>
    <row collapsed="" customFormat="false" customHeight="1" hidden="" ht="14" outlineLevel="0" r="29154">
      <c r="A29154" s="3" t="inlineStr">
        <is>
          <t>29022</t>
        </is>
      </c>
      <c r="B29154" s="4" t="s">
        <f>=HYPERLINK("http://anyluxury.ru/shop/upakovka/podarochnye-pakety/paket-bumazhniy-blesk-bolshoy-beliy-586860/" , "5868.60 Пакет бумажный «Блеск», большой, белый")</f>
      </c>
      <c r="C29154" s="4" t="n">
        <v>436.00</v>
      </c>
      <c r="D29154" s="4"/>
    </row>
    <row collapsed="" customFormat="false" customHeight="1" hidden="" ht="14" outlineLevel="0" r="29155">
      <c r="A29155" s="3" t="inlineStr">
        <is>
          <t>29023</t>
        </is>
      </c>
      <c r="B29155" s="4" t="s">
        <f>=HYPERLINK("http://anyluxury.ru/shop/upakovka/podarochnye-pakety/paket-eco-style-siniy-7555740/" , "75557.40 Пакет Eco Style, синий")</f>
      </c>
      <c r="C29155" s="4" t="n">
        <v>222.00</v>
      </c>
      <c r="D29155" s="4"/>
    </row>
    <row collapsed="" customFormat="false" customHeight="1" hidden="" ht="14" outlineLevel="0" r="29156">
      <c r="A29156" s="3" t="inlineStr">
        <is>
          <t>29024</t>
        </is>
      </c>
      <c r="B29156" s="4" t="s">
        <f>=HYPERLINK("http://anyluxury.ru/shop/upakovka/podarochnye-pakety/paket-eco-style-cherniy-7555730/" , "75557.30 Пакет Eco Style, черный")</f>
      </c>
      <c r="C29156" s="4" t="n">
        <v>222.00</v>
      </c>
      <c r="D29156" s="4"/>
    </row>
    <row collapsed="" customFormat="false" customHeight="1" hidden="" ht="14" outlineLevel="0" r="29157">
      <c r="A29157" s="3" t="inlineStr">
        <is>
          <t>29025</t>
        </is>
      </c>
      <c r="B29157" s="4" t="s">
        <f>=HYPERLINK("http://anyluxury.ru/shop/upakovka/podarochnye-pakety/paket-eco-style-beliy-7555760/" , "75557.60 Пакет Eco Style, белый")</f>
      </c>
      <c r="C29157" s="4" t="n">
        <v>222.00</v>
      </c>
      <c r="D29157" s="4"/>
    </row>
    <row collapsed="" customFormat="false" customHeight="1" hidden="" ht="14" outlineLevel="0" r="29158">
      <c r="A29158" s="3" t="inlineStr">
        <is>
          <t>29026</t>
        </is>
      </c>
      <c r="B29158" s="4" t="s">
        <f>=HYPERLINK("http://anyluxury.ru/shop/upakovka/podarochnye-pakety/paket-wide-siniy-7444040/" , "74440.40 Пакет Wide, синий")</f>
      </c>
      <c r="C29158" s="4" t="n">
        <v>174.00</v>
      </c>
      <c r="D29158" s="4"/>
    </row>
    <row collapsed="" customFormat="false" customHeight="1" hidden="" ht="14" outlineLevel="0" r="29159">
      <c r="A29159" s="3" t="inlineStr">
        <is>
          <t>29027</t>
        </is>
      </c>
      <c r="B29159" s="4" t="s">
        <f>=HYPERLINK("http://anyluxury.ru/shop/upakovka/podarochnye-pakety/paket-wide-cherniy-7444030/" , "74440.30 Пакет Wide, черный")</f>
      </c>
      <c r="C29159" s="4" t="n">
        <v>174.00</v>
      </c>
      <c r="D29159" s="4"/>
    </row>
    <row collapsed="" customFormat="false" customHeight="1" hidden="" ht="14" outlineLevel="0" r="29160">
      <c r="A29160" s="3" t="inlineStr">
        <is>
          <t>29028</t>
        </is>
      </c>
      <c r="B29160" s="4" t="s">
        <f>=HYPERLINK("http://anyluxury.ru/shop/upakovka/podarochnye-pakety/paket-wide-beliy-7444060/" , "74440.60 Пакет Wide, белый")</f>
      </c>
      <c r="C29160" s="4" t="n">
        <v>174.00</v>
      </c>
      <c r="D29160" s="4"/>
    </row>
    <row collapsed="" customFormat="false" customHeight="1" hidden="" ht="14" outlineLevel="0" r="29161">
      <c r="A29161" s="3" t="inlineStr">
        <is>
          <t>29029</t>
        </is>
      </c>
      <c r="B29161" s="4" t="s">
        <f>=HYPERLINK("http://anyluxury.ru/shop/upakovka/podarochnye-pakety/paket-pod-butilku-vindemia-beliy-7555660/" , "75556.60 Пакет под бутылку Vindemia, белый")</f>
      </c>
      <c r="C29161" s="4" t="n">
        <v>177.00</v>
      </c>
      <c r="D29161" s="4"/>
    </row>
    <row collapsed="" customFormat="false" customHeight="1" hidden="" ht="14" outlineLevel="0" r="29162">
      <c r="A29162" s="3" t="inlineStr">
        <is>
          <t>29030</t>
        </is>
      </c>
      <c r="B29162" s="4" t="s">
        <f>=HYPERLINK("http://anyluxury.ru/shop/upakovka/podarochnye-pakety/paket-polietilenoviy-draft-sredniy-beliy-19018/" , "19018 Пакет полиэтиленовый Draft, средний, белый")</f>
      </c>
      <c r="C29162" s="4" t="n">
        <v>22.20</v>
      </c>
      <c r="D29162" s="4"/>
    </row>
    <row collapsed="" customFormat="false" customHeight="1" hidden="" ht="14" outlineLevel="0" r="29163">
      <c r="A29163" s="3" t="inlineStr">
        <is>
          <t>29031</t>
        </is>
      </c>
      <c r="B29163" s="4" t="s">
        <f>=HYPERLINK("http://anyluxury.ru/shop/upakovka/podarochnye-pakety/paket-polietilenoviy-draft-bolshoy-beliy-19019/" , "19019 Пакет полиэтиленовый Draft, большой, белый")</f>
      </c>
      <c r="C29163" s="4" t="n">
        <v>28.30</v>
      </c>
      <c r="D29163" s="4"/>
    </row>
    <row collapsed="" customFormat="false" customHeight="1" hidden="" ht="14" outlineLevel="0" r="29164">
      <c r="A29164" s="3" t="inlineStr">
        <is>
          <t>29032</t>
        </is>
      </c>
      <c r="B29164" s="4" t="s">
        <f>=HYPERLINK("http://anyluxury.ru/shop/upakovka/podarochnye-pakety/paket-kraft-beliy-m-115560/" , "1155.60 Пакет «Крафт», M, белый")</f>
      </c>
      <c r="C29164" s="4" t="n">
        <v>140.00</v>
      </c>
      <c r="D29164" s="4"/>
    </row>
    <row collapsed="" customFormat="false" customHeight="1" hidden="" ht="14" outlineLevel="0" r="29165">
      <c r="A29165" s="3" t="inlineStr">
        <is>
          <t>29033</t>
        </is>
      </c>
      <c r="B29165" s="4" t="s">
        <f>=HYPERLINK("http://anyluxury.ru/shop/upakovka/podarochnye-pakety/paket-kraft-s-beliy-755660/" , "7556.60 Пакет «Крафт», S, белый")</f>
      </c>
      <c r="C29165" s="4" t="n">
        <v>115.00</v>
      </c>
      <c r="D29165" s="4"/>
    </row>
    <row collapsed="" customFormat="false" customHeight="1" hidden="" ht="14" outlineLevel="0" r="29166">
      <c r="A29166" s="3" t="inlineStr">
        <is>
          <t>29034</t>
        </is>
      </c>
      <c r="B29166" s="4" t="s">
        <f>=HYPERLINK("http://anyluxury.ru/shop/upakovka/podarochnye-pakety/paket-kraft-xs-beliy-755560/" , "7555.60 Пакет «Крафт», XS, белый")</f>
      </c>
      <c r="C29166" s="4" t="n">
        <v>83.00</v>
      </c>
      <c r="D29166" s="4"/>
    </row>
    <row collapsed="" customFormat="false" customHeight="1" hidden="" ht="14" outlineLevel="0" r="29167">
      <c r="A29167" s="3" t="inlineStr">
        <is>
          <t>29035</t>
        </is>
      </c>
      <c r="B29167" s="4" t="s">
        <f>=HYPERLINK("http://anyluxury.ru/shop/upakovka/podarochnye-pakety/paket-polietilenoviy-draft-maliy-beliy-19017/" , "19017 Пакет полиэтиленовый Draft, малый, белый")</f>
      </c>
      <c r="C29167" s="4" t="n">
        <v>13.60</v>
      </c>
      <c r="D29167" s="4"/>
    </row>
    <row collapsed="" customFormat="false" customHeight="1" hidden="" ht="14" outlineLevel="0" r="29168">
      <c r="A29168" s="3" t="inlineStr">
        <is>
          <t>29036</t>
        </is>
      </c>
      <c r="B29168" s="4" t="s">
        <f>=HYPERLINK("http://anyluxury.ru/shop/upakovka/podarochnye-pakety/paket-pod-butilku-vindemia-cherniy-7555630/" , "75556.30 Пакет под бутылку Vindemia, черный")</f>
      </c>
      <c r="C29168" s="4" t="n">
        <v>177.00</v>
      </c>
      <c r="D29168" s="4"/>
    </row>
    <row collapsed="" customFormat="false" customHeight="1" hidden="" ht="14" outlineLevel="0" r="29169">
      <c r="A29169" s="3" t="inlineStr">
        <is>
          <t>29037</t>
        </is>
      </c>
      <c r="B29169" s="4" t="s">
        <f>=HYPERLINK("http://anyluxury.ru/shop/upakovka/podarochnye-pakety/paket-eco-style-bezheviy-7555700/" , "75557.00 Пакет Eco Style, бежевый")</f>
      </c>
      <c r="C29169" s="4" t="n">
        <v>222.00</v>
      </c>
      <c r="D29169" s="4"/>
    </row>
    <row collapsed="" customFormat="false" customHeight="1" hidden="" ht="14" outlineLevel="0" r="29170">
      <c r="A29170" s="3" t="inlineStr">
        <is>
          <t>29038</t>
        </is>
      </c>
      <c r="B29170" s="4" t="s">
        <f>=HYPERLINK("http://anyluxury.ru/shop/upakovka/podarochnye-pakety/paket-bumazhniy-rata-maliy-kraft-21253/" , "21253 Пакет бумажный Rata, малый, крафт")</f>
      </c>
      <c r="C29170" s="4" t="n">
        <v>25.00</v>
      </c>
      <c r="D29170" s="4"/>
    </row>
    <row collapsed="" customFormat="false" customHeight="1" hidden="" ht="14" outlineLevel="0" r="29171">
      <c r="A29171" s="3" t="inlineStr">
        <is>
          <t>29039</t>
        </is>
      </c>
      <c r="B29171" s="4" t="s">
        <f>=HYPERLINK("http://anyluxury.ru/shop/upakovka/podarochnye-pakety/paket-bumazhniy-rata-bolshoy-kraft-21254/" , "21254 Пакет бумажный Rata, большой, крафт")</f>
      </c>
      <c r="C29171" s="4" t="n">
        <v>29.00</v>
      </c>
      <c r="D29171" s="4"/>
    </row>
    <row collapsed="" customFormat="false" customHeight="1" hidden="" ht="14" outlineLevel="0" r="29172">
      <c r="A29172" s="3" t="inlineStr">
        <is>
          <t>29040</t>
        </is>
      </c>
      <c r="B29172" s="4" t="s">
        <f>=HYPERLINK("http://anyluxury.ru/shop/upakovka/podarochnye-pakety/paket-wide-seriy-7444010/" , "74440.10 Пакет Wide, серый")</f>
      </c>
      <c r="C29172" s="4" t="n">
        <v>174.00</v>
      </c>
      <c r="D29172" s="4"/>
    </row>
    <row collapsed="" customFormat="false" customHeight="1" hidden="" ht="14" outlineLevel="0" r="29173">
      <c r="A29173" s="3" t="inlineStr">
        <is>
          <t>29041</t>
        </is>
      </c>
      <c r="B29173" s="4" t="s">
        <f>=HYPERLINK("http://anyluxury.ru/shop/upakovka/podarochnye-pakety/paket-wide-krasniy-7444050/" , "74440.50 Пакет Wide, красный")</f>
      </c>
      <c r="C29173" s="4" t="n">
        <v>174.00</v>
      </c>
      <c r="D29173" s="4"/>
    </row>
    <row collapsed="" customFormat="false" customHeight="1" hidden="" ht="14" outlineLevel="0" r="29174">
      <c r="A29174" s="3" t="inlineStr">
        <is>
          <t>29042</t>
        </is>
      </c>
      <c r="B29174" s="4" t="s">
        <f>=HYPERLINK("http://anyluxury.ru/shop/upakovka/podarochnye-pakety/paket-porta-bolshoy-seriy-1322310/" , "13223.10 Пакет бумажный Porta L, серый")</f>
      </c>
      <c r="C29174" s="4" t="n">
        <v>416.00</v>
      </c>
      <c r="D29174" s="4"/>
    </row>
    <row collapsed="" customFormat="false" customHeight="1" hidden="" ht="14" outlineLevel="0" r="29175">
      <c r="A29175" s="3" t="inlineStr">
        <is>
          <t>29043</t>
        </is>
      </c>
      <c r="B29175" s="4" t="s">
        <f>=HYPERLINK("http://anyluxury.ru/shop/upakovka/podarochnye-pakety/paket-porta-bolshoy-siniy-1322340/" , "13223.40 Пакет бумажный Porta L, темно-синий")</f>
      </c>
      <c r="C29175" s="4" t="n">
        <v>416.00</v>
      </c>
      <c r="D29175" s="4"/>
    </row>
    <row collapsed="" customFormat="false" customHeight="1" hidden="" ht="14" outlineLevel="0" r="29176">
      <c r="A29176" s="3" t="inlineStr">
        <is>
          <t>29044</t>
        </is>
      </c>
      <c r="B29176" s="4" t="s">
        <f>=HYPERLINK("http://anyluxury.ru/shop/upakovka/podarochnye-pakety/paket-porta-bolshoy-cherniy-1322330/" , "13223.30 Пакет бумажный Porta L, черный")</f>
      </c>
      <c r="C29176" s="4" t="n">
        <v>416.00</v>
      </c>
      <c r="D29176" s="4"/>
    </row>
    <row collapsed="" customFormat="false" customHeight="1" hidden="" ht="14" outlineLevel="0" r="29177">
      <c r="A29177" s="3" t="inlineStr">
        <is>
          <t>29045</t>
        </is>
      </c>
      <c r="B29177" s="4" t="s">
        <f>=HYPERLINK("http://anyluxury.ru/shop/upakovka/podarochnye-pakety/paket-porta-maliy-cherniy-1322430/" , "13224.30 Пакет бумажный Porta S, черный")</f>
      </c>
      <c r="C29177" s="4" t="n">
        <v>165.00</v>
      </c>
      <c r="D29177" s="4"/>
    </row>
    <row collapsed="" customFormat="false" customHeight="1" hidden="" ht="14" outlineLevel="0" r="29178">
      <c r="A29178" s="3" t="inlineStr">
        <is>
          <t>29046</t>
        </is>
      </c>
      <c r="B29178" s="4" t="s">
        <f>=HYPERLINK("http://anyluxury.ru/shop/upakovka/podarochnye-pakety/paket-porta-maliy-seriy-1322410/" , "13224.10 Пакет бумажный Porta S, серый")</f>
      </c>
      <c r="C29178" s="4" t="n">
        <v>165.00</v>
      </c>
      <c r="D29178" s="4"/>
    </row>
    <row collapsed="" customFormat="false" customHeight="1" hidden="" ht="14" outlineLevel="0" r="29179">
      <c r="A29179" s="3" t="inlineStr">
        <is>
          <t>29047</t>
        </is>
      </c>
      <c r="B29179" s="4" t="s">
        <f>=HYPERLINK("http://anyluxury.ru/shop/upakovka/podarochnye-pakety/paket-porta-maliy-siniy-1322440/" , "13224.40 Пакет бумажный Porta S, синий")</f>
      </c>
      <c r="C29179" s="4" t="n">
        <v>165.00</v>
      </c>
      <c r="D29179" s="4"/>
    </row>
    <row collapsed="" customFormat="false" customHeight="1" hidden="" ht="14" outlineLevel="0" r="29180">
      <c r="A29180" s="3" t="inlineStr">
        <is>
          <t>29048</t>
        </is>
      </c>
      <c r="B29180" s="4" t="s">
        <f>=HYPERLINK("http://anyluxury.ru/shop/upakovka/podarochnye-pakety/paket-porta-maliy-krasniy-1322450/" , "13224.50 Пакет бумажный Porta S, красный")</f>
      </c>
      <c r="C29180" s="4" t="n">
        <v>165.00</v>
      </c>
      <c r="D29180" s="4"/>
    </row>
    <row collapsed="" customFormat="false" customHeight="1" hidden="" ht="14" outlineLevel="0" r="29181">
      <c r="A29181" s="3" t="inlineStr">
        <is>
          <t>29049</t>
        </is>
      </c>
      <c r="B29181" s="4" t="s">
        <f>=HYPERLINK("http://anyluxury.ru/shop/upakovka/podarochnye-pakety/paket-wide-goluboy-7444014/" , "74440.14 Пакет Wide, голубой")</f>
      </c>
      <c r="C29181" s="4" t="n">
        <v>174.00</v>
      </c>
      <c r="D29181" s="4"/>
    </row>
    <row collapsed="" customFormat="false" customHeight="1" hidden="" ht="14" outlineLevel="0" r="29182">
      <c r="A29182" s="3" t="inlineStr">
        <is>
          <t>29050</t>
        </is>
      </c>
      <c r="B29182" s="4" t="s">
        <f>=HYPERLINK("http://anyluxury.ru/shop/upakovka/podarochnye-pakety/paket-porta-bolshoy-siniy-1322344/" , "13223.44 Пакет бумажный Porta L, синий")</f>
      </c>
      <c r="C29182" s="4" t="n">
        <v>416.00</v>
      </c>
      <c r="D29182" s="4"/>
    </row>
    <row collapsed="" customFormat="false" customHeight="1" hidden="" ht="14" outlineLevel="0" r="29183">
      <c r="A29183" s="3" t="inlineStr">
        <is>
          <t>29051</t>
        </is>
      </c>
      <c r="B29183" s="4" t="s">
        <f>=HYPERLINK("http://anyluxury.ru/shop/upakovka/podarochnye-pakety/paket-porta-bolshoy-goluboy-1322341/" , "13223.41 Пакет бумажный Porta L, голубой")</f>
      </c>
      <c r="C29183" s="4" t="n">
        <v>416.00</v>
      </c>
      <c r="D29183" s="4"/>
    </row>
    <row collapsed="" customFormat="false" customHeight="1" hidden="" ht="14" outlineLevel="0" r="29184">
      <c r="A29184" s="3" t="inlineStr">
        <is>
          <t>29052</t>
        </is>
      </c>
      <c r="B29184" s="4" t="s">
        <f>=HYPERLINK("http://anyluxury.ru/shop/upakovka/podarochnye-pakety/paket-ecopak-na-zakaz-1893801/" , "18938.01 Пакет EcoPak из спанбонда на заказ")</f>
      </c>
      <c r="C29184" s="4" t="n">
        <v>34.45</v>
      </c>
      <c r="D29184" s="4"/>
    </row>
    <row collapsed="" customFormat="false" customHeight="1" hidden="" ht="14" outlineLevel="0" r="29185">
      <c r="A29185" s="3" t="inlineStr">
        <is>
          <t>29053</t>
        </is>
      </c>
      <c r="B29185" s="4" t="s">
        <f>=HYPERLINK("http://anyluxury.ru/shop/upakovka/podarochnye-pakety/sumka-ecocorte-na-zakaz-1893901/" , "18939.01 Сумка EcoCorte из спанбонда на заказ")</f>
      </c>
      <c r="C29185" s="4" t="n">
        <v>46.71</v>
      </c>
      <c r="D29185" s="4"/>
    </row>
    <row collapsed="" customFormat="false" customHeight="1" hidden="" ht="14" outlineLevel="0" r="29186">
      <c r="A29186" s="3" t="inlineStr">
        <is>
          <t>29054</t>
        </is>
      </c>
      <c r="B29186" s="4" t="s">
        <f>=HYPERLINK("http://anyluxury.ru/shop/upakovka/podarochnye-pakety/sumka-ecocube-iz-spanbonda-na-zakaz-1894501/" , "18945.01 Сумка EcoCare из спанбонда на заказ")</f>
      </c>
      <c r="C29186" s="4" t="n">
        <v>41.54</v>
      </c>
      <c r="D29186" s="4"/>
    </row>
    <row collapsed="" customFormat="false" customHeight="1" hidden="" ht="14" outlineLevel="0" r="29187">
      <c r="A29187" s="3" t="inlineStr">
        <is>
          <t>29055</t>
        </is>
      </c>
      <c r="B29187" s="4" t="s">
        <f>=HYPERLINK("http://anyluxury.ru/shop/upakovka/podarochnye-pakety/paket-wide-zeleniy-7444090/" , "74440.90 Пакет Wide, зеленый")</f>
      </c>
      <c r="C29187" s="4" t="n">
        <v>174.00</v>
      </c>
      <c r="D29187" s="4"/>
    </row>
    <row collapsed="" customFormat="false" customHeight="1" hidden="" ht="14" outlineLevel="0" r="29188">
      <c r="A29188" s="3" t="inlineStr">
        <is>
          <t>29056</t>
        </is>
      </c>
      <c r="B29188" s="4" t="s">
        <f>=HYPERLINK("http://anyluxury.ru/shop/upakovka/podarochnye-pakety/paket-porta-bolshoy-beliy-1322360/" , "13223.60 Пакет бумажный Porta L, белый")</f>
      </c>
      <c r="C29188" s="4" t="n">
        <v>416.00</v>
      </c>
      <c r="D29188" s="4"/>
    </row>
    <row collapsed="" customFormat="false" customHeight="1" hidden="" ht="14" outlineLevel="0" r="29189">
      <c r="A29189" s="3" t="inlineStr">
        <is>
          <t>29057</t>
        </is>
      </c>
      <c r="B29189" s="4" t="s">
        <f>=HYPERLINK("http://anyluxury.ru/shop/upakovka/podarochnye-pakety/paket-bumazhniy-porta-sredniy-seriy-1583710/" , "15837.10 Пакет бумажный Porta M, серый")</f>
      </c>
      <c r="C29189" s="4" t="n">
        <v>249.00</v>
      </c>
      <c r="D29189" s="4"/>
    </row>
    <row collapsed="" customFormat="false" customHeight="1" hidden="" ht="14" outlineLevel="0" r="29190">
      <c r="A29190" s="3" t="inlineStr">
        <is>
          <t>29058</t>
        </is>
      </c>
      <c r="B29190" s="4" t="s">
        <f>=HYPERLINK("http://anyluxury.ru/shop/upakovka/podarochnye-pakety/paket-bumazhniy-porta-sredniy-cherniy-1583730/" , "15837.30 Пакет бумажный Porta M, черный")</f>
      </c>
      <c r="C29190" s="4" t="n">
        <v>249.00</v>
      </c>
      <c r="D29190" s="4"/>
    </row>
    <row collapsed="" customFormat="false" customHeight="1" hidden="" ht="14" outlineLevel="0" r="29191">
      <c r="A29191" s="3" t="inlineStr">
        <is>
          <t>29059</t>
        </is>
      </c>
      <c r="B29191" s="4" t="s">
        <f>=HYPERLINK("http://anyluxury.ru/shop/upakovka/podarochnye-pakety/paket-bumazhniy-porta-sredniy-temnosiniy-1583740/" , "15837.40 Пакет бумажный Porta M, темно-синий")</f>
      </c>
      <c r="C29191" s="4" t="n">
        <v>249.00</v>
      </c>
      <c r="D29191" s="4"/>
    </row>
    <row collapsed="" customFormat="false" customHeight="1" hidden="" ht="14" outlineLevel="0" r="29192">
      <c r="A29192" s="3" t="inlineStr">
        <is>
          <t>29060</t>
        </is>
      </c>
      <c r="B29192" s="4" t="s">
        <f>=HYPERLINK("http://anyluxury.ru/shop/upakovka/podarochnye-pakety/paket-bumazhniy-porta-sredniy-beliy-1583760/" , "15837.60 Пакет бумажный Porta M, белый")</f>
      </c>
      <c r="C29192" s="4" t="n">
        <v>249.00</v>
      </c>
      <c r="D29192" s="4"/>
    </row>
    <row collapsed="" customFormat="false" customHeight="1" hidden="" ht="14" outlineLevel="0" r="29193">
      <c r="A29193" s="3" t="inlineStr">
        <is>
          <t>29061</t>
        </is>
      </c>
      <c r="B29193" s="4" t="s">
        <f>=HYPERLINK("http://anyluxury.ru/shop/upakovka/podarochnye-pakety/paket-bumazhniy-porta-xl-seriy-1583810/" , "15838.10 Пакет бумажный Porta XL, серый")</f>
      </c>
      <c r="C29193" s="4" t="n">
        <v>383.00</v>
      </c>
      <c r="D29193" s="4"/>
    </row>
    <row collapsed="" customFormat="false" customHeight="1" hidden="" ht="14" outlineLevel="0" r="29194">
      <c r="A29194" s="3" t="inlineStr">
        <is>
          <t>29062</t>
        </is>
      </c>
      <c r="B29194" s="4" t="s">
        <f>=HYPERLINK("http://anyluxury.ru/shop/upakovka/podarochnye-pakety/paket-bumazhniy-porta-xl-cherniy-1583830/" , "15838.30 Пакет бумажный Porta XL, черный")</f>
      </c>
      <c r="C29194" s="4" t="n">
        <v>383.00</v>
      </c>
      <c r="D29194" s="4"/>
    </row>
    <row collapsed="" customFormat="false" customHeight="1" hidden="" ht="14" outlineLevel="0" r="29195">
      <c r="A29195" s="3" t="inlineStr">
        <is>
          <t>29063</t>
        </is>
      </c>
      <c r="B29195" s="4" t="s">
        <f>=HYPERLINK("http://anyluxury.ru/shop/upakovka/podarochnye-pakety/paket-bumazhniy-porta-xl-temnosiniy-1583840/" , "15838.40 Пакет бумажный Porta XL, темно-синий")</f>
      </c>
      <c r="C29195" s="4" t="n">
        <v>383.00</v>
      </c>
      <c r="D29195" s="4"/>
    </row>
    <row collapsed="" customFormat="false" customHeight="1" hidden="" ht="14" outlineLevel="0" r="29196">
      <c r="A29196" s="3" t="inlineStr">
        <is>
          <t>29064</t>
        </is>
      </c>
      <c r="B29196" s="4" t="s">
        <f>=HYPERLINK("http://anyluxury.ru/shop/upakovka/podarochnye-pakety/paket-bumazhniy-porta-xl-krasniy-1583850/" , "15838.50 Пакет бумажный Porta XL, красный")</f>
      </c>
      <c r="C29196" s="4" t="n">
        <v>383.00</v>
      </c>
      <c r="D29196" s="4"/>
    </row>
    <row collapsed="" customFormat="false" customHeight="1" hidden="" ht="14" outlineLevel="0" r="29197">
      <c r="A29197" s="3" t="inlineStr">
        <is>
          <t>29065</t>
        </is>
      </c>
      <c r="B29197" s="4" t="s">
        <f>=HYPERLINK("http://anyluxury.ru/shop/upakovka/podarochnye-pakety/paket-bumazhniy-porta-xl-beliy-1583860/" , "15838.60 Пакет бумажный Porta XL, белый")</f>
      </c>
      <c r="C29197" s="4" t="n">
        <v>383.00</v>
      </c>
      <c r="D29197" s="4"/>
    </row>
    <row collapsed="" customFormat="false" customHeight="1" hidden="" ht="14" outlineLevel="0" r="29198">
      <c r="A29198" s="3" t="inlineStr">
        <is>
          <t>29066</t>
        </is>
      </c>
      <c r="B29198" s="4" t="s">
        <f>=HYPERLINK("http://anyluxury.ru/shop/upakovka/podarochnye-pakety/paket-bumazhniy-porta-sredniy-siniy-1583744/" , "15837.44 Пакет бумажный Porta M, синий")</f>
      </c>
      <c r="C29198" s="4" t="n">
        <v>249.00</v>
      </c>
      <c r="D29198" s="4"/>
    </row>
    <row collapsed="" customFormat="false" customHeight="1" hidden="" ht="14" outlineLevel="0" r="29199">
      <c r="A29199" s="3" t="inlineStr">
        <is>
          <t>29067</t>
        </is>
      </c>
      <c r="B29199" s="4" t="s">
        <f>=HYPERLINK("http://anyluxury.ru/shop/upakovka/podarochnye-pakety/paket-bumazhniy-porta-xl-goluboy-1583841/" , "15838.41 Пакет бумажный Porta XL, голубой")</f>
      </c>
      <c r="C29199" s="4" t="n">
        <v>383.00</v>
      </c>
      <c r="D29199" s="4"/>
    </row>
    <row collapsed="" customFormat="false" customHeight="1" hidden="" ht="14" outlineLevel="0" r="29200">
      <c r="A29200" s="3" t="inlineStr">
        <is>
          <t>29068</t>
        </is>
      </c>
      <c r="B29200" s="4" t="s">
        <f>=HYPERLINK("http://anyluxury.ru/shop/upakovka/podarochnye-pakety/paket-pod-kruzhku-cupfull-seriy-7555510/" , "75555.10 Пакет под кружку Cupfull, серый")</f>
      </c>
      <c r="C29200" s="4" t="n">
        <v>128.00</v>
      </c>
      <c r="D29200" s="4"/>
    </row>
    <row collapsed="" customFormat="false" customHeight="1" hidden="" ht="14" outlineLevel="0" r="29201">
      <c r="A29201" s="3" t="inlineStr">
        <is>
          <t>29069</t>
        </is>
      </c>
      <c r="B29201" s="4" t="s">
        <f>=HYPERLINK("http://anyluxury.ru/shop/upakovka/podarochnye-pakety/paket-bumazhniy-porta-bolshoy-zeleniy-1322390/" , "13223.90 Пакет бумажный Porta L, зеленый")</f>
      </c>
      <c r="C29201" s="4" t="n">
        <v>416.00</v>
      </c>
      <c r="D29201" s="4"/>
    </row>
    <row collapsed="" customFormat="false" customHeight="1" hidden="" ht="14" outlineLevel="0" r="29202">
      <c r="A29202" s="3" t="inlineStr">
        <is>
          <t>29070</t>
        </is>
      </c>
      <c r="B29202" s="4" t="s">
        <f>=HYPERLINK("http://anyluxury.ru/shop/upakovka/podarochnye-pakety/paket-bumazhniy-blesk-sredniy-cherniy-586730/" , "5867.30 Пакет бумажный «Блеск», средний, черный")</f>
      </c>
      <c r="C29202" s="4" t="n">
        <v>304.00</v>
      </c>
      <c r="D29202" s="4"/>
    </row>
    <row collapsed="" customFormat="false" customHeight="1" hidden="" ht="14" outlineLevel="0" r="29203">
      <c r="A29203" s="3" t="inlineStr">
        <is>
          <t>29071</t>
        </is>
      </c>
      <c r="B29203" s="4" t="s">
        <f>=HYPERLINK("http://anyluxury.ru/shop/upakovka/podarochnye-pakety/paket-bumazhniy-blesk-bolshoy-cherniy-586830/" , "5868.30 Пакет бумажный «Блеск», большой, черный")</f>
      </c>
      <c r="C29203" s="4" t="n">
        <v>436.00</v>
      </c>
      <c r="D29203" s="4"/>
    </row>
    <row collapsed="" customFormat="false" customHeight="1" hidden="" ht="14" outlineLevel="0" r="29204">
      <c r="A29204" s="3" t="inlineStr">
        <is>
          <t>29072</t>
        </is>
      </c>
      <c r="B29204" s="4" t="s">
        <f>=HYPERLINK("http://anyluxury.ru/shop/upakovka/podarochnye-pakety/paket-bumazhniy-porta-s-beliy-1322460/" , "13224.60 Пакет бумажный Porta S, белый")</f>
      </c>
      <c r="C29204" s="4" t="n">
        <v>165.00</v>
      </c>
      <c r="D29204" s="4"/>
    </row>
    <row collapsed="" customFormat="false" customHeight="1" hidden="" ht="14" outlineLevel="0" r="29205">
      <c r="A29205" s="3" t="inlineStr">
        <is>
          <t>29073</t>
        </is>
      </c>
      <c r="B29205" s="4" t="s">
        <f>=HYPERLINK("http://anyluxury.ru/shop/upakovka/podarochnye-pakety/paket-bumazhniy-porta-m-oranzheviy-1583720/" , "15837.20 Пакет бумажный Porta M, оранжевый")</f>
      </c>
      <c r="C29205" s="4" t="n">
        <v>249.00</v>
      </c>
      <c r="D29205" s="4"/>
    </row>
    <row collapsed="" customFormat="false" customHeight="1" hidden="" ht="14" outlineLevel="0" r="29206">
      <c r="A29206" s="3" t="inlineStr">
        <is>
          <t>29074</t>
        </is>
      </c>
      <c r="B29206" s="4" t="s">
        <f>=HYPERLINK("http://anyluxury.ru/shop/upakovka/podarochnye-pakety/paket-bumazhniy-porta-m-fioletoviy-1583770/" , "15837.70 Пакет бумажный Porta M, фиолетовый")</f>
      </c>
      <c r="C29206" s="4" t="n">
        <v>249.00</v>
      </c>
      <c r="D29206" s="4"/>
    </row>
    <row collapsed="" customFormat="false" customHeight="1" hidden="" ht="14" outlineLevel="0" r="29207">
      <c r="A29207" s="3" t="inlineStr">
        <is>
          <t>29075</t>
        </is>
      </c>
      <c r="B29207" s="4" t="s">
        <f>=HYPERLINK("http://anyluxury.ru/shop/upakovka/podarochnye-pakety/paket-bumazhniy-bicolor-beliy-s-serim-1514510/" , "15145.10 Пакет бумажный Bicolor, белый с серым")</f>
      </c>
      <c r="C29207" s="4" t="n">
        <v>396.00</v>
      </c>
      <c r="D29207" s="4"/>
    </row>
    <row collapsed="" customFormat="false" customHeight="1" hidden="" ht="14" outlineLevel="0" r="29208">
      <c r="A29208" s="3" t="inlineStr">
        <is>
          <t>29076</t>
        </is>
      </c>
      <c r="B29208" s="4" t="s">
        <f>=HYPERLINK("http://anyluxury.ru/shop/upakovka/podarochnye-pakety/paket-bumazhniy-bicolor-beliy-s-chernim-1514530/" , "15145.30 Пакет бумажный Bicolor, белый с черным")</f>
      </c>
      <c r="C29208" s="4" t="n">
        <v>396.00</v>
      </c>
      <c r="D29208" s="4"/>
    </row>
    <row collapsed="" customFormat="false" customHeight="1" hidden="" ht="14" outlineLevel="0" r="29209">
      <c r="A29209" s="3" t="inlineStr">
        <is>
          <t>29077</t>
        </is>
      </c>
      <c r="B29209" s="4" t="s">
        <f>=HYPERLINK("http://anyluxury.ru/shop/upakovka/podarochnye-pakety/paket-bumazhniy-bicolor-beliy-s-sinim-1514540/" , "15145.40 Пакет бумажный Bicolor, белый с синим")</f>
      </c>
      <c r="C29209" s="4" t="n">
        <v>396.00</v>
      </c>
      <c r="D29209" s="4"/>
    </row>
    <row collapsed="" customFormat="false" customHeight="" hidden="" ht="12.1" outlineLevel="0" r="29210">
      <c r="A29210" s="5" t="inlineStr">
        <is>
          <t>Электроника</t>
        </is>
      </c>
      <c r="B29210" s="6"/>
      <c r="C29210" s="6"/>
      <c r="D29210" s="6"/>
    </row>
    <row collapsed="" customFormat="false" customHeight="" hidden="" ht="12.1" outlineLevel="0" r="29211">
      <c r="A29211" s="5" t="inlineStr">
        <is>
          <t> -  - Бытовая техника</t>
        </is>
      </c>
      <c r="B29211" s="6"/>
      <c r="C29211" s="6"/>
      <c r="D29211" s="6"/>
    </row>
    <row collapsed="" customFormat="false" customHeight="1" hidden="" ht="14" outlineLevel="0" r="29212">
      <c r="A29212" s="3" t="inlineStr">
        <is>
          <t>29078</t>
        </is>
      </c>
      <c r="B29212" s="4" t="s">
        <f>=HYPERLINK("http://anyluxury.ru/shop/elektronika/bytovaya-tekhnika/kofemolka-mill-me-7633/" , "7633 Кофемолка Mill Me")</f>
      </c>
      <c r="C29212" s="4" t="n">
        <v>3599.00</v>
      </c>
      <c r="D29212" s="4"/>
    </row>
    <row collapsed="" customFormat="false" customHeight="1" hidden="" ht="14" outlineLevel="0" r="29213">
      <c r="A29213" s="3" t="inlineStr">
        <is>
          <t>29079</t>
        </is>
      </c>
      <c r="B29213" s="4" t="s">
        <f>=HYPERLINK("http://anyluxury.ru/shop/elektronika/bytovaya-tekhnika/kofevarka-seed-and-fancy-7635/" , "7635 Кофеварка Seed and Fancy")</f>
      </c>
      <c r="C29213" s="4" t="n">
        <v>3599.00</v>
      </c>
      <c r="D29213" s="4"/>
    </row>
    <row collapsed="" customFormat="false" customHeight="1" hidden="" ht="14" outlineLevel="0" r="29214">
      <c r="A29214" s="3" t="inlineStr">
        <is>
          <t>29080</t>
        </is>
      </c>
      <c r="B29214" s="4" t="s">
        <f>=HYPERLINK("http://anyluxury.ru/shop/elektronika/bytovaya-tekhnika/vesi-kuhonnie-gramme-7637/" , "7637 Весы кухонные GramMe")</f>
      </c>
      <c r="C29214" s="4" t="n">
        <v>1799.00</v>
      </c>
      <c r="D29214" s="4"/>
    </row>
    <row collapsed="" customFormat="false" customHeight="1" hidden="" ht="14" outlineLevel="0" r="29215">
      <c r="A29215" s="3" t="inlineStr">
        <is>
          <t>29081</t>
        </is>
      </c>
      <c r="B29215" s="4" t="s">
        <f>=HYPERLINK("http://anyluxury.ru/shop/elektronika/bytovaya-tekhnika/multipekar-sweetheat-7638/" , "7638 Мультипекарь Sweetheat")</f>
      </c>
      <c r="C29215" s="4" t="n">
        <v>5999.00</v>
      </c>
      <c r="D29215" s="4"/>
    </row>
    <row collapsed="" customFormat="false" customHeight="1" hidden="" ht="14" outlineLevel="0" r="29216">
      <c r="A29216" s="3" t="inlineStr">
        <is>
          <t>29082</t>
        </is>
      </c>
      <c r="B29216" s="4" t="s">
        <f>=HYPERLINK("http://anyluxury.ru/shop/elektronika/bytovaya-tekhnika/umniy-chaynik-easywater-7640/" , "7640 Умный чайник EasyWater")</f>
      </c>
      <c r="C29216" s="4" t="n">
        <v>6399.00</v>
      </c>
      <c r="D29216" s="4"/>
    </row>
    <row collapsed="" customFormat="false" customHeight="1" hidden="" ht="14" outlineLevel="0" r="29217">
      <c r="A29217" s="3" t="inlineStr">
        <is>
          <t>29083</t>
        </is>
      </c>
      <c r="B29217" s="4" t="s">
        <f>=HYPERLINK("http://anyluxury.ru/shop/elektronika/bytovaya-tekhnika/umnaya-kofevarka-vim-7641/" , "7641 Умная кофеварка Vim")</f>
      </c>
      <c r="C29217" s="4" t="n">
        <v>10199.00</v>
      </c>
      <c r="D29217" s="4"/>
    </row>
    <row collapsed="" customFormat="false" customHeight="1" hidden="" ht="14" outlineLevel="0" r="29218">
      <c r="A29218" s="3" t="inlineStr">
        <is>
          <t>29084</t>
        </is>
      </c>
      <c r="B29218" s="4" t="s">
        <f>=HYPERLINK("http://anyluxury.ru/shop/elektronika/bytovaya-tekhnika/kofemolka-rocket-11016/" , "11016 Кофемолка Rocket")</f>
      </c>
      <c r="C29218" s="4" t="n">
        <v>2999.00</v>
      </c>
      <c r="D29218" s="4"/>
    </row>
    <row collapsed="" customFormat="false" customHeight="1" hidden="" ht="14" outlineLevel="0" r="29219">
      <c r="A29219" s="3" t="inlineStr">
        <is>
          <t>29085</t>
        </is>
      </c>
      <c r="B29219" s="4" t="s">
        <f>=HYPERLINK("http://anyluxury.ru/shop/elektronika/bytovaya-tekhnika/chaynik-elektricheskiy-steel-func-11192/" , "11192 Чайник электрический Steel Func")</f>
      </c>
      <c r="C29219" s="4" t="n">
        <v>5099.00</v>
      </c>
      <c r="D29219" s="4"/>
    </row>
    <row collapsed="" customFormat="false" customHeight="1" hidden="" ht="14" outlineLevel="0" r="29220">
      <c r="A29220" s="3" t="inlineStr">
        <is>
          <t>29086</t>
        </is>
      </c>
      <c r="B29220" s="4" t="s">
        <f>=HYPERLINK("http://anyluxury.ru/shop/elektronika/bytovaya-tekhnika/uvlazhnitel-vozduha-land-breeze-11193/" , "11193 Увлажнитель воздуха Land Breeze")</f>
      </c>
      <c r="C29220" s="4" t="n">
        <v>6499.00</v>
      </c>
      <c r="D29220" s="4"/>
    </row>
    <row collapsed="" customFormat="false" customHeight="1" hidden="" ht="14" outlineLevel="0" r="29221">
      <c r="A29221" s="3" t="inlineStr">
        <is>
          <t>29087</t>
        </is>
      </c>
      <c r="B29221" s="4" t="s">
        <f>=HYPERLINK("http://anyluxury.ru/shop/elektronika/bytovaya-tekhnika/toster-crispy-11194/" , "11194 Тостер Crispy")</f>
      </c>
      <c r="C29221" s="4" t="n">
        <v>4799.00</v>
      </c>
      <c r="D29221" s="4"/>
    </row>
    <row collapsed="" customFormat="false" customHeight="1" hidden="" ht="14" outlineLevel="0" r="29222">
      <c r="A29222" s="3" t="inlineStr">
        <is>
          <t>29088</t>
        </is>
      </c>
      <c r="B29222" s="4" t="s">
        <f>=HYPERLINK("http://anyluxury.ru/shop/elektronika/bytovaya-tekhnika/sokovizhimalka-orange-county-11985/" , "11985 Соковыжималка Orange County")</f>
      </c>
      <c r="C29222" s="4" t="n">
        <v>3399.00</v>
      </c>
      <c r="D29222" s="4"/>
    </row>
    <row collapsed="" customFormat="false" customHeight="1" hidden="" ht="14" outlineLevel="0" r="29223">
      <c r="A29223" s="3" t="inlineStr">
        <is>
          <t>29089</t>
        </is>
      </c>
      <c r="B29223" s="4" t="s">
        <f>=HYPERLINK("http://anyluxury.ru/shop/elektronika/bytovaya-tekhnika/kofevarka-day-maker-11986/" , "11986 Кофеварка Day Maker")</f>
      </c>
      <c r="C29223" s="4" t="n">
        <v>6599.00</v>
      </c>
      <c r="D29223" s="4"/>
    </row>
    <row collapsed="" customFormat="false" customHeight="1" hidden="" ht="14" outlineLevel="0" r="29224">
      <c r="A29224" s="3" t="inlineStr">
        <is>
          <t>29090</t>
        </is>
      </c>
      <c r="B29224" s="4" t="s">
        <f>=HYPERLINK("http://anyluxury.ru/shop/elektronika/bytovaya-tekhnika/parovoy-utyug-turbopro-fioletoviy-1194276/" , "11942.76 Паровой утюг TurboPro, фиолетовый")</f>
      </c>
      <c r="C29224" s="4" t="n">
        <v>11134.00</v>
      </c>
      <c r="D29224" s="4"/>
    </row>
    <row collapsed="" customFormat="false" customHeight="1" hidden="" ht="14" outlineLevel="0" r="29225">
      <c r="A29225" s="3" t="inlineStr">
        <is>
          <t>29091</t>
        </is>
      </c>
      <c r="B29225" s="4" t="s">
        <f>=HYPERLINK("http://anyluxury.ru/shop/elektronika/bytovaya-tekhnika/vertikalniy-otparivatel-easygliss-beliy-s-sinim-1194364/" , "11943.64 Вертикальный отпариватель EasyGliss, белый с синим")</f>
      </c>
      <c r="C29225" s="4" t="n">
        <v>9426.00</v>
      </c>
      <c r="D29225" s="4"/>
    </row>
    <row collapsed="" customFormat="false" customHeight="1" hidden="" ht="14" outlineLevel="0" r="29226">
      <c r="A29226" s="3" t="inlineStr">
        <is>
          <t>29092</t>
        </is>
      </c>
      <c r="B29226" s="4" t="s">
        <f>=HYPERLINK("http://anyluxury.ru/shop/elektronika/bytovaya-tekhnika/napolnie-vesi-premiss-chernie-1194430/" , "11944.30 Напольные весы Premiss, черные")</f>
      </c>
      <c r="C29226" s="4" t="n">
        <v>2149.00</v>
      </c>
      <c r="D29226" s="4"/>
    </row>
    <row collapsed="" customFormat="false" customHeight="1" hidden="" ht="14" outlineLevel="0" r="29227">
      <c r="A29227" s="3" t="inlineStr">
        <is>
          <t>29093</t>
        </is>
      </c>
      <c r="B29227" s="4" t="s">
        <f>=HYPERLINK("http://anyluxury.ru/shop/elektronika/bytovaya-tekhnika/napolnie-vesi-bodymaster-serebristie-1194510/" , "11945.10 Напольные весы Bodymaster, серебристые")</f>
      </c>
      <c r="C29227" s="4" t="n">
        <v>5376.00</v>
      </c>
      <c r="D29227" s="4"/>
    </row>
    <row collapsed="" customFormat="false" customHeight="1" hidden="" ht="14" outlineLevel="0" r="29228">
      <c r="A29228" s="3" t="inlineStr">
        <is>
          <t>29094</t>
        </is>
      </c>
      <c r="B29228" s="4" t="s">
        <f>=HYPERLINK("http://anyluxury.ru/shop/elektronika/bytovaya-tekhnika/chaynik-travel-city-seriy-1194610/" , "11946.10 Чайник Travel City, серый")</f>
      </c>
      <c r="C29228" s="4" t="n">
        <v>4980.00</v>
      </c>
      <c r="D29228" s="4"/>
    </row>
    <row collapsed="" customFormat="false" customHeight="1" hidden="" ht="14" outlineLevel="0" r="29229">
      <c r="A29229" s="3" t="inlineStr">
        <is>
          <t>29095</t>
        </is>
      </c>
      <c r="B29229" s="4" t="s">
        <f>=HYPERLINK("http://anyluxury.ru/shop/elektronika/bytovaya-tekhnika/chaynik-glass-kettle-beliy-1194760/" , "11947.60 Чайник Glass Kettle, белый")</f>
      </c>
      <c r="C29229" s="4" t="n">
        <v>4873.00</v>
      </c>
      <c r="D29229" s="4"/>
    </row>
    <row collapsed="" customFormat="false" customHeight="1" hidden="" ht="14" outlineLevel="0" r="29230">
      <c r="A29230" s="3" t="inlineStr">
        <is>
          <t>29096</t>
        </is>
      </c>
      <c r="B29230" s="4" t="s">
        <f>=HYPERLINK("http://anyluxury.ru/shop/elektronika/bytovaya-tekhnika/chaynik-confidence-krasniy-1194850/" , "11948.50 Чайник Confidence, красный")</f>
      </c>
      <c r="C29230" s="4" t="n">
        <v>5688.00</v>
      </c>
      <c r="D29230" s="4"/>
    </row>
    <row collapsed="" customFormat="false" customHeight="1" hidden="" ht="14" outlineLevel="0" r="29231">
      <c r="A29231" s="3" t="inlineStr">
        <is>
          <t>29097</t>
        </is>
      </c>
      <c r="B29231" s="4" t="s">
        <f>=HYPERLINK("http://anyluxury.ru/shop/elektronika/bytovaya-tekhnika/napolniy-ventilyator-harmony-seriy-s-golubim-1196514/" , "11965.14 Напольный вентилятор Harmony, серый с голубым")</f>
      </c>
      <c r="C29231" s="4" t="n">
        <v>6524.00</v>
      </c>
      <c r="D29231" s="4"/>
    </row>
    <row collapsed="" customFormat="false" customHeight="1" hidden="" ht="14" outlineLevel="0" r="29232">
      <c r="A29232" s="3" t="inlineStr">
        <is>
          <t>29098</t>
        </is>
      </c>
      <c r="B29232" s="4" t="s">
        <f>=HYPERLINK("http://anyluxury.ru/shop/elektronika/bytovaya-tekhnika/napolniy-ventilyator-eole-infinite-cherniy-s-belim-1196636/" , "11966.36 Напольный вентилятор Eole Infinite, черный с белым")</f>
      </c>
      <c r="C29232" s="4" t="n">
        <v>10156.00</v>
      </c>
      <c r="D29232" s="4"/>
    </row>
    <row collapsed="" customFormat="false" customHeight="1" hidden="" ht="14" outlineLevel="0" r="29233">
      <c r="A29233" s="3" t="inlineStr">
        <is>
          <t>29099</t>
        </is>
      </c>
      <c r="B29233" s="4" t="s">
        <f>=HYPERLINK("http://anyluxury.ru/shop/elektronika/bytovaya-tekhnika/mikser-quickmix-cherniy-1146830/" , "11468.30 Миксер Quickmix, черный")</f>
      </c>
      <c r="C29233" s="4" t="n">
        <v>4126.00</v>
      </c>
      <c r="D29233" s="4"/>
    </row>
    <row collapsed="" customFormat="false" customHeight="1" hidden="" ht="14" outlineLevel="0" r="29234">
      <c r="A29234" s="3" t="inlineStr">
        <is>
          <t>29100</t>
        </is>
      </c>
      <c r="B29234" s="4" t="s">
        <f>=HYPERLINK("http://anyluxury.ru/shop/elektronika/bytovaya-tekhnika/kofemolka-awakening-10780/" , "10780 Кофемолка Awakening")</f>
      </c>
      <c r="C29234" s="4" t="n">
        <v>1899.00</v>
      </c>
      <c r="D29234" s="4"/>
    </row>
    <row collapsed="" customFormat="false" customHeight="1" hidden="" ht="14" outlineLevel="0" r="29235">
      <c r="A29235" s="3" t="inlineStr">
        <is>
          <t>29101</t>
        </is>
      </c>
      <c r="B29235" s="4" t="s">
        <f>=HYPERLINK("http://anyluxury.ru/shop/elektronika/bytovaya-tekhnika/blender-fantastic-five-10782/" , "10782 Блендер Fantastic Five")</f>
      </c>
      <c r="C29235" s="4" t="n">
        <v>6999.00</v>
      </c>
      <c r="D29235" s="4"/>
    </row>
    <row collapsed="" customFormat="false" customHeight="1" hidden="" ht="14" outlineLevel="0" r="29236">
      <c r="A29236" s="3" t="inlineStr">
        <is>
          <t>29102</t>
        </is>
      </c>
      <c r="B29236" s="4" t="s">
        <f>=HYPERLINK("http://anyluxury.ru/shop/elektronika/bytovaya-tekhnika/umnaya-rozetka-skyport-10900/" , "10900 Умная розетка SkyPort")</f>
      </c>
      <c r="C29236" s="4" t="n">
        <v>599.00</v>
      </c>
      <c r="D29236" s="4"/>
    </row>
    <row collapsed="" customFormat="false" customHeight="1" hidden="" ht="14" outlineLevel="0" r="29237">
      <c r="A29237" s="3" t="inlineStr">
        <is>
          <t>29103</t>
        </is>
      </c>
      <c r="B29237" s="4" t="s">
        <f>=HYPERLINK("http://anyluxury.ru/shop/elektronika/bytovaya-tekhnika/umniy-datchik-otkritiya-skyopen-10901/" , "10901 Умный датчик открытия SkyOpen")</f>
      </c>
      <c r="C29237" s="4" t="n">
        <v>1299.00</v>
      </c>
      <c r="D29237" s="4"/>
    </row>
    <row collapsed="" customFormat="false" customHeight="1" hidden="" ht="14" outlineLevel="0" r="29238">
      <c r="A29238" s="3" t="inlineStr">
        <is>
          <t>29104</t>
        </is>
      </c>
      <c r="B29238" s="4" t="s">
        <f>=HYPERLINK("http://anyluxury.ru/shop/elektronika/bytovaya-tekhnika/obogrevatel-redmond-skyheat-beliy-10955/" , "10955 Обогреватель Redmond SkyHeat, белый")</f>
      </c>
      <c r="C29238" s="4" t="n">
        <v>8199.00</v>
      </c>
      <c r="D29238" s="4"/>
    </row>
    <row collapsed="" customFormat="false" customHeight="1" hidden="" ht="14" outlineLevel="0" r="29239">
      <c r="A29239" s="3" t="inlineStr">
        <is>
          <t>29105</t>
        </is>
      </c>
      <c r="B29239" s="4" t="s">
        <f>=HYPERLINK("http://anyluxury.ru/shop/elektronika/bytovaya-tekhnika/umniy-uvlazhnitel-skydew-cherniy-1710630/" , "17106.30 Умный увлажнитель SkyDew, черный")</f>
      </c>
      <c r="C29239" s="4" t="n">
        <v>6899.00</v>
      </c>
      <c r="D29239" s="4"/>
    </row>
    <row collapsed="" customFormat="false" customHeight="1" hidden="" ht="14" outlineLevel="0" r="29240">
      <c r="A29240" s="3" t="inlineStr">
        <is>
          <t>29106</t>
        </is>
      </c>
      <c r="B29240" s="4" t="s">
        <f>=HYPERLINK("http://anyluxury.ru/shop/elektronika/bytovaya-tekhnika/umniy-uvlazhnitel-skydew-beliy-1710660/" , "17106.60 Умный увлажнитель SkyDew, белый")</f>
      </c>
      <c r="C29240" s="4" t="n">
        <v>6899.00</v>
      </c>
      <c r="D29240" s="4"/>
    </row>
    <row collapsed="" customFormat="false" customHeight="1" hidden="" ht="14" outlineLevel="0" r="29241">
      <c r="A29241" s="3" t="inlineStr">
        <is>
          <t>29107</t>
        </is>
      </c>
      <c r="B29241" s="4" t="s">
        <f>=HYPERLINK("http://anyluxury.ru/shop/elektronika/bytovaya-tekhnika/uvlazhnitelaromatizator-vozduha-s-podsvetkoy-h7-beliy-1607760/" , "16077.60 Увлажнитель-ароматизатор воздуха с подсветкой H7, белый")</f>
      </c>
      <c r="C29241" s="4" t="n">
        <v>3190.00</v>
      </c>
      <c r="D29241" s="4"/>
    </row>
    <row collapsed="" customFormat="false" customHeight="1" hidden="" ht="14" outlineLevel="0" r="29242">
      <c r="A29242" s="3" t="inlineStr">
        <is>
          <t>29108</t>
        </is>
      </c>
      <c r="B29242" s="4" t="s">
        <f>=HYPERLINK("http://anyluxury.ru/shop/elektronika/bytovaya-tekhnika/uvlazhnitel-vozduha-h5-beliy-s-korallovim-1607860/" , "16078.60 Увлажнитель воздуха H5, белый с коралловым")</f>
      </c>
      <c r="C29242" s="4" t="n">
        <v>1990.00</v>
      </c>
      <c r="D29242" s="4"/>
    </row>
    <row collapsed="" customFormat="false" customHeight="1" hidden="" ht="14" outlineLevel="0" r="29243">
      <c r="A29243" s="3" t="inlineStr">
        <is>
          <t>29109</t>
        </is>
      </c>
      <c r="B29243" s="4" t="s">
        <f>=HYPERLINK("http://anyluxury.ru/shop/elektronika/bytovaya-tekhnika/besprovodnoy-ventilyator-n9-koralloviy-1607915/" , "16079.15 Беспроводной вентилятор N9, коралловый")</f>
      </c>
      <c r="C29243" s="4" t="n">
        <v>1190.00</v>
      </c>
      <c r="D29243" s="4"/>
    </row>
    <row collapsed="" customFormat="false" customHeight="1" hidden="" ht="14" outlineLevel="0" r="29244">
      <c r="A29244" s="3" t="inlineStr">
        <is>
          <t>29110</t>
        </is>
      </c>
      <c r="B29244" s="4" t="s">
        <f>=HYPERLINK("http://anyluxury.ru/shop/elektronika/bytovaya-tekhnika/smartvesi-mi-smart-scale-2-16039/" , "16039 Умные весы Mi Smart Scale 2")</f>
      </c>
      <c r="C29244" s="4" t="n">
        <v>3670.00</v>
      </c>
      <c r="D29244" s="4"/>
    </row>
    <row collapsed="" customFormat="false" customHeight="1" hidden="" ht="14" outlineLevel="0" r="29245">
      <c r="A29245" s="3" t="inlineStr">
        <is>
          <t>29111</t>
        </is>
      </c>
      <c r="B29245" s="4" t="s">
        <f>=HYPERLINK("http://anyluxury.ru/shop/elektronika/bytovaya-tekhnika/tester-vodi-mi-tds-pen-11819/" , "11819 Тестер воды Mi TDS Pen")</f>
      </c>
      <c r="C29245" s="4" t="n">
        <v>990.00</v>
      </c>
      <c r="D29245" s="4"/>
    </row>
    <row collapsed="" customFormat="false" customHeight="1" hidden="" ht="14" outlineLevel="0" r="29246">
      <c r="A29246" s="3" t="inlineStr">
        <is>
          <t>29112</t>
        </is>
      </c>
      <c r="B29246" s="4" t="s">
        <f>=HYPERLINK("http://anyluxury.ru/shop/elektronika/bytovaya-tekhnika/uvlazhnitel-vozduha-cozy-impulse-11732/" , "11732 Увлажнитель воздуха Cozy Impulse")</f>
      </c>
      <c r="C29246" s="4" t="n">
        <v>11999.00</v>
      </c>
      <c r="D29246" s="4"/>
    </row>
    <row collapsed="" customFormat="false" customHeight="1" hidden="" ht="14" outlineLevel="0" r="29247">
      <c r="A29247" s="3" t="inlineStr">
        <is>
          <t>29113</t>
        </is>
      </c>
      <c r="B29247" s="4" t="s">
        <f>=HYPERLINK("http://anyluxury.ru/shop/elektronika/bytovaya-tekhnika/umnaya-kamera-smart-eye-360-belaya-11800/" , "11800 Умная камера Smart Eye 360, белая")</f>
      </c>
      <c r="C29247" s="4" t="n">
        <v>3999.00</v>
      </c>
      <c r="D29247" s="4"/>
    </row>
    <row collapsed="" customFormat="false" customHeight="1" hidden="" ht="14" outlineLevel="0" r="29248">
      <c r="A29248" s="3" t="inlineStr">
        <is>
          <t>29114</t>
        </is>
      </c>
      <c r="B29248" s="4" t="s">
        <f>=HYPERLINK("http://anyluxury.ru/shop/elektronika/bytovaya-tekhnika/umniy-pult-distancionnogo-upravleniya-smart-infrared-remote-11801/" , "11801 Умный пульт дистанционного управления Smart Infrared Remote")</f>
      </c>
      <c r="C29248" s="4" t="n">
        <v>1490.00</v>
      </c>
      <c r="D29248" s="4"/>
    </row>
    <row collapsed="" customFormat="false" customHeight="1" hidden="" ht="14" outlineLevel="0" r="29249">
      <c r="A29249" s="3" t="inlineStr">
        <is>
          <t>29115</t>
        </is>
      </c>
      <c r="B29249" s="4" t="s">
        <f>=HYPERLINK("http://anyluxury.ru/shop/elektronika/bytovaya-tekhnika/beskontaktniy-infrakrasniy-termometr-smartcare-11804/" , "11804 Бесконтактный инфракрасный термометр SmartCare")</f>
      </c>
      <c r="C29249" s="4" t="n">
        <v>4990.00</v>
      </c>
      <c r="D29249" s="4"/>
    </row>
    <row collapsed="" customFormat="false" customHeight="1" hidden="" ht="14" outlineLevel="0" r="29250">
      <c r="A29250" s="3" t="inlineStr">
        <is>
          <t>29116</t>
        </is>
      </c>
      <c r="B29250" s="4" t="s">
        <f>=HYPERLINK("http://anyluxury.ru/shop/elektronika/bytovaya-tekhnika/massazher-dlya-glaz-i-lica-eyestick-light-beliy-1213860/" , "12138.60 Массажер для глаз и лица Eyestick Light, белый")</f>
      </c>
      <c r="C29250" s="4" t="n">
        <v>999.00</v>
      </c>
      <c r="D29250" s="4"/>
    </row>
    <row collapsed="" customFormat="false" customHeight="1" hidden="" ht="14" outlineLevel="0" r="29251">
      <c r="A29251" s="3" t="inlineStr">
        <is>
          <t>29117</t>
        </is>
      </c>
      <c r="B29251" s="4" t="s">
        <f>=HYPERLINK("http://anyluxury.ru/shop/elektronika/bytovaya-tekhnika/portativniy-blender-juicer-siniy-1699840/" , "16998.40 Портативный блендер Juicer, синий")</f>
      </c>
      <c r="C29251" s="4" t="n">
        <v>3400.00</v>
      </c>
      <c r="D29251" s="4"/>
    </row>
    <row collapsed="" customFormat="false" customHeight="1" hidden="" ht="14" outlineLevel="0" r="29252">
      <c r="A29252" s="3" t="inlineStr">
        <is>
          <t>29118</t>
        </is>
      </c>
      <c r="B29252" s="4" t="s">
        <f>=HYPERLINK("http://anyluxury.ru/shop/elektronika/bytovaya-tekhnika/portativniy-blender-juicer-rozoviy-1699815/" , "16998.15 Портативный блендер Juicer, розовый")</f>
      </c>
      <c r="C29252" s="4" t="n">
        <v>3400.00</v>
      </c>
      <c r="D29252" s="4"/>
    </row>
    <row collapsed="" customFormat="false" customHeight="1" hidden="" ht="14" outlineLevel="0" r="29253">
      <c r="A29253" s="3" t="inlineStr">
        <is>
          <t>29119</t>
        </is>
      </c>
      <c r="B29253" s="4" t="s">
        <f>=HYPERLINK("http://anyluxury.ru/shop/elektronika/bytovaya-tekhnika/portativniy-blender-juicer-beliy-1699860/" , "16998.60 Портативный блендер Juicer, белый")</f>
      </c>
      <c r="C29253" s="4" t="n">
        <v>3400.00</v>
      </c>
      <c r="D29253" s="4"/>
    </row>
    <row collapsed="" customFormat="false" customHeight="1" hidden="" ht="14" outlineLevel="0" r="29254">
      <c r="A29254" s="3" t="inlineStr">
        <is>
          <t>29120</t>
        </is>
      </c>
      <c r="B29254" s="4" t="s">
        <f>=HYPERLINK("http://anyluxury.ru/shop/elektronika/bytovaya-tekhnika/portativniy-blender-juicer-zheltiy-1699880/" , "16998.80 Портативный блендер Juicer, желтый")</f>
      </c>
      <c r="C29254" s="4" t="n">
        <v>3400.00</v>
      </c>
      <c r="D29254" s="4"/>
    </row>
    <row collapsed="" customFormat="false" customHeight="1" hidden="" ht="14" outlineLevel="0" r="29255">
      <c r="A29255" s="3" t="inlineStr">
        <is>
          <t>29121</t>
        </is>
      </c>
      <c r="B29255" s="4" t="s">
        <f>=HYPERLINK("http://anyluxury.ru/shop/elektronika/bytovaya-tekhnika/ozonator-vozduha-ozonrefine-sompact-beliy-1288760/" , "12887.60 Озонатор воздуха ozonRefine Сompact, белый")</f>
      </c>
      <c r="C29255" s="4" t="n">
        <v>1990.00</v>
      </c>
      <c r="D29255" s="4"/>
    </row>
    <row collapsed="" customFormat="false" customHeight="1" hidden="" ht="14" outlineLevel="0" r="29256">
      <c r="A29256" s="3" t="inlineStr">
        <is>
          <t>29122</t>
        </is>
      </c>
      <c r="B29256" s="4" t="s">
        <f>=HYPERLINK("http://anyluxury.ru/shop/elektronika/bytovaya-tekhnika/portativnaya-uflampa-uv-mini-indigo-belaya-1292560/" , "12925.60 Портативная УФ-лампа UV Mini Indigo, белая")</f>
      </c>
      <c r="C29256" s="4" t="n">
        <v>2349.00</v>
      </c>
      <c r="D29256" s="4"/>
    </row>
    <row collapsed="" customFormat="false" customHeight="1" hidden="" ht="14" outlineLevel="0" r="29257">
      <c r="A29257" s="3" t="inlineStr">
        <is>
          <t>29123</t>
        </is>
      </c>
      <c r="B29257" s="4" t="s">
        <f>=HYPERLINK("http://anyluxury.ru/shop/elektronika/bytovaya-tekhnika/portativnaya-uflampa-uv-mini-indigo-chernaya-1292530/" , "12925.30 Портативная УФ-лампа UV Mini Indigo, черная")</f>
      </c>
      <c r="C29257" s="4" t="n">
        <v>1849.00</v>
      </c>
      <c r="D29257" s="4"/>
    </row>
    <row collapsed="" customFormat="false" customHeight="1" hidden="" ht="14" outlineLevel="0" r="29258">
      <c r="A29258" s="3" t="inlineStr">
        <is>
          <t>29124</t>
        </is>
      </c>
      <c r="B29258" s="4" t="s">
        <f>=HYPERLINK("http://anyluxury.ru/shop/elektronika/bytovaya-tekhnika/mobilniy-printer-colop-emark-beliy-1415560/" , "14155.60 Мобильный принтер Colop E-mark, белый")</f>
      </c>
      <c r="C29258" s="4" t="n">
        <v>30900.00</v>
      </c>
      <c r="D29258" s="4"/>
    </row>
    <row collapsed="" customFormat="false" customHeight="1" hidden="" ht="14" outlineLevel="0" r="29259">
      <c r="A29259" s="3" t="inlineStr">
        <is>
          <t>29125</t>
        </is>
      </c>
      <c r="B29259" s="4" t="s">
        <f>=HYPERLINK("http://anyluxury.ru/shop/elektronika/bytovaya-tekhnika/mobilniy-printer-colop-emark-cherniy-1415530/" , "14155.30 Мобильный принтер Colop E-mark, черный")</f>
      </c>
      <c r="C29259" s="4" t="n">
        <v>30900.00</v>
      </c>
      <c r="D29259" s="4"/>
    </row>
    <row collapsed="" customFormat="false" customHeight="1" hidden="" ht="14" outlineLevel="0" r="29260">
      <c r="A29260" s="3" t="inlineStr">
        <is>
          <t>29126</t>
        </is>
      </c>
      <c r="B29260" s="4" t="s">
        <f>=HYPERLINK("http://anyluxury.ru/shop/elektronika/bytovaya-tekhnika/zashhitniy-futlyar-colop-emark-cherniy-1415630/" , "14156.30 Защитный футляр Colop E-mark, черный")</f>
      </c>
      <c r="C29260" s="4" t="n">
        <v>2990.00</v>
      </c>
      <c r="D29260" s="4"/>
    </row>
    <row collapsed="" customFormat="false" customHeight="1" hidden="" ht="14" outlineLevel="0" r="29261">
      <c r="A29261" s="3" t="inlineStr">
        <is>
          <t>29127</t>
        </is>
      </c>
      <c r="B29261" s="4" t="s">
        <f>=HYPERLINK("http://anyluxury.ru/shop/elektronika/bytovaya-tekhnika/smenniy-kartridzh-colop-emark-1415700/" , "14157.00 Сменный картридж Colop E-mark")</f>
      </c>
      <c r="C29261" s="4" t="n">
        <v>5990.00</v>
      </c>
      <c r="D29261" s="4"/>
    </row>
    <row collapsed="" customFormat="false" customHeight="1" hidden="" ht="14" outlineLevel="0" r="29262">
      <c r="A29262" s="3" t="inlineStr">
        <is>
          <t>29128</t>
        </is>
      </c>
      <c r="B29262" s="4" t="s">
        <f>=HYPERLINK("http://anyluxury.ru/shop/elektronika/bytovaya-tekhnika/lenta-colop-emark-15-belaya-1415860/" , "14158.60 Лента Colop E-mark 15, белая")</f>
      </c>
      <c r="C29262" s="4" t="n">
        <v>1390.00</v>
      </c>
      <c r="D29262" s="4"/>
    </row>
    <row collapsed="" customFormat="false" customHeight="1" hidden="" ht="14" outlineLevel="0" r="29263">
      <c r="A29263" s="3" t="inlineStr">
        <is>
          <t>29129</t>
        </is>
      </c>
      <c r="B29263" s="4" t="s">
        <f>=HYPERLINK("http://anyluxury.ru/shop/elektronika/bytovaya-tekhnika/lenta-colop-emark-25-belaya-1415960/" , "14159.60 Лента Colop E-mark 25, белая")</f>
      </c>
      <c r="C29263" s="4" t="n">
        <v>1890.00</v>
      </c>
      <c r="D29263" s="4"/>
    </row>
    <row collapsed="" customFormat="false" customHeight="1" hidden="" ht="14" outlineLevel="0" r="29264">
      <c r="A29264" s="3" t="inlineStr">
        <is>
          <t>29130</t>
        </is>
      </c>
      <c r="B29264" s="4" t="s">
        <f>=HYPERLINK("http://anyluxury.ru/shop/elektronika/bytovaya-tekhnika/nabor-brasletov-colop-emark-1415460/" , "14154.60 Набор браслетов Colop E-mark")</f>
      </c>
      <c r="C29264" s="4" t="n">
        <v>1290.00</v>
      </c>
      <c r="D29264" s="4"/>
    </row>
    <row collapsed="" customFormat="false" customHeight="1" hidden="" ht="14" outlineLevel="0" r="29265">
      <c r="A29265" s="3" t="inlineStr">
        <is>
          <t>29131</t>
        </is>
      </c>
      <c r="B29265" s="4" t="s">
        <f>=HYPERLINK("http://anyluxury.ru/shop/elektronika/bytovaya-tekhnika/napravlyayushhie-lineyki-colop-emark-1415311/" , "14153.11 Направляющие линейки Colop E-mark")</f>
      </c>
      <c r="C29265" s="4" t="n">
        <v>1190.00</v>
      </c>
      <c r="D29265" s="4"/>
    </row>
    <row collapsed="" customFormat="false" customHeight="1" hidden="" ht="14" outlineLevel="0" r="29266">
      <c r="A29266" s="3" t="inlineStr">
        <is>
          <t>29132</t>
        </is>
      </c>
      <c r="B29266" s="4" t="s">
        <f>=HYPERLINK("http://anyluxury.ru/shop/elektronika/bytovaya-tekhnika/besprovodnoy-ventilyator-n9-temnosiniy-1607940/" , "16079.40 Беспроводной вентилятор N9, темно-синий")</f>
      </c>
      <c r="C29266" s="4" t="n">
        <v>1190.00</v>
      </c>
      <c r="D29266" s="4"/>
    </row>
    <row collapsed="" customFormat="false" customHeight="1" hidden="" ht="14" outlineLevel="0" r="29267">
      <c r="A29267" s="3" t="inlineStr">
        <is>
          <t>29133</t>
        </is>
      </c>
      <c r="B29267" s="4" t="s">
        <f>=HYPERLINK("http://anyluxury.ru/shop/elektronika/bytovaya-tekhnika/besprovodnoy-ventilyator-n9-beliy-1607960/" , "16079.60 Беспроводной вентилятор N9, белый")</f>
      </c>
      <c r="C29267" s="4" t="n">
        <v>1190.00</v>
      </c>
      <c r="D29267" s="4"/>
    </row>
    <row collapsed="" customFormat="false" customHeight="1" hidden="" ht="14" outlineLevel="0" r="29268">
      <c r="A29268" s="3" t="inlineStr">
        <is>
          <t>29134</t>
        </is>
      </c>
      <c r="B29268" s="4" t="s">
        <f>=HYPERLINK("http://anyluxury.ru/shop/elektronika/bytovaya-tekhnika/besprovodnoy-ventilyator-f6-temnosiniy-1305540/" , "13055.40 Беспроводной вентилятор F6, темно-синий")</f>
      </c>
      <c r="C29268" s="4" t="n">
        <v>990.00</v>
      </c>
      <c r="D29268" s="4"/>
    </row>
    <row collapsed="" customFormat="false" customHeight="1" hidden="" ht="14" outlineLevel="0" r="29269">
      <c r="A29269" s="3" t="inlineStr">
        <is>
          <t>29135</t>
        </is>
      </c>
      <c r="B29269" s="4" t="s">
        <f>=HYPERLINK("http://anyluxury.ru/shop/elektronika/bytovaya-tekhnika/besprovodnoy-ventilyator-f6-beliy-1305560/" , "13055.60 Беспроводной вентилятор F6, белый")</f>
      </c>
      <c r="C29269" s="4" t="n">
        <v>990.00</v>
      </c>
      <c r="D29269" s="4"/>
    </row>
    <row collapsed="" customFormat="false" customHeight="1" hidden="" ht="14" outlineLevel="0" r="29270">
      <c r="A29270" s="3" t="inlineStr">
        <is>
          <t>29136</t>
        </is>
      </c>
      <c r="B29270" s="4" t="s">
        <f>=HYPERLINK("http://anyluxury.ru/shop/elektronika/bytovaya-tekhnika/nastolniy-besprovodnoy-ventilyator-s-podsvetkoy-inbreeze-beliy-c-serim-1304660/" , "13046.60 Настольный беспроводной вентилятор с подсветкой inBreeze, белый c серым")</f>
      </c>
      <c r="C29270" s="4" t="n">
        <v>1999.00</v>
      </c>
      <c r="D29270" s="4"/>
    </row>
    <row collapsed="" customFormat="false" customHeight="1" hidden="" ht="14" outlineLevel="0" r="29271">
      <c r="A29271" s="3" t="inlineStr">
        <is>
          <t>29137</t>
        </is>
      </c>
      <c r="B29271" s="4" t="s">
        <f>=HYPERLINK("http://anyluxury.ru/shop/elektronika/bytovaya-tekhnika/nastolniy-sterilizator-s-besprovodnoy-zaryadkoy-i-chasami-uv-depot-cherniy-1319830/" , "13198.30 Настольный стерилизатор с беспроводной зарядкой и часами UV Depot, черный")</f>
      </c>
      <c r="C29271" s="4" t="n">
        <v>4290.00</v>
      </c>
      <c r="D29271" s="4"/>
    </row>
    <row collapsed="" customFormat="false" customHeight="1" hidden="" ht="14" outlineLevel="0" r="29272">
      <c r="A29272" s="3" t="inlineStr">
        <is>
          <t>29138</t>
        </is>
      </c>
      <c r="B29272" s="4" t="s">
        <f>=HYPERLINK("http://anyluxury.ru/shop/elektronika/bytovaya-tekhnika/ustroystvo-zvukovoy-terapii-c-podsvetkoy-sm09-12923/" , "12923 Устройство для успокоения c подсветкой SM09")</f>
      </c>
      <c r="C29272" s="4" t="n">
        <v>2590.00</v>
      </c>
      <c r="D29272" s="4"/>
    </row>
    <row collapsed="" customFormat="false" customHeight="1" hidden="" ht="14" outlineLevel="0" r="29273">
      <c r="A29273" s="3" t="inlineStr">
        <is>
          <t>29139</t>
        </is>
      </c>
      <c r="B29273" s="4" t="s">
        <f>=HYPERLINK("http://anyluxury.ru/shop/elektronika/bytovaya-tekhnika/kofemolka-grind-it-14602/" , "14602 Кофемолка Grind It")</f>
      </c>
      <c r="C29273" s="4" t="n">
        <v>2699.00</v>
      </c>
      <c r="D29273" s="4"/>
    </row>
    <row collapsed="" customFormat="false" customHeight="1" hidden="" ht="14" outlineLevel="0" r="29274">
      <c r="A29274" s="3" t="inlineStr">
        <is>
          <t>29140</t>
        </is>
      </c>
      <c r="B29274" s="4" t="s">
        <f>=HYPERLINK("http://anyluxury.ru/shop/elektronika/bytovaya-tekhnika/robotpilesos-cleany-14603/" , "14603 Робот-пылесос Cleany")</f>
      </c>
      <c r="C29274" s="4" t="n">
        <v>9999.00</v>
      </c>
      <c r="D29274" s="4"/>
    </row>
    <row collapsed="" customFormat="false" customHeight="1" hidden="" ht="14" outlineLevel="0" r="29275">
      <c r="A29275" s="3" t="inlineStr">
        <is>
          <t>29141</t>
        </is>
      </c>
      <c r="B29275" s="4" t="s">
        <f>=HYPERLINK("http://anyluxury.ru/shop/elektronika/bytovaya-tekhnika/elektricheskiy-chaynik-coddle-14604/" , "14604 Электрический чайник Coddle")</f>
      </c>
      <c r="C29275" s="4" t="n">
        <v>2999.00</v>
      </c>
      <c r="D29275" s="4"/>
    </row>
    <row collapsed="" customFormat="false" customHeight="1" hidden="" ht="14" outlineLevel="0" r="29276">
      <c r="A29276" s="3" t="inlineStr">
        <is>
          <t>29142</t>
        </is>
      </c>
      <c r="B29276" s="4" t="s">
        <f>=HYPERLINK("http://anyluxury.ru/shop/elektronika/bytovaya-tekhnika/kofevarka-barista-14605/" , "14605 Кофеварка Barista")</f>
      </c>
      <c r="C29276" s="4" t="n">
        <v>17999.00</v>
      </c>
      <c r="D29276" s="4"/>
    </row>
    <row collapsed="" customFormat="false" customHeight="1" hidden="" ht="14" outlineLevel="0" r="29277">
      <c r="A29277" s="3" t="inlineStr">
        <is>
          <t>29143</t>
        </is>
      </c>
      <c r="B29277" s="4" t="s">
        <f>=HYPERLINK("http://anyluxury.ru/shop/elektronika/bytovaya-tekhnika/kofevarka-kapsulnaya-cupsulate-14606/" , "14606 Кофеварка капсульная Cupsulate")</f>
      </c>
      <c r="C29277" s="4" t="n">
        <v>19199.00</v>
      </c>
      <c r="D29277" s="4"/>
    </row>
    <row collapsed="" customFormat="false" customHeight="1" hidden="" ht="14" outlineLevel="0" r="29278">
      <c r="A29278" s="3" t="inlineStr">
        <is>
          <t>29144</t>
        </is>
      </c>
      <c r="B29278" s="4" t="s">
        <f>=HYPERLINK("http://anyluxury.ru/shop/elektronika/bytovaya-tekhnika/chaynik-mi-electric-kettle-13643/" , "13643 Чайник Mi Electric Kettle")</f>
      </c>
      <c r="C29278" s="4" t="n">
        <v>3190.00</v>
      </c>
      <c r="D29278" s="4"/>
    </row>
    <row collapsed="" customFormat="false" customHeight="1" hidden="" ht="14" outlineLevel="0" r="29279">
      <c r="A29279" s="3" t="inlineStr">
        <is>
          <t>29145</t>
        </is>
      </c>
      <c r="B29279" s="4" t="s">
        <f>=HYPERLINK("http://anyluxury.ru/shop/elektronika/bytovaya-tekhnika/datchik-otkritiya-perenio-13749/" , "13749 Датчик открытия Perenio")</f>
      </c>
      <c r="C29279" s="4" t="n">
        <v>749.00</v>
      </c>
      <c r="D29279" s="4"/>
    </row>
    <row collapsed="" customFormat="false" customHeight="1" hidden="" ht="14" outlineLevel="0" r="29280">
      <c r="A29280" s="3" t="inlineStr">
        <is>
          <t>29146</t>
        </is>
      </c>
      <c r="B29280" s="4" t="s">
        <f>=HYPERLINK("http://anyluxury.ru/shop/elektronika/bytovaya-tekhnika/datchik-dvizheniya-perenio-13750/" , "13750 Датчик движения Perenio")</f>
      </c>
      <c r="C29280" s="4" t="n">
        <v>1280.00</v>
      </c>
      <c r="D29280" s="4"/>
    </row>
    <row collapsed="" customFormat="false" customHeight="1" hidden="" ht="14" outlineLevel="0" r="29281">
      <c r="A29281" s="3" t="inlineStr">
        <is>
          <t>29147</t>
        </is>
      </c>
      <c r="B29281" s="4" t="s">
        <f>=HYPERLINK("http://anyluxury.ru/shop/elektronika/bytovaya-tekhnika/datchik-dima-perenio-13751/" , "13751 Датчик дыма Perenio")</f>
      </c>
      <c r="C29281" s="4" t="n">
        <v>1190.00</v>
      </c>
      <c r="D29281" s="4"/>
    </row>
    <row collapsed="" customFormat="false" customHeight="1" hidden="" ht="14" outlineLevel="0" r="29282">
      <c r="A29282" s="3" t="inlineStr">
        <is>
          <t>29148</t>
        </is>
      </c>
      <c r="B29282" s="4" t="s">
        <f>=HYPERLINK("http://anyluxury.ru/shop/elektronika/bytovaya-tekhnika/datchik-protechki-perenio-13752/" , "13752 Датчик протечки Perenio")</f>
      </c>
      <c r="C29282" s="4" t="n">
        <v>1099.00</v>
      </c>
      <c r="D29282" s="4"/>
    </row>
    <row collapsed="" customFormat="false" customHeight="1" hidden="" ht="14" outlineLevel="0" r="29283">
      <c r="A29283" s="3" t="inlineStr">
        <is>
          <t>29149</t>
        </is>
      </c>
      <c r="B29283" s="4" t="s">
        <f>=HYPERLINK("http://anyluxury.ru/shop/elektronika/bytovaya-tekhnika/centr-upravleniya-perenio-13753/" , "13753 Центр управления Perenio")</f>
      </c>
      <c r="C29283" s="4" t="n">
        <v>1190.00</v>
      </c>
      <c r="D29283" s="4"/>
    </row>
    <row collapsed="" customFormat="false" customHeight="1" hidden="" ht="14" outlineLevel="0" r="29284">
      <c r="A29284" s="3" t="inlineStr">
        <is>
          <t>29150</t>
        </is>
      </c>
      <c r="B29284" s="4" t="s">
        <f>=HYPERLINK("http://anyluxury.ru/shop/elektronika/bytovaya-tekhnika/umnaya-rozetka-power-link-belaya-1375460/" , "13754.60 Умная розетка Power Link, белая")</f>
      </c>
      <c r="C29284" s="4" t="n">
        <v>3590.00</v>
      </c>
      <c r="D29284" s="4"/>
    </row>
    <row collapsed="" customFormat="false" customHeight="1" hidden="" ht="14" outlineLevel="0" r="29285">
      <c r="A29285" s="3" t="inlineStr">
        <is>
          <t>29151</t>
        </is>
      </c>
      <c r="B29285" s="4" t="s">
        <f>=HYPERLINK("http://anyluxury.ru/shop/elektronika/bytovaya-tekhnika/umnaya-rozetka-power-link-chernaya-1375430/" , "13754.30 Умная розетка Power Link, черная")</f>
      </c>
      <c r="C29285" s="4" t="n">
        <v>3590.00</v>
      </c>
      <c r="D29285" s="4"/>
    </row>
    <row collapsed="" customFormat="false" customHeight="1" hidden="" ht="14" outlineLevel="0" r="29286">
      <c r="A29286" s="3" t="inlineStr">
        <is>
          <t>29152</t>
        </is>
      </c>
      <c r="B29286" s="4" t="s">
        <f>=HYPERLINK("http://anyluxury.ru/shop/elektronika/bytovaya-tekhnika/umnaya-rozetka-power-link-wifi-belaya-13755/" , "13755 Умная розетка Power Link Wi-Fi, белая")</f>
      </c>
      <c r="C29286" s="4" t="n">
        <v>2490.00</v>
      </c>
      <c r="D29286" s="4"/>
    </row>
    <row collapsed="" customFormat="false" customHeight="1" hidden="" ht="14" outlineLevel="0" r="29287">
      <c r="A29287" s="3" t="inlineStr">
        <is>
          <t>29153</t>
        </is>
      </c>
      <c r="B29287" s="4" t="s">
        <f>=HYPERLINK("http://anyluxury.ru/shop/elektronika/bytovaya-tekhnika/infrakrasniy-pult-red-atom-13756/" , "13756 Инфракрасный пульт Red Atom")</f>
      </c>
      <c r="C29287" s="4" t="n">
        <v>990.00</v>
      </c>
      <c r="D29287" s="4"/>
    </row>
    <row collapsed="" customFormat="false" customHeight="1" hidden="" ht="14" outlineLevel="0" r="29288">
      <c r="A29288" s="3" t="inlineStr">
        <is>
          <t>29154</t>
        </is>
      </c>
      <c r="B29288" s="4" t="s">
        <f>=HYPERLINK("http://anyluxury.ru/shop/elektronika/bytovaya-tekhnika/portativnaya-kofemolka-moxie-serebristochernaya-1881013/" , "18810.13 Портативная кофемолка Moxie, серебристо-черная")</f>
      </c>
      <c r="C29288" s="4" t="n">
        <v>2790.00</v>
      </c>
      <c r="D29288" s="4"/>
    </row>
    <row collapsed="" customFormat="false" customHeight="1" hidden="" ht="14" outlineLevel="0" r="29289">
      <c r="A29289" s="3" t="inlineStr">
        <is>
          <t>29155</t>
        </is>
      </c>
      <c r="B29289" s="4" t="s">
        <f>=HYPERLINK("http://anyluxury.ru/shop/elektronika/bytovaya-tekhnika/umnaya-rozetka-sber-1465760/" , "14657.60 Умная розетка Sber")</f>
      </c>
      <c r="C29289" s="4" t="n">
        <v>2590.00</v>
      </c>
      <c r="D29289" s="4"/>
    </row>
    <row collapsed="" customFormat="false" customHeight="1" hidden="" ht="14" outlineLevel="0" r="29290">
      <c r="A29290" s="3" t="inlineStr">
        <is>
          <t>29156</t>
        </is>
      </c>
      <c r="B29290" s="4" t="s">
        <f>=HYPERLINK("http://anyluxury.ru/shop/elektronika/bytovaya-tekhnika/umnaya-mediakolonka-sberbox-time-chernaya-1465830/" , "14658.30 Умная медиаколонка SberBox Time, черная")</f>
      </c>
      <c r="C29290" s="4" t="n">
        <v>12290.00</v>
      </c>
      <c r="D29290" s="4"/>
    </row>
    <row collapsed="" customFormat="false" customHeight="1" hidden="" ht="14" outlineLevel="0" r="29291">
      <c r="A29291" s="3" t="inlineStr">
        <is>
          <t>29157</t>
        </is>
      </c>
      <c r="B29291" s="4" t="s">
        <f>=HYPERLINK("http://anyluxury.ru/shop/elektronika/bytovaya-tekhnika/smartdispley-sberportal-cherniy-1465930/" , "14659.30 Смарт-дисплей SberPortal, черный")</f>
      </c>
      <c r="C29291" s="4" t="n">
        <v>40490.00</v>
      </c>
      <c r="D29291" s="4"/>
    </row>
    <row collapsed="" customFormat="false" customHeight="1" hidden="" ht="14" outlineLevel="0" r="29292">
      <c r="A29292" s="3" t="inlineStr">
        <is>
          <t>29158</t>
        </is>
      </c>
      <c r="B29292" s="4" t="s">
        <f>=HYPERLINK("http://anyluxury.ru/shop/elektronika/bytovaya-tekhnika/smartdispley-sberportal-beliy-1465960/" , "14659.60 Смарт-дисплей SberPortal, белый")</f>
      </c>
      <c r="C29292" s="4" t="n">
        <v>40490.00</v>
      </c>
      <c r="D29292" s="4"/>
    </row>
    <row collapsed="" customFormat="false" customHeight="1" hidden="" ht="14" outlineLevel="0" r="29293">
      <c r="A29293" s="3" t="inlineStr">
        <is>
          <t>29159</t>
        </is>
      </c>
      <c r="B29293" s="4" t="s">
        <f>=HYPERLINK("http://anyluxury.ru/shop/elektronika/bytovaya-tekhnika/tvmediacentr-s-umnoy-kameroy-sberbox-top-14660/" , "14660 ТВ-медиацентр с умной камерой SberBox Top")</f>
      </c>
      <c r="C29293" s="4" t="n">
        <v>18999.00</v>
      </c>
      <c r="D29293" s="4"/>
    </row>
    <row collapsed="" customFormat="false" customHeight="1" hidden="" ht="14" outlineLevel="0" r="29294">
      <c r="A29294" s="3" t="inlineStr">
        <is>
          <t>29160</t>
        </is>
      </c>
      <c r="B29294" s="4" t="s">
        <f>=HYPERLINK("http://anyluxury.ru/shop/elektronika/bytovaya-tekhnika/toster-bread-flip-10340/" , "10340 Тостер Bread Flip")</f>
      </c>
      <c r="C29294" s="4" t="n">
        <v>4099.00</v>
      </c>
      <c r="D29294" s="4"/>
    </row>
    <row collapsed="" customFormat="false" customHeight="1" hidden="" ht="14" outlineLevel="0" r="29295">
      <c r="A29295" s="3" t="inlineStr">
        <is>
          <t>29161</t>
        </is>
      </c>
      <c r="B29295" s="4" t="s">
        <f>=HYPERLINK("http://anyluxury.ru/shop/elektronika/bytovaya-tekhnika/blender-portativniy-blended-cherniy-1409330/" , "14093.30 Блендер портативный Blended, черный")</f>
      </c>
      <c r="C29295" s="4" t="n">
        <v>2790.00</v>
      </c>
      <c r="D29295" s="4"/>
    </row>
    <row collapsed="" customFormat="false" customHeight="1" hidden="" ht="14" outlineLevel="0" r="29296">
      <c r="A29296" s="3" t="inlineStr">
        <is>
          <t>29162</t>
        </is>
      </c>
      <c r="B29296" s="4" t="s">
        <f>=HYPERLINK("http://anyluxury.ru/shop/elektronika/bytovaya-tekhnika/blender-portativniy-blended-beliy-1409360/" , "14093.60 Блендер портативный Blended, белый")</f>
      </c>
      <c r="C29296" s="4" t="n">
        <v>2790.00</v>
      </c>
      <c r="D29296" s="4"/>
    </row>
    <row collapsed="" customFormat="false" customHeight="1" hidden="" ht="14" outlineLevel="0" r="29297">
      <c r="A29297" s="3" t="inlineStr">
        <is>
          <t>29163</t>
        </is>
      </c>
      <c r="B29297" s="4" t="s">
        <f>=HYPERLINK("http://anyluxury.ru/shop/elektronika/bytovaya-tekhnika/umnie-vesi-mi-body-composition-scale-2-belie-1246860/" , "12468.60 Умные весы Mi Body Composition Scale 2, белые")</f>
      </c>
      <c r="C29297" s="4" t="n">
        <v>3590.00</v>
      </c>
      <c r="D29297" s="4"/>
    </row>
    <row collapsed="" customFormat="false" customHeight="1" hidden="" ht="14" outlineLevel="0" r="29298">
      <c r="A29298" s="3" t="inlineStr">
        <is>
          <t>29164</t>
        </is>
      </c>
      <c r="B29298" s="4" t="s">
        <f>=HYPERLINK("http://anyluxury.ru/shop/elektronika/bytovaya-tekhnika/videokamera-mi-home-security-camera-360-belaya-14934/" , "14934 Видеокамера Mi Home Security Camera 360°, белая")</f>
      </c>
      <c r="C29298" s="4" t="n">
        <v>3190.00</v>
      </c>
      <c r="D29298" s="4"/>
    </row>
    <row collapsed="" customFormat="false" customHeight="1" hidden="" ht="14" outlineLevel="0" r="29299">
      <c r="A29299" s="3" t="inlineStr">
        <is>
          <t>29165</t>
        </is>
      </c>
      <c r="B29299" s="4" t="s">
        <f>=HYPERLINK("http://anyluxury.ru/shop/elektronika/bytovaya-tekhnika/videokamera-wireless-outdoor-security-camera-belaya-14935/" , "14935 Видеокамера Wireless Outdoor Security Camera, белая")</f>
      </c>
      <c r="C29299" s="4" t="n">
        <v>8690.00</v>
      </c>
      <c r="D29299" s="4"/>
    </row>
    <row collapsed="" customFormat="false" customHeight="1" hidden="" ht="14" outlineLevel="0" r="29300">
      <c r="A29300" s="3" t="inlineStr">
        <is>
          <t>29166</t>
        </is>
      </c>
      <c r="B29300" s="4" t="s">
        <f>=HYPERLINK("http://anyluxury.ru/shop/elektronika/bytovaya-tekhnika/ochistitel-vozduha-air-purifier-3h-beliy-14936/" , "14936 Очиститель воздуха Air Purifier 3H, белый")</f>
      </c>
      <c r="C29300" s="4" t="n">
        <v>19990.00</v>
      </c>
      <c r="D29300" s="4"/>
    </row>
    <row collapsed="" customFormat="false" customHeight="1" hidden="" ht="14" outlineLevel="0" r="29301">
      <c r="A29301" s="3" t="inlineStr">
        <is>
          <t>29167</t>
        </is>
      </c>
      <c r="B29301" s="4" t="s">
        <f>=HYPERLINK("http://anyluxury.ru/shop/elektronika/bytovaya-tekhnika/chaynik-elektricheskiy-mi-electric-kettle-2-beliy-1585660/" , "15856.60 Чайник электрический Mi Electric Kettle 2, белый")</f>
      </c>
      <c r="C29301" s="4" t="n">
        <v>4690.00</v>
      </c>
      <c r="D29301" s="4"/>
    </row>
    <row collapsed="" customFormat="false" customHeight="1" hidden="" ht="14" outlineLevel="0" r="29302">
      <c r="A29302" s="3" t="inlineStr">
        <is>
          <t>29168</t>
        </is>
      </c>
      <c r="B29302" s="4" t="s">
        <f>=HYPERLINK("http://anyluxury.ru/shop/elektronika/bytovaya-tekhnika/umnaya-rozetka-tapo-p115-15363/" , "15363 Умная розетка Tapo P115")</f>
      </c>
      <c r="C29302" s="4" t="n">
        <v>2099.00</v>
      </c>
      <c r="D29302" s="4"/>
    </row>
    <row collapsed="" customFormat="false" customHeight="1" hidden="" ht="14" outlineLevel="0" r="29303">
      <c r="A29303" s="3" t="inlineStr">
        <is>
          <t>29169</t>
        </is>
      </c>
      <c r="B29303" s="4" t="s">
        <f>=HYPERLINK("http://anyluxury.ru/shop/elektronika/bytovaya-tekhnika/taymer-timekeeper-beliy-1392660/" , "13926.60 Таймер Timekeeper, белый")</f>
      </c>
      <c r="C29303" s="4" t="n">
        <v>999.00</v>
      </c>
      <c r="D29303" s="4"/>
    </row>
    <row collapsed="" customFormat="false" customHeight="1" hidden="" ht="14" outlineLevel="0" r="29304">
      <c r="A29304" s="3" t="inlineStr">
        <is>
          <t>29170</t>
        </is>
      </c>
      <c r="B29304" s="4" t="s">
        <f>=HYPERLINK("http://anyluxury.ru/shop/elektronika/bytovaya-tekhnika/portativnaya-kofemolka-electric-coffee-grinder-chernaya-s-oranzhevim-1618503/" , "16185.03 Портативная кофемолка Electric Coffee Grinder, черная с оранжевым")</f>
      </c>
      <c r="C29304" s="4" t="n">
        <v>3960.00</v>
      </c>
      <c r="D29304" s="4"/>
    </row>
    <row collapsed="" customFormat="false" customHeight="1" hidden="" ht="14" outlineLevel="0" r="29305">
      <c r="A29305" s="3" t="inlineStr">
        <is>
          <t>29171</t>
        </is>
      </c>
      <c r="B29305" s="4" t="s">
        <f>=HYPERLINK("http://anyluxury.ru/shop/elektronika/bytovaya-tekhnika/portativnaya-kofemolka-electric-coffee-grinder-chernaya-s-serebristim-1618513/" , "16185.13 Портативная кофемолка Electric Coffee Grinder, черная с серебристым")</f>
      </c>
      <c r="C29305" s="4" t="n">
        <v>3960.00</v>
      </c>
      <c r="D29305" s="4"/>
    </row>
    <row collapsed="" customFormat="false" customHeight="1" hidden="" ht="14" outlineLevel="0" r="29306">
      <c r="A29306" s="3" t="inlineStr">
        <is>
          <t>29172</t>
        </is>
      </c>
      <c r="B29306" s="4" t="s">
        <f>=HYPERLINK("http://anyluxury.ru/shop/elektronika/bytovaya-tekhnika/chaynik-drink-wink-serebristiy-s-chernim-1677713/" , "16777.13 Чайник Drink Wink, серебристый с черным")</f>
      </c>
      <c r="C29306" s="4" t="n">
        <v>2200.00</v>
      </c>
      <c r="D29306" s="4"/>
    </row>
    <row collapsed="" customFormat="false" customHeight="1" hidden="" ht="14" outlineLevel="0" r="29307">
      <c r="A29307" s="3" t="inlineStr">
        <is>
          <t>29173</t>
        </is>
      </c>
      <c r="B29307" s="4" t="s">
        <f>=HYPERLINK("http://anyluxury.ru/shop/elektronika/bytovaya-tekhnika/chaynik-fullmate-beliy-1677860/" , "16778.60 Чайник Fullmate, белый")</f>
      </c>
      <c r="C29307" s="4" t="n">
        <v>3145.00</v>
      </c>
      <c r="D29307" s="4"/>
    </row>
    <row collapsed="" customFormat="false" customHeight="1" hidden="" ht="14" outlineLevel="0" r="29308">
      <c r="A29308" s="3" t="inlineStr">
        <is>
          <t>29174</t>
        </is>
      </c>
      <c r="B29308" s="4" t="s">
        <f>=HYPERLINK("http://anyluxury.ru/shop/elektronika/bytovaya-tekhnika/toster-crisp-fest-cherniy-1677930/" , "16779.30 Тостер Crisp Fest, черный")</f>
      </c>
      <c r="C29308" s="4" t="n">
        <v>1800.00</v>
      </c>
      <c r="D29308" s="4"/>
    </row>
    <row collapsed="" customFormat="false" customHeight="1" hidden="" ht="14" outlineLevel="0" r="29309">
      <c r="A29309" s="3" t="inlineStr">
        <is>
          <t>29175</t>
        </is>
      </c>
      <c r="B29309" s="4" t="s">
        <f>=HYPERLINK("http://anyluxury.ru/shop/elektronika/bytovaya-tekhnika/kofevarka-kapelnaya-taste-power-belaya-s-serebristim-1678060/" , "16780.60 Кофеварка капельная Taste Power, белая с серебристым")</f>
      </c>
      <c r="C29309" s="4" t="n">
        <v>3130.00</v>
      </c>
      <c r="D29309" s="4"/>
    </row>
    <row collapsed="" customFormat="false" customHeight="1" hidden="" ht="14" outlineLevel="0" r="29310">
      <c r="A29310" s="3" t="inlineStr">
        <is>
          <t>29176</t>
        </is>
      </c>
      <c r="B29310" s="4" t="s">
        <f>=HYPERLINK("http://anyluxury.ru/shop/elektronika/bytovaya-tekhnika/sendvichnica-baking-powers-belaya-1678160/" , "16781.60 Сэндвичница Baking Powers, белая")</f>
      </c>
      <c r="C29310" s="4" t="n">
        <v>2757.00</v>
      </c>
      <c r="D29310" s="4"/>
    </row>
    <row collapsed="" customFormat="false" customHeight="1" hidden="" ht="14" outlineLevel="0" r="29311">
      <c r="A29311" s="3" t="inlineStr">
        <is>
          <t>29177</t>
        </is>
      </c>
      <c r="B29311" s="4" t="s">
        <f>=HYPERLINK("http://anyluxury.ru/shop/elektronika/bytovaya-tekhnika/obogrevatel-s-funkciey-ventilyatora-airtune-beliy-1517960/" , "15179.60 Обогреватель с функцией вентилятора airTune, белый")</f>
      </c>
      <c r="C29311" s="4" t="n">
        <v>3690.00</v>
      </c>
      <c r="D29311" s="4"/>
    </row>
    <row collapsed="" customFormat="false" customHeight="1" hidden="" ht="14" outlineLevel="0" r="29312">
      <c r="A29312" s="3" t="inlineStr">
        <is>
          <t>29178</t>
        </is>
      </c>
      <c r="B29312" s="4" t="s">
        <f>=HYPERLINK("http://anyluxury.ru/shop/elektronika/bytovaya-tekhnika/kuhonnie-vesi-grammy-belie-1690460/" , "16904.60 Кухонные весы Grammy, белые")</f>
      </c>
      <c r="C29312" s="4" t="n">
        <v>1450.00</v>
      </c>
      <c r="D29312" s="4"/>
    </row>
    <row collapsed="" customFormat="false" customHeight="1" hidden="" ht="14" outlineLevel="0" r="29313">
      <c r="A29313" s="3" t="inlineStr">
        <is>
          <t>29179</t>
        </is>
      </c>
      <c r="B29313" s="4" t="s">
        <f>=HYPERLINK("http://anyluxury.ru/shop/elektronika/bytovaya-tekhnika/portativniy-blender-naive-beliy-1690560/" , "16905.60 Портативный блендер Naive, белый")</f>
      </c>
      <c r="C29313" s="4" t="n">
        <v>1180.00</v>
      </c>
      <c r="D29313" s="4"/>
    </row>
    <row collapsed="" customFormat="false" customHeight="1" hidden="" ht="14" outlineLevel="0" r="29314">
      <c r="A29314" s="3" t="inlineStr">
        <is>
          <t>29180</t>
        </is>
      </c>
      <c r="B29314" s="4" t="s">
        <f>=HYPERLINK("http://anyluxury.ru/shop/elektronika/bytovaya-tekhnika/elektricheskiy-chaynik-twincups-beliy-1674360/" , "16743.60 Электрический чайник TwinCups, белый")</f>
      </c>
      <c r="C29314" s="4" t="n">
        <v>2450.00</v>
      </c>
      <c r="D29314" s="4"/>
    </row>
    <row collapsed="" customFormat="false" customHeight="1" hidden="" ht="14" outlineLevel="0" r="29315">
      <c r="A29315" s="3" t="inlineStr">
        <is>
          <t>29181</t>
        </is>
      </c>
      <c r="B29315" s="4" t="s">
        <f>=HYPERLINK("http://anyluxury.ru/shop/elektronika/bytovaya-tekhnika/elektricheskiy-chaynik-lumimore-steklyanniy-serebristocherniy-1674413/" , "16744.13 Электрический чайник Lumimore, стеклянный, серебристо-черный")</f>
      </c>
      <c r="C29315" s="4" t="n">
        <v>3790.00</v>
      </c>
      <c r="D29315" s="4"/>
    </row>
    <row collapsed="" customFormat="false" customHeight="1" hidden="" ht="14" outlineLevel="0" r="29316">
      <c r="A29316" s="3" t="inlineStr">
        <is>
          <t>29182</t>
        </is>
      </c>
      <c r="B29316" s="4" t="s">
        <f>=HYPERLINK("http://anyluxury.ru/shop/elektronika/bytovaya-tekhnika/elektricheskiy-toster-postre-serebristocherniy-1732813/" , "17328.13 Электрический тостер Postre, серебристо-черный")</f>
      </c>
      <c r="C29316" s="4" t="n">
        <v>3350.00</v>
      </c>
      <c r="D29316" s="4"/>
    </row>
    <row collapsed="" customFormat="false" customHeight="1" hidden="" ht="14" outlineLevel="0" r="29317">
      <c r="A29317" s="3" t="inlineStr">
        <is>
          <t>29183</t>
        </is>
      </c>
      <c r="B29317" s="4" t="s">
        <f>=HYPERLINK("http://anyluxury.ru/shop/elektronika/bytovaya-tekhnika/elektricheskaya-sokovizhimalka-dlya-citrusovih-source-force-serebristochernaya-1732913/" , "17329.13 Электрическая соковыжималка для цитрусовых Source Force, серебристо-черная")</f>
      </c>
      <c r="C29317" s="4" t="n">
        <v>2190.00</v>
      </c>
      <c r="D29317" s="4"/>
    </row>
    <row collapsed="" customFormat="false" customHeight="1" hidden="" ht="14" outlineLevel="0" r="29318">
      <c r="A29318" s="3" t="inlineStr">
        <is>
          <t>29184</t>
        </is>
      </c>
      <c r="B29318" s="4" t="s">
        <f>=HYPERLINK("http://anyluxury.ru/shop/elektronika/bytovaya-tekhnika/umnaya-rozetka-smart-plug-1646560/" , "16465.60 Умная розетка Smart Plug")</f>
      </c>
      <c r="C29318" s="4" t="n">
        <v>3890.00</v>
      </c>
      <c r="D29318" s="4"/>
    </row>
    <row collapsed="" customFormat="false" customHeight="1" hidden="" ht="14" outlineLevel="0" r="29319">
      <c r="A29319" s="3" t="inlineStr">
        <is>
          <t>29185</t>
        </is>
      </c>
      <c r="B29319" s="4" t="s">
        <f>=HYPERLINK("http://anyluxury.ru/shop/elektronika/bytovaya-tekhnika/datchik-otkritiya-dverey-i-okon-door-and-window-sensor-1646660/" , "16466.60 Датчик открытия дверей и окон Door and Window Sensor")</f>
      </c>
      <c r="C29319" s="4" t="n">
        <v>2290.00</v>
      </c>
      <c r="D29319" s="4"/>
    </row>
    <row collapsed="" customFormat="false" customHeight="1" hidden="" ht="14" outlineLevel="0" r="29320">
      <c r="A29320" s="3" t="inlineStr">
        <is>
          <t>29186</t>
        </is>
      </c>
      <c r="B29320" s="4" t="s">
        <f>=HYPERLINK("http://anyluxury.ru/shop/elektronika/bytovaya-tekhnika/kub-upravleniya-cube-1646760/" , "16467.60 Куб управления Cube")</f>
      </c>
      <c r="C29320" s="4" t="n">
        <v>1890.00</v>
      </c>
      <c r="D29320" s="4"/>
    </row>
    <row collapsed="" customFormat="false" customHeight="1" hidden="" ht="14" outlineLevel="0" r="29321">
      <c r="A29321" s="3" t="inlineStr">
        <is>
          <t>29187</t>
        </is>
      </c>
      <c r="B29321" s="4" t="s">
        <f>=HYPERLINK("http://anyluxury.ru/shop/elektronika/bytovaya-tekhnika/centr-umnogo-doma-hub-m1s-1646860/" , "16468.60 Центр умного дома Hub M1S")</f>
      </c>
      <c r="C29321" s="4" t="n">
        <v>6190.00</v>
      </c>
      <c r="D29321" s="4"/>
    </row>
    <row collapsed="" customFormat="false" customHeight="1" hidden="" ht="14" outlineLevel="0" r="29322">
      <c r="A29322" s="3" t="inlineStr">
        <is>
          <t>29188</t>
        </is>
      </c>
      <c r="B29322" s="4" t="s">
        <f>=HYPERLINK("http://anyluxury.ru/shop/elektronika/bytovaya-tekhnika/centr-umnogo-doma-hub-m2-1646930/" , "16469.30 Центр умного дома Hub M2")</f>
      </c>
      <c r="C29322" s="4" t="n">
        <v>6990.00</v>
      </c>
      <c r="D29322" s="4"/>
    </row>
    <row collapsed="" customFormat="false" customHeight="1" hidden="" ht="14" outlineLevel="0" r="29323">
      <c r="A29323" s="3" t="inlineStr">
        <is>
          <t>29189</t>
        </is>
      </c>
      <c r="B29323" s="4" t="s">
        <f>=HYPERLINK("http://anyluxury.ru/shop/elektronika/bytovaya-tekhnika/besprovodnoy-viklyuchatel-wireless-remote-switch-h1-1647060/" , "16470.60 Беспроводной выключатель Wireless Remote Switch H1")</f>
      </c>
      <c r="C29323" s="4" t="n">
        <v>4190.00</v>
      </c>
      <c r="D29323" s="4"/>
    </row>
    <row collapsed="" customFormat="false" customHeight="1" hidden="" ht="14" outlineLevel="0" r="29324">
      <c r="A29324" s="3" t="inlineStr">
        <is>
          <t>29190</t>
        </is>
      </c>
      <c r="B29324" s="4" t="s">
        <f>=HYPERLINK("http://anyluxury.ru/shop/elektronika/bytovaya-tekhnika/umniy-datchik-dima-smart-smoke-detector-1647160/" , "16471.60 Умный датчик дыма Smart Smoke Detector")</f>
      </c>
      <c r="C29324" s="4" t="n">
        <v>5690.00</v>
      </c>
      <c r="D29324" s="4"/>
    </row>
    <row collapsed="" customFormat="false" customHeight="1" hidden="" ht="14" outlineLevel="0" r="29325">
      <c r="A29325" s="3" t="inlineStr">
        <is>
          <t>29191</t>
        </is>
      </c>
      <c r="B29325" s="4" t="s">
        <f>=HYPERLINK("http://anyluxury.ru/shop/elektronika/bytovaya-tekhnika/umniy-datchik-gaza-smart-natural-gas-detector-1647260/" , "16472.60 Умный датчик газа Smart Natural Gas Detector")</f>
      </c>
      <c r="C29325" s="4" t="n">
        <v>6990.00</v>
      </c>
      <c r="D29325" s="4"/>
    </row>
    <row collapsed="" customFormat="false" customHeight="1" hidden="" ht="14" outlineLevel="0" r="29326">
      <c r="A29326" s="3" t="inlineStr">
        <is>
          <t>29192</t>
        </is>
      </c>
      <c r="B29326" s="4" t="s">
        <f>=HYPERLINK("http://anyluxury.ru/shop/elektronika/bytovaya-tekhnika/umnaya-kormushka-dlya-zhivotnih-smart-pet-feeder-c1-1647360/" , "16473.60 Умная кормушка для животных Smart Pet Feeder C1")</f>
      </c>
      <c r="C29326" s="4" t="n">
        <v>12390.00</v>
      </c>
      <c r="D29326" s="4"/>
    </row>
    <row collapsed="" customFormat="false" customHeight="" hidden="" ht="12.1" outlineLevel="0" r="29327">
      <c r="A29327" s="5" t="inlineStr">
        <is>
          <t> -  - Внешние аккумуляторы</t>
        </is>
      </c>
      <c r="B29327" s="6"/>
      <c r="C29327" s="6"/>
      <c r="D29327" s="6"/>
    </row>
    <row collapsed="" customFormat="false" customHeight="1" hidden="" ht="14" outlineLevel="0" r="29328">
      <c r="A29328" s="3" t="inlineStr">
        <is>
          <t>29193</t>
        </is>
      </c>
      <c r="B29328" s="4" t="s">
        <f>=HYPERLINK("http://anyluxury.ru/shop/elektronika/vneshnie-akkumulyatory/zaryadnoe-ustroystvo-8000-mah-p324411/" , "P324.411 Зарядное устройство, 8000 mAh")</f>
      </c>
      <c r="C29328" s="4" t="n">
        <v>2332.00</v>
      </c>
      <c r="D29328" s="4"/>
    </row>
    <row collapsed="" customFormat="false" customHeight="1" hidden="" ht="14" outlineLevel="0" r="29329">
      <c r="A29329" s="3" t="inlineStr">
        <is>
          <t>29194</t>
        </is>
      </c>
      <c r="B29329" s="4" t="s">
        <f>=HYPERLINK("http://anyluxury.ru/shop/elektronika/vneshnie-akkumulyatory/universalnoe-zaryadnoe-ustroystvo-2200-mah-krasniy-p324014/" , "P324.014 Универсальное зарядное устройство 2200 mAh, красный")</f>
      </c>
      <c r="C29329" s="4" t="n">
        <v>777.00</v>
      </c>
      <c r="D29329" s="4"/>
    </row>
    <row collapsed="" customFormat="false" customHeight="1" hidden="" ht="14" outlineLevel="0" r="29330">
      <c r="A29330" s="3" t="inlineStr">
        <is>
          <t>29195</t>
        </is>
      </c>
      <c r="B29330" s="4" t="s">
        <f>=HYPERLINK("http://anyluxury.ru/shop/elektronika/vneshnie-akkumulyatory/universalnoe-zaryadnoe-ustroystvo-2200-mah-temnosiniy-p324019/" , "P324.019 Универсальное зарядное устройство 2200 mAh, темно-синий")</f>
      </c>
      <c r="C29330" s="4" t="n">
        <v>828.00</v>
      </c>
      <c r="D29330" s="4"/>
    </row>
    <row collapsed="" customFormat="false" customHeight="1" hidden="" ht="14" outlineLevel="0" r="29331">
      <c r="A29331" s="3" t="inlineStr">
        <is>
          <t>29196</t>
        </is>
      </c>
      <c r="B29331" s="4" t="s">
        <f>=HYPERLINK("http://anyluxury.ru/shop/elektronika/vneshnie-akkumulyatory/zaryadnoe-ustroystvo-8000-mah-p324161/" , "P324.161 Зарядное устройство, 8000 mAh")</f>
      </c>
      <c r="C29331" s="4" t="n">
        <v>2190.00</v>
      </c>
      <c r="D29331" s="4"/>
    </row>
    <row collapsed="" customFormat="false" customHeight="1" hidden="" ht="14" outlineLevel="0" r="29332">
      <c r="A29332" s="3" t="inlineStr">
        <is>
          <t>29197</t>
        </is>
      </c>
      <c r="B29332" s="4" t="s">
        <f>=HYPERLINK("http://anyluxury.ru/shop/elektronika/vneshnie-akkumulyatory/zaryadnoe-ustroystvo-8000-mah-p324165/" , "P324.165 Зарядное устройство, 8000 mAh")</f>
      </c>
      <c r="C29332" s="4" t="n">
        <v>2413.00</v>
      </c>
      <c r="D29332" s="4"/>
    </row>
    <row collapsed="" customFormat="false" customHeight="1" hidden="" ht="14" outlineLevel="0" r="29333">
      <c r="A29333" s="3" t="inlineStr">
        <is>
          <t>29198</t>
        </is>
      </c>
      <c r="B29333" s="4" t="s">
        <f>=HYPERLINK("http://anyluxury.ru/shop/elektronika/vneshnie-akkumulyatory/zaryadnoe-ustroystvo-18-000-mah-p324292/" , "P324.292 Зарядное устройство, 18 000 mAh")</f>
      </c>
      <c r="C29333" s="4" t="n">
        <v>4263.00</v>
      </c>
      <c r="D29333" s="4"/>
    </row>
    <row collapsed="" customFormat="false" customHeight="1" hidden="" ht="14" outlineLevel="0" r="29334">
      <c r="A29334" s="3" t="inlineStr">
        <is>
          <t>29199</t>
        </is>
      </c>
      <c r="B29334" s="4" t="s">
        <f>=HYPERLINK("http://anyluxury.ru/shop/elektronika/vneshnie-akkumulyatory/zaryadnoe-ustroystvo-s-typec-na-20-000-mach-p324273/" , "P324.273 Зарядное устройство с Type-C на 20 000 мАч")</f>
      </c>
      <c r="C29334" s="4" t="n">
        <v>9890.00</v>
      </c>
      <c r="D29334" s="4"/>
    </row>
    <row collapsed="" customFormat="false" customHeight="1" hidden="" ht="14" outlineLevel="0" r="29335">
      <c r="A29335" s="3" t="inlineStr">
        <is>
          <t>29200</t>
        </is>
      </c>
      <c r="B29335" s="4" t="s">
        <f>=HYPERLINK("http://anyluxury.ru/shop/elektronika/vneshnie-akkumulyatory/universalnoe-zaryadnoe-ustroystvo-2200-mah-rozoviy-p324010/" , "P324.010 Универсальное зарядное устройство 2200 mAh, розовый")</f>
      </c>
      <c r="C29335" s="4" t="n">
        <v>786.00</v>
      </c>
      <c r="D29335" s="4"/>
    </row>
    <row collapsed="" customFormat="false" customHeight="1" hidden="" ht="14" outlineLevel="0" r="29336">
      <c r="A29336" s="3" t="inlineStr">
        <is>
          <t>29201</t>
        </is>
      </c>
      <c r="B29336" s="4" t="s">
        <f>=HYPERLINK("http://anyluxury.ru/shop/elektronika/vneshnie-akkumulyatory/universalnoe-zaryadnoe-ustroystvo-2200-mah-serebryaniy-p324012/" , "P324.012 Универсальное зарядное устройство 2200 mAh, серебряный")</f>
      </c>
      <c r="C29336" s="4" t="n">
        <v>828.00</v>
      </c>
      <c r="D29336" s="4"/>
    </row>
    <row collapsed="" customFormat="false" customHeight="1" hidden="" ht="14" outlineLevel="0" r="29337">
      <c r="A29337" s="3" t="inlineStr">
        <is>
          <t>29202</t>
        </is>
      </c>
      <c r="B29337" s="4" t="s">
        <f>=HYPERLINK("http://anyluxury.ru/shop/elektronika/vneshnie-akkumulyatory/universalnoe-zaryadnoe-ustroystvo-2200-mah-siniy-p324015/" , "P324.015 Универсальное зарядное устройство 2200 mAh, синий")</f>
      </c>
      <c r="C29337" s="4" t="n">
        <v>777.00</v>
      </c>
      <c r="D29337" s="4"/>
    </row>
    <row collapsed="" customFormat="false" customHeight="1" hidden="" ht="14" outlineLevel="0" r="29338">
      <c r="A29338" s="3" t="inlineStr">
        <is>
          <t>29203</t>
        </is>
      </c>
      <c r="B29338" s="4" t="s">
        <f>=HYPERLINK("http://anyluxury.ru/shop/elektronika/vneshnie-akkumulyatory/universalnoe-zaryadnoe-ustroystvo-2200-mah-salatoviy-p324017/" , "P324.017 Универсальное зарядное устройство 2200 mAh, салатовый")</f>
      </c>
      <c r="C29338" s="4" t="n">
        <v>777.00</v>
      </c>
      <c r="D29338" s="4"/>
    </row>
    <row collapsed="" customFormat="false" customHeight="1" hidden="" ht="14" outlineLevel="0" r="29339">
      <c r="A29339" s="3" t="inlineStr">
        <is>
          <t>29204</t>
        </is>
      </c>
      <c r="B29339" s="4" t="s">
        <f>=HYPERLINK("http://anyluxury.ru/shop/elektronika/vneshnie-akkumulyatory/vneshniy-akkumulyator-pebble-5200-serosiniy-562213/" , "5622.13 Внешний аккумулятор Pebble 5200, серо-синий")</f>
      </c>
      <c r="C29339" s="4" t="n">
        <v>1890.00</v>
      </c>
      <c r="D29339" s="4"/>
    </row>
    <row collapsed="" customFormat="false" customHeight="1" hidden="" ht="14" outlineLevel="0" r="29340">
      <c r="A29340" s="3" t="inlineStr">
        <is>
          <t>29205</t>
        </is>
      </c>
      <c r="B29340" s="4" t="s">
        <f>=HYPERLINK("http://anyluxury.ru/shop/elektronika/vneshnie-akkumulyatory/vneshniy-akkumulyator-pebble-7800-mach-serosiniy-564213/" , "5642.13 Внешний аккумулятор Pebble 7800 мАч, серо-синий")</f>
      </c>
      <c r="C29340" s="4" t="n">
        <v>2190.00</v>
      </c>
      <c r="D29340" s="4"/>
    </row>
    <row collapsed="" customFormat="false" customHeight="1" hidden="" ht="14" outlineLevel="0" r="29341">
      <c r="A29341" s="3" t="inlineStr">
        <is>
          <t>29206</t>
        </is>
      </c>
      <c r="B29341" s="4" t="s">
        <f>=HYPERLINK("http://anyluxury.ru/shop/elektronika/vneshnie-akkumulyatory/vneshniy-akkumulyator-easy-metal-2200-mach-serebristiy-678210/" , "6782.10 Внешний аккумулятор Easy Metal 2200 мАч, серебристый")</f>
      </c>
      <c r="C29341" s="4" t="n">
        <v>619.00</v>
      </c>
      <c r="D29341" s="4"/>
    </row>
    <row collapsed="" customFormat="false" customHeight="1" hidden="" ht="14" outlineLevel="0" r="29342">
      <c r="A29342" s="3" t="inlineStr">
        <is>
          <t>29207</t>
        </is>
      </c>
      <c r="B29342" s="4" t="s">
        <f>=HYPERLINK("http://anyluxury.ru/shop/elektronika/vneshnie-akkumulyatory/vneshniy-akkumulyator-uniscend-all-day-compact-10000-mach-beliy-341960/" , "3419.60 Внешний аккумулятор Uniscend All Day Compact 10000 мAч, белый")</f>
      </c>
      <c r="C29342" s="4" t="n">
        <v>1890.00</v>
      </c>
      <c r="D29342" s="4"/>
    </row>
    <row collapsed="" customFormat="false" customHeight="1" hidden="" ht="14" outlineLevel="0" r="29343">
      <c r="A29343" s="3" t="inlineStr">
        <is>
          <t>29208</t>
        </is>
      </c>
      <c r="B29343" s="4" t="s">
        <f>=HYPERLINK("http://anyluxury.ru/shop/elektronika/vneshnie-akkumulyatory/vneshniy-akkumulyator-uniscend-all-day-compact-10000-mach-cherniy-341930/" , "3419.30 Внешний аккумулятор Uniscend All Day Compact 10000 мAч, черный")</f>
      </c>
      <c r="C29343" s="4" t="n">
        <v>1890.00</v>
      </c>
      <c r="D29343" s="4"/>
    </row>
    <row collapsed="" customFormat="false" customHeight="1" hidden="" ht="14" outlineLevel="0" r="29344">
      <c r="A29344" s="3" t="inlineStr">
        <is>
          <t>29209</t>
        </is>
      </c>
      <c r="B29344" s="4" t="s">
        <f>=HYPERLINK("http://anyluxury.ru/shop/elektronika/vneshnie-akkumulyatory/vneshniy-akkumulyator-octopus-4000-mach-s-razemom-typec-beliy-338660/" , "3386.60 Внешний аккумулятор Octopus, 4000 мАч, с разъемом Type-C, белый")</f>
      </c>
      <c r="C29344" s="4" t="n">
        <v>1090.00</v>
      </c>
      <c r="D29344" s="4"/>
    </row>
    <row collapsed="" customFormat="false" customHeight="1" hidden="" ht="14" outlineLevel="0" r="29345">
      <c r="A29345" s="3" t="inlineStr">
        <is>
          <t>29210</t>
        </is>
      </c>
      <c r="B29345" s="4" t="s">
        <f>=HYPERLINK("http://anyluxury.ru/shop/elektronika/vneshnie-akkumulyatory/vneshniy-akkumulyator-uniscend-half-day-compact-5000-mach-cherniy-577930/" , "5779.30 Внешний аккумулятор Uniscend Half Day Compact 5000 мAч, черный")</f>
      </c>
      <c r="C29345" s="4" t="n">
        <v>1390.00</v>
      </c>
      <c r="D29345" s="4"/>
    </row>
    <row collapsed="" customFormat="false" customHeight="1" hidden="" ht="14" outlineLevel="0" r="29346">
      <c r="A29346" s="3" t="inlineStr">
        <is>
          <t>29211</t>
        </is>
      </c>
      <c r="B29346" s="4" t="s">
        <f>=HYPERLINK("http://anyluxury.ru/shop/elektronika/vneshnie-akkumulyatory/vneshniy-akkumulyator-uniscend-half-day-compact-5000-mach-beliy-577960/" , "5779.60 Внешний аккумулятор Uniscend Half Day Compact 5000 мAч, белый")</f>
      </c>
      <c r="C29346" s="4" t="n">
        <v>1390.00</v>
      </c>
      <c r="D29346" s="4"/>
    </row>
    <row collapsed="" customFormat="false" customHeight="1" hidden="" ht="14" outlineLevel="0" r="29347">
      <c r="A29347" s="3" t="inlineStr">
        <is>
          <t>29212</t>
        </is>
      </c>
      <c r="B29347" s="4" t="s">
        <f>=HYPERLINK("http://anyluxury.ru/shop/elektronika/vneshnie-akkumulyatory/vneshniy-akkumulyator-uniscend-half-day-compact-5000-mach-siniy-577940/" , "5779.40 Внешний аккумулятор Uniscend Half Day Compact 5000 мAч, синий")</f>
      </c>
      <c r="C29347" s="4" t="n">
        <v>1390.00</v>
      </c>
      <c r="D29347" s="4"/>
    </row>
    <row collapsed="" customFormat="false" customHeight="1" hidden="" ht="14" outlineLevel="0" r="29348">
      <c r="A29348" s="3" t="inlineStr">
        <is>
          <t>29213</t>
        </is>
      </c>
      <c r="B29348" s="4" t="s">
        <f>=HYPERLINK("http://anyluxury.ru/shop/elektronika/vneshnie-akkumulyatory/vneshniy-akkumulyator-uniscend-half-day-compact-5000-mach-krasniy-577950/" , "5779.50 Внешний аккумулятор Uniscend Half Day Compact 5000 мAч, красный")</f>
      </c>
      <c r="C29348" s="4" t="n">
        <v>1390.00</v>
      </c>
      <c r="D29348" s="4"/>
    </row>
    <row collapsed="" customFormat="false" customHeight="1" hidden="" ht="14" outlineLevel="0" r="29349">
      <c r="A29349" s="3" t="inlineStr">
        <is>
          <t>29214</t>
        </is>
      </c>
      <c r="B29349" s="4" t="s">
        <f>=HYPERLINK("http://anyluxury.ru/shop/elektronika/vneshnie-akkumulyatory/vneshniy-akkumulyator-uniscend-all-day-compact-10000-mach-siniy-341940/" , "3419.40 Внешний аккумулятор Uniscend All Day Compact 10000 мАч, синий")</f>
      </c>
      <c r="C29349" s="4" t="n">
        <v>1890.00</v>
      </c>
      <c r="D29349" s="4"/>
    </row>
    <row collapsed="" customFormat="false" customHeight="1" hidden="" ht="14" outlineLevel="0" r="29350">
      <c r="A29350" s="3" t="inlineStr">
        <is>
          <t>29215</t>
        </is>
      </c>
      <c r="B29350" s="4" t="s">
        <f>=HYPERLINK("http://anyluxury.ru/shop/elektronika/vneshnie-akkumulyatory/vneshniy-akkumulyator-uniscend-all-day-compact-10000-mach-krasniy-341950/" , "3419.50 Внешний аккумулятор Uniscend All Day Compact 10000 мАч, красный")</f>
      </c>
      <c r="C29350" s="4" t="n">
        <v>1890.00</v>
      </c>
      <c r="D29350" s="4"/>
    </row>
    <row collapsed="" customFormat="false" customHeight="1" hidden="" ht="14" outlineLevel="0" r="29351">
      <c r="A29351" s="3" t="inlineStr">
        <is>
          <t>29216</t>
        </is>
      </c>
      <c r="B29351" s="4" t="s">
        <f>=HYPERLINK("http://anyluxury.ru/shop/elektronika/vneshnie-akkumulyatory/akkumulyator-uniscend-quick-charge-wireless-10000-mach-cherniy-767830/" , "7678.30 Aккумулятор Quick Charge Wireless 10000 мАч, черный")</f>
      </c>
      <c r="C29351" s="4" t="n">
        <v>3490.00</v>
      </c>
      <c r="D29351" s="4"/>
    </row>
    <row collapsed="" customFormat="false" customHeight="1" hidden="" ht="14" outlineLevel="0" r="29352">
      <c r="A29352" s="3" t="inlineStr">
        <is>
          <t>29217</t>
        </is>
      </c>
      <c r="B29352" s="4" t="s">
        <f>=HYPERLINK("http://anyluxury.ru/shop/elektronika/vneshnie-akkumulyatory/akkumulyator-uniscend-quick-charge-wireless-10000-mach-beliy-767860/" , "7678.60 Aккумулятор Quick Charge Wireless 10000 мАч, белый")</f>
      </c>
      <c r="C29352" s="4" t="n">
        <v>3490.00</v>
      </c>
      <c r="D29352" s="4"/>
    </row>
    <row collapsed="" customFormat="false" customHeight="1" hidden="" ht="14" outlineLevel="0" r="29353">
      <c r="A29353" s="3" t="inlineStr">
        <is>
          <t>29218</t>
        </is>
      </c>
      <c r="B29353" s="4" t="s">
        <f>=HYPERLINK("http://anyluxury.ru/shop/elektronika/vneshnie-akkumulyatory/vneshniy-akkumulyator-uniscend-half-day-compact-5000-mach-oranzheviy-577920/" , "5779.20 Внешний аккумулятор Uniscend Half Day Compact 5000 мAч, оранжевый")</f>
      </c>
      <c r="C29353" s="4" t="n">
        <v>1390.00</v>
      </c>
      <c r="D29353" s="4"/>
    </row>
    <row collapsed="" customFormat="false" customHeight="1" hidden="" ht="14" outlineLevel="0" r="29354">
      <c r="A29354" s="3" t="inlineStr">
        <is>
          <t>29219</t>
        </is>
      </c>
      <c r="B29354" s="4" t="s">
        <f>=HYPERLINK("http://anyluxury.ru/shop/elektronika/vneshnie-akkumulyatory/akkumulyator-s-besprovodnoy-zaryadkoy-pebble-wireless-9000-mach-seriy-704210/" , "7042.10 Аккумулятор с беспроводной зарядкой Pebble Wireless 9000 мАч, серый")</f>
      </c>
      <c r="C29354" s="4" t="n">
        <v>3590.00</v>
      </c>
      <c r="D29354" s="4"/>
    </row>
    <row collapsed="" customFormat="false" customHeight="1" hidden="" ht="14" outlineLevel="0" r="29355">
      <c r="A29355" s="3" t="inlineStr">
        <is>
          <t>29220</t>
        </is>
      </c>
      <c r="B29355" s="4" t="s">
        <f>=HYPERLINK("http://anyluxury.ru/shop/elektronika/vneshnie-akkumulyatory/akkumulyator-s-besprovodnoy-zaryadkoy-pebble-wireless-9000-mach-serosiniy-704213/" , "7042.13 Аккумулятор с беспроводной зарядкой Pebble Wireless 9000 мАч, серо-синий")</f>
      </c>
      <c r="C29355" s="4" t="n">
        <v>3590.00</v>
      </c>
      <c r="D29355" s="4"/>
    </row>
    <row collapsed="" customFormat="false" customHeight="1" hidden="" ht="14" outlineLevel="0" r="29356">
      <c r="A29356" s="3" t="inlineStr">
        <is>
          <t>29221</t>
        </is>
      </c>
      <c r="B29356" s="4" t="s">
        <f>=HYPERLINK("http://anyluxury.ru/shop/elektronika/vneshnie-akkumulyatory/vneshniy-akkumulyator-pebble-7800-mach-cherniy-564230/" , "5642.30 Внешний аккумулятор Pebble 7800 мАч, черный")</f>
      </c>
      <c r="C29356" s="4" t="n">
        <v>2190.00</v>
      </c>
      <c r="D29356" s="4"/>
    </row>
    <row collapsed="" customFormat="false" customHeight="1" hidden="" ht="14" outlineLevel="0" r="29357">
      <c r="A29357" s="3" t="inlineStr">
        <is>
          <t>29222</t>
        </is>
      </c>
      <c r="B29357" s="4" t="s">
        <f>=HYPERLINK("http://anyluxury.ru/shop/elektronika/vneshnie-akkumulyatory/vneshniy-akkumulyator-uniscend-full-feel-10000-mach-cherniy-1999330/" , "19993.30 Внешний аккумулятор Uniscend Full Feel 10000 мАч, черный")</f>
      </c>
      <c r="C29357" s="4" t="n">
        <v>1870.00</v>
      </c>
      <c r="D29357" s="4"/>
    </row>
    <row collapsed="" customFormat="false" customHeight="1" hidden="" ht="14" outlineLevel="0" r="29358">
      <c r="A29358" s="3" t="inlineStr">
        <is>
          <t>29223</t>
        </is>
      </c>
      <c r="B29358" s="4" t="s">
        <f>=HYPERLINK("http://anyluxury.ru/shop/elektronika/vneshnie-akkumulyatory/vneshniy-akkumulyator-uniscend-full-feel-10000-mach-s-indikatorom-cherniy-1999430/" , "19994.30 Внешний аккумулятор Uniscend Full Feel 10000 мАч с индикатором, черный")</f>
      </c>
      <c r="C29358" s="4" t="n">
        <v>1990.00</v>
      </c>
      <c r="D29358" s="4"/>
    </row>
    <row collapsed="" customFormat="false" customHeight="1" hidden="" ht="14" outlineLevel="0" r="29359">
      <c r="A29359" s="3" t="inlineStr">
        <is>
          <t>29224</t>
        </is>
      </c>
      <c r="B29359" s="4" t="s">
        <f>=HYPERLINK("http://anyluxury.ru/shop/elektronika/vneshnie-akkumulyatory/vneshniy-akkumulyator-uniscend-full-feel-10000-mach-s-indikatorom-beliy-1999460/" , "19994.60 Внешний аккумулятор Uniscend Full Feel 10000 мАч с индикатором, белый")</f>
      </c>
      <c r="C29359" s="4" t="n">
        <v>1990.00</v>
      </c>
      <c r="D29359" s="4"/>
    </row>
    <row collapsed="" customFormat="false" customHeight="1" hidden="" ht="14" outlineLevel="0" r="29360">
      <c r="A29360" s="3" t="inlineStr">
        <is>
          <t>29225</t>
        </is>
      </c>
      <c r="B29360" s="4" t="s">
        <f>=HYPERLINK("http://anyluxury.ru/shop/elektronika/vneshnie-akkumulyatory/vneshniy-akkumulyator-easy-trick-4000-mach-cherniy-1177730/" , "11777.30 Внешний аккумулятор Easy Trick, 4000 мАч, черный")</f>
      </c>
      <c r="C29360" s="4" t="n">
        <v>689.00</v>
      </c>
      <c r="D29360" s="4"/>
    </row>
    <row collapsed="" customFormat="false" customHeight="1" hidden="" ht="14" outlineLevel="0" r="29361">
      <c r="A29361" s="3" t="inlineStr">
        <is>
          <t>29226</t>
        </is>
      </c>
      <c r="B29361" s="4" t="s">
        <f>=HYPERLINK("http://anyluxury.ru/shop/elektronika/vneshnie-akkumulyatory/vneshniy-akkumulyator-easy-trick-4000-mach-siniy-1177740/" , "11777.40 Внешний аккумулятор Easy Trick, 4000 мАч, синий")</f>
      </c>
      <c r="C29361" s="4" t="n">
        <v>689.00</v>
      </c>
      <c r="D29361" s="4"/>
    </row>
    <row collapsed="" customFormat="false" customHeight="1" hidden="" ht="14" outlineLevel="0" r="29362">
      <c r="A29362" s="3" t="inlineStr">
        <is>
          <t>29227</t>
        </is>
      </c>
      <c r="B29362" s="4" t="s">
        <f>=HYPERLINK("http://anyluxury.ru/shop/elektronika/vneshnie-akkumulyatory/vneshniy-akkumulyator-easy-trick-4000-mach-krasniy-1177750/" , "11777.50 Внешний аккумулятор Easy Trick, 4000 мАч, красный")</f>
      </c>
      <c r="C29362" s="4" t="n">
        <v>689.00</v>
      </c>
      <c r="D29362" s="4"/>
    </row>
    <row collapsed="" customFormat="false" customHeight="1" hidden="" ht="14" outlineLevel="0" r="29363">
      <c r="A29363" s="3" t="inlineStr">
        <is>
          <t>29228</t>
        </is>
      </c>
      <c r="B29363" s="4" t="s">
        <f>=HYPERLINK("http://anyluxury.ru/shop/elektronika/vneshnie-akkumulyatory/vneshniy-akkumulyator-easy-trick-4000-mach-oranzheviy-1177720/" , "11777.20 Внешний аккумулятор Easy Trick, 4000 мАч, оранжевый")</f>
      </c>
      <c r="C29363" s="4" t="n">
        <v>689.00</v>
      </c>
      <c r="D29363" s="4"/>
    </row>
    <row collapsed="" customFormat="false" customHeight="1" hidden="" ht="14" outlineLevel="0" r="29364">
      <c r="A29364" s="3" t="inlineStr">
        <is>
          <t>29229</t>
        </is>
      </c>
      <c r="B29364" s="4" t="s">
        <f>=HYPERLINK("http://anyluxury.ru/shop/elektronika/vneshnie-akkumulyatory/vneshniy-akkumulyator-starlight-pb-5000-mah-beliy-37019100/" , "37019.100 Внешний аккумулятор с подсветкой Starlight PB 5000 mAh, белый")</f>
      </c>
      <c r="C29364" s="4" t="n">
        <v>1935.00</v>
      </c>
      <c r="D29364" s="4"/>
    </row>
    <row collapsed="" customFormat="false" customHeight="1" hidden="" ht="14" outlineLevel="0" r="29365">
      <c r="A29365" s="3" t="inlineStr">
        <is>
          <t>29230</t>
        </is>
      </c>
      <c r="B29365" s="4" t="s">
        <f>=HYPERLINK("http://anyluxury.ru/shop/elektronika/vneshnie-akkumulyatory/vneshniy-akkumulyator-starlight-pb-5000-mah-seriy-37019080/" , "37019.080 Внешний аккумулятор с подсветкой Starlight PB 5000 mAh, серый")</f>
      </c>
      <c r="C29365" s="4" t="n">
        <v>1935.00</v>
      </c>
      <c r="D29365" s="4"/>
    </row>
    <row collapsed="" customFormat="false" customHeight="1" hidden="" ht="14" outlineLevel="0" r="29366">
      <c r="A29366" s="3" t="inlineStr">
        <is>
          <t>29231</t>
        </is>
      </c>
      <c r="B29366" s="4" t="s">
        <f>=HYPERLINK("http://anyluxury.ru/shop/elektronika/vneshnie-akkumulyatory/vneshniy-akkumulyator-starlight-pb-5000-mah-siniy-37019030/" , "37019.030 Внешний аккумулятор с подсветкой Starlight PB 5000 mAh, синий")</f>
      </c>
      <c r="C29366" s="4" t="n">
        <v>1935.00</v>
      </c>
      <c r="D29366" s="4"/>
    </row>
    <row collapsed="" customFormat="false" customHeight="1" hidden="" ht="14" outlineLevel="0" r="29367">
      <c r="A29367" s="3" t="inlineStr">
        <is>
          <t>29232</t>
        </is>
      </c>
      <c r="B29367" s="4" t="s">
        <f>=HYPERLINK("http://anyluxury.ru/shop/elektronika/vneshnie-akkumulyatory/vneshniy-akkumulyator-starlight-pb-5000-mah-cherniy-37019010/" , "37019.010 Внешний аккумулятор с подсветкой Starlight PB 5000 mAh, черный")</f>
      </c>
      <c r="C29367" s="4" t="n">
        <v>1935.00</v>
      </c>
      <c r="D29367" s="4"/>
    </row>
    <row collapsed="" customFormat="false" customHeight="1" hidden="" ht="14" outlineLevel="0" r="29368">
      <c r="A29368" s="3" t="inlineStr">
        <is>
          <t>29233</t>
        </is>
      </c>
      <c r="B29368" s="4" t="s">
        <f>=HYPERLINK("http://anyluxury.ru/shop/elektronika/vneshnie-akkumulyatory/vneshniy-akkumulyator-starlight-plus-pb-10000-mah-beliy-37119100/" , "37119.100 Внешний аккумулятор с подсветкой Starlight Plus PB 10000 mAh, белый")</f>
      </c>
      <c r="C29368" s="4" t="n">
        <v>2999.00</v>
      </c>
      <c r="D29368" s="4"/>
    </row>
    <row collapsed="" customFormat="false" customHeight="1" hidden="" ht="14" outlineLevel="0" r="29369">
      <c r="A29369" s="3" t="inlineStr">
        <is>
          <t>29234</t>
        </is>
      </c>
      <c r="B29369" s="4" t="s">
        <f>=HYPERLINK("http://anyluxury.ru/shop/elektronika/vneshnie-akkumulyatory/vneshniy-akkumulyator-starlight-plus-pb-10000-mah-seriy-37119080/" , "37119.080 Внешний аккумулятор с подсветкой Starlight Plus PB 10000 mAh, серый")</f>
      </c>
      <c r="C29369" s="4" t="n">
        <v>2999.00</v>
      </c>
      <c r="D29369" s="4"/>
    </row>
    <row collapsed="" customFormat="false" customHeight="1" hidden="" ht="14" outlineLevel="0" r="29370">
      <c r="A29370" s="3" t="inlineStr">
        <is>
          <t>29235</t>
        </is>
      </c>
      <c r="B29370" s="4" t="s">
        <f>=HYPERLINK("http://anyluxury.ru/shop/elektronika/vneshnie-akkumulyatory/vneshniy-akkumulyator-starlight-plus-pb-10000-mah-siniy-37119030/" , "37119.030 Внешний аккумулятор с подсветкой Starlight Plus PB 10000 mAh, синий")</f>
      </c>
      <c r="C29370" s="4" t="n">
        <v>2999.00</v>
      </c>
      <c r="D29370" s="4"/>
    </row>
    <row collapsed="" customFormat="false" customHeight="1" hidden="" ht="14" outlineLevel="0" r="29371">
      <c r="A29371" s="3" t="inlineStr">
        <is>
          <t>29236</t>
        </is>
      </c>
      <c r="B29371" s="4" t="s">
        <f>=HYPERLINK("http://anyluxury.ru/shop/elektronika/vneshnie-akkumulyatory/vneshniy-akkumulyator-starlight-plus-pb-10000-mah-cherniy-37119010/" , "37119.010 Внешний аккумулятор с подсветкой Starlight Plus PB 10000 mAh, черный")</f>
      </c>
      <c r="C29371" s="4" t="n">
        <v>2999.00</v>
      </c>
      <c r="D29371" s="4"/>
    </row>
    <row collapsed="" customFormat="false" customHeight="1" hidden="" ht="14" outlineLevel="0" r="29372">
      <c r="A29372" s="3" t="inlineStr">
        <is>
          <t>29237</t>
        </is>
      </c>
      <c r="B29372" s="4" t="s">
        <f>=HYPERLINK("http://anyluxury.ru/shop/elektronika/vneshnie-akkumulyatory/vneshniy-akkumulyator-easy-trick-4000-mach-zeleniy-1177790/" , "11777.90 Внешний аккумулятор Easy Trick, 4000 мАч, зеленый")</f>
      </c>
      <c r="C29372" s="4" t="n">
        <v>689.00</v>
      </c>
      <c r="D29372" s="4"/>
    </row>
    <row collapsed="" customFormat="false" customHeight="1" hidden="" ht="14" outlineLevel="0" r="29373">
      <c r="A29373" s="3" t="inlineStr">
        <is>
          <t>29238</t>
        </is>
      </c>
      <c r="B29373" s="4" t="s">
        <f>=HYPERLINK("http://anyluxury.ru/shop/elektronika/vneshnie-akkumulyatory/vneshniy-akkumulyator-uniscend-all-day-compact-10000-mach-zeleniy-341990/" , "3419.90 Внешний аккумулятор Uniscend All Day Compact 10000 мАч, зеленый")</f>
      </c>
      <c r="C29373" s="4" t="n">
        <v>1890.00</v>
      </c>
      <c r="D29373" s="4"/>
    </row>
    <row collapsed="" customFormat="false" customHeight="1" hidden="" ht="14" outlineLevel="0" r="29374">
      <c r="A29374" s="3" t="inlineStr">
        <is>
          <t>29239</t>
        </is>
      </c>
      <c r="B29374" s="4" t="s">
        <f>=HYPERLINK("http://anyluxury.ru/shop/elektronika/vneshnie-akkumulyatory/zaryadnoe-ustroystvo-port-na-solnechnoy-bataree-1000-mah-siniy-p323145/" , "P323.145 Зарядное устройство Port на солнечной батарее 1000 mAh, синий")</f>
      </c>
      <c r="C29374" s="4" t="n">
        <v>3377.00</v>
      </c>
      <c r="D29374" s="4"/>
    </row>
    <row collapsed="" customFormat="false" customHeight="1" hidden="" ht="14" outlineLevel="0" r="29375">
      <c r="A29375" s="3" t="inlineStr">
        <is>
          <t>29240</t>
        </is>
      </c>
      <c r="B29375" s="4" t="s">
        <f>=HYPERLINK("http://anyluxury.ru/shop/elektronika/vneshnie-akkumulyatory/vneshniy-akkumulyator-s-funkciey-obogreva-ruk-n2s-seriy-1607610/" , "16076.10 Внешний аккумулятор с функцией обогрева рук N2s, серый")</f>
      </c>
      <c r="C29375" s="4" t="n">
        <v>1890.00</v>
      </c>
      <c r="D29375" s="4"/>
    </row>
    <row collapsed="" customFormat="false" customHeight="1" hidden="" ht="14" outlineLevel="0" r="29376">
      <c r="A29376" s="3" t="inlineStr">
        <is>
          <t>29241</t>
        </is>
      </c>
      <c r="B29376" s="4" t="s">
        <f>=HYPERLINK("http://anyluxury.ru/shop/elektronika/vneshnie-akkumulyatory/vneshniy-akkumulyator-uno-6000mah-c-vstroennoy-uf-lampoy-beliy-31901100/" , "31901.100 Внешний аккумулятор с встроенной УФ лампой Uno 6000 mAh, белый")</f>
      </c>
      <c r="C29376" s="4" t="n">
        <v>2740.00</v>
      </c>
      <c r="D29376" s="4"/>
    </row>
    <row collapsed="" customFormat="false" customHeight="1" hidden="" ht="14" outlineLevel="0" r="29377">
      <c r="A29377" s="3" t="inlineStr">
        <is>
          <t>29242</t>
        </is>
      </c>
      <c r="B29377" s="4" t="s">
        <f>=HYPERLINK("http://anyluxury.ru/shop/elektronika/vneshnie-akkumulyatory/vneshniy-akkumulyator-uno-6000mah-c-vstroennoy-uf-lampoy-cherniy-31901010/" , "31901.010 Внешний аккумулятор с встроенной УФ лампой Uno 6000 mAh, черный")</f>
      </c>
      <c r="C29377" s="4" t="n">
        <v>2740.00</v>
      </c>
      <c r="D29377" s="4"/>
    </row>
    <row collapsed="" customFormat="false" customHeight="1" hidden="" ht="14" outlineLevel="0" r="29378">
      <c r="A29378" s="3" t="inlineStr">
        <is>
          <t>29243</t>
        </is>
      </c>
      <c r="B29378" s="4" t="s">
        <f>=HYPERLINK("http://anyluxury.ru/shop/elektronika/vneshnie-akkumulyatory/vneshniy-akkumulyator-mophie-powerstation-10000-mach-seriy-1608210/" , "16082.10 Внешний аккумулятор Mophie Powerstation 10000 мАч, серый")</f>
      </c>
      <c r="C29378" s="4" t="n">
        <v>2990.00</v>
      </c>
      <c r="D29378" s="4"/>
    </row>
    <row collapsed="" customFormat="false" customHeight="1" hidden="" ht="14" outlineLevel="0" r="29379">
      <c r="A29379" s="3" t="inlineStr">
        <is>
          <t>29244</t>
        </is>
      </c>
      <c r="B29379" s="4" t="s">
        <f>=HYPERLINK("http://anyluxury.ru/shop/elektronika/vneshnie-akkumulyatory/vneshniy-akkumulyator-mophie-powerstation-10000-mach-siniy-1608240/" , "16082.40 Внешний аккумулятор Mophie Powerstation 10000 мАч, синий")</f>
      </c>
      <c r="C29379" s="4" t="n">
        <v>2990.00</v>
      </c>
      <c r="D29379" s="4"/>
    </row>
    <row collapsed="" customFormat="false" customHeight="1" hidden="" ht="14" outlineLevel="0" r="29380">
      <c r="A29380" s="3" t="inlineStr">
        <is>
          <t>29245</t>
        </is>
      </c>
      <c r="B29380" s="4" t="s">
        <f>=HYPERLINK("http://anyluxury.ru/shop/elektronika/vneshnie-akkumulyatory/vneshniy-akkumulyator-skyline-plus-10000-mah-beliy-37320100/" , "37320.100 Внешний аккумулятор с подсветкой Skyline Plus 10000 mAh, белый")</f>
      </c>
      <c r="C29380" s="4" t="n">
        <v>2595.00</v>
      </c>
      <c r="D29380" s="4"/>
    </row>
    <row collapsed="" customFormat="false" customHeight="1" hidden="" ht="14" outlineLevel="0" r="29381">
      <c r="A29381" s="3" t="inlineStr">
        <is>
          <t>29246</t>
        </is>
      </c>
      <c r="B29381" s="4" t="s">
        <f>=HYPERLINK("http://anyluxury.ru/shop/elektronika/vneshnie-akkumulyatory/vneshniy-akkumulyator-skyline-plus-10000-mah-seriy-37320080/" , "37320.080 Внешний аккумулятор с подсветкой Skyline Plus 10000 mAh, серый")</f>
      </c>
      <c r="C29381" s="4" t="n">
        <v>2595.00</v>
      </c>
      <c r="D29381" s="4"/>
    </row>
    <row collapsed="" customFormat="false" customHeight="1" hidden="" ht="14" outlineLevel="0" r="29382">
      <c r="A29382" s="3" t="inlineStr">
        <is>
          <t>29247</t>
        </is>
      </c>
      <c r="B29382" s="4" t="s">
        <f>=HYPERLINK("http://anyluxury.ru/shop/elektronika/vneshnie-akkumulyatory/vneshniy-akkumulyator-skyline-5000-mah-beliy-37220100/" , "37220.100 Внешний аккумулятор с подсветкой Skyline 5000 mAh, белый")</f>
      </c>
      <c r="C29382" s="4" t="n">
        <v>1645.00</v>
      </c>
      <c r="D29382" s="4"/>
    </row>
    <row collapsed="" customFormat="false" customHeight="1" hidden="" ht="14" outlineLevel="0" r="29383">
      <c r="A29383" s="3" t="inlineStr">
        <is>
          <t>29248</t>
        </is>
      </c>
      <c r="B29383" s="4" t="s">
        <f>=HYPERLINK("http://anyluxury.ru/shop/elektronika/vneshnie-akkumulyatory/akkumulyator-s-podsvetkoy-markbright-city-10000-mach-cherniy-1555630/" , "15556.30 Аккумулятор с подсветкой markBright City, 10000 мАч, черный")</f>
      </c>
      <c r="C29383" s="4" t="n">
        <v>2790.00</v>
      </c>
      <c r="D29383" s="4"/>
    </row>
    <row collapsed="" customFormat="false" customHeight="1" hidden="" ht="14" outlineLevel="0" r="29384">
      <c r="A29384" s="3" t="inlineStr">
        <is>
          <t>29249</t>
        </is>
      </c>
      <c r="B29384" s="4" t="s">
        <f>=HYPERLINK("http://anyluxury.ru/shop/elektronika/vneshnie-akkumulyatory/akkumulyator-s-podsvetkoy-markbright-city-10000-mach-seriy-1555610/" , "15556.10 Аккумулятор с подсветкой markBright City, 10000 мАч, серый")</f>
      </c>
      <c r="C29384" s="4" t="n">
        <v>2790.00</v>
      </c>
      <c r="D29384" s="4"/>
    </row>
    <row collapsed="" customFormat="false" customHeight="1" hidden="" ht="14" outlineLevel="0" r="29385">
      <c r="A29385" s="3" t="inlineStr">
        <is>
          <t>29250</t>
        </is>
      </c>
      <c r="B29385" s="4" t="s">
        <f>=HYPERLINK("http://anyluxury.ru/shop/elektronika/vneshnie-akkumulyatory/akkumulyator-s-podsvetkoy-markbright-city-10000-mach-siniy-1555640/" , "15556.40 Аккумулятор с подсветкой markBright City, 10000 мАч, синий")</f>
      </c>
      <c r="C29385" s="4" t="n">
        <v>2790.00</v>
      </c>
      <c r="D29385" s="4"/>
    </row>
    <row collapsed="" customFormat="false" customHeight="1" hidden="" ht="14" outlineLevel="0" r="29386">
      <c r="A29386" s="3" t="inlineStr">
        <is>
          <t>29251</t>
        </is>
      </c>
      <c r="B29386" s="4" t="s">
        <f>=HYPERLINK("http://anyluxury.ru/shop/elektronika/vneshnie-akkumulyatory/akkumulyator-s-besprovodnoy-zaryadkoy-markbright-urban-6000-mach-cherniy-1555830/" , "15558.30 Аккумулятор с беспроводной зарядкой markBright Urban, 6000 мАч, черный")</f>
      </c>
      <c r="C29386" s="4" t="n">
        <v>1490.00</v>
      </c>
      <c r="D29386" s="4"/>
    </row>
    <row collapsed="" customFormat="false" customHeight="1" hidden="" ht="14" outlineLevel="0" r="29387">
      <c r="A29387" s="3" t="inlineStr">
        <is>
          <t>29252</t>
        </is>
      </c>
      <c r="B29387" s="4" t="s">
        <f>=HYPERLINK("http://anyluxury.ru/shop/elektronika/vneshnie-akkumulyatory/akkumulyator-s-podsvetkoy-markbright-town-5000-mach-cherniy-1555530/" , "15555.30 Аккумулятор с подсветкой markBright Town, 5000 мАч, черный")</f>
      </c>
      <c r="C29387" s="4" t="n">
        <v>1790.00</v>
      </c>
      <c r="D29387" s="4"/>
    </row>
    <row collapsed="" customFormat="false" customHeight="1" hidden="" ht="14" outlineLevel="0" r="29388">
      <c r="A29388" s="3" t="inlineStr">
        <is>
          <t>29253</t>
        </is>
      </c>
      <c r="B29388" s="4" t="s">
        <f>=HYPERLINK("http://anyluxury.ru/shop/elektronika/vneshnie-akkumulyatory/akkumulyator-s-podsvetkoy-markbright-town-5000-mach-siniy-1555540/" , "15555.40 Аккумулятор с подсветкой markBright Town, 5000 мАч, синий")</f>
      </c>
      <c r="C29388" s="4" t="n">
        <v>1790.00</v>
      </c>
      <c r="D29388" s="4"/>
    </row>
    <row collapsed="" customFormat="false" customHeight="1" hidden="" ht="14" outlineLevel="0" r="29389">
      <c r="A29389" s="3" t="inlineStr">
        <is>
          <t>29254</t>
        </is>
      </c>
      <c r="B29389" s="4" t="s">
        <f>=HYPERLINK("http://anyluxury.ru/shop/elektronika/vneshnie-akkumulyatory/vneshniy-akkumulyator-tweed-pb-10000-mah-zeleniy-podarochnaya-upakovka-s-blisterom-37421040/" , "37421.040 Внешний аккумулятор Tweed PB 10000 mAh, зеленый")</f>
      </c>
      <c r="C29389" s="4" t="n">
        <v>3200.00</v>
      </c>
      <c r="D29389" s="4"/>
    </row>
    <row collapsed="" customFormat="false" customHeight="1" hidden="" ht="14" outlineLevel="0" r="29390">
      <c r="A29390" s="3" t="inlineStr">
        <is>
          <t>29255</t>
        </is>
      </c>
      <c r="B29390" s="4" t="s">
        <f>=HYPERLINK("http://anyluxury.ru/shop/elektronika/vneshnie-akkumulyatory/vneshniy-akkumulyator-tweed-pb-10000-mah-seriy-podarochnaya-upakovka-s-blisterom-37421080/" , "37421.080 Внешний аккумулятор Tweed PB 10000 mAh, серый")</f>
      </c>
      <c r="C29390" s="4" t="n">
        <v>3200.00</v>
      </c>
      <c r="D29390" s="4"/>
    </row>
    <row collapsed="" customFormat="false" customHeight="1" hidden="" ht="14" outlineLevel="0" r="29391">
      <c r="A29391" s="3" t="inlineStr">
        <is>
          <t>29256</t>
        </is>
      </c>
      <c r="B29391" s="4" t="s">
        <f>=HYPERLINK("http://anyluxury.ru/shop/elektronika/vneshnie-akkumulyatory/vneshniy-akkumulyator-tweed-pb-10000-mah-siniy-podarochnaya-upakovka-s-blisterom-37421030/" , "37421.030 Внешний аккумулятор Tweed PB 10000 mAh, синий")</f>
      </c>
      <c r="C29391" s="4" t="n">
        <v>3200.00</v>
      </c>
      <c r="D29391" s="4"/>
    </row>
    <row collapsed="" customFormat="false" customHeight="1" hidden="" ht="14" outlineLevel="0" r="29392">
      <c r="A29392" s="3" t="inlineStr">
        <is>
          <t>29257</t>
        </is>
      </c>
      <c r="B29392" s="4" t="s">
        <f>=HYPERLINK("http://anyluxury.ru/shop/elektronika/vneshnie-akkumulyatory/vneshniy-akkumulyator-tweed-pb-10000-mah-cherniy-podarochnaya-upakovka-s-blisterom-37421010/" , "37421.010 Внешний аккумулятор Tweed PB 10000 mAh, черный")</f>
      </c>
      <c r="C29392" s="4" t="n">
        <v>3200.00</v>
      </c>
      <c r="D29392" s="4"/>
    </row>
    <row collapsed="" customFormat="false" customHeight="1" hidden="" ht="14" outlineLevel="0" r="29393">
      <c r="A29393" s="3" t="inlineStr">
        <is>
          <t>29258</t>
        </is>
      </c>
      <c r="B29393" s="4" t="s">
        <f>=HYPERLINK("http://anyluxury.ru/shop/elektronika/vneshnie-akkumulyatory/grafenoviy-akkumulyator-graphene-pd-10000-mach-cherniy-2200030/" , "22000.30 Графеновый аккумулятор Graphene PD, 10000 мАч, черный")</f>
      </c>
      <c r="C29393" s="4" t="n">
        <v>5990.00</v>
      </c>
      <c r="D29393" s="4"/>
    </row>
    <row collapsed="" customFormat="false" customHeight="1" hidden="" ht="14" outlineLevel="0" r="29394">
      <c r="A29394" s="3" t="inlineStr">
        <is>
          <t>29259</t>
        </is>
      </c>
      <c r="B29394" s="4" t="s">
        <f>=HYPERLINK("http://anyluxury.ru/shop/elektronika/vneshnie-akkumulyatory/grafenoviy-akkumulyator-graphene-pd-pro-20000-mach-cherniy-2000130/" , "20001.30 Графеновый аккумулятор Graphene PD Pro, 20000 мАч, черный")</f>
      </c>
      <c r="C29394" s="4" t="n">
        <v>7390.00</v>
      </c>
      <c r="D29394" s="4"/>
    </row>
    <row collapsed="" customFormat="false" customHeight="1" hidden="" ht="14" outlineLevel="0" r="29395">
      <c r="A29395" s="3" t="inlineStr">
        <is>
          <t>29260</t>
        </is>
      </c>
      <c r="B29395" s="4" t="s">
        <f>=HYPERLINK("http://anyluxury.ru/shop/elektronika/vneshnie-akkumulyatory/vneshniy-akkumulyator-carbon-pb-10000-mah-grafitoviy-metallik-32113080/" , "32113.080 Внешний аккумулятор Carbon PB 10000 mAh, графитовый металлик")</f>
      </c>
      <c r="C29395" s="4" t="n">
        <v>2530.00</v>
      </c>
      <c r="D29395" s="4"/>
    </row>
    <row collapsed="" customFormat="false" customHeight="1" hidden="" ht="14" outlineLevel="0" r="29396">
      <c r="A29396" s="3" t="inlineStr">
        <is>
          <t>29261</t>
        </is>
      </c>
      <c r="B29396" s="4" t="s">
        <f>=HYPERLINK("http://anyluxury.ru/shop/elektronika/vneshnie-akkumulyatory/vneshniy-akkumulyator-carbon-pb-10000-mah-serebro-32113111/" , "32113.111 Внешний аккумулятор Carbon PB 10000 mAh, серебро")</f>
      </c>
      <c r="C29396" s="4" t="n">
        <v>2530.00</v>
      </c>
      <c r="D29396" s="4"/>
    </row>
    <row collapsed="" customFormat="false" customHeight="1" hidden="" ht="14" outlineLevel="0" r="29397">
      <c r="A29397" s="3" t="inlineStr">
        <is>
          <t>29262</t>
        </is>
      </c>
      <c r="B29397" s="4" t="s">
        <f>=HYPERLINK("http://anyluxury.ru/shop/elektronika/vneshnie-akkumulyatory/vneshniy-akkumulyator-carbon-pb-10000-mah-siniy-metallik-32113030/" , "32113.030 Внешний аккумулятор Carbon PB 10000 mAh, синий металлик")</f>
      </c>
      <c r="C29397" s="4" t="n">
        <v>2530.00</v>
      </c>
      <c r="D29397" s="4"/>
    </row>
    <row collapsed="" customFormat="false" customHeight="1" hidden="" ht="14" outlineLevel="0" r="29398">
      <c r="A29398" s="3" t="inlineStr">
        <is>
          <t>29263</t>
        </is>
      </c>
      <c r="B29398" s="4" t="s">
        <f>=HYPERLINK("http://anyluxury.ru/shop/elektronika/vneshnie-akkumulyatory/vneshniy-akkumulyator-vertu-plus-10000-mah-grafitoviy-metallik-32114080/" , "32114.080 Внешний аккумулятор Vertu Plus 10000 mAh, графитовый металлик")</f>
      </c>
      <c r="C29398" s="4" t="n">
        <v>2554.00</v>
      </c>
      <c r="D29398" s="4"/>
    </row>
    <row collapsed="" customFormat="false" customHeight="1" hidden="" ht="14" outlineLevel="0" r="29399">
      <c r="A29399" s="3" t="inlineStr">
        <is>
          <t>29264</t>
        </is>
      </c>
      <c r="B29399" s="4" t="s">
        <f>=HYPERLINK("http://anyluxury.ru/shop/elektronika/vneshnie-akkumulyatory/vneshniy-akkumulyator-vertu-plus-10000-mah-siniy-metallik-32114030/" , "32114.030 Внешний аккумулятор Vertu Plus 10000 mAh, синий металлик")</f>
      </c>
      <c r="C29399" s="4" t="n">
        <v>2554.00</v>
      </c>
      <c r="D29399" s="4"/>
    </row>
    <row collapsed="" customFormat="false" customHeight="1" hidden="" ht="14" outlineLevel="0" r="29400">
      <c r="A29400" s="3" t="inlineStr">
        <is>
          <t>29265</t>
        </is>
      </c>
      <c r="B29400" s="4" t="s">
        <f>=HYPERLINK("http://anyluxury.ru/shop/elektronika/vneshnie-akkumulyatory/vneshniy-akkumulyator-vertu-5000-mah-grafitoviy-metallik-32115080/" , "32115.080 Внешний аккумулятор Vertu 5000 mAh, графитовый металлик")</f>
      </c>
      <c r="C29400" s="4" t="n">
        <v>1653.00</v>
      </c>
      <c r="D29400" s="4"/>
    </row>
    <row collapsed="" customFormat="false" customHeight="1" hidden="" ht="14" outlineLevel="0" r="29401">
      <c r="A29401" s="3" t="inlineStr">
        <is>
          <t>29266</t>
        </is>
      </c>
      <c r="B29401" s="4" t="s">
        <f>=HYPERLINK("http://anyluxury.ru/shop/elektronika/vneshnie-akkumulyatory/alyuminieviy-vneshniy-akkumulyator-s-bistroy-zaryadkoy-pd-18-vt-10-000-mach-p322242/" , "P322.242 Алюминиевый внешний аккумулятор с быстрой зарядкой PD, 18 Вт, 10000 мАч")</f>
      </c>
      <c r="C29401" s="4" t="n">
        <v>4190.00</v>
      </c>
      <c r="D29401" s="4"/>
    </row>
    <row collapsed="" customFormat="false" customHeight="1" hidden="" ht="14" outlineLevel="0" r="29402">
      <c r="A29402" s="3" t="inlineStr">
        <is>
          <t>29267</t>
        </is>
      </c>
      <c r="B29402" s="4" t="s">
        <f>=HYPERLINK("http://anyluxury.ru/shop/elektronika/vneshnie-akkumulyatory/vneshniy-akkumulyator-double-reel-5000-mach-serebristiy-2020010/" , "20200.10 Металлический аккумулятор Double Reel 5000 мАч, серебристый")</f>
      </c>
      <c r="C29402" s="4" t="n">
        <v>1290.00</v>
      </c>
      <c r="D29402" s="4"/>
    </row>
    <row collapsed="" customFormat="false" customHeight="1" hidden="" ht="14" outlineLevel="0" r="29403">
      <c r="A29403" s="3" t="inlineStr">
        <is>
          <t>29268</t>
        </is>
      </c>
      <c r="B29403" s="4" t="s">
        <f>=HYPERLINK("http://anyluxury.ru/shop/elektronika/vneshnie-akkumulyatory/vneshniy-akkumulyator-double-reel-5000-mach-cherniy-2020030/" , "20200.30 Металлический аккумулятор Double Reel 5000 мАч, черный")</f>
      </c>
      <c r="C29403" s="4" t="n">
        <v>1290.00</v>
      </c>
      <c r="D29403" s="4"/>
    </row>
    <row collapsed="" customFormat="false" customHeight="1" hidden="" ht="14" outlineLevel="0" r="29404">
      <c r="A29404" s="3" t="inlineStr">
        <is>
          <t>29269</t>
        </is>
      </c>
      <c r="B29404" s="4" t="s">
        <f>=HYPERLINK("http://anyluxury.ru/shop/elektronika/vneshnie-akkumulyatory/akkumulyator-s-besprovodnim-zaryadom-full-feel-qi-10000-mach-cherniy-2099530/" , "20995.30 Аккумулятор с беспроводной зарядкой Full Feel Qi 10000 мАч, черный")</f>
      </c>
      <c r="C29404" s="4" t="n">
        <v>1990.00</v>
      </c>
      <c r="D29404" s="4"/>
    </row>
    <row collapsed="" customFormat="false" customHeight="1" hidden="" ht="14" outlineLevel="0" r="29405">
      <c r="A29405" s="3" t="inlineStr">
        <is>
          <t>29270</t>
        </is>
      </c>
      <c r="B29405" s="4" t="s">
        <f>=HYPERLINK("http://anyluxury.ru/shop/elektronika/vneshnie-akkumulyatory/akkumulyator-s-besprovodnim-zaryadom-full-feel-qi-10000-mach-beliy-2099560/" , "20995.60 Аккумулятор с беспроводной зарядкой Full Feel Qi 10000 мАч, белый")</f>
      </c>
      <c r="C29405" s="4" t="n">
        <v>1990.00</v>
      </c>
      <c r="D29405" s="4"/>
    </row>
    <row collapsed="" customFormat="false" customHeight="1" hidden="" ht="14" outlineLevel="0" r="29406">
      <c r="A29406" s="3" t="inlineStr">
        <is>
          <t>29271</t>
        </is>
      </c>
      <c r="B29406" s="4" t="s">
        <f>=HYPERLINK("http://anyluxury.ru/shop/elektronika/vneshnie-akkumulyatory/vneshniy-akkumulyator-starlight-pb-5000-mah-zeleniy-37019040/" , "37019.040 Внешний аккумулятор с подсветкой Starlight PB 5000 mAh, зеленый")</f>
      </c>
      <c r="C29406" s="4" t="n">
        <v>1935.00</v>
      </c>
      <c r="D29406" s="4"/>
    </row>
    <row collapsed="" customFormat="false" customHeight="1" hidden="" ht="14" outlineLevel="0" r="29407">
      <c r="A29407" s="3" t="inlineStr">
        <is>
          <t>29272</t>
        </is>
      </c>
      <c r="B29407" s="4" t="s">
        <f>=HYPERLINK("http://anyluxury.ru/shop/elektronika/vneshnie-akkumulyatory/vneshniy-akkumulyator-starlight-plus-pb-10000-mah-zeleniy-37119040/" , "37119.040 Внешний аккумулятор с подсветкой Starlight Plus PB 10000 mAh, зеленый")</f>
      </c>
      <c r="C29407" s="4" t="n">
        <v>2999.00</v>
      </c>
      <c r="D29407" s="4"/>
    </row>
    <row collapsed="" customFormat="false" customHeight="1" hidden="" ht="14" outlineLevel="0" r="29408">
      <c r="A29408" s="3" t="inlineStr">
        <is>
          <t>29273</t>
        </is>
      </c>
      <c r="B29408" s="4" t="s">
        <f>=HYPERLINK("http://anyluxury.ru/shop/elektronika/vneshnie-akkumulyatory/vneshniy-akkumulyator-fondo-5000-mah-siniy-37229030/" , "37229.030 Внешний аккумулятор Fondo 5000 mAh, синий")</f>
      </c>
      <c r="C29408" s="4" t="n">
        <v>1830.00</v>
      </c>
      <c r="D29408" s="4"/>
    </row>
    <row collapsed="" customFormat="false" customHeight="1" hidden="" ht="14" outlineLevel="0" r="29409">
      <c r="A29409" s="3" t="inlineStr">
        <is>
          <t>29274</t>
        </is>
      </c>
      <c r="B29409" s="4" t="s">
        <f>=HYPERLINK("http://anyluxury.ru/shop/elektronika/vneshnie-akkumulyatory/vneshniy-akkumulyator-fondo-5000-mah-seriy-37229080/" , "37229.080 Внешний аккумулятор, Fondo, 5000 mAh, серый")</f>
      </c>
      <c r="C29409" s="4" t="n">
        <v>1830.00</v>
      </c>
      <c r="D29409" s="4"/>
    </row>
    <row collapsed="" customFormat="false" customHeight="1" hidden="" ht="14" outlineLevel="0" r="29410">
      <c r="A29410" s="3" t="inlineStr">
        <is>
          <t>29275</t>
        </is>
      </c>
      <c r="B29410" s="4" t="s">
        <f>=HYPERLINK("http://anyluxury.ru/shop/elektronika/vneshnie-akkumulyatory/vneshniy-akkumulyator-fondo-5000-mah-cherniy-37229010/" , "37229.010 Внешний аккумулятор Fondo 5000 mAh, черный")</f>
      </c>
      <c r="C29410" s="4" t="n">
        <v>1830.00</v>
      </c>
      <c r="D29410" s="4"/>
    </row>
    <row collapsed="" customFormat="false" customHeight="1" hidden="" ht="14" outlineLevel="0" r="29411">
      <c r="A29411" s="3" t="inlineStr">
        <is>
          <t>29276</t>
        </is>
      </c>
      <c r="B29411" s="4" t="s">
        <f>=HYPERLINK("http://anyluxury.ru/shop/elektronika/vneshnie-akkumulyatory/vneshniy-akkumulyator-velutto-5000-mah-seriy-37424080/" , "37424.080 Внешний аккумулятор Veluto 5000 mAh, серый")</f>
      </c>
      <c r="C29411" s="4" t="n">
        <v>1495.00</v>
      </c>
      <c r="D29411" s="4"/>
    </row>
    <row collapsed="" customFormat="false" customHeight="1" hidden="" ht="14" outlineLevel="0" r="29412">
      <c r="A29412" s="3" t="inlineStr">
        <is>
          <t>29277</t>
        </is>
      </c>
      <c r="B29412" s="4" t="s">
        <f>=HYPERLINK("http://anyluxury.ru/shop/elektronika/vneshnie-akkumulyatory/vneshniy-akkumulyator-velutto-5000-mah-krasniy-37424060/" , "37424.060 Внешний аккумулятор Veluto 5000 mAh, красный")</f>
      </c>
      <c r="C29412" s="4" t="n">
        <v>1495.00</v>
      </c>
      <c r="D29412" s="4"/>
    </row>
    <row collapsed="" customFormat="false" customHeight="1" hidden="" ht="14" outlineLevel="0" r="29413">
      <c r="A29413" s="3" t="inlineStr">
        <is>
          <t>29278</t>
        </is>
      </c>
      <c r="B29413" s="4" t="s">
        <f>=HYPERLINK("http://anyluxury.ru/shop/elektronika/vneshnie-akkumulyatory/vneshniy-akkumulyator-velutto-5000-mah-zheltiy-37424075/" , "37424.075 Внешний аккумулятор Veluto 5000 mAh, желтый")</f>
      </c>
      <c r="C29413" s="4" t="n">
        <v>1495.00</v>
      </c>
      <c r="D29413" s="4"/>
    </row>
    <row collapsed="" customFormat="false" customHeight="1" hidden="" ht="14" outlineLevel="0" r="29414">
      <c r="A29414" s="3" t="inlineStr">
        <is>
          <t>29279</t>
        </is>
      </c>
      <c r="B29414" s="4" t="s">
        <f>=HYPERLINK("http://anyluxury.ru/shop/elektronika/vneshnie-akkumulyatory/vneshniy-akkumulyator-velutto-5000-mah-siniy-37424030/" , "37424.030 Внешний аккумулятор Veluto 5000 mAh, синий")</f>
      </c>
      <c r="C29414" s="4" t="n">
        <v>1495.00</v>
      </c>
      <c r="D29414" s="4"/>
    </row>
    <row collapsed="" customFormat="false" customHeight="1" hidden="" ht="14" outlineLevel="0" r="29415">
      <c r="A29415" s="3" t="inlineStr">
        <is>
          <t>29280</t>
        </is>
      </c>
      <c r="B29415" s="4" t="s">
        <f>=HYPERLINK("http://anyluxury.ru/shop/elektronika/vneshnie-akkumulyatory/vneshniy-akkumulyator-skyline-plus-10000-mah-krasniy-37320060/" , "37320.060 Внешний аккумулятор с подсветкой Skyline Plus 10000 mAh, красный")</f>
      </c>
      <c r="C29415" s="4" t="n">
        <v>2595.00</v>
      </c>
      <c r="D29415" s="4"/>
    </row>
    <row collapsed="" customFormat="false" customHeight="1" hidden="" ht="14" outlineLevel="0" r="29416">
      <c r="A29416" s="3" t="inlineStr">
        <is>
          <t>29281</t>
        </is>
      </c>
      <c r="B29416" s="4" t="s">
        <f>=HYPERLINK("http://anyluxury.ru/shop/elektronika/vneshnie-akkumulyatory/vneshniy-akkumulyator-s-podsvetkoy-luce-10000-mah-beliy-32116100/" , "32116.100 Внешний аккумулятор с подсветкой Luce 10000 mAh, белый")</f>
      </c>
      <c r="C29416" s="4" t="n">
        <v>3262.00</v>
      </c>
      <c r="D29416" s="4"/>
    </row>
    <row collapsed="" customFormat="false" customHeight="1" hidden="" ht="14" outlineLevel="0" r="29417">
      <c r="A29417" s="3" t="inlineStr">
        <is>
          <t>29282</t>
        </is>
      </c>
      <c r="B29417" s="4" t="s">
        <f>=HYPERLINK("http://anyluxury.ru/shop/elektronika/vneshnie-akkumulyatory/vneshniy-akkumulyator-s-podsvetkoy-luce-10000-mah-siniy-32116030/" , "32116.030 Внешний аккумулятор с подсветкой Luce 10000 mAh, синий")</f>
      </c>
      <c r="C29417" s="4" t="n">
        <v>3262.00</v>
      </c>
      <c r="D29417" s="4"/>
    </row>
    <row collapsed="" customFormat="false" customHeight="1" hidden="" ht="14" outlineLevel="0" r="29418">
      <c r="A29418" s="3" t="inlineStr">
        <is>
          <t>29283</t>
        </is>
      </c>
      <c r="B29418" s="4" t="s">
        <f>=HYPERLINK("http://anyluxury.ru/shop/elektronika/vneshnie-akkumulyatory/vneshniy-akkumulyator-s-podsvetkoy-luce-10000-mah-cherniy-32116010/" , "32116.010 Внешний аккумулятор с подсветкой Luce 10000 mAh, черный")</f>
      </c>
      <c r="C29418" s="4" t="n">
        <v>3262.00</v>
      </c>
      <c r="D29418" s="4"/>
    </row>
    <row collapsed="" customFormat="false" customHeight="1" hidden="" ht="14" outlineLevel="0" r="29419">
      <c r="A29419" s="3" t="inlineStr">
        <is>
          <t>29284</t>
        </is>
      </c>
      <c r="B29419" s="4" t="s">
        <f>=HYPERLINK("http://anyluxury.ru/shop/elektronika/vneshnie-akkumulyatory/nastolnie-chasi-6v1-s-besprovodnoy-zaryadkoy-10w-orion-cherniy-cvet-223510010/" , "223510.010 Настольные часы 6в1 с беспроводной зарядкой 10W Orion, черные")</f>
      </c>
      <c r="C29419" s="4" t="n">
        <v>3560.00</v>
      </c>
      <c r="D29419" s="4"/>
    </row>
    <row collapsed="" customFormat="false" customHeight="1" hidden="" ht="14" outlineLevel="0" r="29420">
      <c r="A29420" s="3" t="inlineStr">
        <is>
          <t>29285</t>
        </is>
      </c>
      <c r="B29420" s="4" t="s">
        <f>=HYPERLINK("http://anyluxury.ru/shop/elektronika/vneshnie-akkumulyatory/vneshniy-akkumulyator-s-podsvetkoy-luce-ultramarine-10000-mah-yarkosiniy-32116130/" , "32116.130 Внешний аккумулятор с подсветкой Luce Ultramarine 10000 mAh, ярко-синий")</f>
      </c>
      <c r="C29420" s="4" t="n">
        <v>3262.00</v>
      </c>
      <c r="D29420" s="4"/>
    </row>
    <row collapsed="" customFormat="false" customHeight="1" hidden="" ht="14" outlineLevel="0" r="29421">
      <c r="A29421" s="3" t="inlineStr">
        <is>
          <t>29286</t>
        </is>
      </c>
      <c r="B29421" s="4" t="s">
        <f>=HYPERLINK("http://anyluxury.ru/shop/elektronika/vneshnie-akkumulyatory/besprovodnoy-akkumulyator-s-magnitami-magback-5000-mach-beliy-2202460/" , "22024.60 Магнитный беспроводной аккумулятор Magback 5000 мАч, белый")</f>
      </c>
      <c r="C29421" s="4" t="n">
        <v>1790.00</v>
      </c>
      <c r="D29421" s="4"/>
    </row>
    <row collapsed="" customFormat="false" customHeight="1" hidden="" ht="14" outlineLevel="0" r="29422">
      <c r="A29422" s="3" t="inlineStr">
        <is>
          <t>29287</t>
        </is>
      </c>
      <c r="B29422" s="4" t="s">
        <f>=HYPERLINK("http://anyluxury.ru/shop/elektronika/vneshnie-akkumulyatory/besprovodnoy-akkumulyator-s-magnitami-magback-5000-mach-cherniy-2202430/" , "22024.30 Магнитный беспроводной аккумулятор Magback 5000 мАч, черный")</f>
      </c>
      <c r="C29422" s="4" t="n">
        <v>1790.00</v>
      </c>
      <c r="D29422" s="4"/>
    </row>
    <row collapsed="" customFormat="false" customHeight="1" hidden="" ht="14" outlineLevel="0" r="29423">
      <c r="A29423" s="3" t="inlineStr">
        <is>
          <t>29288</t>
        </is>
      </c>
      <c r="B29423" s="4" t="s">
        <f>=HYPERLINK("http://anyluxury.ru/shop/elektronika/vneshnie-akkumulyatory/vneshniy-akkumulyator-omni-qi-10000-mach-cherniy-2200730/" , "22007.30 Внешний аккумулятор Omni Qi 10000 мАч, черный")</f>
      </c>
      <c r="C29423" s="4" t="n">
        <v>2290.00</v>
      </c>
      <c r="D29423" s="4"/>
    </row>
    <row collapsed="" customFormat="false" customHeight="1" hidden="" ht="14" outlineLevel="0" r="29424">
      <c r="A29424" s="3" t="inlineStr">
        <is>
          <t>29289</t>
        </is>
      </c>
      <c r="B29424" s="4" t="s">
        <f>=HYPERLINK("http://anyluxury.ru/shop/elektronika/vneshnie-akkumulyatory/vneshniy-akkumulyator-omni-qi-10000-mach-beliy-2200760/" , "22007.60 Внешний аккумулятор Omni Qi 10000 мАч, белый")</f>
      </c>
      <c r="C29424" s="4" t="n">
        <v>2290.00</v>
      </c>
      <c r="D29424" s="4"/>
    </row>
    <row collapsed="" customFormat="false" customHeight="1" hidden="" ht="14" outlineLevel="0" r="29425">
      <c r="A29425" s="3" t="inlineStr">
        <is>
          <t>29290</t>
        </is>
      </c>
      <c r="B29425" s="4" t="s">
        <f>=HYPERLINK("http://anyluxury.ru/shop/elektronika/vneshnie-akkumulyatory/akkumulyator-zashhishhenniy-total-control-10000-mach-cherniy-s-serim-2201110/" , "22011.10 Аккумулятор защищенный Total Control 10000 мАч, черный с серым")</f>
      </c>
      <c r="C29425" s="4" t="n">
        <v>2290.00</v>
      </c>
      <c r="D29425" s="4"/>
    </row>
    <row collapsed="" customFormat="false" customHeight="1" hidden="" ht="14" outlineLevel="0" r="29426">
      <c r="A29426" s="3" t="inlineStr">
        <is>
          <t>29291</t>
        </is>
      </c>
      <c r="B29426" s="4" t="s">
        <f>=HYPERLINK("http://anyluxury.ru/shop/elektronika/vneshnie-akkumulyatory/akkumulyator-zashhishhenniy-total-control-10000-mach-cherniy-2201130/" , "22011.30 Аккумулятор защищенный Total Control 10000 мАч, черный")</f>
      </c>
      <c r="C29426" s="4" t="n">
        <v>2290.00</v>
      </c>
      <c r="D29426" s="4"/>
    </row>
    <row collapsed="" customFormat="false" customHeight="1" hidden="" ht="14" outlineLevel="0" r="29427">
      <c r="A29427" s="3" t="inlineStr">
        <is>
          <t>29292</t>
        </is>
      </c>
      <c r="B29427" s="4" t="s">
        <f>=HYPERLINK("http://anyluxury.ru/shop/elektronika/vneshnie-akkumulyatory/avtomobilniy-derzhatel-dlya-smartfona-s-funkciey-besprovodnoy-zaryadki-nova-10w-22152010/" , "22152.010 Автомобильный держатель для смартфона Nova 10W с функцией беспроводной зарядки")</f>
      </c>
      <c r="C29427" s="4" t="n">
        <v>3839.00</v>
      </c>
      <c r="D29427" s="4"/>
    </row>
    <row collapsed="" customFormat="false" customHeight="1" hidden="" ht="14" outlineLevel="0" r="29428">
      <c r="A29428" s="3" t="inlineStr">
        <is>
          <t>29293</t>
        </is>
      </c>
      <c r="B29428" s="4" t="s">
        <f>=HYPERLINK("http://anyluxury.ru/shop/elektronika/vneshnie-akkumulyatory/vneshniy-akkumulyator-velutto-5000-mah-beliy-37424100/" , "37424.100 Внешний аккумулятор Veluto 5000 mAh, белый")</f>
      </c>
      <c r="C29428" s="4" t="n">
        <v>1495.00</v>
      </c>
      <c r="D29428" s="4"/>
    </row>
    <row collapsed="" customFormat="false" customHeight="1" hidden="" ht="14" outlineLevel="0" r="29429">
      <c r="A29429" s="3" t="inlineStr">
        <is>
          <t>29294</t>
        </is>
      </c>
      <c r="B29429" s="4" t="s">
        <f>=HYPERLINK("http://anyluxury.ru/shop/elektronika/vneshnie-akkumulyatory/vneshniy-akkumulyator-s-podsvetkoy-skyline-5000-mah-krasniy-372200601/" , "37220.060.1 Внешний аккумулятор с подсветкой Skyline 5000 mAh, красный")</f>
      </c>
      <c r="C29429" s="4" t="n">
        <v>1645.00</v>
      </c>
      <c r="D29429" s="4"/>
    </row>
    <row collapsed="" customFormat="false" customHeight="1" hidden="" ht="14" outlineLevel="0" r="29430">
      <c r="A29430" s="3" t="inlineStr">
        <is>
          <t>29295</t>
        </is>
      </c>
      <c r="B29430" s="4" t="s">
        <f>=HYPERLINK("http://anyluxury.ru/shop/elektronika/vneshnie-akkumulyatory/vneshniy-akkumulyator-iz-bambuka-fscr-5000-mach-p322259/" , "P322.259 Внешний аккумулятор из бамбука FSC®, 5000 мАч")</f>
      </c>
      <c r="C29430" s="4" t="n">
        <v>2869.00</v>
      </c>
      <c r="D29430" s="4"/>
    </row>
    <row collapsed="" customFormat="false" customHeight="1" hidden="" ht="14" outlineLevel="0" r="29431">
      <c r="A29431" s="3" t="inlineStr">
        <is>
          <t>29296</t>
        </is>
      </c>
      <c r="B29431" s="4" t="s">
        <f>=HYPERLINK("http://anyluxury.ru/shop/elektronika/vneshnie-akkumulyatory/vneshniy-akkumulyator-iz-pererabotannogo-plastika-dlya-besprovodnoy-zaryadki-standart-rcs-8000-mach-p322673/" , "P322.673 Внешний аккумулятор из переработанного пластика для беспроводной зарядки (стандарт RCS), 8000 мАч")</f>
      </c>
      <c r="C29431" s="4" t="n">
        <v>3350.00</v>
      </c>
      <c r="D29431" s="4"/>
    </row>
    <row collapsed="" customFormat="false" customHeight="1" hidden="" ht="14" outlineLevel="0" r="29432">
      <c r="A29432" s="3" t="inlineStr">
        <is>
          <t>29297</t>
        </is>
      </c>
      <c r="B29432" s="4" t="s">
        <f>=HYPERLINK("http://anyluxury.ru/shop/elektronika/vneshnie-akkumulyatory/vneshniy-akkumulyator-iz-pererabotannogo-plastika-10000-mach-standart-rcs-p322663/" , "P322.663 Внешний аккумулятор из переработанного пластика, 10000 мАч (стандарт RCS)")</f>
      </c>
      <c r="C29432" s="4" t="n">
        <v>3250.00</v>
      </c>
      <c r="D29432" s="4"/>
    </row>
    <row collapsed="" customFormat="false" customHeight="1" hidden="" ht="14" outlineLevel="0" r="29433">
      <c r="A29433" s="3" t="inlineStr">
        <is>
          <t>29298</t>
        </is>
      </c>
      <c r="B29433" s="4" t="s">
        <f>=HYPERLINK("http://anyluxury.ru/shop/elektronika/vneshnie-akkumulyatory/akkumulyator-all-day-compact-pd-20000-mach-cherniy-2231030/" , "22310.30 Аккумулятор All Day Compact PD 20000 мAч, черный")</f>
      </c>
      <c r="C29433" s="4" t="n">
        <v>3790.00</v>
      </c>
      <c r="D29433" s="4"/>
    </row>
    <row collapsed="" customFormat="false" customHeight="1" hidden="" ht="14" outlineLevel="0" r="29434">
      <c r="A29434" s="3" t="inlineStr">
        <is>
          <t>29299</t>
        </is>
      </c>
      <c r="B29434" s="4" t="s">
        <f>=HYPERLINK("http://anyluxury.ru/shop/elektronika/vneshnie-akkumulyatory/vneshniy-akkumulyator-harthill-5000-mach-ver2-2597930/" , "25979.30 Защищенный аккумулятор Harthill 5000 мАч, с карабином")</f>
      </c>
      <c r="C29434" s="4" t="n">
        <v>1490.00</v>
      </c>
      <c r="D29434" s="4"/>
    </row>
    <row collapsed="" customFormat="false" customHeight="1" hidden="" ht="14" outlineLevel="0" r="29435">
      <c r="A29435" s="3" t="inlineStr">
        <is>
          <t>29300</t>
        </is>
      </c>
      <c r="B29435" s="4" t="s">
        <f>=HYPERLINK("http://anyluxury.ru/shop/elektronika/vneshnie-akkumulyatory/vneshniy-akkumulyator-omni-xl-20000-mach-cherniy-2400730/" , "24007.30 Внешний аккумулятор Omni XL 20000 мАч, черный")</f>
      </c>
      <c r="C29435" s="4" t="n">
        <v>2890.00</v>
      </c>
      <c r="D29435" s="4"/>
    </row>
    <row collapsed="" customFormat="false" customHeight="1" hidden="" ht="14" outlineLevel="0" r="29436">
      <c r="A29436" s="3" t="inlineStr">
        <is>
          <t>29301</t>
        </is>
      </c>
      <c r="B29436" s="4" t="s">
        <f>=HYPERLINK("http://anyluxury.ru/shop/elektronika/vneshnie-akkumulyatory/vneshniy-akkumulyator-omni-xl-20000-mach-beliy-2400760/" , "24007.60 Внешний аккумулятор Omni XL 20000 мАч, белый")</f>
      </c>
      <c r="C29436" s="4" t="n">
        <v>2890.00</v>
      </c>
      <c r="D29436" s="4"/>
    </row>
    <row collapsed="" customFormat="false" customHeight="1" hidden="" ht="14" outlineLevel="0" r="29437">
      <c r="A29437" s="3" t="inlineStr">
        <is>
          <t>29302</t>
        </is>
      </c>
      <c r="B29437" s="4" t="s">
        <f>=HYPERLINK("http://anyluxury.ru/shop/elektronika/vneshnie-akkumulyatory/vneshniy-akkumulyator-elari-plus-10000-mah-zeleniy-37597040/" , "37597.040 Внешний аккумулятор Elari Plus 10000 mAh, зеленый")</f>
      </c>
      <c r="C29437" s="4" t="n">
        <v>2360.00</v>
      </c>
      <c r="D29437" s="4"/>
    </row>
    <row collapsed="" customFormat="false" customHeight="1" hidden="" ht="14" outlineLevel="0" r="29438">
      <c r="A29438" s="3" t="inlineStr">
        <is>
          <t>29303</t>
        </is>
      </c>
      <c r="B29438" s="4" t="s">
        <f>=HYPERLINK("http://anyluxury.ru/shop/elektronika/vneshnie-akkumulyatory/vneshniy-akkumulyator-elari-plus-10000-mah-krasniy-37597060/" , "37597.060 Внешний аккумулятор Elari Plus 10000 mAh, красный")</f>
      </c>
      <c r="C29438" s="4" t="n">
        <v>2360.00</v>
      </c>
      <c r="D29438" s="4"/>
    </row>
    <row collapsed="" customFormat="false" customHeight="1" hidden="" ht="14" outlineLevel="0" r="29439">
      <c r="A29439" s="3" t="inlineStr">
        <is>
          <t>29304</t>
        </is>
      </c>
      <c r="B29439" s="4" t="s">
        <f>=HYPERLINK("http://anyluxury.ru/shop/elektronika/vneshnie-akkumulyatory/vneshniy-akkumulyator-elari-plus-10000-mah-oranzheviy-37597070/" , "37597.070 Внешний аккумулятор Elari Plus 10000 mAh, оранжевый")</f>
      </c>
      <c r="C29439" s="4" t="n">
        <v>2360.00</v>
      </c>
      <c r="D29439" s="4"/>
    </row>
    <row collapsed="" customFormat="false" customHeight="1" hidden="" ht="14" outlineLevel="0" r="29440">
      <c r="A29440" s="3" t="inlineStr">
        <is>
          <t>29305</t>
        </is>
      </c>
      <c r="B29440" s="4" t="s">
        <f>=HYPERLINK("http://anyluxury.ru/shop/elektronika/vneshnie-akkumulyatory/vneshniy-akkumulyator-elari-plus-10000-mah-siniy-37597030/" , "37597.030 Внешний аккумулятор Elari Plus 10000 mAh, синий")</f>
      </c>
      <c r="C29440" s="4" t="n">
        <v>2360.00</v>
      </c>
      <c r="D29440" s="4"/>
    </row>
    <row collapsed="" customFormat="false" customHeight="1" hidden="" ht="14" outlineLevel="0" r="29441">
      <c r="A29441" s="3" t="inlineStr">
        <is>
          <t>29306</t>
        </is>
      </c>
      <c r="B29441" s="4" t="s">
        <f>=HYPERLINK("http://anyluxury.ru/shop/elektronika/vneshnie-akkumulyatory/vneshniy-akkumulyator-elari-plus-10000-mah-cherniy-37597010/" , "37597.010 Внешний аккумулятор Elari Plus 10000 mAh, черный")</f>
      </c>
      <c r="C29441" s="4" t="n">
        <v>2360.00</v>
      </c>
      <c r="D29441" s="4"/>
    </row>
    <row collapsed="" customFormat="false" customHeight="1" hidden="" ht="14" outlineLevel="0" r="29442">
      <c r="A29442" s="3" t="inlineStr">
        <is>
          <t>29307</t>
        </is>
      </c>
      <c r="B29442" s="4" t="s">
        <f>=HYPERLINK("http://anyluxury.ru/shop/elektronika/vneshnie-akkumulyatory/vneshniy-akkumulyator-elari-5000-mah-beliy-37596100/" , "37596.100 Внешний аккумулятор Elari 5000 mAh, белый")</f>
      </c>
      <c r="C29442" s="4" t="n">
        <v>1634.00</v>
      </c>
      <c r="D29442" s="4"/>
    </row>
    <row collapsed="" customFormat="false" customHeight="1" hidden="" ht="14" outlineLevel="0" r="29443">
      <c r="A29443" s="3" t="inlineStr">
        <is>
          <t>29308</t>
        </is>
      </c>
      <c r="B29443" s="4" t="s">
        <f>=HYPERLINK("http://anyluxury.ru/shop/elektronika/vneshnie-akkumulyatory/vneshniy-akkumulyator-elari-5000-mah-siniy-37596030/" , "37596.030 Внешний аккумулятор Elari 5000 mAh, синий")</f>
      </c>
      <c r="C29443" s="4" t="n">
        <v>1634.00</v>
      </c>
      <c r="D29443" s="4"/>
    </row>
    <row collapsed="" customFormat="false" customHeight="1" hidden="" ht="14" outlineLevel="0" r="29444">
      <c r="A29444" s="3" t="inlineStr">
        <is>
          <t>29309</t>
        </is>
      </c>
      <c r="B29444" s="4" t="s">
        <f>=HYPERLINK("http://anyluxury.ru/shop/elektronika/vneshnie-akkumulyatory/vneshniy-akkumulyator-elari-5000-mah-cherniy-37596010/" , "37596.010 Внешний аккумулятор Elari 5000 mAh, черный")</f>
      </c>
      <c r="C29444" s="4" t="n">
        <v>1634.00</v>
      </c>
      <c r="D29444" s="4"/>
    </row>
    <row collapsed="" customFormat="false" customHeight="1" hidden="" ht="14" outlineLevel="0" r="29445">
      <c r="A29445" s="3" t="inlineStr">
        <is>
          <t>29310</t>
        </is>
      </c>
      <c r="B29445" s="4" t="s">
        <f>=HYPERLINK("http://anyluxury.ru/shop/elektronika/vneshnie-akkumulyatory/vneshniy-akkumulyator-s-podsvetkoy-starlight-plus-pb-10000-mah-siniy-371190301/" , "37119.030.1 Внешний аккумулятор с подсветкой Starlight Plus PB 10000 mAh, синий")</f>
      </c>
      <c r="C29445" s="4" t="n">
        <v>2999.00</v>
      </c>
      <c r="D29445" s="4"/>
    </row>
    <row collapsed="" customFormat="false" customHeight="1" hidden="" ht="14" outlineLevel="0" r="29446">
      <c r="A29446" s="3" t="inlineStr">
        <is>
          <t>29311</t>
        </is>
      </c>
      <c r="B29446" s="4" t="s">
        <f>=HYPERLINK("http://anyluxury.ru/shop/elektronika/vneshnie-akkumulyatory/vneshniy-akkumulyator-dlya-besprovodnoy-zaryadki-iz-bambuka-fscr-8000-mach-5-vt-p322359/" , "P322.359 Внешний аккумулятор для беспроводной зарядки из бамбука FSC®, 8000 мАч, 5 Вт")</f>
      </c>
      <c r="C29446" s="4" t="n">
        <v>4300.00</v>
      </c>
      <c r="D29446" s="4"/>
    </row>
    <row collapsed="" customFormat="false" customHeight="1" hidden="" ht="14" outlineLevel="0" r="29447">
      <c r="A29447" s="3" t="inlineStr">
        <is>
          <t>29312</t>
        </is>
      </c>
      <c r="B29447" s="4" t="s">
        <f>=HYPERLINK("http://anyluxury.ru/shop/elektronika/vneshnie-akkumulyatory/vneshniy-akkumulyator-formula-10000-mah-beliy-37123100/" , "37123.100 Внешний аккумулятор с функцией быстрой зарядки Formula 10000 mAh, белый")</f>
      </c>
      <c r="C29447" s="4" t="n">
        <v>3400.00</v>
      </c>
      <c r="D29447" s="4"/>
    </row>
    <row collapsed="" customFormat="false" customHeight="1" hidden="" ht="14" outlineLevel="0" r="29448">
      <c r="A29448" s="3" t="inlineStr">
        <is>
          <t>29313</t>
        </is>
      </c>
      <c r="B29448" s="4" t="s">
        <f>=HYPERLINK("http://anyluxury.ru/shop/elektronika/vneshnie-akkumulyatory/vneshniy-akkumulyator-formula-10000-mah-siniy-37123030/" , "37123.030 Внешний аккумулятор с функцией быстрой зарядки Formula 10000 mAh, синий")</f>
      </c>
      <c r="C29448" s="4" t="n">
        <v>3400.00</v>
      </c>
      <c r="D29448" s="4"/>
    </row>
    <row collapsed="" customFormat="false" customHeight="1" hidden="" ht="14" outlineLevel="0" r="29449">
      <c r="A29449" s="3" t="inlineStr">
        <is>
          <t>29314</t>
        </is>
      </c>
      <c r="B29449" s="4" t="s">
        <f>=HYPERLINK("http://anyluxury.ru/shop/elektronika/vneshnie-akkumulyatory/vneshniy-akkumulyator-formula-10000-mah-cherniy-37123010/" , "37123.010 Внешний аккумулятор с функцией быстрой зарядки Formula 10000 mAh, черный")</f>
      </c>
      <c r="C29449" s="4" t="n">
        <v>3400.00</v>
      </c>
      <c r="D29449" s="4"/>
    </row>
    <row collapsed="" customFormat="false" customHeight="1" hidden="" ht="14" outlineLevel="0" r="29450">
      <c r="A29450" s="3" t="inlineStr">
        <is>
          <t>29315</t>
        </is>
      </c>
      <c r="B29450" s="4" t="s">
        <f>=HYPERLINK("http://anyluxury.ru/shop/elektronika/vneshnie-akkumulyatory/vneshniy-akkumulyator-urban-vitamin-sonoma-s-besprovodnoy-magnitnoy-za-p322311/" , "P322.311 Внешний аккумулятор Urban Vitamin Sonoma с беспроводной магнитной зарядкой, 10 000 мАч")</f>
      </c>
      <c r="C29450" s="4" t="n">
        <v>6490.00</v>
      </c>
      <c r="D29450" s="4"/>
    </row>
    <row collapsed="" customFormat="false" customHeight="1" hidden="" ht="14" outlineLevel="0" r="29451">
      <c r="A29451" s="3" t="inlineStr">
        <is>
          <t>29316</t>
        </is>
      </c>
      <c r="B29451" s="4" t="s">
        <f>=HYPERLINK("http://anyluxury.ru/shop/elektronika/vneshnie-akkumulyatory/vneshniy-akkumulyator-urban-vitamin-los-altos-s-besprovodnoy-magnitnoy-p322321/" , "P322.321 Внешний аккумулятор Urban Vitamin Los Altos с беспроводной магнитной зарядкой, 5 000 мАч")</f>
      </c>
      <c r="C29451" s="4" t="n">
        <v>5100.00</v>
      </c>
      <c r="D29451" s="4"/>
    </row>
    <row collapsed="" customFormat="false" customHeight="1" hidden="" ht="14" outlineLevel="0" r="29452">
      <c r="A29452" s="3" t="inlineStr">
        <is>
          <t>29317</t>
        </is>
      </c>
      <c r="B29452" s="4" t="s">
        <f>=HYPERLINK("http://anyluxury.ru/shop/elektronika/vneshnie-akkumulyatory/vneshniy-akkumulyator-elari-plus-10000-mah-fioletoviy-37597034/" , "37597.034 Внешний аккумулятор Elari Plus 10000 mAh, фиолетовый")</f>
      </c>
      <c r="C29452" s="4" t="n">
        <v>2360.00</v>
      </c>
      <c r="D29452" s="4"/>
    </row>
    <row collapsed="" customFormat="false" customHeight="1" hidden="" ht="14" outlineLevel="0" r="29453">
      <c r="A29453" s="3" t="inlineStr">
        <is>
          <t>29318</t>
        </is>
      </c>
      <c r="B29453" s="4" t="s">
        <f>=HYPERLINK("http://anyluxury.ru/shop/elektronika/vneshnie-akkumulyatory/vneshniy-akkumulyator-elari-5000-mah-fioletoviy-37596034/" , "37596.034 Внешний аккумулятор Elari 5000 mAh, фиолетовый")</f>
      </c>
      <c r="C29453" s="4" t="n">
        <v>1634.00</v>
      </c>
      <c r="D29453" s="4"/>
    </row>
    <row collapsed="" customFormat="false" customHeight="1" hidden="" ht="14" outlineLevel="0" r="29454">
      <c r="A29454" s="3" t="inlineStr">
        <is>
          <t>29319</t>
        </is>
      </c>
      <c r="B29454" s="4" t="s">
        <f>=HYPERLINK("http://anyluxury.ru/shop/elektronika/vneshnie-akkumulyatory/vneshniy-besprovodnoy-akkumulyator-ultra-wireless-magnetic-10000-mah-beliy-37528100/" , "37528.100 Внешний аккумулятор с подсветкой и беспроводной зарядкой Ultra Wireless Magnetic 10000 mAh, белый")</f>
      </c>
      <c r="C29454" s="4" t="n">
        <v>3905.00</v>
      </c>
      <c r="D29454" s="4"/>
    </row>
    <row collapsed="" customFormat="false" customHeight="1" hidden="" ht="14" outlineLevel="0" r="29455">
      <c r="A29455" s="3" t="inlineStr">
        <is>
          <t>29320</t>
        </is>
      </c>
      <c r="B29455" s="4" t="s">
        <f>=HYPERLINK("http://anyluxury.ru/shop/elektronika/vneshnie-akkumulyatory/vneshniy-besprovodnoy-akkumulyator-ultra-wireless-magnetic-10000-mah-siniy-37528030/" , "37528.030 Внешний аккумулятор с подсветкой и беспроводной зарядкой Ultra Wireless Magnetic 10000 mAh, синий")</f>
      </c>
      <c r="C29455" s="4" t="n">
        <v>3905.00</v>
      </c>
      <c r="D29455" s="4"/>
    </row>
    <row collapsed="" customFormat="false" customHeight="1" hidden="" ht="14" outlineLevel="0" r="29456">
      <c r="A29456" s="3" t="inlineStr">
        <is>
          <t>29321</t>
        </is>
      </c>
      <c r="B29456" s="4" t="s">
        <f>=HYPERLINK("http://anyluxury.ru/shop/elektronika/vneshnie-akkumulyatory/vneshniy-besprovodnoy-akkumulyator-ultra-wireless-magnetic-10000-mah-cherniy-37528010/" , "37528.010 Внешний аккумулятор с подсветкой и беспроводной зарядкой Ultra Wireless Magnetic 10000 mAh, черный")</f>
      </c>
      <c r="C29456" s="4" t="n">
        <v>3905.00</v>
      </c>
      <c r="D29456" s="4"/>
    </row>
    <row collapsed="" customFormat="false" customHeight="1" hidden="" ht="14" outlineLevel="0" r="29457">
      <c r="A29457" s="3" t="inlineStr">
        <is>
          <t>29322</t>
        </is>
      </c>
      <c r="B29457" s="4" t="s">
        <f>=HYPERLINK("http://anyluxury.ru/shop/elektronika/vneshnie-akkumulyatory/vneshniy-akkumulyator-s-podsvetkoy-optima-10000-mah-cherniy-37529010/" , "37529.010 Внешний аккумулятор с цветной подсветкой Optima 10000 mAh, черный")</f>
      </c>
      <c r="C29457" s="4" t="n">
        <v>3300.00</v>
      </c>
      <c r="D29457" s="4"/>
    </row>
    <row collapsed="" customFormat="false" customHeight="1" hidden="" ht="14" outlineLevel="0" r="29458">
      <c r="A29458" s="3" t="inlineStr">
        <is>
          <t>29323</t>
        </is>
      </c>
      <c r="B29458" s="4" t="s">
        <f>=HYPERLINK("http://anyluxury.ru/shop/elektronika/vneshnie-akkumulyatory/vneshniy-akkumulyator-terra-iz-pererabotannogo-alyuminiya-rcs-s-bistroy-zaryadkoy-18-vt-10-000-mach-p322692/" , "P322.692 Внешний аккумулятор Terra из переработанного алюминия RCS с быстрой зарядкой, 18 Вт, 10 000 мАч")</f>
      </c>
      <c r="C29458" s="4" t="n">
        <v>4390.00</v>
      </c>
      <c r="D29458" s="4"/>
    </row>
    <row collapsed="" customFormat="false" customHeight="1" hidden="" ht="14" outlineLevel="0" r="29459">
      <c r="A29459" s="3" t="inlineStr">
        <is>
          <t>29324</t>
        </is>
      </c>
      <c r="B29459" s="4" t="s">
        <f>=HYPERLINK("http://anyluxury.ru/shop/elektronika/vneshnie-akkumulyatory/vneshniy-akkumulyator-terra-iz-pererabotannogo-alyuminiya-rcs-s-bistroy-zaryadkoy-20-vt-20-000-mach-p322632/" , "P322.632 Внешний аккумулятор Terra из переработанного алюминия RCS с быстрой зарядкой, 20 Вт, 20 000 мАч")</f>
      </c>
      <c r="C29459" s="4" t="n">
        <v>6250.00</v>
      </c>
      <c r="D29459" s="4"/>
    </row>
    <row collapsed="" customFormat="false" customHeight="1" hidden="" ht="14" outlineLevel="0" r="29460">
      <c r="A29460" s="3" t="inlineStr">
        <is>
          <t>29325</t>
        </is>
      </c>
      <c r="B29460" s="4" t="s">
        <f>=HYPERLINK("http://anyluxury.ru/shop/elektronika/vneshnie-akkumulyatory/vneshniy-akkumulyator-terra-iz-pererabotannogo-alyuminiya-rcs-s-funkciey-besprovodnoy-zaryadki-5-vt-500-p322642/" , "P322.642 Внешний аккумулятор Terra из переработанного алюминия RCS с беспроводной зарядкой, 5 Вт, 5000 мАч")</f>
      </c>
      <c r="C29460" s="4" t="n">
        <v>3690.00</v>
      </c>
      <c r="D29460" s="4"/>
    </row>
    <row collapsed="" customFormat="false" customHeight="1" hidden="" ht="14" outlineLevel="0" r="29461">
      <c r="A29461" s="3" t="inlineStr">
        <is>
          <t>29326</t>
        </is>
      </c>
      <c r="B29461" s="4" t="s">
        <f>=HYPERLINK("http://anyluxury.ru/shop/elektronika/vneshnie-akkumulyatory/vneshniy-akkumulyator-iz-pererabotannogo-plastika-rcs-s-funkciey-besprovodnoy-zaryadki-8000-mach-p322389/" , "P322.389 Внешний аккумулятор из переработанного пластика RCS с функцией беспроводной зарядки, 8000 мАч")</f>
      </c>
      <c r="C29461" s="4" t="n">
        <v>3690.00</v>
      </c>
      <c r="D29461" s="4"/>
    </row>
    <row collapsed="" customFormat="false" customHeight="1" hidden="" ht="14" outlineLevel="0" r="29462">
      <c r="A29462" s="3" t="inlineStr">
        <is>
          <t>29327</t>
        </is>
      </c>
      <c r="B29462" s="4" t="s">
        <f>=HYPERLINK("http://anyluxury.ru/shop/elektronika/vneshnie-akkumulyatory/vneshniy-akkumulyator-iz-pererabotannogo-plastika-rcs-5000-mach-p322379/" , "P322.379 Внешний аккумулятор из переработанного пластика RCS, 5000 мАч")</f>
      </c>
      <c r="C29462" s="4" t="n">
        <v>2429.00</v>
      </c>
      <c r="D29462" s="4"/>
    </row>
    <row collapsed="" customFormat="false" customHeight="1" hidden="" ht="14" outlineLevel="0" r="29463">
      <c r="A29463" s="3" t="inlineStr">
        <is>
          <t>29328</t>
        </is>
      </c>
      <c r="B29463" s="4" t="s">
        <f>=HYPERLINK("http://anyluxury.ru/shop/elektronika/vneshnie-akkumulyatory/akkumulyator-uniscend-all-day-compact-pd-20000-mach-beliy-2231060/" , "22310.60 Аккумулятор All Day Compact PD 20000 мAч, белый")</f>
      </c>
      <c r="C29463" s="4" t="n">
        <v>3790.00</v>
      </c>
      <c r="D29463" s="4"/>
    </row>
    <row collapsed="" customFormat="false" customHeight="1" hidden="" ht="14" outlineLevel="0" r="29464">
      <c r="A29464" s="3" t="inlineStr">
        <is>
          <t>29329</t>
        </is>
      </c>
      <c r="B29464" s="4" t="s">
        <f>=HYPERLINK("http://anyluxury.ru/shop/elektronika/vneshnie-akkumulyatory/vneshniy-akkumulyator-fast-trick-c-typec-5000-mach-cherniy-2350130/" , "23501.30 Внешний аккумулятор Fast Trick c Type-C, 5000 мАч, черный")</f>
      </c>
      <c r="C29464" s="4" t="n">
        <v>1190.00</v>
      </c>
      <c r="D29464" s="4"/>
    </row>
    <row collapsed="" customFormat="false" customHeight="1" hidden="" ht="14" outlineLevel="0" r="29465">
      <c r="A29465" s="3" t="inlineStr">
        <is>
          <t>29330</t>
        </is>
      </c>
      <c r="B29465" s="4" t="s">
        <f>=HYPERLINK("http://anyluxury.ru/shop/elektronika/vneshnie-akkumulyatory/vneshniy-akkumulyator-fast-trick-s-typec-5000-mach-beliy-2350160/" , "23501.60 Внешний аккумулятор Fast Trick с Type-C, 5000 мАч, белый")</f>
      </c>
      <c r="C29465" s="4" t="n">
        <v>1190.00</v>
      </c>
      <c r="D29465" s="4"/>
    </row>
    <row collapsed="" customFormat="false" customHeight="1" hidden="" ht="14" outlineLevel="0" r="29466">
      <c r="A29466" s="3" t="inlineStr">
        <is>
          <t>29331</t>
        </is>
      </c>
      <c r="B29466" s="4" t="s">
        <f>=HYPERLINK("http://anyluxury.ru/shop/elektronika/vneshnie-akkumulyatory/vneshniy-akkumulyator-fast-trick-c-typec-10000-mach-cherniy-2310030/" , "23100.30 Внешний аккумулятор Fast Trick c Type-C, 10000 мАч, черный")</f>
      </c>
      <c r="C29466" s="4" t="n">
        <v>1770.00</v>
      </c>
      <c r="D29466" s="4"/>
    </row>
    <row collapsed="" customFormat="false" customHeight="1" hidden="" ht="14" outlineLevel="0" r="29467">
      <c r="A29467" s="3" t="inlineStr">
        <is>
          <t>29332</t>
        </is>
      </c>
      <c r="B29467" s="4" t="s">
        <f>=HYPERLINK("http://anyluxury.ru/shop/elektronika/vneshnie-akkumulyatory/vneshniy-akkumulyator-fast-trick-c-typec-10000-mach-beliy-2310060/" , "23100.60 Внешний аккумулятор Fast Trick c Type-C, 10000 мАч, белый")</f>
      </c>
      <c r="C29467" s="4" t="n">
        <v>1770.00</v>
      </c>
      <c r="D29467" s="4"/>
    </row>
    <row collapsed="" customFormat="false" customHeight="1" hidden="" ht="14" outlineLevel="0" r="29468">
      <c r="A29468" s="3" t="inlineStr">
        <is>
          <t>29333</t>
        </is>
      </c>
      <c r="B29468" s="4" t="s">
        <f>=HYPERLINK("http://anyluxury.ru/shop/elektronika/vneshnie-akkumulyatory/vneshniy-akkumulyator-simple-trick-5000-mach-cherniy-2350030/" , "23500.30 Внешний аккумулятор Simple Trick, 5000 мАч, черный")</f>
      </c>
      <c r="C29468" s="4" t="n">
        <v>790.00</v>
      </c>
      <c r="D29468" s="4"/>
    </row>
    <row collapsed="" customFormat="false" customHeight="1" hidden="" ht="14" outlineLevel="0" r="29469">
      <c r="A29469" s="3" t="inlineStr">
        <is>
          <t>29334</t>
        </is>
      </c>
      <c r="B29469" s="4" t="s">
        <f>=HYPERLINK("http://anyluxury.ru/shop/elektronika/vneshnie-akkumulyatory/vneshniy-akkumulyator-simple-trick-5000-mach-beliy-2350060/" , "23500.60 Внешний аккумулятор Simple Trick, 5000 мАч, белый")</f>
      </c>
      <c r="C29469" s="4" t="n">
        <v>790.00</v>
      </c>
      <c r="D29469" s="4"/>
    </row>
    <row collapsed="" customFormat="false" customHeight="1" hidden="" ht="14" outlineLevel="0" r="29470">
      <c r="A29470" s="3" t="inlineStr">
        <is>
          <t>29335</t>
        </is>
      </c>
      <c r="B29470" s="4" t="s">
        <f>=HYPERLINK("http://anyluxury.ru/shop/elektronika/vneshnie-akkumulyatory/vneshniy-akkumulyator-uniscend-full-feel-typec-5000-mach-cherniy-2399230/" , "23992.30 Внешний аккумулятор Uniscend Full Feel Type-C, 5000 мАч, черный")</f>
      </c>
      <c r="C29470" s="4" t="n">
        <v>1290.00</v>
      </c>
      <c r="D29470" s="4"/>
    </row>
    <row collapsed="" customFormat="false" customHeight="1" hidden="" ht="14" outlineLevel="0" r="29471">
      <c r="A29471" s="3" t="inlineStr">
        <is>
          <t>29336</t>
        </is>
      </c>
      <c r="B29471" s="4" t="s">
        <f>=HYPERLINK("http://anyluxury.ru/shop/elektronika/vneshnie-akkumulyatory/vneshniy-akkumulyator-uniscend-full-feel-typec-5000-mach-beliy-2399260/" , "23992.60 Внешний аккумулятор Uniscend Full Feel Type-C, 5000 мАч, белый")</f>
      </c>
      <c r="C29471" s="4" t="n">
        <v>1290.00</v>
      </c>
      <c r="D29471" s="4"/>
    </row>
    <row collapsed="" customFormat="false" customHeight="1" hidden="" ht="14" outlineLevel="0" r="29472">
      <c r="A29472" s="3" t="inlineStr">
        <is>
          <t>29337</t>
        </is>
      </c>
      <c r="B29472" s="4" t="s">
        <f>=HYPERLINK("http://anyluxury.ru/shop/elektronika/vneshnie-akkumulyatory/vneshniy-akkumulyator-uniscend-full-feel-typec-10000-mach-cherniy-2399330/" , "23993.30 Внешний аккумулятор Uniscend Full Feel Type-C, 10000 мАч, черный")</f>
      </c>
      <c r="C29472" s="4" t="n">
        <v>1690.00</v>
      </c>
      <c r="D29472" s="4"/>
    </row>
    <row collapsed="" customFormat="false" customHeight="1" hidden="" ht="14" outlineLevel="0" r="29473">
      <c r="A29473" s="3" t="inlineStr">
        <is>
          <t>29338</t>
        </is>
      </c>
      <c r="B29473" s="4" t="s">
        <f>=HYPERLINK("http://anyluxury.ru/shop/elektronika/vneshnie-akkumulyatory/vneshniy-akkumulyator-uniscend-full-feel-typec-10000-mach-beliy-2399360/" , "23993.60 Внешний аккумулятор Uniscend Full Feel Type-C, 10000 мАч, белый")</f>
      </c>
      <c r="C29473" s="4" t="n">
        <v>1690.00</v>
      </c>
      <c r="D29473" s="4"/>
    </row>
    <row collapsed="" customFormat="false" customHeight="1" hidden="" ht="14" outlineLevel="0" r="29474">
      <c r="A29474" s="3" t="inlineStr">
        <is>
          <t>29339</t>
        </is>
      </c>
      <c r="B29474" s="4" t="s">
        <f>=HYPERLINK("http://anyluxury.ru/shop/elektronika/vneshnie-akkumulyatory/vneshniy-akkumulyator-uniscend-full-feel-typec-5000-mach-siniy-2399240/" , "23992.40 Внешний аккумулятор Uniscend Full Feel Type-C, 5000 мАч, синий")</f>
      </c>
      <c r="C29474" s="4" t="n">
        <v>1290.00</v>
      </c>
      <c r="D29474" s="4"/>
    </row>
    <row collapsed="" customFormat="false" customHeight="1" hidden="" ht="14" outlineLevel="0" r="29475">
      <c r="A29475" s="3" t="inlineStr">
        <is>
          <t>29340</t>
        </is>
      </c>
      <c r="B29475" s="4" t="s">
        <f>=HYPERLINK("http://anyluxury.ru/shop/elektronika/vneshnie-akkumulyatory/vneshniy-akkumulyator-uniscend-full-feel-typec-5000-mach-krasniy-2399250/" , "23992.50 Внешний аккумулятор Uniscend Full Feel Type-C 5000 мАч, красный")</f>
      </c>
      <c r="C29475" s="4" t="n">
        <v>1290.00</v>
      </c>
      <c r="D29475" s="4"/>
    </row>
    <row collapsed="" customFormat="false" customHeight="1" hidden="" ht="14" outlineLevel="0" r="29476">
      <c r="A29476" s="3" t="inlineStr">
        <is>
          <t>29341</t>
        </is>
      </c>
      <c r="B29476" s="4" t="s">
        <f>=HYPERLINK("http://anyluxury.ru/shop/elektronika/vneshnie-akkumulyatory/vneshniy-akkumulyator-gamechanger-20000-mach-cherniy-2320030/" , "23200.30 Внешний аккумулятор Gamechanger 20000 мАч, черный")</f>
      </c>
      <c r="C29476" s="4" t="n">
        <v>2490.00</v>
      </c>
      <c r="D29476" s="4"/>
    </row>
    <row collapsed="" customFormat="false" customHeight="1" hidden="" ht="14" outlineLevel="0" r="29477">
      <c r="A29477" s="3" t="inlineStr">
        <is>
          <t>29342</t>
        </is>
      </c>
      <c r="B29477" s="4" t="s">
        <f>=HYPERLINK("http://anyluxury.ru/shop/elektronika/vneshnie-akkumulyatory/vneshniy-akkumulyator-gamechanger-20000-mach-beliy-2320060/" , "23200.60 Внешний аккумулятор Gamechanger 20000 мАч, белый")</f>
      </c>
      <c r="C29477" s="4" t="n">
        <v>2490.00</v>
      </c>
      <c r="D29477" s="4"/>
    </row>
    <row collapsed="" customFormat="false" customHeight="1" hidden="" ht="14" outlineLevel="0" r="29478">
      <c r="A29478" s="3" t="inlineStr">
        <is>
          <t>29343</t>
        </is>
      </c>
      <c r="B29478" s="4" t="s">
        <f>=HYPERLINK("http://anyluxury.ru/shop/elektronika/vneshnie-akkumulyatory/universalniy-magnitniy-akkumulyator-feel-motion-5000-mach-cherniy-2350230/" , "23502.30 Универсальный магнитный аккумулятор Feel Motion, 5000 мАч, черный")</f>
      </c>
      <c r="C29478" s="4" t="n">
        <v>2290.00</v>
      </c>
      <c r="D29478" s="4"/>
    </row>
    <row collapsed="" customFormat="false" customHeight="1" hidden="" ht="14" outlineLevel="0" r="29479">
      <c r="A29479" s="3" t="inlineStr">
        <is>
          <t>29344</t>
        </is>
      </c>
      <c r="B29479" s="4" t="s">
        <f>=HYPERLINK("http://anyluxury.ru/shop/elektronika/vneshnie-akkumulyatory/universalniy-magnitniy-akkumulyator-feel-motion-5000-mach-beliy-2350260/" , "23502.60 Универсальный магнитный аккумулятор Feel Motion, 5000 мАч, белый")</f>
      </c>
      <c r="C29479" s="4" t="n">
        <v>2290.00</v>
      </c>
      <c r="D29479" s="4"/>
    </row>
    <row collapsed="" customFormat="false" customHeight="1" hidden="" ht="14" outlineLevel="0" r="29480">
      <c r="A29480" s="3" t="inlineStr">
        <is>
          <t>29345</t>
        </is>
      </c>
      <c r="B29480" s="4" t="s">
        <f>=HYPERLINK("http://anyluxury.ru/shop/elektronika/vneshnie-akkumulyatory/universalniy-magnitniy-akkumulyator-top-force-10-000-mach-cherniy-2310330/" , "23103.30 Универсальный магнитный аккумулятор Top Force, 10 000 мАч, черный")</f>
      </c>
      <c r="C29480" s="4" t="n">
        <v>2790.00</v>
      </c>
      <c r="D29480" s="4"/>
    </row>
    <row collapsed="" customFormat="false" customHeight="1" hidden="" ht="14" outlineLevel="0" r="29481">
      <c r="A29481" s="3" t="inlineStr">
        <is>
          <t>29346</t>
        </is>
      </c>
      <c r="B29481" s="4" t="s">
        <f>=HYPERLINK("http://anyluxury.ru/shop/elektronika/vneshnie-akkumulyatory/universalniy-magnitniy-akkumulyator-top-force-10-000-mach-beliy-2310360/" , "23103.60 Универсальный магнитный аккумулятор Top Force, 10 000 мАч, белый")</f>
      </c>
      <c r="C29481" s="4" t="n">
        <v>2790.00</v>
      </c>
      <c r="D29481" s="4"/>
    </row>
    <row collapsed="" customFormat="false" customHeight="1" hidden="" ht="14" outlineLevel="0" r="29482">
      <c r="A29482" s="3" t="inlineStr">
        <is>
          <t>29347</t>
        </is>
      </c>
      <c r="B29482" s="4" t="s">
        <f>=HYPERLINK("http://anyluxury.ru/shop/elektronika/vneshnie-akkumulyatory/universalniy-magnitniy-akkumulyator-top-force-10000-mach-ciniy-2310340/" , "23103.40 Универсальный магнитный аккумулятор Top Force, 10000 мАч, cиний")</f>
      </c>
      <c r="C29482" s="4" t="n">
        <v>2790.00</v>
      </c>
      <c r="D29482" s="4"/>
    </row>
    <row collapsed="" customFormat="false" customHeight="1" hidden="" ht="14" outlineLevel="0" r="29483">
      <c r="A29483" s="3" t="inlineStr">
        <is>
          <t>29348</t>
        </is>
      </c>
      <c r="B29483" s="4" t="s">
        <f>=HYPERLINK("http://anyluxury.ru/shop/elektronika/vneshnie-akkumulyatory/magnitniy-besprovodnoy-akkumulyator-cooper-prime-10000-mach-serebristiy-1771110/" , "17711.10 Магнитный беспроводной аккумулятор Cooper Prime 10000 мАч, серебристый")</f>
      </c>
      <c r="C29483" s="4" t="n">
        <v>3990.00</v>
      </c>
      <c r="D29483" s="4"/>
    </row>
    <row collapsed="" customFormat="false" customHeight="1" hidden="" ht="14" outlineLevel="0" r="29484">
      <c r="A29484" s="3" t="inlineStr">
        <is>
          <t>29349</t>
        </is>
      </c>
      <c r="B29484" s="4" t="s">
        <f>=HYPERLINK("http://anyluxury.ru/shop/elektronika/vneshnie-akkumulyatory/magnitniy-besprovodnoy-akkumulyator-cooper-prime-10000-mach-temnoseriy-1771113/" , "17711.13 Магнитный беспроводной аккумулятор Cooper Prime 10000 мАч, темно-серый")</f>
      </c>
      <c r="C29484" s="4" t="n">
        <v>3990.00</v>
      </c>
      <c r="D29484" s="4"/>
    </row>
    <row collapsed="" customFormat="false" customHeight="1" hidden="" ht="14" outlineLevel="0" r="29485">
      <c r="A29485" s="3" t="inlineStr">
        <is>
          <t>29350</t>
        </is>
      </c>
      <c r="B29485" s="4" t="s">
        <f>=HYPERLINK("http://anyluxury.ru/shop/elektronika/vneshnie-akkumulyatory/magnitniy-besprovodnoy-akkumulyator-cooper-ergo-5000-mach-serebristiy-1771210/" , "17712.10 Магнитный беспроводной аккумулятор Cooper Ergo 5000 мАч, серебристый")</f>
      </c>
      <c r="C29485" s="4" t="n">
        <v>2490.00</v>
      </c>
      <c r="D29485" s="4"/>
    </row>
    <row collapsed="" customFormat="false" customHeight="1" hidden="" ht="14" outlineLevel="0" r="29486">
      <c r="A29486" s="3" t="inlineStr">
        <is>
          <t>29351</t>
        </is>
      </c>
      <c r="B29486" s="4" t="s">
        <f>=HYPERLINK("http://anyluxury.ru/shop/elektronika/vneshnie-akkumulyatory/magnitniy-besprovodnoy-akkumulyator-cooper-ergo-5000-mach-temnoseriy-1771213/" , "17712.13 Магнитный беспроводной аккумулятор Cooper Ergo 5000 мАч, темно-серый")</f>
      </c>
      <c r="C29486" s="4" t="n">
        <v>2490.00</v>
      </c>
      <c r="D29486" s="4"/>
    </row>
    <row collapsed="" customFormat="false" customHeight="1" hidden="" ht="14" outlineLevel="0" r="29487">
      <c r="A29487" s="3" t="inlineStr">
        <is>
          <t>29352</t>
        </is>
      </c>
      <c r="B29487" s="4" t="s">
        <f>=HYPERLINK("http://anyluxury.ru/shop/elektronika/vneshnie-akkumulyatory/akkumulyator-trellis-digital-10000-mach-temnoseriy-2310613/" , "23106.13 Аккумулятор Trellis Digital 10000 мАч, темно-серый")</f>
      </c>
      <c r="C29487" s="4" t="n">
        <v>1870.00</v>
      </c>
      <c r="D29487" s="4"/>
    </row>
    <row collapsed="" customFormat="false" customHeight="1" hidden="" ht="14" outlineLevel="0" r="29488">
      <c r="A29488" s="3" t="inlineStr">
        <is>
          <t>29353</t>
        </is>
      </c>
      <c r="B29488" s="4" t="s">
        <f>=HYPERLINK("http://anyluxury.ru/shop/elektronika/vneshnie-akkumulyatory/akkumulyator-trellis-digital-10000-mach-beliy-2310660/" , "23106.60 Аккумулятор Trellis Digital 10000 мАч, белый")</f>
      </c>
      <c r="C29488" s="4" t="n">
        <v>1870.00</v>
      </c>
      <c r="D29488" s="4"/>
    </row>
    <row collapsed="" customFormat="false" customHeight="1" hidden="" ht="14" outlineLevel="0" r="29489">
      <c r="A29489" s="3" t="inlineStr">
        <is>
          <t>29354</t>
        </is>
      </c>
      <c r="B29489" s="4" t="s">
        <f>=HYPERLINK("http://anyluxury.ru/shop/elektronika/vneshnie-akkumulyatory/akkumulyator-c-bistroy-zaryadkoy-trellis-quick-10000-mach-siniy-2310714/" , "23107.14 Аккумулятор c быстрой зарядкой Trellis Quick 10000 мАч, синий")</f>
      </c>
      <c r="C29489" s="4" t="n">
        <v>2390.00</v>
      </c>
      <c r="D29489" s="4"/>
    </row>
    <row collapsed="" customFormat="false" customHeight="1" hidden="" ht="14" outlineLevel="0" r="29490">
      <c r="A29490" s="3" t="inlineStr">
        <is>
          <t>29355</t>
        </is>
      </c>
      <c r="B29490" s="4" t="s">
        <f>=HYPERLINK("http://anyluxury.ru/shop/elektronika/vneshnie-akkumulyatory/akkumulyator-c-bistroy-zaryadkoy-trellis-quick-10000-mach-beliy-2310760/" , "23107.60 Аккумулятор c быстрой зарядкой Trellis Quick 10000 мАч, белый")</f>
      </c>
      <c r="C29490" s="4" t="n">
        <v>2390.00</v>
      </c>
      <c r="D29490" s="4"/>
    </row>
    <row collapsed="" customFormat="false" customHeight="1" hidden="" ht="14" outlineLevel="0" r="29491">
      <c r="A29491" s="3" t="inlineStr">
        <is>
          <t>29356</t>
        </is>
      </c>
      <c r="B29491" s="4" t="s">
        <f>=HYPERLINK("http://anyluxury.ru/shop/elektronika/vneshnie-akkumulyatory/akkumulyator-c-bistroy-zaryadkoy-trellis-geek-10000-mach-temnoseriy-2310813/" , "23108.13 Аккумулятор c быстрой зарядкой Trellis Geek 10000 мАч, темно-серый")</f>
      </c>
      <c r="C29491" s="4" t="n">
        <v>2490.00</v>
      </c>
      <c r="D29491" s="4"/>
    </row>
    <row collapsed="" customFormat="false" customHeight="1" hidden="" ht="14" outlineLevel="0" r="29492">
      <c r="A29492" s="3" t="inlineStr">
        <is>
          <t>29357</t>
        </is>
      </c>
      <c r="B29492" s="4" t="s">
        <f>=HYPERLINK("http://anyluxury.ru/shop/elektronika/vneshnie-akkumulyatory/akkumulyator-c-bistroy-zaryadkoy-trellis-geek-10000-mach-beliy-2310860/" , "23108.60 Аккумулятор c быстрой зарядкой Trellis Geek 10000 мАч, белый")</f>
      </c>
      <c r="C29492" s="4" t="n">
        <v>2490.00</v>
      </c>
      <c r="D29492" s="4"/>
    </row>
    <row collapsed="" customFormat="false" customHeight="1" hidden="" ht="14" outlineLevel="0" r="29493">
      <c r="A29493" s="3" t="inlineStr">
        <is>
          <t>29358</t>
        </is>
      </c>
      <c r="B29493" s="4" t="s">
        <f>=HYPERLINK("http://anyluxury.ru/shop/elektronika/vneshnie-akkumulyatory/vneshniy-akkumulyator-fast-trick-s-typec-5000-mach-siniy-2350140/" , "23501.40 Внешний аккумулятор Fast Trick с Type-C, 5000 мАч, синий")</f>
      </c>
      <c r="C29493" s="4" t="n">
        <v>1190.00</v>
      </c>
      <c r="D29493" s="4"/>
    </row>
    <row collapsed="" customFormat="false" customHeight="1" hidden="" ht="14" outlineLevel="0" r="29494">
      <c r="A29494" s="3" t="inlineStr">
        <is>
          <t>29359</t>
        </is>
      </c>
      <c r="B29494" s="4" t="s">
        <f>=HYPERLINK("http://anyluxury.ru/shop/elektronika/vneshnie-akkumulyatory/vneshniy-akkumulyator-fast-trick-s-typec-10000-mach-siniy-2310040/" , "23100.40 Внешний аккумулятор Fast Trick с Type-C, 10000 мАч, синий")</f>
      </c>
      <c r="C29494" s="4" t="n">
        <v>1770.00</v>
      </c>
      <c r="D29494" s="4"/>
    </row>
    <row collapsed="" customFormat="false" customHeight="1" hidden="" ht="14" outlineLevel="0" r="29495">
      <c r="A29495" s="3" t="inlineStr">
        <is>
          <t>29360</t>
        </is>
      </c>
      <c r="B29495" s="4" t="s">
        <f>=HYPERLINK("http://anyluxury.ru/shop/elektronika/vneshnie-akkumulyatory/akkumulyator-easy-trick-ver2-4000-mach-cherniy-2477730/" , "24777.30 Аккумулятор Easy Trick ver.2, 4000 мАч, черный")</f>
      </c>
      <c r="C29495" s="4" t="n">
        <v>729.00</v>
      </c>
      <c r="D29495" s="4"/>
    </row>
    <row collapsed="" customFormat="false" customHeight="1" hidden="" ht="14" outlineLevel="0" r="29496">
      <c r="A29496" s="3" t="inlineStr">
        <is>
          <t>29361</t>
        </is>
      </c>
      <c r="B29496" s="4" t="s">
        <f>=HYPERLINK("http://anyluxury.ru/shop/elektronika/vneshnie-akkumulyatory/akkumulyator-easy-trick-ver2-4000-mach-siniy-2477740/" , "24777.40 Аккумулятор Easy Trick ver.2, 4000 мАч, синий")</f>
      </c>
      <c r="C29496" s="4" t="n">
        <v>729.00</v>
      </c>
      <c r="D29496" s="4"/>
    </row>
    <row collapsed="" customFormat="false" customHeight="1" hidden="" ht="14" outlineLevel="0" r="29497">
      <c r="A29497" s="3" t="inlineStr">
        <is>
          <t>29362</t>
        </is>
      </c>
      <c r="B29497" s="4" t="s">
        <f>=HYPERLINK("http://anyluxury.ru/shop/elektronika/vneshnie-akkumulyatory/akkumulyator-easy-trick-ver2-4000-mach-krasniy-2477750/" , "24777.50 Аккумулятор Easy Trick ver.2, 4000 мАч, красный")</f>
      </c>
      <c r="C29497" s="4" t="n">
        <v>729.00</v>
      </c>
      <c r="D29497" s="4"/>
    </row>
    <row collapsed="" customFormat="false" customHeight="1" hidden="" ht="14" outlineLevel="0" r="29498">
      <c r="A29498" s="3" t="inlineStr">
        <is>
          <t>29363</t>
        </is>
      </c>
      <c r="B29498" s="4" t="s">
        <f>=HYPERLINK("http://anyluxury.ru/shop/elektronika/vneshnie-akkumulyatory/akkumulyator-easy-trick-ver2-4000-mach-beliy-2477760/" , "24777.60 Аккумулятор Easy Trick ver.2, 4000 мАч, белый")</f>
      </c>
      <c r="C29498" s="4" t="n">
        <v>729.00</v>
      </c>
      <c r="D29498" s="4"/>
    </row>
    <row collapsed="" customFormat="false" customHeight="1" hidden="" ht="14" outlineLevel="0" r="29499">
      <c r="A29499" s="3" t="inlineStr">
        <is>
          <t>29364</t>
        </is>
      </c>
      <c r="B29499" s="4" t="s">
        <f>=HYPERLINK("http://anyluxury.ru/shop/elektronika/vneshnie-akkumulyatory/akkumulyator-holiday-maker-10000-mach-oranzheviy-2497820/" , "24978.20 Аккумулятор Holiday Maker, 10000 мАч, оранжевый")</f>
      </c>
      <c r="C29499" s="4" t="n">
        <v>1890.00</v>
      </c>
      <c r="D29499" s="4"/>
    </row>
    <row collapsed="" customFormat="false" customHeight="1" hidden="" ht="14" outlineLevel="0" r="29500">
      <c r="A29500" s="3" t="inlineStr">
        <is>
          <t>29365</t>
        </is>
      </c>
      <c r="B29500" s="4" t="s">
        <f>=HYPERLINK("http://anyluxury.ru/shop/elektronika/vneshnie-akkumulyatory/akkumulyator-holiday-maker-10000-mach-zeleniy-2497890/" , "24978.90 Аккумулятор Holiday Maker, 10000 мАч, зеленый")</f>
      </c>
      <c r="C29500" s="4" t="n">
        <v>1890.00</v>
      </c>
      <c r="D29500" s="4"/>
    </row>
    <row collapsed="" customFormat="false" customHeight="1" hidden="" ht="14" outlineLevel="0" r="29501">
      <c r="A29501" s="3" t="inlineStr">
        <is>
          <t>29366</t>
        </is>
      </c>
      <c r="B29501" s="4" t="s">
        <f>=HYPERLINK("http://anyluxury.ru/shop/elektronika/vneshnie-akkumulyatory/akkumulyator-s-besprovodnoy-zaryadkoy-holiday-maker-wireless-10000-mach-siniy-2497940/" , "24979.40 Аккумулятор с беспроводной зарядкой Holiday Maker Wireless, 10000 мАч, синий")</f>
      </c>
      <c r="C29501" s="4" t="n">
        <v>2190.00</v>
      </c>
      <c r="D29501" s="4"/>
    </row>
    <row collapsed="" customFormat="false" customHeight="1" hidden="" ht="14" outlineLevel="0" r="29502">
      <c r="A29502" s="3" t="inlineStr">
        <is>
          <t>29367</t>
        </is>
      </c>
      <c r="B29502" s="4" t="s">
        <f>=HYPERLINK("http://anyluxury.ru/shop/elektronika/vneshnie-akkumulyatory/akkumulyator-s-besprovodnoy-zaryadkoy-holiday-maker-wireless-10000-mach-krasniy-2497950/" , "24979.50 Аккумулятор с беспроводной зарядкой Holiday Maker Wireless, 10000 мАч, красный")</f>
      </c>
      <c r="C29502" s="4" t="n">
        <v>2190.00</v>
      </c>
      <c r="D29502" s="4"/>
    </row>
    <row collapsed="" customFormat="false" customHeight="1" hidden="" ht="14" outlineLevel="0" r="29503">
      <c r="A29503" s="3" t="inlineStr">
        <is>
          <t>29368</t>
        </is>
      </c>
      <c r="B29503" s="4" t="s">
        <f>=HYPERLINK("http://anyluxury.ru/shop/elektronika/vneshnie-akkumulyatory/vneshniy-akkumulyator-ultima-wireless-magsafe-5000-mah-beliy-32117100/" , "32117.100 Внешний аккумулятор с беспроводной зарядкой Ultima Wireless Magnetic 5000 mAh, белый")</f>
      </c>
      <c r="C29503" s="4" t="n">
        <v>3266.00</v>
      </c>
      <c r="D29503" s="4"/>
    </row>
    <row collapsed="" customFormat="false" customHeight="1" hidden="" ht="14" outlineLevel="0" r="29504">
      <c r="A29504" s="3" t="inlineStr">
        <is>
          <t>29369</t>
        </is>
      </c>
      <c r="B29504" s="4" t="s">
        <f>=HYPERLINK("http://anyluxury.ru/shop/elektronika/vneshnie-akkumulyatory/vneshniy-akkumulyator-ultima-wireless-magsafe-5000-mah-siniy-32117030/" , "32117.030 Внешний аккумулятор с беспроводной зарядкой Ultima Wireless Magnetic 5000 mAh, синий")</f>
      </c>
      <c r="C29504" s="4" t="n">
        <v>3266.00</v>
      </c>
      <c r="D29504" s="4"/>
    </row>
    <row collapsed="" customFormat="false" customHeight="1" hidden="" ht="14" outlineLevel="0" r="29505">
      <c r="A29505" s="3" t="inlineStr">
        <is>
          <t>29370</t>
        </is>
      </c>
      <c r="B29505" s="4" t="s">
        <f>=HYPERLINK("http://anyluxury.ru/shop/elektronika/vneshnie-akkumulyatory/vneshniy-akkumulyator-ultima-wireless-magsafe-5000-mah-cherniy-32117010/" , "32117.010 Внешний аккумулятор с беспроводной зарядкой Ultima Wireless Magnetic 5000 mAh, черный")</f>
      </c>
      <c r="C29505" s="4" t="n">
        <v>3266.00</v>
      </c>
      <c r="D29505" s="4"/>
    </row>
    <row collapsed="" customFormat="false" customHeight="1" hidden="" ht="14" outlineLevel="0" r="29506">
      <c r="A29506" s="3" t="inlineStr">
        <is>
          <t>29371</t>
        </is>
      </c>
      <c r="B29506" s="4" t="s">
        <f>=HYPERLINK("http://anyluxury.ru/shop/elektronika/vneshnie-akkumulyatory/vneshniy-akkumulyator-in-velour-10000-mah-biryuzoviy-podarochnaya-upakovka-s-blisterom-32118600/" , "32118.600 Внешний аккумулятор In Velour 10000 mAh, бирюзовый")</f>
      </c>
      <c r="C29506" s="4" t="n">
        <v>3200.00</v>
      </c>
      <c r="D29506" s="4"/>
    </row>
    <row collapsed="" customFormat="false" customHeight="1" hidden="" ht="14" outlineLevel="0" r="29507">
      <c r="A29507" s="3" t="inlineStr">
        <is>
          <t>29372</t>
        </is>
      </c>
      <c r="B29507" s="4" t="s">
        <f>=HYPERLINK("http://anyluxury.ru/shop/elektronika/vneshnie-akkumulyatory/vneshniy-akkumulyator-in-velour-10000-mah-seriy-podarochnaya-upakovka-s-blisterom-32118080/" , "32118.080 Внешний аккумулятор In Velour 10000 mAh, серый")</f>
      </c>
      <c r="C29507" s="4" t="n">
        <v>3200.00</v>
      </c>
      <c r="D29507" s="4"/>
    </row>
    <row collapsed="" customFormat="false" customHeight="1" hidden="" ht="14" outlineLevel="0" r="29508">
      <c r="A29508" s="3" t="inlineStr">
        <is>
          <t>29373</t>
        </is>
      </c>
      <c r="B29508" s="4" t="s">
        <f>=HYPERLINK("http://anyluxury.ru/shop/elektronika/vneshnie-akkumulyatory/vneshniy-akkumulyator-in-velour-10000-mah-siniy-podarochnaya-upakovka-s-blisterom-32118030/" , "32118.030 Внешний аккумулятор In Velour 10000 mAh, синий")</f>
      </c>
      <c r="C29508" s="4" t="n">
        <v>3200.00</v>
      </c>
      <c r="D29508" s="4"/>
    </row>
    <row collapsed="" customFormat="false" customHeight="1" hidden="" ht="14" outlineLevel="0" r="29509">
      <c r="A29509" s="3" t="inlineStr">
        <is>
          <t>29374</t>
        </is>
      </c>
      <c r="B29509" s="4" t="s">
        <f>=HYPERLINK("http://anyluxury.ru/shop/elektronika/vneshnie-akkumulyatory/vneshniy-akkumulyator-in-velour-10000-mah-cherniy-podarochnaya-upakovka-s-blisterom-32118010/" , "32118.010 Внешний аккумулятор In Velour 10000 mAh, черный")</f>
      </c>
      <c r="C29509" s="4" t="n">
        <v>3200.00</v>
      </c>
      <c r="D29509" s="4"/>
    </row>
    <row collapsed="" customFormat="false" customHeight="1" hidden="" ht="14" outlineLevel="0" r="29510">
      <c r="A29510" s="3" t="inlineStr">
        <is>
          <t>29375</t>
        </is>
      </c>
      <c r="B29510" s="4" t="s">
        <f>=HYPERLINK("http://anyluxury.ru/shop/elektronika/vneshnie-akkumulyatory/vneshniy-akkumulyator-s-podsvetkoy-luce-lemoni-10000-mah-zheltiy-32116075/" , "32116.075 Внешний аккумулятор с подсветкой Luce Lemoni 10000 mAh, желтый")</f>
      </c>
      <c r="C29510" s="4" t="n">
        <v>2965.00</v>
      </c>
      <c r="D29510" s="4"/>
    </row>
    <row collapsed="" customFormat="false" customHeight="1" hidden="" ht="14" outlineLevel="0" r="29511">
      <c r="A29511" s="3" t="inlineStr">
        <is>
          <t>29376</t>
        </is>
      </c>
      <c r="B29511" s="4" t="s">
        <f>=HYPERLINK("http://anyluxury.ru/shop/elektronika/vneshnie-akkumulyatory/vneshniy-akkumulyator-ultima-wireless-magnetic-lemoni-5000-mah-zheltiy-32117075/" , "32117.075 Внешний аккумулятор с беспроводной зарядкой Ultima Wireless Magnetic Lemoni 5000 mAh, желтый")</f>
      </c>
      <c r="C29511" s="4" t="n">
        <v>2969.00</v>
      </c>
      <c r="D29511" s="4"/>
    </row>
    <row collapsed="" customFormat="false" customHeight="1" hidden="" ht="14" outlineLevel="0" r="29512">
      <c r="A29512" s="3" t="inlineStr">
        <is>
          <t>29377</t>
        </is>
      </c>
      <c r="B29512" s="4" t="s">
        <f>=HYPERLINK("http://anyluxury.ru/shop/elektronika/vneshnie-akkumulyatory/vneshniy-akkumulyator-s-podsvetkoy-skyline-5000-mah-beliy-372201001/" , "37220.100.1 Внешний аккумулятор с подсветкой, Skyline, 5000 mAh, белый")</f>
      </c>
      <c r="C29512" s="4" t="n">
        <v>1645.00</v>
      </c>
      <c r="D29512" s="4"/>
    </row>
    <row collapsed="" customFormat="false" customHeight="1" hidden="" ht="14" outlineLevel="0" r="29513">
      <c r="A29513" s="3" t="inlineStr">
        <is>
          <t>29378</t>
        </is>
      </c>
      <c r="B29513" s="4" t="s">
        <f>=HYPERLINK("http://anyluxury.ru/shop/elektronika/vneshnie-akkumulyatory/vneshniy-akkumulyator-elari-5000-mah-oranzheviy-37596070/" , "37596.070 Внешний аккумулятор Elari 5000 mAh, оранжевый")</f>
      </c>
      <c r="C29513" s="4" t="n">
        <v>1634.00</v>
      </c>
      <c r="D29513" s="4"/>
    </row>
    <row collapsed="" customFormat="false" customHeight="1" hidden="" ht="14" outlineLevel="0" r="29514">
      <c r="A29514" s="3" t="inlineStr">
        <is>
          <t>29379</t>
        </is>
      </c>
      <c r="B29514" s="4" t="s">
        <f>=HYPERLINK("http://anyluxury.ru/shop/elektronika/vneshnie-akkumulyatory/vneshniy-besprovodnoy-akkumulyator-s-podstavkoy-magnetto-10000-mah-cherniy-37527010/" , "37527.010 Внешний беспроводной аккумулятор с подставкой Magnetto 10000 mah, черный")</f>
      </c>
      <c r="C29514" s="4" t="n">
        <v>4180.00</v>
      </c>
      <c r="D29514" s="4"/>
    </row>
    <row collapsed="" customFormat="false" customHeight="" hidden="" ht="12.1" outlineLevel="0" r="29515">
      <c r="A29515" s="5" t="inlineStr">
        <is>
          <t> -  - Внешние жесткие диски</t>
        </is>
      </c>
      <c r="B29515" s="6"/>
      <c r="C29515" s="6"/>
      <c r="D29515" s="6"/>
    </row>
    <row collapsed="" customFormat="false" customHeight="" hidden="" ht="12.1" outlineLevel="0" r="29516">
      <c r="A29516" s="5" t="inlineStr">
        <is>
          <t> -  - Зарядные устройства</t>
        </is>
      </c>
      <c r="B29516" s="6"/>
      <c r="C29516" s="6"/>
      <c r="D29516" s="6"/>
    </row>
    <row collapsed="" customFormat="false" customHeight="1" hidden="" ht="14" outlineLevel="0" r="29517">
      <c r="A29517" s="3" t="inlineStr">
        <is>
          <t>29380</t>
        </is>
      </c>
      <c r="B29517" s="4" t="s">
        <f>=HYPERLINK("http://anyluxury.ru/shop/elektronika/zaryadnye-ustroystva/kolonka-s-besprovodnoy-zaryadkoy-vibe-seriy-p328062/" , "P328.062 Колонка с беспроводной зарядкой Vibe, серый")</f>
      </c>
      <c r="C29517" s="4" t="n">
        <v>5358.00</v>
      </c>
      <c r="D29517" s="4"/>
    </row>
    <row collapsed="" customFormat="false" customHeight="1" hidden="" ht="14" outlineLevel="0" r="29518">
      <c r="A29518" s="3" t="inlineStr">
        <is>
          <t>29381</t>
        </is>
      </c>
      <c r="B29518" s="4" t="s">
        <f>=HYPERLINK("http://anyluxury.ru/shop/elektronika/zaryadnye-ustroystva/butilka-dlya-vodi-s-besprovodnoy-zaryadkoy-p436170/" , "P436.170 Бутылка для воды с беспроводной зарядкой")</f>
      </c>
      <c r="C29518" s="4" t="n">
        <v>4449.00</v>
      </c>
      <c r="D29518" s="4"/>
    </row>
    <row collapsed="" customFormat="false" customHeight="1" hidden="" ht="14" outlineLevel="0" r="29519">
      <c r="A29519" s="3" t="inlineStr">
        <is>
          <t>29382</t>
        </is>
      </c>
      <c r="B29519" s="4" t="s">
        <f>=HYPERLINK("http://anyluxury.ru/shop/elektronika/zaryadnye-ustroystva/dokstanciya-dlya-besprovodnoy-zaryadki-s-kolonkoy-beliy-p328033/" , "P328.033 Док-станция для беспроводной зарядки с колонкой, белый")</f>
      </c>
      <c r="C29519" s="4" t="n">
        <v>2649.00</v>
      </c>
      <c r="D29519" s="4"/>
    </row>
    <row collapsed="" customFormat="false" customHeight="1" hidden="" ht="14" outlineLevel="0" r="29520">
      <c r="A29520" s="3" t="inlineStr">
        <is>
          <t>29383</t>
        </is>
      </c>
      <c r="B29520" s="4" t="s">
        <f>=HYPERLINK("http://anyluxury.ru/shop/elektronika/zaryadnye-ustroystva/zaryadnaya-stanciya-s-6-usbportami-p308991/" , "P308.991 Зарядная станция с 6 USB-портами")</f>
      </c>
      <c r="C29520" s="4" t="n">
        <v>1402.00</v>
      </c>
      <c r="D29520" s="4"/>
    </row>
    <row collapsed="" customFormat="false" customHeight="1" hidden="" ht="14" outlineLevel="0" r="29521">
      <c r="A29521" s="3" t="inlineStr">
        <is>
          <t>29384</t>
        </is>
      </c>
      <c r="B29521" s="4" t="s">
        <f>=HYPERLINK("http://anyluxury.ru/shop/elektronika/zaryadnye-ustroystva/besprovodnoy-vneshniy-akkumulyator-na-10-000-mach-5w-p324391/" , "P324.391 Беспроводной внешний аккумулятор на 10 000 мАч, 5W")</f>
      </c>
      <c r="C29521" s="4" t="n">
        <v>3790.00</v>
      </c>
      <c r="D29521" s="4"/>
    </row>
    <row collapsed="" customFormat="false" customHeight="1" hidden="" ht="14" outlineLevel="0" r="29522">
      <c r="A29522" s="3" t="inlineStr">
        <is>
          <t>29385</t>
        </is>
      </c>
      <c r="B29522" s="4" t="s">
        <f>=HYPERLINK("http://anyluxury.ru/shop/elektronika/zaryadnye-ustroystva/ochistiteli-dlya-ekranov-mobilnih-telefonov-avia-800610avi/" , "8006.10.avi Очистители для экранов мобильных телефонов (авиа)")</f>
      </c>
      <c r="C29522" s="4" t="n">
        <v>506.00</v>
      </c>
      <c r="D29522" s="4"/>
    </row>
    <row collapsed="" customFormat="false" customHeight="1" hidden="" ht="14" outlineLevel="0" r="29523">
      <c r="A29523" s="3" t="inlineStr">
        <is>
          <t>29386</t>
        </is>
      </c>
      <c r="B29523" s="4" t="s">
        <f>=HYPERLINK("http://anyluxury.ru/shop/elektronika/zaryadnye-ustroystva/ochistiteli-dlya-ekranov-mobilnih-telefonov-more-800610sea/" , "8006.10.sea Очистители для экранов мобильных телефонов (море)")</f>
      </c>
      <c r="C29523" s="4" t="n">
        <v>126.00</v>
      </c>
      <c r="D29523" s="4"/>
    </row>
    <row collapsed="" customFormat="false" customHeight="1" hidden="" ht="14" outlineLevel="0" r="29524">
      <c r="A29524" s="3" t="inlineStr">
        <is>
          <t>29387</t>
        </is>
      </c>
      <c r="B29524" s="4" t="s">
        <f>=HYPERLINK("http://anyluxury.ru/shop/elektronika/zaryadnye-ustroystva/chasi-nastolnie-s-besprovodnim-zaryadnim-ustroystvom-pitstop-chernie-1187930/" , "11879.30 Часы настольные с беспроводным зарядным устройством Pitstop, черные")</f>
      </c>
      <c r="C29524" s="4" t="n">
        <v>3499.00</v>
      </c>
      <c r="D29524" s="4"/>
    </row>
    <row collapsed="" customFormat="false" customHeight="1" hidden="" ht="14" outlineLevel="0" r="29525">
      <c r="A29525" s="3" t="inlineStr">
        <is>
          <t>29388</t>
        </is>
      </c>
      <c r="B29525" s="4" t="s">
        <f>=HYPERLINK("http://anyluxury.ru/shop/elektronika/zaryadnye-ustroystva/dokstanciya-square-dlya-besprovodnoy-zaryadki-10-vt-s-usbportami-p308163/" , "P308.163 Док-станция Square для беспроводной зарядки 10 Вт с USB-портами")</f>
      </c>
      <c r="C29525" s="4" t="n">
        <v>1499.00</v>
      </c>
      <c r="D29525" s="4"/>
    </row>
    <row collapsed="" customFormat="false" customHeight="1" hidden="" ht="14" outlineLevel="0" r="29526">
      <c r="A29526" s="3" t="inlineStr">
        <is>
          <t>29389</t>
        </is>
      </c>
      <c r="B29526" s="4" t="s">
        <f>=HYPERLINK("http://anyluxury.ru/shop/elektronika/zaryadnye-ustroystva/derzhatel-dlya-smartfona-cleaver-s-besprovodnoy-zaryadkoy-7207210/" , "72072.10 Держатель для смартфона Cleaver с беспроводной зарядкой")</f>
      </c>
      <c r="C29526" s="4" t="n">
        <v>2750.00</v>
      </c>
      <c r="D29526" s="4"/>
    </row>
    <row collapsed="" customFormat="false" customHeight="1" hidden="" ht="14" outlineLevel="0" r="29527">
      <c r="A29527" s="3" t="inlineStr">
        <is>
          <t>29390</t>
        </is>
      </c>
      <c r="B29527" s="4" t="s">
        <f>=HYPERLINK("http://anyluxury.ru/shop/elektronika/zaryadnye-ustroystva/chasi-nastolnie-s-besprovodnim-zaryadnim-ustroystvom-pitstop-belie-1187960/" , "11879.60 Часы настольные с беспроводным зарядным устройством Pitstop, белые")</f>
      </c>
      <c r="C29527" s="4" t="n">
        <v>3499.00</v>
      </c>
      <c r="D29527" s="4"/>
    </row>
    <row collapsed="" customFormat="false" customHeight="1" hidden="" ht="14" outlineLevel="0" r="29528">
      <c r="A29528" s="3" t="inlineStr">
        <is>
          <t>29391</t>
        </is>
      </c>
      <c r="B29528" s="4" t="s">
        <f>=HYPERLINK("http://anyluxury.ru/shop/elektronika/zaryadnye-ustroystva/zaryadnaya-stanciya-canyon-s-ufsterilizatorom-2100530/" , "21005.30 Зарядная станция Canyon с УФ-стерилизатором")</f>
      </c>
      <c r="C29528" s="4" t="n">
        <v>4590.00</v>
      </c>
      <c r="D29528" s="4"/>
    </row>
    <row collapsed="" customFormat="false" customHeight="1" hidden="" ht="14" outlineLevel="0" r="29529">
      <c r="A29529" s="3" t="inlineStr">
        <is>
          <t>29392</t>
        </is>
      </c>
      <c r="B29529" s="4" t="s">
        <f>=HYPERLINK("http://anyluxury.ru/shop/elektronika/zaryadnye-ustroystva/besprovodnaya-zaryadnaya-stanciya-canyon-302-belaya-2000460/" , "20004.60 Беспроводная зарядная станция Canyon 302, белая")</f>
      </c>
      <c r="C29529" s="4" t="n">
        <v>3790.00</v>
      </c>
      <c r="D29529" s="4"/>
    </row>
    <row collapsed="" customFormat="false" customHeight="1" hidden="" ht="14" outlineLevel="0" r="29530">
      <c r="A29530" s="3" t="inlineStr">
        <is>
          <t>29393</t>
        </is>
      </c>
      <c r="B29530" s="4" t="s">
        <f>=HYPERLINK("http://anyluxury.ru/shop/elektronika/zaryadnye-ustroystva/zaryadnaya-stanciya-smart-nest-chernaya-2111630/" , "21116.30 Зарядная станция Smart Nest, черная")</f>
      </c>
      <c r="C29530" s="4" t="n">
        <v>2490.00</v>
      </c>
      <c r="D29530" s="4"/>
    </row>
    <row collapsed="" customFormat="false" customHeight="1" hidden="" ht="14" outlineLevel="0" r="29531">
      <c r="A29531" s="3" t="inlineStr">
        <is>
          <t>29394</t>
        </is>
      </c>
      <c r="B29531" s="4" t="s">
        <f>=HYPERLINK("http://anyluxury.ru/shop/elektronika/zaryadnye-ustroystva/zaryadnaya-stanciya-canyon-ws303-chernaya-2001930/" , "20019.30 Зарядная станция Canyon WS-303, черная")</f>
      </c>
      <c r="C29531" s="4" t="n">
        <v>4690.00</v>
      </c>
      <c r="D29531" s="4"/>
    </row>
    <row collapsed="" customFormat="false" customHeight="1" hidden="" ht="14" outlineLevel="0" r="29532">
      <c r="A29532" s="3" t="inlineStr">
        <is>
          <t>29395</t>
        </is>
      </c>
      <c r="B29532" s="4" t="s">
        <f>=HYPERLINK("http://anyluxury.ru/shop/elektronika/zaryadnye-ustroystva/besprovodnoe-zaryadnoe-ustroystvo-s-magnitom-magmate-chernoe-2202330/" , "22023.30 Беспроводное зарядное устройство с магнитами Magmate, черное")</f>
      </c>
      <c r="C29532" s="4" t="n">
        <v>1290.00</v>
      </c>
      <c r="D29532" s="4"/>
    </row>
    <row collapsed="" customFormat="false" customHeight="1" hidden="" ht="14" outlineLevel="0" r="29533">
      <c r="A29533" s="3" t="inlineStr">
        <is>
          <t>29396</t>
        </is>
      </c>
      <c r="B29533" s="4" t="s">
        <f>=HYPERLINK("http://anyluxury.ru/shop/elektronika/zaryadnye-ustroystva/zaryadnaya-stanciya-fulcrum-chernaya-2201030/" , "22010.30 Зарядная станция Fulcrum, черная")</f>
      </c>
      <c r="C29533" s="4" t="n">
        <v>2290.00</v>
      </c>
      <c r="D29533" s="4"/>
    </row>
    <row collapsed="" customFormat="false" customHeight="1" hidden="" ht="14" outlineLevel="0" r="29534">
      <c r="A29534" s="3" t="inlineStr">
        <is>
          <t>29397</t>
        </is>
      </c>
      <c r="B29534" s="4" t="s">
        <f>=HYPERLINK("http://anyluxury.ru/shop/elektronika/zaryadnye-ustroystva/zaryadnaya-stanciya-fulcrum-belaya-2201060/" , "22010.60 Зарядная станция Fulcrum, белая")</f>
      </c>
      <c r="C29534" s="4" t="n">
        <v>2290.00</v>
      </c>
      <c r="D29534" s="4"/>
    </row>
    <row collapsed="" customFormat="false" customHeight="1" hidden="" ht="14" outlineLevel="0" r="29535">
      <c r="A29535" s="3" t="inlineStr">
        <is>
          <t>29398</t>
        </is>
      </c>
      <c r="B29535" s="4" t="s">
        <f>=HYPERLINK("http://anyluxury.ru/shop/elektronika/zaryadnye-ustroystva/magnitnaya-zaryadnaya-stanciya-uniscend-magneto-2201230/" , "22012.30 Магнитная зарядная станция Uniscend Magneto")</f>
      </c>
      <c r="C29535" s="4" t="n">
        <v>2990.00</v>
      </c>
      <c r="D29535" s="4"/>
    </row>
    <row collapsed="" customFormat="false" customHeight="1" hidden="" ht="14" outlineLevel="0" r="29536">
      <c r="A29536" s="3" t="inlineStr">
        <is>
          <t>29399</t>
        </is>
      </c>
      <c r="B29536" s="4" t="s">
        <f>=HYPERLINK("http://anyluxury.ru/shop/elektronika/zaryadnye-ustroystva/besprovodnaya-zaryadnaya-stanciya-2-v-1-duo-22154010/" , "22154.010 Беспроводная зарядная станция 2в1 Duo")</f>
      </c>
      <c r="C29536" s="4" t="n">
        <v>3398.00</v>
      </c>
      <c r="D29536" s="4"/>
    </row>
    <row collapsed="" customFormat="false" customHeight="1" hidden="" ht="14" outlineLevel="0" r="29537">
      <c r="A29537" s="3" t="inlineStr">
        <is>
          <t>29400</t>
        </is>
      </c>
      <c r="B29537" s="4" t="s">
        <f>=HYPERLINK("http://anyluxury.ru/shop/elektronika/zaryadnye-ustroystva/besprovodnaya-zaryadnaya-stanciya-3-v-1-prime-22155100/" , "22155.100 Беспроводная зарядная станция 3в1 Prime")</f>
      </c>
      <c r="C29537" s="4" t="n">
        <v>3368.00</v>
      </c>
      <c r="D29537" s="4"/>
    </row>
    <row collapsed="" customFormat="false" customHeight="1" hidden="" ht="14" outlineLevel="0" r="29538">
      <c r="A29538" s="3" t="inlineStr">
        <is>
          <t>29401</t>
        </is>
      </c>
      <c r="B29538" s="4" t="s">
        <f>=HYPERLINK("http://anyluxury.ru/shop/elektronika/zaryadnye-ustroystva/besprovodnoe-zaryadnoe-ustroystvo-apollo-10w-22157100/" , "22157.100 Беспроводное зарядное устройство 10W Apollo")</f>
      </c>
      <c r="C29538" s="4" t="n">
        <v>1392.00</v>
      </c>
      <c r="D29538" s="4"/>
    </row>
    <row collapsed="" customFormat="false" customHeight="1" hidden="" ht="14" outlineLevel="0" r="29539">
      <c r="A29539" s="3" t="inlineStr">
        <is>
          <t>29402</t>
        </is>
      </c>
      <c r="B29539" s="4" t="s">
        <f>=HYPERLINK("http://anyluxury.ru/shop/elektronika/zaryadnye-ustroystva/besprovodnoe-zaryadnoe-ustroystvo-volta-15w-22156010/" , "22156.010 Беспроводное зарядное устройство 15W Volta")</f>
      </c>
      <c r="C29539" s="4" t="n">
        <v>1392.00</v>
      </c>
      <c r="D29539" s="4"/>
    </row>
    <row collapsed="" customFormat="false" customHeight="1" hidden="" ht="14" outlineLevel="0" r="29540">
      <c r="A29540" s="3" t="inlineStr">
        <is>
          <t>29403</t>
        </is>
      </c>
      <c r="B29540" s="4" t="s">
        <f>=HYPERLINK("http://anyluxury.ru/shop/elektronika/zaryadnye-ustroystva/dokstanciya-iz-pererabotannogo-plastika-dlya-besprovodnoy-zaryadki-10-vt-standart-rcs-p308663/" , "P308.663 Док-станция из переработанного пластика для беспроводной зарядки, 10 Вт (стандарт RCS)")</f>
      </c>
      <c r="C29540" s="4" t="n">
        <v>1659.00</v>
      </c>
      <c r="D29540" s="4"/>
    </row>
    <row collapsed="" customFormat="false" customHeight="1" hidden="" ht="14" outlineLevel="0" r="29541">
      <c r="A29541" s="3" t="inlineStr">
        <is>
          <t>29404</t>
        </is>
      </c>
      <c r="B29541" s="4" t="s">
        <f>=HYPERLINK("http://anyluxury.ru/shop/elektronika/zaryadnye-ustroystva/zaryadnaya-stanciya-smart-nest-belaya-2111660/" , "21116.60 Зарядная станция Smart Nest, белая")</f>
      </c>
      <c r="C29541" s="4" t="n">
        <v>2490.00</v>
      </c>
      <c r="D29541" s="4"/>
    </row>
    <row collapsed="" customFormat="false" customHeight="1" hidden="" ht="14" outlineLevel="0" r="29542">
      <c r="A29542" s="3" t="inlineStr">
        <is>
          <t>29405</t>
        </is>
      </c>
      <c r="B29542" s="4" t="s">
        <f>=HYPERLINK("http://anyluxury.ru/shop/elektronika/zaryadnye-ustroystva/besprovodnoe-zaryadnoe-ustroystvo-15w-gloss-22166100/" , "22166.100 Беспроводное зарядное устройство 15W Gloss")</f>
      </c>
      <c r="C29542" s="4" t="n">
        <v>1500.00</v>
      </c>
      <c r="D29542" s="4"/>
    </row>
    <row collapsed="" customFormat="false" customHeight="1" hidden="" ht="14" outlineLevel="0" r="29543">
      <c r="A29543" s="3" t="inlineStr">
        <is>
          <t>29406</t>
        </is>
      </c>
      <c r="B29543" s="4" t="s">
        <f>=HYPERLINK("http://anyluxury.ru/shop/elektronika/zaryadnye-ustroystva/termokruzhka-s-krishkoy-dlya-kofe-iz-pererabotannogo-polipropilena-grs-300-ml-p433081/" , "P433.081 Термокружка с крышкой для кофе из переработанного полипропилена GRS, 300 мл")</f>
      </c>
      <c r="C29543" s="4" t="n">
        <v>929.00</v>
      </c>
      <c r="D29543" s="4"/>
    </row>
    <row collapsed="" customFormat="false" customHeight="1" hidden="" ht="14" outlineLevel="0" r="29544">
      <c r="A29544" s="3" t="inlineStr">
        <is>
          <t>29407</t>
        </is>
      </c>
      <c r="B29544" s="4" t="s">
        <f>=HYPERLINK("http://anyluxury.ru/shop/elektronika/zaryadnye-ustroystva/termokruzhka-s-krishkoy-dlya-kofe-iz-pererabotannogo-polipropilena-grs-300-ml-p433082/" , "P433.082 Термокружка с крышкой для кофе из переработанного полипропилена GRS, 300 мл")</f>
      </c>
      <c r="C29544" s="4" t="n">
        <v>929.00</v>
      </c>
      <c r="D29544" s="4"/>
    </row>
    <row collapsed="" customFormat="false" customHeight="1" hidden="" ht="14" outlineLevel="0" r="29545">
      <c r="A29545" s="3" t="inlineStr">
        <is>
          <t>29408</t>
        </is>
      </c>
      <c r="B29545" s="4" t="s">
        <f>=HYPERLINK("http://anyluxury.ru/shop/elektronika/zaryadnye-ustroystva/termokruzhka-s-krishkoy-dlya-kofe-iz-pererabotannogo-polipropilena-grs-300-ml-p433085/" , "P433.085 Термокружка с крышкой для кофе из переработанного полипропилена GRS, 300 мл")</f>
      </c>
      <c r="C29545" s="4" t="n">
        <v>929.00</v>
      </c>
      <c r="D29545" s="4"/>
    </row>
    <row collapsed="" customFormat="false" customHeight="1" hidden="" ht="14" outlineLevel="0" r="29546">
      <c r="A29546" s="3" t="inlineStr">
        <is>
          <t>29409</t>
        </is>
      </c>
      <c r="B29546" s="4" t="s">
        <f>=HYPERLINK("http://anyluxury.ru/shop/elektronika/zaryadnye-ustroystva/termokruzhka-s-krishkoy-dlya-kofe-iz-pererabotannogo-polipropilena-grs-300-ml-p433087/" , "P433.087 Термокружка с крышкой для кофе из переработанного полипропилена GRS, 300 мл")</f>
      </c>
      <c r="C29546" s="4" t="n">
        <v>929.00</v>
      </c>
      <c r="D29546" s="4"/>
    </row>
    <row collapsed="" customFormat="false" customHeight="1" hidden="" ht="14" outlineLevel="0" r="29547">
      <c r="A29547" s="3" t="inlineStr">
        <is>
          <t>29410</t>
        </is>
      </c>
      <c r="B29547" s="4" t="s">
        <f>=HYPERLINK("http://anyluxury.ru/shop/elektronika/zaryadnye-ustroystva/kabel-ontario-6v1-s-vidvizhnim-mehanizmom-iz-pererabotannogo-plastika-standart-rcs-p302373/" , "P302.373 Кабель Ontario 6-в-1 с выдвижным механизмом из переработанного пластика (стандарт RCS)")</f>
      </c>
      <c r="C29547" s="4" t="n">
        <v>999.00</v>
      </c>
      <c r="D29547" s="4"/>
    </row>
    <row collapsed="" customFormat="false" customHeight="1" hidden="" ht="14" outlineLevel="0" r="29548">
      <c r="A29548" s="3" t="inlineStr">
        <is>
          <t>29411</t>
        </is>
      </c>
      <c r="B29548" s="4" t="s">
        <f>=HYPERLINK("http://anyluxury.ru/shop/elektronika/zaryadnye-ustroystva/setevoe-zaryadnoe-ustroystvo-canyon-quick-charge-2302560/" , "23025.60 Сетевое зарядное устройство Canyon Quick Charge")</f>
      </c>
      <c r="C29548" s="4" t="n">
        <v>689.00</v>
      </c>
      <c r="D29548" s="4"/>
    </row>
    <row collapsed="" customFormat="false" customHeight="1" hidden="" ht="14" outlineLevel="0" r="29549">
      <c r="A29549" s="3" t="inlineStr">
        <is>
          <t>29412</t>
        </is>
      </c>
      <c r="B29549" s="4" t="s">
        <f>=HYPERLINK("http://anyluxury.ru/shop/elektronika/zaryadnye-ustroystva/zaryadnaya-stanciya-canyon-ws303-belaya-2001960/" , "20019.60 Зарядная станция Canyon WS-303, белая")</f>
      </c>
      <c r="C29549" s="4" t="n">
        <v>4690.00</v>
      </c>
      <c r="D29549" s="4"/>
    </row>
    <row collapsed="" customFormat="false" customHeight="1" hidden="" ht="14" outlineLevel="0" r="29550">
      <c r="A29550" s="3" t="inlineStr">
        <is>
          <t>29413</t>
        </is>
      </c>
      <c r="B29550" s="4" t="s">
        <f>=HYPERLINK("http://anyluxury.ru/shop/elektronika/zaryadnye-ustroystva/vyazanaya-shapka-s-otvorotom-impact-iz-polylanar-aware-p453391/" , "P453.391 Вязаная шапка с отворотом Impact из Polylana® AWARE™")</f>
      </c>
      <c r="C29550" s="4" t="n">
        <v>869.00</v>
      </c>
      <c r="D29550" s="4"/>
    </row>
    <row collapsed="" customFormat="false" customHeight="1" hidden="" ht="14" outlineLevel="0" r="29551">
      <c r="A29551" s="3" t="inlineStr">
        <is>
          <t>29414</t>
        </is>
      </c>
      <c r="B29551" s="4" t="s">
        <f>=HYPERLINK("http://anyluxury.ru/shop/elektronika/zaryadnye-ustroystva/vyazanaya-shapka-s-otvorotom-impact-iz-polylanar-aware-p453392/" , "P453.392 Вязаная шапка с отворотом Impact из Polylana® AWARE™")</f>
      </c>
      <c r="C29551" s="4" t="n">
        <v>869.00</v>
      </c>
      <c r="D29551" s="4"/>
    </row>
    <row collapsed="" customFormat="false" customHeight="1" hidden="" ht="14" outlineLevel="0" r="29552">
      <c r="A29552" s="3" t="inlineStr">
        <is>
          <t>29415</t>
        </is>
      </c>
      <c r="B29552" s="4" t="s">
        <f>=HYPERLINK("http://anyluxury.ru/shop/elektronika/zaryadnye-ustroystva/vyazanaya-shapka-s-otvorotom-impact-iz-polylanar-aware-p453395/" , "P453.395 Вязаная шапка с отворотом Impact из Polylana® AWARE™")</f>
      </c>
      <c r="C29552" s="4" t="n">
        <v>869.00</v>
      </c>
      <c r="D29552" s="4"/>
    </row>
    <row collapsed="" customFormat="false" customHeight="1" hidden="" ht="14" outlineLevel="0" r="29553">
      <c r="A29553" s="3" t="inlineStr">
        <is>
          <t>29416</t>
        </is>
      </c>
      <c r="B29553" s="4" t="s">
        <f>=HYPERLINK("http://anyluxury.ru/shop/elektronika/zaryadnye-ustroystva/vyazanaya-shapka-s-otvorotom-impact-iz-polylanar-aware-p453397/" , "P453.397 Вязаная шапка с отворотом Impact из Polylana® AWARE™")</f>
      </c>
      <c r="C29553" s="4" t="n">
        <v>869.00</v>
      </c>
      <c r="D29553" s="4"/>
    </row>
    <row collapsed="" customFormat="false" customHeight="1" hidden="" ht="14" outlineLevel="0" r="29554">
      <c r="A29554" s="3" t="inlineStr">
        <is>
          <t>29417</t>
        </is>
      </c>
      <c r="B29554" s="4" t="s">
        <f>=HYPERLINK("http://anyluxury.ru/shop/elektronika/zaryadnye-ustroystva/vyazaniy-sharf-impact-iz-polylanar-aware-180x25-sm-p453441/" , "P453.441 Вязаный шарф Impact из Polylana® AWARE™, 180x25 см")</f>
      </c>
      <c r="C29554" s="4" t="n">
        <v>2039.00</v>
      </c>
      <c r="D29554" s="4"/>
    </row>
    <row collapsed="" customFormat="false" customHeight="1" hidden="" ht="14" outlineLevel="0" r="29555">
      <c r="A29555" s="3" t="inlineStr">
        <is>
          <t>29418</t>
        </is>
      </c>
      <c r="B29555" s="4" t="s">
        <f>=HYPERLINK("http://anyluxury.ru/shop/elektronika/zaryadnye-ustroystva/vyazaniy-sharf-impact-iz-polylanar-aware-180x25-sm-p453442/" , "P453.442 Вязаный шарф Impact из Polylana® AWARE™, 180x25 см")</f>
      </c>
      <c r="C29555" s="4" t="n">
        <v>2039.00</v>
      </c>
      <c r="D29555" s="4"/>
    </row>
    <row collapsed="" customFormat="false" customHeight="1" hidden="" ht="14" outlineLevel="0" r="29556">
      <c r="A29556" s="3" t="inlineStr">
        <is>
          <t>29419</t>
        </is>
      </c>
      <c r="B29556" s="4" t="s">
        <f>=HYPERLINK("http://anyluxury.ru/shop/elektronika/zaryadnye-ustroystva/vyazaniy-sharf-impact-iz-polylanar-aware-180x25-sm-p453445/" , "P453.445 Вязаный шарф Impact из Polylana® AWARE™, 180x25 см")</f>
      </c>
      <c r="C29556" s="4" t="n">
        <v>2039.00</v>
      </c>
      <c r="D29556" s="4"/>
    </row>
    <row collapsed="" customFormat="false" customHeight="1" hidden="" ht="14" outlineLevel="0" r="29557">
      <c r="A29557" s="3" t="inlineStr">
        <is>
          <t>29420</t>
        </is>
      </c>
      <c r="B29557" s="4" t="s">
        <f>=HYPERLINK("http://anyluxury.ru/shop/elektronika/zaryadnye-ustroystva/vyazaniy-sharf-impact-iz-polylanar-aware-180x25-sm-p453447/" , "P453.447 Вязаный шарф Impact из Polylana® AWARE™, 180x25 см")</f>
      </c>
      <c r="C29557" s="4" t="n">
        <v>2039.00</v>
      </c>
      <c r="D29557" s="4"/>
    </row>
    <row collapsed="" customFormat="false" customHeight="1" hidden="" ht="14" outlineLevel="0" r="29558">
      <c r="A29558" s="3" t="inlineStr">
        <is>
          <t>29421</t>
        </is>
      </c>
      <c r="B29558" s="4" t="s">
        <f>=HYPERLINK("http://anyluxury.ru/shop/elektronika/zaryadnye-ustroystva/igrovoy-kovrik-dlya-mishi-s-rgbpodsvetkoy-p300201/" , "P300.201 Игровой коврик для мыши с RGB-подсветкой")</f>
      </c>
      <c r="C29558" s="4" t="n">
        <v>2559.00</v>
      </c>
      <c r="D29558" s="4"/>
    </row>
    <row collapsed="" customFormat="false" customHeight="1" hidden="" ht="14" outlineLevel="0" r="29559">
      <c r="A29559" s="3" t="inlineStr">
        <is>
          <t>29422</t>
        </is>
      </c>
      <c r="B29559" s="4" t="s">
        <f>=HYPERLINK("http://anyluxury.ru/shop/elektronika/zaryadnye-ustroystva/zaryadnoe-ustroystvo-canyon-h08-pd-s-razemom-typec-chernoe-2302630/" , "23026.30 Зарядное устройство Canyon H-08 PD с разъемом Type-C, черное")</f>
      </c>
      <c r="C29559" s="4" t="n">
        <v>1290.00</v>
      </c>
      <c r="D29559" s="4"/>
    </row>
    <row collapsed="" customFormat="false" customHeight="1" hidden="" ht="14" outlineLevel="0" r="29560">
      <c r="A29560" s="3" t="inlineStr">
        <is>
          <t>29423</t>
        </is>
      </c>
      <c r="B29560" s="4" t="s">
        <f>=HYPERLINK("http://anyluxury.ru/shop/elektronika/zaryadnye-ustroystva/termokruzhka-easy-lock-iz-pererabotannoy-nerzhaveyushhey-stali-rcs-300-ml-p435063/" , "P435.063 Термокружка Easy Lock из переработанной нержавеющей стали RCS, 300 мл")</f>
      </c>
      <c r="C29560" s="4" t="n">
        <v>1819.00</v>
      </c>
      <c r="D29560" s="4"/>
    </row>
    <row collapsed="" customFormat="false" customHeight="1" hidden="" ht="14" outlineLevel="0" r="29561">
      <c r="A29561" s="3" t="inlineStr">
        <is>
          <t>29424</t>
        </is>
      </c>
      <c r="B29561" s="4" t="s">
        <f>=HYPERLINK("http://anyluxury.ru/shop/elektronika/zaryadnye-ustroystva/termokruzhka-easy-lock-iz-pererabotannoy-nerzhaveyushhey-stali-rcs-300-ml-p435065/" , "P435.065 Термокружка Easy Lock из переработанной нержавеющей стали RCS, 300 мл")</f>
      </c>
      <c r="C29561" s="4" t="n">
        <v>1819.00</v>
      </c>
      <c r="D29561" s="4"/>
    </row>
    <row collapsed="" customFormat="false" customHeight="1" hidden="" ht="14" outlineLevel="0" r="29562">
      <c r="A29562" s="3" t="inlineStr">
        <is>
          <t>29425</t>
        </is>
      </c>
      <c r="B29562" s="4" t="s">
        <f>=HYPERLINK("http://anyluxury.ru/shop/elektronika/zaryadnye-ustroystva/termokruzhka-easy-lock-iz-pererabotannoy-nerzhaveyushhey-stali-rcs-300-ml-p435064/" , "P435.064 Термокружка Easy Lock из переработанной нержавеющей стали RCS, 300 мл")</f>
      </c>
      <c r="C29562" s="4" t="n">
        <v>1819.00</v>
      </c>
      <c r="D29562" s="4"/>
    </row>
    <row collapsed="" customFormat="false" customHeight="1" hidden="" ht="14" outlineLevel="0" r="29563">
      <c r="A29563" s="3" t="inlineStr">
        <is>
          <t>29426</t>
        </is>
      </c>
      <c r="B29563" s="4" t="s">
        <f>=HYPERLINK("http://anyluxury.ru/shop/elektronika/zaryadnye-ustroystva/termokruzhka-easy-lock-iz-pererabotannoy-nerzhaveyushhey-stali-rcs-300-ml-p435062/" , "P435.062 Термокружка Easy Lock из переработанной нержавеющей стали RCS, 300 мл")</f>
      </c>
      <c r="C29563" s="4" t="n">
        <v>1819.00</v>
      </c>
      <c r="D29563" s="4"/>
    </row>
    <row collapsed="" customFormat="false" customHeight="1" hidden="" ht="14" outlineLevel="0" r="29564">
      <c r="A29564" s="3" t="inlineStr">
        <is>
          <t>29427</t>
        </is>
      </c>
      <c r="B29564" s="4" t="s">
        <f>=HYPERLINK("http://anyluxury.ru/shop/elektronika/zaryadnye-ustroystva/termokruzhka-easy-lock-iz-pererabotannoy-nerzhaveyushhey-stali-rcs-300-ml-p435061/" , "P435.061 Термокружка Easy Lock из переработанной нержавеющей стали RCS, 300 мл")</f>
      </c>
      <c r="C29564" s="4" t="n">
        <v>1819.00</v>
      </c>
      <c r="D29564" s="4"/>
    </row>
    <row collapsed="" customFormat="false" customHeight="1" hidden="" ht="14" outlineLevel="0" r="29565">
      <c r="A29565" s="3" t="inlineStr">
        <is>
          <t>29428</t>
        </is>
      </c>
      <c r="B29565" s="4" t="s">
        <f>=HYPERLINK("http://anyluxury.ru/shop/elektronika/zaryadnye-ustroystva/termobutilka-avira-avior-iz-pererabotannoy-nerzhaveyushhey-stali-rcs-500-ml-p438001/" , "P438.001 Термобутылка Avira Avior из переработанной нержавеющей стали RCS, 500 мл")</f>
      </c>
      <c r="C29565" s="4" t="n">
        <v>2659.00</v>
      </c>
      <c r="D29565" s="4"/>
    </row>
    <row collapsed="" customFormat="false" customHeight="1" hidden="" ht="14" outlineLevel="0" r="29566">
      <c r="A29566" s="3" t="inlineStr">
        <is>
          <t>29429</t>
        </is>
      </c>
      <c r="B29566" s="4" t="s">
        <f>=HYPERLINK("http://anyluxury.ru/shop/elektronika/zaryadnye-ustroystva/termobutilka-avira-avior-iz-pererabotannoy-nerzhaveyushhey-stali-rcs-500-ml-p438002/" , "P438.002 Термобутылка Avira Avior из переработанной нержавеющей стали RCS, 500 мл")</f>
      </c>
      <c r="C29566" s="4" t="n">
        <v>2659.00</v>
      </c>
      <c r="D29566" s="4"/>
    </row>
    <row collapsed="" customFormat="false" customHeight="1" hidden="" ht="14" outlineLevel="0" r="29567">
      <c r="A29567" s="3" t="inlineStr">
        <is>
          <t>29430</t>
        </is>
      </c>
      <c r="B29567" s="4" t="s">
        <f>=HYPERLINK("http://anyluxury.ru/shop/elektronika/zaryadnye-ustroystva/termobutilka-avira-avior-iz-pererabotannoy-nerzhaveyushhey-stali-rcs-500-ml-p438003/" , "P438.003 Термобутылка Avira Avior из переработанной нержавеющей стали RCS, 500 мл")</f>
      </c>
      <c r="C29567" s="4" t="n">
        <v>2659.00</v>
      </c>
      <c r="D29567" s="4"/>
    </row>
    <row collapsed="" customFormat="false" customHeight="1" hidden="" ht="14" outlineLevel="0" r="29568">
      <c r="A29568" s="3" t="inlineStr">
        <is>
          <t>29431</t>
        </is>
      </c>
      <c r="B29568" s="4" t="s">
        <f>=HYPERLINK("http://anyluxury.ru/shop/elektronika/zaryadnye-ustroystva/termobutilka-avira-avior-iz-pererabotannoy-nerzhaveyushhey-stali-rcs-500-ml-p438005/" , "P438.005 Термобутылка Avira Avior из переработанной нержавеющей стали RCS, 500 мл")</f>
      </c>
      <c r="C29568" s="4" t="n">
        <v>2659.00</v>
      </c>
      <c r="D29568" s="4"/>
    </row>
    <row collapsed="" customFormat="false" customHeight="1" hidden="" ht="14" outlineLevel="0" r="29569">
      <c r="A29569" s="3" t="inlineStr">
        <is>
          <t>29432</t>
        </is>
      </c>
      <c r="B29569" s="4" t="s">
        <f>=HYPERLINK("http://anyluxury.ru/shop/elektronika/zaryadnye-ustroystva/termobutilka-avira-avior-iz-pererabotannoy-nerzhaveyushhey-stali-rcs-500-ml-p438007/" , "P438.007 Термобутылка Avira Avior из переработанной нержавеющей стали RCS, 500 мл")</f>
      </c>
      <c r="C29569" s="4" t="n">
        <v>2659.00</v>
      </c>
      <c r="D29569" s="4"/>
    </row>
    <row collapsed="" customFormat="false" customHeight="1" hidden="" ht="14" outlineLevel="0" r="29570">
      <c r="A29570" s="3" t="inlineStr">
        <is>
          <t>29433</t>
        </is>
      </c>
      <c r="B29570" s="4" t="s">
        <f>=HYPERLINK("http://anyluxury.ru/shop/elektronika/zaryadnye-ustroystva/termobutilka-avira-avior-iz-pererabotannoy-nerzhaveyushhey-stali-rcs-500-ml-p438009/" , "P438.009 Термобутылка Avira Avior из переработанной нержавеющей стали RCS, 500 мл")</f>
      </c>
      <c r="C29570" s="4" t="n">
        <v>2659.00</v>
      </c>
      <c r="D29570" s="4"/>
    </row>
    <row collapsed="" customFormat="false" customHeight="1" hidden="" ht="14" outlineLevel="0" r="29571">
      <c r="A29571" s="3" t="inlineStr">
        <is>
          <t>29434</t>
        </is>
      </c>
      <c r="B29571" s="4" t="s">
        <f>=HYPERLINK("http://anyluxury.ru/shop/elektronika/zaryadnye-ustroystva/butilka-dlya-vodi-avira-atik-iz-rpet-rcs-1-l-p438049/" , "P438.049 Бутылка для воды Avira Atik из rPET RCS, 1 л")</f>
      </c>
      <c r="C29571" s="4" t="n">
        <v>1689.00</v>
      </c>
      <c r="D29571" s="4"/>
    </row>
    <row collapsed="" customFormat="false" customHeight="1" hidden="" ht="14" outlineLevel="0" r="29572">
      <c r="A29572" s="3" t="inlineStr">
        <is>
          <t>29435</t>
        </is>
      </c>
      <c r="B29572" s="4" t="s">
        <f>=HYPERLINK("http://anyluxury.ru/shop/elektronika/zaryadnye-ustroystva/butilka-dlya-vodi-avira-atik-iz-rpet-rcs-1-l-p438047/" , "P438.047 Бутылка для воды Avira Atik из rPET RCS, 1 л")</f>
      </c>
      <c r="C29572" s="4" t="n">
        <v>1689.00</v>
      </c>
      <c r="D29572" s="4"/>
    </row>
    <row collapsed="" customFormat="false" customHeight="1" hidden="" ht="14" outlineLevel="0" r="29573">
      <c r="A29573" s="3" t="inlineStr">
        <is>
          <t>29436</t>
        </is>
      </c>
      <c r="B29573" s="4" t="s">
        <f>=HYPERLINK("http://anyluxury.ru/shop/elektronika/zaryadnye-ustroystva/butilka-dlya-vodi-avira-atik-iz-rpet-rcs-1-l-p438045/" , "P438.045 Бутылка для воды Avira Atik из rPET RCS, 1 л")</f>
      </c>
      <c r="C29573" s="4" t="n">
        <v>1689.00</v>
      </c>
      <c r="D29573" s="4"/>
    </row>
    <row collapsed="" customFormat="false" customHeight="1" hidden="" ht="14" outlineLevel="0" r="29574">
      <c r="A29574" s="3" t="inlineStr">
        <is>
          <t>29437</t>
        </is>
      </c>
      <c r="B29574" s="4" t="s">
        <f>=HYPERLINK("http://anyluxury.ru/shop/elektronika/zaryadnye-ustroystva/butilka-dlya-vodi-avira-atik-iz-rpet-rcs-1-l-p438043/" , "P438.043 Бутылка для воды Avira Atik из rPET RCS, 1 л")</f>
      </c>
      <c r="C29574" s="4" t="n">
        <v>1689.00</v>
      </c>
      <c r="D29574" s="4"/>
    </row>
    <row collapsed="" customFormat="false" customHeight="1" hidden="" ht="14" outlineLevel="0" r="29575">
      <c r="A29575" s="3" t="inlineStr">
        <is>
          <t>29438</t>
        </is>
      </c>
      <c r="B29575" s="4" t="s">
        <f>=HYPERLINK("http://anyluxury.ru/shop/elektronika/zaryadnye-ustroystva/butilka-dlya-vodi-avira-atik-iz-rpet-rcs-1-l-p438041/" , "P438.041 Бутылка для воды Avira Atik из rPET RCS, 1 л")</f>
      </c>
      <c r="C29575" s="4" t="n">
        <v>1689.00</v>
      </c>
      <c r="D29575" s="4"/>
    </row>
    <row collapsed="" customFormat="false" customHeight="1" hidden="" ht="14" outlineLevel="0" r="29576">
      <c r="A29576" s="3" t="inlineStr">
        <is>
          <t>29439</t>
        </is>
      </c>
      <c r="B29576" s="4" t="s">
        <f>=HYPERLINK("http://anyluxury.ru/shop/elektronika/zaryadnye-ustroystva/butilka-dlya-vodi-avira-atik-iz-rpet-rcs-1-l-p438040/" , "P438.040 Бутылка для воды Avira Atik из rPET RCS, 1 л")</f>
      </c>
      <c r="C29576" s="4" t="n">
        <v>1689.00</v>
      </c>
      <c r="D29576" s="4"/>
    </row>
    <row collapsed="" customFormat="false" customHeight="1" hidden="" ht="14" outlineLevel="0" r="29577">
      <c r="A29577" s="3" t="inlineStr">
        <is>
          <t>29440</t>
        </is>
      </c>
      <c r="B29577" s="4" t="s">
        <f>=HYPERLINK("http://anyluxury.ru/shop/elektronika/zaryadnye-ustroystva/termokruzhka-avira-alya-iz-pererabotannoy-nerzhaveyushhey-stali-rcs-300-ml-p438029/" , "P438.029 Термокружка Avira Alya из переработанной нержавеющей стали RCS, 300 мл")</f>
      </c>
      <c r="C29577" s="4" t="n">
        <v>2690.00</v>
      </c>
      <c r="D29577" s="4"/>
    </row>
    <row collapsed="" customFormat="false" customHeight="1" hidden="" ht="14" outlineLevel="0" r="29578">
      <c r="A29578" s="3" t="inlineStr">
        <is>
          <t>29441</t>
        </is>
      </c>
      <c r="B29578" s="4" t="s">
        <f>=HYPERLINK("http://anyluxury.ru/shop/elektronika/zaryadnye-ustroystva/termokruzhka-avira-alya-iz-pererabotannoy-nerzhaveyushhey-stali-rcs-300-ml-p438027/" , "P438.027 Термокружка Avira Alya из переработанной нержавеющей стали RCS, 300 мл")</f>
      </c>
      <c r="C29578" s="4" t="n">
        <v>2690.00</v>
      </c>
      <c r="D29578" s="4"/>
    </row>
    <row collapsed="" customFormat="false" customHeight="1" hidden="" ht="14" outlineLevel="0" r="29579">
      <c r="A29579" s="3" t="inlineStr">
        <is>
          <t>29442</t>
        </is>
      </c>
      <c r="B29579" s="4" t="s">
        <f>=HYPERLINK("http://anyluxury.ru/shop/elektronika/zaryadnye-ustroystva/termokruzhka-avira-alya-iz-pererabotannoy-nerzhaveyushhey-stali-rcs-300-ml-p438025/" , "P438.025 Термокружка Avira Alya из переработанной нержавеющей стали RCS, 300 мл")</f>
      </c>
      <c r="C29579" s="4" t="n">
        <v>2690.00</v>
      </c>
      <c r="D29579" s="4"/>
    </row>
    <row collapsed="" customFormat="false" customHeight="1" hidden="" ht="14" outlineLevel="0" r="29580">
      <c r="A29580" s="3" t="inlineStr">
        <is>
          <t>29443</t>
        </is>
      </c>
      <c r="B29580" s="4" t="s">
        <f>=HYPERLINK("http://anyluxury.ru/shop/elektronika/zaryadnye-ustroystva/termokruzhka-avira-alya-iz-pererabotannoy-nerzhaveyushhey-stali-rcs-300-ml-p438023/" , "P438.023 Термокружка Avira Alya из переработанной нержавеющей стали RCS, 300 мл")</f>
      </c>
      <c r="C29580" s="4" t="n">
        <v>2690.00</v>
      </c>
      <c r="D29580" s="4"/>
    </row>
    <row collapsed="" customFormat="false" customHeight="1" hidden="" ht="14" outlineLevel="0" r="29581">
      <c r="A29581" s="3" t="inlineStr">
        <is>
          <t>29444</t>
        </is>
      </c>
      <c r="B29581" s="4" t="s">
        <f>=HYPERLINK("http://anyluxury.ru/shop/elektronika/zaryadnye-ustroystva/termokruzhka-avira-alya-iz-pererabotannoy-nerzhaveyushhey-stali-rcs-300-ml-p438022/" , "P438.022 Термокружка Avira Alya из переработанной нержавеющей стали RCS, 300 мл")</f>
      </c>
      <c r="C29581" s="4" t="n">
        <v>2690.00</v>
      </c>
      <c r="D29581" s="4"/>
    </row>
    <row collapsed="" customFormat="false" customHeight="1" hidden="" ht="14" outlineLevel="0" r="29582">
      <c r="A29582" s="3" t="inlineStr">
        <is>
          <t>29445</t>
        </is>
      </c>
      <c r="B29582" s="4" t="s">
        <f>=HYPERLINK("http://anyluxury.ru/shop/elektronika/zaryadnye-ustroystva/termokruzhka-avira-alya-iz-pererabotannoy-nerzhaveyushhey-stali-rcs-300-ml-p438021/" , "P438.021 Термокружка Avira Alya из переработанной нержавеющей стали RCS, 300 мл")</f>
      </c>
      <c r="C29582" s="4" t="n">
        <v>2690.00</v>
      </c>
      <c r="D29582" s="4"/>
    </row>
    <row collapsed="" customFormat="false" customHeight="1" hidden="" ht="14" outlineLevel="0" r="29583">
      <c r="A29583" s="3" t="inlineStr">
        <is>
          <t>29446</t>
        </is>
      </c>
      <c r="B29583" s="4" t="s">
        <f>=HYPERLINK("http://anyluxury.ru/shop/elektronika/zaryadnye-ustroystva/besprovodnaya-kolonka-urban-vitamin-vallejo-s-zashhitoy-ipx7-iz-pererabotannogo-plastika-rcs-3-vt-p329481/" , "P329.481 Беспроводная колонка Urban Vitamin Vallejo с защитой IPX7 из переработанного пластика RCS, 3 Вт")</f>
      </c>
      <c r="C29583" s="4" t="n">
        <v>3590.00</v>
      </c>
      <c r="D29583" s="4"/>
    </row>
    <row collapsed="" customFormat="false" customHeight="1" hidden="" ht="14" outlineLevel="0" r="29584">
      <c r="A29584" s="3" t="inlineStr">
        <is>
          <t>29447</t>
        </is>
      </c>
      <c r="B29584" s="4" t="s">
        <f>=HYPERLINK("http://anyluxury.ru/shop/elektronika/zaryadnye-ustroystva/besprovodnie-naushniki-urban-vitamin-palo-alto-iz-pererabotannogo-plastika-rcs-p329491/" , "P329.491 Беспроводные наушники Urban Vitamin Palo Alto из переработанного пластика RCS")</f>
      </c>
      <c r="C29584" s="4" t="n">
        <v>7990.00</v>
      </c>
      <c r="D29584" s="4"/>
    </row>
    <row collapsed="" customFormat="false" customHeight="1" hidden="" ht="14" outlineLevel="0" r="29585">
      <c r="A29585" s="3" t="inlineStr">
        <is>
          <t>29448</t>
        </is>
      </c>
      <c r="B29585" s="4" t="s">
        <f>=HYPERLINK("http://anyluxury.ru/shop/elektronika/zaryadnye-ustroystva/termos-dlya-edi-miles-ot-vinga-1-l-50440/" , "50440 Термос для еды Miles от VINGA, 1 л")</f>
      </c>
      <c r="C29585" s="4" t="n">
        <v>2719.00</v>
      </c>
      <c r="D29585" s="4"/>
    </row>
    <row collapsed="" customFormat="false" customHeight="1" hidden="" ht="14" outlineLevel="0" r="29586">
      <c r="A29586" s="3" t="inlineStr">
        <is>
          <t>29449</t>
        </is>
      </c>
      <c r="B29586" s="4" t="s">
        <f>=HYPERLINK("http://anyluxury.ru/shop/elektronika/zaryadnye-ustroystva/butilka-dlya-vodi-vinga-lean-iz-tritana-600-ml-50863/" , "50863 Бутылка для воды VINGA Lean из тритана, 600 мл")</f>
      </c>
      <c r="C29586" s="4" t="n">
        <v>790.00</v>
      </c>
      <c r="D29586" s="4"/>
    </row>
    <row collapsed="" customFormat="false" customHeight="1" hidden="" ht="14" outlineLevel="0" r="29587">
      <c r="A29587" s="3" t="inlineStr">
        <is>
          <t>29450</t>
        </is>
      </c>
      <c r="B29587" s="4" t="s">
        <f>=HYPERLINK("http://anyluxury.ru/shop/elektronika/zaryadnye-ustroystva/butilka-dlya-vodi-vinga-lean-iz-nerzhaveyushhey-stali-550-ml-50960bk/" , "50960BK Бутылка для воды VINGA Lean из нержавеющей стали, 550 мл")</f>
      </c>
      <c r="C29587" s="4" t="n">
        <v>1069.00</v>
      </c>
      <c r="D29587" s="4"/>
    </row>
    <row collapsed="" customFormat="false" customHeight="1" hidden="" ht="14" outlineLevel="0" r="29588">
      <c r="A29588" s="3" t="inlineStr">
        <is>
          <t>29451</t>
        </is>
      </c>
      <c r="B29588" s="4" t="s">
        <f>=HYPERLINK("http://anyluxury.ru/shop/elektronika/zaryadnye-ustroystva/butilka-dlya-vodi-vinga-lean-iz-nerzhaveyushhey-stali-550-ml-50960db/" , "50960DB Бутылка для воды VINGA Lean из нержавеющей стали, 550 мл")</f>
      </c>
      <c r="C29588" s="4" t="n">
        <v>1069.00</v>
      </c>
      <c r="D29588" s="4"/>
    </row>
    <row collapsed="" customFormat="false" customHeight="1" hidden="" ht="14" outlineLevel="0" r="29589">
      <c r="A29589" s="3" t="inlineStr">
        <is>
          <t>29452</t>
        </is>
      </c>
      <c r="B29589" s="4" t="s">
        <f>=HYPERLINK("http://anyluxury.ru/shop/elektronika/zaryadnye-ustroystva/butilka-dlya-vodi-vinga-lean-iz-nerzhaveyushhey-stali-550-ml-50960dg/" , "50960DG Бутылка для воды VINGA Lean из нержавеющей стали, 550 мл")</f>
      </c>
      <c r="C29589" s="4" t="n">
        <v>1069.00</v>
      </c>
      <c r="D29589" s="4"/>
    </row>
    <row collapsed="" customFormat="false" customHeight="1" hidden="" ht="14" outlineLevel="0" r="29590">
      <c r="A29590" s="3" t="inlineStr">
        <is>
          <t>29453</t>
        </is>
      </c>
      <c r="B29590" s="4" t="s">
        <f>=HYPERLINK("http://anyluxury.ru/shop/elektronika/zaryadnye-ustroystva/butilka-dlya-vodi-vinga-lean-iz-nerzhaveyushhey-stali-550-ml-50960r/" , "50960R Бутылка для воды VINGA Lean из нержавеющей стали, 550 мл")</f>
      </c>
      <c r="C29590" s="4" t="n">
        <v>1069.00</v>
      </c>
      <c r="D29590" s="4"/>
    </row>
    <row collapsed="" customFormat="false" customHeight="1" hidden="" ht="14" outlineLevel="0" r="29591">
      <c r="A29591" s="3" t="inlineStr">
        <is>
          <t>29454</t>
        </is>
      </c>
      <c r="B29591" s="4" t="s">
        <f>=HYPERLINK("http://anyluxury.ru/shop/elektronika/zaryadnye-ustroystva/butilka-dlya-vodi-vinga-lean-iz-tritana-600-ml-50831/" , "50831 Бутылка для воды VINGA Lean из тритана, 600 мл")</f>
      </c>
      <c r="C29591" s="4" t="n">
        <v>790.00</v>
      </c>
      <c r="D29591" s="4"/>
    </row>
    <row collapsed="" customFormat="false" customHeight="1" hidden="" ht="14" outlineLevel="0" r="29592">
      <c r="A29592" s="3" t="inlineStr">
        <is>
          <t>29455</t>
        </is>
      </c>
      <c r="B29592" s="4" t="s">
        <f>=HYPERLINK("http://anyluxury.ru/shop/elektronika/zaryadnye-ustroystva/butilka-dlya-vodi-vinga-lean-iz-tritana-600-ml-50832/" , "50832 Бутылка для воды VINGA Lean из тритана, 600 мл")</f>
      </c>
      <c r="C29592" s="4" t="n">
        <v>790.00</v>
      </c>
      <c r="D29592" s="4"/>
    </row>
    <row collapsed="" customFormat="false" customHeight="1" hidden="" ht="14" outlineLevel="0" r="29593">
      <c r="A29593" s="3" t="inlineStr">
        <is>
          <t>29456</t>
        </is>
      </c>
      <c r="B29593" s="4" t="s">
        <f>=HYPERLINK("http://anyluxury.ru/shop/elektronika/zaryadnye-ustroystva/termokruzhka-vinga-otis-300-ml-5063/" , "5063 Термокружка VINGA Otis, 300 мл")</f>
      </c>
      <c r="C29593" s="4" t="n">
        <v>1719.00</v>
      </c>
      <c r="D29593" s="4"/>
    </row>
    <row collapsed="" customFormat="false" customHeight="1" hidden="" ht="14" outlineLevel="0" r="29594">
      <c r="A29594" s="3" t="inlineStr">
        <is>
          <t>29457</t>
        </is>
      </c>
      <c r="B29594" s="4" t="s">
        <f>=HYPERLINK("http://anyluxury.ru/shop/elektronika/zaryadnye-ustroystva/butilka-dlya-vodi-vinga-lean-iz-tritana-600-ml-50833/" , "50833 Бутылка для воды VINGA Lean из тритана, 600 мл")</f>
      </c>
      <c r="C29594" s="4" t="n">
        <v>790.00</v>
      </c>
      <c r="D29594" s="4"/>
    </row>
    <row collapsed="" customFormat="false" customHeight="1" hidden="" ht="14" outlineLevel="0" r="29595">
      <c r="A29595" s="3" t="inlineStr">
        <is>
          <t>29458</t>
        </is>
      </c>
      <c r="B29595" s="4" t="s">
        <f>=HYPERLINK("http://anyluxury.ru/shop/elektronika/zaryadnye-ustroystva/butilka-dlya-vodi-vinga-lean-iz-tritana-600-ml-50846/" , "50846 Бутылка для воды VINGA Lean из тритана, 600 мл")</f>
      </c>
      <c r="C29595" s="4" t="n">
        <v>790.00</v>
      </c>
      <c r="D29595" s="4"/>
    </row>
    <row collapsed="" customFormat="false" customHeight="1" hidden="" ht="14" outlineLevel="0" r="29596">
      <c r="A29596" s="3" t="inlineStr">
        <is>
          <t>29459</t>
        </is>
      </c>
      <c r="B29596" s="4" t="s">
        <f>=HYPERLINK("http://anyluxury.ru/shop/elektronika/zaryadnye-ustroystva/butilka-dlya-vodi-vinga-cott-iz-rpet-600-ml-102005/" , "102005 Бутылка для воды VINGA Cott из rPET, 600 мл")</f>
      </c>
      <c r="C29596" s="4" t="n">
        <v>699.00</v>
      </c>
      <c r="D29596" s="4"/>
    </row>
    <row collapsed="" customFormat="false" customHeight="1" hidden="" ht="14" outlineLevel="0" r="29597">
      <c r="A29597" s="3" t="inlineStr">
        <is>
          <t>29460</t>
        </is>
      </c>
      <c r="B29597" s="4" t="s">
        <f>=HYPERLINK("http://anyluxury.ru/shop/elektronika/zaryadnye-ustroystva/butilka-dlya-vodi-vinga-cott-iz-rpet-600-ml-102006/" , "102006 Бутылка для воды VINGA Cott из rPET, 600 мл")</f>
      </c>
      <c r="C29597" s="4" t="n">
        <v>699.00</v>
      </c>
      <c r="D29597" s="4"/>
    </row>
    <row collapsed="" customFormat="false" customHeight="1" hidden="" ht="14" outlineLevel="0" r="29598">
      <c r="A29598" s="3" t="inlineStr">
        <is>
          <t>29461</t>
        </is>
      </c>
      <c r="B29598" s="4" t="s">
        <f>=HYPERLINK("http://anyluxury.ru/shop/elektronika/zaryadnye-ustroystva/termokruzhka-vinga-otis-300-ml-5066/" , "5066 Термокружка VINGA Otis, 300 мл")</f>
      </c>
      <c r="C29598" s="4" t="n">
        <v>1719.00</v>
      </c>
      <c r="D29598" s="4"/>
    </row>
    <row collapsed="" customFormat="false" customHeight="1" hidden="" ht="14" outlineLevel="0" r="29599">
      <c r="A29599" s="3" t="inlineStr">
        <is>
          <t>29462</t>
        </is>
      </c>
      <c r="B29599" s="4" t="s">
        <f>=HYPERLINK("http://anyluxury.ru/shop/elektronika/zaryadnye-ustroystva/termokruzhka-vinga-otis-300-ml-5068/" , "5068 Термокружка VINGA Otis, 300 мл")</f>
      </c>
      <c r="C29599" s="4" t="n">
        <v>1719.00</v>
      </c>
      <c r="D29599" s="4"/>
    </row>
    <row collapsed="" customFormat="false" customHeight="1" hidden="" ht="14" outlineLevel="0" r="29600">
      <c r="A29600" s="3" t="inlineStr">
        <is>
          <t>29463</t>
        </is>
      </c>
      <c r="B29600" s="4" t="s">
        <f>=HYPERLINK("http://anyluxury.ru/shop/elektronika/zaryadnye-ustroystva/termokruzhka-vinga-otis-300-ml-5069/" , "5069 Термокружка VINGA Otis, 300 мл")</f>
      </c>
      <c r="C29600" s="4" t="n">
        <v>1719.00</v>
      </c>
      <c r="D29600" s="4"/>
    </row>
    <row collapsed="" customFormat="false" customHeight="1" hidden="" ht="14" outlineLevel="0" r="29601">
      <c r="A29601" s="3" t="inlineStr">
        <is>
          <t>29464</t>
        </is>
      </c>
      <c r="B29601" s="4" t="s">
        <f>=HYPERLINK("http://anyluxury.ru/shop/elektronika/zaryadnye-ustroystva/butilka-dlya-vodi-vinga-lean-iz-tritana-600-ml-50847/" , "50847 Бутылка для воды VINGA Lean из тритана, 600 мл")</f>
      </c>
      <c r="C29601" s="4" t="n">
        <v>790.00</v>
      </c>
      <c r="D29601" s="4"/>
    </row>
    <row collapsed="" customFormat="false" customHeight="1" hidden="" ht="14" outlineLevel="0" r="29602">
      <c r="A29602" s="3" t="inlineStr">
        <is>
          <t>29465</t>
        </is>
      </c>
      <c r="B29602" s="4" t="s">
        <f>=HYPERLINK("http://anyluxury.ru/shop/elektronika/zaryadnye-ustroystva/butilka-dlya-vodi-vinga-lean-iz-tritana-600-ml-50849/" , "50849 Бутылка для воды VINGA Lean из тритана, 600 мл")</f>
      </c>
      <c r="C29602" s="4" t="n">
        <v>790.00</v>
      </c>
      <c r="D29602" s="4"/>
    </row>
    <row collapsed="" customFormat="false" customHeight="1" hidden="" ht="14" outlineLevel="0" r="29603">
      <c r="A29603" s="3" t="inlineStr">
        <is>
          <t>29466</t>
        </is>
      </c>
      <c r="B29603" s="4" t="s">
        <f>=HYPERLINK("http://anyluxury.ru/shop/elektronika/zaryadnye-ustroystva/butilka-dlya-vodi-vinga-lean-iz-tritana-600-ml-50862/" , "50862 Бутылка для воды VINGA Lean из тритана, 600 мл")</f>
      </c>
      <c r="C29603" s="4" t="n">
        <v>790.00</v>
      </c>
      <c r="D29603" s="4"/>
    </row>
    <row collapsed="" customFormat="false" customHeight="1" hidden="" ht="14" outlineLevel="0" r="29604">
      <c r="A29604" s="3" t="inlineStr">
        <is>
          <t>29467</t>
        </is>
      </c>
      <c r="B29604" s="4" t="s">
        <f>=HYPERLINK("http://anyluxury.ru/shop/elektronika/zaryadnye-ustroystva/besprovodnaya-kolonka-lightboom-iz-pererabotannogo-plastika-rcs-s-karabinom-5-vt-p329421/" , "P329.421 Беспроводная колонка Lightboom из переработанного пластика RCS с карабином, 5 Вт")</f>
      </c>
      <c r="C29604" s="4" t="n">
        <v>3090.00</v>
      </c>
      <c r="D29604" s="4"/>
    </row>
    <row collapsed="" customFormat="false" customHeight="1" hidden="" ht="14" outlineLevel="0" r="29605">
      <c r="A29605" s="3" t="inlineStr">
        <is>
          <t>29468</t>
        </is>
      </c>
      <c r="B29605" s="4" t="s">
        <f>=HYPERLINK("http://anyluxury.ru/shop/elektronika/zaryadnye-ustroystva/besprovodnaya-kolonka-lightboom-iz-pererabotannogo-plastika-rcs-5-vt-p329461/" , "P329.461 Беспроводная колонка Lightboom из переработанного пластика RCS, 5 Вт")</f>
      </c>
      <c r="C29605" s="4" t="n">
        <v>4300.00</v>
      </c>
      <c r="D29605" s="4"/>
    </row>
    <row collapsed="" customFormat="false" customHeight="1" hidden="" ht="14" outlineLevel="0" r="29606">
      <c r="A29606" s="3" t="inlineStr">
        <is>
          <t>29469</t>
        </is>
      </c>
      <c r="B29606" s="4" t="s">
        <f>=HYPERLINK("http://anyluxury.ru/shop/elektronika/zaryadnye-ustroystva/kolonka-3-vt-s-funkciey-besprovodnoy-zaryadki-5-vt-iz-pererabotannogo-plastika-rcs-i-bambuka-fscr-p329969/" , "P329.969 Колонка 3 Вт с функцией беспроводной зарядки 5 Вт из переработанного пластика RCS и бамбука FSC®")</f>
      </c>
      <c r="C29606" s="4" t="n">
        <v>5050.00</v>
      </c>
      <c r="D29606" s="4"/>
    </row>
    <row collapsed="" customFormat="false" customHeight="1" hidden="" ht="14" outlineLevel="0" r="29607">
      <c r="A29607" s="3" t="inlineStr">
        <is>
          <t>29470</t>
        </is>
      </c>
      <c r="B29607" s="4" t="s">
        <f>=HYPERLINK("http://anyluxury.ru/shop/elektronika/zaryadnye-ustroystva/beysbolka-impact-iz-pererabotannogo-hlopka-aware-6-klinev-280-gm-p453460/" , "P453.460 Бейсболка Impact из переработанного хлопка AWARE™, 6 клиньев, 280 г/м²")</f>
      </c>
      <c r="C29607" s="4" t="n">
        <v>549.00</v>
      </c>
      <c r="D29607" s="4"/>
    </row>
    <row collapsed="" customFormat="false" customHeight="1" hidden="" ht="14" outlineLevel="0" r="29608">
      <c r="A29608" s="3" t="inlineStr">
        <is>
          <t>29471</t>
        </is>
      </c>
      <c r="B29608" s="4" t="s">
        <f>=HYPERLINK("http://anyluxury.ru/shop/elektronika/zaryadnye-ustroystva/beysbolka-impact-iz-pererabotannogo-hlopka-aware-6-klinev-280-gm-p453464/" , "P453.464 Бейсболка Impact из переработанного хлопка AWARE™, 6 клиньев, 280 г/м²")</f>
      </c>
      <c r="C29608" s="4" t="n">
        <v>549.00</v>
      </c>
      <c r="D29608" s="4"/>
    </row>
    <row collapsed="" customFormat="false" customHeight="1" hidden="" ht="14" outlineLevel="0" r="29609">
      <c r="A29609" s="3" t="inlineStr">
        <is>
          <t>29472</t>
        </is>
      </c>
      <c r="B29609" s="4" t="s">
        <f>=HYPERLINK("http://anyluxury.ru/shop/elektronika/zaryadnye-ustroystva/beysbolka-impact-iz-pererabotannogo-hlopka-aware-6-klinev-280-gm-p453465/" , "P453.465 Бейсболка Impact из переработанного хлопка AWARE™, 6 клиньев, 280 г/м²")</f>
      </c>
      <c r="C29609" s="4" t="n">
        <v>549.00</v>
      </c>
      <c r="D29609" s="4"/>
    </row>
    <row collapsed="" customFormat="false" customHeight="1" hidden="" ht="14" outlineLevel="0" r="29610">
      <c r="A29610" s="3" t="inlineStr">
        <is>
          <t>29473</t>
        </is>
      </c>
      <c r="B29610" s="4" t="s">
        <f>=HYPERLINK("http://anyluxury.ru/shop/elektronika/zaryadnye-ustroystva/beysbolka-impact-iz-pererabotannogo-hlopka-aware-6-klinev-280-gm-p453467/" , "P453.467 Бейсболка Impact из переработанного хлопка AWARE™, 6 клиньев, 280 г/м²")</f>
      </c>
      <c r="C29610" s="4" t="n">
        <v>549.00</v>
      </c>
      <c r="D29610" s="4"/>
    </row>
    <row collapsed="" customFormat="false" customHeight="1" hidden="" ht="14" outlineLevel="0" r="29611">
      <c r="A29611" s="3" t="inlineStr">
        <is>
          <t>29474</t>
        </is>
      </c>
      <c r="B29611" s="4" t="s">
        <f>=HYPERLINK("http://anyluxury.ru/shop/elektronika/zaryadnye-ustroystva/beysbolka-impact-iz-pererabotannogo-hlopka-aware-6-klinev-280-gm-p453468/" , "P453.468 Бейсболка Impact из переработанного хлопка AWARE™, 6 клиньев, 280 г/м²")</f>
      </c>
      <c r="C29611" s="4" t="n">
        <v>549.00</v>
      </c>
      <c r="D29611" s="4"/>
    </row>
    <row collapsed="" customFormat="false" customHeight="1" hidden="" ht="14" outlineLevel="0" r="29612">
      <c r="A29612" s="3" t="inlineStr">
        <is>
          <t>29475</t>
        </is>
      </c>
      <c r="B29612" s="4" t="s">
        <f>=HYPERLINK("http://anyluxury.ru/shop/elektronika/zaryadnye-ustroystva/ruchka-s-korpusom-iz-pererabotannoy-bumagi-fscr-p611111/" , "P611.111 Ручка с корпусом из переработанной бумаги FSC®")</f>
      </c>
      <c r="C29612" s="4" t="n">
        <v>67.00</v>
      </c>
      <c r="D29612" s="4"/>
    </row>
    <row collapsed="" customFormat="false" customHeight="1" hidden="" ht="14" outlineLevel="0" r="29613">
      <c r="A29613" s="3" t="inlineStr">
        <is>
          <t>29476</t>
        </is>
      </c>
      <c r="B29613" s="4" t="s">
        <f>=HYPERLINK("http://anyluxury.ru/shop/elektronika/zaryadnye-ustroystva/ruchka-s-korpusom-iz-pererabotannoy-bumagi-fscr-p611112/" , "P611.112 Ручка с корпусом из переработанной бумаги FSC®")</f>
      </c>
      <c r="C29613" s="4" t="n">
        <v>67.00</v>
      </c>
      <c r="D29613" s="4"/>
    </row>
    <row collapsed="" customFormat="false" customHeight="1" hidden="" ht="14" outlineLevel="0" r="29614">
      <c r="A29614" s="3" t="inlineStr">
        <is>
          <t>29477</t>
        </is>
      </c>
      <c r="B29614" s="4" t="s">
        <f>=HYPERLINK("http://anyluxury.ru/shop/elektronika/zaryadnye-ustroystva/ruchka-s-korpusom-iz-pererabotannoy-bumagi-fscr-p611113/" , "P611.113 Ручка с корпусом из переработанной бумаги FSC®")</f>
      </c>
      <c r="C29614" s="4" t="n">
        <v>67.00</v>
      </c>
      <c r="D29614" s="4"/>
    </row>
    <row collapsed="" customFormat="false" customHeight="1" hidden="" ht="14" outlineLevel="0" r="29615">
      <c r="A29615" s="3" t="inlineStr">
        <is>
          <t>29478</t>
        </is>
      </c>
      <c r="B29615" s="4" t="s">
        <f>=HYPERLINK("http://anyluxury.ru/shop/elektronika/zaryadnye-ustroystva/ruchka-s-korpusom-iz-pererabotannoy-bumagi-fscr-p611115/" , "P611.115 Ручка с корпусом из переработанной бумаги FSC®")</f>
      </c>
      <c r="C29615" s="4" t="n">
        <v>67.00</v>
      </c>
      <c r="D29615" s="4"/>
    </row>
    <row collapsed="" customFormat="false" customHeight="1" hidden="" ht="14" outlineLevel="0" r="29616">
      <c r="A29616" s="3" t="inlineStr">
        <is>
          <t>29479</t>
        </is>
      </c>
      <c r="B29616" s="4" t="s">
        <f>=HYPERLINK("http://anyluxury.ru/shop/elektronika/zaryadnye-ustroystva/ruchka-s-korpusom-iz-pererabotannoy-bumagi-fscr-p611117/" , "P611.117 Ручка с корпусом из переработанной бумаги FSC®")</f>
      </c>
      <c r="C29616" s="4" t="n">
        <v>67.00</v>
      </c>
      <c r="D29616" s="4"/>
    </row>
    <row collapsed="" customFormat="false" customHeight="1" hidden="" ht="14" outlineLevel="0" r="29617">
      <c r="A29617" s="3" t="inlineStr">
        <is>
          <t>29480</t>
        </is>
      </c>
      <c r="B29617" s="4" t="s">
        <f>=HYPERLINK("http://anyluxury.ru/shop/elektronika/zaryadnye-ustroystva/shapka-impact-iz-polylanar-aware-s-otvorotom-p453480/" , "P453.480 Шапка Impact из Polylana® AWARE™ с отворотом")</f>
      </c>
      <c r="C29617" s="4" t="n">
        <v>590.00</v>
      </c>
      <c r="D29617" s="4"/>
    </row>
    <row collapsed="" customFormat="false" customHeight="1" hidden="" ht="14" outlineLevel="0" r="29618">
      <c r="A29618" s="3" t="inlineStr">
        <is>
          <t>29481</t>
        </is>
      </c>
      <c r="B29618" s="4" t="s">
        <f>=HYPERLINK("http://anyluxury.ru/shop/elektronika/zaryadnye-ustroystva/shapka-impact-iz-polylanar-aware-s-otvorotom-p453484/" , "P453.484 Шапка Impact из Polylana® AWARE™ с отворотом")</f>
      </c>
      <c r="C29618" s="4" t="n">
        <v>590.00</v>
      </c>
      <c r="D29618" s="4"/>
    </row>
    <row collapsed="" customFormat="false" customHeight="1" hidden="" ht="14" outlineLevel="0" r="29619">
      <c r="A29619" s="3" t="inlineStr">
        <is>
          <t>29482</t>
        </is>
      </c>
      <c r="B29619" s="4" t="s">
        <f>=HYPERLINK("http://anyluxury.ru/shop/elektronika/zaryadnye-ustroystva/shapka-impact-iz-polylanar-aware-s-otvorotom-p453485/" , "P453.485 Шапка Impact из Polylana® AWARE™ с отворотом")</f>
      </c>
      <c r="C29619" s="4" t="n">
        <v>590.00</v>
      </c>
      <c r="D29619" s="4"/>
    </row>
    <row collapsed="" customFormat="false" customHeight="1" hidden="" ht="14" outlineLevel="0" r="29620">
      <c r="A29620" s="3" t="inlineStr">
        <is>
          <t>29483</t>
        </is>
      </c>
      <c r="B29620" s="4" t="s">
        <f>=HYPERLINK("http://anyluxury.ru/shop/elektronika/zaryadnye-ustroystva/shapka-impact-iz-polylanar-aware-s-otvorotom-p453487/" , "P453.487 Шапка Impact из Polylana® AWARE™ с отворотом")</f>
      </c>
      <c r="C29620" s="4" t="n">
        <v>590.00</v>
      </c>
      <c r="D29620" s="4"/>
    </row>
    <row collapsed="" customFormat="false" customHeight="1" hidden="" ht="14" outlineLevel="0" r="29621">
      <c r="A29621" s="3" t="inlineStr">
        <is>
          <t>29484</t>
        </is>
      </c>
      <c r="B29621" s="4" t="s">
        <f>=HYPERLINK("http://anyluxury.ru/shop/elektronika/zaryadnye-ustroystva/shapka-impact-iz-polylanar-aware-s-otvorotom-p453488/" , "P453.488 Шапка Impact из Polylana® AWARE™ с отворотом")</f>
      </c>
      <c r="C29621" s="4" t="n">
        <v>590.00</v>
      </c>
      <c r="D29621" s="4"/>
    </row>
    <row collapsed="" customFormat="false" customHeight="1" hidden="" ht="14" outlineLevel="0" r="29622">
      <c r="A29622" s="3" t="inlineStr">
        <is>
          <t>29485</t>
        </is>
      </c>
      <c r="B29622" s="4" t="s">
        <f>=HYPERLINK("http://anyluxury.ru/shop/elektronika/zaryadnye-ustroystva/vneshniy-akkumulyator-terra-iz-pererabotannogo-alyuminiya-rcs-5000-mach-p322682/" , "P322.682 Внешний аккумулятор Terra из переработанного алюминия RCS, 5000 мАч")</f>
      </c>
      <c r="C29622" s="4" t="n">
        <v>3050.00</v>
      </c>
      <c r="D29622" s="4"/>
    </row>
    <row collapsed="" customFormat="false" customHeight="1" hidden="" ht="14" outlineLevel="0" r="29623">
      <c r="A29623" s="3" t="inlineStr">
        <is>
          <t>29486</t>
        </is>
      </c>
      <c r="B29623" s="4" t="s">
        <f>=HYPERLINK("http://anyluxury.ru/shop/elektronika/zaryadnye-ustroystva/panama-impact-iz-pererabotannogo-neokrashennogo-kanvasa-aware-285-gm-p453085/" , "P453.085 Панама Impact из переработанного неокрашенного канваса Aware™, 285 г/м²")</f>
      </c>
      <c r="C29623" s="4" t="n">
        <v>1199.00</v>
      </c>
      <c r="D29623" s="4"/>
    </row>
    <row collapsed="" customFormat="false" customHeight="1" hidden="" ht="14" outlineLevel="0" r="29624">
      <c r="A29624" s="3" t="inlineStr">
        <is>
          <t>29487</t>
        </is>
      </c>
      <c r="B29624" s="4" t="s">
        <f>=HYPERLINK("http://anyluxury.ru/shop/elektronika/zaryadnye-ustroystva/panama-impact-iz-pererabotannogo-neokrashennogo-kanvasa-aware-285-gm-p453082/" , "P453.082 Панама Impact из переработанного неокрашенного канваса Aware™, 285 г/м²")</f>
      </c>
      <c r="C29624" s="4" t="n">
        <v>1199.00</v>
      </c>
      <c r="D29624" s="4"/>
    </row>
    <row collapsed="" customFormat="false" customHeight="1" hidden="" ht="14" outlineLevel="0" r="29625">
      <c r="A29625" s="3" t="inlineStr">
        <is>
          <t>29488</t>
        </is>
      </c>
      <c r="B29625" s="4" t="s">
        <f>=HYPERLINK("http://anyluxury.ru/shop/elektronika/zaryadnye-ustroystva/panama-impact-iz-pererabotannogo-neokrashennogo-kanvasa-aware-285-gm-p453081/" , "P453.081 Панама Impact из переработанного неокрашенного канваса Aware™, 285 г/м²")</f>
      </c>
      <c r="C29625" s="4" t="n">
        <v>1199.00</v>
      </c>
      <c r="D29625" s="4"/>
    </row>
    <row collapsed="" customFormat="false" customHeight="1" hidden="" ht="14" outlineLevel="0" r="29626">
      <c r="A29626" s="3" t="inlineStr">
        <is>
          <t>29489</t>
        </is>
      </c>
      <c r="B29626" s="4" t="s">
        <f>=HYPERLINK("http://anyluxury.ru/shop/elektronika/zaryadnye-ustroystva/panama-impact-iz-pererabotannogo-neokrashennogo-kanvasa-aware-285-gm-p453080/" , "P453.080 Панама Impact из переработанного неокрашенного канваса Aware™, 285 г/м²")</f>
      </c>
      <c r="C29626" s="4" t="n">
        <v>1199.00</v>
      </c>
      <c r="D29626" s="4"/>
    </row>
    <row collapsed="" customFormat="false" customHeight="1" hidden="" ht="14" outlineLevel="0" r="29627">
      <c r="A29627" s="3" t="inlineStr">
        <is>
          <t>29490</t>
        </is>
      </c>
      <c r="B29627" s="4" t="s">
        <f>=HYPERLINK("http://anyluxury.ru/shop/elektronika/zaryadnye-ustroystva/avtomobilniy-derzhatel-dlya-telefona-iz-pererabotannogo-plastika-rcs-s-besprovodnoy-zaryadkoy-10-vt-p302561/" , "P302.561 Автомобильный держатель для телефона из переработанного пластика RCS с беспроводной зарядкой, 10 Вт")</f>
      </c>
      <c r="C29627" s="4" t="n">
        <v>2169.00</v>
      </c>
      <c r="D29627" s="4"/>
    </row>
    <row collapsed="" customFormat="false" customHeight="1" hidden="" ht="14" outlineLevel="0" r="29628">
      <c r="A29628" s="3" t="inlineStr">
        <is>
          <t>29491</t>
        </is>
      </c>
      <c r="B29628" s="4" t="s">
        <f>=HYPERLINK("http://anyluxury.ru/shop/elektronika/zaryadnye-ustroystva/vechniy-karandash-iz-bambuka-fscr-s-lastikom-p611099/" , "P611.099 Вечный карандаш из бамбука FSC® с ластиком")</f>
      </c>
      <c r="C29628" s="4" t="n">
        <v>159.00</v>
      </c>
      <c r="D29628" s="4"/>
    </row>
    <row collapsed="" customFormat="false" customHeight="1" hidden="" ht="14" outlineLevel="0" r="29629">
      <c r="A29629" s="3" t="inlineStr">
        <is>
          <t>29492</t>
        </is>
      </c>
      <c r="B29629" s="4" t="s">
        <f>=HYPERLINK("http://anyluxury.ru/shop/elektronika/zaryadnye-ustroystva/vneshniy-akkumulyator-terra-iz-pererabotannogo-alyuminiya-rcs-s-bistroy-zaryadkoy-18-vt-10-vt-10-000-m-p322652/" , "P322.652 Внешний аккумулятор Terra с беспроводной зарядкой 10 Вт и PD 18 Вт, 10 000 мАч")</f>
      </c>
      <c r="C29629" s="4" t="n">
        <v>4600.00</v>
      </c>
      <c r="D29629" s="4"/>
    </row>
    <row collapsed="" customFormat="false" customHeight="1" hidden="" ht="14" outlineLevel="0" r="29630">
      <c r="A29630" s="3" t="inlineStr">
        <is>
          <t>29493</t>
        </is>
      </c>
      <c r="B29630" s="4" t="s">
        <f>=HYPERLINK("http://anyluxury.ru/shop/elektronika/zaryadnye-ustroystva/dokstanciya-bamboo-fscr-dlya-besprovodnoy-zaryadki-10-vt-p308379/" , "P308.379 Док-станция Bamboo FSC® для беспроводной зарядки, 10 Вт")</f>
      </c>
      <c r="C29630" s="4" t="n">
        <v>1890.00</v>
      </c>
      <c r="D29630" s="4"/>
    </row>
    <row collapsed="" customFormat="false" customHeight="1" hidden="" ht="14" outlineLevel="0" r="29631">
      <c r="A29631" s="3" t="inlineStr">
        <is>
          <t>29494</t>
        </is>
      </c>
      <c r="B29631" s="4" t="s">
        <f>=HYPERLINK("http://anyluxury.ru/shop/elektronika/zaryadnye-ustroystva/dokstanciya-bamboo-fscr-dlya-besprovodnoy-zaryadki-15-vt-p308389/" , "P308.389 Док-станция Bamboo FSC® для беспроводной зарядки, 15 Вт")</f>
      </c>
      <c r="C29631" s="4" t="n">
        <v>1569.00</v>
      </c>
      <c r="D29631" s="4"/>
    </row>
    <row collapsed="" customFormat="false" customHeight="1" hidden="" ht="14" outlineLevel="0" r="29632">
      <c r="A29632" s="3" t="inlineStr">
        <is>
          <t>29495</t>
        </is>
      </c>
      <c r="B29632" s="4" t="s">
        <f>=HYPERLINK("http://anyluxury.ru/shop/elektronika/zaryadnye-ustroystva/dokstanciya-bamboo-fscr-dlya-besprovodnoy-zaryadki-5-vt-p308149/" , "P308.149 Док-станция Bamboo FSC® для беспроводной зарядки, 5 Вт")</f>
      </c>
      <c r="C29632" s="4" t="n">
        <v>1399.00</v>
      </c>
      <c r="D29632" s="4"/>
    </row>
    <row collapsed="" customFormat="false" customHeight="1" hidden="" ht="14" outlineLevel="0" r="29633">
      <c r="A29633" s="3" t="inlineStr">
        <is>
          <t>29496</t>
        </is>
      </c>
      <c r="B29633" s="4" t="s">
        <f>=HYPERLINK("http://anyluxury.ru/shop/elektronika/zaryadnye-ustroystva/dokstanciya-bamboo-fscr-dlya-besprovodnoy-zaryadki-5-vt-p308359/" , "P308.359 Док-станция Bamboo FSC® для беспроводной зарядки, 5 Вт")</f>
      </c>
      <c r="C29633" s="4" t="n">
        <v>2089.00</v>
      </c>
      <c r="D29633" s="4"/>
    </row>
    <row collapsed="" customFormat="false" customHeight="1" hidden="" ht="14" outlineLevel="0" r="29634">
      <c r="A29634" s="3" t="inlineStr">
        <is>
          <t>29497</t>
        </is>
      </c>
      <c r="B29634" s="4" t="s">
        <f>=HYPERLINK("http://anyluxury.ru/shop/elektronika/zaryadnye-ustroystva/dokstanciya-ontario-2v1-s-organayzerom-iz-pererabotannogo-plastika-rcs-10-vt-p308423/" , "P308.423 Док-станция Ontario 2-в-1 с органайзером из переработанного пластика RCS, 10 Вт")</f>
      </c>
      <c r="C29634" s="4" t="n">
        <v>3999.00</v>
      </c>
      <c r="D29634" s="4"/>
    </row>
    <row collapsed="" customFormat="false" customHeight="1" hidden="" ht="14" outlineLevel="0" r="29635">
      <c r="A29635" s="3" t="inlineStr">
        <is>
          <t>29498</t>
        </is>
      </c>
      <c r="B29635" s="4" t="s">
        <f>=HYPERLINK("http://anyluxury.ru/shop/elektronika/zaryadnye-ustroystva/dokstanciya-terra-iz-pererabotannogo-alyuminiya-rcs-10-vt-p308672/" , "P308.672 Док-станция Terra из переработанного алюминия RCS, 10 Вт")</f>
      </c>
      <c r="C29635" s="4" t="n">
        <v>2399.00</v>
      </c>
      <c r="D29635" s="4"/>
    </row>
    <row collapsed="" customFormat="false" customHeight="1" hidden="" ht="14" outlineLevel="0" r="29636">
      <c r="A29636" s="3" t="inlineStr">
        <is>
          <t>29499</t>
        </is>
      </c>
      <c r="B29636" s="4" t="s">
        <f>=HYPERLINK("http://anyluxury.ru/shop/elektronika/zaryadnye-ustroystva/dokstanciya-iz-pererabotannogo-plastika-rcs-dlya-bistroy-zaryadki-15-vt-p308431/" , "P308.431 Док-станция из переработанного пластика RCS для быстрой зарядки, 15 Вт")</f>
      </c>
      <c r="C29636" s="4" t="n">
        <v>1590.00</v>
      </c>
      <c r="D29636" s="4"/>
    </row>
    <row collapsed="" customFormat="false" customHeight="1" hidden="" ht="14" outlineLevel="0" r="29637">
      <c r="A29637" s="3" t="inlineStr">
        <is>
          <t>29500</t>
        </is>
      </c>
      <c r="B29637" s="4" t="s">
        <f>=HYPERLINK("http://anyluxury.ru/shop/elektronika/zaryadnye-ustroystva/dokstanciya-iz-pererabotannogo-plastika-rcs-dlya-bistroy-zaryadki-15-vt-p308433/" , "P308.433 Док-станция из переработанного пластика RCS для быстрой зарядки, 15 Вт")</f>
      </c>
      <c r="C29637" s="4" t="n">
        <v>1590.00</v>
      </c>
      <c r="D29637" s="4"/>
    </row>
    <row collapsed="" customFormat="false" customHeight="1" hidden="" ht="14" outlineLevel="0" r="29638">
      <c r="A29638" s="3" t="inlineStr">
        <is>
          <t>29501</t>
        </is>
      </c>
      <c r="B29638" s="4" t="s">
        <f>=HYPERLINK("http://anyluxury.ru/shop/elektronika/zaryadnye-ustroystva/kruglaya-dokstanciya-bamboo-fscr-dlya-besprovodnoy-zaryadki-5-vt-p308229/" , "P308.229 Круглая док-станция Bamboo FSC® для беспроводной зарядки, 5 Вт")</f>
      </c>
      <c r="C29638" s="4" t="n">
        <v>1279.00</v>
      </c>
      <c r="D29638" s="4"/>
    </row>
    <row collapsed="" customFormat="false" customHeight="1" hidden="" ht="14" outlineLevel="0" r="29639">
      <c r="A29639" s="3" t="inlineStr">
        <is>
          <t>29502</t>
        </is>
      </c>
      <c r="B29639" s="4" t="s">
        <f>=HYPERLINK("http://anyluxury.ru/shop/elektronika/zaryadnye-ustroystva/besprovodnaya-zaryadnaya-stanciya-3v1-15w-cube-wireless-magnetic-22164100/" , "22164.100 Беспроводная зарядная станция 3в1 15W Cube Wireless Magnetic")</f>
      </c>
      <c r="C29639" s="4" t="n">
        <v>5141.00</v>
      </c>
      <c r="D29639" s="4"/>
    </row>
    <row collapsed="" customFormat="false" customHeight="1" hidden="" ht="14" outlineLevel="0" r="29640">
      <c r="A29640" s="3" t="inlineStr">
        <is>
          <t>29503</t>
        </is>
      </c>
      <c r="B29640" s="4" t="s">
        <f>=HYPERLINK("http://anyluxury.ru/shop/elektronika/zaryadnye-ustroystva/besprovodnoe-zaryadnoe-ustroystvo-10w-omega-22165100/" , "22165.100 Беспроводное зарядное устройство 10W Omega")</f>
      </c>
      <c r="C29640" s="4" t="n">
        <v>1296.00</v>
      </c>
      <c r="D29640" s="4"/>
    </row>
    <row collapsed="" customFormat="false" customHeight="1" hidden="" ht="14" outlineLevel="0" r="29641">
      <c r="A29641" s="3" t="inlineStr">
        <is>
          <t>29504</t>
        </is>
      </c>
      <c r="B29641" s="4" t="s">
        <f>=HYPERLINK("http://anyluxury.ru/shop/elektronika/zaryadnye-ustroystva/besprovodnoe-zaryadnoe-ustroystvo-15w-gloss-neo-22163100/" , "22163.100 Беспроводное зарядное устройство 15W Gloss NEO")</f>
      </c>
      <c r="C29641" s="4" t="n">
        <v>1611.00</v>
      </c>
      <c r="D29641" s="4"/>
    </row>
    <row collapsed="" customFormat="false" customHeight="1" hidden="" ht="14" outlineLevel="0" r="29642">
      <c r="A29642" s="3" t="inlineStr">
        <is>
          <t>29505</t>
        </is>
      </c>
      <c r="B29642" s="4" t="s">
        <f>=HYPERLINK("http://anyluxury.ru/shop/elektronika/zaryadnye-ustroystva/besprovodnoe-zaryadnoe-ustroystvo-15w-zeta-22159010/" , "22159.010 Беспроводное зарядное устройство 15W Zeta")</f>
      </c>
      <c r="C29642" s="4" t="n">
        <v>1771.00</v>
      </c>
      <c r="D29642" s="4"/>
    </row>
    <row collapsed="" customFormat="false" customHeight="1" hidden="" ht="14" outlineLevel="0" r="29643">
      <c r="A29643" s="3" t="inlineStr">
        <is>
          <t>29506</t>
        </is>
      </c>
      <c r="B29643" s="4" t="s">
        <f>=HYPERLINK("http://anyluxury.ru/shop/elektronika/zaryadnye-ustroystva/kovrik-dlya-mishi-s-besprovodnim-zaryadnim-ustroystvom-15w-honor-22158010/" , "22158.010 Коврик для мыши с беспроводным зарядным устройством 15W Honor")</f>
      </c>
      <c r="C29643" s="4" t="n">
        <v>1853.00</v>
      </c>
      <c r="D29643" s="4"/>
    </row>
    <row collapsed="" customFormat="false" customHeight="1" hidden="" ht="14" outlineLevel="0" r="29644">
      <c r="A29644" s="3" t="inlineStr">
        <is>
          <t>29507</t>
        </is>
      </c>
      <c r="B29644" s="4" t="s">
        <f>=HYPERLINK("http://anyluxury.ru/shop/elektronika/zaryadnye-ustroystva/nastolnie-chasi-4v1-s-besprovodnoy-zaryadkoy-15w-magnum-223599010/" , "223599.010 Настольные часы 4в1 с беспроводной зарядкой 15W Magnum")</f>
      </c>
      <c r="C29644" s="4" t="n">
        <v>4596.00</v>
      </c>
      <c r="D29644" s="4"/>
    </row>
    <row collapsed="" customFormat="false" customHeight="1" hidden="" ht="14" outlineLevel="0" r="29645">
      <c r="A29645" s="3" t="inlineStr">
        <is>
          <t>29508</t>
        </is>
      </c>
      <c r="B29645" s="4" t="s">
        <f>=HYPERLINK("http://anyluxury.ru/shop/elektronika/zaryadnye-ustroystva/nastolnie-chasi-s-podsvetkoy-i-besprovodnoy-zaryadkoy-15w-flame-beliy-cvet-223591100/" , "223591.100 Настольные часы с подсветкой и беспроводной зарядкой 15W Flame, белые")</f>
      </c>
      <c r="C29645" s="4" t="n">
        <v>3931.00</v>
      </c>
      <c r="D29645" s="4"/>
    </row>
    <row collapsed="" customFormat="false" customHeight="1" hidden="" ht="14" outlineLevel="0" r="29646">
      <c r="A29646" s="3" t="inlineStr">
        <is>
          <t>29509</t>
        </is>
      </c>
      <c r="B29646" s="4" t="s">
        <f>=HYPERLINK("http://anyluxury.ru/shop/elektronika/zaryadnye-ustroystva/nastolnie-chasi-s-podsvetkoy-i-besprovodnoy-zaryadkoy-15w-flame-cherniy-cvet-223591010/" , "223591.010 Настольные часы с подсветкой и беспроводной зарядкой 15W Flame, черные")</f>
      </c>
      <c r="C29646" s="4" t="n">
        <v>3931.00</v>
      </c>
      <c r="D29646" s="4"/>
    </row>
    <row collapsed="" customFormat="false" customHeight="1" hidden="" ht="14" outlineLevel="0" r="29647">
      <c r="A29647" s="3" t="inlineStr">
        <is>
          <t>29510</t>
        </is>
      </c>
      <c r="B29647" s="4" t="s">
        <f>=HYPERLINK("http://anyluxury.ru/shop/elektronika/zaryadnye-ustroystva/nastolnie-chasi-s-podsvetkoy-i-besprovodnoy-zaryadkoy-15w-glory-223595010/" , "223595.010 Настольные часы с подсветкой и беспроводной зарядкой 15W Glory")</f>
      </c>
      <c r="C29647" s="4" t="n">
        <v>3408.00</v>
      </c>
      <c r="D29647" s="4"/>
    </row>
    <row collapsed="" customFormat="false" customHeight="1" hidden="" ht="14" outlineLevel="0" r="29648">
      <c r="A29648" s="3" t="inlineStr">
        <is>
          <t>29511</t>
        </is>
      </c>
      <c r="B29648" s="4" t="s">
        <f>=HYPERLINK("http://anyluxury.ru/shop/elektronika/zaryadnye-ustroystva/besprovodnoe-zaryadnoe-ustroystvo-interra-plus-chernoe-2430430/" , "24304.30 Беспроводное зарядное устройство Interra Plus, черное")</f>
      </c>
      <c r="C29648" s="4" t="n">
        <v>929.00</v>
      </c>
      <c r="D29648" s="4"/>
    </row>
    <row collapsed="" customFormat="false" customHeight="1" hidden="" ht="14" outlineLevel="0" r="29649">
      <c r="A29649" s="3" t="inlineStr">
        <is>
          <t>29512</t>
        </is>
      </c>
      <c r="B29649" s="4" t="s">
        <f>=HYPERLINK("http://anyluxury.ru/shop/elektronika/zaryadnye-ustroystva/besprovodnoe-zaryadnoe-ustroystvo-interra-plus-beloe-2430460/" , "24304.60 Беспроводное зарядное устройство Interra Plus, белое")</f>
      </c>
      <c r="C29649" s="4" t="n">
        <v>929.00</v>
      </c>
      <c r="D29649" s="4"/>
    </row>
    <row collapsed="" customFormat="false" customHeight="1" hidden="" ht="14" outlineLevel="0" r="29650">
      <c r="A29650" s="3" t="inlineStr">
        <is>
          <t>29513</t>
        </is>
      </c>
      <c r="B29650" s="4" t="s">
        <f>=HYPERLINK("http://anyluxury.ru/shop/elektronika/zaryadnye-ustroystva/besprovodnoe-zaryadnoe-ustroystvo-s-bistroy-zaryadkoy-overtop-chernoe-2430530/" , "24305.30 Беспроводное зарядное устройство с быстрой зарядкой Overtop, черное")</f>
      </c>
      <c r="C29650" s="4" t="n">
        <v>1269.00</v>
      </c>
      <c r="D29650" s="4"/>
    </row>
    <row collapsed="" customFormat="false" customHeight="1" hidden="" ht="14" outlineLevel="0" r="29651">
      <c r="A29651" s="3" t="inlineStr">
        <is>
          <t>29514</t>
        </is>
      </c>
      <c r="B29651" s="4" t="s">
        <f>=HYPERLINK("http://anyluxury.ru/shop/elektronika/zaryadnye-ustroystva/besprovodnoe-zaryadnoe-ustroystvo-s-bistroy-zaryadkoy-overtop-beloe-2430560/" , "24305.60 Беспроводное зарядное устройство с быстрой зарядкой Overtop, белое")</f>
      </c>
      <c r="C29651" s="4" t="n">
        <v>1269.00</v>
      </c>
      <c r="D29651" s="4"/>
    </row>
    <row collapsed="" customFormat="false" customHeight="1" hidden="" ht="14" outlineLevel="0" r="29652">
      <c r="A29652" s="3" t="inlineStr">
        <is>
          <t>29515</t>
        </is>
      </c>
      <c r="B29652" s="4" t="s">
        <f>=HYPERLINK("http://anyluxury.ru/shop/elektronika/zaryadnye-ustroystva/zaryadnaya-stanciya-orbis-serebristaya-2430710/" , "24307.10 Зарядная станция Orbis, серебристая")</f>
      </c>
      <c r="C29652" s="4" t="n">
        <v>3900.00</v>
      </c>
      <c r="D29652" s="4"/>
    </row>
    <row collapsed="" customFormat="false" customHeight="1" hidden="" ht="14" outlineLevel="0" r="29653">
      <c r="A29653" s="3" t="inlineStr">
        <is>
          <t>29516</t>
        </is>
      </c>
      <c r="B29653" s="4" t="s">
        <f>=HYPERLINK("http://anyluxury.ru/shop/elektronika/zaryadnye-ustroystva/zaryadnaya-stanciya-tres-seraya-2430610/" , "24306.10 Зарядная станция Tres, серая")</f>
      </c>
      <c r="C29653" s="4" t="n">
        <v>3390.00</v>
      </c>
      <c r="D29653" s="4"/>
    </row>
    <row collapsed="" customFormat="false" customHeight="1" hidden="" ht="14" outlineLevel="0" r="29654">
      <c r="A29654" s="3" t="inlineStr">
        <is>
          <t>29517</t>
        </is>
      </c>
      <c r="B29654" s="4" t="s">
        <f>=HYPERLINK("http://anyluxury.ru/shop/elektronika/zaryadnye-ustroystva/zaryadnaya-stanciya-tres-chernaya-2430630/" , "24306.30 Зарядная станция Tres, черная")</f>
      </c>
      <c r="C29654" s="4" t="n">
        <v>3390.00</v>
      </c>
      <c r="D29654" s="4"/>
    </row>
    <row collapsed="" customFormat="false" customHeight="1" hidden="" ht="14" outlineLevel="0" r="29655">
      <c r="A29655" s="3" t="inlineStr">
        <is>
          <t>29518</t>
        </is>
      </c>
      <c r="B29655" s="4" t="s">
        <f>=HYPERLINK("http://anyluxury.ru/shop/elektronika/zaryadnye-ustroystva/nastolniy-organayzer-midstream-s-zaryadkoy-i-kovrikom-dlya-mishi-23090/" , "23090 Настольный органайзер Midstream с зарядкой и ковриком для мыши")</f>
      </c>
      <c r="C29655" s="4" t="n">
        <v>2520.00</v>
      </c>
      <c r="D29655" s="4"/>
    </row>
    <row collapsed="" customFormat="false" customHeight="1" hidden="" ht="14" outlineLevel="0" r="29656">
      <c r="A29656" s="3" t="inlineStr">
        <is>
          <t>29519</t>
        </is>
      </c>
      <c r="B29656" s="4" t="s">
        <f>=HYPERLINK("http://anyluxury.ru/shop/elektronika/zaryadnye-ustroystva/kolonka-s-chasami-i-besprovodnoy-zaryadkoy-veske-seraya-1539510/" , "15395.10 Колонка с часами и беспроводной зарядкой Veske, серая")</f>
      </c>
      <c r="C29656" s="4" t="n">
        <v>7999.00</v>
      </c>
      <c r="D29656" s="4"/>
    </row>
    <row collapsed="" customFormat="false" customHeight="1" hidden="" ht="14" outlineLevel="0" r="29657">
      <c r="A29657" s="3" t="inlineStr">
        <is>
          <t>29520</t>
        </is>
      </c>
      <c r="B29657" s="4" t="s">
        <f>=HYPERLINK("http://anyluxury.ru/shop/elektronika/zaryadnye-ustroystva/universalnaya-zaryadnaya-stanciya-power-canvas-chernaya-2430830/" , "24308.30 Универсальная зарядная станция Power Canvas, черная")</f>
      </c>
      <c r="C29657" s="4" t="n">
        <v>2690.00</v>
      </c>
      <c r="D29657" s="4"/>
    </row>
    <row collapsed="" customFormat="false" customHeight="1" hidden="" ht="14" outlineLevel="0" r="29658">
      <c r="A29658" s="3" t="inlineStr">
        <is>
          <t>29521</t>
        </is>
      </c>
      <c r="B29658" s="4" t="s">
        <f>=HYPERLINK("http://anyluxury.ru/shop/elektronika/zaryadnye-ustroystva/universalnaya-zaryadnaya-stanciya-power-canvas-belaya-2430860/" , "24308.60 Универсальная зарядная станция Power Canvas, белая")</f>
      </c>
      <c r="C29658" s="4" t="n">
        <v>2690.00</v>
      </c>
      <c r="D29658" s="4"/>
    </row>
    <row collapsed="" customFormat="false" customHeight="1" hidden="" ht="14" outlineLevel="0" r="29659">
      <c r="A29659" s="3" t="inlineStr">
        <is>
          <t>29522</t>
        </is>
      </c>
      <c r="B29659" s="4" t="s">
        <f>=HYPERLINK("http://anyluxury.ru/shop/elektronika/zaryadnye-ustroystva/kolonka-c-besprovodnoy-zaryadkoy-i-podsvetkoy-charge-house-seraya-15927/" , "15927 Колонка c беспроводной зарядкой и подсветкой Charge House, серая")</f>
      </c>
      <c r="C29659" s="4" t="n">
        <v>6990.00</v>
      </c>
      <c r="D29659" s="4"/>
    </row>
    <row collapsed="" customFormat="false" customHeight="1" hidden="" ht="14" outlineLevel="0" r="29660">
      <c r="A29660" s="3" t="inlineStr">
        <is>
          <t>29523</t>
        </is>
      </c>
      <c r="B29660" s="4" t="s">
        <f>=HYPERLINK("http://anyluxury.ru/shop/elektronika/zaryadnye-ustroystva/zaryadnaya-stanciya-orbis-temnoseraya-2430713/" , "24307.13 Зарядная станция Orbis, темно-серая")</f>
      </c>
      <c r="C29660" s="4" t="n">
        <v>3900.00</v>
      </c>
      <c r="D29660" s="4"/>
    </row>
    <row collapsed="" customFormat="false" customHeight="1" hidden="" ht="14" outlineLevel="0" r="29661">
      <c r="A29661" s="3" t="inlineStr">
        <is>
          <t>29524</t>
        </is>
      </c>
      <c r="B29661" s="4" t="s">
        <f>=HYPERLINK("http://anyluxury.ru/shop/elektronika/zaryadnye-ustroystva/magnitnaya-zaryadnaya-stanciya-cooper-duo-chernaya-1771430/" , "17714.30 Зарядная станция с подсветкой Cooper Duo, черная")</f>
      </c>
      <c r="C29661" s="4" t="n">
        <v>2590.00</v>
      </c>
      <c r="D29661" s="4"/>
    </row>
    <row collapsed="" customFormat="false" customHeight="1" hidden="" ht="14" outlineLevel="0" r="29662">
      <c r="A29662" s="3" t="inlineStr">
        <is>
          <t>29525</t>
        </is>
      </c>
      <c r="B29662" s="4" t="s">
        <f>=HYPERLINK("http://anyluxury.ru/shop/elektronika/zaryadnye-ustroystva/magnitnaya-zaryadnaya-stanciya-cooper-duo-belaya-1771460/" , "17714.60 Зарядная станция с подсветкой Cooper Duo, белая")</f>
      </c>
      <c r="C29662" s="4" t="n">
        <v>2590.00</v>
      </c>
      <c r="D29662" s="4"/>
    </row>
    <row collapsed="" customFormat="false" customHeight="1" hidden="" ht="14" outlineLevel="0" r="29663">
      <c r="A29663" s="3" t="inlineStr">
        <is>
          <t>29526</t>
        </is>
      </c>
      <c r="B29663" s="4" t="s">
        <f>=HYPERLINK("http://anyluxury.ru/shop/elektronika/zaryadnye-ustroystva/magnitnaya-zaryadnaya-stanciya-cooper-duo-sinyaya-1771440/" , "17714.40 Зарядная станция с подсветкой Cooper Duo, синяя")</f>
      </c>
      <c r="C29663" s="4" t="n">
        <v>2590.00</v>
      </c>
      <c r="D29663" s="4"/>
    </row>
    <row collapsed="" customFormat="false" customHeight="1" hidden="" ht="14" outlineLevel="0" r="29664">
      <c r="A29664" s="3" t="inlineStr">
        <is>
          <t>29527</t>
        </is>
      </c>
      <c r="B29664" s="4" t="s">
        <f>=HYPERLINK("http://anyluxury.ru/shop/elektronika/zaryadnye-ustroystva/kruzhka-s-podogrevom-i-besprovodnoy-zaryadkoy-dual-base-ver2-chernaya-1578230/" , "15782.30 Кружка с подогревом и беспроводной зарядкой Dual Base, ver.2, черная")</f>
      </c>
      <c r="C29664" s="4" t="n">
        <v>3190.00</v>
      </c>
      <c r="D29664" s="4"/>
    </row>
    <row collapsed="" customFormat="false" customHeight="" hidden="" ht="12.1" outlineLevel="0" r="29665">
      <c r="A29665" s="5" t="inlineStr">
        <is>
          <t> -  - Компьютерные и мобильные аксессуары</t>
        </is>
      </c>
      <c r="B29665" s="6"/>
      <c r="C29665" s="6"/>
      <c r="D29665" s="6"/>
    </row>
    <row collapsed="" customFormat="false" customHeight="1" hidden="" ht="14" outlineLevel="0" r="29666">
      <c r="A29666" s="3" t="inlineStr">
        <is>
          <t>29528</t>
        </is>
      </c>
      <c r="B29666" s="4" t="s">
        <f>=HYPERLINK("http://anyluxury.ru/shop/elektronika/kompyuternye-i-mobilnye-aksessuary/kabelbrelok-3v1-cavi-neo-beliy-v-podarochnoy-upakovke-8081902100/" , "8081902.100 Кабель-брелок 3в1 Cavi NEO в подарочной упаковке, белый")</f>
      </c>
      <c r="C29666" s="4" t="n">
        <v>627.00</v>
      </c>
      <c r="D29666" s="4"/>
    </row>
    <row collapsed="" customFormat="false" customHeight="1" hidden="" ht="14" outlineLevel="0" r="29667">
      <c r="A29667" s="3" t="inlineStr">
        <is>
          <t>29529</t>
        </is>
      </c>
      <c r="B29667" s="4" t="s">
        <f>=HYPERLINK("http://anyluxury.ru/shop/elektronika/kompyuternye-i-mobilnye-aksessuary/kabelbrelok-3v1-cavi-neo-seriy-v-podarochnoy-upakovke-8081902080/" , "8081902.080 Кабель-брелок 3в1 Cavi NEO в подарочной упаковке, серый")</f>
      </c>
      <c r="C29667" s="4" t="n">
        <v>627.00</v>
      </c>
      <c r="D29667" s="4"/>
    </row>
    <row collapsed="" customFormat="false" customHeight="1" hidden="" ht="14" outlineLevel="0" r="29668">
      <c r="A29668" s="3" t="inlineStr">
        <is>
          <t>29530</t>
        </is>
      </c>
      <c r="B29668" s="4" t="s">
        <f>=HYPERLINK("http://anyluxury.ru/shop/elektronika/kompyuternye-i-mobilnye-aksessuary/kabelbrelok-3v1-cavi-neo-cherniy-v-podarochnoy-upakovke-8081902010/" , "8081902.010 Кабель-брелок 3в1 Cavi NEO в подарочной упаковке, черный")</f>
      </c>
      <c r="C29668" s="4" t="n">
        <v>627.00</v>
      </c>
      <c r="D29668" s="4"/>
    </row>
    <row collapsed="" customFormat="false" customHeight="1" hidden="" ht="14" outlineLevel="0" r="29669">
      <c r="A29669" s="3" t="inlineStr">
        <is>
          <t>29531</t>
        </is>
      </c>
      <c r="B29669" s="4" t="s">
        <f>=HYPERLINK("http://anyluxury.ru/shop/elektronika/kompyuternye-i-mobilnye-aksessuary/anc-naushnikivkladishi-swiss-peak-cherniy-p328131/" , "P328.131 ANC наушники-вкладыши Swiss Peak, черный")</f>
      </c>
      <c r="C29669" s="4" t="n">
        <v>10129.00</v>
      </c>
      <c r="D29669" s="4"/>
    </row>
    <row collapsed="" customFormat="false" customHeight="1" hidden="" ht="14" outlineLevel="0" r="29670">
      <c r="A29670" s="3" t="inlineStr">
        <is>
          <t>29532</t>
        </is>
      </c>
      <c r="B29670" s="4" t="s">
        <f>=HYPERLINK("http://anyluxury.ru/shop/elektronika/kompyuternye-i-mobilnye-aksessuary/besprovodnie-naushniki-swiss-peak-p326150/" , "P326.150 Беспроводные наушники Swiss Peak")</f>
      </c>
      <c r="C29670" s="4" t="n">
        <v>5595.00</v>
      </c>
      <c r="D29670" s="4"/>
    </row>
    <row collapsed="" customFormat="false" customHeight="1" hidden="" ht="14" outlineLevel="0" r="29671">
      <c r="A29671" s="3" t="inlineStr">
        <is>
          <t>29533</t>
        </is>
      </c>
      <c r="B29671" s="4" t="s">
        <f>=HYPERLINK("http://anyluxury.ru/shop/elektronika/kompyuternye-i-mobilnye-aksessuary/besprovodnie-naushniki-true-wireless-s-zaryadnim-ustroystvom-na-2-000-mach-p326694/" , "P326.694 Беспроводные наушники True Wireless с зарядным устройством на 2 000 мАч")</f>
      </c>
      <c r="C29671" s="4" t="n">
        <v>4446.00</v>
      </c>
      <c r="D29671" s="4"/>
    </row>
    <row collapsed="" customFormat="false" customHeight="1" hidden="" ht="14" outlineLevel="0" r="29672">
      <c r="A29672" s="3" t="inlineStr">
        <is>
          <t>29534</t>
        </is>
      </c>
      <c r="B29672" s="4" t="s">
        <f>=HYPERLINK("http://anyluxury.ru/shop/elektronika/kompyuternye-i-mobilnye-aksessuary/naushniki-s-funkciey-kolonki-p326871/" , "P326.871 Наушники с функцией колонки")</f>
      </c>
      <c r="C29672" s="4" t="n">
        <v>3944.00</v>
      </c>
      <c r="D29672" s="4"/>
    </row>
    <row collapsed="" customFormat="false" customHeight="1" hidden="" ht="14" outlineLevel="0" r="29673">
      <c r="A29673" s="3" t="inlineStr">
        <is>
          <t>29535</t>
        </is>
      </c>
      <c r="B29673" s="4" t="s">
        <f>=HYPERLINK("http://anyluxury.ru/shop/elektronika/kompyuternye-i-mobilnye-aksessuary/monopod-shtativ-dlya-selfi-cherniy-p301541/" , "P301.541 Монопод штатив для селфи, черный")</f>
      </c>
      <c r="C29673" s="4" t="n">
        <v>397.00</v>
      </c>
      <c r="D29673" s="4"/>
    </row>
    <row collapsed="" customFormat="false" customHeight="1" hidden="" ht="14" outlineLevel="0" r="29674">
      <c r="A29674" s="3" t="inlineStr">
        <is>
          <t>29536</t>
        </is>
      </c>
      <c r="B29674" s="4" t="s">
        <f>=HYPERLINK("http://anyluxury.ru/shop/elektronika/kompyuternye-i-mobilnye-aksessuary/naushnikikapelki-s-ploskim-provodom-p326371/" , "P326.371 Наушники-капельки с плоским проводом")</f>
      </c>
      <c r="C29674" s="4" t="n">
        <v>993.00</v>
      </c>
      <c r="D29674" s="4"/>
    </row>
    <row collapsed="" customFormat="false" customHeight="1" hidden="" ht="14" outlineLevel="0" r="29675">
      <c r="A29675" s="3" t="inlineStr">
        <is>
          <t>29537</t>
        </is>
      </c>
      <c r="B29675" s="4" t="s">
        <f>=HYPERLINK("http://anyluxury.ru/shop/elektronika/kompyuternye-i-mobilnye-aksessuary/skladnie-besprovodnie-naushniki-p326031/" , "P326.031 Складные беспроводные наушники")</f>
      </c>
      <c r="C29675" s="4" t="n">
        <v>5050.00</v>
      </c>
      <c r="D29675" s="4"/>
    </row>
    <row collapsed="" customFormat="false" customHeight="1" hidden="" ht="14" outlineLevel="0" r="29676">
      <c r="A29676" s="3" t="inlineStr">
        <is>
          <t>29538</t>
        </is>
      </c>
      <c r="B29676" s="4" t="s">
        <f>=HYPERLINK("http://anyluxury.ru/shop/elektronika/kompyuternye-i-mobilnye-aksessuary/naushniki-p326953/" , "P326.953 Наушники")</f>
      </c>
      <c r="C29676" s="4" t="n">
        <v>772.00</v>
      </c>
      <c r="D29676" s="4"/>
    </row>
    <row collapsed="" customFormat="false" customHeight="1" hidden="" ht="14" outlineLevel="0" r="29677">
      <c r="A29677" s="3" t="inlineStr">
        <is>
          <t>29539</t>
        </is>
      </c>
      <c r="B29677" s="4" t="s">
        <f>=HYPERLINK("http://anyluxury.ru/shop/elektronika/kompyuternye-i-mobilnye-aksessuary/naushniki-p326956/" , "P326.956 Наушники")</f>
      </c>
      <c r="C29677" s="4" t="n">
        <v>749.00</v>
      </c>
      <c r="D29677" s="4"/>
    </row>
    <row collapsed="" customFormat="false" customHeight="1" hidden="" ht="14" outlineLevel="0" r="29678">
      <c r="A29678" s="3" t="inlineStr">
        <is>
          <t>29540</t>
        </is>
      </c>
      <c r="B29678" s="4" t="s">
        <f>=HYPERLINK("http://anyluxury.ru/shop/elektronika/kompyuternye-i-mobilnye-aksessuary/besprovodnie-naushniki-zeleniy-p326567/" , "P326.567 Беспроводные наушники, зеленый")</f>
      </c>
      <c r="C29678" s="4" t="n">
        <v>1115.00</v>
      </c>
      <c r="D29678" s="4"/>
    </row>
    <row collapsed="" customFormat="false" customHeight="1" hidden="" ht="14" outlineLevel="0" r="29679">
      <c r="A29679" s="3" t="inlineStr">
        <is>
          <t>29541</t>
        </is>
      </c>
      <c r="B29679" s="4" t="s">
        <f>=HYPERLINK("http://anyluxury.ru/shop/elektronika/kompyuternye-i-mobilnye-aksessuary/obektiv-dlya-telefona-fish-eye-p301811/" , "P301.811 Объектив для телефона Fish eye")</f>
      </c>
      <c r="C29679" s="4" t="n">
        <v>239.00</v>
      </c>
      <c r="D29679" s="4"/>
    </row>
    <row collapsed="" customFormat="false" customHeight="1" hidden="" ht="14" outlineLevel="0" r="29680">
      <c r="A29680" s="3" t="inlineStr">
        <is>
          <t>29542</t>
        </is>
      </c>
      <c r="B29680" s="4" t="s">
        <f>=HYPERLINK("http://anyluxury.ru/shop/elektronika/kompyuternye-i-mobilnye-aksessuary/besprovodnie-naushniki-workout-zeleniy-p326257/" , "P326.257 Беспроводные наушники Workout, зеленый")</f>
      </c>
      <c r="C29680" s="4" t="n">
        <v>1126.00</v>
      </c>
      <c r="D29680" s="4"/>
    </row>
    <row collapsed="" customFormat="false" customHeight="1" hidden="" ht="14" outlineLevel="0" r="29681">
      <c r="A29681" s="3" t="inlineStr">
        <is>
          <t>29543</t>
        </is>
      </c>
      <c r="B29681" s="4" t="s">
        <f>=HYPERLINK("http://anyluxury.ru/shop/elektronika/kompyuternye-i-mobilnye-aksessuary/dvuhobektivnaya-kamera-360-p330951/" , "P330.951 Двухобъективная камера 360")</f>
      </c>
      <c r="C29681" s="4" t="n">
        <v>3405.00</v>
      </c>
      <c r="D29681" s="4"/>
    </row>
    <row collapsed="" customFormat="false" customHeight="1" hidden="" ht="14" outlineLevel="0" r="29682">
      <c r="A29682" s="3" t="inlineStr">
        <is>
          <t>29544</t>
        </is>
      </c>
      <c r="B29682" s="4" t="s">
        <f>=HYPERLINK("http://anyluxury.ru/shop/elektronika/kompyuternye-i-mobilnye-aksessuary/chehol-dlya-ipad-antigua-5994/" , "5994 Чехол для iPad «Антигуа»")</f>
      </c>
      <c r="C29682" s="4" t="n">
        <v>798.00</v>
      </c>
      <c r="D29682" s="4"/>
    </row>
    <row collapsed="" customFormat="false" customHeight="1" hidden="" ht="14" outlineLevel="0" r="29683">
      <c r="A29683" s="3" t="inlineStr">
        <is>
          <t>29545</t>
        </is>
      </c>
      <c r="B29683" s="4" t="s">
        <f>=HYPERLINK("http://anyluxury.ru/shop/elektronika/kompyuternye-i-mobilnye-aksessuary/bluetooth-naushniki-sennheiser-momentum-inear-wireless-chernie-743030/" , "7430.30 Bluetooth наушники Sennheiser Momentum In-Ear Wireless, черные")</f>
      </c>
      <c r="C29683" s="4" t="n">
        <v>19990.00</v>
      </c>
      <c r="D29683" s="4"/>
    </row>
    <row collapsed="" customFormat="false" customHeight="1" hidden="" ht="14" outlineLevel="0" r="29684">
      <c r="A29684" s="3" t="inlineStr">
        <is>
          <t>29546</t>
        </is>
      </c>
      <c r="B29684" s="4" t="s">
        <f>=HYPERLINK("http://anyluxury.ru/shop/elektronika/kompyuternye-i-mobilnye-aksessuary/naushniki-sennheiser-cx-300-vnutrikanalnie-belie-742660/" , "7426.60 Наушники Sennheiser CX 3.00 внутриканальные, белые")</f>
      </c>
      <c r="C29684" s="4" t="n">
        <v>3290.00</v>
      </c>
      <c r="D29684" s="4"/>
    </row>
    <row collapsed="" customFormat="false" customHeight="1" hidden="" ht="14" outlineLevel="0" r="29685">
      <c r="A29685" s="3" t="inlineStr">
        <is>
          <t>29547</t>
        </is>
      </c>
      <c r="B29685" s="4" t="s">
        <f>=HYPERLINK("http://anyluxury.ru/shop/elektronika/kompyuternye-i-mobilnye-aksessuary/bluetooth-naushniki-sennheiser-momentum-free-chernie-757630/" , "7576.30 Bluetooth наушники Sennheiser MOMENTUM Free, черные")</f>
      </c>
      <c r="C29685" s="4" t="n">
        <v>9590.00</v>
      </c>
      <c r="D29685" s="4"/>
    </row>
    <row collapsed="" customFormat="false" customHeight="1" hidden="" ht="14" outlineLevel="0" r="29686">
      <c r="A29686" s="3" t="inlineStr">
        <is>
          <t>29548</t>
        </is>
      </c>
      <c r="B29686" s="4" t="s">
        <f>=HYPERLINK("http://anyluxury.ru/shop/elektronika/kompyuternye-i-mobilnye-aksessuary/naushniki-sony-xb550-belie-752760/" , "7527.60 Наушники Sony XB-550, белые")</f>
      </c>
      <c r="C29686" s="4" t="n">
        <v>3490.00</v>
      </c>
      <c r="D29686" s="4"/>
    </row>
    <row collapsed="" customFormat="false" customHeight="1" hidden="" ht="14" outlineLevel="0" r="29687">
      <c r="A29687" s="3" t="inlineStr">
        <is>
          <t>29549</t>
        </is>
      </c>
      <c r="B29687" s="4" t="s">
        <f>=HYPERLINK("http://anyluxury.ru/shop/elektronika/kompyuternye-i-mobilnye-aksessuary/besprovodnie-naushniki-sony-sn400-chernie-1017730/" , "10177.30 Беспроводные наушники Sony СН400, черные")</f>
      </c>
      <c r="C29687" s="4" t="n">
        <v>3990.00</v>
      </c>
      <c r="D29687" s="4"/>
    </row>
    <row collapsed="" customFormat="false" customHeight="1" hidden="" ht="14" outlineLevel="0" r="29688">
      <c r="A29688" s="3" t="inlineStr">
        <is>
          <t>29550</t>
        </is>
      </c>
      <c r="B29688" s="4" t="s">
        <f>=HYPERLINK("http://anyluxury.ru/shop/elektronika/kompyuternye-i-mobilnye-aksessuary/besprovodnie-naushniki-s-shumopodavleniem-whh900n-serie-1031511/" , "10315.11 Беспроводные наушники с шумоподавлением WH-H900N серые")</f>
      </c>
      <c r="C29688" s="4" t="n">
        <v>18790.00</v>
      </c>
      <c r="D29688" s="4"/>
    </row>
    <row collapsed="" customFormat="false" customHeight="1" hidden="" ht="14" outlineLevel="0" r="29689">
      <c r="A29689" s="3" t="inlineStr">
        <is>
          <t>29551</t>
        </is>
      </c>
      <c r="B29689" s="4" t="s">
        <f>=HYPERLINK("http://anyluxury.ru/shop/elektronika/kompyuternye-i-mobilnye-aksessuary/besprovodnie-naushniki-jbl-e45bt-krasnie-1910150/" , "19101.50 Беспроводные наушники JBL E45BT, красные")</f>
      </c>
      <c r="C29689" s="4" t="n">
        <v>5990.00</v>
      </c>
      <c r="D29689" s="4"/>
    </row>
    <row collapsed="" customFormat="false" customHeight="1" hidden="" ht="14" outlineLevel="0" r="29690">
      <c r="A29690" s="3" t="inlineStr">
        <is>
          <t>29552</t>
        </is>
      </c>
      <c r="B29690" s="4" t="s">
        <f>=HYPERLINK("http://anyluxury.ru/shop/elektronika/kompyuternye-i-mobilnye-aksessuary/besprovodnie-naushniki-jbl-e45bt-chernie-1910130/" , "19101.30 Беспроводные наушники JBL E45BT, черные")</f>
      </c>
      <c r="C29690" s="4" t="n">
        <v>5990.00</v>
      </c>
      <c r="D29690" s="4"/>
    </row>
    <row collapsed="" customFormat="false" customHeight="1" hidden="" ht="14" outlineLevel="0" r="29691">
      <c r="A29691" s="3" t="inlineStr">
        <is>
          <t>29553</t>
        </is>
      </c>
      <c r="B29691" s="4" t="s">
        <f>=HYPERLINK("http://anyluxury.ru/shop/elektronika/kompyuternye-i-mobilnye-aksessuary/chehol-dlya-smartfona-na-ruku-hold-me-tight-55andquot-siniy-1175040/" , "11750.40 Чехол для смартфона на руку Hold Me Tight 5,5&amp;quot;, синий")</f>
      </c>
      <c r="C29691" s="4" t="n">
        <v>576.00</v>
      </c>
      <c r="D29691" s="4"/>
    </row>
    <row collapsed="" customFormat="false" customHeight="1" hidden="" ht="14" outlineLevel="0" r="29692">
      <c r="A29692" s="3" t="inlineStr">
        <is>
          <t>29554</t>
        </is>
      </c>
      <c r="B29692" s="4" t="s">
        <f>=HYPERLINK("http://anyluxury.ru/shop/elektronika/kompyuternye-i-mobilnye-aksessuary/elektronnaya-kniga-pocketbook-627-chernaya-17879/" , "17879 Электронная книга PocketBook 627, черная")</f>
      </c>
      <c r="C29692" s="4" t="n">
        <v>12690.00</v>
      </c>
      <c r="D29692" s="4"/>
    </row>
    <row collapsed="" customFormat="false" customHeight="1" hidden="" ht="14" outlineLevel="0" r="29693">
      <c r="A29693" s="3" t="inlineStr">
        <is>
          <t>29555</t>
        </is>
      </c>
      <c r="B29693" s="4" t="s">
        <f>=HYPERLINK("http://anyluxury.ru/shop/elektronika/kompyuternye-i-mobilnye-aksessuary/derzhatel-dlya-telefona-buddy-holdy-10398/" , "10398 Держатель для телефона Buddy Holdy")</f>
      </c>
      <c r="C29693" s="4" t="n">
        <v>449.00</v>
      </c>
      <c r="D29693" s="4"/>
    </row>
    <row collapsed="" customFormat="false" customHeight="1" hidden="" ht="14" outlineLevel="0" r="29694">
      <c r="A29694" s="3" t="inlineStr">
        <is>
          <t>29556</t>
        </is>
      </c>
      <c r="B29694" s="4" t="s">
        <f>=HYPERLINK("http://anyluxury.ru/shop/elektronika/kompyuternye-i-mobilnye-aksessuary/fitnesbraslet-mi-band-3-cherniy-1212330/" , "12123.30 Фитнес-браслет Mi Band 3, черный")</f>
      </c>
      <c r="C29694" s="4" t="n">
        <v>2590.00</v>
      </c>
      <c r="D29694" s="4"/>
    </row>
    <row collapsed="" customFormat="false" customHeight="1" hidden="" ht="14" outlineLevel="0" r="29695">
      <c r="A29695" s="3" t="inlineStr">
        <is>
          <t>29557</t>
        </is>
      </c>
      <c r="B29695" s="4" t="s">
        <f>=HYPERLINK("http://anyluxury.ru/shop/elektronika/kompyuternye-i-mobilnye-aksessuary/kabel-all-in-all-v-futlyare-beliy-7412660/" , "74126.60 Кабель All in All в футляре, белый")</f>
      </c>
      <c r="C29695" s="4" t="n">
        <v>2190.00</v>
      </c>
      <c r="D29695" s="4"/>
    </row>
    <row collapsed="" customFormat="false" customHeight="1" hidden="" ht="14" outlineLevel="0" r="29696">
      <c r="A29696" s="3" t="inlineStr">
        <is>
          <t>29558</t>
        </is>
      </c>
      <c r="B29696" s="4" t="s">
        <f>=HYPERLINK("http://anyluxury.ru/shop/elektronika/kompyuternye-i-mobilnye-aksessuary/nabor-perezaryazhaemih-batareek-refilla-aaa-450-mach-11107/" , "11107 Набор перезаряжаемых батареек Refilla AAA, 450 мАч")</f>
      </c>
      <c r="C29696" s="4" t="n">
        <v>490.00</v>
      </c>
      <c r="D29696" s="4"/>
    </row>
    <row collapsed="" customFormat="false" customHeight="1" hidden="" ht="14" outlineLevel="0" r="29697">
      <c r="A29697" s="3" t="inlineStr">
        <is>
          <t>29559</t>
        </is>
      </c>
      <c r="B29697" s="4" t="s">
        <f>=HYPERLINK("http://anyluxury.ru/shop/elektronika/kompyuternye-i-mobilnye-aksessuary/derzhatel-dlya-smartfona-na-ruku-hold-me-tight-5andquot-krasniy-1174950/" , "11749.50 Чехол для смартфона на руку Hold Me Tight 5&amp;quot;, красный")</f>
      </c>
      <c r="C29697" s="4" t="n">
        <v>305.00</v>
      </c>
      <c r="D29697" s="4"/>
    </row>
    <row collapsed="" customFormat="false" customHeight="1" hidden="" ht="14" outlineLevel="0" r="29698">
      <c r="A29698" s="3" t="inlineStr">
        <is>
          <t>29560</t>
        </is>
      </c>
      <c r="B29698" s="4" t="s">
        <f>=HYPERLINK("http://anyluxury.ru/shop/elektronika/kompyuternye-i-mobilnye-aksessuary/derzhatel-dlya-smartfona-na-ruku-hold-me-tight-5andquot-oranzheviy-1174920/" , "11749.20 Чехол для смартфона на руку Hold Me Tight 5&amp;quot;, оранжевый")</f>
      </c>
      <c r="C29698" s="4" t="n">
        <v>305.00</v>
      </c>
      <c r="D29698" s="4"/>
    </row>
    <row collapsed="" customFormat="false" customHeight="1" hidden="" ht="14" outlineLevel="0" r="29699">
      <c r="A29699" s="3" t="inlineStr">
        <is>
          <t>29561</t>
        </is>
      </c>
      <c r="B29699" s="4" t="s">
        <f>=HYPERLINK("http://anyluxury.ru/shop/elektronika/kompyuternye-i-mobilnye-aksessuary/derzhatel-dlya-smartfona-na-ruku-hold-me-tight-5andquot-zeleniy-1174990/" , "11749.90 Чехол для смартфона на руку Hold Me Tight 5&amp;quot;, зеленый")</f>
      </c>
      <c r="C29699" s="4" t="n">
        <v>305.00</v>
      </c>
      <c r="D29699" s="4"/>
    </row>
    <row collapsed="" customFormat="false" customHeight="1" hidden="" ht="14" outlineLevel="0" r="29700">
      <c r="A29700" s="3" t="inlineStr">
        <is>
          <t>29562</t>
        </is>
      </c>
      <c r="B29700" s="4" t="s">
        <f>=HYPERLINK("http://anyluxury.ru/shop/elektronika/kompyuternye-i-mobilnye-aksessuary/besprovodnie-naushniki-uniscend-sound-joy-belie-1537560/" , "15375.60 Беспроводные наушники Uniscend Sound Joy, белые")</f>
      </c>
      <c r="C29700" s="4" t="n">
        <v>1890.00</v>
      </c>
      <c r="D29700" s="4"/>
    </row>
    <row collapsed="" customFormat="false" customHeight="1" hidden="" ht="14" outlineLevel="0" r="29701">
      <c r="A29701" s="3" t="inlineStr">
        <is>
          <t>29563</t>
        </is>
      </c>
      <c r="B29701" s="4" t="s">
        <f>=HYPERLINK("http://anyluxury.ru/shop/elektronika/kompyuternye-i-mobilnye-aksessuary/zaryadniy-kabelbrelok-uniscend-lite-omniline-1202530/" , "12025.30 Кабель-брелок с подсветкой логотипа Lite Omniline")</f>
      </c>
      <c r="C29701" s="4" t="n">
        <v>999.00</v>
      </c>
      <c r="D29701" s="4"/>
    </row>
    <row collapsed="" customFormat="false" customHeight="1" hidden="" ht="14" outlineLevel="0" r="29702">
      <c r="A29702" s="3" t="inlineStr">
        <is>
          <t>29564</t>
        </is>
      </c>
      <c r="B29702" s="4" t="s">
        <f>=HYPERLINK("http://anyluxury.ru/shop/elektronika/kompyuternye-i-mobilnye-aksessuary/kabel-3-v-1-p302243/" , "P302.243 Кабель 3 в 1")</f>
      </c>
      <c r="C29702" s="4" t="n">
        <v>420.00</v>
      </c>
      <c r="D29702" s="4"/>
    </row>
    <row collapsed="" customFormat="false" customHeight="1" hidden="" ht="14" outlineLevel="0" r="29703">
      <c r="A29703" s="3" t="inlineStr">
        <is>
          <t>29565</t>
        </is>
      </c>
      <c r="B29703" s="4" t="s">
        <f>=HYPERLINK("http://anyluxury.ru/shop/elektronika/kompyuternye-i-mobilnye-aksessuary/elektronnaya-kniga-digma-r63s-temnoseraya-12192/" , "12192 Электронная книга Digma R63S, темно-серая")</f>
      </c>
      <c r="C29703" s="4" t="n">
        <v>9490.00</v>
      </c>
      <c r="D29703" s="4"/>
    </row>
    <row collapsed="" customFormat="false" customHeight="1" hidden="" ht="14" outlineLevel="0" r="29704">
      <c r="A29704" s="3" t="inlineStr">
        <is>
          <t>29566</t>
        </is>
      </c>
      <c r="B29704" s="4" t="s">
        <f>=HYPERLINK("http://anyluxury.ru/shop/elektronika/kompyuternye-i-mobilnye-aksessuary/elektronnaya-kniga-digma-e656-temnoseraya-12193/" , "12193 Электронная книга Digma E656, темно-серая")</f>
      </c>
      <c r="C29704" s="4" t="n">
        <v>9990.00</v>
      </c>
      <c r="D29704" s="4"/>
    </row>
    <row collapsed="" customFormat="false" customHeight="1" hidden="" ht="14" outlineLevel="0" r="29705">
      <c r="A29705" s="3" t="inlineStr">
        <is>
          <t>29567</t>
        </is>
      </c>
      <c r="B29705" s="4" t="s">
        <f>=HYPERLINK("http://anyluxury.ru/shop/elektronika/kompyuternye-i-mobilnye-aksessuary/elektronnaya-kniga-digma-r63w-belaya-12194/" , "12194 Электронная книга Digma R63W, белая")</f>
      </c>
      <c r="C29705" s="4" t="n">
        <v>9490.00</v>
      </c>
      <c r="D29705" s="4"/>
    </row>
    <row collapsed="" customFormat="false" customHeight="1" hidden="" ht="14" outlineLevel="0" r="29706">
      <c r="A29706" s="3" t="inlineStr">
        <is>
          <t>29568</t>
        </is>
      </c>
      <c r="B29706" s="4" t="s">
        <f>=HYPERLINK("http://anyluxury.ru/shop/elektronika/kompyuternye-i-mobilnye-aksessuary/elektronnaya-kniga-digma-e63w-belaya-12195/" , "12195 Электронная книга Digma E63W, белая")</f>
      </c>
      <c r="C29706" s="4" t="n">
        <v>7990.00</v>
      </c>
      <c r="D29706" s="4"/>
    </row>
    <row collapsed="" customFormat="false" customHeight="1" hidden="" ht="14" outlineLevel="0" r="29707">
      <c r="A29707" s="3" t="inlineStr">
        <is>
          <t>29569</t>
        </is>
      </c>
      <c r="B29707" s="4" t="s">
        <f>=HYPERLINK("http://anyluxury.ru/shop/elektronika/kompyuternye-i-mobilnye-aksessuary/ekshnkamera-digma-dicam-170-chernaya-14865/" , "14865 Экшн-камера Digma DiCam 170, черная")</f>
      </c>
      <c r="C29707" s="4" t="n">
        <v>2390.00</v>
      </c>
      <c r="D29707" s="4"/>
    </row>
    <row collapsed="" customFormat="false" customHeight="1" hidden="" ht="14" outlineLevel="0" r="29708">
      <c r="A29708" s="3" t="inlineStr">
        <is>
          <t>29570</t>
        </is>
      </c>
      <c r="B29708" s="4" t="s">
        <f>=HYPERLINK("http://anyluxury.ru/shop/elektronika/kompyuternye-i-mobilnye-aksessuary/ekshnkamera-digma-dicam-300-seraya-14866/" , "14866 Экшн-камера Digma DiCam 300, серая")</f>
      </c>
      <c r="C29708" s="4" t="n">
        <v>3890.00</v>
      </c>
      <c r="D29708" s="4"/>
    </row>
    <row collapsed="" customFormat="false" customHeight="1" hidden="" ht="14" outlineLevel="0" r="29709">
      <c r="A29709" s="3" t="inlineStr">
        <is>
          <t>29571</t>
        </is>
      </c>
      <c r="B29709" s="4" t="s">
        <f>=HYPERLINK("http://anyluxury.ru/shop/elektronika/kompyuternye-i-mobilnye-aksessuary/besprovodnie-naushniki-jbl-t500bt-chernie-1091930/" , "10919.30 Беспроводные наушники JBL T500BT, черные")</f>
      </c>
      <c r="C29709" s="4" t="n">
        <v>4390.00</v>
      </c>
      <c r="D29709" s="4"/>
    </row>
    <row collapsed="" customFormat="false" customHeight="1" hidden="" ht="14" outlineLevel="0" r="29710">
      <c r="A29710" s="3" t="inlineStr">
        <is>
          <t>29572</t>
        </is>
      </c>
      <c r="B29710" s="4" t="s">
        <f>=HYPERLINK("http://anyluxury.ru/shop/elektronika/kompyuternye-i-mobilnye-aksessuary/besprovodnie-naushniki-jbl-t500bt-belie-1091960/" , "10919.60 Беспроводные наушники JBL T500BT, белые")</f>
      </c>
      <c r="C29710" s="4" t="n">
        <v>4390.00</v>
      </c>
      <c r="D29710" s="4"/>
    </row>
    <row collapsed="" customFormat="false" customHeight="1" hidden="" ht="14" outlineLevel="0" r="29711">
      <c r="A29711" s="3" t="inlineStr">
        <is>
          <t>29573</t>
        </is>
      </c>
      <c r="B29711" s="4" t="s">
        <f>=HYPERLINK("http://anyluxury.ru/shop/elektronika/kompyuternye-i-mobilnye-aksessuary/treker-dlya-poiska-veshhey-itrack-easy-cherniy-1214930/" , "12149.30 Трекер для поиска вещей iTrack Easy, черный")</f>
      </c>
      <c r="C29711" s="4" t="n">
        <v>790.00</v>
      </c>
      <c r="D29711" s="4"/>
    </row>
    <row collapsed="" customFormat="false" customHeight="1" hidden="" ht="14" outlineLevel="0" r="29712">
      <c r="A29712" s="3" t="inlineStr">
        <is>
          <t>29574</t>
        </is>
      </c>
      <c r="B29712" s="4" t="s">
        <f>=HYPERLINK("http://anyluxury.ru/shop/elektronika/kompyuternye-i-mobilnye-aksessuary/treker-dlya-poiska-veshhey-itrack-easy-beliy-1214960/" , "12149.60 Трекер для поиска вещей iTrack Easy, белый")</f>
      </c>
      <c r="C29712" s="4" t="n">
        <v>790.00</v>
      </c>
      <c r="D29712" s="4"/>
    </row>
    <row collapsed="" customFormat="false" customHeight="1" hidden="" ht="14" outlineLevel="0" r="29713">
      <c r="A29713" s="3" t="inlineStr">
        <is>
          <t>29575</t>
        </is>
      </c>
      <c r="B29713" s="4" t="s">
        <f>=HYPERLINK("http://anyluxury.ru/shop/elektronika/kompyuternye-i-mobilnye-aksessuary/ekshnkamera-digma-dicam-310-chernaya-1476930/" , "14769.30 Экшн-камера Digma DiCam 310, черная")</f>
      </c>
      <c r="C29713" s="4" t="n">
        <v>3890.00</v>
      </c>
      <c r="D29713" s="4"/>
    </row>
    <row collapsed="" customFormat="false" customHeight="1" hidden="" ht="14" outlineLevel="0" r="29714">
      <c r="A29714" s="3" t="inlineStr">
        <is>
          <t>29576</t>
        </is>
      </c>
      <c r="B29714" s="4" t="s">
        <f>=HYPERLINK("http://anyluxury.ru/shop/elektronika/kompyuternye-i-mobilnye-aksessuary/fitnes-braslet-mi-band-5-cherniy-1446330/" , "14463.30 Фитнес браслет Mi Band 5, черный")</f>
      </c>
      <c r="C29714" s="4" t="n">
        <v>4190.00</v>
      </c>
      <c r="D29714" s="4"/>
    </row>
    <row collapsed="" customFormat="false" customHeight="1" hidden="" ht="14" outlineLevel="0" r="29715">
      <c r="A29715" s="3" t="inlineStr">
        <is>
          <t>29577</t>
        </is>
      </c>
      <c r="B29715" s="4" t="s">
        <f>=HYPERLINK("http://anyluxury.ru/shop/elektronika/kompyuternye-i-mobilnye-aksessuary/magnitniy-derzhatel-dlya-smartfonov-pinch-7207310/" , "72073.10 Магнитный держатель для смартфонов Pinch, серебристый")</f>
      </c>
      <c r="C29715" s="4" t="n">
        <v>680.00</v>
      </c>
      <c r="D29715" s="4"/>
    </row>
    <row collapsed="" customFormat="false" customHeight="1" hidden="" ht="14" outlineLevel="0" r="29716">
      <c r="A29716" s="3" t="inlineStr">
        <is>
          <t>29578</t>
        </is>
      </c>
      <c r="B29716" s="4" t="s">
        <f>=HYPERLINK("http://anyluxury.ru/shop/elektronika/kompyuternye-i-mobilnye-aksessuary/fitnes-braslet-mi-band-5-cherniy-1446331/" , "14463.31 Фитнес браслет Mi Band 5, черный")</f>
      </c>
      <c r="C29716" s="4" t="n">
        <v>3499.00</v>
      </c>
      <c r="D29716" s="4"/>
    </row>
    <row collapsed="" customFormat="false" customHeight="1" hidden="" ht="14" outlineLevel="0" r="29717">
      <c r="A29717" s="3" t="inlineStr">
        <is>
          <t>29579</t>
        </is>
      </c>
      <c r="B29717" s="4" t="s">
        <f>=HYPERLINK("http://anyluxury.ru/shop/elektronika/kompyuternye-i-mobilnye-aksessuary/derzhatel-dlya-telefona-david-clinch-ver1-7207101/" , "72071.01 Держатель для телефона David Clinch, черный")</f>
      </c>
      <c r="C29717" s="4" t="n">
        <v>280.00</v>
      </c>
      <c r="D29717" s="4"/>
    </row>
    <row collapsed="" customFormat="false" customHeight="1" hidden="" ht="14" outlineLevel="0" r="29718">
      <c r="A29718" s="3" t="inlineStr">
        <is>
          <t>29580</t>
        </is>
      </c>
      <c r="B29718" s="4" t="s">
        <f>=HYPERLINK("http://anyluxury.ru/shop/elektronika/kompyuternye-i-mobilnye-aksessuary/zaryadnaya-stanciya-revolt-a1-pd-2111210/" , "21112.10 Зарядная станция ReVolt A1 PD")</f>
      </c>
      <c r="C29718" s="4" t="n">
        <v>6590.00</v>
      </c>
      <c r="D29718" s="4"/>
    </row>
    <row collapsed="" customFormat="false" customHeight="1" hidden="" ht="14" outlineLevel="0" r="29719">
      <c r="A29719" s="3" t="inlineStr">
        <is>
          <t>29581</t>
        </is>
      </c>
      <c r="B29719" s="4" t="s">
        <f>=HYPERLINK("http://anyluxury.ru/shop/elektronika/kompyuternye-i-mobilnye-aksessuary/kabelbrelok-3v1-cavi-beliy-8082001100/" , "8082001.100 Кабель-брелок 3в1 Cavi, белый")</f>
      </c>
      <c r="C29719" s="4" t="n">
        <v>512.00</v>
      </c>
      <c r="D29719" s="4"/>
    </row>
    <row collapsed="" customFormat="false" customHeight="1" hidden="" ht="14" outlineLevel="0" r="29720">
      <c r="A29720" s="3" t="inlineStr">
        <is>
          <t>29582</t>
        </is>
      </c>
      <c r="B29720" s="4" t="s">
        <f>=HYPERLINK("http://anyluxury.ru/shop/elektronika/kompyuternye-i-mobilnye-aksessuary/kabelbrelok-3v1-cavi-beliy-v-podarochnoy-upakovke-8082002100/" , "8082002.100 Кабель-брелок 3в1 Cavi в подарочной упаковке, белый")</f>
      </c>
      <c r="C29720" s="4" t="n">
        <v>578.00</v>
      </c>
      <c r="D29720" s="4"/>
    </row>
    <row collapsed="" customFormat="false" customHeight="1" hidden="" ht="14" outlineLevel="0" r="29721">
      <c r="A29721" s="3" t="inlineStr">
        <is>
          <t>29583</t>
        </is>
      </c>
      <c r="B29721" s="4" t="s">
        <f>=HYPERLINK("http://anyluxury.ru/shop/elektronika/kompyuternye-i-mobilnye-aksessuary/nabor-adapterov-usb-a-i-usb-c-p300102/" , "P300.102 Набор адаптеров USB A и USB C")</f>
      </c>
      <c r="C29721" s="4" t="n">
        <v>439.00</v>
      </c>
      <c r="D29721" s="4"/>
    </row>
    <row collapsed="" customFormat="false" customHeight="1" hidden="" ht="14" outlineLevel="0" r="29722">
      <c r="A29722" s="3" t="inlineStr">
        <is>
          <t>29584</t>
        </is>
      </c>
      <c r="B29722" s="4" t="s">
        <f>=HYPERLINK("http://anyluxury.ru/shop/elektronika/kompyuternye-i-mobilnye-aksessuary/adapter-usb-ausb-c-p300152/" , "P300.152 Адаптер USB A/USB C")</f>
      </c>
      <c r="C29722" s="4" t="n">
        <v>203.00</v>
      </c>
      <c r="D29722" s="4"/>
    </row>
    <row collapsed="" customFormat="false" customHeight="1" hidden="" ht="14" outlineLevel="0" r="29723">
      <c r="A29723" s="3" t="inlineStr">
        <is>
          <t>29585</t>
        </is>
      </c>
      <c r="B29723" s="4" t="s">
        <f>=HYPERLINK("http://anyluxury.ru/shop/elektronika/kompyuternye-i-mobilnye-aksessuary/zaryadnaya-stanciya-revolt-a5-2111330/" , "21113.30 Зарядная станция ReVolt A5 для трех устройств")</f>
      </c>
      <c r="C29723" s="4" t="n">
        <v>5390.00</v>
      </c>
      <c r="D29723" s="4"/>
    </row>
    <row collapsed="" customFormat="false" customHeight="1" hidden="" ht="14" outlineLevel="0" r="29724">
      <c r="A29724" s="3" t="inlineStr">
        <is>
          <t>29586</t>
        </is>
      </c>
      <c r="B29724" s="4" t="s">
        <f>=HYPERLINK("http://anyluxury.ru/shop/elektronika/kompyuternye-i-mobilnye-aksessuary/smartchasi-canyon-lemongrass-sw70-serebristie-2112210/" , "21122.10 Смарт-часы Canyon Lemongrass SW70, серебристые")</f>
      </c>
      <c r="C29724" s="4" t="n">
        <v>3990.00</v>
      </c>
      <c r="D29724" s="4"/>
    </row>
    <row collapsed="" customFormat="false" customHeight="1" hidden="" ht="14" outlineLevel="0" r="29725">
      <c r="A29725" s="3" t="inlineStr">
        <is>
          <t>29587</t>
        </is>
      </c>
      <c r="B29725" s="4" t="s">
        <f>=HYPERLINK("http://anyluxury.ru/shop/elektronika/kompyuternye-i-mobilnye-aksessuary/smartchasi-canyon-lemongrass-sw70-chernie-2112230/" , "21122.30 Смарт-часы Canyon Lemongrass SW70, черные")</f>
      </c>
      <c r="C29725" s="4" t="n">
        <v>3990.00</v>
      </c>
      <c r="D29725" s="4"/>
    </row>
    <row collapsed="" customFormat="false" customHeight="1" hidden="" ht="14" outlineLevel="0" r="29726">
      <c r="A29726" s="3" t="inlineStr">
        <is>
          <t>29588</t>
        </is>
      </c>
      <c r="B29726" s="4" t="s">
        <f>=HYPERLINK("http://anyluxury.ru/shop/elektronika/kompyuternye-i-mobilnye-aksessuary/setevoe-zaryadnoe-ustroystvo-canyon-h07-2100630/" , "21006.30 Сетевое зарядное устройство Canyon H-07")</f>
      </c>
      <c r="C29726" s="4" t="n">
        <v>1290.00</v>
      </c>
      <c r="D29726" s="4"/>
    </row>
    <row collapsed="" customFormat="false" customHeight="1" hidden="" ht="14" outlineLevel="0" r="29727">
      <c r="A29727" s="3" t="inlineStr">
        <is>
          <t>29589</t>
        </is>
      </c>
      <c r="B29727" s="4" t="s">
        <f>=HYPERLINK("http://anyluxury.ru/shop/elektronika/kompyuternye-i-mobilnye-aksessuary/zaryadnaya-stanciya-revolt-a7-2111710/" , "21117.10 Зарядная станция ReVolt A7")</f>
      </c>
      <c r="C29727" s="4" t="n">
        <v>6690.00</v>
      </c>
      <c r="D29727" s="4"/>
    </row>
    <row collapsed="" customFormat="false" customHeight="1" hidden="" ht="14" outlineLevel="0" r="29728">
      <c r="A29728" s="3" t="inlineStr">
        <is>
          <t>29590</t>
        </is>
      </c>
      <c r="B29728" s="4" t="s">
        <f>=HYPERLINK("http://anyluxury.ru/shop/elektronika/kompyuternye-i-mobilnye-aksessuary/sumochka-dlya-telefona-apache-chernaya-1374730/" , "13747.30 Сумочка для телефона Apache, черная")</f>
      </c>
      <c r="C29728" s="4" t="n">
        <v>2480.00</v>
      </c>
      <c r="D29728" s="4"/>
    </row>
    <row collapsed="" customFormat="false" customHeight="1" hidden="" ht="14" outlineLevel="0" r="29729">
      <c r="A29729" s="3" t="inlineStr">
        <is>
          <t>29591</t>
        </is>
      </c>
      <c r="B29729" s="4" t="s">
        <f>=HYPERLINK("http://anyluxury.ru/shop/elektronika/kompyuternye-i-mobilnye-aksessuary/ekshnkamera-minkam-chernaya-13139/" , "13139 Экшн-камера Minkam, черная")</f>
      </c>
      <c r="C29729" s="4" t="n">
        <v>3690.00</v>
      </c>
      <c r="D29729" s="4"/>
    </row>
    <row collapsed="" customFormat="false" customHeight="1" hidden="" ht="14" outlineLevel="0" r="29730">
      <c r="A29730" s="3" t="inlineStr">
        <is>
          <t>29592</t>
        </is>
      </c>
      <c r="B29730" s="4" t="s">
        <f>=HYPERLINK("http://anyluxury.ru/shop/elektronika/kompyuternye-i-mobilnye-aksessuary/kleykaya-lenta-dlya-colop-emark-belaya-1414860/" , "14148.60 Клейкая лента для Colop e-mark, белая")</f>
      </c>
      <c r="C29730" s="4" t="n">
        <v>1690.00</v>
      </c>
      <c r="D29730" s="4"/>
    </row>
    <row collapsed="" customFormat="false" customHeight="1" hidden="" ht="14" outlineLevel="0" r="29731">
      <c r="A29731" s="3" t="inlineStr">
        <is>
          <t>29593</t>
        </is>
      </c>
      <c r="B29731" s="4" t="s">
        <f>=HYPERLINK("http://anyluxury.ru/shop/elektronika/kompyuternye-i-mobilnye-aksessuary/kleykaya-lenta-dlya-printera-colop-emark-prozrachnaya-1414800/" , "14148.00 Клейкая лента для принтера Colop e-mark, прозрачная")</f>
      </c>
      <c r="C29731" s="4" t="n">
        <v>1690.00</v>
      </c>
      <c r="D29731" s="4"/>
    </row>
    <row collapsed="" customFormat="false" customHeight="1" hidden="" ht="14" outlineLevel="0" r="29732">
      <c r="A29732" s="3" t="inlineStr">
        <is>
          <t>29594</t>
        </is>
      </c>
      <c r="B29732" s="4" t="s">
        <f>=HYPERLINK("http://anyluxury.ru/shop/elektronika/kompyuternye-i-mobilnye-aksessuary/termokleevaya-lenta-colop-emark-dlya-tekstilya-1414900/" , "14149.00 Термоклеевая лента Colop E-mark для текстиля")</f>
      </c>
      <c r="C29732" s="4" t="n">
        <v>1690.00</v>
      </c>
      <c r="D29732" s="4"/>
    </row>
    <row collapsed="" customFormat="false" customHeight="1" hidden="" ht="14" outlineLevel="0" r="29733">
      <c r="A29733" s="3" t="inlineStr">
        <is>
          <t>29595</t>
        </is>
      </c>
      <c r="B29733" s="4" t="s">
        <f>=HYPERLINK("http://anyluxury.ru/shop/elektronika/kompyuternye-i-mobilnye-aksessuary/nakleyki-colop-emark-1414600/" , "14146.00 Наклейки Colop E-mark")</f>
      </c>
      <c r="C29733" s="4" t="n">
        <v>1950.00</v>
      </c>
      <c r="D29733" s="4"/>
    </row>
    <row collapsed="" customFormat="false" customHeight="1" hidden="" ht="14" outlineLevel="0" r="29734">
      <c r="A29734" s="3" t="inlineStr">
        <is>
          <t>29596</t>
        </is>
      </c>
      <c r="B29734" s="4" t="s">
        <f>=HYPERLINK("http://anyluxury.ru/shop/elektronika/kompyuternye-i-mobilnye-aksessuary/sterilizator-c-besprovodnoy-zaryadkoy-handy-guard-cherniy-2199930/" , "21999.30 Стерилизатор c беспроводной зарядкой Handy Guard, черный")</f>
      </c>
      <c r="C29734" s="4" t="n">
        <v>1090.00</v>
      </c>
      <c r="D29734" s="4"/>
    </row>
    <row collapsed="" customFormat="false" customHeight="1" hidden="" ht="14" outlineLevel="0" r="29735">
      <c r="A29735" s="3" t="inlineStr">
        <is>
          <t>29597</t>
        </is>
      </c>
      <c r="B29735" s="4" t="s">
        <f>=HYPERLINK("http://anyluxury.ru/shop/elektronika/kompyuternye-i-mobilnye-aksessuary/derzhatel-dlya-zaryadki-telefona-varicolor-phone-holder-oranzheviy-1699320/" , "16993.20 Держатель для зарядки телефона Varicolor Phone Holder, оранжевый")</f>
      </c>
      <c r="C29735" s="4" t="n">
        <v>482.00</v>
      </c>
      <c r="D29735" s="4"/>
    </row>
    <row collapsed="" customFormat="false" customHeight="1" hidden="" ht="14" outlineLevel="0" r="29736">
      <c r="A29736" s="3" t="inlineStr">
        <is>
          <t>29598</t>
        </is>
      </c>
      <c r="B29736" s="4" t="s">
        <f>=HYPERLINK("http://anyluxury.ru/shop/elektronika/kompyuternye-i-mobilnye-aksessuary/derzhatel-dlya-zaryadki-telefona-varicolor-phone-holder-krasniy-1699350/" , "16993.50 Держатель для зарядки телефона Varicolor Phone Holder, красный")</f>
      </c>
      <c r="C29736" s="4" t="n">
        <v>482.00</v>
      </c>
      <c r="D29736" s="4"/>
    </row>
    <row collapsed="" customFormat="false" customHeight="1" hidden="" ht="14" outlineLevel="0" r="29737">
      <c r="A29737" s="3" t="inlineStr">
        <is>
          <t>29599</t>
        </is>
      </c>
      <c r="B29737" s="4" t="s">
        <f>=HYPERLINK("http://anyluxury.ru/shop/elektronika/kompyuternye-i-mobilnye-aksessuary/fitnes-braslet-mi-smart-band-6-cherniy-1329230/" , "13292.30 Фитнес браслет Mi Smart Band 6, черный")</f>
      </c>
      <c r="C29737" s="4" t="n">
        <v>3890.00</v>
      </c>
      <c r="D29737" s="4"/>
    </row>
    <row collapsed="" customFormat="false" customHeight="1" hidden="" ht="14" outlineLevel="0" r="29738">
      <c r="A29738" s="3" t="inlineStr">
        <is>
          <t>29600</t>
        </is>
      </c>
      <c r="B29738" s="4" t="s">
        <f>=HYPERLINK("http://anyluxury.ru/shop/elektronika/kompyuternye-i-mobilnye-aksessuary/usbhab-bamboo-s-typec-p308739/" , "P308.739 USB-хаб Bamboo с Type-C")</f>
      </c>
      <c r="C29738" s="4" t="n">
        <v>949.00</v>
      </c>
      <c r="D29738" s="4"/>
    </row>
    <row collapsed="" customFormat="false" customHeight="1" hidden="" ht="14" outlineLevel="0" r="29739">
      <c r="A29739" s="3" t="inlineStr">
        <is>
          <t>29601</t>
        </is>
      </c>
      <c r="B29739" s="4" t="s">
        <f>=HYPERLINK("http://anyluxury.ru/shop/elektronika/kompyuternye-i-mobilnye-aksessuary/besprovodnie-naushniki-iz-pererabotannogo-plastika-standart-rcs-p329661/" , "P329.661 Беспроводные наушники из переработанного пластика (стандарт RCS)")</f>
      </c>
      <c r="C29739" s="4" t="n">
        <v>3890.00</v>
      </c>
      <c r="D29739" s="4"/>
    </row>
    <row collapsed="" customFormat="false" customHeight="1" hidden="" ht="14" outlineLevel="0" r="29740">
      <c r="A29740" s="3" t="inlineStr">
        <is>
          <t>29602</t>
        </is>
      </c>
      <c r="B29740" s="4" t="s">
        <f>=HYPERLINK("http://anyluxury.ru/shop/elektronika/kompyuternye-i-mobilnye-aksessuary/naushniki-tws-iz-pererabotannogo-plastika-standart-rcs-p329671/" , "P329.671 Наушники TWS из переработанного пластика (стандарт RCS)")</f>
      </c>
      <c r="C29740" s="4" t="n">
        <v>3150.00</v>
      </c>
      <c r="D29740" s="4"/>
    </row>
    <row collapsed="" customFormat="false" customHeight="1" hidden="" ht="14" outlineLevel="0" r="29741">
      <c r="A29741" s="3" t="inlineStr">
        <is>
          <t>29603</t>
        </is>
      </c>
      <c r="B29741" s="4" t="s">
        <f>=HYPERLINK("http://anyluxury.ru/shop/elektronika/kompyuternye-i-mobilnye-aksessuary/kovrik-dlya-mishi-paddo-l-beliy-2012460/" , "20124.60 Коврик для мыши Paddo L, белый")</f>
      </c>
      <c r="C29741" s="4" t="n">
        <v>290.00</v>
      </c>
      <c r="D29741" s="4"/>
    </row>
    <row collapsed="" customFormat="false" customHeight="1" hidden="" ht="14" outlineLevel="0" r="29742">
      <c r="A29742" s="3" t="inlineStr">
        <is>
          <t>29604</t>
        </is>
      </c>
      <c r="B29742" s="4" t="s">
        <f>=HYPERLINK("http://anyluxury.ru/shop/elektronika/kompyuternye-i-mobilnye-aksessuary/kovrik-dlya-mishi-paddo-hl-beliy-2012560/" , "20125.60 Коврик для мыши Paddo ХL, белый")</f>
      </c>
      <c r="C29742" s="4" t="n">
        <v>349.00</v>
      </c>
      <c r="D29742" s="4"/>
    </row>
    <row collapsed="" customFormat="false" customHeight="1" hidden="" ht="14" outlineLevel="0" r="29743">
      <c r="A29743" s="3" t="inlineStr">
        <is>
          <t>29605</t>
        </is>
      </c>
      <c r="B29743" s="4" t="s">
        <f>=HYPERLINK("http://anyluxury.ru/shop/elektronika/kompyuternye-i-mobilnye-aksessuary/kovrik-dlya-mishi-paddo-hl-cherniy-2012530/" , "20125.30 Коврик для мыши Paddo ХL, черный")</f>
      </c>
      <c r="C29743" s="4" t="n">
        <v>349.00</v>
      </c>
      <c r="D29743" s="4"/>
    </row>
    <row collapsed="" customFormat="false" customHeight="1" hidden="" ht="14" outlineLevel="0" r="29744">
      <c r="A29744" s="3" t="inlineStr">
        <is>
          <t>29606</t>
        </is>
      </c>
      <c r="B29744" s="4" t="s">
        <f>=HYPERLINK("http://anyluxury.ru/shop/elektronika/kompyuternye-i-mobilnye-aksessuary/graficheskiy-planshet-mi-lcd-writing-tablet-135andquot-13377/" , "13377 Графический планшет Mi LCD Writing Tablet 13,5&amp;quot;")</f>
      </c>
      <c r="C29744" s="4" t="n">
        <v>2899.00</v>
      </c>
      <c r="D29744" s="4"/>
    </row>
    <row collapsed="" customFormat="false" customHeight="1" hidden="" ht="14" outlineLevel="0" r="29745">
      <c r="A29745" s="3" t="inlineStr">
        <is>
          <t>29607</t>
        </is>
      </c>
      <c r="B29745" s="4" t="s">
        <f>=HYPERLINK("http://anyluxury.ru/shop/elektronika/kompyuternye-i-mobilnye-aksessuary/magnitniy-derzhatel-dlya-smartfonov-inch-serebristiy-1328910/" , "13289.10 Магнитный держатель для смартфонов Inch, серебристый")</f>
      </c>
      <c r="C29745" s="4" t="n">
        <v>390.00</v>
      </c>
      <c r="D29745" s="4"/>
    </row>
    <row collapsed="" customFormat="false" customHeight="1" hidden="" ht="14" outlineLevel="0" r="29746">
      <c r="A29746" s="3" t="inlineStr">
        <is>
          <t>29608</t>
        </is>
      </c>
      <c r="B29746" s="4" t="s">
        <f>=HYPERLINK("http://anyluxury.ru/shop/elektronika/kompyuternye-i-mobilnye-aksessuary/magnitniy-derzhatel-dlya-smartfonov-finch-cherniy-1329030/" , "13290.30 Магнитный держатель для смартфонов Finch, черный")</f>
      </c>
      <c r="C29746" s="4" t="n">
        <v>635.00</v>
      </c>
      <c r="D29746" s="4"/>
    </row>
    <row collapsed="" customFormat="false" customHeight="1" hidden="" ht="14" outlineLevel="0" r="29747">
      <c r="A29747" s="3" t="inlineStr">
        <is>
          <t>29609</t>
        </is>
      </c>
      <c r="B29747" s="4" t="s">
        <f>=HYPERLINK("http://anyluxury.ru/shop/elektronika/kompyuternye-i-mobilnye-aksessuary/magnitniy-stikeradapter-magmate-cherniy-2202230/" , "22022.30 Магнитный стикер-адаптер Magmate, черный")</f>
      </c>
      <c r="C29747" s="4" t="n">
        <v>259.00</v>
      </c>
      <c r="D29747" s="4"/>
    </row>
    <row collapsed="" customFormat="false" customHeight="1" hidden="" ht="14" outlineLevel="0" r="29748">
      <c r="A29748" s="3" t="inlineStr">
        <is>
          <t>29610</t>
        </is>
      </c>
      <c r="B29748" s="4" t="s">
        <f>=HYPERLINK("http://anyluxury.ru/shop/elektronika/kompyuternye-i-mobilnye-aksessuary/magnitniy-stikeradapter-magmate-beliy-2202260/" , "22022.60 Магнитный стикер-адаптер Magmate, белый")</f>
      </c>
      <c r="C29748" s="4" t="n">
        <v>259.00</v>
      </c>
      <c r="D29748" s="4"/>
    </row>
    <row collapsed="" customFormat="false" customHeight="1" hidden="" ht="14" outlineLevel="0" r="29749">
      <c r="A29749" s="3" t="inlineStr">
        <is>
          <t>29611</t>
        </is>
      </c>
      <c r="B29749" s="4" t="s">
        <f>=HYPERLINK("http://anyluxury.ru/shop/elektronika/kompyuternye-i-mobilnye-aksessuary/magnitniy-derzhatel-dlya-smartfonov-winch-cherniy-1328830/" , "13288.30 Магнитный держатель для смартфонов Winch, черный")</f>
      </c>
      <c r="C29749" s="4" t="n">
        <v>675.00</v>
      </c>
      <c r="D29749" s="4"/>
    </row>
    <row collapsed="" customFormat="false" customHeight="1" hidden="" ht="14" outlineLevel="0" r="29750">
      <c r="A29750" s="3" t="inlineStr">
        <is>
          <t>29612</t>
        </is>
      </c>
      <c r="B29750" s="4" t="s">
        <f>=HYPERLINK("http://anyluxury.ru/shop/elektronika/kompyuternye-i-mobilnye-aksessuary/perchatki-sensornie-real-talk-krasnie-5280250/" , "52802.50 Перчатки сенсорные Real Talk, красные, размер S\\M")</f>
      </c>
      <c r="C29750" s="4" t="n">
        <v>555.00</v>
      </c>
      <c r="D29750" s="4"/>
    </row>
    <row collapsed="" customFormat="false" customHeight="1" hidden="" ht="14" outlineLevel="0" r="29751">
      <c r="A29751" s="3" t="inlineStr">
        <is>
          <t>29613</t>
        </is>
      </c>
      <c r="B29751" s="4" t="s">
        <f>=HYPERLINK("http://anyluxury.ru/shop/elektronika/kompyuternye-i-mobilnye-aksessuary/perchatki-sensornie-real-talk-sinie-5280240/" , "52802.40 Перчатки сенсорные Real Talk, синие, размер S\\M")</f>
      </c>
      <c r="C29751" s="4" t="n">
        <v>555.00</v>
      </c>
      <c r="D29751" s="4"/>
    </row>
    <row collapsed="" customFormat="false" customHeight="1" hidden="" ht="14" outlineLevel="0" r="29752">
      <c r="A29752" s="3" t="inlineStr">
        <is>
          <t>29614</t>
        </is>
      </c>
      <c r="B29752" s="4" t="s">
        <f>=HYPERLINK("http://anyluxury.ru/shop/elektronika/kompyuternye-i-mobilnye-aksessuary/perchatki-sensornie-real-talk-serie-5280210/" , "52802.10 Перчатки сенсорные Real Talk, серые, размер S/M")</f>
      </c>
      <c r="C29752" s="4" t="n">
        <v>555.00</v>
      </c>
      <c r="D29752" s="4"/>
    </row>
    <row collapsed="" customFormat="false" customHeight="1" hidden="" ht="14" outlineLevel="0" r="29753">
      <c r="A29753" s="3" t="inlineStr">
        <is>
          <t>29615</t>
        </is>
      </c>
      <c r="B29753" s="4" t="s">
        <f>=HYPERLINK("http://anyluxury.ru/shop/elektronika/kompyuternye-i-mobilnye-aksessuary/besprovodnie-naushniki-urban-vitamin-belmont-p329763/" , "P329.763 Беспроводные наушники Urban Vitamin Belmont")</f>
      </c>
      <c r="C29753" s="4" t="n">
        <v>5990.00</v>
      </c>
      <c r="D29753" s="4"/>
    </row>
    <row collapsed="" customFormat="false" customHeight="1" hidden="" ht="14" outlineLevel="0" r="29754">
      <c r="A29754" s="3" t="inlineStr">
        <is>
          <t>29616</t>
        </is>
      </c>
      <c r="B29754" s="4" t="s">
        <f>=HYPERLINK("http://anyluxury.ru/shop/elektronika/kompyuternye-i-mobilnye-aksessuary/besprovodnie-naushniki-urban-vitamin-fresno-p329755/" , "P329.755 Беспроводные наушники Urban Vitamin Fresno")</f>
      </c>
      <c r="C29754" s="4" t="n">
        <v>6790.00</v>
      </c>
      <c r="D29754" s="4"/>
    </row>
    <row collapsed="" customFormat="false" customHeight="1" hidden="" ht="14" outlineLevel="0" r="29755">
      <c r="A29755" s="3" t="inlineStr">
        <is>
          <t>29617</t>
        </is>
      </c>
      <c r="B29755" s="4" t="s">
        <f>=HYPERLINK("http://anyluxury.ru/shop/elektronika/kompyuternye-i-mobilnye-aksessuary/besprovodnie-naushniki-urban-vitamin-fresno-p329753/" , "P329.753 Беспроводные наушники Urban Vitamin Fresno")</f>
      </c>
      <c r="C29755" s="4" t="n">
        <v>6790.00</v>
      </c>
      <c r="D29755" s="4"/>
    </row>
    <row collapsed="" customFormat="false" customHeight="1" hidden="" ht="14" outlineLevel="0" r="29756">
      <c r="A29756" s="3" t="inlineStr">
        <is>
          <t>29618</t>
        </is>
      </c>
      <c r="B29756" s="4" t="s">
        <f>=HYPERLINK("http://anyluxury.ru/shop/elektronika/kompyuternye-i-mobilnye-aksessuary/besprovodnie-naushniki-urban-vitamin-fresno-p329751/" , "P329.751 Беспроводные наушники Urban Vitamin Fresno")</f>
      </c>
      <c r="C29756" s="4" t="n">
        <v>6790.00</v>
      </c>
      <c r="D29756" s="4"/>
    </row>
    <row collapsed="" customFormat="false" customHeight="1" hidden="" ht="14" outlineLevel="0" r="29757">
      <c r="A29757" s="3" t="inlineStr">
        <is>
          <t>29619</t>
        </is>
      </c>
      <c r="B29757" s="4" t="s">
        <f>=HYPERLINK("http://anyluxury.ru/shop/elektronika/kompyuternye-i-mobilnye-aksessuary/besprovodnie-naushniki-urban-vitamin-freemond-s-aktivnim-shumopodavleniem-anc-p329743/" , "P329.743 Беспроводные наушники Urban Vitamin Freemond с активным шумоподавлением ANC")</f>
      </c>
      <c r="C29757" s="4" t="n">
        <v>12250.00</v>
      </c>
      <c r="D29757" s="4"/>
    </row>
    <row collapsed="" customFormat="false" customHeight="1" hidden="" ht="14" outlineLevel="0" r="29758">
      <c r="A29758" s="3" t="inlineStr">
        <is>
          <t>29620</t>
        </is>
      </c>
      <c r="B29758" s="4" t="s">
        <f>=HYPERLINK("http://anyluxury.ru/shop/elektronika/kompyuternye-i-mobilnye-aksessuary/besprovodnie-naushniki-urban-vitamin-freemond-s-aktivnim-shumopodavleniem-anc-p329741/" , "P329.741 Беспроводные наушники Urban Vitamin Freemond с активным шумоподавлением ANC")</f>
      </c>
      <c r="C29758" s="4" t="n">
        <v>12250.00</v>
      </c>
      <c r="D29758" s="4"/>
    </row>
    <row collapsed="" customFormat="false" customHeight="1" hidden="" ht="14" outlineLevel="0" r="29759">
      <c r="A29759" s="3" t="inlineStr">
        <is>
          <t>29621</t>
        </is>
      </c>
      <c r="B29759" s="4" t="s">
        <f>=HYPERLINK("http://anyluxury.ru/shop/elektronika/kompyuternye-i-mobilnye-aksessuary/besprovodnie-naushniki-urban-vitamin-napa-p329725/" , "P329.725 Беспроводные наушники Urban Vitamin Napa")</f>
      </c>
      <c r="C29759" s="4" t="n">
        <v>6390.00</v>
      </c>
      <c r="D29759" s="4"/>
    </row>
    <row collapsed="" customFormat="false" customHeight="1" hidden="" ht="14" outlineLevel="0" r="29760">
      <c r="A29760" s="3" t="inlineStr">
        <is>
          <t>29622</t>
        </is>
      </c>
      <c r="B29760" s="4" t="s">
        <f>=HYPERLINK("http://anyluxury.ru/shop/elektronika/kompyuternye-i-mobilnye-aksessuary/besprovodnie-naushniki-urban-vitamin-alamo-s-aktivnim-shumopodavleniem-anc-p329711/" , "P329.711 Беспроводные наушники Urban Vitamin Alamo с активным шумоподавлением ANC")</f>
      </c>
      <c r="C29760" s="4" t="n">
        <v>7450.00</v>
      </c>
      <c r="D29760" s="4"/>
    </row>
    <row collapsed="" customFormat="false" customHeight="1" hidden="" ht="14" outlineLevel="0" r="29761">
      <c r="A29761" s="3" t="inlineStr">
        <is>
          <t>29623</t>
        </is>
      </c>
      <c r="B29761" s="4" t="s">
        <f>=HYPERLINK("http://anyluxury.ru/shop/elektronika/kompyuternye-i-mobilnye-aksessuary/ekshnkamera-digma-dicam-420-chernaya-14339/" , "14339 Экшн-камера Digma DiCam 420, черная")</f>
      </c>
      <c r="C29761" s="4" t="n">
        <v>5290.00</v>
      </c>
      <c r="D29761" s="4"/>
    </row>
    <row collapsed="" customFormat="false" customHeight="1" hidden="" ht="14" outlineLevel="0" r="29762">
      <c r="A29762" s="3" t="inlineStr">
        <is>
          <t>29624</t>
        </is>
      </c>
      <c r="B29762" s="4" t="s">
        <f>=HYPERLINK("http://anyluxury.ru/shop/elektronika/kompyuternye-i-mobilnye-aksessuary/ekshnkamera-digma-dicam-450-chernaya-14340/" , "14340 Экшн-камера Digma DiCam 450, черная")</f>
      </c>
      <c r="C29762" s="4" t="n">
        <v>4090.00</v>
      </c>
      <c r="D29762" s="4"/>
    </row>
    <row collapsed="" customFormat="false" customHeight="1" hidden="" ht="14" outlineLevel="0" r="29763">
      <c r="A29763" s="3" t="inlineStr">
        <is>
          <t>29625</t>
        </is>
      </c>
      <c r="B29763" s="4" t="s">
        <f>=HYPERLINK("http://anyluxury.ru/shop/elektronika/kompyuternye-i-mobilnye-aksessuary/ekshnkamera-digma-dicam-810-seraya-14384/" , "14384 Экшн-камера Digma DiCam 810, серая")</f>
      </c>
      <c r="C29763" s="4" t="n">
        <v>7990.00</v>
      </c>
      <c r="D29763" s="4"/>
    </row>
    <row collapsed="" customFormat="false" customHeight="1" hidden="" ht="14" outlineLevel="0" r="29764">
      <c r="A29764" s="3" t="inlineStr">
        <is>
          <t>29626</t>
        </is>
      </c>
      <c r="B29764" s="4" t="s">
        <f>=HYPERLINK("http://anyluxury.ru/shop/elektronika/kompyuternye-i-mobilnye-aksessuary/ekshnkamera-digma-dicam-850-chernaya-14385/" , "14385 Экшн-камера Digma DiCam 850, черная")</f>
      </c>
      <c r="C29764" s="4" t="n">
        <v>5690.00</v>
      </c>
      <c r="D29764" s="4"/>
    </row>
    <row collapsed="" customFormat="false" customHeight="1" hidden="" ht="14" outlineLevel="0" r="29765">
      <c r="A29765" s="3" t="inlineStr">
        <is>
          <t>29627</t>
        </is>
      </c>
      <c r="B29765" s="4" t="s">
        <f>=HYPERLINK("http://anyluxury.ru/shop/elektronika/kompyuternye-i-mobilnye-aksessuary/podstavka-dlya-telefona-handsfree-1435900/" , "14359.00 Подставка для телефона Handsfree")</f>
      </c>
      <c r="C29765" s="4" t="n">
        <v>696.00</v>
      </c>
      <c r="D29765" s="4"/>
    </row>
    <row collapsed="" customFormat="false" customHeight="1" hidden="" ht="14" outlineLevel="0" r="29766">
      <c r="A29766" s="3" t="inlineStr">
        <is>
          <t>29628</t>
        </is>
      </c>
      <c r="B29766" s="4" t="s">
        <f>=HYPERLINK("http://anyluxury.ru/shop/elektronika/kompyuternye-i-mobilnye-aksessuary/naushniki-tws-iz-pererabotannogo-plastika-standart-rcs-p329673/" , "P329.673 Наушники TWS из переработанного пластика (стандарт RCS)")</f>
      </c>
      <c r="C29766" s="4" t="n">
        <v>3150.00</v>
      </c>
      <c r="D29766" s="4"/>
    </row>
    <row collapsed="" customFormat="false" customHeight="1" hidden="" ht="14" outlineLevel="0" r="29767">
      <c r="A29767" s="3" t="inlineStr">
        <is>
          <t>29629</t>
        </is>
      </c>
      <c r="B29767" s="4" t="s">
        <f>=HYPERLINK("http://anyluxury.ru/shop/elektronika/kompyuternye-i-mobilnye-aksessuary/besprovodnie-naushniki-iz-pererabotannogo-plastika-standart-rcs-p329663/" , "P329.663 Беспроводные наушники из переработанного пластика (стандарт RCS)")</f>
      </c>
      <c r="C29767" s="4" t="n">
        <v>3890.00</v>
      </c>
      <c r="D29767" s="4"/>
    </row>
    <row collapsed="" customFormat="false" customHeight="1" hidden="" ht="14" outlineLevel="0" r="29768">
      <c r="A29768" s="3" t="inlineStr">
        <is>
          <t>29630</t>
        </is>
      </c>
      <c r="B29768" s="4" t="s">
        <f>=HYPERLINK("http://anyluxury.ru/shop/elektronika/kompyuternye-i-mobilnye-aksessuary/fitnesbraslet-mi-smart-band-7-cherniy-1475430/" , "14754.30 Фитнес-браслет Mi Smart Band 7, черный")</f>
      </c>
      <c r="C29768" s="4" t="n">
        <v>5290.00</v>
      </c>
      <c r="D29768" s="4"/>
    </row>
    <row collapsed="" customFormat="false" customHeight="1" hidden="" ht="14" outlineLevel="0" r="29769">
      <c r="A29769" s="3" t="inlineStr">
        <is>
          <t>29631</t>
        </is>
      </c>
      <c r="B29769" s="4" t="s">
        <f>=HYPERLINK("http://anyluxury.ru/shop/elektronika/kompyuternye-i-mobilnye-aksessuary/ekshnkamera-digma-dicam-520-seraya-14749/" , "14749 Экшн-камера Digma DiCam 520, серая")</f>
      </c>
      <c r="C29769" s="4" t="n">
        <v>5490.00</v>
      </c>
      <c r="D29769" s="4"/>
    </row>
    <row collapsed="" customFormat="false" customHeight="1" hidden="" ht="14" outlineLevel="0" r="29770">
      <c r="A29770" s="3" t="inlineStr">
        <is>
          <t>29632</t>
        </is>
      </c>
      <c r="B29770" s="4" t="s">
        <f>=HYPERLINK("http://anyluxury.ru/shop/elektronika/kompyuternye-i-mobilnye-aksessuary/smartchasi-redmi-watch-2-lite-chernie-1493730/" , "14937.30 Смарт-часы Redmi Watch 2 Lite, черные")</f>
      </c>
      <c r="C29770" s="4" t="n">
        <v>6390.00</v>
      </c>
      <c r="D29770" s="4"/>
    </row>
    <row collapsed="" customFormat="false" customHeight="1" hidden="" ht="14" outlineLevel="0" r="29771">
      <c r="A29771" s="3" t="inlineStr">
        <is>
          <t>29633</t>
        </is>
      </c>
      <c r="B29771" s="4" t="s">
        <f>=HYPERLINK("http://anyluxury.ru/shop/elektronika/kompyuternye-i-mobilnye-aksessuary/wifi-router-archer-c6u-15357/" , "15357 Wi-Fi роутер Archer C6U")</f>
      </c>
      <c r="C29771" s="4" t="n">
        <v>4490.00</v>
      </c>
      <c r="D29771" s="4"/>
    </row>
    <row collapsed="" customFormat="false" customHeight="1" hidden="" ht="14" outlineLevel="0" r="29772">
      <c r="A29772" s="3" t="inlineStr">
        <is>
          <t>29634</t>
        </is>
      </c>
      <c r="B29772" s="4" t="s">
        <f>=HYPERLINK("http://anyluxury.ru/shop/elektronika/kompyuternye-i-mobilnye-aksessuary/wifi-router-tlwr820n-15358/" , "15358 Wi-Fi роутер TL-WR820N")</f>
      </c>
      <c r="C29772" s="4" t="n">
        <v>1249.00</v>
      </c>
      <c r="D29772" s="4"/>
    </row>
    <row collapsed="" customFormat="false" customHeight="1" hidden="" ht="14" outlineLevel="0" r="29773">
      <c r="A29773" s="3" t="inlineStr">
        <is>
          <t>29635</t>
        </is>
      </c>
      <c r="B29773" s="4" t="s">
        <f>=HYPERLINK("http://anyluxury.ru/shop/elektronika/kompyuternye-i-mobilnye-aksessuary/wifi-router-tlwr840n-15359/" , "15359 Wi-Fi роутер TL-WR840N")</f>
      </c>
      <c r="C29773" s="4" t="n">
        <v>1590.00</v>
      </c>
      <c r="D29773" s="4"/>
    </row>
    <row collapsed="" customFormat="false" customHeight="1" hidden="" ht="14" outlineLevel="0" r="29774">
      <c r="A29774" s="3" t="inlineStr">
        <is>
          <t>29636</t>
        </is>
      </c>
      <c r="B29774" s="4" t="s">
        <f>=HYPERLINK("http://anyluxury.ru/shop/elektronika/kompyuternye-i-mobilnye-aksessuary/kamera-tapo-c210-15361/" , "15361 Камера Tapo C210")</f>
      </c>
      <c r="C29774" s="4" t="n">
        <v>4590.00</v>
      </c>
      <c r="D29774" s="4"/>
    </row>
    <row collapsed="" customFormat="false" customHeight="1" hidden="" ht="14" outlineLevel="0" r="29775">
      <c r="A29775" s="3" t="inlineStr">
        <is>
          <t>29637</t>
        </is>
      </c>
      <c r="B29775" s="4" t="s">
        <f>=HYPERLINK("http://anyluxury.ru/shop/elektronika/kompyuternye-i-mobilnye-aksessuary/bluetooth-naushniki-stereoband-ver2-belie-289961/" , "2899.61 Bluetooth наушники stereoBand, ver.2, белые")</f>
      </c>
      <c r="C29775" s="4" t="n">
        <v>929.00</v>
      </c>
      <c r="D29775" s="4"/>
    </row>
    <row collapsed="" customFormat="false" customHeight="1" hidden="" ht="14" outlineLevel="0" r="29776">
      <c r="A29776" s="3" t="inlineStr">
        <is>
          <t>29638</t>
        </is>
      </c>
      <c r="B29776" s="4" t="s">
        <f>=HYPERLINK("http://anyluxury.ru/shop/elektronika/kompyuternye-i-mobilnye-aksessuary/bluetooth-naushniki-stereoband-ver2-chernie-289931/" , "2899.31 Bluetooth наушники stereoBand, ver.2, черные")</f>
      </c>
      <c r="C29776" s="4" t="n">
        <v>929.00</v>
      </c>
      <c r="D29776" s="4"/>
    </row>
    <row collapsed="" customFormat="false" customHeight="1" hidden="" ht="14" outlineLevel="0" r="29777">
      <c r="A29777" s="3" t="inlineStr">
        <is>
          <t>29639</t>
        </is>
      </c>
      <c r="B29777" s="4" t="s">
        <f>=HYPERLINK("http://anyluxury.ru/shop/elektronika/kompyuternye-i-mobilnye-aksessuary/naushniki-urban-vitamin-palm-springs-enc-iz-pererabotannogo-plastika-rcs-p329815/" , "P329.815 Наушники Urban Vitamin Palm Springs ENC из переработанного пластика RCS")</f>
      </c>
      <c r="C29777" s="4" t="n">
        <v>5190.00</v>
      </c>
      <c r="D29777" s="4"/>
    </row>
    <row collapsed="" customFormat="false" customHeight="1" hidden="" ht="14" outlineLevel="0" r="29778">
      <c r="A29778" s="3" t="inlineStr">
        <is>
          <t>29640</t>
        </is>
      </c>
      <c r="B29778" s="4" t="s">
        <f>=HYPERLINK("http://anyluxury.ru/shop/elektronika/kompyuternye-i-mobilnye-aksessuary/dokstanciya-s-2-katushkami-dlya-besprovodnoy-zaryadki-iz-pererabotannogo-plastika-rcs-15-vt-p308523/" , "P308.523 Док-станция с 2 катушками для беспроводной зарядки из переработанного пластика RCS, 15 Вт")</f>
      </c>
      <c r="C29778" s="4" t="n">
        <v>1990.00</v>
      </c>
      <c r="D29778" s="4"/>
    </row>
    <row collapsed="" customFormat="false" customHeight="1" hidden="" ht="14" outlineLevel="0" r="29779">
      <c r="A29779" s="3" t="inlineStr">
        <is>
          <t>29641</t>
        </is>
      </c>
      <c r="B29779" s="4" t="s">
        <f>=HYPERLINK("http://anyluxury.ru/shop/elektronika/kompyuternye-i-mobilnye-aksessuary/naushniki-urban-vitamin-palm-springs-enc-iz-pererabotannogo-plastika-rcs-p329813/" , "P329.813 Наушники Urban Vitamin Palm Springs ENC из переработанного пластика RCS")</f>
      </c>
      <c r="C29779" s="4" t="n">
        <v>5190.00</v>
      </c>
      <c r="D29779" s="4"/>
    </row>
    <row collapsed="" customFormat="false" customHeight="1" hidden="" ht="14" outlineLevel="0" r="29780">
      <c r="A29780" s="3" t="inlineStr">
        <is>
          <t>29642</t>
        </is>
      </c>
      <c r="B29780" s="4" t="s">
        <f>=HYPERLINK("http://anyluxury.ru/shop/elektronika/kompyuternye-i-mobilnye-aksessuary/naushniki-urban-vitamin-palm-springs-enc-iz-pererabotannogo-plastika-rcs-p329811/" , "P329.811 Наушники Urban Vitamin Palm Springs ENC из переработанного пластика RCS")</f>
      </c>
      <c r="C29780" s="4" t="n">
        <v>5190.00</v>
      </c>
      <c r="D29780" s="4"/>
    </row>
    <row collapsed="" customFormat="false" customHeight="1" hidden="" ht="14" outlineLevel="0" r="29781">
      <c r="A29781" s="3" t="inlineStr">
        <is>
          <t>29643</t>
        </is>
      </c>
      <c r="B29781" s="4" t="s">
        <f>=HYPERLINK("http://anyluxury.ru/shop/elektronika/kompyuternye-i-mobilnye-aksessuary/dokstanciya-s-2-katushkami-dlya-besprovodnoy-zaryadki-iz-pererabotannogo-plastika-rcs-15-vt-p308521/" , "P308.521 Док-станция с 2 катушками для беспроводной зарядки из переработанного пластика RCS, 15 Вт")</f>
      </c>
      <c r="C29781" s="4" t="n">
        <v>1990.00</v>
      </c>
      <c r="D29781" s="4"/>
    </row>
    <row collapsed="" customFormat="false" customHeight="1" hidden="" ht="14" outlineLevel="0" r="29782">
      <c r="A29782" s="3" t="inlineStr">
        <is>
          <t>29644</t>
        </is>
      </c>
      <c r="B29782" s="4" t="s">
        <f>=HYPERLINK("http://anyluxury.ru/shop/elektronika/kompyuternye-i-mobilnye-aksessuary/kabel-6v1-urban-vitamin-oakland-iz-pererabotannogo-plastika-rcs-dlya-bistroy-zaryadki-45-vt-p302701/" , "P302.701 Кабель 6-в-1 Urban Vitamin Oakland из переработанного пластика RCS для быстрой зарядки 45 Вт")</f>
      </c>
      <c r="C29782" s="4" t="n">
        <v>2079.00</v>
      </c>
      <c r="D29782" s="4"/>
    </row>
    <row collapsed="" customFormat="false" customHeight="1" hidden="" ht="14" outlineLevel="0" r="29783">
      <c r="A29783" s="3" t="inlineStr">
        <is>
          <t>29645</t>
        </is>
      </c>
      <c r="B29783" s="4" t="s">
        <f>=HYPERLINK("http://anyluxury.ru/shop/elektronika/kompyuternye-i-mobilnye-aksessuary/kabel-6v1-urban-vitamin-oakland-iz-pererabotannogo-plastika-rcs-dlya-bistroy-zaryadki-45-vt-p302703/" , "P302.703 Кабель 6-в-1 Urban Vitamin Oakland из переработанного пластика RCS для быстрой зарядки 45 Вт")</f>
      </c>
      <c r="C29783" s="4" t="n">
        <v>2079.00</v>
      </c>
      <c r="D29783" s="4"/>
    </row>
    <row collapsed="" customFormat="false" customHeight="1" hidden="" ht="14" outlineLevel="0" r="29784">
      <c r="A29784" s="3" t="inlineStr">
        <is>
          <t>29646</t>
        </is>
      </c>
      <c r="B29784" s="4" t="s">
        <f>=HYPERLINK("http://anyluxury.ru/shop/elektronika/kompyuternye-i-mobilnye-aksessuary/kabel-6v1-urban-vitamin-oakland-iz-pererabotannogo-plastika-rcs-dlya-bistroy-zaryadki-45-vt-p302705/" , "P302.705 Кабель 6-в-1 Urban Vitamin Oakland из переработанного пластика RCS для быстрой зарядки 45 Вт")</f>
      </c>
      <c r="C29784" s="4" t="n">
        <v>2079.00</v>
      </c>
      <c r="D29784" s="4"/>
    </row>
    <row collapsed="" customFormat="false" customHeight="1" hidden="" ht="14" outlineLevel="0" r="29785">
      <c r="A29785" s="3" t="inlineStr">
        <is>
          <t>29647</t>
        </is>
      </c>
      <c r="B29785" s="4" t="s">
        <f>=HYPERLINK("http://anyluxury.ru/shop/elektronika/kompyuternye-i-mobilnye-aksessuary/dokstanciya-3v1-urban-vitamin-fairfield-iz-pererabotannogo-plastika-rcs-p308361/" , "P308.361 Док-станция 3-в-1 Urban Vitamin Fairfield из переработанного пластика RCS")</f>
      </c>
      <c r="C29785" s="4" t="n">
        <v>4690.00</v>
      </c>
      <c r="D29785" s="4"/>
    </row>
    <row collapsed="" customFormat="false" customHeight="1" hidden="" ht="14" outlineLevel="0" r="29786">
      <c r="A29786" s="3" t="inlineStr">
        <is>
          <t>29648</t>
        </is>
      </c>
      <c r="B29786" s="4" t="s">
        <f>=HYPERLINK("http://anyluxury.ru/shop/elektronika/kompyuternye-i-mobilnye-aksessuary/kabel-6v1-iz-pererabotannogo-plastika-rcs-i-pererabotannogo-tpe-p302481/" , "P302.481 Кабель 6-в-1 из переработанного пластика RCS и переработанного TPE")</f>
      </c>
      <c r="C29786" s="4" t="n">
        <v>1039.00</v>
      </c>
      <c r="D29786" s="4"/>
    </row>
    <row collapsed="" customFormat="false" customHeight="1" hidden="" ht="14" outlineLevel="0" r="29787">
      <c r="A29787" s="3" t="inlineStr">
        <is>
          <t>29649</t>
        </is>
      </c>
      <c r="B29787" s="4" t="s">
        <f>=HYPERLINK("http://anyluxury.ru/shop/elektronika/kompyuternye-i-mobilnye-aksessuary/kabel-ontario-6v1-iz-pererabotannogo-plastika-rcs-p302463/" , "P302.463 Кабель Ontario 6-в-1 из переработанного пластика RCS")</f>
      </c>
      <c r="C29787" s="4" t="n">
        <v>999.00</v>
      </c>
      <c r="D29787" s="4"/>
    </row>
    <row collapsed="" customFormat="false" customHeight="1" hidden="" ht="14" outlineLevel="0" r="29788">
      <c r="A29788" s="3" t="inlineStr">
        <is>
          <t>29650</t>
        </is>
      </c>
      <c r="B29788" s="4" t="s">
        <f>=HYPERLINK("http://anyluxury.ru/shop/elektronika/kompyuternye-i-mobilnye-aksessuary/krugliy-kabel-ontario-6v1-iz-pererabotannogo-plastika-rcs-p302473/" , "P302.473 Круглый кабель Ontario 6-в-1 из переработанного пластика RCS")</f>
      </c>
      <c r="C29788" s="4" t="n">
        <v>799.00</v>
      </c>
      <c r="D29788" s="4"/>
    </row>
    <row collapsed="" customFormat="false" customHeight="1" hidden="" ht="14" outlineLevel="0" r="29789">
      <c r="A29789" s="3" t="inlineStr">
        <is>
          <t>29651</t>
        </is>
      </c>
      <c r="B29789" s="4" t="s">
        <f>=HYPERLINK("http://anyluxury.ru/shop/elektronika/kompyuternye-i-mobilnye-aksessuary/naushniki-tws-s-rgbpodsvetkoy-i-tehnologiey-enc-p329201/" , "P329.201 Наушники TWS с RGB-подсветкой и технологией ENC")</f>
      </c>
      <c r="C29789" s="4" t="n">
        <v>7600.00</v>
      </c>
      <c r="D29789" s="4"/>
    </row>
    <row collapsed="" customFormat="false" customHeight="1" hidden="" ht="14" outlineLevel="0" r="29790">
      <c r="A29790" s="3" t="inlineStr">
        <is>
          <t>29652</t>
        </is>
      </c>
      <c r="B29790" s="4" t="s">
        <f>=HYPERLINK("http://anyluxury.ru/shop/elektronika/kompyuternye-i-mobilnye-aksessuary/besprovodnie-naushniki-liberty-pro-iz-pererabotannogo-plastika-rcs-p329583/" , "P329.583 Беспроводные наушники Liberty Pro из переработанного пластика RCS")</f>
      </c>
      <c r="C29790" s="4" t="n">
        <v>2490.00</v>
      </c>
      <c r="D29790" s="4"/>
    </row>
    <row collapsed="" customFormat="false" customHeight="1" hidden="" ht="14" outlineLevel="0" r="29791">
      <c r="A29791" s="3" t="inlineStr">
        <is>
          <t>29653</t>
        </is>
      </c>
      <c r="B29791" s="4" t="s">
        <f>=HYPERLINK("http://anyluxury.ru/shop/elektronika/kompyuternye-i-mobilnye-aksessuary/besprovodnie-naushniki-terra-iz-pererabotannogo-alyuminiya-rcs-p329882/" , "P329.882 Беспроводные наушники Terra из переработанного алюминия RCS")</f>
      </c>
      <c r="C29791" s="4" t="n">
        <v>5150.00</v>
      </c>
      <c r="D29791" s="4"/>
    </row>
    <row collapsed="" customFormat="false" customHeight="1" hidden="" ht="14" outlineLevel="0" r="29792">
      <c r="A29792" s="3" t="inlineStr">
        <is>
          <t>29654</t>
        </is>
      </c>
      <c r="B29792" s="4" t="s">
        <f>=HYPERLINK("http://anyluxury.ru/shop/elektronika/kompyuternye-i-mobilnye-aksessuary/besprovodnie-naushniki-tws-iz-bambuka-fscr-i-pererabotannogo-plastika-rcs-p329861/" , "P329.861 Беспроводные наушники TWS из бамбука FSC® и переработанного пластика RCS")</f>
      </c>
      <c r="C29792" s="4" t="n">
        <v>3190.00</v>
      </c>
      <c r="D29792" s="4"/>
    </row>
    <row collapsed="" customFormat="false" customHeight="1" hidden="" ht="14" outlineLevel="0" r="29793">
      <c r="A29793" s="3" t="inlineStr">
        <is>
          <t>29655</t>
        </is>
      </c>
      <c r="B29793" s="4" t="s">
        <f>=HYPERLINK("http://anyluxury.ru/shop/elektronika/kompyuternye-i-mobilnye-aksessuary/besprovodnie-naushniki-tws-iz-bambuka-fscr-i-pererabotannogo-plastika-rcs-p329863/" , "P329.863 Беспроводные наушники TWS из бамбука FSC® и переработанного пластика RCS")</f>
      </c>
      <c r="C29793" s="4" t="n">
        <v>3190.00</v>
      </c>
      <c r="D29793" s="4"/>
    </row>
    <row collapsed="" customFormat="false" customHeight="1" hidden="" ht="14" outlineLevel="0" r="29794">
      <c r="A29794" s="3" t="inlineStr">
        <is>
          <t>29656</t>
        </is>
      </c>
      <c r="B29794" s="4" t="s">
        <f>=HYPERLINK("http://anyluxury.ru/shop/elektronika/kompyuternye-i-mobilnye-aksessuary/kabel-terra-6v1-iz-pererabotannogo-alyuminiya-rcs-p302672/" , "P302.672 Кабель Terra 6-в-1 из переработанного алюминия RCS")</f>
      </c>
      <c r="C29794" s="4" t="n">
        <v>1089.00</v>
      </c>
      <c r="D29794" s="4"/>
    </row>
    <row collapsed="" customFormat="false" customHeight="1" hidden="" ht="14" outlineLevel="0" r="29795">
      <c r="A29795" s="3" t="inlineStr">
        <is>
          <t>29657</t>
        </is>
      </c>
      <c r="B29795" s="4" t="s">
        <f>=HYPERLINK("http://anyluxury.ru/shop/elektronika/kompyuternye-i-mobilnye-aksessuary/kabel-terra-6v1-iz-pererabotannogo-alyuminiya-rcs-120-sm-p302682/" , "P302.682 Кабель Terra 6-в-1 из переработанного алюминия RCS, 120 см")</f>
      </c>
      <c r="C29795" s="4" t="n">
        <v>1149.00</v>
      </c>
      <c r="D29795" s="4"/>
    </row>
    <row collapsed="" customFormat="false" customHeight="1" hidden="" ht="14" outlineLevel="0" r="29796">
      <c r="A29796" s="3" t="inlineStr">
        <is>
          <t>29658</t>
        </is>
      </c>
      <c r="B29796" s="4" t="s">
        <f>=HYPERLINK("http://anyluxury.ru/shop/elektronika/kompyuternye-i-mobilnye-aksessuary/skladnie-besprovodnie-naushniki-elite-iz-bambuka-fscr-i-pererabotannogo-plastika-rcs-p329681/" , "P329.681 Складные беспроводные наушники Elite из бамбука FSC® и переработанного пластика RCS")</f>
      </c>
      <c r="C29796" s="4" t="n">
        <v>3750.00</v>
      </c>
      <c r="D29796" s="4"/>
    </row>
    <row collapsed="" customFormat="false" customHeight="1" hidden="" ht="14" outlineLevel="0" r="29797">
      <c r="A29797" s="3" t="inlineStr">
        <is>
          <t>29659</t>
        </is>
      </c>
      <c r="B29797" s="4" t="s">
        <f>=HYPERLINK("http://anyluxury.ru/shop/elektronika/kompyuternye-i-mobilnye-aksessuary/chehol-dlya-karti-na-telefon-nicolaus-krasniy-2332750/" , "23327.50 Чехол для карты на телефон Nicolaus, красный")</f>
      </c>
      <c r="C29797" s="4" t="n">
        <v>181.00</v>
      </c>
      <c r="D29797" s="4"/>
    </row>
    <row collapsed="" customFormat="false" customHeight="1" hidden="" ht="14" outlineLevel="0" r="29798">
      <c r="A29798" s="3" t="inlineStr">
        <is>
          <t>29660</t>
        </is>
      </c>
      <c r="B29798" s="4" t="s">
        <f>=HYPERLINK("http://anyluxury.ru/shop/elektronika/kompyuternye-i-mobilnye-aksessuary/chehol-dlya-noutbuka-nubuk-biryuzoviy-1808049/" , "18080.49 Чехол для ноутбука Nubuk, бирюзовый")</f>
      </c>
      <c r="C29798" s="4" t="n">
        <v>3247.00</v>
      </c>
      <c r="D29798" s="4"/>
    </row>
    <row collapsed="" customFormat="false" customHeight="1" hidden="" ht="14" outlineLevel="0" r="29799">
      <c r="A29799" s="3" t="inlineStr">
        <is>
          <t>29661</t>
        </is>
      </c>
      <c r="B29799" s="4" t="s">
        <f>=HYPERLINK("http://anyluxury.ru/shop/elektronika/kompyuternye-i-mobilnye-aksessuary/chehol-dlya-noutbuka-nubuk-siniy-1808040/" , "18080.40 Чехол для ноутбука Nubuk, синий")</f>
      </c>
      <c r="C29799" s="4" t="n">
        <v>3247.00</v>
      </c>
      <c r="D29799" s="4"/>
    </row>
    <row collapsed="" customFormat="false" customHeight="1" hidden="" ht="14" outlineLevel="0" r="29800">
      <c r="A29800" s="3" t="inlineStr">
        <is>
          <t>29662</t>
        </is>
      </c>
      <c r="B29800" s="4" t="s">
        <f>=HYPERLINK("http://anyluxury.ru/shop/elektronika/kompyuternye-i-mobilnye-aksessuary/fitnesbraslet-xiaomi-redmi-smart-band-2-cherniy-1573430/" , "15734.30 Фитнес-браслет Xiaomi Redmi Smart Band 2, черный")</f>
      </c>
      <c r="C29800" s="4" t="n">
        <v>3190.00</v>
      </c>
      <c r="D29800" s="4"/>
    </row>
    <row collapsed="" customFormat="false" customHeight="1" hidden="" ht="14" outlineLevel="0" r="29801">
      <c r="A29801" s="3" t="inlineStr">
        <is>
          <t>29663</t>
        </is>
      </c>
      <c r="B29801" s="4" t="s">
        <f>=HYPERLINK("http://anyluxury.ru/shop/elektronika/kompyuternye-i-mobilnye-aksessuary/besprovodnie-naushniki-sonic-sense-chernie-2499930/" , "24999.30 Беспроводные наушники Sonic Sense, черные")</f>
      </c>
      <c r="C29801" s="4" t="n">
        <v>1290.00</v>
      </c>
      <c r="D29801" s="4"/>
    </row>
    <row collapsed="" customFormat="false" customHeight="1" hidden="" ht="14" outlineLevel="0" r="29802">
      <c r="A29802" s="3" t="inlineStr">
        <is>
          <t>29664</t>
        </is>
      </c>
      <c r="B29802" s="4" t="s">
        <f>=HYPERLINK("http://anyluxury.ru/shop/elektronika/kompyuternye-i-mobilnye-aksessuary/besprovodnie-naushniki-sonic-sense-belie-2499960/" , "24999.60 Беспроводные наушники Sonic Sense, белые")</f>
      </c>
      <c r="C29802" s="4" t="n">
        <v>1290.00</v>
      </c>
      <c r="D29802" s="4"/>
    </row>
    <row collapsed="" customFormat="false" customHeight="1" hidden="" ht="14" outlineLevel="0" r="29803">
      <c r="A29803" s="3" t="inlineStr">
        <is>
          <t>29665</t>
        </is>
      </c>
      <c r="B29803" s="4" t="s">
        <f>=HYPERLINK("http://anyluxury.ru/shop/elektronika/kompyuternye-i-mobilnye-aksessuary/besprovodnie-naushniki-jbl-t510bt-sinie-1691940/" , "16919.40 Беспроводные наушники JBL T510BT, синие")</f>
      </c>
      <c r="C29803" s="4" t="n">
        <v>6790.00</v>
      </c>
      <c r="D29803" s="4"/>
    </row>
    <row collapsed="" customFormat="false" customHeight="1" hidden="" ht="14" outlineLevel="0" r="29804">
      <c r="A29804" s="3" t="inlineStr">
        <is>
          <t>29666</t>
        </is>
      </c>
      <c r="B29804" s="4" t="s">
        <f>=HYPERLINK("http://anyluxury.ru/shop/elektronika/kompyuternye-i-mobilnye-aksessuary/smartchasi-digma-smartline-r1-15973/" , "15973 Смарт-часы Digma Smartline R1")</f>
      </c>
      <c r="C29804" s="4" t="n">
        <v>1390.00</v>
      </c>
      <c r="D29804" s="4"/>
    </row>
    <row collapsed="" customFormat="false" customHeight="1" hidden="" ht="14" outlineLevel="0" r="29805">
      <c r="A29805" s="3" t="inlineStr">
        <is>
          <t>29667</t>
        </is>
      </c>
      <c r="B29805" s="4" t="s">
        <f>=HYPERLINK("http://anyluxury.ru/shop/elektronika/kompyuternye-i-mobilnye-aksessuary/smartchasi-digma-smartline-d4-15974/" , "15974 Смарт-часы Digma Smartline D4")</f>
      </c>
      <c r="C29805" s="4" t="n">
        <v>3290.00</v>
      </c>
      <c r="D29805" s="4"/>
    </row>
    <row collapsed="" customFormat="false" customHeight="1" hidden="" ht="14" outlineLevel="0" r="29806">
      <c r="A29806" s="3" t="inlineStr">
        <is>
          <t>29668</t>
        </is>
      </c>
      <c r="B29806" s="4" t="s">
        <f>=HYPERLINK("http://anyluxury.ru/shop/elektronika/kompyuternye-i-mobilnye-aksessuary/podstavka-dlya-noutbuka-s-usbhabom-scaffold-hub-serebristiy-metallik-1592610/" , "15926.10 Подставка для ноутбука с USB-хабом Scaffold Hub, серебристый металлик")</f>
      </c>
      <c r="C29806" s="4" t="n">
        <v>2899.00</v>
      </c>
      <c r="D29806" s="4"/>
    </row>
    <row collapsed="" customFormat="false" customHeight="1" hidden="" ht="14" outlineLevel="0" r="29807">
      <c r="A29807" s="3" t="inlineStr">
        <is>
          <t>29669</t>
        </is>
      </c>
      <c r="B29807" s="4" t="s">
        <f>=HYPERLINK("http://anyluxury.ru/shop/elektronika/kompyuternye-i-mobilnye-aksessuary/podstavka-dlya-noutbuka-i-plansheta-scaffold-light-serebristaya-1619810/" , "16198.10 Подставка для ноутбука и планшета Scaffold Light, серебристая")</f>
      </c>
      <c r="C29807" s="4" t="n">
        <v>1290.00</v>
      </c>
      <c r="D29807" s="4"/>
    </row>
    <row collapsed="" customFormat="false" customHeight="1" hidden="" ht="14" outlineLevel="0" r="29808">
      <c r="A29808" s="3" t="inlineStr">
        <is>
          <t>29670</t>
        </is>
      </c>
      <c r="B29808" s="4" t="s">
        <f>=HYPERLINK("http://anyluxury.ru/shop/elektronika/kompyuternye-i-mobilnye-aksessuary/podstavka-dlya-noutbuka-i-plansheta-scaffold-light-chernaya-1619830/" , "16198.30 Подставка для ноутбука и планшета Scaffold Light, черная")</f>
      </c>
      <c r="C29808" s="4" t="n">
        <v>1290.00</v>
      </c>
      <c r="D29808" s="4"/>
    </row>
    <row collapsed="" customFormat="false" customHeight="1" hidden="" ht="14" outlineLevel="0" r="29809">
      <c r="A29809" s="3" t="inlineStr">
        <is>
          <t>29671</t>
        </is>
      </c>
      <c r="B29809" s="4" t="s">
        <f>=HYPERLINK("http://anyluxury.ru/shop/elektronika/kompyuternye-i-mobilnye-aksessuary/fitnesbraslet-mi-smart-band-8-cherniy-1694330/" , "16943.30 Фитнес-браслет Mi Smart Band 8, черный")</f>
      </c>
      <c r="C29809" s="4" t="n">
        <v>4890.00</v>
      </c>
      <c r="D29809" s="4"/>
    </row>
    <row collapsed="" customFormat="false" customHeight="1" hidden="" ht="14" outlineLevel="0" r="29810">
      <c r="A29810" s="3" t="inlineStr">
        <is>
          <t>29672</t>
        </is>
      </c>
      <c r="B29810" s="4" t="s">
        <f>=HYPERLINK("http://anyluxury.ru/shop/elektronika/kompyuternye-i-mobilnye-aksessuary/fitnes-braslet-mi-smart-band-8-active-cherniy-1648630/" , "16486.30 Фитнес браслет Mi Smart Band 8 Active, черный")</f>
      </c>
      <c r="C29810" s="4" t="n">
        <v>2999.00</v>
      </c>
      <c r="D29810" s="4"/>
    </row>
    <row collapsed="" customFormat="false" customHeight="" hidden="" ht="12.1" outlineLevel="0" r="29811">
      <c r="A29811" s="5" t="inlineStr">
        <is>
          <t> -  - Лампы и светильники</t>
        </is>
      </c>
      <c r="B29811" s="6"/>
      <c r="C29811" s="6"/>
      <c r="D29811" s="6"/>
    </row>
    <row collapsed="" customFormat="false" customHeight="1" hidden="" ht="14" outlineLevel="0" r="29812">
      <c r="A29812" s="3" t="inlineStr">
        <is>
          <t>29673</t>
        </is>
      </c>
      <c r="B29812" s="4" t="s">
        <f>=HYPERLINK("http://anyluxury.ru/shop/elektronika/lampy-i-svetilniki/nastolnaya-lampa-lumos-s-besprovodnoy-zaryadkoy-belaya-s-adapterom-dl191764105/" , "DL191764-105 Настольная лампа Lumos с беспроводной зарядкой, белая (с адаптером)")</f>
      </c>
      <c r="C29812" s="4" t="n">
        <v>3454.00</v>
      </c>
      <c r="D29812" s="4"/>
    </row>
    <row collapsed="" customFormat="false" customHeight="1" hidden="" ht="14" outlineLevel="0" r="29813">
      <c r="A29813" s="3" t="inlineStr">
        <is>
          <t>29674</t>
        </is>
      </c>
      <c r="B29813" s="4" t="s">
        <f>=HYPERLINK("http://anyluxury.ru/shop/elektronika/lampy-i-svetilniki/nastolnaya-lampa-s-besprovodnoy-zaryadkoy-power-spot-belaya-750360/" , "7503.60 Настольная лампа с беспроводной зарядкой Power Spot, белая")</f>
      </c>
      <c r="C29813" s="4" t="n">
        <v>3390.00</v>
      </c>
      <c r="D29813" s="4"/>
    </row>
    <row collapsed="" customFormat="false" customHeight="1" hidden="" ht="14" outlineLevel="0" r="29814">
      <c r="A29814" s="3" t="inlineStr">
        <is>
          <t>29675</t>
        </is>
      </c>
      <c r="B29814" s="4" t="s">
        <f>=HYPERLINK("http://anyluxury.ru/shop/elektronika/lampy-i-svetilniki/nastolnaya-lampa-s-besprovodnoy-zaryadkoy-power-spot-chernaya-750330/" , "7503.30 Настольная лампа с беспроводной зарядкой Power Spot, черная")</f>
      </c>
      <c r="C29814" s="4" t="n">
        <v>3390.00</v>
      </c>
      <c r="D29814" s="4"/>
    </row>
    <row collapsed="" customFormat="false" customHeight="1" hidden="" ht="14" outlineLevel="0" r="29815">
      <c r="A29815" s="3" t="inlineStr">
        <is>
          <t>29676</t>
        </is>
      </c>
      <c r="B29815" s="4" t="s">
        <f>=HYPERLINK("http://anyluxury.ru/shop/elektronika/lampy-i-svetilniki/levitiruyushhaya-lampa-fireflow-11375/" , "11375 Левитирующая лампа FireFlow")</f>
      </c>
      <c r="C29815" s="4" t="n">
        <v>10790.00</v>
      </c>
      <c r="D29815" s="4"/>
    </row>
    <row collapsed="" customFormat="false" customHeight="1" hidden="" ht="14" outlineLevel="0" r="29816">
      <c r="A29816" s="3" t="inlineStr">
        <is>
          <t>29677</t>
        </is>
      </c>
      <c r="B29816" s="4" t="s">
        <f>=HYPERLINK("http://anyluxury.ru/shop/elektronika/lampy-i-svetilniki/levitiruyushhaya-lampa-firefly-11386/" , "11386 Левитирующая лампа FireFly")</f>
      </c>
      <c r="C29816" s="4" t="n">
        <v>10790.00</v>
      </c>
      <c r="D29816" s="4"/>
    </row>
    <row collapsed="" customFormat="false" customHeight="1" hidden="" ht="14" outlineLevel="0" r="29817">
      <c r="A29817" s="3" t="inlineStr">
        <is>
          <t>29678</t>
        </is>
      </c>
      <c r="B29817" s="4" t="s">
        <f>=HYPERLINK("http://anyluxury.ru/shop/elektronika/lampy-i-svetilniki/nochnik-mi-motionactivated-night-light-beliy-11831/" , "11831 Ночник Mi Motion-Activated Night Light, белый")</f>
      </c>
      <c r="C29817" s="4" t="n">
        <v>1190.00</v>
      </c>
      <c r="D29817" s="4"/>
    </row>
    <row collapsed="" customFormat="false" customHeight="1" hidden="" ht="14" outlineLevel="0" r="29818">
      <c r="A29818" s="3" t="inlineStr">
        <is>
          <t>29679</t>
        </is>
      </c>
      <c r="B29818" s="4" t="s">
        <f>=HYPERLINK("http://anyluxury.ru/shop/elektronika/lampy-i-svetilniki/besprovodnaya-nastolnaya-lampa-lumiflex-11118/" , "11118 Беспроводная настольная лампа lumiFlex")</f>
      </c>
      <c r="C29818" s="4" t="n">
        <v>1249.00</v>
      </c>
      <c r="D29818" s="4"/>
    </row>
    <row collapsed="" customFormat="false" customHeight="1" hidden="" ht="14" outlineLevel="0" r="29819">
      <c r="A29819" s="3" t="inlineStr">
        <is>
          <t>29680</t>
        </is>
      </c>
      <c r="B29819" s="4" t="s">
        <f>=HYPERLINK("http://anyluxury.ru/shop/elektronika/lampy-i-svetilniki/svetilnik-keramicheskiy-zhiraf-11241/" , "11241 Светильник керамический «Жираф»")</f>
      </c>
      <c r="C29819" s="4" t="n">
        <v>2836.00</v>
      </c>
      <c r="D29819" s="4"/>
    </row>
    <row collapsed="" customFormat="false" customHeight="1" hidden="" ht="14" outlineLevel="0" r="29820">
      <c r="A29820" s="3" t="inlineStr">
        <is>
          <t>29681</t>
        </is>
      </c>
      <c r="B29820" s="4" t="s">
        <f>=HYPERLINK("http://anyluxury.ru/shop/elektronika/lampy-i-svetilniki/svetilnik-keramicheskiy-ovechka-11243/" , "11243 Светильник керамический «Овечка»")</f>
      </c>
      <c r="C29820" s="4" t="n">
        <v>2700.00</v>
      </c>
      <c r="D29820" s="4"/>
    </row>
    <row collapsed="" customFormat="false" customHeight="1" hidden="" ht="14" outlineLevel="0" r="29821">
      <c r="A29821" s="3" t="inlineStr">
        <is>
          <t>29682</t>
        </is>
      </c>
      <c r="B29821" s="4" t="s">
        <f>=HYPERLINK("http://anyluxury.ru/shop/elektronika/lampy-i-svetilniki/umniy-cokol-skylight-10899/" , "10899 Умный цоколь SkyLight")</f>
      </c>
      <c r="C29821" s="4" t="n">
        <v>1399.00</v>
      </c>
      <c r="D29821" s="4"/>
    </row>
    <row collapsed="" customFormat="false" customHeight="1" hidden="" ht="14" outlineLevel="0" r="29822">
      <c r="A29822" s="3" t="inlineStr">
        <is>
          <t>29683</t>
        </is>
      </c>
      <c r="B29822" s="4" t="s">
        <f>=HYPERLINK("http://anyluxury.ru/shop/elektronika/lampy-i-svetilniki/levitiruyushhaya-lampa-firefly-lights-11097/" , "11097 Левитирующая лампа FireFly Lights")</f>
      </c>
      <c r="C29822" s="4" t="n">
        <v>10790.00</v>
      </c>
      <c r="D29822" s="4"/>
    </row>
    <row collapsed="" customFormat="false" customHeight="1" hidden="" ht="14" outlineLevel="0" r="29823">
      <c r="A29823" s="3" t="inlineStr">
        <is>
          <t>29684</t>
        </is>
      </c>
      <c r="B29823" s="4" t="s">
        <f>=HYPERLINK("http://anyluxury.ru/shop/elektronika/lampy-i-svetilniki/lampakolonka-dreamtime-dlya-probuzhdeniya-svetom-i-muzikoy-1062360/" , "10623.60 Лампа-колонка dreamTime для пробуждения светом и музыкой, белая")</f>
      </c>
      <c r="C29823" s="4" t="n">
        <v>3390.00</v>
      </c>
      <c r="D29823" s="4"/>
    </row>
    <row collapsed="" customFormat="false" customHeight="1" hidden="" ht="14" outlineLevel="0" r="29824">
      <c r="A29824" s="3" t="inlineStr">
        <is>
          <t>29685</t>
        </is>
      </c>
      <c r="B29824" s="4" t="s">
        <f>=HYPERLINK("http://anyluxury.ru/shop/elektronika/lampy-i-svetilniki/levitiruyushhaya-luna-moonflight-10862/" , "10862 Левитирующая луна MoonFlight")</f>
      </c>
      <c r="C29824" s="4" t="n">
        <v>10790.00</v>
      </c>
      <c r="D29824" s="4"/>
    </row>
    <row collapsed="" customFormat="false" customHeight="1" hidden="" ht="14" outlineLevel="0" r="29825">
      <c r="A29825" s="3" t="inlineStr">
        <is>
          <t>29686</t>
        </is>
      </c>
      <c r="B29825" s="4" t="s">
        <f>=HYPERLINK("http://anyluxury.ru/shop/elektronika/lampy-i-svetilniki/levitiruyushhaya-lampa-firefly-bez-bazi-11453/" , "11453 Левитирующая лампа FireFly, без базы")</f>
      </c>
      <c r="C29825" s="4" t="n">
        <v>3669.00</v>
      </c>
      <c r="D29825" s="4"/>
    </row>
    <row collapsed="" customFormat="false" customHeight="1" hidden="" ht="14" outlineLevel="0" r="29826">
      <c r="A29826" s="3" t="inlineStr">
        <is>
          <t>29687</t>
        </is>
      </c>
      <c r="B29826" s="4" t="s">
        <f>=HYPERLINK("http://anyluxury.ru/shop/elektronika/lampy-i-svetilniki/levitiruyushhaya-lampa-fireflow-bez-bazi-11454/" , "11454 Левитирующая лампа FireFlow, без базы")</f>
      </c>
      <c r="C29826" s="4" t="n">
        <v>3669.00</v>
      </c>
      <c r="D29826" s="4"/>
    </row>
    <row collapsed="" customFormat="false" customHeight="1" hidden="" ht="14" outlineLevel="0" r="29827">
      <c r="A29827" s="3" t="inlineStr">
        <is>
          <t>29688</t>
        </is>
      </c>
      <c r="B29827" s="4" t="s">
        <f>=HYPERLINK("http://anyluxury.ru/shop/elektronika/lampy-i-svetilniki/nastolnaya-lampa-s-chasami-i-kalendarem-office-torch-belaya-1141060/" , "11410.60 Настольная лампа с часами и календарем Office Torch, белая")</f>
      </c>
      <c r="C29827" s="4" t="n">
        <v>2490.00</v>
      </c>
      <c r="D29827" s="4"/>
    </row>
    <row collapsed="" customFormat="false" customHeight="1" hidden="" ht="14" outlineLevel="0" r="29828">
      <c r="A29828" s="3" t="inlineStr">
        <is>
          <t>29689</t>
        </is>
      </c>
      <c r="B29828" s="4" t="s">
        <f>=HYPERLINK("http://anyluxury.ru/shop/elektronika/lampy-i-svetilniki/levitiruyushhaya-lampa-s-funkciey-besprovodnoy-zaryadki-levistation-1213330/" , "12133.30 Левитирующая лампа с функцией беспроводной зарядки leviStation")</f>
      </c>
      <c r="C29828" s="4" t="n">
        <v>11590.00</v>
      </c>
      <c r="D29828" s="4"/>
    </row>
    <row collapsed="" customFormat="false" customHeight="1" hidden="" ht="14" outlineLevel="0" r="29829">
      <c r="A29829" s="3" t="inlineStr">
        <is>
          <t>29690</t>
        </is>
      </c>
      <c r="B29829" s="4" t="s">
        <f>=HYPERLINK("http://anyluxury.ru/shop/elektronika/lampy-i-svetilniki/proekcionniy-svetilnik-gauss-disco-nastenniy-beliy-12593/" , "12593 Проекционный светильник Gauss Disco, настенный, белый")</f>
      </c>
      <c r="C29829" s="4" t="n">
        <v>549.00</v>
      </c>
      <c r="D29829" s="4"/>
    </row>
    <row collapsed="" customFormat="false" customHeight="1" hidden="" ht="14" outlineLevel="0" r="29830">
      <c r="A29830" s="3" t="inlineStr">
        <is>
          <t>29691</t>
        </is>
      </c>
      <c r="B29830" s="4" t="s">
        <f>=HYPERLINK("http://anyluxury.ru/shop/elektronika/lampy-i-svetilniki/proekcionniy-svetilnik-gauss-mood-feya-nastenniy-rozoviy-1259477/" , "12594.77 Проекционный светильник «Gauss Mood. Фея», настенный, розовый")</f>
      </c>
      <c r="C29830" s="4" t="n">
        <v>399.00</v>
      </c>
      <c r="D29830" s="4"/>
    </row>
    <row collapsed="" customFormat="false" customHeight="1" hidden="" ht="14" outlineLevel="0" r="29831">
      <c r="A29831" s="3" t="inlineStr">
        <is>
          <t>29692</t>
        </is>
      </c>
      <c r="B29831" s="4" t="s">
        <f>=HYPERLINK("http://anyluxury.ru/shop/elektronika/lampy-i-svetilniki/proekcionniy-svetilnik-gauss-mood-medvezhonok-nastenniy-siniy-1259440/" , "12594.40 Проекционный светильник «Gauss Mood. Медвежонок», настенный, синий")</f>
      </c>
      <c r="C29831" s="4" t="n">
        <v>399.00</v>
      </c>
      <c r="D29831" s="4"/>
    </row>
    <row collapsed="" customFormat="false" customHeight="1" hidden="" ht="14" outlineLevel="0" r="29832">
      <c r="A29832" s="3" t="inlineStr">
        <is>
          <t>29693</t>
        </is>
      </c>
      <c r="B29832" s="4" t="s">
        <f>=HYPERLINK("http://anyluxury.ru/shop/elektronika/lampy-i-svetilniki/proekcionniy-svetilnik-gauss-disco-nastolniy-beliy-12595/" , "12595 Проекционный светильник Gauss Disco, настольный, белый")</f>
      </c>
      <c r="C29832" s="4" t="n">
        <v>589.00</v>
      </c>
      <c r="D29832" s="4"/>
    </row>
    <row collapsed="" customFormat="false" customHeight="1" hidden="" ht="14" outlineLevel="0" r="29833">
      <c r="A29833" s="3" t="inlineStr">
        <is>
          <t>29694</t>
        </is>
      </c>
      <c r="B29833" s="4" t="s">
        <f>=HYPERLINK("http://anyluxury.ru/shop/elektronika/lampy-i-svetilniki/proekcionniy-svetilnik-gauss-mood-nastolniy-beliy-12596/" , "12596 Проекционный светильник Gauss Mood, настольный, белый")</f>
      </c>
      <c r="C29833" s="4" t="n">
        <v>990.00</v>
      </c>
      <c r="D29833" s="4"/>
    </row>
    <row collapsed="" customFormat="false" customHeight="1" hidden="" ht="14" outlineLevel="0" r="29834">
      <c r="A29834" s="3" t="inlineStr">
        <is>
          <t>29695</t>
        </is>
      </c>
      <c r="B29834" s="4" t="s">
        <f>=HYPERLINK("http://anyluxury.ru/shop/elektronika/lampy-i-svetilniki/akkumulyatornaya-lampa-gauss-led-a60-tepliy-svet-1259701/" , "12597.01 Аккумуляторная лампа Gauss LED A60, теплый свет")</f>
      </c>
      <c r="C29834" s="4" t="n">
        <v>890.00</v>
      </c>
      <c r="D29834" s="4"/>
    </row>
    <row collapsed="" customFormat="false" customHeight="1" hidden="" ht="14" outlineLevel="0" r="29835">
      <c r="A29835" s="3" t="inlineStr">
        <is>
          <t>29696</t>
        </is>
      </c>
      <c r="B29835" s="4" t="s">
        <f>=HYPERLINK("http://anyluxury.ru/shop/elektronika/lampy-i-svetilniki/akkumulyatornaya-lampa-gauss-led-a60-neytralniy-svet-1259702/" , "12597.02 Аккумуляторная лампа Gauss LED A60, нейтральный свет")</f>
      </c>
      <c r="C29835" s="4" t="n">
        <v>890.00</v>
      </c>
      <c r="D29835" s="4"/>
    </row>
    <row collapsed="" customFormat="false" customHeight="1" hidden="" ht="14" outlineLevel="0" r="29836">
      <c r="A29836" s="3" t="inlineStr">
        <is>
          <t>29697</t>
        </is>
      </c>
      <c r="B29836" s="4" t="s">
        <f>=HYPERLINK("http://anyluxury.ru/shop/elektronika/lampy-i-svetilniki/svetilnik-dlya-rasteniy-fitosad-beliy-12599/" , "12599 Светильник для растений «Фито-сад», белый")</f>
      </c>
      <c r="C29836" s="4" t="n">
        <v>1890.00</v>
      </c>
      <c r="D29836" s="4"/>
    </row>
    <row collapsed="" customFormat="false" customHeight="1" hidden="" ht="14" outlineLevel="0" r="29837">
      <c r="A29837" s="3" t="inlineStr">
        <is>
          <t>29698</t>
        </is>
      </c>
      <c r="B29837" s="4" t="s">
        <f>=HYPERLINK("http://anyluxury.ru/shop/elektronika/lampy-i-svetilniki/lampakolonka-dreamtime-dlya-probuzhdeniya-svetom-i-muzikoy-chernaya-1062330/" , "10623.30 Лампа-колонка dreamTime для пробуждения светом и музыкой, черная")</f>
      </c>
      <c r="C29837" s="4" t="n">
        <v>3390.00</v>
      </c>
      <c r="D29837" s="4"/>
    </row>
    <row collapsed="" customFormat="false" customHeight="1" hidden="" ht="14" outlineLevel="0" r="29838">
      <c r="A29838" s="3" t="inlineStr">
        <is>
          <t>29699</t>
        </is>
      </c>
      <c r="B29838" s="4" t="s">
        <f>=HYPERLINK("http://anyluxury.ru/shop/elektronika/lampy-i-svetilniki/lampa-s-kolonkoy-i-besprovodnoy-zaryadkoy-lampaton-belaya-1130660/" , "11306.60 Лампа с колонкой и беспроводной зарядкой lampaTon, белая")</f>
      </c>
      <c r="C29838" s="4" t="n">
        <v>3299.00</v>
      </c>
      <c r="D29838" s="4"/>
    </row>
    <row collapsed="" customFormat="false" customHeight="1" hidden="" ht="14" outlineLevel="0" r="29839">
      <c r="A29839" s="3" t="inlineStr">
        <is>
          <t>29700</t>
        </is>
      </c>
      <c r="B29839" s="4" t="s">
        <f>=HYPERLINK("http://anyluxury.ru/shop/elektronika/lampy-i-svetilniki/nastolnaya-lampa-lumos-s-besprovodnoy-zaryadkoy-belaya-33000100/" , "33000.100 Настольная лампа с беспроводной зарядкой Lumos, белая")</f>
      </c>
      <c r="C29839" s="4" t="n">
        <v>3784.00</v>
      </c>
      <c r="D29839" s="4"/>
    </row>
    <row collapsed="" customFormat="false" customHeight="1" hidden="" ht="14" outlineLevel="0" r="29840">
      <c r="A29840" s="3" t="inlineStr">
        <is>
          <t>29701</t>
        </is>
      </c>
      <c r="B29840" s="4" t="s">
        <f>=HYPERLINK("http://anyluxury.ru/shop/elektronika/lampy-i-svetilniki/nastolnaya-lampa-lumos-s-besprovodnoy-zaryadkoy-chernaya-33000010/" , "33000.010 Настольная лампа с беспроводной зарядкой Lumos, черная")</f>
      </c>
      <c r="C29840" s="4" t="n">
        <v>3784.00</v>
      </c>
      <c r="D29840" s="4"/>
    </row>
    <row collapsed="" customFormat="false" customHeight="1" hidden="" ht="14" outlineLevel="0" r="29841">
      <c r="A29841" s="3" t="inlineStr">
        <is>
          <t>29702</t>
        </is>
      </c>
      <c r="B29841" s="4" t="s">
        <f>=HYPERLINK("http://anyluxury.ru/shop/elektronika/lampy-i-svetilniki/besprovodnaya-lampakolonka-right-meow-belaya-1219160/" , "12191.60 Беспроводная лампа-колонка Right Meow, белая")</f>
      </c>
      <c r="C29841" s="4" t="n">
        <v>2490.00</v>
      </c>
      <c r="D29841" s="4"/>
    </row>
    <row collapsed="" customFormat="false" customHeight="1" hidden="" ht="14" outlineLevel="0" r="29842">
      <c r="A29842" s="3" t="inlineStr">
        <is>
          <t>29703</t>
        </is>
      </c>
      <c r="B29842" s="4" t="s">
        <f>=HYPERLINK("http://anyluxury.ru/shop/elektronika/lampy-i-svetilniki/perenosnaya-lampa-lumispot-belaya-1265760/" , "12657.60 Переносная лампа lumiSpot, белая")</f>
      </c>
      <c r="C29842" s="4" t="n">
        <v>1190.00</v>
      </c>
      <c r="D29842" s="4"/>
    </row>
    <row collapsed="" customFormat="false" customHeight="1" hidden="" ht="14" outlineLevel="0" r="29843">
      <c r="A29843" s="3" t="inlineStr">
        <is>
          <t>29704</t>
        </is>
      </c>
      <c r="B29843" s="4" t="s">
        <f>=HYPERLINK("http://anyluxury.ru/shop/elektronika/lampy-i-svetilniki/besprovodnoy-silikonoviy-svetilnik-cosmic-cat-12764/" , "12764 Беспроводной силиконовый светильник Cosmic Cat")</f>
      </c>
      <c r="C29843" s="4" t="n">
        <v>1990.00</v>
      </c>
      <c r="D29843" s="4"/>
    </row>
    <row collapsed="" customFormat="false" customHeight="1" hidden="" ht="14" outlineLevel="0" r="29844">
      <c r="A29844" s="3" t="inlineStr">
        <is>
          <t>29705</t>
        </is>
      </c>
      <c r="B29844" s="4" t="s">
        <f>=HYPERLINK("http://anyluxury.ru/shop/elektronika/lampy-i-svetilniki/besprovodnoy-silikonoviy-svetilnik-cosmic-drop-12765/" , "12765 Беспроводной силиконовый светильник Cosmic Drop")</f>
      </c>
      <c r="C29844" s="4" t="n">
        <v>1999.00</v>
      </c>
      <c r="D29844" s="4"/>
    </row>
    <row collapsed="" customFormat="false" customHeight="1" hidden="" ht="14" outlineLevel="0" r="29845">
      <c r="A29845" s="3" t="inlineStr">
        <is>
          <t>29706</t>
        </is>
      </c>
      <c r="B29845" s="4" t="s">
        <f>=HYPERLINK("http://anyluxury.ru/shop/elektronika/lampy-i-svetilniki/besprovodnoy-silikonoviy-svetilnik-cosmic-stars-12766/" , "12766 Беспроводной силиконовый светильник Cosmic Stars")</f>
      </c>
      <c r="C29845" s="4" t="n">
        <v>1990.00</v>
      </c>
      <c r="D29845" s="4"/>
    </row>
    <row collapsed="" customFormat="false" customHeight="1" hidden="" ht="14" outlineLevel="0" r="29846">
      <c r="A29846" s="3" t="inlineStr">
        <is>
          <t>29707</t>
        </is>
      </c>
      <c r="B29846" s="4" t="s">
        <f>=HYPERLINK("http://anyluxury.ru/shop/elektronika/lampy-i-svetilniki/nochnik-s-datchikom-dvizheniya-yeelight-plugin-sensor-nightlight-13185/" , "13185 Ночник с датчиком движения Yeelight Plug-in Sensor Nightlight")</f>
      </c>
      <c r="C29846" s="4" t="n">
        <v>690.00</v>
      </c>
      <c r="D29846" s="4"/>
    </row>
    <row collapsed="" customFormat="false" customHeight="1" hidden="" ht="14" outlineLevel="0" r="29847">
      <c r="A29847" s="3" t="inlineStr">
        <is>
          <t>29708</t>
        </is>
      </c>
      <c r="B29847" s="4" t="s">
        <f>=HYPERLINK("http://anyluxury.ru/shop/elektronika/lampy-i-svetilniki/prikrovatnaya-lampa-yeelight-bedside-lamp-d2-13186/" , "13186 Прикроватная лампа Yeelight Bedside Lamp D2")</f>
      </c>
      <c r="C29847" s="4" t="n">
        <v>3690.00</v>
      </c>
      <c r="D29847" s="4"/>
    </row>
    <row collapsed="" customFormat="false" customHeight="1" hidden="" ht="14" outlineLevel="0" r="29848">
      <c r="A29848" s="3" t="inlineStr">
        <is>
          <t>29709</t>
        </is>
      </c>
      <c r="B29848" s="4" t="s">
        <f>=HYPERLINK("http://anyluxury.ru/shop/elektronika/lampy-i-svetilniki/umnaya-nastolnaya-lampa-yeelight-desk-lamp-v1-pro-13187/" , "13187 Умная настольная лампа Yeelight Desk Lamp V1 Pro")</f>
      </c>
      <c r="C29848" s="4" t="n">
        <v>9990.00</v>
      </c>
      <c r="D29848" s="4"/>
    </row>
    <row collapsed="" customFormat="false" customHeight="1" hidden="" ht="14" outlineLevel="0" r="29849">
      <c r="A29849" s="3" t="inlineStr">
        <is>
          <t>29710</t>
        </is>
      </c>
      <c r="B29849" s="4" t="s">
        <f>=HYPERLINK("http://anyluxury.ru/shop/elektronika/lampy-i-svetilniki/nastolnaya-lampa-yeelight-desk-lamp-belaya-13189/" , "13189 Настольная лампа Yeelight Desk Lamp, белая")</f>
      </c>
      <c r="C29849" s="4" t="n">
        <v>3490.00</v>
      </c>
      <c r="D29849" s="4"/>
    </row>
    <row collapsed="" customFormat="false" customHeight="1" hidden="" ht="14" outlineLevel="0" r="29850">
      <c r="A29850" s="3" t="inlineStr">
        <is>
          <t>29711</t>
        </is>
      </c>
      <c r="B29850" s="4" t="s">
        <f>=HYPERLINK("http://anyluxury.ru/shop/elektronika/lampy-i-svetilniki/lampochka-yeelight-smart-filament-light-13216/" , "13216 Лампочка Yeelight Smart Filament Light")</f>
      </c>
      <c r="C29850" s="4" t="n">
        <v>1490.00</v>
      </c>
      <c r="D29850" s="4"/>
    </row>
    <row collapsed="" customFormat="false" customHeight="1" hidden="" ht="14" outlineLevel="0" r="29851">
      <c r="A29851" s="3" t="inlineStr">
        <is>
          <t>29712</t>
        </is>
      </c>
      <c r="B29851" s="4" t="s">
        <f>=HYPERLINK("http://anyluxury.ru/shop/elektronika/lampy-i-svetilniki/lampochka-yeelight-smart-dimmable-bulb-1s-13217/" , "13217 Лампочка Yeelight Smart Dimmable Bulb 1S")</f>
      </c>
      <c r="C29851" s="4" t="n">
        <v>1290.00</v>
      </c>
      <c r="D29851" s="4"/>
    </row>
    <row collapsed="" customFormat="false" customHeight="1" hidden="" ht="14" outlineLevel="0" r="29852">
      <c r="A29852" s="3" t="inlineStr">
        <is>
          <t>29713</t>
        </is>
      </c>
      <c r="B29852" s="4" t="s">
        <f>=HYPERLINK("http://anyluxury.ru/shop/elektronika/lampy-i-svetilniki/nochnik-s-funkciey-besprovodnoy-zaryadki-moonray-beliy-1319960/" , "13199.60 Ночник с функцией беспроводной зарядки moonRay, белый")</f>
      </c>
      <c r="C29852" s="4" t="n">
        <v>3499.00</v>
      </c>
      <c r="D29852" s="4"/>
    </row>
    <row collapsed="" customFormat="false" customHeight="1" hidden="" ht="14" outlineLevel="0" r="29853">
      <c r="A29853" s="3" t="inlineStr">
        <is>
          <t>29714</t>
        </is>
      </c>
      <c r="B29853" s="4" t="s">
        <f>=HYPERLINK("http://anyluxury.ru/shop/elektronika/lampy-i-svetilniki/ctanciya-dlya-besprovodnoy-zaryadki-s-podsvetkoy-archarge-belaya-1336960/" , "13369.60 Cтанция для беспроводной зарядки с подсветкой arCharge, белая")</f>
      </c>
      <c r="C29853" s="4" t="n">
        <v>2590.00</v>
      </c>
      <c r="D29853" s="4"/>
    </row>
    <row collapsed="" customFormat="false" customHeight="1" hidden="" ht="14" outlineLevel="0" r="29854">
      <c r="A29854" s="3" t="inlineStr">
        <is>
          <t>29715</t>
        </is>
      </c>
      <c r="B29854" s="4" t="s">
        <f>=HYPERLINK("http://anyluxury.ru/shop/elektronika/lampy-i-svetilniki/nastolnaya-lampa-s-zerkalom-i-besprovodnoy-zaryadkoy-tyro-belaya-1337060/" , "13370.60 Настольная лампа с зеркалом и беспроводной зарядкой Tyro, белая")</f>
      </c>
      <c r="C29854" s="4" t="n">
        <v>2690.00</v>
      </c>
      <c r="D29854" s="4"/>
    </row>
    <row collapsed="" customFormat="false" customHeight="1" hidden="" ht="14" outlineLevel="0" r="29855">
      <c r="A29855" s="3" t="inlineStr">
        <is>
          <t>29716</t>
        </is>
      </c>
      <c r="B29855" s="4" t="s">
        <f>=HYPERLINK("http://anyluxury.ru/shop/elektronika/lampy-i-svetilniki/intererniy-svetilnik-iris-beliy-1369860/" , "13698.60 Интерьерный светильник Iris, белый")</f>
      </c>
      <c r="C29855" s="4" t="n">
        <v>11990.00</v>
      </c>
      <c r="D29855" s="4"/>
    </row>
    <row collapsed="" customFormat="false" customHeight="1" hidden="" ht="14" outlineLevel="0" r="29856">
      <c r="A29856" s="3" t="inlineStr">
        <is>
          <t>29717</t>
        </is>
      </c>
      <c r="B29856" s="4" t="s">
        <f>=HYPERLINK("http://anyluxury.ru/shop/elektronika/lampy-i-svetilniki/intererniy-svetilnik-iris-cherniy-1369830/" , "13698.30 Интерьерный светильник Iris, черный")</f>
      </c>
      <c r="C29856" s="4" t="n">
        <v>11990.00</v>
      </c>
      <c r="D29856" s="4"/>
    </row>
    <row collapsed="" customFormat="false" customHeight="1" hidden="" ht="14" outlineLevel="0" r="29857">
      <c r="A29857" s="3" t="inlineStr">
        <is>
          <t>29718</t>
        </is>
      </c>
      <c r="B29857" s="4" t="s">
        <f>=HYPERLINK("http://anyluxury.ru/shop/elektronika/lampy-i-svetilniki/nastolnaya-lampa-bloom-belaya-1369960/" , "13699.60 Настольная лампа Bloom, белая")</f>
      </c>
      <c r="C29857" s="4" t="n">
        <v>8490.00</v>
      </c>
      <c r="D29857" s="4"/>
    </row>
    <row collapsed="" customFormat="false" customHeight="1" hidden="" ht="14" outlineLevel="0" r="29858">
      <c r="A29858" s="3" t="inlineStr">
        <is>
          <t>29719</t>
        </is>
      </c>
      <c r="B29858" s="4" t="s">
        <f>=HYPERLINK("http://anyluxury.ru/shop/elektronika/lampy-i-svetilniki/nastolnaya-lampa-bloom-chernaya-1369930/" , "13699.30 Настольная лампа Bloom, черная")</f>
      </c>
      <c r="C29858" s="4" t="n">
        <v>8490.00</v>
      </c>
      <c r="D29858" s="4"/>
    </row>
    <row collapsed="" customFormat="false" customHeight="1" hidden="" ht="14" outlineLevel="0" r="29859">
      <c r="A29859" s="3" t="inlineStr">
        <is>
          <t>29720</t>
        </is>
      </c>
      <c r="B29859" s="4" t="s">
        <f>=HYPERLINK("http://anyluxury.ru/shop/elektronika/lampy-i-svetilniki/panel-osveshheniya-play-13701/" , "13701 Панель освещения Play")</f>
      </c>
      <c r="C29859" s="4" t="n">
        <v>13990.00</v>
      </c>
      <c r="D29859" s="4"/>
    </row>
    <row collapsed="" customFormat="false" customHeight="1" hidden="" ht="14" outlineLevel="0" r="29860">
      <c r="A29860" s="3" t="inlineStr">
        <is>
          <t>29721</t>
        </is>
      </c>
      <c r="B29860" s="4" t="s">
        <f>=HYPERLINK("http://anyluxury.ru/shop/elektronika/lampy-i-svetilniki/portativniy-svetilnik-go-13702/" , "13702 Портативный светильник Go")</f>
      </c>
      <c r="C29860" s="4" t="n">
        <v>9490.00</v>
      </c>
      <c r="D29860" s="4"/>
    </row>
    <row collapsed="" customFormat="false" customHeight="1" hidden="" ht="14" outlineLevel="0" r="29861">
      <c r="A29861" s="3" t="inlineStr">
        <is>
          <t>29722</t>
        </is>
      </c>
      <c r="B29861" s="4" t="s">
        <f>=HYPERLINK("http://anyluxury.ru/shop/elektronika/lampy-i-svetilniki/umnaya-lampa-philips-s-cokolem-e27-13703/" , "13703 Умная лампа Philips с цоколем Е27")</f>
      </c>
      <c r="C29861" s="4" t="n">
        <v>2390.00</v>
      </c>
      <c r="D29861" s="4"/>
    </row>
    <row collapsed="" customFormat="false" customHeight="1" hidden="" ht="14" outlineLevel="0" r="29862">
      <c r="A29862" s="3" t="inlineStr">
        <is>
          <t>29723</t>
        </is>
      </c>
      <c r="B29862" s="4" t="s">
        <f>=HYPERLINK("http://anyluxury.ru/shop/elektronika/lampy-i-svetilniki/umnaya-lampa-philips-s-cokolem-e14-13704/" , "13704 Умная лампа Philips с цоколем Е14")</f>
      </c>
      <c r="C29862" s="4" t="n">
        <v>1999.00</v>
      </c>
      <c r="D29862" s="4"/>
    </row>
    <row collapsed="" customFormat="false" customHeight="1" hidden="" ht="14" outlineLevel="0" r="29863">
      <c r="A29863" s="3" t="inlineStr">
        <is>
          <t>29724</t>
        </is>
      </c>
      <c r="B29863" s="4" t="s">
        <f>=HYPERLINK("http://anyluxury.ru/shop/elektronika/lampy-i-svetilniki/umnaya-lampa-philips-s-cokolem-gu10-13705/" , "13705 Умная лампа Philips с цоколем GU10")</f>
      </c>
      <c r="C29863" s="4" t="n">
        <v>1999.00</v>
      </c>
      <c r="D29863" s="4"/>
    </row>
    <row collapsed="" customFormat="false" customHeight="1" hidden="" ht="14" outlineLevel="0" r="29864">
      <c r="A29864" s="3" t="inlineStr">
        <is>
          <t>29725</t>
        </is>
      </c>
      <c r="B29864" s="4" t="s">
        <f>=HYPERLINK("http://anyluxury.ru/shop/elektronika/lampy-i-svetilniki/umnaya-svetodiodnaya-lenta-gradient-lightstrip-13706/" , "13706 Умная светодиодная лента Gradient Lightstrip")</f>
      </c>
      <c r="C29864" s="4" t="n">
        <v>8490.00</v>
      </c>
      <c r="D29864" s="4"/>
    </row>
    <row collapsed="" customFormat="false" customHeight="1" hidden="" ht="14" outlineLevel="0" r="29865">
      <c r="A29865" s="3" t="inlineStr">
        <is>
          <t>29726</t>
        </is>
      </c>
      <c r="B29865" s="4" t="s">
        <f>=HYPERLINK("http://anyluxury.ru/shop/elektronika/lampy-i-svetilniki/blok-upravleniya-hue-bridge-13707/" , "13707 Блок управления Hue Bridge")</f>
      </c>
      <c r="C29865" s="4" t="n">
        <v>5990.00</v>
      </c>
      <c r="D29865" s="4"/>
    </row>
    <row collapsed="" customFormat="false" customHeight="1" hidden="" ht="14" outlineLevel="0" r="29866">
      <c r="A29866" s="3" t="inlineStr">
        <is>
          <t>29727</t>
        </is>
      </c>
      <c r="B29866" s="4" t="s">
        <f>=HYPERLINK("http://anyluxury.ru/shop/elektronika/lampy-i-svetilniki/datchik-dvizheniya-hue-motion-sensor-13708/" , "13708 Датчик движения Hue Motion Sensor")</f>
      </c>
      <c r="C29866" s="4" t="n">
        <v>5490.00</v>
      </c>
      <c r="D29866" s="4"/>
    </row>
    <row collapsed="" customFormat="false" customHeight="1" hidden="" ht="14" outlineLevel="0" r="29867">
      <c r="A29867" s="3" t="inlineStr">
        <is>
          <t>29728</t>
        </is>
      </c>
      <c r="B29867" s="4" t="s">
        <f>=HYPERLINK("http://anyluxury.ru/shop/elektronika/lampy-i-svetilniki/nastolnaya-lampa-lumos-ultramarine-s-besprovodnoy-zaryadkoy-sinyaya-33000030/" , "33000.030 Настольная лампа c беспроводной зарядкой Lumos Ultramarine, синяя")</f>
      </c>
      <c r="C29867" s="4" t="n">
        <v>3300.00</v>
      </c>
      <c r="D29867" s="4"/>
    </row>
    <row collapsed="" customFormat="false" customHeight="1" hidden="" ht="14" outlineLevel="0" r="29868">
      <c r="A29868" s="3" t="inlineStr">
        <is>
          <t>29729</t>
        </is>
      </c>
      <c r="B29868" s="4" t="s">
        <f>=HYPERLINK("http://anyluxury.ru/shop/elektronika/lampy-i-svetilniki/besprovodnaya-lampakolonka-right-meow-rozovaya-1219115/" , "12191.15 Беспроводная лампа-колонка Right Meow, розовая")</f>
      </c>
      <c r="C29868" s="4" t="n">
        <v>2490.00</v>
      </c>
      <c r="D29868" s="4"/>
    </row>
    <row collapsed="" customFormat="false" customHeight="1" hidden="" ht="14" outlineLevel="0" r="29869">
      <c r="A29869" s="3" t="inlineStr">
        <is>
          <t>29730</t>
        </is>
      </c>
      <c r="B29869" s="4" t="s">
        <f>=HYPERLINK("http://anyluxury.ru/shop/elektronika/lampy-i-svetilniki/levitiruyushhaya-luna-moon-flow-13385/" , "13385 Левитирующая луна MoonFlow, белая")</f>
      </c>
      <c r="C29869" s="4" t="n">
        <v>10790.00</v>
      </c>
      <c r="D29869" s="4"/>
    </row>
    <row collapsed="" customFormat="false" customHeight="1" hidden="" ht="14" outlineLevel="0" r="29870">
      <c r="A29870" s="3" t="inlineStr">
        <is>
          <t>29731</t>
        </is>
      </c>
      <c r="B29870" s="4" t="s">
        <f>=HYPERLINK("http://anyluxury.ru/shop/elektronika/lampy-i-svetilniki/girlyanda-s-individualnimi-figurkami-acryled-na-zakaz-1896201/" , "18962.01 Гирлянда с индивидуальными фигурками AcryLED на заказ")</f>
      </c>
      <c r="C29870" s="4" t="n">
        <v>3301.00</v>
      </c>
      <c r="D29870" s="4"/>
    </row>
    <row collapsed="" customFormat="false" customHeight="1" hidden="" ht="14" outlineLevel="0" r="29871">
      <c r="A29871" s="3" t="inlineStr">
        <is>
          <t>29732</t>
        </is>
      </c>
      <c r="B29871" s="4" t="s">
        <f>=HYPERLINK("http://anyluxury.ru/shop/elektronika/lampy-i-svetilniki/lampa-s-chasami-i-besprovodnoy-zaryadkoy-powerack-belaya-1375960/" , "13759.60 Лампа с беспроводной зарядкой смартфона и часов Powerack, белая")</f>
      </c>
      <c r="C29871" s="4" t="n">
        <v>4290.00</v>
      </c>
      <c r="D29871" s="4"/>
    </row>
    <row collapsed="" customFormat="false" customHeight="1" hidden="" ht="14" outlineLevel="0" r="29872">
      <c r="A29872" s="3" t="inlineStr">
        <is>
          <t>29733</t>
        </is>
      </c>
      <c r="B29872" s="4" t="s">
        <f>=HYPERLINK("http://anyluxury.ru/shop/elektronika/lampy-i-svetilniki/lampa-mi-bedside-lamp-2-belaya-1247760/" , "12477.60 Лампа Mi Bedside Lamp 2, белая")</f>
      </c>
      <c r="C29872" s="4" t="n">
        <v>6674.00</v>
      </c>
      <c r="D29872" s="4"/>
    </row>
    <row collapsed="" customFormat="false" customHeight="1" hidden="" ht="14" outlineLevel="0" r="29873">
      <c r="A29873" s="3" t="inlineStr">
        <is>
          <t>29734</t>
        </is>
      </c>
      <c r="B29873" s="4" t="s">
        <f>=HYPERLINK("http://anyluxury.ru/shop/elektronika/lampy-i-svetilniki/umnaya-svetodiodnaya-lenta-tapo-l9005-15362/" , "15362 Умная светодиодная лента Tapo L900-5")</f>
      </c>
      <c r="C29873" s="4" t="n">
        <v>3390.00</v>
      </c>
      <c r="D29873" s="4"/>
    </row>
    <row collapsed="" customFormat="false" customHeight="1" hidden="" ht="14" outlineLevel="0" r="29874">
      <c r="A29874" s="3" t="inlineStr">
        <is>
          <t>29735</t>
        </is>
      </c>
      <c r="B29874" s="4" t="s">
        <f>=HYPERLINK("http://anyluxury.ru/shop/elektronika/lampy-i-svetilniki/umnaya-lampa-tapo-l510e-15364/" , "15364 Умная лампа Tapo L510E")</f>
      </c>
      <c r="C29874" s="4" t="n">
        <v>949.00</v>
      </c>
      <c r="D29874" s="4"/>
    </row>
    <row collapsed="" customFormat="false" customHeight="1" hidden="" ht="14" outlineLevel="0" r="29875">
      <c r="A29875" s="3" t="inlineStr">
        <is>
          <t>29736</t>
        </is>
      </c>
      <c r="B29875" s="4" t="s">
        <f>=HYPERLINK("http://anyluxury.ru/shop/elektronika/lampy-i-svetilniki/lampa-s-kolonkoy-i-besprovodnoy-zaryadkoy-moonlight-belaya-1392760/" , "13927.60 Лампа с колонкой и беспроводной зарядкой moonLight, белая")</f>
      </c>
      <c r="C29875" s="4" t="n">
        <v>3290.00</v>
      </c>
      <c r="D29875" s="4"/>
    </row>
    <row collapsed="" customFormat="false" customHeight="1" hidden="" ht="14" outlineLevel="0" r="29876">
      <c r="A29876" s="3" t="inlineStr">
        <is>
          <t>29737</t>
        </is>
      </c>
      <c r="B29876" s="4" t="s">
        <f>=HYPERLINK("http://anyluxury.ru/shop/elektronika/lampy-i-svetilniki/zaryadnaya-stanciya-s-lampoy-quick-trick-chernaya-1519330/" , "15193.30 Зарядная станция с лампой Quick Trick, черная")</f>
      </c>
      <c r="C29876" s="4" t="n">
        <v>4690.00</v>
      </c>
      <c r="D29876" s="4"/>
    </row>
    <row collapsed="" customFormat="false" customHeight="1" hidden="" ht="14" outlineLevel="0" r="29877">
      <c r="A29877" s="3" t="inlineStr">
        <is>
          <t>29738</t>
        </is>
      </c>
      <c r="B29877" s="4" t="s">
        <f>=HYPERLINK("http://anyluxury.ru/shop/elektronika/lampy-i-svetilniki/besprovodnaya-nastolnaya-lampa-lumiflex-ver-2-1524760/" , "15247.60 Беспроводная настольная лампа lumiFlex, ver.2")</f>
      </c>
      <c r="C29877" s="4" t="n">
        <v>1399.00</v>
      </c>
      <c r="D29877" s="4"/>
    </row>
    <row collapsed="" customFormat="false" customHeight="1" hidden="" ht="14" outlineLevel="0" r="29878">
      <c r="A29878" s="3" t="inlineStr">
        <is>
          <t>29739</t>
        </is>
      </c>
      <c r="B29878" s="4" t="s">
        <f>=HYPERLINK("http://anyluxury.ru/shop/elektronika/lampy-i-svetilniki/nastolnaya-lampa-s-besprovodnoy-zaryadkoy-modicum-belaya-1583960/" , "15839.60 Настольная лампа с беспроводной зарядкой Modicum, белая")</f>
      </c>
      <c r="C29878" s="4" t="n">
        <v>1899.00</v>
      </c>
      <c r="D29878" s="4"/>
    </row>
    <row collapsed="" customFormat="false" customHeight="1" hidden="" ht="14" outlineLevel="0" r="29879">
      <c r="A29879" s="3" t="inlineStr">
        <is>
          <t>29740</t>
        </is>
      </c>
      <c r="B29879" s="4" t="s">
        <f>=HYPERLINK("http://anyluxury.ru/shop/elektronika/lampy-i-svetilniki/stanciya-besprovodnoy-zaryadki-s-podsvetkoy-laconic-belaya-1539360/" , "15393.60 Станция беспроводной зарядки с подсветкой Laconic, белая")</f>
      </c>
      <c r="C29879" s="4" t="n">
        <v>3399.00</v>
      </c>
      <c r="D29879" s="4"/>
    </row>
    <row collapsed="" customFormat="false" customHeight="1" hidden="" ht="14" outlineLevel="0" r="29880">
      <c r="A29880" s="3" t="inlineStr">
        <is>
          <t>29741</t>
        </is>
      </c>
      <c r="B29880" s="4" t="s">
        <f>=HYPERLINK("http://anyluxury.ru/shop/elektronika/lampy-i-svetilniki/zaryadnaya-stanciya-s-chasami-i-podsvetkoy-large-charge-seraya-1539410/" , "15394.10 Зарядная станция с часами и подсветкой Large Charge, серая")</f>
      </c>
      <c r="C29880" s="4" t="n">
        <v>7290.00</v>
      </c>
      <c r="D29880" s="4"/>
    </row>
    <row collapsed="" customFormat="false" customHeight="1" hidden="" ht="14" outlineLevel="0" r="29881">
      <c r="A29881" s="3" t="inlineStr">
        <is>
          <t>29742</t>
        </is>
      </c>
      <c r="B29881" s="4" t="s">
        <f>=HYPERLINK("http://anyluxury.ru/shop/elektronika/lampy-i-svetilniki/lampa-s-kolonkoy-i-besprovodnoy-zaryadkoy-flashback-belaya-1623960/" , "16239.60 Лампа с колонкой и беспроводной зарядкой Flashback, белая")</f>
      </c>
      <c r="C29881" s="4" t="n">
        <v>3890.00</v>
      </c>
      <c r="D29881" s="4"/>
    </row>
    <row collapsed="" customFormat="false" customHeight="1" hidden="" ht="14" outlineLevel="0" r="29882">
      <c r="A29882" s="3" t="inlineStr">
        <is>
          <t>29743</t>
        </is>
      </c>
      <c r="B29882" s="4" t="s">
        <f>=HYPERLINK("http://anyluxury.ru/shop/elektronika/lampy-i-svetilniki/nastolnaya-lampa-s-besprovodnoy-zaryadkoy-power-light-belaya-1576760/" , "15767.60 Настольная лампа с беспроводной зарядкой Power Light, белая")</f>
      </c>
      <c r="C29882" s="4" t="n">
        <v>3690.00</v>
      </c>
      <c r="D29882" s="4"/>
    </row>
    <row collapsed="" customFormat="false" customHeight="1" hidden="" ht="14" outlineLevel="0" r="29883">
      <c r="A29883" s="3" t="inlineStr">
        <is>
          <t>29744</t>
        </is>
      </c>
      <c r="B29883" s="4" t="s">
        <f>=HYPERLINK("http://anyluxury.ru/shop/elektronika/lampy-i-svetilniki/nastolnaya-lampa-s-besprovodnoy-zaryadkoy-15w-aura-33010100/" , "33010.100 Настольная лампа с беспроводной зарядкой 15W Aura")</f>
      </c>
      <c r="C29883" s="4" t="n">
        <v>3992.00</v>
      </c>
      <c r="D29883" s="4"/>
    </row>
    <row collapsed="" customFormat="false" customHeight="" hidden="" ht="12.1" outlineLevel="0" r="29884">
      <c r="A29884" s="5" t="inlineStr">
        <is>
          <t> -  - Портативная акустика</t>
        </is>
      </c>
      <c r="B29884" s="6"/>
      <c r="C29884" s="6"/>
      <c r="D29884" s="6"/>
    </row>
    <row collapsed="" customFormat="false" customHeight="1" hidden="" ht="14" outlineLevel="0" r="29885">
      <c r="A29885" s="3" t="inlineStr">
        <is>
          <t>29745</t>
        </is>
      </c>
      <c r="B29885" s="4" t="s">
        <f>=HYPERLINK("http://anyluxury.ru/shop/elektronika/portativnaya-akustika/besprovodnaya-kolonka-trendy-85db-seriy-619001080/" , "619001.080 Беспроводная колонка Trendy 85dB, серая")</f>
      </c>
      <c r="C29885" s="4" t="n">
        <v>1926.00</v>
      </c>
      <c r="D29885" s="4"/>
    </row>
    <row collapsed="" customFormat="false" customHeight="1" hidden="" ht="14" outlineLevel="0" r="29886">
      <c r="A29886" s="3" t="inlineStr">
        <is>
          <t>29746</t>
        </is>
      </c>
      <c r="B29886" s="4" t="s">
        <f>=HYPERLINK("http://anyluxury.ru/shop/elektronika/portativnaya-akustika/besprovodnaya-kolonka-swiss-peak-p326350/" , "P326.350 Беспроводная колонка Swiss Peak")</f>
      </c>
      <c r="C29886" s="4" t="n">
        <v>3335.00</v>
      </c>
      <c r="D29886" s="4"/>
    </row>
    <row collapsed="" customFormat="false" customHeight="1" hidden="" ht="14" outlineLevel="0" r="29887">
      <c r="A29887" s="3" t="inlineStr">
        <is>
          <t>29747</t>
        </is>
      </c>
      <c r="B29887" s="4" t="s">
        <f>=HYPERLINK("http://anyluxury.ru/shop/elektronika/portativnaya-akustika/besprovodnaya-kolonka-outdoor-6w-p326421/" , "P326.421 Беспроводная колонка Outdoor, 6W")</f>
      </c>
      <c r="C29887" s="4" t="n">
        <v>5627.00</v>
      </c>
      <c r="D29887" s="4"/>
    </row>
    <row collapsed="" customFormat="false" customHeight="1" hidden="" ht="14" outlineLevel="0" r="29888">
      <c r="A29888" s="3" t="inlineStr">
        <is>
          <t>29748</t>
        </is>
      </c>
      <c r="B29888" s="4" t="s">
        <f>=HYPERLINK("http://anyluxury.ru/shop/elektronika/portativnaya-akustika/svetodiodnaya-lampochka-so-vstroennoy-kolonkoy-p330083/" , "P330.083 Светодиодная лампочка со встроенной колонкой")</f>
      </c>
      <c r="C29888" s="4" t="n">
        <v>5129.00</v>
      </c>
      <c r="D29888" s="4"/>
    </row>
    <row collapsed="" customFormat="false" customHeight="1" hidden="" ht="14" outlineLevel="0" r="29889">
      <c r="A29889" s="3" t="inlineStr">
        <is>
          <t>29749</t>
        </is>
      </c>
      <c r="B29889" s="4" t="s">
        <f>=HYPERLINK("http://anyluxury.ru/shop/elektronika/portativnaya-akustika/besprovodnaya-sound-bass-kolonka-bolshaya-p326657/" , "P326.657 Беспроводная Sound Bass колонка, большая")</f>
      </c>
      <c r="C29889" s="4" t="n">
        <v>4411.00</v>
      </c>
      <c r="D29889" s="4"/>
    </row>
    <row collapsed="" customFormat="false" customHeight="1" hidden="" ht="14" outlineLevel="0" r="29890">
      <c r="A29890" s="3" t="inlineStr">
        <is>
          <t>29750</t>
        </is>
      </c>
      <c r="B29890" s="4" t="s">
        <f>=HYPERLINK("http://anyluxury.ru/shop/elektronika/portativnaya-akustika/besprovodnaya-sound-bass-kolonka-srednyaya-p326671/" , "P326.671 Беспроводная Sound Bass колонка, средняя")</f>
      </c>
      <c r="C29890" s="4" t="n">
        <v>2631.00</v>
      </c>
      <c r="D29890" s="4"/>
    </row>
    <row collapsed="" customFormat="false" customHeight="1" hidden="" ht="14" outlineLevel="0" r="29891">
      <c r="A29891" s="3" t="inlineStr">
        <is>
          <t>29751</t>
        </is>
      </c>
      <c r="B29891" s="4" t="s">
        <f>=HYPERLINK("http://anyluxury.ru/shop/elektronika/portativnaya-akustika/besprovodnaya-sound-bass-kolonka-srednyaya-p326674/" , "P326.674 Беспроводная Sound Bass колонка, средняя")</f>
      </c>
      <c r="C29891" s="4" t="n">
        <v>2467.00</v>
      </c>
      <c r="D29891" s="4"/>
    </row>
    <row collapsed="" customFormat="false" customHeight="1" hidden="" ht="14" outlineLevel="0" r="29892">
      <c r="A29892" s="3" t="inlineStr">
        <is>
          <t>29752</t>
        </is>
      </c>
      <c r="B29892" s="4" t="s">
        <f>=HYPERLINK("http://anyluxury.ru/shop/elektronika/portativnaya-akustika/besprovodnaya-kolonka-melody-chernaya-p326141/" , "P326.141 Беспроводная колонка Melody, черная")</f>
      </c>
      <c r="C29892" s="4" t="n">
        <v>890.00</v>
      </c>
      <c r="D29892" s="4"/>
    </row>
    <row collapsed="" customFormat="false" customHeight="1" hidden="" ht="14" outlineLevel="0" r="29893">
      <c r="A29893" s="3" t="inlineStr">
        <is>
          <t>29753</t>
        </is>
      </c>
      <c r="B29893" s="4" t="s">
        <f>=HYPERLINK("http://anyluxury.ru/shop/elektronika/portativnaya-akustika/besprovodnaya-kolonka-melody-krasnaya-p326144/" , "P326.144 Беспроводная колонка Melody, красная")</f>
      </c>
      <c r="C29893" s="4" t="n">
        <v>879.00</v>
      </c>
      <c r="D29893" s="4"/>
    </row>
    <row collapsed="" customFormat="false" customHeight="1" hidden="" ht="14" outlineLevel="0" r="29894">
      <c r="A29894" s="3" t="inlineStr">
        <is>
          <t>29754</t>
        </is>
      </c>
      <c r="B29894" s="4" t="s">
        <f>=HYPERLINK("http://anyluxury.ru/shop/elektronika/portativnaya-akustika/besprovodnaya-kolonka-geometric-3-vt-p326247/" , "P326.247 Беспроводная колонка Geometric, 3 Вт")</f>
      </c>
      <c r="C29894" s="4" t="n">
        <v>1809.00</v>
      </c>
      <c r="D29894" s="4"/>
    </row>
    <row collapsed="" customFormat="false" customHeight="1" hidden="" ht="14" outlineLevel="0" r="29895">
      <c r="A29895" s="3" t="inlineStr">
        <is>
          <t>29755</t>
        </is>
      </c>
      <c r="B29895" s="4" t="s">
        <f>=HYPERLINK("http://anyluxury.ru/shop/elektronika/portativnaya-akustika/besprovodnaya-kolonka-swiss-peak-4-v-1-p326891/" , "P326.891 Беспроводная колонка Swiss Peak 4 в 1")</f>
      </c>
      <c r="C29895" s="4" t="n">
        <v>5382.00</v>
      </c>
      <c r="D29895" s="4"/>
    </row>
    <row collapsed="" customFormat="false" customHeight="1" hidden="" ht="14" outlineLevel="0" r="29896">
      <c r="A29896" s="3" t="inlineStr">
        <is>
          <t>29756</t>
        </is>
      </c>
      <c r="B29896" s="4" t="s">
        <f>=HYPERLINK("http://anyluxury.ru/shop/elektronika/portativnaya-akustika/besprovodnie-parnie-kolonki-3-vt-p326911/" , "P326.911 Беспроводные парные колонки, 3 Вт")</f>
      </c>
      <c r="C29896" s="4" t="n">
        <v>7403.00</v>
      </c>
      <c r="D29896" s="4"/>
    </row>
    <row collapsed="" customFormat="false" customHeight="1" hidden="" ht="14" outlineLevel="0" r="29897">
      <c r="A29897" s="3" t="inlineStr">
        <is>
          <t>29757</t>
        </is>
      </c>
      <c r="B29897" s="4" t="s">
        <f>=HYPERLINK("http://anyluxury.ru/shop/elektronika/portativnaya-akustika/besprovodnaya-kolonka-3w-serebryaniy-p326492/" , "P326.492 Беспроводная колонка 3W, серебряный")</f>
      </c>
      <c r="C29897" s="4" t="n">
        <v>992.00</v>
      </c>
      <c r="D29897" s="4"/>
    </row>
    <row collapsed="" customFormat="false" customHeight="1" hidden="" ht="14" outlineLevel="0" r="29898">
      <c r="A29898" s="3" t="inlineStr">
        <is>
          <t>29758</t>
        </is>
      </c>
      <c r="B29898" s="4" t="s">
        <f>=HYPERLINK("http://anyluxury.ru/shop/elektronika/portativnaya-akustika/besprovodnaya-kolonka-3w-zeleniy-p326497/" , "P326.497 Беспроводная колонка 3W")</f>
      </c>
      <c r="C29898" s="4" t="n">
        <v>1029.00</v>
      </c>
      <c r="D29898" s="4"/>
    </row>
    <row collapsed="" customFormat="false" customHeight="1" hidden="" ht="14" outlineLevel="0" r="29899">
      <c r="A29899" s="3" t="inlineStr">
        <is>
          <t>29759</t>
        </is>
      </c>
      <c r="B29899" s="4" t="s">
        <f>=HYPERLINK("http://anyluxury.ru/shop/elektronika/portativnaya-akustika/besprovodnaya-kolonka-friday-afternoon-2w-siniy-p326685/" , "P326.685 Беспроводная колонка Friday afternoon 2W, синий")</f>
      </c>
      <c r="C29899" s="4" t="n">
        <v>1423.00</v>
      </c>
      <c r="D29899" s="4"/>
    </row>
    <row collapsed="" customFormat="false" customHeight="1" hidden="" ht="14" outlineLevel="0" r="29900">
      <c r="A29900" s="3" t="inlineStr">
        <is>
          <t>29760</t>
        </is>
      </c>
      <c r="B29900" s="4" t="s">
        <f>=HYPERLINK("http://anyluxury.ru/shop/elektronika/portativnaya-akustika/besprovodnaya-kolonka-friday-afternoon-2w-zeleniy-p326687/" , "P326.687 Беспроводная колонка Friday afternoon 2W, зеленый")</f>
      </c>
      <c r="C29900" s="4" t="n">
        <v>1423.00</v>
      </c>
      <c r="D29900" s="4"/>
    </row>
    <row collapsed="" customFormat="false" customHeight="1" hidden="" ht="14" outlineLevel="0" r="29901">
      <c r="A29901" s="3" t="inlineStr">
        <is>
          <t>29761</t>
        </is>
      </c>
      <c r="B29901" s="4" t="s">
        <f>=HYPERLINK("http://anyluxury.ru/shop/elektronika/portativnaya-akustika/besprovodnaya-kolonka-easy-serebristaya-169010/" , "1690.10 Беспроводная колонка Easy, серебристая")</f>
      </c>
      <c r="C29901" s="4" t="n">
        <v>990.00</v>
      </c>
      <c r="D29901" s="4"/>
    </row>
    <row collapsed="" customFormat="false" customHeight="1" hidden="" ht="14" outlineLevel="0" r="29902">
      <c r="A29902" s="3" t="inlineStr">
        <is>
          <t>29762</t>
        </is>
      </c>
      <c r="B29902" s="4" t="s">
        <f>=HYPERLINK("http://anyluxury.ru/shop/elektronika/portativnaya-akustika/besprovodnaya-kolonka-easy-chernaya-169030/" , "1690.30 Беспроводная колонка Easy, черная")</f>
      </c>
      <c r="C29902" s="4" t="n">
        <v>990.00</v>
      </c>
      <c r="D29902" s="4"/>
    </row>
    <row collapsed="" customFormat="false" customHeight="1" hidden="" ht="14" outlineLevel="0" r="29903">
      <c r="A29903" s="3" t="inlineStr">
        <is>
          <t>29763</t>
        </is>
      </c>
      <c r="B29903" s="4" t="s">
        <f>=HYPERLINK("http://anyluxury.ru/shop/elektronika/portativnaya-akustika/besprovodnaya-kolonka-uniscend-grinder-serosinyaya-163513/" , "1635.13 Беспроводная колонка Uniscend Grinder, синяя")</f>
      </c>
      <c r="C29903" s="4" t="n">
        <v>2490.00</v>
      </c>
      <c r="D29903" s="4"/>
    </row>
    <row collapsed="" customFormat="false" customHeight="1" hidden="" ht="14" outlineLevel="0" r="29904">
      <c r="A29904" s="3" t="inlineStr">
        <is>
          <t>29764</t>
        </is>
      </c>
      <c r="B29904" s="4" t="s">
        <f>=HYPERLINK("http://anyluxury.ru/shop/elektronika/portativnaya-akustika/besprovodnaya-kolonka-sony-xb41b-chernaya-760530/" , "7605.30 Беспроводная колонка Sony XB41B, черная")</f>
      </c>
      <c r="C29904" s="4" t="n">
        <v>15990.00</v>
      </c>
      <c r="D29904" s="4"/>
    </row>
    <row collapsed="" customFormat="false" customHeight="1" hidden="" ht="14" outlineLevel="0" r="29905">
      <c r="A29905" s="3" t="inlineStr">
        <is>
          <t>29765</t>
        </is>
      </c>
      <c r="B29905" s="4" t="s">
        <f>=HYPERLINK("http://anyluxury.ru/shop/elektronika/portativnaya-akustika/besprovodnaya-kolonka-sony-xb31b-chernaya-760630/" , "7606.30 Беспроводная колонка Sony XB31B, черная")</f>
      </c>
      <c r="C29905" s="4" t="n">
        <v>11190.00</v>
      </c>
      <c r="D29905" s="4"/>
    </row>
    <row collapsed="" customFormat="false" customHeight="1" hidden="" ht="14" outlineLevel="0" r="29906">
      <c r="A29906" s="3" t="inlineStr">
        <is>
          <t>29766</t>
        </is>
      </c>
      <c r="B29906" s="4" t="s">
        <f>=HYPERLINK("http://anyluxury.ru/shop/elektronika/portativnaya-akustika/besprovodnaya-kolonka-sony-xb31w-belaya-760660/" , "7606.60 Беспроводная колонка Sony XB31W, белая")</f>
      </c>
      <c r="C29906" s="4" t="n">
        <v>11190.00</v>
      </c>
      <c r="D29906" s="4"/>
    </row>
    <row collapsed="" customFormat="false" customHeight="1" hidden="" ht="14" outlineLevel="0" r="29907">
      <c r="A29907" s="3" t="inlineStr">
        <is>
          <t>29767</t>
        </is>
      </c>
      <c r="B29907" s="4" t="s">
        <f>=HYPERLINK("http://anyluxury.ru/shop/elektronika/portativnaya-akustika/besprovodnaya-kolonka-sony-xb31r-krasnaya-760650/" , "7606.50 Беспроводная колонка Sony XB31R, красная")</f>
      </c>
      <c r="C29907" s="4" t="n">
        <v>11190.00</v>
      </c>
      <c r="D29907" s="4"/>
    </row>
    <row collapsed="" customFormat="false" customHeight="1" hidden="" ht="14" outlineLevel="0" r="29908">
      <c r="A29908" s="3" t="inlineStr">
        <is>
          <t>29768</t>
        </is>
      </c>
      <c r="B29908" s="4" t="s">
        <f>=HYPERLINK("http://anyluxury.ru/shop/elektronika/portativnaya-akustika/besprovodnaya-kolonka-sony-xb41r-krasnaya-760550/" , "7605.50 Беспроводная колонка Sony XB41R, красная")</f>
      </c>
      <c r="C29908" s="4" t="n">
        <v>15990.00</v>
      </c>
      <c r="D29908" s="4"/>
    </row>
    <row collapsed="" customFormat="false" customHeight="1" hidden="" ht="14" outlineLevel="0" r="29909">
      <c r="A29909" s="3" t="inlineStr">
        <is>
          <t>29769</t>
        </is>
      </c>
      <c r="B29909" s="4" t="s">
        <f>=HYPERLINK("http://anyluxury.ru/shop/elektronika/portativnaya-akustika/besprovodnaya-stereokolonka-uniscend-audeamus-chernaya-1800130/" , "18001.30 Беспроводная стереоколонка Uniscend Audeamus, черная")</f>
      </c>
      <c r="C29909" s="4" t="n">
        <v>1790.00</v>
      </c>
      <c r="D29909" s="4"/>
    </row>
    <row collapsed="" customFormat="false" customHeight="1" hidden="" ht="14" outlineLevel="0" r="29910">
      <c r="A29910" s="3" t="inlineStr">
        <is>
          <t>29770</t>
        </is>
      </c>
      <c r="B29910" s="4" t="s">
        <f>=HYPERLINK("http://anyluxury.ru/shop/elektronika/portativnaya-akustika/besprovodnaya-stereokolonka-uniscend-audeamus-belaya-1800160/" , "18001.60 Беспроводная стереоколонка Uniscend Audeamus, белая")</f>
      </c>
      <c r="C29910" s="4" t="n">
        <v>1790.00</v>
      </c>
      <c r="D29910" s="4"/>
    </row>
    <row collapsed="" customFormat="false" customHeight="1" hidden="" ht="14" outlineLevel="0" r="29911">
      <c r="A29911" s="3" t="inlineStr">
        <is>
          <t>29771</t>
        </is>
      </c>
      <c r="B29911" s="4" t="s">
        <f>=HYPERLINK("http://anyluxury.ru/shop/elektronika/portativnaya-akustika/besprovodnaya-kolonka-sony-srs01-svetloseraya-1026160/" , "10261.60 Беспроводная колонка Sony SRS-01, светло-серая")</f>
      </c>
      <c r="C29911" s="4" t="n">
        <v>3290.00</v>
      </c>
      <c r="D29911" s="4"/>
    </row>
    <row collapsed="" customFormat="false" customHeight="1" hidden="" ht="14" outlineLevel="0" r="29912">
      <c r="A29912" s="3" t="inlineStr">
        <is>
          <t>29772</t>
        </is>
      </c>
      <c r="B29912" s="4" t="s">
        <f>=HYPERLINK("http://anyluxury.ru/shop/elektronika/portativnaya-akustika/besprovodnaya-kolonka-easy-temnosinyaya-169040/" , "1690.40 Беспроводная колонка Easy, синяя")</f>
      </c>
      <c r="C29912" s="4" t="n">
        <v>990.00</v>
      </c>
      <c r="D29912" s="4"/>
    </row>
    <row collapsed="" customFormat="false" customHeight="1" hidden="" ht="14" outlineLevel="0" r="29913">
      <c r="A29913" s="3" t="inlineStr">
        <is>
          <t>29773</t>
        </is>
      </c>
      <c r="B29913" s="4" t="s">
        <f>=HYPERLINK("http://anyluxury.ru/shop/elektronika/portativnaya-akustika/besprovodnaya-stereokolonka-mi-bluetooth-speaker-krasnaya-1913550/" , "19135.50 Беспроводная стереоколонка Mi Bluetooth Speaker, красная")</f>
      </c>
      <c r="C29913" s="4" t="n">
        <v>3390.00</v>
      </c>
      <c r="D29913" s="4"/>
    </row>
    <row collapsed="" customFormat="false" customHeight="1" hidden="" ht="14" outlineLevel="0" r="29914">
      <c r="A29914" s="3" t="inlineStr">
        <is>
          <t>29774</t>
        </is>
      </c>
      <c r="B29914" s="4" t="s">
        <f>=HYPERLINK("http://anyluxury.ru/shop/elektronika/portativnaya-akustika/besprovodnaya-kolonka-s-fmradio-borsetta-chernaya-2010930/" , "20109.30 Беспроводная колонка Borsetta, черная")</f>
      </c>
      <c r="C29914" s="4" t="n">
        <v>979.00</v>
      </c>
      <c r="D29914" s="4"/>
    </row>
    <row collapsed="" customFormat="false" customHeight="1" hidden="" ht="14" outlineLevel="0" r="29915">
      <c r="A29915" s="3" t="inlineStr">
        <is>
          <t>29775</t>
        </is>
      </c>
      <c r="B29915" s="4" t="s">
        <f>=HYPERLINK("http://anyluxury.ru/shop/elektronika/portativnaya-akustika/besprovodnaya-kolonka-s-fmradio-borsetta-sinyaya-2010940/" , "20109.40 Беспроводная колонка Borsetta, синяя")</f>
      </c>
      <c r="C29915" s="4" t="n">
        <v>979.00</v>
      </c>
      <c r="D29915" s="4"/>
    </row>
    <row collapsed="" customFormat="false" customHeight="1" hidden="" ht="14" outlineLevel="0" r="29916">
      <c r="A29916" s="3" t="inlineStr">
        <is>
          <t>29776</t>
        </is>
      </c>
      <c r="B29916" s="4" t="s">
        <f>=HYPERLINK("http://anyluxury.ru/shop/elektronika/portativnaya-akustika/besprovodnaya-kolonka-s-fmradio-borsetta-krasnaya-2010950/" , "20109.50 Беспроводная колонка Borsetta, красная")</f>
      </c>
      <c r="C29916" s="4" t="n">
        <v>979.00</v>
      </c>
      <c r="D29916" s="4"/>
    </row>
    <row collapsed="" customFormat="false" customHeight="1" hidden="" ht="14" outlineLevel="0" r="29917">
      <c r="A29917" s="3" t="inlineStr">
        <is>
          <t>29777</t>
        </is>
      </c>
      <c r="B29917" s="4" t="s">
        <f>=HYPERLINK("http://anyluxury.ru/shop/elektronika/portativnaya-akustika/besprovodnaya-kolonka-s-fmradio-borsetta-belaya-2010960/" , "20109.60 Беспроводная колонка Borsetta, светло-серая")</f>
      </c>
      <c r="C29917" s="4" t="n">
        <v>979.00</v>
      </c>
      <c r="D29917" s="4"/>
    </row>
    <row collapsed="" customFormat="false" customHeight="1" hidden="" ht="14" outlineLevel="0" r="29918">
      <c r="A29918" s="3" t="inlineStr">
        <is>
          <t>29778</t>
        </is>
      </c>
      <c r="B29918" s="4" t="s">
        <f>=HYPERLINK("http://anyluxury.ru/shop/elektronika/portativnaya-akustika/besprovodnaya-kolonka-uniscend-grinder-chernaya-163530/" , "1635.30 Беспроводная колонка Uniscend Grinder, черная")</f>
      </c>
      <c r="C29918" s="4" t="n">
        <v>2490.00</v>
      </c>
      <c r="D29918" s="4"/>
    </row>
    <row collapsed="" customFormat="false" customHeight="1" hidden="" ht="14" outlineLevel="0" r="29919">
      <c r="A29919" s="3" t="inlineStr">
        <is>
          <t>29779</t>
        </is>
      </c>
      <c r="B29919" s="4" t="s">
        <f>=HYPERLINK("http://anyluxury.ru/shop/elektronika/portativnaya-akustika/besprovodnaya-kolonka-s-podsvetkoy-logotipa-glim-chernaya-1210330/" , "12103.30 Беспроводная колонка с подсветкой логотипа Glim, черная")</f>
      </c>
      <c r="C29919" s="4" t="n">
        <v>1290.00</v>
      </c>
      <c r="D29919" s="4"/>
    </row>
    <row collapsed="" customFormat="false" customHeight="1" hidden="" ht="14" outlineLevel="0" r="29920">
      <c r="A29920" s="3" t="inlineStr">
        <is>
          <t>29780</t>
        </is>
      </c>
      <c r="B29920" s="4" t="s">
        <f>=HYPERLINK("http://anyluxury.ru/shop/elektronika/portativnaya-akustika/besprovodnaya-kolonka-s-podsvetkoy-logotipa-glim-sinyaya-1210340/" , "12103.40 Беспроводная колонка с подсветкой логотипа Glim, синяя")</f>
      </c>
      <c r="C29920" s="4" t="n">
        <v>1290.00</v>
      </c>
      <c r="D29920" s="4"/>
    </row>
    <row collapsed="" customFormat="false" customHeight="1" hidden="" ht="14" outlineLevel="0" r="29921">
      <c r="A29921" s="3" t="inlineStr">
        <is>
          <t>29781</t>
        </is>
      </c>
      <c r="B29921" s="4" t="s">
        <f>=HYPERLINK("http://anyluxury.ru/shop/elektronika/portativnaya-akustika/besprovodnaya-kolonka-s-podsvetkoy-logotipa-glim-krasnaya-1210350/" , "12103.50 Беспроводная колонка с подсветкой логотипа Glim, красная")</f>
      </c>
      <c r="C29921" s="4" t="n">
        <v>1290.00</v>
      </c>
      <c r="D29921" s="4"/>
    </row>
    <row collapsed="" customFormat="false" customHeight="1" hidden="" ht="14" outlineLevel="0" r="29922">
      <c r="A29922" s="3" t="inlineStr">
        <is>
          <t>29782</t>
        </is>
      </c>
      <c r="B29922" s="4" t="s">
        <f>=HYPERLINK("http://anyluxury.ru/shop/elektronika/portativnaya-akustika/besprovodnaya-kolonka-uniscend-tappy-chernaya-1210530/" , "12105.30 Беспроводная колонка Uniscend Tappy, черная")</f>
      </c>
      <c r="C29922" s="4" t="n">
        <v>1990.00</v>
      </c>
      <c r="D29922" s="4"/>
    </row>
    <row collapsed="" customFormat="false" customHeight="1" hidden="" ht="14" outlineLevel="0" r="29923">
      <c r="A29923" s="3" t="inlineStr">
        <is>
          <t>29783</t>
        </is>
      </c>
      <c r="B29923" s="4" t="s">
        <f>=HYPERLINK("http://anyluxury.ru/shop/elektronika/portativnaya-akustika/besprovodnaya-kolonka-uniscend-tappy-belaya-1210560/" , "12105.60 Беспроводная колонка Uniscend Tappy, белая")</f>
      </c>
      <c r="C29923" s="4" t="n">
        <v>1990.00</v>
      </c>
      <c r="D29923" s="4"/>
    </row>
    <row collapsed="" customFormat="false" customHeight="1" hidden="" ht="14" outlineLevel="0" r="29924">
      <c r="A29924" s="3" t="inlineStr">
        <is>
          <t>29784</t>
        </is>
      </c>
      <c r="B29924" s="4" t="s">
        <f>=HYPERLINK("http://anyluxury.ru/shop/elektronika/portativnaya-akustika/besprovodnaya-kolonka-stand-by-me-chernaya-1537430/" , "15374.30 Беспроводная колонка Stand by Me, черная")</f>
      </c>
      <c r="C29924" s="4" t="n">
        <v>1390.00</v>
      </c>
      <c r="D29924" s="4"/>
    </row>
    <row collapsed="" customFormat="false" customHeight="1" hidden="" ht="14" outlineLevel="0" r="29925">
      <c r="A29925" s="3" t="inlineStr">
        <is>
          <t>29785</t>
        </is>
      </c>
      <c r="B29925" s="4" t="s">
        <f>=HYPERLINK("http://anyluxury.ru/shop/elektronika/portativnaya-akustika/besprovodnaya-kolonka-stand-by-me-svetloseraya-1537460/" , "15374.60 Беспроводная колонка Stand by Me, светло-серая")</f>
      </c>
      <c r="C29925" s="4" t="n">
        <v>1390.00</v>
      </c>
      <c r="D29925" s="4"/>
    </row>
    <row collapsed="" customFormat="false" customHeight="1" hidden="" ht="14" outlineLevel="0" r="29926">
      <c r="A29926" s="3" t="inlineStr">
        <is>
          <t>29786</t>
        </is>
      </c>
      <c r="B29926" s="4" t="s">
        <f>=HYPERLINK("http://anyluxury.ru/shop/elektronika/portativnaya-akustika/besprovodnie-kolonki-gravitune-belie-1210260/" , "12102.60 Беспроводные колонки graviTune, белые")</f>
      </c>
      <c r="C29926" s="4" t="n">
        <v>1990.00</v>
      </c>
      <c r="D29926" s="4"/>
    </row>
    <row collapsed="" customFormat="false" customHeight="1" hidden="" ht="14" outlineLevel="0" r="29927">
      <c r="A29927" s="3" t="inlineStr">
        <is>
          <t>29787</t>
        </is>
      </c>
      <c r="B29927" s="4" t="s">
        <f>=HYPERLINK("http://anyluxury.ru/shop/elektronika/portativnaya-akustika/besprovodnaya-kolonka-s-zaryadnoy-bazoy-s-usb-p329291/" , "P329.291 Беспроводная колонка с зарядной базой с USB")</f>
      </c>
      <c r="C29927" s="4" t="n">
        <v>5441.00</v>
      </c>
      <c r="D29927" s="4"/>
    </row>
    <row collapsed="" customFormat="false" customHeight="1" hidden="" ht="14" outlineLevel="0" r="29928">
      <c r="A29928" s="3" t="inlineStr">
        <is>
          <t>29788</t>
        </is>
      </c>
      <c r="B29928" s="4" t="s">
        <f>=HYPERLINK("http://anyluxury.ru/shop/elektronika/portativnaya-akustika/besprovodnaya-kolonka-s-zaryadnoy-bazoy-s-usb-p329292/" , "P329.292 Беспроводная колонка с зарядной базой с USB")</f>
      </c>
      <c r="C29928" s="4" t="n">
        <v>5441.00</v>
      </c>
      <c r="D29928" s="4"/>
    </row>
    <row collapsed="" customFormat="false" customHeight="1" hidden="" ht="14" outlineLevel="0" r="29929">
      <c r="A29929" s="3" t="inlineStr">
        <is>
          <t>29789</t>
        </is>
      </c>
      <c r="B29929" s="4" t="s">
        <f>=HYPERLINK("http://anyluxury.ru/shop/elektronika/portativnaya-akustika/besprovodnaya-kolonka-s-zaryadnoy-bazoy-s-usb-p329293/" , "P329.293 Беспроводная колонка с зарядной базой с USB")</f>
      </c>
      <c r="C29929" s="4" t="n">
        <v>4919.00</v>
      </c>
      <c r="D29929" s="4"/>
    </row>
    <row collapsed="" customFormat="false" customHeight="1" hidden="" ht="14" outlineLevel="0" r="29930">
      <c r="A29930" s="3" t="inlineStr">
        <is>
          <t>29790</t>
        </is>
      </c>
      <c r="B29930" s="4" t="s">
        <f>=HYPERLINK("http://anyluxury.ru/shop/elektronika/portativnaya-akustika/besprovodnaya-kolonka-iz-zakalennogo-stekla-3-vt-p329221/" , "P329.221 Беспроводная колонка из закаленного стекла, 3 Вт")</f>
      </c>
      <c r="C29930" s="4" t="n">
        <v>1988.00</v>
      </c>
      <c r="D29930" s="4"/>
    </row>
    <row collapsed="" customFormat="false" customHeight="1" hidden="" ht="14" outlineLevel="0" r="29931">
      <c r="A29931" s="3" t="inlineStr">
        <is>
          <t>29791</t>
        </is>
      </c>
      <c r="B29931" s="4" t="s">
        <f>=HYPERLINK("http://anyluxury.ru/shop/elektronika/portativnaya-akustika/besprovodnaya-kolonka-jersey-3-vt-p329242/" , "P329.242 Беспроводная колонка Jersey, 3 Вт")</f>
      </c>
      <c r="C29931" s="4" t="n">
        <v>990.00</v>
      </c>
      <c r="D29931" s="4"/>
    </row>
    <row collapsed="" customFormat="false" customHeight="1" hidden="" ht="14" outlineLevel="0" r="29932">
      <c r="A29932" s="3" t="inlineStr">
        <is>
          <t>29792</t>
        </is>
      </c>
      <c r="B29932" s="4" t="s">
        <f>=HYPERLINK("http://anyluxury.ru/shop/elektronika/portativnaya-akustika/umnaya-besprovodnaya-kolonka-smartmate-s-pomoshhnikom-alisa-chernaya-1269330/" , "12693.30 Умная колонка Smartmate с помощником «Алиса», черная")</f>
      </c>
      <c r="C29932" s="4" t="n">
        <v>8890.00</v>
      </c>
      <c r="D29932" s="4"/>
    </row>
    <row collapsed="" customFormat="false" customHeight="1" hidden="" ht="14" outlineLevel="0" r="29933">
      <c r="A29933" s="3" t="inlineStr">
        <is>
          <t>29793</t>
        </is>
      </c>
      <c r="B29933" s="4" t="s">
        <f>=HYPERLINK("http://anyluxury.ru/shop/elektronika/portativnaya-akustika/umnaya-besprovodnaya-kolonka-smartmate-s-pomoshhnikom-alisa-krasnaya-1269350/" , "12693.50 Умная колонка Smartmate с помощником «Алиса», красная")</f>
      </c>
      <c r="C29933" s="4" t="n">
        <v>7490.00</v>
      </c>
      <c r="D29933" s="4"/>
    </row>
    <row collapsed="" customFormat="false" customHeight="1" hidden="" ht="14" outlineLevel="0" r="29934">
      <c r="A29934" s="3" t="inlineStr">
        <is>
          <t>29794</t>
        </is>
      </c>
      <c r="B29934" s="4" t="s">
        <f>=HYPERLINK("http://anyluxury.ru/shop/elektronika/portativnaya-akustika/umnaya-kolonka-yandeks-stanciya-mini-s-pomoshhnikom-alisa-chernaya-1302330/" , "13023.30 «Яндекс.Станция Мини». Умная колонка с «Алисой», черная")</f>
      </c>
      <c r="C29934" s="4" t="n">
        <v>4999.00</v>
      </c>
      <c r="D29934" s="4"/>
    </row>
    <row collapsed="" customFormat="false" customHeight="1" hidden="" ht="14" outlineLevel="0" r="29935">
      <c r="A29935" s="3" t="inlineStr">
        <is>
          <t>29795</t>
        </is>
      </c>
      <c r="B29935" s="4" t="s">
        <f>=HYPERLINK("http://anyluxury.ru/shop/elektronika/portativnaya-akustika/umnaya-kolonka-yandeks-stanciya-mini-s-pomoshhnikom-alisa-serebristaya-1302310/" , "13023.10 «Яндекс.Станция Мини». Умная колонка с «Алисой», серебристая")</f>
      </c>
      <c r="C29935" s="4" t="n">
        <v>4999.00</v>
      </c>
      <c r="D29935" s="4"/>
    </row>
    <row collapsed="" customFormat="false" customHeight="1" hidden="" ht="14" outlineLevel="0" r="29936">
      <c r="A29936" s="3" t="inlineStr">
        <is>
          <t>29796</t>
        </is>
      </c>
      <c r="B29936" s="4" t="s">
        <f>=HYPERLINK("http://anyluxury.ru/shop/elektronika/portativnaya-akustika/besprovodnaya-moshhnaya-stereosistema-superior-111-2111130/" , "21111.30 Беспроводная мощная стереосистема Superior 111")</f>
      </c>
      <c r="C29936" s="4" t="n">
        <v>9890.00</v>
      </c>
      <c r="D29936" s="4"/>
    </row>
    <row collapsed="" customFormat="false" customHeight="1" hidden="" ht="14" outlineLevel="0" r="29937">
      <c r="A29937" s="3" t="inlineStr">
        <is>
          <t>29797</t>
        </is>
      </c>
      <c r="B29937" s="4" t="s">
        <f>=HYPERLINK("http://anyluxury.ru/shop/elektronika/portativnaya-akustika/umnaya-kolonka-smartvoice-s-marusey-belaya-s-serim-1313260/" , "13132.60 Умная колонка Smartvoice с «Марусей», белая с серым")</f>
      </c>
      <c r="C29937" s="4" t="n">
        <v>5190.00</v>
      </c>
      <c r="D29937" s="4"/>
    </row>
    <row collapsed="" customFormat="false" customHeight="1" hidden="" ht="14" outlineLevel="0" r="29938">
      <c r="A29938" s="3" t="inlineStr">
        <is>
          <t>29798</t>
        </is>
      </c>
      <c r="B29938" s="4" t="s">
        <f>=HYPERLINK("http://anyluxury.ru/shop/elektronika/portativnaya-akustika/umnaya-kolonka-smartvoice-s-marusey-seraya-1313210/" , "13132.10 Умная колонка Smartvoice с «Марусей», серая")</f>
      </c>
      <c r="C29938" s="4" t="n">
        <v>5190.00</v>
      </c>
      <c r="D29938" s="4"/>
    </row>
    <row collapsed="" customFormat="false" customHeight="1" hidden="" ht="14" outlineLevel="0" r="29939">
      <c r="A29939" s="3" t="inlineStr">
        <is>
          <t>29799</t>
        </is>
      </c>
      <c r="B29939" s="4" t="s">
        <f>=HYPERLINK("http://anyluxury.ru/shop/elektronika/portativnaya-akustika/malenkaya-besprovodnaya-kolonka-vintage-3-vt-p329337/" , "P329.337 Маленькая беспроводная колонка Vintage, 3 Вт")</f>
      </c>
      <c r="C29939" s="4" t="n">
        <v>1190.00</v>
      </c>
      <c r="D29939" s="4"/>
    </row>
    <row collapsed="" customFormat="false" customHeight="1" hidden="" ht="14" outlineLevel="0" r="29940">
      <c r="A29940" s="3" t="inlineStr">
        <is>
          <t>29800</t>
        </is>
      </c>
      <c r="B29940" s="4" t="s">
        <f>=HYPERLINK("http://anyluxury.ru/shop/elektronika/portativnaya-akustika/umnaya-kolonka-kapsula-s-pomoshhnikom-marusya-chernaya-1558530/" , "15585.30 Умная колонка «Капсула» с помощником «Маруся», черная")</f>
      </c>
      <c r="C29940" s="4" t="n">
        <v>16942.00</v>
      </c>
      <c r="D29940" s="4"/>
    </row>
    <row collapsed="" customFormat="false" customHeight="1" hidden="" ht="14" outlineLevel="0" r="29941">
      <c r="A29941" s="3" t="inlineStr">
        <is>
          <t>29801</t>
        </is>
      </c>
      <c r="B29941" s="4" t="s">
        <f>=HYPERLINK("http://anyluxury.ru/shop/elektronika/portativnaya-akustika/umnaya-kolonka-kapsula-s-pomoshhnikom-marusya-belaya-1558560/" , "15585.60 Умная колонка «Капсула» с помощником «Маруся», белая")</f>
      </c>
      <c r="C29941" s="4" t="n">
        <v>16942.00</v>
      </c>
      <c r="D29941" s="4"/>
    </row>
    <row collapsed="" customFormat="false" customHeight="1" hidden="" ht="14" outlineLevel="0" r="29942">
      <c r="A29942" s="3" t="inlineStr">
        <is>
          <t>29802</t>
        </is>
      </c>
      <c r="B29942" s="4" t="s">
        <f>=HYPERLINK("http://anyluxury.ru/shop/elektronika/portativnaya-akustika/multimediynaya-stanciya-s-imitaciey-solnechnogo-sveta-dreamtime-ver2-belaya-1292460/" , "12924.60 Мультимедийная станция с имитацией солнечного света dreamTime, ver.2, белая")</f>
      </c>
      <c r="C29942" s="4" t="n">
        <v>3990.00</v>
      </c>
      <c r="D29942" s="4"/>
    </row>
    <row collapsed="" customFormat="false" customHeight="1" hidden="" ht="14" outlineLevel="0" r="29943">
      <c r="A29943" s="3" t="inlineStr">
        <is>
          <t>29803</t>
        </is>
      </c>
      <c r="B29943" s="4" t="s">
        <f>=HYPERLINK("http://anyluxury.ru/shop/elektronika/portativnaya-akustika/besprovodnaya-kolonka-eldflugg-ver2-s-fonarem-1988810/" , "19888.10 Защищенная колонка Eldflugg с кемпинговым фонарем")</f>
      </c>
      <c r="C29943" s="4" t="n">
        <v>3190.00</v>
      </c>
      <c r="D29943" s="4"/>
    </row>
    <row collapsed="" customFormat="false" customHeight="1" hidden="" ht="14" outlineLevel="0" r="29944">
      <c r="A29944" s="3" t="inlineStr">
        <is>
          <t>29804</t>
        </is>
      </c>
      <c r="B29944" s="4" t="s">
        <f>=HYPERLINK("http://anyluxury.ru/shop/elektronika/portativnaya-akustika/besprovodnaya-kolonka-sound-count-serebristaya-2102010/" , "21020.10 Беспроводная колонка Sound Count, серебристая")</f>
      </c>
      <c r="C29944" s="4" t="n">
        <v>1470.00</v>
      </c>
      <c r="D29944" s="4"/>
    </row>
    <row collapsed="" customFormat="false" customHeight="1" hidden="" ht="14" outlineLevel="0" r="29945">
      <c r="A29945" s="3" t="inlineStr">
        <is>
          <t>29805</t>
        </is>
      </c>
      <c r="B29945" s="4" t="s">
        <f>=HYPERLINK("http://anyluxury.ru/shop/elektronika/portativnaya-akustika/besprovodnaya-kolonka-sound-count-chernaya-2102030/" , "21020.30 Беспроводная колонка Sound Count, черная")</f>
      </c>
      <c r="C29945" s="4" t="n">
        <v>1470.00</v>
      </c>
      <c r="D29945" s="4"/>
    </row>
    <row collapsed="" customFormat="false" customHeight="1" hidden="" ht="14" outlineLevel="0" r="29946">
      <c r="A29946" s="3" t="inlineStr">
        <is>
          <t>29806</t>
        </is>
      </c>
      <c r="B29946" s="4" t="s">
        <f>=HYPERLINK("http://anyluxury.ru/shop/elektronika/portativnaya-akustika/besprovodnaya-kolonka-uniscend-grand-grinder-seraya-2163510/" , "21635.10 Универсальная колонка Uniscend Grand Grinder, серая")</f>
      </c>
      <c r="C29946" s="4" t="n">
        <v>2990.00</v>
      </c>
      <c r="D29946" s="4"/>
    </row>
    <row collapsed="" customFormat="false" customHeight="1" hidden="" ht="14" outlineLevel="0" r="29947">
      <c r="A29947" s="3" t="inlineStr">
        <is>
          <t>29807</t>
        </is>
      </c>
      <c r="B29947" s="4" t="s">
        <f>=HYPERLINK("http://anyluxury.ru/shop/elektronika/portativnaya-akustika/besprovodnaya-kolonka-uniscend-grand-grinder-serosinyaya-2163513/" , "21635.13 Универсальная колонка Uniscend Grand Grinder, серо-синяя")</f>
      </c>
      <c r="C29947" s="4" t="n">
        <v>2990.00</v>
      </c>
      <c r="D29947" s="4"/>
    </row>
    <row collapsed="" customFormat="false" customHeight="1" hidden="" ht="14" outlineLevel="0" r="29948">
      <c r="A29948" s="3" t="inlineStr">
        <is>
          <t>29808</t>
        </is>
      </c>
      <c r="B29948" s="4" t="s">
        <f>=HYPERLINK("http://anyluxury.ru/shop/elektronika/portativnaya-akustika/besprovodnaya-kolonka-uniscend-grand-grinder-chernaya-2163530/" , "21635.30 Универсальная колонка Uniscend Grand Grinder, черная")</f>
      </c>
      <c r="C29948" s="4" t="n">
        <v>2990.00</v>
      </c>
      <c r="D29948" s="4"/>
    </row>
    <row collapsed="" customFormat="false" customHeight="1" hidden="" ht="14" outlineLevel="0" r="29949">
      <c r="A29949" s="3" t="inlineStr">
        <is>
          <t>29809</t>
        </is>
      </c>
      <c r="B29949" s="4" t="s">
        <f>=HYPERLINK("http://anyluxury.ru/shop/elektronika/portativnaya-akustika/besprovodnaya-kolonka-urban-vitamin-berkeley-s-zashhitoy-ipx7-10-vt-p329901/" , "P329.901 Беспроводная колонка Urban Vitamin Berkeley с защитой IPX7, 10 Вт")</f>
      </c>
      <c r="C29949" s="4" t="n">
        <v>8590.00</v>
      </c>
      <c r="D29949" s="4"/>
    </row>
    <row collapsed="" customFormat="false" customHeight="1" hidden="" ht="14" outlineLevel="0" r="29950">
      <c r="A29950" s="3" t="inlineStr">
        <is>
          <t>29810</t>
        </is>
      </c>
      <c r="B29950" s="4" t="s">
        <f>=HYPERLINK("http://anyluxury.ru/shop/elektronika/portativnaya-akustika/umnaya-kolonka-novaya-yandeks-stanciya-mini-chernaya-1432930/" , "14329.30 Умная колонка «Новая Яндекс Станция Мини», черная")</f>
      </c>
      <c r="C29950" s="4" t="n">
        <v>10390.00</v>
      </c>
      <c r="D29950" s="4"/>
    </row>
    <row collapsed="" customFormat="false" customHeight="1" hidden="" ht="14" outlineLevel="0" r="29951">
      <c r="A29951" s="3" t="inlineStr">
        <is>
          <t>29811</t>
        </is>
      </c>
      <c r="B29951" s="4" t="s">
        <f>=HYPERLINK("http://anyluxury.ru/shop/elektronika/portativnaya-akustika/umnaya-kolonka-novaya-yandeks-stanciya-mini-seraya-1432910/" , "14329.10 Умная колонка «Новая Яндекс Станция Мини», серая")</f>
      </c>
      <c r="C29951" s="4" t="n">
        <v>10390.00</v>
      </c>
      <c r="D29951" s="4"/>
    </row>
    <row collapsed="" customFormat="false" customHeight="1" hidden="" ht="14" outlineLevel="0" r="29952">
      <c r="A29952" s="3" t="inlineStr">
        <is>
          <t>29812</t>
        </is>
      </c>
      <c r="B29952" s="4" t="s">
        <f>=HYPERLINK("http://anyluxury.ru/shop/elektronika/portativnaya-akustika/umnaya-kolonka-novaya-yandeks-stanciya-mini-s-chasami-chernaya-1433030/" , "14330.30 Умная колонка «Новая Яндекс Станция Мини» с часами, черная")</f>
      </c>
      <c r="C29952" s="4" t="n">
        <v>11690.00</v>
      </c>
      <c r="D29952" s="4"/>
    </row>
    <row collapsed="" customFormat="false" customHeight="1" hidden="" ht="14" outlineLevel="0" r="29953">
      <c r="A29953" s="3" t="inlineStr">
        <is>
          <t>29813</t>
        </is>
      </c>
      <c r="B29953" s="4" t="s">
        <f>=HYPERLINK("http://anyluxury.ru/shop/elektronika/portativnaya-akustika/umnaya-kolonka-novaya-yandeks-stanciya-mini-s-chasami-seraya-1433010/" , "14330.10 Умная колонка «Новая Яндекс Станция Мини» с часами, серая")</f>
      </c>
      <c r="C29953" s="4" t="n">
        <v>11690.00</v>
      </c>
      <c r="D29953" s="4"/>
    </row>
    <row collapsed="" customFormat="false" customHeight="1" hidden="" ht="14" outlineLevel="0" r="29954">
      <c r="A29954" s="3" t="inlineStr">
        <is>
          <t>29814</t>
        </is>
      </c>
      <c r="B29954" s="4" t="s">
        <f>=HYPERLINK("http://anyluxury.ru/shop/elektronika/portativnaya-akustika/umnaya-kolonka-yandeks-stanciya-layt-kapuchino-1433259/" , "14332.59 Умная колонка «Яндекс Станция Лайт», капучино")</f>
      </c>
      <c r="C29954" s="4" t="n">
        <v>7290.00</v>
      </c>
      <c r="D29954" s="4"/>
    </row>
    <row collapsed="" customFormat="false" customHeight="1" hidden="" ht="14" outlineLevel="0" r="29955">
      <c r="A29955" s="3" t="inlineStr">
        <is>
          <t>29815</t>
        </is>
      </c>
      <c r="B29955" s="4" t="s">
        <f>=HYPERLINK("http://anyluxury.ru/shop/elektronika/portativnaya-akustika/umnaya-kolonka-yandeks-stanciya-layt-chili-1433250/" , "14332.50 Умная колонка «Яндекс Станция Лайт», чили")</f>
      </c>
      <c r="C29955" s="4" t="n">
        <v>7290.00</v>
      </c>
      <c r="D29955" s="4"/>
    </row>
    <row collapsed="" customFormat="false" customHeight="1" hidden="" ht="14" outlineLevel="0" r="29956">
      <c r="A29956" s="3" t="inlineStr">
        <is>
          <t>29816</t>
        </is>
      </c>
      <c r="B29956" s="4" t="s">
        <f>=HYPERLINK("http://anyluxury.ru/shop/elektronika/portativnaya-akustika/besprovodnaya-stereokolonka-uniscend-roombox-chernaya-2112030/" , "21120.30 Беспроводная стереоколонка Uniscend Roombox, черная")</f>
      </c>
      <c r="C29956" s="4" t="n">
        <v>1890.00</v>
      </c>
      <c r="D29956" s="4"/>
    </row>
    <row collapsed="" customFormat="false" customHeight="1" hidden="" ht="14" outlineLevel="0" r="29957">
      <c r="A29957" s="3" t="inlineStr">
        <is>
          <t>29817</t>
        </is>
      </c>
      <c r="B29957" s="4" t="s">
        <f>=HYPERLINK("http://anyluxury.ru/shop/elektronika/portativnaya-akustika/besprovodnaya-stereokolonka-uniscend-roombox-svetloseraya-2112060/" , "21120.60 Беспроводная стереоколонка Uniscend Roombox, светло-серая")</f>
      </c>
      <c r="C29957" s="4" t="n">
        <v>1890.00</v>
      </c>
      <c r="D29957" s="4"/>
    </row>
    <row collapsed="" customFormat="false" customHeight="1" hidden="" ht="14" outlineLevel="0" r="29958">
      <c r="A29958" s="3" t="inlineStr">
        <is>
          <t>29818</t>
        </is>
      </c>
      <c r="B29958" s="4" t="s">
        <f>=HYPERLINK("http://anyluxury.ru/shop/elektronika/portativnaya-akustika/umnaya-kolonka-yandeks-stanciya-2-antracit-1439930/" , "14399.30 Умная колонка «Яндекс Станция 2», антрацит")</f>
      </c>
      <c r="C29958" s="4" t="n">
        <v>23490.00</v>
      </c>
      <c r="D29958" s="4"/>
    </row>
    <row collapsed="" customFormat="false" customHeight="1" hidden="" ht="14" outlineLevel="0" r="29959">
      <c r="A29959" s="3" t="inlineStr">
        <is>
          <t>29819</t>
        </is>
      </c>
      <c r="B29959" s="4" t="s">
        <f>=HYPERLINK("http://anyluxury.ru/shop/elektronika/portativnaya-akustika/umnaya-kolonka-yandeks-stanciya-layt-ultrafiolet-1433270/" , "14332.70 Умная колонка «Яндекс Станция Лайт», ультрафиолет")</f>
      </c>
      <c r="C29959" s="4" t="n">
        <v>6590.00</v>
      </c>
      <c r="D29959" s="4"/>
    </row>
    <row collapsed="" customFormat="false" customHeight="1" hidden="" ht="14" outlineLevel="0" r="29960">
      <c r="A29960" s="3" t="inlineStr">
        <is>
          <t>29820</t>
        </is>
      </c>
      <c r="B29960" s="4" t="s">
        <f>=HYPERLINK("http://anyluxury.ru/shop/elektronika/portativnaya-akustika/umnaya-kolonka-novaya-yandeks-stanciya-mini-s-chasami-krasnaya-1433050/" , "14330.50 Умная колонка «Новая Яндекс Станция Мини» с часами, красная")</f>
      </c>
      <c r="C29960" s="4" t="n">
        <v>11690.00</v>
      </c>
      <c r="D29960" s="4"/>
    </row>
    <row collapsed="" customFormat="false" customHeight="1" hidden="" ht="14" outlineLevel="0" r="29961">
      <c r="A29961" s="3" t="inlineStr">
        <is>
          <t>29821</t>
        </is>
      </c>
      <c r="B29961" s="4" t="s">
        <f>=HYPERLINK("http://anyluxury.ru/shop/elektronika/portativnaya-akustika/umnaya-kolonka-yandeks-stanciya-layt-limon-1433280/" , "14332.80 Умная колонка «Яндекс Станция Лайт», лимон")</f>
      </c>
      <c r="C29961" s="4" t="n">
        <v>7290.00</v>
      </c>
      <c r="D29961" s="4"/>
    </row>
    <row collapsed="" customFormat="false" customHeight="1" hidden="" ht="14" outlineLevel="0" r="29962">
      <c r="A29962" s="3" t="inlineStr">
        <is>
          <t>29822</t>
        </is>
      </c>
      <c r="B29962" s="4" t="s">
        <f>=HYPERLINK("http://anyluxury.ru/shop/elektronika/portativnaya-akustika/umnaya-kolonka-yandeks-stanciya-layt-flamingo-1433215/" , "14332.15 Умная колонка «Яндекс Станция Лайт», фламинго")</f>
      </c>
      <c r="C29962" s="4" t="n">
        <v>7290.00</v>
      </c>
      <c r="D29962" s="4"/>
    </row>
    <row collapsed="" customFormat="false" customHeight="1" hidden="" ht="14" outlineLevel="0" r="29963">
      <c r="A29963" s="3" t="inlineStr">
        <is>
          <t>29823</t>
        </is>
      </c>
      <c r="B29963" s="4" t="s">
        <f>=HYPERLINK("http://anyluxury.ru/shop/elektronika/portativnaya-akustika/besprovodnaya-kolonka-glow-75db-siniy-622003030/" , "622003.030 Беспроводная колонка с подсветкой Glow 75dB 1200 mAh, синяя")</f>
      </c>
      <c r="C29963" s="4" t="n">
        <v>2530.00</v>
      </c>
      <c r="D29963" s="4"/>
    </row>
    <row collapsed="" customFormat="false" customHeight="1" hidden="" ht="14" outlineLevel="0" r="29964">
      <c r="A29964" s="3" t="inlineStr">
        <is>
          <t>29824</t>
        </is>
      </c>
      <c r="B29964" s="4" t="s">
        <f>=HYPERLINK("http://anyluxury.ru/shop/elektronika/portativnaya-akustika/besprovodnaya-kolonka-glow-75db-cherniy-622003010/" , "622003.010 Беспроводная колонка с подсветкой Glow 75dB 1200 mAh, черная")</f>
      </c>
      <c r="C29964" s="4" t="n">
        <v>2530.00</v>
      </c>
      <c r="D29964" s="4"/>
    </row>
    <row collapsed="" customFormat="false" customHeight="1" hidden="" ht="14" outlineLevel="0" r="29965">
      <c r="A29965" s="3" t="inlineStr">
        <is>
          <t>29825</t>
        </is>
      </c>
      <c r="B29965" s="4" t="s">
        <f>=HYPERLINK("http://anyluxury.ru/shop/elektronika/portativnaya-akustika/umnaya-kolonka-sberboom-chernaya-1517330/" , "15173.30 Умная колонка SberBoom, черная")</f>
      </c>
      <c r="C29965" s="4" t="n">
        <v>14690.00</v>
      </c>
      <c r="D29965" s="4"/>
    </row>
    <row collapsed="" customFormat="false" customHeight="1" hidden="" ht="14" outlineLevel="0" r="29966">
      <c r="A29966" s="3" t="inlineStr">
        <is>
          <t>29826</t>
        </is>
      </c>
      <c r="B29966" s="4" t="s">
        <f>=HYPERLINK("http://anyluxury.ru/shop/elektronika/portativnaya-akustika/umnaya-kolonka-sberboom-belaya-1517360/" , "15173.60 Умная колонка SberBoom, белая")</f>
      </c>
      <c r="C29966" s="4" t="n">
        <v>14690.00</v>
      </c>
      <c r="D29966" s="4"/>
    </row>
    <row collapsed="" customFormat="false" customHeight="1" hidden="" ht="14" outlineLevel="0" r="29967">
      <c r="A29967" s="3" t="inlineStr">
        <is>
          <t>29827</t>
        </is>
      </c>
      <c r="B29967" s="4" t="s">
        <f>=HYPERLINK("http://anyluxury.ru/shop/elektronika/portativnaya-akustika/umnaya-kolonka-sberboom-mini-belaya-1517460/" , "15174.60 Умная колонка SberBoom Mini, белая")</f>
      </c>
      <c r="C29967" s="4" t="n">
        <v>5490.00</v>
      </c>
      <c r="D29967" s="4"/>
    </row>
    <row collapsed="" customFormat="false" customHeight="1" hidden="" ht="14" outlineLevel="0" r="29968">
      <c r="A29968" s="3" t="inlineStr">
        <is>
          <t>29828</t>
        </is>
      </c>
      <c r="B29968" s="4" t="s">
        <f>=HYPERLINK("http://anyluxury.ru/shop/elektronika/portativnaya-akustika/umnaya-kolonka-sberboom-mini-sinyaya-1517440/" , "15174.40 Умная колонка SberBoom Mini, синяя")</f>
      </c>
      <c r="C29968" s="4" t="n">
        <v>5490.00</v>
      </c>
      <c r="D29968" s="4"/>
    </row>
    <row collapsed="" customFormat="false" customHeight="1" hidden="" ht="14" outlineLevel="0" r="29969">
      <c r="A29969" s="3" t="inlineStr">
        <is>
          <t>29829</t>
        </is>
      </c>
      <c r="B29969" s="4" t="s">
        <f>=HYPERLINK("http://anyluxury.ru/shop/elektronika/portativnaya-akustika/umnaya-kolonka-kapsula-mini-s-pomoshhnikom-marusya-hvoyniy-zeleniy-1331990/" , "13319.90 Умная колонка «Капсула Мини» с помощником «Маруся», хвойный зеленый")</f>
      </c>
      <c r="C29969" s="4" t="n">
        <v>10390.00</v>
      </c>
      <c r="D29969" s="4"/>
    </row>
    <row collapsed="" customFormat="false" customHeight="1" hidden="" ht="14" outlineLevel="0" r="29970">
      <c r="A29970" s="3" t="inlineStr">
        <is>
          <t>29830</t>
        </is>
      </c>
      <c r="B29970" s="4" t="s">
        <f>=HYPERLINK("http://anyluxury.ru/shop/elektronika/portativnaya-akustika/umnaya-kolonka-kapsula-mini-s-pomoshhnikom-marusya-morskoy-siniy-1331940/" , "13319.40 Умная колонка «Капсула Мини» с помощником «Маруся», морской синий")</f>
      </c>
      <c r="C29970" s="4" t="n">
        <v>10390.00</v>
      </c>
      <c r="D29970" s="4"/>
    </row>
    <row collapsed="" customFormat="false" customHeight="1" hidden="" ht="14" outlineLevel="0" r="29971">
      <c r="A29971" s="3" t="inlineStr">
        <is>
          <t>29831</t>
        </is>
      </c>
      <c r="B29971" s="4" t="s">
        <f>=HYPERLINK("http://anyluxury.ru/shop/elektronika/portativnaya-akustika/umnaya-kolonka-kapsula-mini-s-pomoshhnikom-marusya-terrakotovaya-1331955/" , "13319.55 Умная колонка «Капсула Мини» с помощником «Маруся», терракотовая")</f>
      </c>
      <c r="C29971" s="4" t="n">
        <v>10390.00</v>
      </c>
      <c r="D29971" s="4"/>
    </row>
    <row collapsed="" customFormat="false" customHeight="1" hidden="" ht="14" outlineLevel="0" r="29972">
      <c r="A29972" s="3" t="inlineStr">
        <is>
          <t>29832</t>
        </is>
      </c>
      <c r="B29972" s="4" t="s">
        <f>=HYPERLINK("http://anyluxury.ru/shop/elektronika/portativnaya-akustika/umnaya-kolonka-kapsula-neo-s-pomoshhnikom-marusya-chernaya-1525230/" , "15252.30 Умная колонка «Капсула Нео» с помощником «Маруся», черная")</f>
      </c>
      <c r="C29972" s="4" t="n">
        <v>5990.00</v>
      </c>
      <c r="D29972" s="4"/>
    </row>
    <row collapsed="" customFormat="false" customHeight="1" hidden="" ht="14" outlineLevel="0" r="29973">
      <c r="A29973" s="3" t="inlineStr">
        <is>
          <t>29833</t>
        </is>
      </c>
      <c r="B29973" s="4" t="s">
        <f>=HYPERLINK("http://anyluxury.ru/shop/elektronika/portativnaya-akustika/umnaya-kolonka-kapsula-neo-s-pomoshhnikom-marusya-seraya-1525210/" , "15252.10 Умная колонка «Капсула Нео» с помощником «Маруся», серая")</f>
      </c>
      <c r="C29973" s="4" t="n">
        <v>5990.00</v>
      </c>
      <c r="D29973" s="4"/>
    </row>
    <row collapsed="" customFormat="false" customHeight="1" hidden="" ht="14" outlineLevel="0" r="29974">
      <c r="A29974" s="3" t="inlineStr">
        <is>
          <t>29834</t>
        </is>
      </c>
      <c r="B29974" s="4" t="s">
        <f>=HYPERLINK("http://anyluxury.ru/shop/elektronika/portativnaya-akustika/besprovodnaya-kolonka-s-podsvetkoy-citysound-chernaya-1393030/" , "13930.30 Беспроводная колонка с подсветкой citySound, черная")</f>
      </c>
      <c r="C29974" s="4" t="n">
        <v>3290.00</v>
      </c>
      <c r="D29974" s="4"/>
    </row>
    <row collapsed="" customFormat="false" customHeight="1" hidden="" ht="14" outlineLevel="0" r="29975">
      <c r="A29975" s="3" t="inlineStr">
        <is>
          <t>29835</t>
        </is>
      </c>
      <c r="B29975" s="4" t="s">
        <f>=HYPERLINK("http://anyluxury.ru/shop/elektronika/portativnaya-akustika/besprovodnaya-kolonka-lightboom-iz-pererabotannogo-plastika-rcs-10-vt-p329471/" , "P329.471 Беспроводная колонка Lightboom из переработанного пластика RCS, 10 Вт")</f>
      </c>
      <c r="C29975" s="4" t="n">
        <v>6800.00</v>
      </c>
      <c r="D29975" s="4"/>
    </row>
    <row collapsed="" customFormat="false" customHeight="1" hidden="" ht="14" outlineLevel="0" r="29976">
      <c r="A29976" s="3" t="inlineStr">
        <is>
          <t>29836</t>
        </is>
      </c>
      <c r="B29976" s="4" t="s">
        <f>=HYPERLINK("http://anyluxury.ru/shop/elektronika/portativnaya-akustika/besprovodnaya-kolonka-wynn-iz-bambuka-fscr-20-vt-p329659/" , "P329.659 Беспроводная колонка Wynn из бамбука FSC®, 20 Вт")</f>
      </c>
      <c r="C29976" s="4" t="n">
        <v>10990.00</v>
      </c>
      <c r="D29976" s="4"/>
    </row>
    <row collapsed="" customFormat="false" customHeight="1" hidden="" ht="14" outlineLevel="0" r="29977">
      <c r="A29977" s="3" t="inlineStr">
        <is>
          <t>29837</t>
        </is>
      </c>
      <c r="B29977" s="4" t="s">
        <f>=HYPERLINK("http://anyluxury.ru/shop/elektronika/portativnaya-akustika/besprovodnaya-kolonka-terra-iz-pererabotannogo-alyuminiya-rcs-5-vt-p329872/" , "P329.872 Беспроводная колонка Terra из переработанного алюминия RCS, 5 Вт")</f>
      </c>
      <c r="C29977" s="4" t="n">
        <v>3290.00</v>
      </c>
      <c r="D29977" s="4"/>
    </row>
    <row collapsed="" customFormat="false" customHeight="1" hidden="" ht="14" outlineLevel="0" r="29978">
      <c r="A29978" s="3" t="inlineStr">
        <is>
          <t>29838</t>
        </is>
      </c>
      <c r="B29978" s="4" t="s">
        <f>=HYPERLINK("http://anyluxury.ru/shop/elektronika/portativnaya-akustika/besprovodnaya-kolonka-iz-bambuka-fscr-i-pererabotannogo-plastika-5-vt-p329949/" , "P329.949 Беспроводная колонка из бамбука FSC® и переработанного пластика, 5 Вт")</f>
      </c>
      <c r="C29978" s="4" t="n">
        <v>3750.00</v>
      </c>
      <c r="D29978" s="4"/>
    </row>
    <row collapsed="" customFormat="false" customHeight="1" hidden="" ht="14" outlineLevel="0" r="29979">
      <c r="A29979" s="3" t="inlineStr">
        <is>
          <t>29839</t>
        </is>
      </c>
      <c r="B29979" s="4" t="s">
        <f>=HYPERLINK("http://anyluxury.ru/shop/elektronika/portativnaya-akustika/besprovodnaya-kolonka-iz-pererabotannogo-plastika-rcs-5-vt-p329851/" , "P329.851 Беспроводная колонка из переработанного пластика RCS, 5 Вт")</f>
      </c>
      <c r="C29979" s="4" t="n">
        <v>2690.00</v>
      </c>
      <c r="D29979" s="4"/>
    </row>
    <row collapsed="" customFormat="false" customHeight="1" hidden="" ht="14" outlineLevel="0" r="29980">
      <c r="A29980" s="3" t="inlineStr">
        <is>
          <t>29840</t>
        </is>
      </c>
      <c r="B29980" s="4" t="s">
        <f>=HYPERLINK("http://anyluxury.ru/shop/elektronika/portativnaya-akustika/besprovodnaya-kolonka-iz-pererabotannogo-plastika-rcs-5-vt-p329853/" , "P329.853 Беспроводная колонка из переработанного пластика RCS, 5 Вт")</f>
      </c>
      <c r="C29980" s="4" t="n">
        <v>2690.00</v>
      </c>
      <c r="D29980" s="4"/>
    </row>
    <row collapsed="" customFormat="false" customHeight="1" hidden="" ht="14" outlineLevel="0" r="29981">
      <c r="A29981" s="3" t="inlineStr">
        <is>
          <t>29841</t>
        </is>
      </c>
      <c r="B29981" s="4" t="s">
        <f>=HYPERLINK("http://anyluxury.ru/shop/elektronika/portativnaya-akustika/besprovodnaya-kolonka-s-podsvetkoy-soundflicker-chernaya-15721/" , "15721 Беспроводная колонка с подсветкой soundFlicker, черная")</f>
      </c>
      <c r="C29981" s="4" t="n">
        <v>2890.00</v>
      </c>
      <c r="D29981" s="4"/>
    </row>
    <row collapsed="" customFormat="false" customHeight="1" hidden="" ht="14" outlineLevel="0" r="29982">
      <c r="A29982" s="3" t="inlineStr">
        <is>
          <t>29842</t>
        </is>
      </c>
      <c r="B29982" s="4" t="s">
        <f>=HYPERLINK("http://anyluxury.ru/shop/elektronika/portativnaya-akustika/umnaya-kolonka-yandeks-stanciya-midi-chernaya-1639630/" , "16396.30 Умная колонка «Яндекс Станция Миди», черная")</f>
      </c>
      <c r="C29982" s="4" t="n">
        <v>19890.00</v>
      </c>
      <c r="D29982" s="4"/>
    </row>
    <row collapsed="" customFormat="false" customHeight="1" hidden="" ht="14" outlineLevel="0" r="29983">
      <c r="A29983" s="3" t="inlineStr">
        <is>
          <t>29843</t>
        </is>
      </c>
      <c r="B29983" s="4" t="s">
        <f>=HYPERLINK("http://anyluxury.ru/shop/elektronika/portativnaya-akustika/umnaya-kolonka-yandeks-stanciya-maks-chernaya-1639730/" , "16397.30 Умная колонка «Яндекс Станция Макс», черная")</f>
      </c>
      <c r="C29983" s="4" t="n">
        <v>44990.00</v>
      </c>
      <c r="D29983" s="4"/>
    </row>
    <row collapsed="" customFormat="false" customHeight="1" hidden="" ht="14" outlineLevel="0" r="29984">
      <c r="A29984" s="3" t="inlineStr">
        <is>
          <t>29844</t>
        </is>
      </c>
      <c r="B29984" s="4" t="s">
        <f>=HYPERLINK("http://anyluxury.ru/shop/elektronika/portativnaya-akustika/umnaya-kolonka-yandeks-stanciya-maks-bezhevaya-1639712/" , "16397.12 Умная колонка «Яндекс Станция Макс», бежевая")</f>
      </c>
      <c r="C29984" s="4" t="n">
        <v>44990.00</v>
      </c>
      <c r="D29984" s="4"/>
    </row>
    <row collapsed="" customFormat="false" customHeight="1" hidden="" ht="14" outlineLevel="0" r="29985">
      <c r="A29985" s="3" t="inlineStr">
        <is>
          <t>29845</t>
        </is>
      </c>
      <c r="B29985" s="4" t="s">
        <f>=HYPERLINK("http://anyluxury.ru/shop/elektronika/portativnaya-akustika/umnaya-kolonka-yandeks-stanciya-duo-maks-chernaya-1637130/" , "16371.30 Умная колонка «Яндекс Станция Дуо Макс», черная")</f>
      </c>
      <c r="C29985" s="4" t="n">
        <v>55990.00</v>
      </c>
      <c r="D29985" s="4"/>
    </row>
    <row collapsed="" customFormat="false" customHeight="1" hidden="" ht="14" outlineLevel="0" r="29986">
      <c r="A29986" s="3" t="inlineStr">
        <is>
          <t>29846</t>
        </is>
      </c>
      <c r="B29986" s="4" t="s">
        <f>=HYPERLINK("http://anyluxury.ru/shop/elektronika/portativnaya-akustika/umnaya-kolonka-mi-smart-speaker-16536/" , "16536 Умная колонка Mi Smart Speaker")</f>
      </c>
      <c r="C29986" s="4" t="n">
        <v>7290.00</v>
      </c>
      <c r="D29986" s="4"/>
    </row>
    <row collapsed="" customFormat="false" customHeight="" hidden="" ht="12.1" outlineLevel="0" r="29987">
      <c r="A29987" s="5" t="inlineStr">
        <is>
          <t> -  - Фитнес-браслеты</t>
        </is>
      </c>
      <c r="B29987" s="6"/>
      <c r="C29987" s="6"/>
      <c r="D29987" s="6"/>
    </row>
    <row collapsed="" customFormat="false" customHeight="1" hidden="" ht="14" outlineLevel="0" r="29988">
      <c r="A29988" s="3" t="inlineStr">
        <is>
          <t>29847</t>
        </is>
      </c>
      <c r="B29988" s="4" t="s">
        <f>=HYPERLINK("http://anyluxury.ru/shop/elektronika/fitnes-braslety/fitneschasi-s-cvetnim-displeem-p330821/" , "P330.821 Фитнес-часы с цветным дисплеем")</f>
      </c>
      <c r="C29988" s="4" t="n">
        <v>7283.00</v>
      </c>
      <c r="D29988" s="4"/>
    </row>
    <row collapsed="" customFormat="false" customHeight="1" hidden="" ht="14" outlineLevel="0" r="29989">
      <c r="A29989" s="3" t="inlineStr">
        <is>
          <t>29848</t>
        </is>
      </c>
      <c r="B29989" s="4" t="s">
        <f>=HYPERLINK("http://anyluxury.ru/shop/elektronika/fitnes-braslety/fitnestreker-s-podsvetkoy-na-obuv-cherniy-p410581/" , "P410.581 Фитнес-трекер с подсветкой на обувь, черный")</f>
      </c>
      <c r="C29989" s="4" t="n">
        <v>1041.00</v>
      </c>
      <c r="D29989" s="4"/>
    </row>
    <row collapsed="" customFormat="false" customHeight="1" hidden="" ht="14" outlineLevel="0" r="29990">
      <c r="A29990" s="3" t="inlineStr">
        <is>
          <t>29849</t>
        </is>
      </c>
      <c r="B29990" s="4" t="s">
        <f>=HYPERLINK("http://anyluxury.ru/shop/elektronika/fitnes-braslety/fitnesbraslet-pulse-fit-zeleniy-p330487/" , "P330.487 Фитнес-браслет Pulse Fit, зеленый")</f>
      </c>
      <c r="C29990" s="4" t="n">
        <v>4382.00</v>
      </c>
      <c r="D29990" s="4"/>
    </row>
    <row collapsed="" customFormat="false" customHeight="1" hidden="" ht="14" outlineLevel="0" r="29991">
      <c r="A29991" s="3" t="inlineStr">
        <is>
          <t>29850</t>
        </is>
      </c>
      <c r="B29991" s="4" t="s">
        <f>=HYPERLINK("http://anyluxury.ru/shop/elektronika/fitnes-braslety/fitnesbraslet-pulse-fit-cherniy-p330481/" , "P330.481 Фитнес-браслет Pulse Fit, черный")</f>
      </c>
      <c r="C29991" s="4" t="n">
        <v>4382.00</v>
      </c>
      <c r="D29991" s="4"/>
    </row>
    <row collapsed="" customFormat="false" customHeight="1" hidden="" ht="14" outlineLevel="0" r="29992">
      <c r="A29992" s="3" t="inlineStr">
        <is>
          <t>29851</t>
        </is>
      </c>
      <c r="B29992" s="4" t="s">
        <f>=HYPERLINK("http://anyluxury.ru/shop/elektronika/fitnes-braslety/fitnesbraslet-move-fit-zeleniy-p330387/" , "P330.387 Фитнес-браслет Move Fit, зеленый")</f>
      </c>
      <c r="C29992" s="4" t="n">
        <v>3695.00</v>
      </c>
      <c r="D29992" s="4"/>
    </row>
    <row collapsed="" customFormat="false" customHeight="1" hidden="" ht="14" outlineLevel="0" r="29993">
      <c r="A29993" s="3" t="inlineStr">
        <is>
          <t>29852</t>
        </is>
      </c>
      <c r="B29993" s="4" t="s">
        <f>=HYPERLINK("http://anyluxury.ru/shop/elektronika/fitnes-braslety/fitnesbraslet-move-fit-siniy-p330385/" , "P330.385 Фитнес-браслет Move Fit, синий")</f>
      </c>
      <c r="C29993" s="4" t="n">
        <v>3695.00</v>
      </c>
      <c r="D29993" s="4"/>
    </row>
    <row collapsed="" customFormat="false" customHeight="1" hidden="" ht="14" outlineLevel="0" r="29994">
      <c r="A29994" s="3" t="inlineStr">
        <is>
          <t>29853</t>
        </is>
      </c>
      <c r="B29994" s="4" t="s">
        <f>=HYPERLINK("http://anyluxury.ru/shop/elektronika/fitnes-braslety/chasi-smart-swiss-peak-cherniy-p330551/" , "P330.551 Часы Smart Swiss Peak, черный")</f>
      </c>
      <c r="C29994" s="4" t="n">
        <v>10728.00</v>
      </c>
      <c r="D29994" s="4"/>
    </row>
    <row collapsed="" customFormat="false" customHeight="1" hidden="" ht="14" outlineLevel="0" r="29995">
      <c r="A29995" s="3" t="inlineStr">
        <is>
          <t>29854</t>
        </is>
      </c>
      <c r="B29995" s="4" t="s">
        <f>=HYPERLINK("http://anyluxury.ru/shop/elektronika/fitnes-braslety/chasi-smart-cherniy-p330661/" , "P330.661 Часы Smart, черный")</f>
      </c>
      <c r="C29995" s="4" t="n">
        <v>6738.00</v>
      </c>
      <c r="D29995" s="4"/>
    </row>
    <row collapsed="" customFormat="false" customHeight="1" hidden="" ht="14" outlineLevel="0" r="29996">
      <c r="A29996" s="3" t="inlineStr">
        <is>
          <t>29855</t>
        </is>
      </c>
      <c r="B29996" s="4" t="s">
        <f>=HYPERLINK("http://anyluxury.ru/shop/elektronika/fitnes-braslety/fitnesbraslet-fit-s-cvetnim-displeem-p330881/" , "P330.881 Фитнес-браслет Fit с цветным дисплеем")</f>
      </c>
      <c r="C29996" s="4" t="n">
        <v>7019.00</v>
      </c>
      <c r="D29996" s="4"/>
    </row>
    <row collapsed="" customFormat="false" customHeight="1" hidden="" ht="14" outlineLevel="0" r="29997">
      <c r="A29997" s="3" t="inlineStr">
        <is>
          <t>29856</t>
        </is>
      </c>
      <c r="B29997" s="4" t="s">
        <f>=HYPERLINK("http://anyluxury.ru/shop/elektronika/fitnes-braslety/fitnesbraslet-s-sensornim-ekranom-p330421/" , "P330.421 Фитнес-браслет с сенсорным экраном")</f>
      </c>
      <c r="C29997" s="4" t="n">
        <v>4461.00</v>
      </c>
      <c r="D29997" s="4"/>
    </row>
    <row collapsed="" customFormat="false" customHeight="1" hidden="" ht="14" outlineLevel="0" r="29998">
      <c r="A29998" s="3" t="inlineStr">
        <is>
          <t>29857</t>
        </is>
      </c>
      <c r="B29998" s="4" t="s">
        <f>=HYPERLINK("http://anyluxury.ru/shop/elektronika/fitnes-braslety/fitnesbraslet-smart-fit-p330591/" , "P330.591 Фитнес-браслет Smart Fit")</f>
      </c>
      <c r="C29998" s="4" t="n">
        <v>3558.00</v>
      </c>
      <c r="D29998" s="4"/>
    </row>
    <row collapsed="" customFormat="false" customHeight="1" hidden="" ht="14" outlineLevel="0" r="29999">
      <c r="A29999" s="3" t="inlineStr">
        <is>
          <t>29858</t>
        </is>
      </c>
      <c r="B29999" s="4" t="s">
        <f>=HYPERLINK("http://anyluxury.ru/shop/elektronika/fitnes-braslety/fitnes-chasi-eink-p330921/" , "P330.921 Фитнес часы E-ink")</f>
      </c>
      <c r="C29999" s="4" t="n">
        <v>7547.00</v>
      </c>
      <c r="D29999" s="4"/>
    </row>
    <row collapsed="" customFormat="false" customHeight="1" hidden="" ht="14" outlineLevel="0" r="30000">
      <c r="A30000" s="3" t="inlineStr">
        <is>
          <t>29859</t>
        </is>
      </c>
      <c r="B30000" s="4" t="s">
        <f>=HYPERLINK("http://anyluxury.ru/shop/elektronika/fitnes-braslety/smartchasi-s-funkciey-izmereniya-temperaturi-tela-stay-healthy-p330791/" , "P330.791 Смарт-часы с функцией измерения температуры тела Stay Healthy")</f>
      </c>
      <c r="C30000" s="4" t="n">
        <v>2904.00</v>
      </c>
      <c r="D30000" s="4"/>
    </row>
    <row collapsed="" customFormat="false" customHeight="1" hidden="" ht="14" outlineLevel="0" r="30001">
      <c r="A30001" s="3" t="inlineStr">
        <is>
          <t>29860</t>
        </is>
      </c>
      <c r="B30001" s="4" t="s">
        <f>=HYPERLINK("http://anyluxury.ru/shop/elektronika/fitnes-braslety/smart-braslet-life-plus-cv-displey-pulsometr-davlenie-cherniy-41903010/" , "41903.010 Смарт браслет Life Plus, черный")</f>
      </c>
      <c r="C30001" s="4" t="n">
        <v>2258.00</v>
      </c>
      <c r="D30001" s="4"/>
    </row>
    <row collapsed="" customFormat="false" customHeight="1" hidden="" ht="14" outlineLevel="0" r="30002">
      <c r="A30002" s="3" t="inlineStr">
        <is>
          <t>29861</t>
        </is>
      </c>
      <c r="B30002" s="4" t="s">
        <f>=HYPERLINK("http://anyluxury.ru/shop/elektronika/fitnes-braslety/smart-braslet-life-style-cvdispley-izmertemptela-siniy-42005030/" , "42005.030 Смарт браслет Life Style, синий")</f>
      </c>
      <c r="C30002" s="4" t="n">
        <v>2416.00</v>
      </c>
      <c r="D30002" s="4"/>
    </row>
    <row collapsed="" customFormat="false" customHeight="1" hidden="" ht="14" outlineLevel="0" r="30003">
      <c r="A30003" s="3" t="inlineStr">
        <is>
          <t>29862</t>
        </is>
      </c>
      <c r="B30003" s="4" t="s">
        <f>=HYPERLINK("http://anyluxury.ru/shop/elektronika/fitnes-braslety/smart-braslet-life-style-cvdispley-izmertemptela-cherniy-42005010/" , "42005.010 Смарт браслет Life Style, черный")</f>
      </c>
      <c r="C30003" s="4" t="n">
        <v>2416.00</v>
      </c>
      <c r="D30003" s="4"/>
    </row>
    <row collapsed="" customFormat="false" customHeight="1" hidden="" ht="14" outlineLevel="0" r="30004">
      <c r="A30004" s="3" t="inlineStr">
        <is>
          <t>29863</t>
        </is>
      </c>
      <c r="B30004" s="4" t="s">
        <f>=HYPERLINK("http://anyluxury.ru/shop/elektronika/fitnes-braslety/ezhednevnik-portobello-trend-lite-baladek-nedatir-224-str-bordoviy-2226011050/" , "2226011.050 Ежедневник Baladek недатированный, бордовый")</f>
      </c>
      <c r="C30004" s="4" t="n">
        <v>390.00</v>
      </c>
      <c r="D30004" s="4"/>
    </row>
    <row collapsed="" customFormat="false" customHeight="" hidden="" ht="12.1" outlineLevel="0" r="30005">
      <c r="A30005" s="5" t="inlineStr">
        <is>
          <t> -  - Флешки</t>
        </is>
      </c>
      <c r="B30005" s="6"/>
      <c r="C30005" s="6"/>
      <c r="D30005" s="6"/>
    </row>
    <row collapsed="" customFormat="false" customHeight="1" hidden="" ht="14" outlineLevel="0" r="30006">
      <c r="A30006" s="3" t="inlineStr">
        <is>
          <t>29864</t>
        </is>
      </c>
      <c r="B30006" s="4" t="s">
        <f>=HYPERLINK("http://anyluxury.ru/shop/elektronika/fleshki/usb-fleshka-elegante-16-gb-krasniy-v-podarochnoy-upakovke-usb012180601/" , "USB-01218-060/1 Флешка Elegante 16 Gb в подарочной упаковке, красная")</f>
      </c>
      <c r="C30006" s="4" t="n">
        <v>1204.00</v>
      </c>
      <c r="D30006" s="4"/>
    </row>
    <row collapsed="" customFormat="false" customHeight="1" hidden="" ht="14" outlineLevel="0" r="30007">
      <c r="A30007" s="3" t="inlineStr">
        <is>
          <t>29865</t>
        </is>
      </c>
      <c r="B30007" s="4" t="s">
        <f>=HYPERLINK("http://anyluxury.ru/shop/elektronika/fleshki/usb-fleshka-elegante-16-gb-serebryaniy-v-podarochnoy-upakovke-911218080/" , "911218.080 Флешка Elegante 16 Gb в подарочной упаковке, серебряная")</f>
      </c>
      <c r="C30007" s="4" t="n">
        <v>1204.00</v>
      </c>
      <c r="D30007" s="4"/>
    </row>
    <row collapsed="" customFormat="false" customHeight="1" hidden="" ht="14" outlineLevel="0" r="30008">
      <c r="A30008" s="3" t="inlineStr">
        <is>
          <t>29866</t>
        </is>
      </c>
      <c r="B30008" s="4" t="s">
        <f>=HYPERLINK("http://anyluxury.ru/shop/elektronika/fleshki/usb-fleshka-elegante-16-gb-siniy-901218030/" , "901218.030 Флешка Elegante 16 Gb, синяя")</f>
      </c>
      <c r="C30008" s="4" t="n">
        <v>1177.00</v>
      </c>
      <c r="D30008" s="4"/>
    </row>
    <row collapsed="" customFormat="false" customHeight="1" hidden="" ht="14" outlineLevel="0" r="30009">
      <c r="A30009" s="3" t="inlineStr">
        <is>
          <t>29867</t>
        </is>
      </c>
      <c r="B30009" s="4" t="s">
        <f>=HYPERLINK("http://anyluxury.ru/shop/elektronika/fleshki/usb-fleshka-elegante-16-gb-cherniy-usb01218010/" , "USB-01218-010 Флешка Elegante 16 Gb, черная")</f>
      </c>
      <c r="C30009" s="4" t="n">
        <v>1177.00</v>
      </c>
      <c r="D30009" s="4"/>
    </row>
    <row collapsed="" customFormat="false" customHeight="1" hidden="" ht="14" outlineLevel="0" r="30010">
      <c r="A30010" s="3" t="inlineStr">
        <is>
          <t>29868</t>
        </is>
      </c>
      <c r="B30010" s="4" t="s">
        <f>=HYPERLINK("http://anyluxury.ru/shop/elektronika/fleshki/usb-fleshka-flash-16gb-serebryaniy-v-podarochnoy-upakovke-usb621910801/" , "USB-62191-080/1 Флешка Flash 16 Gb в подарочной упаковке, серебряная")</f>
      </c>
      <c r="C30010" s="4" t="n">
        <v>989.00</v>
      </c>
      <c r="D30010" s="4"/>
    </row>
    <row collapsed="" customFormat="false" customHeight="1" hidden="" ht="14" outlineLevel="0" r="30011">
      <c r="A30011" s="3" t="inlineStr">
        <is>
          <t>29869</t>
        </is>
      </c>
      <c r="B30011" s="4" t="s">
        <f>=HYPERLINK("http://anyluxury.ru/shop/elektronika/fleshki/fleshka-twist-belaya-8-gb-443768/" , "4437.68 Флешка Twist, белая, 8 Гб")</f>
      </c>
      <c r="C30011" s="4" t="n">
        <v>389.00</v>
      </c>
      <c r="D30011" s="4"/>
    </row>
    <row collapsed="" customFormat="false" customHeight="1" hidden="" ht="14" outlineLevel="0" r="30012">
      <c r="A30012" s="3" t="inlineStr">
        <is>
          <t>29870</t>
        </is>
      </c>
      <c r="B30012" s="4" t="s">
        <f>=HYPERLINK("http://anyluxury.ru/shop/elektronika/fleshki/fleshka-twist-sinyaya-8-gb-443748/" , "4437.48 Флешка Twist, синяя, 8 Гб")</f>
      </c>
      <c r="C30012" s="4" t="n">
        <v>389.00</v>
      </c>
      <c r="D30012" s="4"/>
    </row>
    <row collapsed="" customFormat="false" customHeight="1" hidden="" ht="14" outlineLevel="0" r="30013">
      <c r="A30013" s="3" t="inlineStr">
        <is>
          <t>29871</t>
        </is>
      </c>
      <c r="B30013" s="4" t="s">
        <f>=HYPERLINK("http://anyluxury.ru/shop/elektronika/fleshki/fleshka-twist-chernaya-8-gb-443738/" , "4437.38 Флешка Twist, черная, 8 Гб")</f>
      </c>
      <c r="C30013" s="4" t="n">
        <v>389.00</v>
      </c>
      <c r="D30013" s="4"/>
    </row>
    <row collapsed="" customFormat="false" customHeight="1" hidden="" ht="14" outlineLevel="0" r="30014">
      <c r="A30014" s="3" t="inlineStr">
        <is>
          <t>29872</t>
        </is>
      </c>
      <c r="B30014" s="4" t="s">
        <f>=HYPERLINK("http://anyluxury.ru/shop/elektronika/fleshki/fleshka-twist-chernaya-16-gb-443736/" , "4437.36 Флешка Twist, черная, 16 Гб")</f>
      </c>
      <c r="C30014" s="4" t="n">
        <v>499.00</v>
      </c>
      <c r="D30014" s="4"/>
    </row>
    <row collapsed="" customFormat="false" customHeight="1" hidden="" ht="14" outlineLevel="0" r="30015">
      <c r="A30015" s="3" t="inlineStr">
        <is>
          <t>29873</t>
        </is>
      </c>
      <c r="B30015" s="4" t="s">
        <f>=HYPERLINK("http://anyluxury.ru/shop/elektronika/fleshki/fleshka-bamboo-8-gb-468808/" , "4688.08 Флешка Bamboo, 8 Гб")</f>
      </c>
      <c r="C30015" s="4" t="n">
        <v>689.00</v>
      </c>
      <c r="D30015" s="4"/>
    </row>
    <row collapsed="" customFormat="false" customHeight="1" hidden="" ht="14" outlineLevel="0" r="30016">
      <c r="A30016" s="3" t="inlineStr">
        <is>
          <t>29874</t>
        </is>
      </c>
      <c r="B30016" s="4" t="s">
        <f>=HYPERLINK("http://anyluxury.ru/shop/elektronika/fleshki/fleshka-twist-oranzhevaya-8-gb-443728/" , "4437.28 Флешка Twist, оранжевая, 8 Гб")</f>
      </c>
      <c r="C30016" s="4" t="n">
        <v>389.00</v>
      </c>
      <c r="D30016" s="4"/>
    </row>
    <row collapsed="" customFormat="false" customHeight="1" hidden="" ht="14" outlineLevel="0" r="30017">
      <c r="A30017" s="3" t="inlineStr">
        <is>
          <t>29875</t>
        </is>
      </c>
      <c r="B30017" s="4" t="s">
        <f>=HYPERLINK("http://anyluxury.ru/shop/elektronika/fleshki/fleshka-twist-krasnaya-8-gb-443758/" , "4437.58 Флешка Twist, красная, 8 Гб")</f>
      </c>
      <c r="C30017" s="4" t="n">
        <v>389.00</v>
      </c>
      <c r="D30017" s="4"/>
    </row>
    <row collapsed="" customFormat="false" customHeight="1" hidden="" ht="14" outlineLevel="0" r="30018">
      <c r="A30018" s="3" t="inlineStr">
        <is>
          <t>29876</t>
        </is>
      </c>
      <c r="B30018" s="4" t="s">
        <f>=HYPERLINK("http://anyluxury.ru/shop/elektronika/fleshki/fleshka-twist-zelenaya-8-gb-443798/" , "4437.98 Флешка Twist, зеленая, 8 Гб")</f>
      </c>
      <c r="C30018" s="4" t="n">
        <v>389.00</v>
      </c>
      <c r="D30018" s="4"/>
    </row>
    <row collapsed="" customFormat="false" customHeight="1" hidden="" ht="14" outlineLevel="0" r="30019">
      <c r="A30019" s="3" t="inlineStr">
        <is>
          <t>29877</t>
        </is>
      </c>
      <c r="B30019" s="4" t="s">
        <f>=HYPERLINK("http://anyluxury.ru/shop/elektronika/fleshki/fleshka-twist-sinyaya-16-gb-443746/" , "4437.46 Флешка Twist, синяя, 16 Гб")</f>
      </c>
      <c r="C30019" s="4" t="n">
        <v>499.00</v>
      </c>
      <c r="D30019" s="4"/>
    </row>
    <row collapsed="" customFormat="false" customHeight="1" hidden="" ht="14" outlineLevel="0" r="30020">
      <c r="A30020" s="3" t="inlineStr">
        <is>
          <t>29878</t>
        </is>
      </c>
      <c r="B30020" s="4" t="s">
        <f>=HYPERLINK("http://anyluxury.ru/shop/elektronika/fleshki/fleshka-twist-belaya-16-gb-443766/" , "4437.66 Флешка Twist, белая, 16 Гб")</f>
      </c>
      <c r="C30020" s="4" t="n">
        <v>499.00</v>
      </c>
      <c r="D30020" s="4"/>
    </row>
    <row collapsed="" customFormat="false" customHeight="1" hidden="" ht="14" outlineLevel="0" r="30021">
      <c r="A30021" s="3" t="inlineStr">
        <is>
          <t>29879</t>
        </is>
      </c>
      <c r="B30021" s="4" t="s">
        <f>=HYPERLINK("http://anyluxury.ru/shop/elektronika/fleshki/fleshka-gruzovik-krasnaya-8-gb-540458/" , "5404.58 Флешка «Грузовик», красная, 8 Гб")</f>
      </c>
      <c r="C30021" s="4" t="n">
        <v>849.00</v>
      </c>
      <c r="D30021" s="4"/>
    </row>
    <row collapsed="" customFormat="false" customHeight="1" hidden="" ht="14" outlineLevel="0" r="30022">
      <c r="A30022" s="3" t="inlineStr">
        <is>
          <t>29880</t>
        </is>
      </c>
      <c r="B30022" s="4" t="s">
        <f>=HYPERLINK("http://anyluxury.ru/shop/elektronika/fleshki/fleshka-kaska-belaya-8-gb-540568/" , "5405.68 Флешка «Каска», белая, 8 Гб")</f>
      </c>
      <c r="C30022" s="4" t="n">
        <v>849.00</v>
      </c>
      <c r="D30022" s="4"/>
    </row>
    <row collapsed="" customFormat="false" customHeight="1" hidden="" ht="14" outlineLevel="0" r="30023">
      <c r="A30023" s="3" t="inlineStr">
        <is>
          <t>29881</t>
        </is>
      </c>
      <c r="B30023" s="4" t="s">
        <f>=HYPERLINK("http://anyluxury.ru/shop/elektronika/fleshki/fleshka-kaska-sinyaya-8-gb-540548/" , "5405.48 Флешка «Каска», синяя, 8 Гб")</f>
      </c>
      <c r="C30023" s="4" t="n">
        <v>849.00</v>
      </c>
      <c r="D30023" s="4"/>
    </row>
    <row collapsed="" customFormat="false" customHeight="1" hidden="" ht="14" outlineLevel="0" r="30024">
      <c r="A30024" s="3" t="inlineStr">
        <is>
          <t>29882</t>
        </is>
      </c>
      <c r="B30024" s="4" t="s">
        <f>=HYPERLINK("http://anyluxury.ru/shop/elektronika/fleshki/fleshka-twist-oranzhevaya-16-gb-443726/" , "4437.26 Флешка Twist, оранжевая, 16 Гб")</f>
      </c>
      <c r="C30024" s="4" t="n">
        <v>499.00</v>
      </c>
      <c r="D30024" s="4"/>
    </row>
    <row collapsed="" customFormat="false" customHeight="1" hidden="" ht="14" outlineLevel="0" r="30025">
      <c r="A30025" s="3" t="inlineStr">
        <is>
          <t>29883</t>
        </is>
      </c>
      <c r="B30025" s="4" t="s">
        <f>=HYPERLINK("http://anyluxury.ru/shop/elektronika/fleshki/fleshka-twist-krasnaya-16-gb-443756/" , "4437.56 Флешка Twist, красная, 16 Гб")</f>
      </c>
      <c r="C30025" s="4" t="n">
        <v>499.00</v>
      </c>
      <c r="D30025" s="4"/>
    </row>
    <row collapsed="" customFormat="false" customHeight="1" hidden="" ht="14" outlineLevel="0" r="30026">
      <c r="A30026" s="3" t="inlineStr">
        <is>
          <t>29884</t>
        </is>
      </c>
      <c r="B30026" s="4" t="s">
        <f>=HYPERLINK("http://anyluxury.ru/shop/elektronika/fleshki/fleshka-rukopozhatie-8-gb-512308/" , "5123.08 Флешка «Рукопожатие», 8 Гб")</f>
      </c>
      <c r="C30026" s="4" t="n">
        <v>849.00</v>
      </c>
      <c r="D30026" s="4"/>
    </row>
    <row collapsed="" customFormat="false" customHeight="1" hidden="" ht="14" outlineLevel="0" r="30027">
      <c r="A30027" s="3" t="inlineStr">
        <is>
          <t>29885</t>
        </is>
      </c>
      <c r="B30027" s="4" t="s">
        <f>=HYPERLINK("http://anyluxury.ru/shop/elektronika/fleshki/fleshka-double-twist-16-gb-belaya-188966/" , "1889.66 Флешка Double Twist 16 Гб белая")</f>
      </c>
      <c r="C30027" s="4" t="n">
        <v>549.00</v>
      </c>
      <c r="D30027" s="4"/>
    </row>
    <row collapsed="" customFormat="false" customHeight="1" hidden="" ht="14" outlineLevel="0" r="30028">
      <c r="A30028" s="3" t="inlineStr">
        <is>
          <t>29886</t>
        </is>
      </c>
      <c r="B30028" s="4" t="s">
        <f>=HYPERLINK("http://anyluxury.ru/shop/elektronika/fleshki/fleshka-profit-8-gb-oranzhevaya-354720/" , "3547.20 Флешка Profit, 8 Гб, оранжевая")</f>
      </c>
      <c r="C30028" s="4" t="n">
        <v>459.00</v>
      </c>
      <c r="D30028" s="4"/>
    </row>
    <row collapsed="" customFormat="false" customHeight="1" hidden="" ht="14" outlineLevel="0" r="30029">
      <c r="A30029" s="3" t="inlineStr">
        <is>
          <t>29887</t>
        </is>
      </c>
      <c r="B30029" s="4" t="s">
        <f>=HYPERLINK("http://anyluxury.ru/shop/elektronika/fleshki/fleshka-profit-8-gb-belaya-354760/" , "3547.60 Флешка Profit, 8 Гб, белая")</f>
      </c>
      <c r="C30029" s="4" t="n">
        <v>459.00</v>
      </c>
      <c r="D30029" s="4"/>
    </row>
    <row collapsed="" customFormat="false" customHeight="1" hidden="" ht="14" outlineLevel="0" r="30030">
      <c r="A30030" s="3" t="inlineStr">
        <is>
          <t>29888</t>
        </is>
      </c>
      <c r="B30030" s="4" t="s">
        <f>=HYPERLINK("http://anyluxury.ru/shop/elektronika/fleshki/fleshka-memo-8-gb-chernaya-354830/" , "3548.30 Флешка Memo, 8 Гб, черная")</f>
      </c>
      <c r="C30030" s="4" t="n">
        <v>459.00</v>
      </c>
      <c r="D30030" s="4"/>
    </row>
    <row collapsed="" customFormat="false" customHeight="1" hidden="" ht="14" outlineLevel="0" r="30031">
      <c r="A30031" s="3" t="inlineStr">
        <is>
          <t>29889</t>
        </is>
      </c>
      <c r="B30031" s="4" t="s">
        <f>=HYPERLINK("http://anyluxury.ru/shop/elektronika/fleshki/fleshka-memo-8-gb-sinyaya-354840/" , "3548.40 Флешка Memo, 8 Гб, синяя")</f>
      </c>
      <c r="C30031" s="4" t="n">
        <v>459.00</v>
      </c>
      <c r="D30031" s="4"/>
    </row>
    <row collapsed="" customFormat="false" customHeight="1" hidden="" ht="14" outlineLevel="0" r="30032">
      <c r="A30032" s="3" t="inlineStr">
        <is>
          <t>29890</t>
        </is>
      </c>
      <c r="B30032" s="4" t="s">
        <f>=HYPERLINK("http://anyluxury.ru/shop/elektronika/fleshki/fleshka-memo-8-gb-krasnaya-354850/" , "3548.50 Флешка Memo, 8 Гб, красная")</f>
      </c>
      <c r="C30032" s="4" t="n">
        <v>459.00</v>
      </c>
      <c r="D30032" s="4"/>
    </row>
    <row collapsed="" customFormat="false" customHeight="1" hidden="" ht="14" outlineLevel="0" r="30033">
      <c r="A30033" s="3" t="inlineStr">
        <is>
          <t>29891</t>
        </is>
      </c>
      <c r="B30033" s="4" t="s">
        <f>=HYPERLINK("http://anyluxury.ru/shop/elektronika/fleshki/fleshka-memo-8-gb-belaya-354860/" , "3548.60 Флешка Memo, 8 Гб, белая")</f>
      </c>
      <c r="C30033" s="4" t="n">
        <v>459.00</v>
      </c>
      <c r="D30033" s="4"/>
    </row>
    <row collapsed="" customFormat="false" customHeight="1" hidden="" ht="14" outlineLevel="0" r="30034">
      <c r="A30034" s="3" t="inlineStr">
        <is>
          <t>29892</t>
        </is>
      </c>
      <c r="B30034" s="4" t="s">
        <f>=HYPERLINK("http://anyluxury.ru/shop/elektronika/fleshki/fleshka-memo-8-gb-fioletovaya-354870/" , "3548.70 Флешка Memo, 8 Гб, фиолетовая")</f>
      </c>
      <c r="C30034" s="4" t="n">
        <v>459.00</v>
      </c>
      <c r="D30034" s="4"/>
    </row>
    <row collapsed="" customFormat="false" customHeight="1" hidden="" ht="14" outlineLevel="0" r="30035">
      <c r="A30035" s="3" t="inlineStr">
        <is>
          <t>29893</t>
        </is>
      </c>
      <c r="B30035" s="4" t="s">
        <f>=HYPERLINK("http://anyluxury.ru/shop/elektronika/fleshki/fleshka-memo-8-gb-biryuzovaya-354842/" , "3548.42 Флешка Memo, 8 Гб, бирюзовая")</f>
      </c>
      <c r="C30035" s="4" t="n">
        <v>459.00</v>
      </c>
      <c r="D30035" s="4"/>
    </row>
    <row collapsed="" customFormat="false" customHeight="1" hidden="" ht="14" outlineLevel="0" r="30036">
      <c r="A30036" s="3" t="inlineStr">
        <is>
          <t>29894</t>
        </is>
      </c>
      <c r="B30036" s="4" t="s">
        <f>=HYPERLINK("http://anyluxury.ru/shop/elektronika/fleshki/fleshka-card-8-gb-belaya-342308/" , "3423.08 Флешка Card, 8 Гб, белая")</f>
      </c>
      <c r="C30036" s="4" t="n">
        <v>449.00</v>
      </c>
      <c r="D30036" s="4"/>
    </row>
    <row collapsed="" customFormat="false" customHeight="1" hidden="" ht="14" outlineLevel="0" r="30037">
      <c r="A30037" s="3" t="inlineStr">
        <is>
          <t>29895</t>
        </is>
      </c>
      <c r="B30037" s="4" t="s">
        <f>=HYPERLINK("http://anyluxury.ru/shop/elektronika/fleshki/fleshka-twist-wood-svetloe-derevo-16-gb-743706/" , "7437.06 Флешка Twist Wood, светлое дерево, 16 Гб")</f>
      </c>
      <c r="C30037" s="4" t="n">
        <v>549.00</v>
      </c>
      <c r="D30037" s="4"/>
    </row>
    <row collapsed="" customFormat="false" customHeight="1" hidden="" ht="14" outlineLevel="0" r="30038">
      <c r="A30038" s="3" t="inlineStr">
        <is>
          <t>29896</t>
        </is>
      </c>
      <c r="B30038" s="4" t="s">
        <f>=HYPERLINK("http://anyluxury.ru/shop/elektronika/fleshki/fleshka-twist-color-chernaya-8-gb-7537338gb/" , "7537.33.8Гб Флешка Twist Color, черная, 8 Гб")</f>
      </c>
      <c r="C30038" s="4" t="n">
        <v>566.00</v>
      </c>
      <c r="D30038" s="4"/>
    </row>
    <row collapsed="" customFormat="false" customHeight="1" hidden="" ht="14" outlineLevel="0" r="30039">
      <c r="A30039" s="3" t="inlineStr">
        <is>
          <t>29897</t>
        </is>
      </c>
      <c r="B30039" s="4" t="s">
        <f>=HYPERLINK("http://anyluxury.ru/shop/elektronika/fleshki/fleshka-twist-color-chernaya-16-gb-75373316gb/" , "7537.33.16Гб Флешка Twist Color, черная, 16 Гб")</f>
      </c>
      <c r="C30039" s="4" t="n">
        <v>606.00</v>
      </c>
      <c r="D30039" s="4"/>
    </row>
    <row collapsed="" customFormat="false" customHeight="1" hidden="" ht="14" outlineLevel="0" r="30040">
      <c r="A30040" s="3" t="inlineStr">
        <is>
          <t>29898</t>
        </is>
      </c>
      <c r="B30040" s="4" t="s">
        <f>=HYPERLINK("http://anyluxury.ru/shop/elektronika/fleshki/fleshka-twist-color-belaya-s-chernim-8-gb-7537638gb/" , "7537.63.8Гб Флешка Twist Color, белая с черным, 8 Гб")</f>
      </c>
      <c r="C30040" s="4" t="n">
        <v>566.00</v>
      </c>
      <c r="D30040" s="4"/>
    </row>
    <row collapsed="" customFormat="false" customHeight="1" hidden="" ht="14" outlineLevel="0" r="30041">
      <c r="A30041" s="3" t="inlineStr">
        <is>
          <t>29899</t>
        </is>
      </c>
      <c r="B30041" s="4" t="s">
        <f>=HYPERLINK("http://anyluxury.ru/shop/elektronika/fleshki/fleshka-twist-color-belaya-s-chernim16-gb-75376316gb/" , "7537.63.16Гб Флешка Twist Color, белая с черным,16 Гб")</f>
      </c>
      <c r="C30041" s="4" t="n">
        <v>606.00</v>
      </c>
      <c r="D30041" s="4"/>
    </row>
    <row collapsed="" customFormat="false" customHeight="1" hidden="" ht="14" outlineLevel="0" r="30042">
      <c r="A30042" s="3" t="inlineStr">
        <is>
          <t>29900</t>
        </is>
      </c>
      <c r="B30042" s="4" t="s">
        <f>=HYPERLINK("http://anyluxury.ru/shop/elektronika/fleshki/fleshka-memo-16-gb-oranzhevaya-354826/" , "3548.26 Флешка Memo, 16 Гб, оранжевая")</f>
      </c>
      <c r="C30042" s="4" t="n">
        <v>529.00</v>
      </c>
      <c r="D30042" s="4"/>
    </row>
    <row collapsed="" customFormat="false" customHeight="1" hidden="" ht="14" outlineLevel="0" r="30043">
      <c r="A30043" s="3" t="inlineStr">
        <is>
          <t>29901</t>
        </is>
      </c>
      <c r="B30043" s="4" t="s">
        <f>=HYPERLINK("http://anyluxury.ru/shop/elektronika/fleshki/fleshka-memo-16-gb-chernaya-354836/" , "3548.36 Флешка Memo, 16 Гб, черная")</f>
      </c>
      <c r="C30043" s="4" t="n">
        <v>529.00</v>
      </c>
      <c r="D30043" s="4"/>
    </row>
    <row collapsed="" customFormat="false" customHeight="1" hidden="" ht="14" outlineLevel="0" r="30044">
      <c r="A30044" s="3" t="inlineStr">
        <is>
          <t>29902</t>
        </is>
      </c>
      <c r="B30044" s="4" t="s">
        <f>=HYPERLINK("http://anyluxury.ru/shop/elektronika/fleshki/fleshka-memo-16-gb-sinyaya-354846/" , "3548.46 Флешка Memo, 16 Гб, синяя")</f>
      </c>
      <c r="C30044" s="4" t="n">
        <v>529.00</v>
      </c>
      <c r="D30044" s="4"/>
    </row>
    <row collapsed="" customFormat="false" customHeight="1" hidden="" ht="14" outlineLevel="0" r="30045">
      <c r="A30045" s="3" t="inlineStr">
        <is>
          <t>29903</t>
        </is>
      </c>
      <c r="B30045" s="4" t="s">
        <f>=HYPERLINK("http://anyluxury.ru/shop/elektronika/fleshki/fleshka-memo-16-gb-krasnaya-354856/" , "3548.56 Флешка Memo, 16 Гб, красная")</f>
      </c>
      <c r="C30045" s="4" t="n">
        <v>529.00</v>
      </c>
      <c r="D30045" s="4"/>
    </row>
    <row collapsed="" customFormat="false" customHeight="1" hidden="" ht="14" outlineLevel="0" r="30046">
      <c r="A30046" s="3" t="inlineStr">
        <is>
          <t>29904</t>
        </is>
      </c>
      <c r="B30046" s="4" t="s">
        <f>=HYPERLINK("http://anyluxury.ru/shop/elektronika/fleshki/fleshka-twist-color-oranzhevaya-s-belim-8-gb-7537268gb/" , "7537.26.8Гб Флешка Twist Color, оранжевая с белым, 8 Гб")</f>
      </c>
      <c r="C30046" s="4" t="n">
        <v>566.00</v>
      </c>
      <c r="D30046" s="4"/>
    </row>
    <row collapsed="" customFormat="false" customHeight="1" hidden="" ht="14" outlineLevel="0" r="30047">
      <c r="A30047" s="3" t="inlineStr">
        <is>
          <t>29905</t>
        </is>
      </c>
      <c r="B30047" s="4" t="s">
        <f>=HYPERLINK("http://anyluxury.ru/shop/elektronika/fleshki/fleshka-twist-color-oranzhevaya-s-belim-16-gb-75372616gb/" , "7537.26.16Гб Флешка Twist Color, оранжевая с белым, 16 Гб")</f>
      </c>
      <c r="C30047" s="4" t="n">
        <v>606.00</v>
      </c>
      <c r="D30047" s="4"/>
    </row>
    <row collapsed="" customFormat="false" customHeight="1" hidden="" ht="14" outlineLevel="0" r="30048">
      <c r="A30048" s="3" t="inlineStr">
        <is>
          <t>29906</t>
        </is>
      </c>
      <c r="B30048" s="4" t="s">
        <f>=HYPERLINK("http://anyluxury.ru/shop/elektronika/fleshki/fleshka-twist-color-chernaya-s-sinim-8-gb-7537348gb/" , "7537.34.8Гб Флешка Twist Color, черная с синим, 8 Гб")</f>
      </c>
      <c r="C30048" s="4" t="n">
        <v>566.00</v>
      </c>
      <c r="D30048" s="4"/>
    </row>
    <row collapsed="" customFormat="false" customHeight="1" hidden="" ht="14" outlineLevel="0" r="30049">
      <c r="A30049" s="3" t="inlineStr">
        <is>
          <t>29907</t>
        </is>
      </c>
      <c r="B30049" s="4" t="s">
        <f>=HYPERLINK("http://anyluxury.ru/shop/elektronika/fleshki/fleshka-twist-color-chernaya-s-sinim-16-gb-75373416gb/" , "7537.34.16Гб Флешка Twist Color, черная с синим, 16 Гб")</f>
      </c>
      <c r="C30049" s="4" t="n">
        <v>606.00</v>
      </c>
      <c r="D30049" s="4"/>
    </row>
    <row collapsed="" customFormat="false" customHeight="1" hidden="" ht="14" outlineLevel="0" r="30050">
      <c r="A30050" s="3" t="inlineStr">
        <is>
          <t>29908</t>
        </is>
      </c>
      <c r="B30050" s="4" t="s">
        <f>=HYPERLINK("http://anyluxury.ru/shop/elektronika/fleshki/fleshka-twist-color-chernaya-s-krasnim-8-gb-7537358gb/" , "7537.35.8Гб Флешка Twist Color, черная с красным, 8 Гб")</f>
      </c>
      <c r="C30050" s="4" t="n">
        <v>566.00</v>
      </c>
      <c r="D30050" s="4"/>
    </row>
    <row collapsed="" customFormat="false" customHeight="1" hidden="" ht="14" outlineLevel="0" r="30051">
      <c r="A30051" s="3" t="inlineStr">
        <is>
          <t>29909</t>
        </is>
      </c>
      <c r="B30051" s="4" t="s">
        <f>=HYPERLINK("http://anyluxury.ru/shop/elektronika/fleshki/fleshka-twist-color-chernaya-s-krasnim16-gb-75373516gb/" , "7537.35.16Гб Флешка Twist Color, черная с красным,16 Гб")</f>
      </c>
      <c r="C30051" s="4" t="n">
        <v>606.00</v>
      </c>
      <c r="D30051" s="4"/>
    </row>
    <row collapsed="" customFormat="false" customHeight="1" hidden="" ht="14" outlineLevel="0" r="30052">
      <c r="A30052" s="3" t="inlineStr">
        <is>
          <t>29910</t>
        </is>
      </c>
      <c r="B30052" s="4" t="s">
        <f>=HYPERLINK("http://anyluxury.ru/shop/elektronika/fleshki/fleshka-twist-color-chernaya-s-belim-8-gb-7537368gb/" , "7537.36.8Гб Флешка Twist Color, черная с белым, 8 Гб")</f>
      </c>
      <c r="C30052" s="4" t="n">
        <v>566.00</v>
      </c>
      <c r="D30052" s="4"/>
    </row>
    <row collapsed="" customFormat="false" customHeight="1" hidden="" ht="14" outlineLevel="0" r="30053">
      <c r="A30053" s="3" t="inlineStr">
        <is>
          <t>29911</t>
        </is>
      </c>
      <c r="B30053" s="4" t="s">
        <f>=HYPERLINK("http://anyluxury.ru/shop/elektronika/fleshki/fleshka-twist-color-chernaya-s-belim-16-gb-75373616gb/" , "7537.36.16Гб Флешка Twist Color, черная с белым, 16 Гб")</f>
      </c>
      <c r="C30053" s="4" t="n">
        <v>606.00</v>
      </c>
      <c r="D30053" s="4"/>
    </row>
    <row collapsed="" customFormat="false" customHeight="1" hidden="" ht="14" outlineLevel="0" r="30054">
      <c r="A30054" s="3" t="inlineStr">
        <is>
          <t>29912</t>
        </is>
      </c>
      <c r="B30054" s="4" t="s">
        <f>=HYPERLINK("http://anyluxury.ru/shop/elektronika/fleshki/fleshka-twist-color-chernaya-s-zheltim-8-gb-7537388gb/" , "7537.38.8Гб Флешка Twist Color, черная с желтым, 8 Гб")</f>
      </c>
      <c r="C30054" s="4" t="n">
        <v>566.00</v>
      </c>
      <c r="D30054" s="4"/>
    </row>
    <row collapsed="" customFormat="false" customHeight="1" hidden="" ht="14" outlineLevel="0" r="30055">
      <c r="A30055" s="3" t="inlineStr">
        <is>
          <t>29913</t>
        </is>
      </c>
      <c r="B30055" s="4" t="s">
        <f>=HYPERLINK("http://anyluxury.ru/shop/elektronika/fleshki/fleshka-twist-color-chernaya-s-zheltim-16-gb-75373816gb/" , "7537.38.16Гб Флешка Twist Color, черная с желтым, 16 Гб")</f>
      </c>
      <c r="C30055" s="4" t="n">
        <v>606.00</v>
      </c>
      <c r="D30055" s="4"/>
    </row>
    <row collapsed="" customFormat="false" customHeight="1" hidden="" ht="14" outlineLevel="0" r="30056">
      <c r="A30056" s="3" t="inlineStr">
        <is>
          <t>29914</t>
        </is>
      </c>
      <c r="B30056" s="4" t="s">
        <f>=HYPERLINK("http://anyluxury.ru/shop/elektronika/fleshki/fleshka-twist-color-chernaya-s-zelenim-8-gb-7537398gb/" , "7537.39.8Гб Флешка Twist Color, черная с зеленым, 8 Гб")</f>
      </c>
      <c r="C30056" s="4" t="n">
        <v>566.00</v>
      </c>
      <c r="D30056" s="4"/>
    </row>
    <row collapsed="" customFormat="false" customHeight="1" hidden="" ht="14" outlineLevel="0" r="30057">
      <c r="A30057" s="3" t="inlineStr">
        <is>
          <t>29915</t>
        </is>
      </c>
      <c r="B30057" s="4" t="s">
        <f>=HYPERLINK("http://anyluxury.ru/shop/elektronika/fleshki/fleshka-twist-color-chernaya-s-zelenim16-gb-75373916gb/" , "7537.39.16Гб Флешка Twist Color, черная с зеленым,16 Гб")</f>
      </c>
      <c r="C30057" s="4" t="n">
        <v>606.00</v>
      </c>
      <c r="D30057" s="4"/>
    </row>
    <row collapsed="" customFormat="false" customHeight="1" hidden="" ht="14" outlineLevel="0" r="30058">
      <c r="A30058" s="3" t="inlineStr">
        <is>
          <t>29916</t>
        </is>
      </c>
      <c r="B30058" s="4" t="s">
        <f>=HYPERLINK("http://anyluxury.ru/shop/elektronika/fleshki/fleshka-twist-color-sinyaya-8-gb-7537448gb/" , "7537.44.8Гб Флешка Twist Color, синяя, 8 Гб")</f>
      </c>
      <c r="C30058" s="4" t="n">
        <v>566.00</v>
      </c>
      <c r="D30058" s="4"/>
    </row>
    <row collapsed="" customFormat="false" customHeight="1" hidden="" ht="14" outlineLevel="0" r="30059">
      <c r="A30059" s="3" t="inlineStr">
        <is>
          <t>29917</t>
        </is>
      </c>
      <c r="B30059" s="4" t="s">
        <f>=HYPERLINK("http://anyluxury.ru/shop/elektronika/fleshki/fleshka-twist-color-sinyaya-16-gb-75374416gb/" , "7537.44.16Гб Флешка Twist Color, синяя, 16 Гб")</f>
      </c>
      <c r="C30059" s="4" t="n">
        <v>606.00</v>
      </c>
      <c r="D30059" s="4"/>
    </row>
    <row collapsed="" customFormat="false" customHeight="1" hidden="" ht="14" outlineLevel="0" r="30060">
      <c r="A30060" s="3" t="inlineStr">
        <is>
          <t>29918</t>
        </is>
      </c>
      <c r="B30060" s="4" t="s">
        <f>=HYPERLINK("http://anyluxury.ru/shop/elektronika/fleshki/fleshka-twist-color-sinyaya-s-belim-8-gb-7537468gb/" , "7537.46.8Гб Флешка Twist Color, синяя с белым, 8 Гб")</f>
      </c>
      <c r="C30060" s="4" t="n">
        <v>566.00</v>
      </c>
      <c r="D30060" s="4"/>
    </row>
    <row collapsed="" customFormat="false" customHeight="1" hidden="" ht="14" outlineLevel="0" r="30061">
      <c r="A30061" s="3" t="inlineStr">
        <is>
          <t>29919</t>
        </is>
      </c>
      <c r="B30061" s="4" t="s">
        <f>=HYPERLINK("http://anyluxury.ru/shop/elektronika/fleshki/fleshka-twist-color-sinyaya-s-belim16-gb-75374616gb/" , "7537.46.16Гб Флешка Twist Color, синяя с белым,16 Гб")</f>
      </c>
      <c r="C30061" s="4" t="n">
        <v>606.00</v>
      </c>
      <c r="D30061" s="4"/>
    </row>
    <row collapsed="" customFormat="false" customHeight="1" hidden="" ht="14" outlineLevel="0" r="30062">
      <c r="A30062" s="3" t="inlineStr">
        <is>
          <t>29920</t>
        </is>
      </c>
      <c r="B30062" s="4" t="s">
        <f>=HYPERLINK("http://anyluxury.ru/shop/elektronika/fleshki/fleshka-twist-color-krasnaya-8-gb-7537558gb/" , "7537.55.8Гб Флешка Twist Color, красная, 8 Гб")</f>
      </c>
      <c r="C30062" s="4" t="n">
        <v>566.00</v>
      </c>
      <c r="D30062" s="4"/>
    </row>
    <row collapsed="" customFormat="false" customHeight="1" hidden="" ht="14" outlineLevel="0" r="30063">
      <c r="A30063" s="3" t="inlineStr">
        <is>
          <t>29921</t>
        </is>
      </c>
      <c r="B30063" s="4" t="s">
        <f>=HYPERLINK("http://anyluxury.ru/shop/elektronika/fleshki/fleshka-twist-color-krasnaya-s-belim-8-gb-7537568gb/" , "7537.56.8Гб Флешка Twist Color, красная с белым, 8 Гб")</f>
      </c>
      <c r="C30063" s="4" t="n">
        <v>566.00</v>
      </c>
      <c r="D30063" s="4"/>
    </row>
    <row collapsed="" customFormat="false" customHeight="1" hidden="" ht="14" outlineLevel="0" r="30064">
      <c r="A30064" s="3" t="inlineStr">
        <is>
          <t>29922</t>
        </is>
      </c>
      <c r="B30064" s="4" t="s">
        <f>=HYPERLINK("http://anyluxury.ru/shop/elektronika/fleshki/fleshka-twist-color-belaya-s-sinim-8-gb-7537648gb/" , "7537.64.8Гб Флешка Twist Color, белая с синим, 8 Гб")</f>
      </c>
      <c r="C30064" s="4" t="n">
        <v>566.00</v>
      </c>
      <c r="D30064" s="4"/>
    </row>
    <row collapsed="" customFormat="false" customHeight="1" hidden="" ht="14" outlineLevel="0" r="30065">
      <c r="A30065" s="3" t="inlineStr">
        <is>
          <t>29923</t>
        </is>
      </c>
      <c r="B30065" s="4" t="s">
        <f>=HYPERLINK("http://anyluxury.ru/shop/elektronika/fleshki/fleshka-twist-color-belaya-c-sinim-16-gb-75376416gb/" , "7537.64.16Гб Флешка Twist Color, белая c синим, 16 Гб")</f>
      </c>
      <c r="C30065" s="4" t="n">
        <v>606.00</v>
      </c>
      <c r="D30065" s="4"/>
    </row>
    <row collapsed="" customFormat="false" customHeight="1" hidden="" ht="14" outlineLevel="0" r="30066">
      <c r="A30066" s="3" t="inlineStr">
        <is>
          <t>29924</t>
        </is>
      </c>
      <c r="B30066" s="4" t="s">
        <f>=HYPERLINK("http://anyluxury.ru/shop/elektronika/fleshki/fleshka-twist-color-belaya-s-krasnim-8-gb-7537658gb/" , "7537.65.8Гб Флешка Twist Color, белая с красным, 8 Гб")</f>
      </c>
      <c r="C30066" s="4" t="n">
        <v>566.00</v>
      </c>
      <c r="D30066" s="4"/>
    </row>
    <row collapsed="" customFormat="false" customHeight="1" hidden="" ht="14" outlineLevel="0" r="30067">
      <c r="A30067" s="3" t="inlineStr">
        <is>
          <t>29925</t>
        </is>
      </c>
      <c r="B30067" s="4" t="s">
        <f>=HYPERLINK("http://anyluxury.ru/shop/elektronika/fleshki/fleshka-twist-color-belaya-s-krasnim-16-gb-75376516gb/" , "7537.65.16Гб Флешка Twist Color, белая с красным, 16 Гб")</f>
      </c>
      <c r="C30067" s="4" t="n">
        <v>606.00</v>
      </c>
      <c r="D30067" s="4"/>
    </row>
    <row collapsed="" customFormat="false" customHeight="1" hidden="" ht="14" outlineLevel="0" r="30068">
      <c r="A30068" s="3" t="inlineStr">
        <is>
          <t>29926</t>
        </is>
      </c>
      <c r="B30068" s="4" t="s">
        <f>=HYPERLINK("http://anyluxury.ru/shop/elektronika/fleshki/fleshka-twist-color-belaya-8-gb-7537668gb/" , "7537.66.8Гб Флешка Twist Color, белая, 8 Гб")</f>
      </c>
      <c r="C30068" s="4" t="n">
        <v>566.00</v>
      </c>
      <c r="D30068" s="4"/>
    </row>
    <row collapsed="" customFormat="false" customHeight="1" hidden="" ht="14" outlineLevel="0" r="30069">
      <c r="A30069" s="3" t="inlineStr">
        <is>
          <t>29927</t>
        </is>
      </c>
      <c r="B30069" s="4" t="s">
        <f>=HYPERLINK("http://anyluxury.ru/shop/elektronika/fleshki/fleshka-twist-color-belaya-16-gb-75376616gb/" , "7537.66.16Гб Флешка Twist Color, белая, 16 Гб")</f>
      </c>
      <c r="C30069" s="4" t="n">
        <v>606.00</v>
      </c>
      <c r="D30069" s="4"/>
    </row>
    <row collapsed="" customFormat="false" customHeight="1" hidden="" ht="14" outlineLevel="0" r="30070">
      <c r="A30070" s="3" t="inlineStr">
        <is>
          <t>29928</t>
        </is>
      </c>
      <c r="B30070" s="4" t="s">
        <f>=HYPERLINK("http://anyluxury.ru/shop/elektronika/fleshki/fleshka-twist-color-belaya-s-zheltim-8-gb-7537688gb/" , "7537.68.8Гб Флешка Twist Color, белая с желтым, 8 Гб")</f>
      </c>
      <c r="C30070" s="4" t="n">
        <v>566.00</v>
      </c>
      <c r="D30070" s="4"/>
    </row>
    <row collapsed="" customFormat="false" customHeight="1" hidden="" ht="14" outlineLevel="0" r="30071">
      <c r="A30071" s="3" t="inlineStr">
        <is>
          <t>29929</t>
        </is>
      </c>
      <c r="B30071" s="4" t="s">
        <f>=HYPERLINK("http://anyluxury.ru/shop/elektronika/fleshki/fleshka-twist-color-belaya-s-zheltim-16-gb-75376816gb/" , "7537.68.16Гб Флешка Twist Color, белая с желтым, 16 Гб")</f>
      </c>
      <c r="C30071" s="4" t="n">
        <v>606.00</v>
      </c>
      <c r="D30071" s="4"/>
    </row>
    <row collapsed="" customFormat="false" customHeight="1" hidden="" ht="14" outlineLevel="0" r="30072">
      <c r="A30072" s="3" t="inlineStr">
        <is>
          <t>29930</t>
        </is>
      </c>
      <c r="B30072" s="4" t="s">
        <f>=HYPERLINK("http://anyluxury.ru/shop/elektronika/fleshki/fleshka-twist-color-belaya-s-zelenim-8-gb-7537698gb/" , "7537.69.8Гб Флешка Twist Color, белая с зеленым, 8 Гб")</f>
      </c>
      <c r="C30072" s="4" t="n">
        <v>566.00</v>
      </c>
      <c r="D30072" s="4"/>
    </row>
    <row collapsed="" customFormat="false" customHeight="1" hidden="" ht="14" outlineLevel="0" r="30073">
      <c r="A30073" s="3" t="inlineStr">
        <is>
          <t>29931</t>
        </is>
      </c>
      <c r="B30073" s="4" t="s">
        <f>=HYPERLINK("http://anyluxury.ru/shop/elektronika/fleshki/fleshka-twist-color-belaya-s-zelenim-16-gb-75376916gb/" , "7537.69.16Гб Флешка Twist Color, белая с зеленым, 16 Гб")</f>
      </c>
      <c r="C30073" s="4" t="n">
        <v>606.00</v>
      </c>
      <c r="D30073" s="4"/>
    </row>
    <row collapsed="" customFormat="false" customHeight="1" hidden="" ht="14" outlineLevel="0" r="30074">
      <c r="A30074" s="3" t="inlineStr">
        <is>
          <t>29932</t>
        </is>
      </c>
      <c r="B30074" s="4" t="s">
        <f>=HYPERLINK("http://anyluxury.ru/shop/elektronika/fleshki/fleshka-twist-color-zelenaya-s-belim-8-gb-7537968gb/" , "7537.96.8Гб Флешка Twist Color, зеленая с белым, 8 Гб")</f>
      </c>
      <c r="C30074" s="4" t="n">
        <v>566.00</v>
      </c>
      <c r="D30074" s="4"/>
    </row>
    <row collapsed="" customFormat="false" customHeight="1" hidden="" ht="14" outlineLevel="0" r="30075">
      <c r="A30075" s="3" t="inlineStr">
        <is>
          <t>29933</t>
        </is>
      </c>
      <c r="B30075" s="4" t="s">
        <f>=HYPERLINK("http://anyluxury.ru/shop/elektronika/fleshki/fleshka-twist-color-zelenaya-s-belim-16-gb-75379616gb/" , "7537.96.16Гб Флешка Twist Color, зеленая с белым, 16 Гб")</f>
      </c>
      <c r="C30075" s="4" t="n">
        <v>606.00</v>
      </c>
      <c r="D30075" s="4"/>
    </row>
    <row collapsed="" customFormat="false" customHeight="1" hidden="" ht="14" outlineLevel="0" r="30076">
      <c r="A30076" s="3" t="inlineStr">
        <is>
          <t>29934</t>
        </is>
      </c>
      <c r="B30076" s="4" t="s">
        <f>=HYPERLINK("http://anyluxury.ru/shop/elektronika/fleshki/fleshka-twist-color-zelenaya-8-gb-7537998gb/" , "7537.99.8Гб Флешка Twist Color, зеленая, 8 Гб")</f>
      </c>
      <c r="C30076" s="4" t="n">
        <v>566.00</v>
      </c>
      <c r="D30076" s="4"/>
    </row>
    <row collapsed="" customFormat="false" customHeight="1" hidden="" ht="14" outlineLevel="0" r="30077">
      <c r="A30077" s="3" t="inlineStr">
        <is>
          <t>29935</t>
        </is>
      </c>
      <c r="B30077" s="4" t="s">
        <f>=HYPERLINK("http://anyluxury.ru/shop/elektronika/fleshki/fleshka-twist-color-zelenaya-16-gb-75379916gb/" , "7537.99.16Гб Флешка Twist Color, зеленая, 16 Гб")</f>
      </c>
      <c r="C30077" s="4" t="n">
        <v>606.00</v>
      </c>
      <c r="D30077" s="4"/>
    </row>
    <row collapsed="" customFormat="false" customHeight="1" hidden="" ht="14" outlineLevel="0" r="30078">
      <c r="A30078" s="3" t="inlineStr">
        <is>
          <t>29936</t>
        </is>
      </c>
      <c r="B30078" s="4" t="s">
        <f>=HYPERLINK("http://anyluxury.ru/shop/elektronika/fleshki/fleshka-twist-color-zheltaya-s-chernim-8-gb-7537838gb/" , "7537.83.8Гб Флешка Twist Color, желтая с черным, 8 Гб")</f>
      </c>
      <c r="C30078" s="4" t="n">
        <v>566.00</v>
      </c>
      <c r="D30078" s="4"/>
    </row>
    <row collapsed="" customFormat="false" customHeight="1" hidden="" ht="14" outlineLevel="0" r="30079">
      <c r="A30079" s="3" t="inlineStr">
        <is>
          <t>29937</t>
        </is>
      </c>
      <c r="B30079" s="4" t="s">
        <f>=HYPERLINK("http://anyluxury.ru/shop/elektronika/fleshki/fleshka-twist-color-zheltaya-s-chernim-16-gb-75378316gb/" , "7537.83.16Гб Флешка Twist Color, желтая с черным, 16 Гб")</f>
      </c>
      <c r="C30079" s="4" t="n">
        <v>566.00</v>
      </c>
      <c r="D30079" s="4"/>
    </row>
    <row collapsed="" customFormat="false" customHeight="1" hidden="" ht="14" outlineLevel="0" r="30080">
      <c r="A30080" s="3" t="inlineStr">
        <is>
          <t>29938</t>
        </is>
      </c>
      <c r="B30080" s="4" t="s">
        <f>=HYPERLINK("http://anyluxury.ru/shop/elektronika/fleshki/fleshka-twist-color-zheltaya-s-sinim-8-gb-7537848gb/" , "7537.84.8Гб Флешка Twist Color, желтая с синим, 8 Гб")</f>
      </c>
      <c r="C30080" s="4" t="n">
        <v>566.00</v>
      </c>
      <c r="D30080" s="4"/>
    </row>
    <row collapsed="" customFormat="false" customHeight="1" hidden="" ht="14" outlineLevel="0" r="30081">
      <c r="A30081" s="3" t="inlineStr">
        <is>
          <t>29939</t>
        </is>
      </c>
      <c r="B30081" s="4" t="s">
        <f>=HYPERLINK("http://anyluxury.ru/shop/elektronika/fleshki/fleshka-twist-color-zheltaya-s-sinim-16-gb-75378416gb/" , "7537.84.16Гб Флешка Twist Color, желтая с синим, 16 Гб")</f>
      </c>
      <c r="C30081" s="4" t="n">
        <v>566.00</v>
      </c>
      <c r="D30081" s="4"/>
    </row>
    <row collapsed="" customFormat="false" customHeight="1" hidden="" ht="14" outlineLevel="0" r="30082">
      <c r="A30082" s="3" t="inlineStr">
        <is>
          <t>29940</t>
        </is>
      </c>
      <c r="B30082" s="4" t="s">
        <f>=HYPERLINK("http://anyluxury.ru/shop/elektronika/fleshki/fleshka-trio-twist-sinyaya-32-gb-790942/" , "7909.42 Флешка Trio Twist, синяя, 32 Гб")</f>
      </c>
      <c r="C30082" s="4" t="n">
        <v>1290.00</v>
      </c>
      <c r="D30082" s="4"/>
    </row>
    <row collapsed="" customFormat="false" customHeight="1" hidden="" ht="14" outlineLevel="0" r="30083">
      <c r="A30083" s="3" t="inlineStr">
        <is>
          <t>29941</t>
        </is>
      </c>
      <c r="B30083" s="4" t="s">
        <f>=HYPERLINK("http://anyluxury.ru/shop/elektronika/fleshki/fleshka-card-16-gb-belaya-342306/" , "3423.06 Флешка Card, 16 Гб, белая")</f>
      </c>
      <c r="C30083" s="4" t="n">
        <v>499.00</v>
      </c>
      <c r="D30083" s="4"/>
    </row>
    <row collapsed="" customFormat="false" customHeight="1" hidden="" ht="14" outlineLevel="0" r="30084">
      <c r="A30084" s="3" t="inlineStr">
        <is>
          <t>29942</t>
        </is>
      </c>
      <c r="B30084" s="4" t="s">
        <f>=HYPERLINK("http://anyluxury.ru/shop/elektronika/fleshki/fleshka-card-8-gb-chernaya-342338/" , "3423.38 Флешка Card, 8 Гб, черная")</f>
      </c>
      <c r="C30084" s="4" t="n">
        <v>449.00</v>
      </c>
      <c r="D30084" s="4"/>
    </row>
    <row collapsed="" customFormat="false" customHeight="1" hidden="" ht="14" outlineLevel="0" r="30085">
      <c r="A30085" s="3" t="inlineStr">
        <is>
          <t>29943</t>
        </is>
      </c>
      <c r="B30085" s="4" t="s">
        <f>=HYPERLINK("http://anyluxury.ru/shop/elektronika/fleshki/fleshka-profit-16-gb-sinyaya-354746/" , "3547.46 Флешка Profit, 16 Гб, синяя")</f>
      </c>
      <c r="C30085" s="4" t="n">
        <v>539.00</v>
      </c>
      <c r="D30085" s="4"/>
    </row>
    <row collapsed="" customFormat="false" customHeight="1" hidden="" ht="14" outlineLevel="0" r="30086">
      <c r="A30086" s="3" t="inlineStr">
        <is>
          <t>29944</t>
        </is>
      </c>
      <c r="B30086" s="4" t="s">
        <f>=HYPERLINK("http://anyluxury.ru/shop/elektronika/fleshki/fleshka-profit-16-gb-belaya-354766/" , "3547.66 Флешка Profit, 16 Гб, белая")</f>
      </c>
      <c r="C30086" s="4" t="n">
        <v>539.00</v>
      </c>
      <c r="D30086" s="4"/>
    </row>
    <row collapsed="" customFormat="false" customHeight="1" hidden="" ht="14" outlineLevel="0" r="30087">
      <c r="A30087" s="3" t="inlineStr">
        <is>
          <t>29945</t>
        </is>
      </c>
      <c r="B30087" s="4" t="s">
        <f>=HYPERLINK("http://anyluxury.ru/shop/elektronika/fleshki/fleshka-profit-16-gb-chernaya-354736/" , "3547.36 Флешка Profit, 16 Гб, черная")</f>
      </c>
      <c r="C30087" s="4" t="n">
        <v>539.00</v>
      </c>
      <c r="D30087" s="4"/>
    </row>
    <row collapsed="" customFormat="false" customHeight="1" hidden="" ht="14" outlineLevel="0" r="30088">
      <c r="A30088" s="3" t="inlineStr">
        <is>
          <t>29946</t>
        </is>
      </c>
      <c r="B30088" s="4" t="s">
        <f>=HYPERLINK("http://anyluxury.ru/shop/elektronika/fleshki/fleshka-profit-16-gb-krasnaya-354756/" , "3547.56 Флешка Profit, 16 Гб, красная")</f>
      </c>
      <c r="C30088" s="4" t="n">
        <v>539.00</v>
      </c>
      <c r="D30088" s="4"/>
    </row>
    <row collapsed="" customFormat="false" customHeight="1" hidden="" ht="14" outlineLevel="0" r="30089">
      <c r="A30089" s="3" t="inlineStr">
        <is>
          <t>29947</t>
        </is>
      </c>
      <c r="B30089" s="4" t="s">
        <f>=HYPERLINK("http://anyluxury.ru/shop/elektronika/fleshki/fleshka-glide-16-gb-1155716/" , "11557.16 Флешка Glide, 16 Гб")</f>
      </c>
      <c r="C30089" s="4" t="n">
        <v>590.00</v>
      </c>
      <c r="D30089" s="4"/>
    </row>
    <row collapsed="" customFormat="false" customHeight="1" hidden="" ht="14" outlineLevel="0" r="30090">
      <c r="A30090" s="3" t="inlineStr">
        <is>
          <t>29948</t>
        </is>
      </c>
      <c r="B30090" s="4" t="s">
        <f>=HYPERLINK("http://anyluxury.ru/shop/elektronika/fleshki/fleshka-silver-lining-16-gb-1155816/" , "11558.16 Флешка Silver Lining, 16 Гб")</f>
      </c>
      <c r="C30090" s="4" t="n">
        <v>590.00</v>
      </c>
      <c r="D30090" s="4"/>
    </row>
    <row collapsed="" customFormat="false" customHeight="1" hidden="" ht="14" outlineLevel="0" r="30091">
      <c r="A30091" s="3" t="inlineStr">
        <is>
          <t>29949</t>
        </is>
      </c>
      <c r="B30091" s="4" t="s">
        <f>=HYPERLINK("http://anyluxury.ru/shop/elektronika/fleshki/fleshka-flip-up-16-gb-1155936/" , "11559.36 Флешка Flip Up, 16 Гб")</f>
      </c>
      <c r="C30091" s="4" t="n">
        <v>790.00</v>
      </c>
      <c r="D30091" s="4"/>
    </row>
    <row collapsed="" customFormat="false" customHeight="1" hidden="" ht="14" outlineLevel="0" r="30092">
      <c r="A30092" s="3" t="inlineStr">
        <is>
          <t>29950</t>
        </is>
      </c>
      <c r="B30092" s="4" t="s">
        <f>=HYPERLINK("http://anyluxury.ru/shop/elektronika/fleshki/fleshka-big-style-usb-30-16-gb-1156016/" , "11560.16 Флешка Big Style, USB 3.0, 16 Гб")</f>
      </c>
      <c r="C30092" s="4" t="n">
        <v>719.00</v>
      </c>
      <c r="D30092" s="4"/>
    </row>
    <row collapsed="" customFormat="false" customHeight="1" hidden="" ht="14" outlineLevel="0" r="30093">
      <c r="A30093" s="3" t="inlineStr">
        <is>
          <t>29951</t>
        </is>
      </c>
      <c r="B30093" s="4" t="s">
        <f>=HYPERLINK("http://anyluxury.ru/shop/elektronika/fleshki/fleshka-big-style-usb-30-32-gb-1156032/" , "11560.32 Флешка Big Style, USB 3.0, 32 Гб")</f>
      </c>
      <c r="C30093" s="4" t="n">
        <v>790.00</v>
      </c>
      <c r="D30093" s="4"/>
    </row>
    <row collapsed="" customFormat="false" customHeight="1" hidden="" ht="14" outlineLevel="0" r="30094">
      <c r="A30094" s="3" t="inlineStr">
        <is>
          <t>29952</t>
        </is>
      </c>
      <c r="B30094" s="4" t="s">
        <f>=HYPERLINK("http://anyluxury.ru/shop/elektronika/fleshki/fleshka-in-style-usb-3016-gb-1156116/" , "11561.16 Флешка In Style, USB 3.0,16 Гб")</f>
      </c>
      <c r="C30094" s="4" t="n">
        <v>819.00</v>
      </c>
      <c r="D30094" s="4"/>
    </row>
    <row collapsed="" customFormat="false" customHeight="1" hidden="" ht="14" outlineLevel="0" r="30095">
      <c r="A30095" s="3" t="inlineStr">
        <is>
          <t>29953</t>
        </is>
      </c>
      <c r="B30095" s="4" t="s">
        <f>=HYPERLINK("http://anyluxury.ru/shop/elektronika/fleshki/fleshka-in-style-usb-30-32-gb-1156132/" , "11561.32 Флешка In Style, USB 3.0, 32 Гб")</f>
      </c>
      <c r="C30095" s="4" t="n">
        <v>869.00</v>
      </c>
      <c r="D30095" s="4"/>
    </row>
    <row collapsed="" customFormat="false" customHeight="1" hidden="" ht="14" outlineLevel="0" r="30096">
      <c r="A30096" s="3" t="inlineStr">
        <is>
          <t>29954</t>
        </is>
      </c>
      <c r="B30096" s="4" t="s">
        <f>=HYPERLINK("http://anyluxury.ru/shop/elektronika/fleshki/fleshka-transmit-usb-3016-gb-1156216/" , "11562.16 Флешка Transmit, USB 3.0,16 Гб")</f>
      </c>
      <c r="C30096" s="4" t="n">
        <v>949.00</v>
      </c>
      <c r="D30096" s="4"/>
    </row>
    <row collapsed="" customFormat="false" customHeight="1" hidden="" ht="14" outlineLevel="0" r="30097">
      <c r="A30097" s="3" t="inlineStr">
        <is>
          <t>29955</t>
        </is>
      </c>
      <c r="B30097" s="4" t="s">
        <f>=HYPERLINK("http://anyluxury.ru/shop/elektronika/fleshki/fleshka-hod-konem-12-gb-495912/" , "4959.12 Флешка «Ход конем», 12 Гб")</f>
      </c>
      <c r="C30097" s="4" t="n">
        <v>819.00</v>
      </c>
      <c r="D30097" s="4"/>
    </row>
    <row collapsed="" customFormat="false" customHeight="1" hidden="" ht="14" outlineLevel="0" r="30098">
      <c r="A30098" s="3" t="inlineStr">
        <is>
          <t>29956</t>
        </is>
      </c>
      <c r="B30098" s="4" t="s">
        <f>=HYPERLINK("http://anyluxury.ru/shop/elektronika/fleshki/fleshka-angle-usb-30-32-gb-1156332/" , "11563.32 Флешка Angle, USB 3.0, 32 Гб")</f>
      </c>
      <c r="C30098" s="4" t="n">
        <v>919.00</v>
      </c>
      <c r="D30098" s="4"/>
    </row>
    <row collapsed="" customFormat="false" customHeight="1" hidden="" ht="14" outlineLevel="0" r="30099">
      <c r="A30099" s="3" t="inlineStr">
        <is>
          <t>29957</t>
        </is>
      </c>
      <c r="B30099" s="4" t="s">
        <f>=HYPERLINK("http://anyluxury.ru/shop/elektronika/fleshki/fleshka-platinum-card-32-gb-serebristaya-342202/" , "3422.02 Флешка Platinum Card, 32 Гб, серебристая")</f>
      </c>
      <c r="C30099" s="4" t="n">
        <v>749.00</v>
      </c>
      <c r="D30099" s="4"/>
    </row>
    <row collapsed="" customFormat="false" customHeight="1" hidden="" ht="14" outlineLevel="0" r="30100">
      <c r="A30100" s="3" t="inlineStr">
        <is>
          <t>29958</t>
        </is>
      </c>
      <c r="B30100" s="4" t="s">
        <f>=HYPERLINK("http://anyluxury.ru/shop/elektronika/fleshki/fleshka-pebble-chernaya-usb-30-16-gb-1181136/" , "11811.36 Флешка Pebble, черная, USB 3.0, 16 Гб")</f>
      </c>
      <c r="C30100" s="4" t="n">
        <v>1290.00</v>
      </c>
      <c r="D30100" s="4"/>
    </row>
    <row collapsed="" customFormat="false" customHeight="1" hidden="" ht="14" outlineLevel="0" r="30101">
      <c r="A30101" s="3" t="inlineStr">
        <is>
          <t>29959</t>
        </is>
      </c>
      <c r="B30101" s="4" t="s">
        <f>=HYPERLINK("http://anyluxury.ru/shop/elektronika/fleshki/fleshka-pebble-svetloseraya-usb-30-16-gb-1181166/" , "11811.66 Флешка Pebble, светло-серая, USB 3.0, 16 Гб")</f>
      </c>
      <c r="C30101" s="4" t="n">
        <v>1090.00</v>
      </c>
      <c r="D30101" s="4"/>
    </row>
    <row collapsed="" customFormat="false" customHeight="1" hidden="" ht="14" outlineLevel="0" r="30102">
      <c r="A30102" s="3" t="inlineStr">
        <is>
          <t>29960</t>
        </is>
      </c>
      <c r="B30102" s="4" t="s">
        <f>=HYPERLINK("http://anyluxury.ru/shop/elektronika/fleshki/fleshka-pebble-serosinyaya-usb-30-16-gb-1181146/" , "11811.46 Флешка Pebble, серо-синяя, USB 3.0, 16 Гб")</f>
      </c>
      <c r="C30102" s="4" t="n">
        <v>1290.00</v>
      </c>
      <c r="D30102" s="4"/>
    </row>
    <row collapsed="" customFormat="false" customHeight="1" hidden="" ht="14" outlineLevel="0" r="30103">
      <c r="A30103" s="3" t="inlineStr">
        <is>
          <t>29961</t>
        </is>
      </c>
      <c r="B30103" s="4" t="s">
        <f>=HYPERLINK("http://anyluxury.ru/shop/elektronika/fleshki/fleshka-pebble-seraya-usb-30-16-gb-1181106/" , "11811.06 Флешка Pebble, серая, USB 3.0, 16 Гб")</f>
      </c>
      <c r="C30103" s="4" t="n">
        <v>1290.00</v>
      </c>
      <c r="D30103" s="4"/>
    </row>
    <row collapsed="" customFormat="false" customHeight="1" hidden="" ht="14" outlineLevel="0" r="30104">
      <c r="A30104" s="3" t="inlineStr">
        <is>
          <t>29962</t>
        </is>
      </c>
      <c r="B30104" s="4" t="s">
        <f>=HYPERLINK("http://anyluxury.ru/shop/elektronika/fleshki/fleshka-pebble-typec-usb-30-chernaya-16-gb-1181036/" , "11810.36 Флешка Pebble Type-C, USB 3.0, черная, 16 Гб")</f>
      </c>
      <c r="C30104" s="4" t="n">
        <v>1490.00</v>
      </c>
      <c r="D30104" s="4"/>
    </row>
    <row collapsed="" customFormat="false" customHeight="1" hidden="" ht="14" outlineLevel="0" r="30105">
      <c r="A30105" s="3" t="inlineStr">
        <is>
          <t>29963</t>
        </is>
      </c>
      <c r="B30105" s="4" t="s">
        <f>=HYPERLINK("http://anyluxury.ru/shop/elektronika/fleshki/fleshka-pebble-typec-usb-30-serosinyaya-16-gb-1181046/" , "11810.46 Флешка Pebble Type-C, USB 3.0, серо-синяя, 16 Гб")</f>
      </c>
      <c r="C30105" s="4" t="n">
        <v>1490.00</v>
      </c>
      <c r="D30105" s="4"/>
    </row>
    <row collapsed="" customFormat="false" customHeight="1" hidden="" ht="14" outlineLevel="0" r="30106">
      <c r="A30106" s="3" t="inlineStr">
        <is>
          <t>29964</t>
        </is>
      </c>
      <c r="B30106" s="4" t="s">
        <f>=HYPERLINK("http://anyluxury.ru/shop/elektronika/fleshki/fleshka-pebble-typec-usb-30-chernaya-32-gb-1181032/" , "11810.32 Флешка Pebble Type-C, USB 3.0, черная, 32 Гб")</f>
      </c>
      <c r="C30106" s="4" t="n">
        <v>1690.00</v>
      </c>
      <c r="D30106" s="4"/>
    </row>
    <row collapsed="" customFormat="false" customHeight="1" hidden="" ht="14" outlineLevel="0" r="30107">
      <c r="A30107" s="3" t="inlineStr">
        <is>
          <t>29965</t>
        </is>
      </c>
      <c r="B30107" s="4" t="s">
        <f>=HYPERLINK("http://anyluxury.ru/shop/elektronika/fleshki/fleshka-pebble-typec-usb-30-serosinyaya-32-gb-1181042/" , "11810.42 Флешка Pebble Type-C, USB 3.0, серо-синяя, 32 Гб")</f>
      </c>
      <c r="C30107" s="4" t="n">
        <v>1690.00</v>
      </c>
      <c r="D30107" s="4"/>
    </row>
    <row collapsed="" customFormat="false" customHeight="1" hidden="" ht="14" outlineLevel="0" r="30108">
      <c r="A30108" s="3" t="inlineStr">
        <is>
          <t>29966</t>
        </is>
      </c>
      <c r="B30108" s="4" t="s">
        <f>=HYPERLINK("http://anyluxury.ru/shop/elektronika/fleshki/fleshka-pebble-typec-usb-30-seraya-32-gb-1181002/" , "11810.02 Флешка Pebble Type-C, USB 3.0, серая, 32 Гб")</f>
      </c>
      <c r="C30108" s="4" t="n">
        <v>1690.00</v>
      </c>
      <c r="D30108" s="4"/>
    </row>
    <row collapsed="" customFormat="false" customHeight="1" hidden="" ht="14" outlineLevel="0" r="30109">
      <c r="A30109" s="3" t="inlineStr">
        <is>
          <t>29967</t>
        </is>
      </c>
      <c r="B30109" s="4" t="s">
        <f>=HYPERLINK("http://anyluxury.ru/shop/elektronika/fleshki/usb-fleshka-elegante-16-gb-seriy-901218080/" , "901218.080 Флешка Elegante 16 Gb, серебряная")</f>
      </c>
      <c r="C30109" s="4" t="n">
        <v>1177.00</v>
      </c>
      <c r="D30109" s="4"/>
    </row>
    <row collapsed="" customFormat="false" customHeight="1" hidden="" ht="14" outlineLevel="0" r="30110">
      <c r="A30110" s="3" t="inlineStr">
        <is>
          <t>29968</t>
        </is>
      </c>
      <c r="B30110" s="4" t="s">
        <f>=HYPERLINK("http://anyluxury.ru/shop/elektronika/fleshki/fleshka-pebble-universal-usb-30-serosinyaya-32-gb-1581042/" , "15810.42 Флешка Pebble Universal, USB 3.0, серо-синяя, 32 Гб")</f>
      </c>
      <c r="C30110" s="4" t="n">
        <v>1790.00</v>
      </c>
      <c r="D30110" s="4"/>
    </row>
    <row collapsed="" customFormat="false" customHeight="1" hidden="" ht="14" outlineLevel="0" r="30111">
      <c r="A30111" s="3" t="inlineStr">
        <is>
          <t>29969</t>
        </is>
      </c>
      <c r="B30111" s="4" t="s">
        <f>=HYPERLINK("http://anyluxury.ru/shop/elektronika/fleshki/portativniy-vneshniy-disk-uniscend-drop-256-gb-serebristiy-2099910/" , "20999.10 Портативный внешний диск SSD Uniscend Drop, 256 Гб, серебристый")</f>
      </c>
      <c r="C30111" s="4" t="n">
        <v>7590.00</v>
      </c>
      <c r="D30111" s="4"/>
    </row>
    <row collapsed="" customFormat="false" customHeight="1" hidden="" ht="14" outlineLevel="0" r="30112">
      <c r="A30112" s="3" t="inlineStr">
        <is>
          <t>29970</t>
        </is>
      </c>
      <c r="B30112" s="4" t="s">
        <f>=HYPERLINK("http://anyluxury.ru/shop/elektronika/fleshki/portativniy-vneshniy-disk-uniscend-drop-256-gb-cherniy-2099930/" , "20999.30 Портативный внешний диск SSD Uniscend Drop, 256 Гб, черный")</f>
      </c>
      <c r="C30112" s="4" t="n">
        <v>7590.00</v>
      </c>
      <c r="D30112" s="4"/>
    </row>
    <row collapsed="" customFormat="false" customHeight="1" hidden="" ht="14" outlineLevel="0" r="30113">
      <c r="A30113" s="3" t="inlineStr">
        <is>
          <t>29971</t>
        </is>
      </c>
      <c r="B30113" s="4" t="s">
        <f>=HYPERLINK("http://anyluxury.ru/shop/elektronika/fleshki/fleshka-markbright-s-beloy-podsvetkoy-16-gb-2102266/" , "21022.66 Флешка markBright с белой подсветкой, 16 Гб")</f>
      </c>
      <c r="C30113" s="4" t="n">
        <v>890.00</v>
      </c>
      <c r="D30113" s="4"/>
    </row>
    <row collapsed="" customFormat="false" customHeight="1" hidden="" ht="14" outlineLevel="0" r="30114">
      <c r="A30114" s="3" t="inlineStr">
        <is>
          <t>29972</t>
        </is>
      </c>
      <c r="B30114" s="4" t="s">
        <f>=HYPERLINK("http://anyluxury.ru/shop/elektronika/fleshki/fleshka-markbright-s-siney-podsvetkoy-16-gb-2102246/" , "21022.46 Флешка markBright с синей подсветкой, 16 Гб")</f>
      </c>
      <c r="C30114" s="4" t="n">
        <v>890.00</v>
      </c>
      <c r="D30114" s="4"/>
    </row>
    <row collapsed="" customFormat="false" customHeight="1" hidden="" ht="14" outlineLevel="0" r="30115">
      <c r="A30115" s="3" t="inlineStr">
        <is>
          <t>29973</t>
        </is>
      </c>
      <c r="B30115" s="4" t="s">
        <f>=HYPERLINK("http://anyluxury.ru/shop/elektronika/fleshki/fleshka-markbright-s-krasnoy-podsvetkoy-16-gb-2102256/" , "21022.56 Флешка markBright с красной подсветкой, 16 Гб")</f>
      </c>
      <c r="C30115" s="4" t="n">
        <v>890.00</v>
      </c>
      <c r="D30115" s="4"/>
    </row>
    <row collapsed="" customFormat="false" customHeight="1" hidden="" ht="14" outlineLevel="0" r="30116">
      <c r="A30116" s="3" t="inlineStr">
        <is>
          <t>29974</t>
        </is>
      </c>
      <c r="B30116" s="4" t="s">
        <f>=HYPERLINK("http://anyluxury.ru/shop/elektronika/fleshki/fleshka-markbright-s-siney-podsvetkoy-32-gb-2102242/" , "21022.42 Флешка markBright с синей подсветкой, 32 Гб")</f>
      </c>
      <c r="C30116" s="4" t="n">
        <v>990.00</v>
      </c>
      <c r="D30116" s="4"/>
    </row>
    <row collapsed="" customFormat="false" customHeight="1" hidden="" ht="14" outlineLevel="0" r="30117">
      <c r="A30117" s="3" t="inlineStr">
        <is>
          <t>29975</t>
        </is>
      </c>
      <c r="B30117" s="4" t="s">
        <f>=HYPERLINK("http://anyluxury.ru/shop/elektronika/fleshki/fleshka-pebble-universal-usb-30-seraya-64-gb-1581004/" , "15810.04 Флешка Pebble Universal, USB 3.0, серая, 64 Гб")</f>
      </c>
      <c r="C30117" s="4" t="n">
        <v>1990.00</v>
      </c>
      <c r="D30117" s="4"/>
    </row>
    <row collapsed="" customFormat="false" customHeight="1" hidden="" ht="14" outlineLevel="0" r="30118">
      <c r="A30118" s="3" t="inlineStr">
        <is>
          <t>29976</t>
        </is>
      </c>
      <c r="B30118" s="4" t="s">
        <f>=HYPERLINK("http://anyluxury.ru/shop/elektronika/fleshki/fleshka-markbright-s-zelenoy-podsvetkoy-16-gb-2102296/" , "21022.96 Флешка markBright с зеленой подсветкой, 16 Гб")</f>
      </c>
      <c r="C30118" s="4" t="n">
        <v>890.00</v>
      </c>
      <c r="D30118" s="4"/>
    </row>
    <row collapsed="" customFormat="false" customHeight="1" hidden="" ht="14" outlineLevel="0" r="30119">
      <c r="A30119" s="3" t="inlineStr">
        <is>
          <t>29977</t>
        </is>
      </c>
      <c r="B30119" s="4" t="s">
        <f>=HYPERLINK("http://anyluxury.ru/shop/elektronika/fleshki/fleshka-markbright-s-zelenoy-podsvetkoy-32-gb-2102292/" , "21022.92 Флешка markBright с зеленой подсветкой, 32 Гб")</f>
      </c>
      <c r="C30119" s="4" t="n">
        <v>990.00</v>
      </c>
      <c r="D30119" s="4"/>
    </row>
    <row collapsed="" customFormat="false" customHeight="1" hidden="" ht="14" outlineLevel="0" r="30120">
      <c r="A30120" s="3" t="inlineStr">
        <is>
          <t>29978</t>
        </is>
      </c>
      <c r="B30120" s="4" t="s">
        <f>=HYPERLINK("http://anyluxury.ru/shop/elektronika/fleshki/fleshka-markbright-black-s-siney-podsvetkoy-32-gb-2102342/" , "21023.42 Флешка markBright Black с синей подсветкой, 32 Гб")</f>
      </c>
      <c r="C30120" s="4" t="n">
        <v>990.00</v>
      </c>
      <c r="D30120" s="4"/>
    </row>
    <row collapsed="" customFormat="false" customHeight="1" hidden="" ht="14" outlineLevel="0" r="30121">
      <c r="A30121" s="3" t="inlineStr">
        <is>
          <t>29979</t>
        </is>
      </c>
      <c r="B30121" s="4" t="s">
        <f>=HYPERLINK("http://anyluxury.ru/shop/elektronika/fleshki/fleshka-markbright-black-s-beloy-podsvetkoy-32-gb-2102362/" , "21023.62 Флешка markBright Black с белой подсветкой, 32 Гб")</f>
      </c>
      <c r="C30121" s="4" t="n">
        <v>990.00</v>
      </c>
      <c r="D30121" s="4"/>
    </row>
    <row collapsed="" customFormat="false" customHeight="1" hidden="" ht="14" outlineLevel="0" r="30122">
      <c r="A30122" s="3" t="inlineStr">
        <is>
          <t>29980</t>
        </is>
      </c>
      <c r="B30122" s="4" t="s">
        <f>=HYPERLINK("http://anyluxury.ru/shop/elektronika/fleshki/fleshka-markbright-black-s-krasnoy-podsvetkoy-32-gb-2102352/" , "21023.52 Флешка markBright Black с красной подсветкой, 32 Гб")</f>
      </c>
      <c r="C30122" s="4" t="n">
        <v>990.00</v>
      </c>
      <c r="D30122" s="4"/>
    </row>
    <row collapsed="" customFormat="false" customHeight="1" hidden="" ht="14" outlineLevel="0" r="30123">
      <c r="A30123" s="3" t="inlineStr">
        <is>
          <t>29981</t>
        </is>
      </c>
      <c r="B30123" s="4" t="s">
        <f>=HYPERLINK("http://anyluxury.ru/shop/elektronika/fleshki/fleshka-markbright-black-s-zelenoy-podsvetkoy-32-gb-2102392/" , "21023.92 Флешка markBright Black с зеленой подсветкой, 32 Гб")</f>
      </c>
      <c r="C30123" s="4" t="n">
        <v>990.00</v>
      </c>
      <c r="D30123" s="4"/>
    </row>
    <row collapsed="" customFormat="false" customHeight="1" hidden="" ht="14" outlineLevel="0" r="30124">
      <c r="A30124" s="3" t="inlineStr">
        <is>
          <t>29982</t>
        </is>
      </c>
      <c r="B30124" s="4" t="s">
        <f>=HYPERLINK("http://anyluxury.ru/shop/elektronika/fleshki/fleshka-ergo-style-usb-30-serebristaya-32-gb-2102512/" , "21025.12 Флешка Ergo Style, USB 3.0, серебристая, 32 Гб")</f>
      </c>
      <c r="C30124" s="4" t="n">
        <v>929.00</v>
      </c>
      <c r="D30124" s="4"/>
    </row>
    <row collapsed="" customFormat="false" customHeight="1" hidden="" ht="14" outlineLevel="0" r="30125">
      <c r="A30125" s="3" t="inlineStr">
        <is>
          <t>29983</t>
        </is>
      </c>
      <c r="B30125" s="4" t="s">
        <f>=HYPERLINK("http://anyluxury.ru/shop/elektronika/fleshki/fleshka-ergo-style-black-usb30-chernaya-32-gb-2102632/" , "21026.32 Флешка Ergo Style Black, USB 3.0, черная, 32 Гб")</f>
      </c>
      <c r="C30125" s="4" t="n">
        <v>969.00</v>
      </c>
      <c r="D30125" s="4"/>
    </row>
    <row collapsed="" customFormat="false" customHeight="1" hidden="" ht="14" outlineLevel="0" r="30126">
      <c r="A30126" s="3" t="inlineStr">
        <is>
          <t>29984</t>
        </is>
      </c>
      <c r="B30126" s="4" t="s">
        <f>=HYPERLINK("http://anyluxury.ru/shop/elektronika/fleshki/fleshka-big-style-black-usb-30-64-gb-1356064/" , "13560.64 Флешка Big Style Black, USB 3.0, 64 Гб")</f>
      </c>
      <c r="C30126" s="4" t="n">
        <v>1105.00</v>
      </c>
      <c r="D30126" s="4"/>
    </row>
    <row collapsed="" customFormat="false" customHeight="1" hidden="" ht="14" outlineLevel="0" r="30127">
      <c r="A30127" s="3" t="inlineStr">
        <is>
          <t>29985</t>
        </is>
      </c>
      <c r="B30127" s="4" t="s">
        <f>=HYPERLINK("http://anyluxury.ru/shop/elektronika/fleshki/fleshka-in-style-black-usb-30-64-gb-1356164/" , "13561.64 Флешка In Style Black, USB 3.0, 64 Гб")</f>
      </c>
      <c r="C30127" s="4" t="n">
        <v>1090.00</v>
      </c>
      <c r="D30127" s="4"/>
    </row>
    <row collapsed="" customFormat="false" customHeight="1" hidden="" ht="14" outlineLevel="0" r="30128">
      <c r="A30128" s="3" t="inlineStr">
        <is>
          <t>29986</t>
        </is>
      </c>
      <c r="B30128" s="4" t="s">
        <f>=HYPERLINK("http://anyluxury.ru/shop/elektronika/fleshki/fleshka-angle-usb-30-64-gb-1156364/" , "11563.64 Флешка Angle, USB 3.0, 64 Гб")</f>
      </c>
      <c r="C30128" s="4" t="n">
        <v>989.00</v>
      </c>
      <c r="D30128" s="4"/>
    </row>
    <row collapsed="" customFormat="false" customHeight="1" hidden="" ht="14" outlineLevel="0" r="30129">
      <c r="A30129" s="3" t="inlineStr">
        <is>
          <t>29987</t>
        </is>
      </c>
      <c r="B30129" s="4" t="s">
        <f>=HYPERLINK("http://anyluxury.ru/shop/elektronika/fleshki/fleshka-leap-usb-30-32-gb-1156432/" , "11564.32 Флешка Leap, USB 3.0, 32 Гб")</f>
      </c>
      <c r="C30129" s="4" t="n">
        <v>990.00</v>
      </c>
      <c r="D30129" s="4"/>
    </row>
    <row collapsed="" customFormat="false" customHeight="1" hidden="" ht="14" outlineLevel="0" r="30130">
      <c r="A30130" s="3" t="inlineStr">
        <is>
          <t>29988</t>
        </is>
      </c>
      <c r="B30130" s="4" t="s">
        <f>=HYPERLINK("http://anyluxury.ru/shop/elektronika/fleshki/fleshka-gummi-na-zakaz-16-gb-1893001/" , "18930.01 Флешки Gummi на заказ, 16 Гб")</f>
      </c>
      <c r="C30130" s="4" t="n">
        <v>930.00</v>
      </c>
      <c r="D30130" s="4"/>
    </row>
    <row collapsed="" customFormat="false" customHeight="1" hidden="" ht="14" outlineLevel="0" r="30131">
      <c r="A30131" s="3" t="inlineStr">
        <is>
          <t>29989</t>
        </is>
      </c>
      <c r="B30131" s="4" t="s">
        <f>=HYPERLINK("http://anyluxury.ru/shop/elektronika/fleshki/fleshka-gummi-na-zakaz-32-gb-1893002/" , "18930.02 Флешки Gummi на заказ, 32 Гб")</f>
      </c>
      <c r="C30131" s="4" t="n">
        <v>1013.00</v>
      </c>
      <c r="D30131" s="4"/>
    </row>
    <row collapsed="" customFormat="false" customHeight="1" hidden="" ht="14" outlineLevel="0" r="30132">
      <c r="A30132" s="3" t="inlineStr">
        <is>
          <t>29990</t>
        </is>
      </c>
      <c r="B30132" s="4" t="s">
        <f>=HYPERLINK("http://anyluxury.ru/shop/elektronika/fleshki/usb-fleshka-flash-16-gb-serebryaniy-962191080/" , "962191.080 Флешка Flash 16 Gb, серебряная")</f>
      </c>
      <c r="C30132" s="4" t="n">
        <v>935.00</v>
      </c>
      <c r="D30132" s="4"/>
    </row>
    <row collapsed="" customFormat="false" customHeight="1" hidden="" ht="14" outlineLevel="0" r="30133">
      <c r="A30133" s="3" t="inlineStr">
        <is>
          <t>29991</t>
        </is>
      </c>
      <c r="B30133" s="4" t="s">
        <f>=HYPERLINK("http://anyluxury.ru/shop/elektronika/fleshki/usb-fleshka-flash-16gb-serebryaniy-v-podarochnoy-upakovke-962192080/" , "962192.080 Флешка Flash 16 Gb в подарочной упаковке, серебряная")</f>
      </c>
      <c r="C30133" s="4" t="n">
        <v>989.00</v>
      </c>
      <c r="D30133" s="4"/>
    </row>
    <row collapsed="" customFormat="false" customHeight="1" hidden="" ht="14" outlineLevel="0" r="30134">
      <c r="A30134" s="3" t="inlineStr">
        <is>
          <t>29992</t>
        </is>
      </c>
      <c r="B30134" s="4" t="s">
        <f>=HYPERLINK("http://anyluxury.ru/shop/elektronika/fleshki/portativniy-vneshniy-ssd-drop-light-s-podsvetkoy-256-gb-2399916/" , "23999.16 Внешний SSD диск Drop Light, с подсветкой гравировки, 256 Гб")</f>
      </c>
      <c r="C30134" s="4" t="n">
        <v>8290.00</v>
      </c>
      <c r="D30134" s="4"/>
    </row>
    <row collapsed="" customFormat="false" customHeight="1" hidden="" ht="14" outlineLevel="0" r="30135">
      <c r="A30135" s="3" t="inlineStr">
        <is>
          <t>29993</t>
        </is>
      </c>
      <c r="B30135" s="4" t="s">
        <f>=HYPERLINK("http://anyluxury.ru/shop/elektronika/fleshki/portativniy-vneshniy-ssd-drop-light-s-podsvetkoy-512-gb-2399912/" , "23999.12 Внешний SSD диск Drop Light, с подсветкой гравировки, 512 Гб")</f>
      </c>
      <c r="C30135" s="4" t="n">
        <v>13590.00</v>
      </c>
      <c r="D30135" s="4"/>
    </row>
    <row collapsed="" customFormat="false" customHeight="1" hidden="" ht="14" outlineLevel="0" r="30136">
      <c r="A30136" s="3" t="inlineStr">
        <is>
          <t>29994</t>
        </is>
      </c>
      <c r="B30136" s="4" t="s">
        <f>=HYPERLINK("http://anyluxury.ru/shop/elektronika/fleshki/fleshka-gummi-na-zakaz-64-gb-1893003/" , "18930.03 Флешка Gummi на заказ, 64 Гб")</f>
      </c>
      <c r="C30136" s="4" t="n">
        <v>1241.00</v>
      </c>
      <c r="D30136" s="4"/>
    </row>
    <row collapsed="" customFormat="false" customHeight="" hidden="" ht="12.1" outlineLevel="0" r="30137">
      <c r="A30137" s="5" t="inlineStr">
        <is>
          <t> -  - Увлажнители воздуха</t>
        </is>
      </c>
      <c r="B30137" s="6"/>
      <c r="C30137" s="6"/>
      <c r="D30137" s="6"/>
    </row>
    <row collapsed="" customFormat="false" customHeight="1" hidden="" ht="14" outlineLevel="0" r="30138">
      <c r="A30138" s="3" t="inlineStr">
        <is>
          <t>29995</t>
        </is>
      </c>
      <c r="B30138" s="4" t="s">
        <f>=HYPERLINK("http://anyluxury.ru/shop/elektronika/uvlazhniteli-vozdukha/ultrazvukovoy-uvlazhnitel-vozduha-aqua-perfect-cherniy-1196430/" , "11964.30 Ультразвуковой увлажнитель воздуха Aqua Perfect, черный")</f>
      </c>
      <c r="C30138" s="4" t="n">
        <v>9999.00</v>
      </c>
      <c r="D30138" s="4"/>
    </row>
    <row collapsed="" customFormat="false" customHeight="1" hidden="" ht="14" outlineLevel="0" r="30139">
      <c r="A30139" s="3" t="inlineStr">
        <is>
          <t>29996</t>
        </is>
      </c>
      <c r="B30139" s="4" t="s">
        <f>=HYPERLINK("http://anyluxury.ru/shop/elektronika/uvlazhniteli-vozdukha/portativniy-dezinfektorionizator-my-way-beliy-pokritie-glyanec-uv-41920100/" , "41920.100 Портативный дезинфектор-ионизатор My Way, белый")</f>
      </c>
      <c r="C30139" s="4" t="n">
        <v>2120.00</v>
      </c>
      <c r="D30139" s="4"/>
    </row>
    <row collapsed="" customFormat="false" customHeight="1" hidden="" ht="14" outlineLevel="0" r="30140">
      <c r="A30140" s="3" t="inlineStr">
        <is>
          <t>29997</t>
        </is>
      </c>
      <c r="B30140" s="4" t="s">
        <f>=HYPERLINK("http://anyluxury.ru/shop/elektronika/uvlazhniteli-vozdukha/portativniy-dezinfektorionizator-my-way-cherniy-pokritie-soft-touch-41920010/" , "41920.010 Портативный дезинфектор-ионизатор My Way, черный")</f>
      </c>
      <c r="C30140" s="4" t="n">
        <v>2120.00</v>
      </c>
      <c r="D30140" s="4"/>
    </row>
    <row collapsed="" customFormat="false" customHeight="1" hidden="" ht="14" outlineLevel="0" r="30141">
      <c r="A30141" s="3" t="inlineStr">
        <is>
          <t>29998</t>
        </is>
      </c>
      <c r="B30141" s="4" t="s">
        <f>=HYPERLINK("http://anyluxury.ru/shop/elektronika/uvlazhniteli-vozdukha/uvlazhnitelaromatizator-vozduha-s-podsvetkoy-aero-500-ml-beliy-210110100/" , "210110.100 Увлажнитель-ароматизатор воздуха с подсветкой Aero, белый")</f>
      </c>
      <c r="C30141" s="4" t="n">
        <v>2750.00</v>
      </c>
      <c r="D30141" s="4"/>
    </row>
    <row collapsed="" customFormat="false" customHeight="1" hidden="" ht="14" outlineLevel="0" r="30142">
      <c r="A30142" s="3" t="inlineStr">
        <is>
          <t>29999</t>
        </is>
      </c>
      <c r="B30142" s="4" t="s">
        <f>=HYPERLINK("http://anyluxury.ru/shop/elektronika/uvlazhniteli-vozdukha/uvlazhnitel-s-uv-lampoy-antibacterial-istria-1000-ml-beliy-glyanec-210110101/" , "210110.101 Увлажнитель с UV лампой Antibacterial Istria, белый")</f>
      </c>
      <c r="C30142" s="4" t="n">
        <v>4750.00</v>
      </c>
      <c r="D30142" s="4"/>
    </row>
    <row collapsed="" customFormat="false" customHeight="1" hidden="" ht="14" outlineLevel="0" r="30143">
      <c r="A30143" s="3" t="inlineStr">
        <is>
          <t>30000</t>
        </is>
      </c>
      <c r="B30143" s="4" t="s">
        <f>=HYPERLINK("http://anyluxury.ru/shop/elektronika/uvlazhniteli-vozdukha/uvlazhnitel-s-uv-lampoy-antibacterial-istria-ultramarine-1000-ml-siniy-glyanec-210110130/" , "210110.130 Увлажнитель с UV лампой Antibacterial Istria Ultramarine, синий")</f>
      </c>
      <c r="C30143" s="4" t="n">
        <v>4510.00</v>
      </c>
      <c r="D30143" s="4"/>
    </row>
    <row collapsed="" customFormat="false" customHeight="1" hidden="" ht="14" outlineLevel="0" r="30144">
      <c r="A30144" s="3" t="inlineStr">
        <is>
          <t>30001</t>
        </is>
      </c>
      <c r="B30144" s="4" t="s">
        <f>=HYPERLINK("http://anyluxury.ru/shop/elektronika/uvlazhniteli-vozdukha/uvlazhnitel-vozduha-s-podsvetkoy-cloud-180-ml-210110102/" , "210110.102 Увлажнитель воздуха с подсветкой Cloud")</f>
      </c>
      <c r="C30144" s="4" t="n">
        <v>1950.00</v>
      </c>
      <c r="D30144" s="4"/>
    </row>
    <row collapsed="" customFormat="false" customHeight="" hidden="" ht="12.1" outlineLevel="0" r="30145">
      <c r="A30145" s="5" t="inlineStr">
        <is>
          <t>Праздники</t>
        </is>
      </c>
      <c r="B30145" s="6"/>
      <c r="C30145" s="6"/>
      <c r="D30145" s="6"/>
    </row>
    <row collapsed="" customFormat="false" customHeight="1" hidden="" ht="14" outlineLevel="0" r="30146">
      <c r="A30146" s="3" t="inlineStr">
        <is>
          <t>30002</t>
        </is>
      </c>
      <c r="B30146" s="4" t="s">
        <f>=HYPERLINK("http://anyluxury.ru/shop/prazdnik/podarochnyy-nabor-voennaya-khitrost/" , "AB2020053 Подарочный набор 'Военная хитрость'")</f>
      </c>
      <c r="C30146" s="4" t="n">
        <v>759.00</v>
      </c>
      <c r="D30146" s="4"/>
    </row>
    <row collapsed="" customFormat="false" customHeight="1" hidden="" ht="14" outlineLevel="0" r="30147">
      <c r="A30147" s="3" t="inlineStr">
        <is>
          <t>30003</t>
        </is>
      </c>
      <c r="B30147" s="4" t="s">
        <f>=HYPERLINK("http://anyluxury.ru/shop/prazdnik/podarochnyy-nabor-pro-zapas/" , "AB2020054 Подарочный набор 'Про запас'")</f>
      </c>
      <c r="C30147" s="4" t="n">
        <v>627.00</v>
      </c>
      <c r="D30147" s="4"/>
    </row>
    <row collapsed="" customFormat="false" customHeight="1" hidden="" ht="14" outlineLevel="0" r="30148">
      <c r="A30148" s="3" t="inlineStr">
        <is>
          <t>30004</t>
        </is>
      </c>
      <c r="B30148" s="4" t="s">
        <f>=HYPERLINK("http://anyluxury.ru/shop/prazdnik/podarochnyy-nabor-vdokhnovenie-/" , "AB2020064 Подарочный набор 'Вдохновение' ")</f>
      </c>
      <c r="C30148" s="4" t="n">
        <v>3000.00</v>
      </c>
      <c r="D30148" s="4"/>
    </row>
    <row collapsed="" customFormat="false" customHeight="1" hidden="" ht="14" outlineLevel="0" r="30149">
      <c r="A30149" s="3" t="inlineStr">
        <is>
          <t>30005</t>
        </is>
      </c>
      <c r="B30149" s="4" t="s">
        <f>=HYPERLINK("http://anyluxury.ru/shop/prazdnik/podarochnyy-nabor-vzmakh-kryla/" , "AB2020126 Подарочный набор 'Взмах крыла'")</f>
      </c>
      <c r="C30149" s="4" t="n">
        <v>7320.00</v>
      </c>
      <c r="D30149" s="4"/>
    </row>
    <row collapsed="" customFormat="false" customHeight="1" hidden="" ht="14" outlineLevel="0" r="30150">
      <c r="A30150" s="3" t="inlineStr">
        <is>
          <t>30006</t>
        </is>
      </c>
      <c r="B30150" s="4" t="s">
        <f>=HYPERLINK("http://anyluxury.ru/shop/prazdnik/podarochnyy-nabor-sladkaya-zhizn-/" , "AB2020073 Подарочный набор  'Сладкая жизнь' ")</f>
      </c>
      <c r="C30150" s="4" t="n">
        <v>2420.00</v>
      </c>
      <c r="D30150" s="4"/>
    </row>
    <row collapsed="" customFormat="false" customHeight="" hidden="" ht="12.1" outlineLevel="0" r="30151">
      <c r="A30151" s="5" t="inlineStr">
        <is>
          <t> -  - 14 февраля</t>
        </is>
      </c>
      <c r="B30151" s="6"/>
      <c r="C30151" s="6"/>
      <c r="D30151" s="6"/>
    </row>
    <row collapsed="" customFormat="false" customHeight="1" hidden="" ht="14" outlineLevel="0" r="30152">
      <c r="A30152" s="3" t="inlineStr">
        <is>
          <t>30007</t>
        </is>
      </c>
      <c r="B30152" s="4" t="s">
        <f>=HYPERLINK("http://anyluxury.ru/shop/prazdnik/14-fevralya/figurka-balet-z2419/" , "Z2419 Фигурка «Балет»")</f>
      </c>
      <c r="C30152" s="4" t="n">
        <v>790.00</v>
      </c>
      <c r="D30152" s="4"/>
    </row>
    <row collapsed="" customFormat="false" customHeight="1" hidden="" ht="14" outlineLevel="0" r="30153">
      <c r="A30153" s="3" t="inlineStr">
        <is>
          <t>30008</t>
        </is>
      </c>
      <c r="B30153" s="4" t="s">
        <f>=HYPERLINK("http://anyluxury.ru/shop/prazdnik/14-fevralya/peshehodniy-svetootrazhatel-serdce-krasniy-470150/" , "4701.50 Пешеходный светоотражатель «Сердце», красный")</f>
      </c>
      <c r="C30153" s="4" t="n">
        <v>100.00</v>
      </c>
      <c r="D30153" s="4"/>
    </row>
    <row collapsed="" customFormat="false" customHeight="1" hidden="" ht="14" outlineLevel="0" r="30154">
      <c r="A30154" s="3" t="inlineStr">
        <is>
          <t>30009</t>
        </is>
      </c>
      <c r="B30154" s="4" t="s">
        <f>=HYPERLINK("http://anyluxury.ru/shop/prazdnik/14-fevralya/fleshka-klyuch-8-gb-540208/" , "5402.08 Флешка «Ключ», 8 Гб")</f>
      </c>
      <c r="C30154" s="4" t="n">
        <v>449.00</v>
      </c>
      <c r="D30154" s="4"/>
    </row>
    <row collapsed="" customFormat="false" customHeight="1" hidden="" ht="14" outlineLevel="0" r="30155">
      <c r="A30155" s="3" t="inlineStr">
        <is>
          <t>30010</t>
        </is>
      </c>
      <c r="B30155" s="4" t="s">
        <f>=HYPERLINK("http://anyluxury.ru/shop/prazdnik/14-fevralya/fleshka-kapsula-krasnaya-8-gb-556058/" , "5560.58 Флешка «Капсула», красная, 8 Гб")</f>
      </c>
      <c r="C30155" s="4" t="n">
        <v>599.00</v>
      </c>
      <c r="D30155" s="4"/>
    </row>
    <row collapsed="" customFormat="false" customHeight="1" hidden="" ht="14" outlineLevel="0" r="30156">
      <c r="A30156" s="3" t="inlineStr">
        <is>
          <t>30011</t>
        </is>
      </c>
      <c r="B30156" s="4" t="s">
        <f>=HYPERLINK("http://anyluxury.ru/shop/prazdnik/14-fevralya/brelokmedalon-heart-z54057/" , "Z54057 Брелок-медальон Heart")</f>
      </c>
      <c r="C30156" s="4" t="n">
        <v>2394.00</v>
      </c>
      <c r="D30156" s="4"/>
    </row>
    <row collapsed="" customFormat="false" customHeight="1" hidden="" ht="14" outlineLevel="0" r="30157">
      <c r="A30157" s="3" t="inlineStr">
        <is>
          <t>30012</t>
        </is>
      </c>
      <c r="B30157" s="4" t="s">
        <f>=HYPERLINK("http://anyluxury.ru/shop/prazdnik/14-fevralya/dekorativnaya-nadpis-love-is-all-you-need-1023730/" , "10237.30 Декоративная надпись Love Is All You Need")</f>
      </c>
      <c r="C30157" s="4" t="n">
        <v>2500.00</v>
      </c>
      <c r="D30157" s="4"/>
    </row>
    <row collapsed="" customFormat="false" customHeight="1" hidden="" ht="14" outlineLevel="0" r="30158">
      <c r="A30158" s="3" t="inlineStr">
        <is>
          <t>30013</t>
        </is>
      </c>
      <c r="B30158" s="4" t="s">
        <f>=HYPERLINK("http://anyluxury.ru/shop/prazdnik/14-fevralya/futbolka-zhenskaya-ragazza-di-mare-krasnaya-7010950/" , "70109.50 Футболка женская Ragazza di mare, красная, размер S")</f>
      </c>
      <c r="C30158" s="4" t="n">
        <v>615.00</v>
      </c>
      <c r="D30158" s="4"/>
    </row>
    <row collapsed="" customFormat="false" customHeight="1" hidden="" ht="14" outlineLevel="0" r="30159">
      <c r="A30159" s="3" t="inlineStr">
        <is>
          <t>30014</t>
        </is>
      </c>
      <c r="B30159" s="4" t="s">
        <f>=HYPERLINK("http://anyluxury.ru/shop/prazdnik/14-fevralya/futbolka-zhenskaya-lyubov-zla-krasnaya-7062450/" , "70624.50 Футболка женская «Любовь зла», красная, размер S")</f>
      </c>
      <c r="C30159" s="4" t="n">
        <v>754.00</v>
      </c>
      <c r="D30159" s="4"/>
    </row>
    <row collapsed="" customFormat="false" customHeight="1" hidden="" ht="14" outlineLevel="0" r="30160">
      <c r="A30160" s="3" t="inlineStr">
        <is>
          <t>30015</t>
        </is>
      </c>
      <c r="B30160" s="4" t="s">
        <f>=HYPERLINK("http://anyluxury.ru/shop/prazdnik/14-fevralya/futbolka-zhenskaya-lyubov-zla-krasnaya-7062450/" , "70624.50 Футболка женская «Любовь зла», красная, размер M")</f>
      </c>
      <c r="C30160" s="4" t="n">
        <v>754.00</v>
      </c>
      <c r="D30160" s="4"/>
    </row>
    <row collapsed="" customFormat="false" customHeight="1" hidden="" ht="14" outlineLevel="0" r="30161">
      <c r="A30161" s="3" t="inlineStr">
        <is>
          <t>30016</t>
        </is>
      </c>
      <c r="B30161" s="4" t="s">
        <f>=HYPERLINK("http://anyluxury.ru/shop/prazdnik/14-fevralya/futbolka-zhenskaya-lyubov-zla-krasnaya-7062450/" , "70624.50 Футболка женская «Любовь зла», красная, размер L")</f>
      </c>
      <c r="C30161" s="4" t="n">
        <v>754.00</v>
      </c>
      <c r="D30161" s="4"/>
    </row>
    <row collapsed="" customFormat="false" customHeight="1" hidden="" ht="14" outlineLevel="0" r="30162">
      <c r="A30162" s="3" t="inlineStr">
        <is>
          <t>30017</t>
        </is>
      </c>
      <c r="B30162" s="4" t="s">
        <f>=HYPERLINK("http://anyluxury.ru/shop/prazdnik/14-fevralya/futbolka-zhenskaya-lyubov-zla-krasnaya-7062450/" , "70624.50 Футболка женская «Любовь зла», красная, размер XL")</f>
      </c>
      <c r="C30162" s="4" t="n">
        <v>754.00</v>
      </c>
      <c r="D30162" s="4"/>
    </row>
    <row collapsed="" customFormat="false" customHeight="1" hidden="" ht="14" outlineLevel="0" r="30163">
      <c r="A30163" s="3" t="inlineStr">
        <is>
          <t>30018</t>
        </is>
      </c>
      <c r="B30163" s="4" t="s">
        <f>=HYPERLINK("http://anyluxury.ru/shop/prazdnik/14-fevralya/futbolka-zhenskaya-vechnie-cennosti-lyubov-belaya-7062501/" , "70625.01 Футболка женская «Вечные ценности. Любовь», белая, размер S")</f>
      </c>
      <c r="C30163" s="4" t="n">
        <v>626.00</v>
      </c>
      <c r="D30163" s="4"/>
    </row>
    <row collapsed="" customFormat="false" customHeight="1" hidden="" ht="14" outlineLevel="0" r="30164">
      <c r="A30164" s="3" t="inlineStr">
        <is>
          <t>30019</t>
        </is>
      </c>
      <c r="B30164" s="4" t="s">
        <f>=HYPERLINK("http://anyluxury.ru/shop/prazdnik/14-fevralya/futbolka-zhenskaya-vechnie-cennosti-lyubov-belaya-7062501/" , "70625.01 Футболка женская «Вечные ценности. Любовь», белая, размер XL")</f>
      </c>
      <c r="C30164" s="4" t="n">
        <v>625.00</v>
      </c>
      <c r="D30164" s="4"/>
    </row>
    <row collapsed="" customFormat="false" customHeight="1" hidden="" ht="14" outlineLevel="0" r="30165">
      <c r="A30165" s="3" t="inlineStr">
        <is>
          <t>30020</t>
        </is>
      </c>
      <c r="B30165" s="4" t="s">
        <f>=HYPERLINK("http://anyluxury.ru/shop/prazdnik/14-fevralya/futbolka-zhenskaya-lyubov-zla-belaya-7062360/" , "70623.60 Футболка женская «Любовь зла», белая, размер S")</f>
      </c>
      <c r="C30165" s="4" t="n">
        <v>627.00</v>
      </c>
      <c r="D30165" s="4"/>
    </row>
    <row collapsed="" customFormat="false" customHeight="1" hidden="" ht="14" outlineLevel="0" r="30166">
      <c r="A30166" s="3" t="inlineStr">
        <is>
          <t>30021</t>
        </is>
      </c>
      <c r="B30166" s="4" t="s">
        <f>=HYPERLINK("http://anyluxury.ru/shop/prazdnik/14-fevralya/futbolka-zhenskaya-lyubov-zla-belaya-7062360/" , "70623.60 Футболка женская «Любовь зла», белая, размер L")</f>
      </c>
      <c r="C30166" s="4" t="n">
        <v>627.00</v>
      </c>
      <c r="D30166" s="4"/>
    </row>
    <row collapsed="" customFormat="false" customHeight="1" hidden="" ht="14" outlineLevel="0" r="30167">
      <c r="A30167" s="3" t="inlineStr">
        <is>
          <t>30022</t>
        </is>
      </c>
      <c r="B30167" s="4" t="s">
        <f>=HYPERLINK("http://anyluxury.ru/shop/prazdnik/14-fevralya/holshhovaya-sumka-lyubov-zla-krasnaya-7072350/" , "70723.50 Холщовая сумка «Любовь зла», красная")</f>
      </c>
      <c r="C30167" s="4" t="n">
        <v>551.00</v>
      </c>
      <c r="D30167" s="4"/>
    </row>
    <row collapsed="" customFormat="false" customHeight="1" hidden="" ht="14" outlineLevel="0" r="30168">
      <c r="A30168" s="3" t="inlineStr">
        <is>
          <t>30023</t>
        </is>
      </c>
      <c r="B30168" s="4" t="s">
        <f>=HYPERLINK("http://anyluxury.ru/shop/prazdnik/14-fevralya/futbolka-zhenskaya-ghost-of-love-chernaya-7037730/" , "70377.30 Футболка женская Ghost of Love, черная, размер S")</f>
      </c>
      <c r="C30168" s="4" t="n">
        <v>657.00</v>
      </c>
      <c r="D30168" s="4"/>
    </row>
    <row collapsed="" customFormat="false" customHeight="1" hidden="" ht="14" outlineLevel="0" r="30169">
      <c r="A30169" s="3" t="inlineStr">
        <is>
          <t>30024</t>
        </is>
      </c>
      <c r="B30169" s="4" t="s">
        <f>=HYPERLINK("http://anyluxury.ru/shop/prazdnik/14-fevralya/futbolka-zhenskaya-carmen-and-carwoman-krasnaya-7041050/" , "70410.50 Футболка женская Carmen and Carwoman, красная, размер S")</f>
      </c>
      <c r="C30169" s="4" t="n">
        <v>754.00</v>
      </c>
      <c r="D30169" s="4"/>
    </row>
    <row collapsed="" customFormat="false" customHeight="1" hidden="" ht="14" outlineLevel="0" r="30170">
      <c r="A30170" s="3" t="inlineStr">
        <is>
          <t>30025</t>
        </is>
      </c>
      <c r="B30170" s="4" t="s">
        <f>=HYPERLINK("http://anyluxury.ru/shop/prazdnik/14-fevralya/futbolka-zhenskaya-carmen-and-carwoman-krasnaya-7041050/" , "70410.50 Футболка женская Carmen and Carwoman, красная, размер M")</f>
      </c>
      <c r="C30170" s="4" t="n">
        <v>754.00</v>
      </c>
      <c r="D30170" s="4"/>
    </row>
    <row collapsed="" customFormat="false" customHeight="1" hidden="" ht="14" outlineLevel="0" r="30171">
      <c r="A30171" s="3" t="inlineStr">
        <is>
          <t>30026</t>
        </is>
      </c>
      <c r="B30171" s="4" t="s">
        <f>=HYPERLINK("http://anyluxury.ru/shop/prazdnik/14-fevralya/futbolka-zhenskaya-carmen-and-carwoman-krasnaya-7041050/" , "70410.50 Футболка женская Carmen and Carwoman, красная, размер L")</f>
      </c>
      <c r="C30171" s="4" t="n">
        <v>754.00</v>
      </c>
      <c r="D30171" s="4"/>
    </row>
    <row collapsed="" customFormat="false" customHeight="1" hidden="" ht="14" outlineLevel="0" r="30172">
      <c r="A30172" s="3" t="inlineStr">
        <is>
          <t>30027</t>
        </is>
      </c>
      <c r="B30172" s="4" t="s">
        <f>=HYPERLINK("http://anyluxury.ru/shop/prazdnik/14-fevralya/futbolka-zhenskaya-carmen-and-carwoman-krasnaya-7041050/" , "70410.50 Футболка женская Carmen and Carwoman, красная, размер XL")</f>
      </c>
      <c r="C30172" s="4" t="n">
        <v>754.00</v>
      </c>
      <c r="D30172" s="4"/>
    </row>
    <row collapsed="" customFormat="false" customHeight="1" hidden="" ht="14" outlineLevel="0" r="30173">
      <c r="A30173" s="3" t="inlineStr">
        <is>
          <t>30028</t>
        </is>
      </c>
      <c r="B30173" s="4" t="s">
        <f>=HYPERLINK("http://anyluxury.ru/shop/prazdnik/14-fevralya/futbolka-nezhen-cherniy-melanzh-7064712/" , "70647.12 Футболка «Нежен», черный меланж, размер S")</f>
      </c>
      <c r="C30173" s="4" t="n">
        <v>732.00</v>
      </c>
      <c r="D30173" s="4"/>
    </row>
    <row collapsed="" customFormat="false" customHeight="1" hidden="" ht="14" outlineLevel="0" r="30174">
      <c r="A30174" s="3" t="inlineStr">
        <is>
          <t>30029</t>
        </is>
      </c>
      <c r="B30174" s="4" t="s">
        <f>=HYPERLINK("http://anyluxury.ru/shop/prazdnik/14-fevralya/futbolka-nezhen-cherniy-melanzh-7064712/" , "70647.12 Футболка «Нежен», черный меланж, размер M")</f>
      </c>
      <c r="C30174" s="4" t="n">
        <v>732.00</v>
      </c>
      <c r="D30174" s="4"/>
    </row>
    <row collapsed="" customFormat="false" customHeight="1" hidden="" ht="14" outlineLevel="0" r="30175">
      <c r="A30175" s="3" t="inlineStr">
        <is>
          <t>30030</t>
        </is>
      </c>
      <c r="B30175" s="4" t="s">
        <f>=HYPERLINK("http://anyluxury.ru/shop/prazdnik/14-fevralya/futbolka-nezhen-cherniy-melanzh-7064712/" , "70647.12 Футболка «Нежен», черный меланж, размер L")</f>
      </c>
      <c r="C30175" s="4" t="n">
        <v>732.00</v>
      </c>
      <c r="D30175" s="4"/>
    </row>
    <row collapsed="" customFormat="false" customHeight="1" hidden="" ht="14" outlineLevel="0" r="30176">
      <c r="A30176" s="3" t="inlineStr">
        <is>
          <t>30031</t>
        </is>
      </c>
      <c r="B30176" s="4" t="s">
        <f>=HYPERLINK("http://anyluxury.ru/shop/prazdnik/14-fevralya/futbolka-nezhen-cherniy-melanzh-7064712/" , "70647.12 Футболка «Нежен», черный меланж, размер XXL")</f>
      </c>
      <c r="C30176" s="4" t="n">
        <v>732.00</v>
      </c>
      <c r="D30176" s="4"/>
    </row>
    <row collapsed="" customFormat="false" customHeight="1" hidden="" ht="14" outlineLevel="0" r="30177">
      <c r="A30177" s="3" t="inlineStr">
        <is>
          <t>30032</t>
        </is>
      </c>
      <c r="B30177" s="4" t="s">
        <f>=HYPERLINK("http://anyluxury.ru/shop/prazdnik/14-fevralya/dozhdevikplashh-brightway-krasniy-1187550/" , "11875.50 Дождевик-плащ BrightWay, красный")</f>
      </c>
      <c r="C30177" s="4" t="n">
        <v>230.00</v>
      </c>
      <c r="D30177" s="4"/>
    </row>
    <row collapsed="" customFormat="false" customHeight="1" hidden="" ht="14" outlineLevel="0" r="30178">
      <c r="A30178" s="3" t="inlineStr">
        <is>
          <t>30033</t>
        </is>
      </c>
      <c r="B30178" s="4" t="s">
        <f>=HYPERLINK("http://anyluxury.ru/shop/prazdnik/14-fevralya/futbolka-zhenskaya-pixel-heart-krasnaya-7086350/" , "70863.50 Футболка женская Pixel Heart, красная, размер S")</f>
      </c>
      <c r="C30178" s="4" t="n">
        <v>773.00</v>
      </c>
      <c r="D30178" s="4"/>
    </row>
    <row collapsed="" customFormat="false" customHeight="1" hidden="" ht="14" outlineLevel="0" r="30179">
      <c r="A30179" s="3" t="inlineStr">
        <is>
          <t>30034</t>
        </is>
      </c>
      <c r="B30179" s="4" t="s">
        <f>=HYPERLINK("http://anyluxury.ru/shop/prazdnik/14-fevralya/futbolka-zhenskaya-pixel-heart-krasnaya-7086350/" , "70863.50 Футболка женская Pixel Heart, красная, размер M")</f>
      </c>
      <c r="C30179" s="4" t="n">
        <v>773.00</v>
      </c>
      <c r="D30179" s="4"/>
    </row>
    <row collapsed="" customFormat="false" customHeight="1" hidden="" ht="14" outlineLevel="0" r="30180">
      <c r="A30180" s="3" t="inlineStr">
        <is>
          <t>30035</t>
        </is>
      </c>
      <c r="B30180" s="4" t="s">
        <f>=HYPERLINK("http://anyluxury.ru/shop/prazdnik/14-fevralya/futbolka-zhenskaya-pixel-heart-krasnaya-7086350/" , "70863.50 Футболка женская Pixel Heart, красная, размер L")</f>
      </c>
      <c r="C30180" s="4" t="n">
        <v>773.00</v>
      </c>
      <c r="D30180" s="4"/>
    </row>
    <row collapsed="" customFormat="false" customHeight="1" hidden="" ht="14" outlineLevel="0" r="30181">
      <c r="A30181" s="3" t="inlineStr">
        <is>
          <t>30036</t>
        </is>
      </c>
      <c r="B30181" s="4" t="s">
        <f>=HYPERLINK("http://anyluxury.ru/shop/prazdnik/14-fevralya/futbolka-zhenskaya-pixel-heart-krasnaya-7086350/" , "70863.50 Футболка женская Pixel Heart, красная, размер XL")</f>
      </c>
      <c r="C30181" s="4" t="n">
        <v>773.00</v>
      </c>
      <c r="D30181" s="4"/>
    </row>
    <row collapsed="" customFormat="false" customHeight="1" hidden="" ht="14" outlineLevel="0" r="30182">
      <c r="A30182" s="3" t="inlineStr">
        <is>
          <t>30037</t>
        </is>
      </c>
      <c r="B30182" s="4" t="s">
        <f>=HYPERLINK("http://anyluxury.ru/shop/prazdnik/14-fevralya/termostakan-prism-krasniy-1239550/" , "12395.50 Термостакан Prism, красный")</f>
      </c>
      <c r="C30182" s="4" t="n">
        <v>586.00</v>
      </c>
      <c r="D30182" s="4"/>
    </row>
    <row collapsed="" customFormat="false" customHeight="1" hidden="" ht="14" outlineLevel="0" r="30183">
      <c r="A30183" s="3" t="inlineStr">
        <is>
          <t>30038</t>
        </is>
      </c>
      <c r="B30183" s="4" t="s">
        <f>=HYPERLINK("http://anyluxury.ru/shop/prazdnik/14-fevralya/holshhovaya-sumka-lyubov-zla-molochnobelaya-7072361/" , "70723.61 Холщовая сумка «Любовь зла», молочно-белая")</f>
      </c>
      <c r="C30183" s="4" t="n">
        <v>493.00</v>
      </c>
      <c r="D30183" s="4"/>
    </row>
    <row collapsed="" customFormat="false" customHeight="1" hidden="" ht="14" outlineLevel="0" r="30184">
      <c r="A30184" s="3" t="inlineStr">
        <is>
          <t>30039</t>
        </is>
      </c>
      <c r="B30184" s="4" t="s">
        <f>=HYPERLINK("http://anyluxury.ru/shop/prazdnik/14-fevralya/dozhdevik-v-futlyare-trifle-krasniy-1456750/" , "14567.50 Дождевик в футляре Trifle, красный")</f>
      </c>
      <c r="C30184" s="4" t="n">
        <v>132.00</v>
      </c>
      <c r="D30184" s="4"/>
    </row>
    <row collapsed="" customFormat="false" customHeight="1" hidden="" ht="14" outlineLevel="0" r="30185">
      <c r="A30185" s="3" t="inlineStr">
        <is>
          <t>30040</t>
        </is>
      </c>
      <c r="B30185" s="4" t="s">
        <f>=HYPERLINK("http://anyluxury.ru/shop/prazdnik/14-fevralya/kruzhka-forma-linea-krasnaya-1775750/" , "17757.50 Кружка Forma Linea, красная")</f>
      </c>
      <c r="C30185" s="4" t="n">
        <v>431.00</v>
      </c>
      <c r="D30185" s="4"/>
    </row>
    <row collapsed="" customFormat="false" customHeight="1" hidden="" ht="14" outlineLevel="0" r="30186">
      <c r="A30186" s="3" t="inlineStr">
        <is>
          <t>30041</t>
        </is>
      </c>
      <c r="B30186" s="4" t="s">
        <f>=HYPERLINK("http://anyluxury.ru/shop/prazdnik/14-fevralya/zerkalo-lovepaw-kvadratnoe-7161061/" , "71610.61 Зеркало Lovepaw, квадратное")</f>
      </c>
      <c r="C30186" s="4" t="n">
        <v>390.00</v>
      </c>
      <c r="D30186" s="4"/>
    </row>
    <row collapsed="" customFormat="false" customHeight="" hidden="" ht="12.1" outlineLevel="0" r="30187">
      <c r="A30187" s="5" t="inlineStr">
        <is>
          <t> -  - 23 февраля</t>
        </is>
      </c>
      <c r="B30187" s="6"/>
      <c r="C30187" s="6"/>
      <c r="D30187" s="6"/>
    </row>
    <row collapsed="" customFormat="false" customHeight="1" hidden="" ht="14" outlineLevel="0" r="30188">
      <c r="A30188" s="3" t="inlineStr">
        <is>
          <t>30042</t>
        </is>
      </c>
      <c r="B30188" s="4" t="s">
        <f>=HYPERLINK("http://anyluxury.ru/shop/prazdnik/23-fevralya/skladnoy-zont-palermo-temnosiniy-5131/" , "5131 Складной зонт Palermo, темно-синий")</f>
      </c>
      <c r="C30188" s="4" t="n">
        <v>3686.00</v>
      </c>
      <c r="D30188" s="4"/>
    </row>
    <row collapsed="" customFormat="false" customHeight="1" hidden="" ht="14" outlineLevel="0" r="30189">
      <c r="A30189" s="3" t="inlineStr">
        <is>
          <t>30043</t>
        </is>
      </c>
      <c r="B30189" s="4" t="s">
        <f>=HYPERLINK("http://anyluxury.ru/shop/prazdnik/23-fevralya/chashka-s-dvoynimi-stenkami-glass-first-5674/" , "5674 Чашка с двойными стенками Glass First")</f>
      </c>
      <c r="C30189" s="4" t="n">
        <v>990.00</v>
      </c>
      <c r="D30189" s="4"/>
    </row>
    <row collapsed="" customFormat="false" customHeight="1" hidden="" ht="14" outlineLevel="0" r="30190">
      <c r="A30190" s="3" t="inlineStr">
        <is>
          <t>30044</t>
        </is>
      </c>
      <c r="B30190" s="4" t="s">
        <f>=HYPERLINK("http://anyluxury.ru/shop/prazdnik/23-fevralya/banniy-nabor-partisan-10223/" , "10223 Банный набор Partisan")</f>
      </c>
      <c r="C30190" s="4" t="n">
        <v>616.00</v>
      </c>
      <c r="D30190" s="4"/>
    </row>
    <row collapsed="" customFormat="false" customHeight="1" hidden="" ht="14" outlineLevel="0" r="30191">
      <c r="A30191" s="3" t="inlineStr">
        <is>
          <t>30045</t>
        </is>
      </c>
      <c r="B30191" s="4" t="s">
        <f>=HYPERLINK("http://anyluxury.ru/shop/prazdnik/23-fevralya/pled-ketcalkoatl-70703/" , "70703 Плед «Кетцалькоатль»")</f>
      </c>
      <c r="C30191" s="4" t="n">
        <v>2243.00</v>
      </c>
      <c r="D30191" s="4"/>
    </row>
    <row collapsed="" customFormat="false" customHeight="1" hidden="" ht="14" outlineLevel="0" r="30192">
      <c r="A30192" s="3" t="inlineStr">
        <is>
          <t>30046</t>
        </is>
      </c>
      <c r="B30192" s="4" t="s">
        <f>=HYPERLINK("http://anyluxury.ru/shop/prazdnik/23-fevralya/tolstovka-s-kapyushonom-uniseks-king-haki-wu02k555/" , "WU02K555 Толстовка с капюшоном унисекс King, хаки, размер XS")</f>
      </c>
      <c r="C30192" s="4" t="n">
        <v>3900.00</v>
      </c>
      <c r="D30192" s="4"/>
    </row>
    <row collapsed="" customFormat="false" customHeight="1" hidden="" ht="14" outlineLevel="0" r="30193">
      <c r="A30193" s="3" t="inlineStr">
        <is>
          <t>30047</t>
        </is>
      </c>
      <c r="B30193" s="4" t="s">
        <f>=HYPERLINK("http://anyluxury.ru/shop/prazdnik/23-fevralya/tolstovka-s-kapyushonom-uniseks-king-haki-wu02k555/" , "WU02K555 Толстовка с капюшоном унисекс King, хаки, размер S")</f>
      </c>
      <c r="C30193" s="4" t="n">
        <v>3900.00</v>
      </c>
      <c r="D30193" s="4"/>
    </row>
    <row collapsed="" customFormat="false" customHeight="1" hidden="" ht="14" outlineLevel="0" r="30194">
      <c r="A30194" s="3" t="inlineStr">
        <is>
          <t>30048</t>
        </is>
      </c>
      <c r="B30194" s="4" t="s">
        <f>=HYPERLINK("http://anyluxury.ru/shop/prazdnik/23-fevralya/tolstovka-s-kapyushonom-uniseks-king-haki-wu02k555/" , "WU02K555 Толстовка с капюшоном унисекс King, хаки, размер M")</f>
      </c>
      <c r="C30194" s="4" t="n">
        <v>3900.00</v>
      </c>
      <c r="D30194" s="4"/>
    </row>
    <row collapsed="" customFormat="false" customHeight="1" hidden="" ht="14" outlineLevel="0" r="30195">
      <c r="A30195" s="3" t="inlineStr">
        <is>
          <t>30049</t>
        </is>
      </c>
      <c r="B30195" s="4" t="s">
        <f>=HYPERLINK("http://anyluxury.ru/shop/prazdnik/23-fevralya/tolstovka-s-kapyushonom-uniseks-king-haki-wu02k555/" , "WU02K555 Толстовка с капюшоном унисекс King, хаки, размер L")</f>
      </c>
      <c r="C30195" s="4" t="n">
        <v>3900.00</v>
      </c>
      <c r="D30195" s="4"/>
    </row>
    <row collapsed="" customFormat="false" customHeight="1" hidden="" ht="14" outlineLevel="0" r="30196">
      <c r="A30196" s="3" t="inlineStr">
        <is>
          <t>30050</t>
        </is>
      </c>
      <c r="B30196" s="4" t="s">
        <f>=HYPERLINK("http://anyluxury.ru/shop/prazdnik/23-fevralya/tolstovka-s-kapyushonom-uniseks-king-haki-wu02k555/" , "WU02K555 Толстовка с капюшоном унисекс King, хаки, размер XL")</f>
      </c>
      <c r="C30196" s="4" t="n">
        <v>3900.00</v>
      </c>
      <c r="D30196" s="4"/>
    </row>
    <row collapsed="" customFormat="false" customHeight="1" hidden="" ht="14" outlineLevel="0" r="30197">
      <c r="A30197" s="3" t="inlineStr">
        <is>
          <t>30051</t>
        </is>
      </c>
      <c r="B30197" s="4" t="s">
        <f>=HYPERLINK("http://anyluxury.ru/shop/prazdnik/23-fevralya/tolstovka-s-kapyushonom-uniseks-king-haki-wu02k555/" , "WU02K555 Толстовка с капюшоном унисекс King, хаки, размер XXL")</f>
      </c>
      <c r="C30197" s="4" t="n">
        <v>3900.00</v>
      </c>
      <c r="D30197" s="4"/>
    </row>
    <row collapsed="" customFormat="false" customHeight="1" hidden="" ht="14" outlineLevel="0" r="30198">
      <c r="A30198" s="3" t="inlineStr">
        <is>
          <t>30052</t>
        </is>
      </c>
      <c r="B30198" s="4" t="s">
        <f>=HYPERLINK("http://anyluxury.ru/shop/prazdnik/23-fevralya/tolstovka-s-kapyushonom-uniseks-king-haki-wu02k555/" , "WU02K555 Толстовка с капюшоном унисекс King, хаки, размер 3XL")</f>
      </c>
      <c r="C30198" s="4" t="n">
        <v>3900.00</v>
      </c>
      <c r="D30198" s="4"/>
    </row>
    <row collapsed="" customFormat="false" customHeight="1" hidden="" ht="14" outlineLevel="0" r="30199">
      <c r="A30199" s="3" t="inlineStr">
        <is>
          <t>30053</t>
        </is>
      </c>
      <c r="B30199" s="4" t="s">
        <f>=HYPERLINK("http://anyluxury.ru/shop/prazdnik/23-fevralya/uvlazhnitel-vozduha-aircan-beliy-1218860/" , "12188.60 Увлажнитель воздуха с вентилятором и лампой airCan, белый")</f>
      </c>
      <c r="C30199" s="4" t="n">
        <v>1590.00</v>
      </c>
      <c r="D30199" s="4"/>
    </row>
    <row collapsed="" customFormat="false" customHeight="1" hidden="" ht="14" outlineLevel="0" r="30200">
      <c r="A30200" s="3" t="inlineStr">
        <is>
          <t>30054</t>
        </is>
      </c>
      <c r="B30200" s="4" t="s">
        <f>=HYPERLINK("http://anyluxury.ru/shop/prazdnik/23-fevralya/kniga-myaso-na-lyuboy-vkus-i-appetit-7800701/" , "78007.01 Книга «Мясо. На любой вкус и аппетит»")</f>
      </c>
      <c r="C30200" s="4" t="n">
        <v>791.00</v>
      </c>
      <c r="D30200" s="4"/>
    </row>
    <row collapsed="" customFormat="false" customHeight="1" hidden="" ht="14" outlineLevel="0" r="30201">
      <c r="A30201" s="3" t="inlineStr">
        <is>
          <t>30055</t>
        </is>
      </c>
      <c r="B30201" s="4" t="s">
        <f>=HYPERLINK("http://anyluxury.ru/shop/prazdnik/23-fevralya/kataliticheskaya-grelka-dlya-ruk-zippo-chernaya-1290430/" , "12904.30 Каталитическая грелка для рук Zippo, черная")</f>
      </c>
      <c r="C30201" s="4" t="n">
        <v>4140.00</v>
      </c>
      <c r="D30201" s="4"/>
    </row>
    <row collapsed="" customFormat="false" customHeight="1" hidden="" ht="14" outlineLevel="0" r="30202">
      <c r="A30202" s="3" t="inlineStr">
        <is>
          <t>30056</t>
        </is>
      </c>
      <c r="B30202" s="4" t="s">
        <f>=HYPERLINK("http://anyluxury.ru/shop/prazdnik/23-fevralya/kataliticheskaya-grelka-dlya-ruk-zippo-oranzhevaya-1290420/" , "12904.20 Каталитическая грелка для рук Zippo, оранжевая")</f>
      </c>
      <c r="C30202" s="4" t="n">
        <v>3310.00</v>
      </c>
      <c r="D30202" s="4"/>
    </row>
    <row collapsed="" customFormat="false" customHeight="1" hidden="" ht="14" outlineLevel="0" r="30203">
      <c r="A30203" s="3" t="inlineStr">
        <is>
          <t>30057</t>
        </is>
      </c>
      <c r="B30203" s="4" t="s">
        <f>=HYPERLINK("http://anyluxury.ru/shop/prazdnik/23-fevralya/kataliticheskaya-grelka-dlya-ruk-zippo-serebristaya-1290411/" , "12904.11 Каталитическая грелка для рук Zippo, серебристая")</f>
      </c>
      <c r="C30203" s="4" t="n">
        <v>4140.00</v>
      </c>
      <c r="D30203" s="4"/>
    </row>
    <row collapsed="" customFormat="false" customHeight="1" hidden="" ht="14" outlineLevel="0" r="30204">
      <c r="A30204" s="3" t="inlineStr">
        <is>
          <t>30058</t>
        </is>
      </c>
      <c r="B30204" s="4" t="s">
        <f>=HYPERLINK("http://anyluxury.ru/shop/prazdnik/23-fevralya/vneshniy-akkumulyator-easy-trick-comfort-4000-mach-cherniy-1999930/" , "19999.30 Внешний аккумулятор Easy Trick Comfort 4000 мАч, черный")</f>
      </c>
      <c r="C30204" s="4" t="n">
        <v>959.00</v>
      </c>
      <c r="D30204" s="4"/>
    </row>
    <row collapsed="" customFormat="false" customHeight="1" hidden="" ht="14" outlineLevel="0" r="30205">
      <c r="A30205" s="3" t="inlineStr">
        <is>
          <t>30059</t>
        </is>
      </c>
      <c r="B30205" s="4" t="s">
        <f>=HYPERLINK("http://anyluxury.ru/shop/prazdnik/23-fevralya/vneshniy-akkumulyator-easy-trick-comfort-4000mach-siniy-1999940/" , "19999.40 Внешний аккумулятор Easy Trick Comfort 4000мАч, синий")</f>
      </c>
      <c r="C30205" s="4" t="n">
        <v>959.00</v>
      </c>
      <c r="D30205" s="4"/>
    </row>
    <row collapsed="" customFormat="false" customHeight="1" hidden="" ht="14" outlineLevel="0" r="30206">
      <c r="A30206" s="3" t="inlineStr">
        <is>
          <t>30060</t>
        </is>
      </c>
      <c r="B30206" s="4" t="s">
        <f>=HYPERLINK("http://anyluxury.ru/shop/prazdnik/23-fevralya/vneshniy-akkumulyator-easy-trick-comfort-4000-mach-krasniy-1999950/" , "19999.50 Внешний аккумулятор Easy Trick Comfort 4000 мАч, красный")</f>
      </c>
      <c r="C30206" s="4" t="n">
        <v>959.00</v>
      </c>
      <c r="D30206" s="4"/>
    </row>
    <row collapsed="" customFormat="false" customHeight="1" hidden="" ht="14" outlineLevel="0" r="30207">
      <c r="A30207" s="3" t="inlineStr">
        <is>
          <t>30061</t>
        </is>
      </c>
      <c r="B30207" s="4" t="s">
        <f>=HYPERLINK("http://anyluxury.ru/shop/prazdnik/23-fevralya/vneshniy-akkumulyator-easy-trick-comfort-4000-mach-beliy-1999960/" , "19999.60 Внешний аккумулятор Easy Trick Comfort 4000 мАч, белый")</f>
      </c>
      <c r="C30207" s="4" t="n">
        <v>959.00</v>
      </c>
      <c r="D30207" s="4"/>
    </row>
    <row collapsed="" customFormat="false" customHeight="1" hidden="" ht="14" outlineLevel="0" r="30208">
      <c r="A30208" s="3" t="inlineStr">
        <is>
          <t>30062</t>
        </is>
      </c>
      <c r="B30208" s="4" t="s">
        <f>=HYPERLINK("http://anyluxury.ru/shop/prazdnik/23-fevralya/portmone-kalsa-palermo-sinee-15266/" , "15266 Портмоне Kalsa Palermo, синее")</f>
      </c>
      <c r="C30208" s="4" t="n">
        <v>6055.00</v>
      </c>
      <c r="D30208" s="4"/>
    </row>
    <row collapsed="" customFormat="false" customHeight="1" hidden="" ht="14" outlineLevel="0" r="30209">
      <c r="A30209" s="3" t="inlineStr">
        <is>
          <t>30063</t>
        </is>
      </c>
      <c r="B30209" s="4" t="s">
        <f>=HYPERLINK("http://anyluxury.ru/shop/prazdnik/23-fevralya/futbolka-hard-work-pocket-seriy-melanzh-7700713/" , "77007.13 Футболка Hard Work Pocket, серый меланж, размер S")</f>
      </c>
      <c r="C30209" s="4" t="n">
        <v>1140.00</v>
      </c>
      <c r="D30209" s="4"/>
    </row>
    <row collapsed="" customFormat="false" customHeight="1" hidden="" ht="14" outlineLevel="0" r="30210">
      <c r="A30210" s="3" t="inlineStr">
        <is>
          <t>30064</t>
        </is>
      </c>
      <c r="B30210" s="4" t="s">
        <f>=HYPERLINK("http://anyluxury.ru/shop/prazdnik/23-fevralya/futbolka-hard-work-pocket-seriy-melanzh-7700713/" , "77007.13 Футболка Hard Work Pocket, серый меланж, размер M")</f>
      </c>
      <c r="C30210" s="4" t="n">
        <v>1140.00</v>
      </c>
      <c r="D30210" s="4"/>
    </row>
    <row collapsed="" customFormat="false" customHeight="1" hidden="" ht="14" outlineLevel="0" r="30211">
      <c r="A30211" s="3" t="inlineStr">
        <is>
          <t>30065</t>
        </is>
      </c>
      <c r="B30211" s="4" t="s">
        <f>=HYPERLINK("http://anyluxury.ru/shop/prazdnik/23-fevralya/futbolka-hard-work-pocket-seriy-melanzh-7700713/" , "77007.13 Футболка Hard Work Pocket, серый меланж, размер L")</f>
      </c>
      <c r="C30211" s="4" t="n">
        <v>1140.00</v>
      </c>
      <c r="D30211" s="4"/>
    </row>
    <row collapsed="" customFormat="false" customHeight="1" hidden="" ht="14" outlineLevel="0" r="30212">
      <c r="A30212" s="3" t="inlineStr">
        <is>
          <t>30066</t>
        </is>
      </c>
      <c r="B30212" s="4" t="s">
        <f>=HYPERLINK("http://anyluxury.ru/shop/prazdnik/23-fevralya/futbolka-hard-work-pocket-seriy-melanzh-7700713/" , "77007.13 Футболка Hard Work Pocket, серый меланж, размер XL")</f>
      </c>
      <c r="C30212" s="4" t="n">
        <v>1140.00</v>
      </c>
      <c r="D30212" s="4"/>
    </row>
    <row collapsed="" customFormat="false" customHeight="1" hidden="" ht="14" outlineLevel="0" r="30213">
      <c r="A30213" s="3" t="inlineStr">
        <is>
          <t>30067</t>
        </is>
      </c>
      <c r="B30213" s="4" t="s">
        <f>=HYPERLINK("http://anyluxury.ru/shop/prazdnik/23-fevralya/futbolka-hard-work-pocket-seriy-melanzh-7700713/" , "77007.13 Футболка Hard Work Pocket, серый меланж, размер XXL")</f>
      </c>
      <c r="C30213" s="4" t="n">
        <v>1140.00</v>
      </c>
      <c r="D30213" s="4"/>
    </row>
    <row collapsed="" customFormat="false" customHeight="1" hidden="" ht="14" outlineLevel="0" r="30214">
      <c r="A30214" s="3" t="inlineStr">
        <is>
          <t>30068</t>
        </is>
      </c>
      <c r="B30214" s="4" t="s">
        <f>=HYPERLINK("http://anyluxury.ru/shop/prazdnik/23-fevralya/termostakan-goodtight-480-cherniy-1330830/" , "13308.30 Термостакан goodTight 480, черный")</f>
      </c>
      <c r="C30214" s="4" t="n">
        <v>1983.00</v>
      </c>
      <c r="D30214" s="4"/>
    </row>
    <row collapsed="" customFormat="false" customHeight="1" hidden="" ht="14" outlineLevel="0" r="30215">
      <c r="A30215" s="3" t="inlineStr">
        <is>
          <t>30069</t>
        </is>
      </c>
      <c r="B30215" s="4" t="s">
        <f>=HYPERLINK("http://anyluxury.ru/shop/prazdnik/23-fevralya/nabor-whisky-style-ver2-663302/" , "6633.02 Набор Whisky Style")</f>
      </c>
      <c r="C30215" s="4" t="n">
        <v>2747.00</v>
      </c>
      <c r="D30215" s="4"/>
    </row>
    <row collapsed="" customFormat="false" customHeight="1" hidden="" ht="14" outlineLevel="0" r="30216">
      <c r="A30216" s="3" t="inlineStr">
        <is>
          <t>30070</t>
        </is>
      </c>
      <c r="B30216" s="4" t="s">
        <f>=HYPERLINK("http://anyluxury.ru/shop/prazdnik/23-fevralya/pilesos-avtomobilniy-vacu-12929/" , "12929 Пылесос автомобильный Vacu")</f>
      </c>
      <c r="C30216" s="4" t="n">
        <v>1290.00</v>
      </c>
      <c r="D30216" s="4"/>
    </row>
    <row collapsed="" customFormat="false" customHeight="1" hidden="" ht="14" outlineLevel="0" r="30217">
      <c r="A30217" s="3" t="inlineStr">
        <is>
          <t>30071</t>
        </is>
      </c>
      <c r="B30217" s="4" t="s">
        <f>=HYPERLINK("http://anyluxury.ru/shop/prazdnik/23-fevralya/kabel-triple-power-delivery-v-futlyare-2200560/" , "22005.60 Кабель Triple Power Delivery в футляре")</f>
      </c>
      <c r="C30217" s="4" t="n">
        <v>949.00</v>
      </c>
      <c r="D30217" s="4"/>
    </row>
    <row collapsed="" customFormat="false" customHeight="1" hidden="" ht="14" outlineLevel="0" r="30218">
      <c r="A30218" s="3" t="inlineStr">
        <is>
          <t>30072</t>
        </is>
      </c>
      <c r="B30218" s="4" t="s">
        <f>=HYPERLINK("http://anyluxury.ru/shop/prazdnik/23-fevralya/multitul-egon-seriy-1372410/" , "13724.10 Мультитул Egon, серый")</f>
      </c>
      <c r="C30218" s="4" t="n">
        <v>1580.00</v>
      </c>
      <c r="D30218" s="4"/>
    </row>
    <row collapsed="" customFormat="false" customHeight="1" hidden="" ht="14" outlineLevel="0" r="30219">
      <c r="A30219" s="3" t="inlineStr">
        <is>
          <t>30073</t>
        </is>
      </c>
      <c r="B30219" s="4" t="s">
        <f>=HYPERLINK("http://anyluxury.ru/shop/prazdnik/23-fevralya/termos-ammo-1000-cherniy-1330130/" , "13301.30 Термос Ammo 1000, черный")</f>
      </c>
      <c r="C30219" s="4" t="n">
        <v>1656.00</v>
      </c>
      <c r="D30219" s="4"/>
    </row>
    <row collapsed="" customFormat="false" customHeight="1" hidden="" ht="14" outlineLevel="0" r="30220">
      <c r="A30220" s="3" t="inlineStr">
        <is>
          <t>30074</t>
        </is>
      </c>
      <c r="B30220" s="4" t="s">
        <f>=HYPERLINK("http://anyluxury.ru/shop/prazdnik/23-fevralya/termos-ammo-1000-siniy-1330140/" , "13301.40 Термос Ammo 1000, синий")</f>
      </c>
      <c r="C30220" s="4" t="n">
        <v>1656.00</v>
      </c>
      <c r="D30220" s="4"/>
    </row>
    <row collapsed="" customFormat="false" customHeight="1" hidden="" ht="14" outlineLevel="0" r="30221">
      <c r="A30221" s="3" t="inlineStr">
        <is>
          <t>30075</t>
        </is>
      </c>
      <c r="B30221" s="4" t="s">
        <f>=HYPERLINK("http://anyluxury.ru/shop/prazdnik/23-fevralya/termos-ammo-1000-zeleniy-1330190/" , "13301.90 Термос Ammo 1000, зеленый")</f>
      </c>
      <c r="C30221" s="4" t="n">
        <v>1656.00</v>
      </c>
      <c r="D30221" s="4"/>
    </row>
    <row collapsed="" customFormat="false" customHeight="1" hidden="" ht="14" outlineLevel="0" r="30222">
      <c r="A30222" s="3" t="inlineStr">
        <is>
          <t>30076</t>
        </is>
      </c>
      <c r="B30222" s="4" t="s">
        <f>=HYPERLINK("http://anyluxury.ru/shop/prazdnik/23-fevralya/bokal-dlya-piva-pub-pilsner-3889700/" , "38897.00 Бокал для пива Pub Pilsner")</f>
      </c>
      <c r="C30222" s="4" t="n">
        <v>75.00</v>
      </c>
      <c r="D30222" s="4"/>
    </row>
    <row collapsed="" customFormat="false" customHeight="1" hidden="" ht="14" outlineLevel="0" r="30223">
      <c r="A30223" s="3" t="inlineStr">
        <is>
          <t>30077</t>
        </is>
      </c>
      <c r="B30223" s="4" t="s">
        <f>=HYPERLINK("http://anyluxury.ru/shop/prazdnik/23-fevralya/perenosnaya-skladnaya-lampa-movelight-belaya-1337360/" , "13373.60 Переносная складная лампа moveLight, белая")</f>
      </c>
      <c r="C30223" s="4" t="n">
        <v>1999.00</v>
      </c>
      <c r="D30223" s="4"/>
    </row>
    <row collapsed="" customFormat="false" customHeight="1" hidden="" ht="14" outlineLevel="0" r="30224">
      <c r="A30224" s="3" t="inlineStr">
        <is>
          <t>30078</t>
        </is>
      </c>
      <c r="B30224" s="4" t="s">
        <f>=HYPERLINK("http://anyluxury.ru/shop/prazdnik/23-fevralya/nabor-iz-3-par-noskov-hard-work-7159610/" , "71596.10 Набор из 3 пар носков Hard Work, размер 38-41")</f>
      </c>
      <c r="C30224" s="4" t="n">
        <v>990.00</v>
      </c>
      <c r="D30224" s="4"/>
    </row>
    <row collapsed="" customFormat="false" customHeight="1" hidden="" ht="14" outlineLevel="0" r="30225">
      <c r="A30225" s="3" t="inlineStr">
        <is>
          <t>30079</t>
        </is>
      </c>
      <c r="B30225" s="4" t="s">
        <f>=HYPERLINK("http://anyluxury.ru/shop/prazdnik/23-fevralya/nabor-iz-3-par-noskov-hard-work-7159610/" , "71596.10 Набор из 3 пар носков Hard Work, размер 42-46")</f>
      </c>
      <c r="C30225" s="4" t="n">
        <v>990.00</v>
      </c>
      <c r="D30225" s="4"/>
    </row>
    <row collapsed="" customFormat="false" customHeight="1" hidden="" ht="14" outlineLevel="0" r="30226">
      <c r="A30226" s="3" t="inlineStr">
        <is>
          <t>30080</t>
        </is>
      </c>
      <c r="B30226" s="4" t="s">
        <f>=HYPERLINK("http://anyluxury.ru/shop/prazdnik/23-fevralya/nabor-iz-6-par-noskov-hard-work-7159710/" , "71597.10 Набор из 6 пар носков Hard Work, размер 38-41")</f>
      </c>
      <c r="C30226" s="4" t="n">
        <v>1804.00</v>
      </c>
      <c r="D30226" s="4"/>
    </row>
    <row collapsed="" customFormat="false" customHeight="1" hidden="" ht="14" outlineLevel="0" r="30227">
      <c r="A30227" s="3" t="inlineStr">
        <is>
          <t>30081</t>
        </is>
      </c>
      <c r="B30227" s="4" t="s">
        <f>=HYPERLINK("http://anyluxury.ru/shop/prazdnik/23-fevralya/nabor-iz-3-par-noskov-hard-work-black-7159830/" , "71598.30 Набор из 3 пар носков Hard Work Black, размер 38-41")</f>
      </c>
      <c r="C30227" s="4" t="n">
        <v>990.00</v>
      </c>
      <c r="D30227" s="4"/>
    </row>
    <row collapsed="" customFormat="false" customHeight="1" hidden="" ht="14" outlineLevel="0" r="30228">
      <c r="A30228" s="3" t="inlineStr">
        <is>
          <t>30082</t>
        </is>
      </c>
      <c r="B30228" s="4" t="s">
        <f>=HYPERLINK("http://anyluxury.ru/shop/prazdnik/23-fevralya/nabor-iz-3-par-noskov-hard-work-black-7159830/" , "71598.30 Набор из 3 пар носков Hard Work Black, размер 42-46")</f>
      </c>
      <c r="C30228" s="4" t="n">
        <v>990.00</v>
      </c>
      <c r="D30228" s="4"/>
    </row>
    <row collapsed="" customFormat="false" customHeight="1" hidden="" ht="14" outlineLevel="0" r="30229">
      <c r="A30229" s="3" t="inlineStr">
        <is>
          <t>30083</t>
        </is>
      </c>
      <c r="B30229" s="4" t="s">
        <f>=HYPERLINK("http://anyluxury.ru/shop/prazdnik/23-fevralya/nabor-iz-6-par-noskov-hard-work-black-7159930/" , "71599.30 Набор из 6 пар носков Hard Work Black, размер 38-41")</f>
      </c>
      <c r="C30229" s="4" t="n">
        <v>1804.00</v>
      </c>
      <c r="D30229" s="4"/>
    </row>
    <row collapsed="" customFormat="false" customHeight="1" hidden="" ht="14" outlineLevel="0" r="30230">
      <c r="A30230" s="3" t="inlineStr">
        <is>
          <t>30084</t>
        </is>
      </c>
      <c r="B30230" s="4" t="s">
        <f>=HYPERLINK("http://anyluxury.ru/shop/prazdnik/23-fevralya/nabor-iz-6-par-noskov-hard-work-black-7159930/" , "71599.30 Набор из 6 пар носков Hard Work Black, размер 42-46")</f>
      </c>
      <c r="C30230" s="4" t="n">
        <v>1804.00</v>
      </c>
      <c r="D30230" s="4"/>
    </row>
    <row collapsed="" customFormat="false" customHeight="1" hidden="" ht="14" outlineLevel="0" r="30231">
      <c r="A30231" s="3" t="inlineStr">
        <is>
          <t>30085</t>
        </is>
      </c>
      <c r="B30231" s="4" t="s">
        <f>=HYPERLINK("http://anyluxury.ru/shop/prazdnik/23-fevralya/nabor-gripping-cherniy-1384730/" , "13847.30 Набор Gripping, черный")</f>
      </c>
      <c r="C30231" s="4" t="n">
        <v>2922.00</v>
      </c>
      <c r="D30231" s="4"/>
    </row>
    <row collapsed="" customFormat="false" customHeight="1" hidden="" ht="14" outlineLevel="0" r="30232">
      <c r="A30232" s="3" t="inlineStr">
        <is>
          <t>30086</t>
        </is>
      </c>
      <c r="B30232" s="4" t="s">
        <f>=HYPERLINK("http://anyluxury.ru/shop/prazdnik/23-fevralya/termos-dlya-edi-food-track-cherniy-1331130/" , "13311.30 Термос для еды Food Truck, черный")</f>
      </c>
      <c r="C30232" s="4" t="n">
        <v>1190.00</v>
      </c>
      <c r="D30232" s="4"/>
    </row>
    <row collapsed="" customFormat="false" customHeight="1" hidden="" ht="14" outlineLevel="0" r="30233">
      <c r="A30233" s="3" t="inlineStr">
        <is>
          <t>30087</t>
        </is>
      </c>
      <c r="B30233" s="4" t="s">
        <f>=HYPERLINK("http://anyluxury.ru/shop/prazdnik/23-fevralya/kruzhka-gonna-zelenaya-1420690/" , "14206.90 Кружка Gonna, зеленая")</f>
      </c>
      <c r="C30233" s="4" t="n">
        <v>450.00</v>
      </c>
      <c r="D30233" s="4"/>
    </row>
    <row collapsed="" customFormat="false" customHeight="1" hidden="" ht="14" outlineLevel="0" r="30234">
      <c r="A30234" s="3" t="inlineStr">
        <is>
          <t>30088</t>
        </is>
      </c>
      <c r="B30234" s="4" t="s">
        <f>=HYPERLINK("http://anyluxury.ru/shop/prazdnik/23-fevralya/shapkaushanka-shelter-chernaya-1468030/" , "14680.30 Шапка-ушанка Shelter, черная")</f>
      </c>
      <c r="C30234" s="4" t="n">
        <v>1740.00</v>
      </c>
      <c r="D30234" s="4"/>
    </row>
    <row collapsed="" customFormat="false" customHeight="1" hidden="" ht="14" outlineLevel="0" r="30235">
      <c r="A30235" s="3" t="inlineStr">
        <is>
          <t>30089</t>
        </is>
      </c>
      <c r="B30235" s="4" t="s">
        <f>=HYPERLINK("http://anyluxury.ru/shop/prazdnik/23-fevralya/shapkaushanka-shelter-belaya-1468060/" , "14680.60 Шапка-ушанка Shelter, белая")</f>
      </c>
      <c r="C30235" s="4" t="n">
        <v>1740.00</v>
      </c>
      <c r="D30235" s="4"/>
    </row>
    <row collapsed="" customFormat="false" customHeight="1" hidden="" ht="14" outlineLevel="0" r="30236">
      <c r="A30236" s="3" t="inlineStr">
        <is>
          <t>30090</t>
        </is>
      </c>
      <c r="B30236" s="4" t="s">
        <f>=HYPERLINK("http://anyluxury.ru/shop/prazdnik/23-fevralya/shapkaushanka-shelter-krasnaya-1468050/" , "14680.50 Шапка-ушанка Shelter, красная")</f>
      </c>
      <c r="C30236" s="4" t="n">
        <v>1740.00</v>
      </c>
      <c r="D30236" s="4"/>
    </row>
    <row collapsed="" customFormat="false" customHeight="1" hidden="" ht="14" outlineLevel="0" r="30237">
      <c r="A30237" s="3" t="inlineStr">
        <is>
          <t>30091</t>
        </is>
      </c>
      <c r="B30237" s="4" t="s">
        <f>=HYPERLINK("http://anyluxury.ru/shop/prazdnik/23-fevralya/shapkaushanka-shelter-yarkosinyaya-1468044/" , "14680.44 Шапка-ушанка Shelter, ярко-синяя")</f>
      </c>
      <c r="C30237" s="4" t="n">
        <v>1740.00</v>
      </c>
      <c r="D30237" s="4"/>
    </row>
    <row collapsed="" customFormat="false" customHeight="1" hidden="" ht="14" outlineLevel="0" r="30238">
      <c r="A30238" s="3" t="inlineStr">
        <is>
          <t>30092</t>
        </is>
      </c>
      <c r="B30238" s="4" t="s">
        <f>=HYPERLINK("http://anyluxury.ru/shop/prazdnik/23-fevralya/hudi-kulonga-oversize-temnozeleniy-haki-1410199/" , "14101.99 Худи Kulonga Oversize, темно-зеленый хаки, размер ХS/S")</f>
      </c>
      <c r="C30238" s="4" t="n">
        <v>3800.00</v>
      </c>
      <c r="D30238" s="4"/>
    </row>
    <row collapsed="" customFormat="false" customHeight="1" hidden="" ht="14" outlineLevel="0" r="30239">
      <c r="A30239" s="3" t="inlineStr">
        <is>
          <t>30093</t>
        </is>
      </c>
      <c r="B30239" s="4" t="s">
        <f>=HYPERLINK("http://anyluxury.ru/shop/prazdnik/23-fevralya/hudi-kulonga-oversize-temnozeleniy-haki-1410199/" , "14101.99 Худи Kulonga Oversize, темно-зеленый хаки, размер M/L")</f>
      </c>
      <c r="C30239" s="4" t="n">
        <v>3800.00</v>
      </c>
      <c r="D30239" s="4"/>
    </row>
    <row collapsed="" customFormat="false" customHeight="1" hidden="" ht="14" outlineLevel="0" r="30240">
      <c r="A30240" s="3" t="inlineStr">
        <is>
          <t>30094</t>
        </is>
      </c>
      <c r="B30240" s="4" t="s">
        <f>=HYPERLINK("http://anyluxury.ru/shop/prazdnik/23-fevralya/hudi-kulonga-oversize-temnozeleniy-haki-1410199/" , "14101.99 Худи Kulonga Oversize, темно-зеленый хаки, размер ХL/ХХL")</f>
      </c>
      <c r="C30240" s="4" t="n">
        <v>3800.00</v>
      </c>
      <c r="D30240" s="4"/>
    </row>
    <row collapsed="" customFormat="false" customHeight="1" hidden="" ht="14" outlineLevel="0" r="30241">
      <c r="A30241" s="3" t="inlineStr">
        <is>
          <t>30095</t>
        </is>
      </c>
      <c r="B30241" s="4" t="s">
        <f>=HYPERLINK("http://anyluxury.ru/shop/prazdnik/23-fevralya/hudi-kulonga-oversize-temnozeleniy-haki-1410199/" , "14101.99 Худи Kulonga Oversize, темно-зеленый (хаки), размер 3XL/4XL")</f>
      </c>
      <c r="C30241" s="4" t="n">
        <v>3800.00</v>
      </c>
      <c r="D30241" s="4"/>
    </row>
    <row collapsed="" customFormat="false" customHeight="1" hidden="" ht="14" outlineLevel="0" r="30242">
      <c r="A30242" s="3" t="inlineStr">
        <is>
          <t>30096</t>
        </is>
      </c>
      <c r="B30242" s="4" t="s">
        <f>=HYPERLINK("http://anyluxury.ru/shop/prazdnik/23-fevralya/nabor-avtomobilista-car-care-5420/" , "54.20 Набор автомобилиста Car Care, размер XL")</f>
      </c>
      <c r="C30242" s="4" t="n">
        <v>2454.00</v>
      </c>
      <c r="D30242" s="4"/>
    </row>
    <row collapsed="" customFormat="false" customHeight="1" hidden="" ht="14" outlineLevel="0" r="30243">
      <c r="A30243" s="3" t="inlineStr">
        <is>
          <t>30097</t>
        </is>
      </c>
      <c r="B30243" s="4" t="s">
        <f>=HYPERLINK("http://anyluxury.ru/shop/prazdnik/23-fevralya/nabor-avtomobilista-car-care-5420/" , "54.20 Набор автомобилиста Car Care, размер XXL")</f>
      </c>
      <c r="C30243" s="4" t="n">
        <v>2454.00</v>
      </c>
      <c r="D30243" s="4"/>
    </row>
    <row collapsed="" customFormat="false" customHeight="1" hidden="" ht="14" outlineLevel="0" r="30244">
      <c r="A30244" s="3" t="inlineStr">
        <is>
          <t>30098</t>
        </is>
      </c>
      <c r="B30244" s="4" t="s">
        <f>=HYPERLINK("http://anyluxury.ru/shop/prazdnik/23-fevralya/nabor-avtomobilista-car-care-5420/" , "54.20 Набор автомобилиста Car Care, размер 3XL")</f>
      </c>
      <c r="C30244" s="4" t="n">
        <v>2454.00</v>
      </c>
      <c r="D30244" s="4"/>
    </row>
    <row collapsed="" customFormat="false" customHeight="1" hidden="" ht="14" outlineLevel="0" r="30245">
      <c r="A30245" s="3" t="inlineStr">
        <is>
          <t>30099</t>
        </is>
      </c>
      <c r="B30245" s="4" t="s">
        <f>=HYPERLINK("http://anyluxury.ru/shop/prazdnik/23-fevralya/minimultitul-working-tool-seriy-2111910/" , "21119.10 Мини-мультитул Working Tool, серый")</f>
      </c>
      <c r="C30245" s="4" t="n">
        <v>1997.00</v>
      </c>
      <c r="D30245" s="4"/>
    </row>
    <row collapsed="" customFormat="false" customHeight="1" hidden="" ht="14" outlineLevel="0" r="30246">
      <c r="A30246" s="3" t="inlineStr">
        <is>
          <t>30100</t>
        </is>
      </c>
      <c r="B30246" s="4" t="s">
        <f>=HYPERLINK("http://anyluxury.ru/shop/prazdnik/23-fevralya/ostriy-yagodniy-konfityur-kamikadze-14621/" , "14621 Острый ягодный конфитюр «Камикадзе»")</f>
      </c>
      <c r="C30246" s="4" t="n">
        <v>360.00</v>
      </c>
      <c r="D30246" s="4"/>
    </row>
    <row collapsed="" customFormat="false" customHeight="1" hidden="" ht="14" outlineLevel="0" r="30247">
      <c r="A30247" s="3" t="inlineStr">
        <is>
          <t>30101</t>
        </is>
      </c>
      <c r="B30247" s="4" t="s">
        <f>=HYPERLINK("http://anyluxury.ru/shop/prazdnik/23-fevralya/lukoviy-konfityur-bonzhur-mese-14622/" , "14622 Луковый конфитюр «Бонжур Месье»")</f>
      </c>
      <c r="C30247" s="4" t="n">
        <v>372.00</v>
      </c>
      <c r="D30247" s="4"/>
    </row>
    <row collapsed="" customFormat="false" customHeight="1" hidden="" ht="14" outlineLevel="0" r="30248">
      <c r="A30248" s="3" t="inlineStr">
        <is>
          <t>30102</t>
        </is>
      </c>
      <c r="B30248" s="4" t="s">
        <f>=HYPERLINK("http://anyluxury.ru/shop/prazdnik/23-fevralya/tomatniy-sous-meksikanec-14624/" , "14624 Томатный соус «Мексиканец»")</f>
      </c>
      <c r="C30248" s="4" t="n">
        <v>432.00</v>
      </c>
      <c r="D30248" s="4"/>
    </row>
    <row collapsed="" customFormat="false" customHeight="1" hidden="" ht="14" outlineLevel="0" r="30249">
      <c r="A30249" s="3" t="inlineStr">
        <is>
          <t>30103</t>
        </is>
      </c>
      <c r="B30249" s="4" t="s">
        <f>=HYPERLINK("http://anyluxury.ru/shop/prazdnik/23-fevralya/ekshnkamera-minkam-4k-chernaya-13826/" , "13826 Экшн-камера Minkam 4K, черная")</f>
      </c>
      <c r="C30249" s="4" t="n">
        <v>4999.00</v>
      </c>
      <c r="D30249" s="4"/>
    </row>
    <row collapsed="" customFormat="false" customHeight="1" hidden="" ht="14" outlineLevel="0" r="30250">
      <c r="A30250" s="3" t="inlineStr">
        <is>
          <t>30104</t>
        </is>
      </c>
      <c r="B30250" s="4" t="s">
        <f>=HYPERLINK("http://anyluxury.ru/shop/prazdnik/23-fevralya/magnitniy-besprovodnoy-akkumulyator-slope-force-5000-mach-cherniy-2302430/" , "23024.30 Магнитный беспроводной аккумулятор Slope Force 5000 мАч, черный")</f>
      </c>
      <c r="C30250" s="4" t="n">
        <v>2890.00</v>
      </c>
      <c r="D30250" s="4"/>
    </row>
    <row collapsed="" customFormat="false" customHeight="1" hidden="" ht="14" outlineLevel="0" r="30251">
      <c r="A30251" s="3" t="inlineStr">
        <is>
          <t>30105</t>
        </is>
      </c>
      <c r="B30251" s="4" t="s">
        <f>=HYPERLINK("http://anyluxury.ru/shop/prazdnik/23-fevralya/magnitniy-besprovodnoy-akkumulyator-slope-force-5000-mach-beliy-2302460/" , "23024.60 Магнитный беспроводной аккумулятор Slope Force 5000 мАч, белый")</f>
      </c>
      <c r="C30251" s="4" t="n">
        <v>2890.00</v>
      </c>
      <c r="D30251" s="4"/>
    </row>
    <row collapsed="" customFormat="false" customHeight="1" hidden="" ht="14" outlineLevel="0" r="30252">
      <c r="A30252" s="3" t="inlineStr">
        <is>
          <t>30106</t>
        </is>
      </c>
      <c r="B30252" s="4" t="s">
        <f>=HYPERLINK("http://anyluxury.ru/shop/prazdnik/23-fevralya/nabor-iz-2-stakanov-dlya-viski-sylvana-1504600/" , "15046.00 Набор из 2 стаканов для виски Sylvana")</f>
      </c>
      <c r="C30252" s="4" t="n">
        <v>428.20</v>
      </c>
      <c r="D30252" s="4"/>
    </row>
    <row collapsed="" customFormat="false" customHeight="1" hidden="" ht="14" outlineLevel="0" r="30253">
      <c r="A30253" s="3" t="inlineStr">
        <is>
          <t>30107</t>
        </is>
      </c>
      <c r="B30253" s="4" t="s">
        <f>=HYPERLINK("http://anyluxury.ru/shop/prazdnik/23-fevralya/nabor-iz-2-bokalov-dlya-konyaka-charente-1476300/" , "14763.00 Набор из 2 бокалов для коньяка Charente")</f>
      </c>
      <c r="C30253" s="4" t="n">
        <v>691.80</v>
      </c>
      <c r="D30253" s="4"/>
    </row>
    <row collapsed="" customFormat="false" customHeight="1" hidden="" ht="14" outlineLevel="0" r="30254">
      <c r="A30254" s="3" t="inlineStr">
        <is>
          <t>30108</t>
        </is>
      </c>
      <c r="B30254" s="4" t="s">
        <f>=HYPERLINK("http://anyluxury.ru/shop/prazdnik/23-fevralya/osvezhayushhie-konfeti-polar-express-ver-2-myata-1246605/" , "12466.05 Освежающие конфеты Polar Express, ver. 2, арктическая мята, белый")</f>
      </c>
      <c r="C30254" s="4" t="n">
        <v>95.00</v>
      </c>
      <c r="D30254" s="4"/>
    </row>
    <row collapsed="" customFormat="false" customHeight="1" hidden="" ht="14" outlineLevel="0" r="30255">
      <c r="A30255" s="3" t="inlineStr">
        <is>
          <t>30109</t>
        </is>
      </c>
      <c r="B30255" s="4" t="s">
        <f>=HYPERLINK("http://anyluxury.ru/shop/prazdnik/23-fevralya/nabor-iz-2-bokalov-dlya-piva-pub-weizen-1504700/" , "15047.00 Набор из 2 бокалов для пива Pub Weizen")</f>
      </c>
      <c r="C30255" s="4" t="n">
        <v>482.20</v>
      </c>
      <c r="D30255" s="4"/>
    </row>
    <row collapsed="" customFormat="false" customHeight="1" hidden="" ht="14" outlineLevel="0" r="30256">
      <c r="A30256" s="3" t="inlineStr">
        <is>
          <t>30110</t>
        </is>
      </c>
      <c r="B30256" s="4" t="s">
        <f>=HYPERLINK("http://anyluxury.ru/shop/prazdnik/23-fevralya/nabor-pivnih-bokalov-taste-mode-1504800/" , "15048.00 Набор пивных бокалов Taste Mode")</f>
      </c>
      <c r="C30256" s="4" t="n">
        <v>795.00</v>
      </c>
      <c r="D30256" s="4"/>
    </row>
    <row collapsed="" customFormat="false" customHeight="1" hidden="" ht="14" outlineLevel="0" r="30257">
      <c r="A30257" s="3" t="inlineStr">
        <is>
          <t>30111</t>
        </is>
      </c>
      <c r="B30257" s="4" t="s">
        <f>=HYPERLINK("http://anyluxury.ru/shop/prazdnik/23-fevralya/nabor-shotov-partymaker-1504900/" , "15049.00 Набор шотов Partymaker, ver.1")</f>
      </c>
      <c r="C30257" s="4" t="n">
        <v>1854.00</v>
      </c>
      <c r="D30257" s="4"/>
    </row>
    <row collapsed="" customFormat="false" customHeight="1" hidden="" ht="14" outlineLevel="0" r="30258">
      <c r="A30258" s="3" t="inlineStr">
        <is>
          <t>30112</t>
        </is>
      </c>
      <c r="B30258" s="4" t="s">
        <f>=HYPERLINK("http://anyluxury.ru/shop/prazdnik/23-fevralya/priprava-pinchie-dlya-shashlika-14626/" , "14626 Приправа Pinchie для шашлыка, ver.1")</f>
      </c>
      <c r="C30258" s="4" t="n">
        <v>189.00</v>
      </c>
      <c r="D30258" s="4"/>
    </row>
    <row collapsed="" customFormat="false" customHeight="1" hidden="" ht="14" outlineLevel="0" r="30259">
      <c r="A30259" s="3" t="inlineStr">
        <is>
          <t>30113</t>
        </is>
      </c>
      <c r="B30259" s="4" t="s">
        <f>=HYPERLINK("http://anyluxury.ru/shop/prazdnik/23-fevralya/nabor-shotov-partymaker-ver2-1504901/" , "15049.01 Набор шотов Partymaker, ver.2")</f>
      </c>
      <c r="C30259" s="4" t="n">
        <v>1855.00</v>
      </c>
      <c r="D30259" s="4"/>
    </row>
    <row collapsed="" customFormat="false" customHeight="1" hidden="" ht="14" outlineLevel="0" r="30260">
      <c r="A30260" s="3" t="inlineStr">
        <is>
          <t>30114</t>
        </is>
      </c>
      <c r="B30260" s="4" t="s">
        <f>=HYPERLINK("http://anyluxury.ru/shop/prazdnik/23-fevralya/nabor-dlya-vina-nice-chianti-1559630/" , "15596.30 Набор для вина Nice Chianti")</f>
      </c>
      <c r="C30260" s="4" t="n">
        <v>1670.00</v>
      </c>
      <c r="D30260" s="4"/>
    </row>
    <row collapsed="" customFormat="false" customHeight="1" hidden="" ht="14" outlineLevel="0" r="30261">
      <c r="A30261" s="3" t="inlineStr">
        <is>
          <t>30115</t>
        </is>
      </c>
      <c r="B30261" s="4" t="s">
        <f>=HYPERLINK("http://anyluxury.ru/shop/prazdnik/23-fevralya/butilka-dlya-vodi-sleeve-ace-seraya-1533710/" , "15337.10 Бутылка для воды Sleeve Ace, серая")</f>
      </c>
      <c r="C30261" s="4" t="n">
        <v>716.00</v>
      </c>
      <c r="D30261" s="4"/>
    </row>
    <row collapsed="" customFormat="false" customHeight="1" hidden="" ht="14" outlineLevel="0" r="30262">
      <c r="A30262" s="3" t="inlineStr">
        <is>
          <t>30116</t>
        </is>
      </c>
      <c r="B30262" s="4" t="s">
        <f>=HYPERLINK("http://anyluxury.ru/shop/prazdnik/23-fevralya/butilka-dlya-vodi-sleeve-ace-sinyaya-1533740/" , "15337.40 Бутылка для воды Sleeve Ace, синяя")</f>
      </c>
      <c r="C30262" s="4" t="n">
        <v>716.00</v>
      </c>
      <c r="D30262" s="4"/>
    </row>
    <row collapsed="" customFormat="false" customHeight="1" hidden="" ht="14" outlineLevel="0" r="30263">
      <c r="A30263" s="3" t="inlineStr">
        <is>
          <t>30117</t>
        </is>
      </c>
      <c r="B30263" s="4" t="s">
        <f>=HYPERLINK("http://anyluxury.ru/shop/prazdnik/23-fevralya/butilka-dlya-vodi-sleeve-ace-chernaya-1533730/" , "15337.30 Бутылка для воды Sleeve Ace, черная")</f>
      </c>
      <c r="C30263" s="4" t="n">
        <v>716.00</v>
      </c>
      <c r="D30263" s="4"/>
    </row>
    <row collapsed="" customFormat="false" customHeight="1" hidden="" ht="14" outlineLevel="0" r="30264">
      <c r="A30264" s="3" t="inlineStr">
        <is>
          <t>30118</t>
        </is>
      </c>
      <c r="B30264" s="4" t="s">
        <f>=HYPERLINK("http://anyluxury.ru/shop/prazdnik/23-fevralya/butilka-dlya-vodi-sleeve-ace-krasnaya-1533750/" , "15337.50 Бутылка для воды Sleeve Ace, красная")</f>
      </c>
      <c r="C30264" s="4" t="n">
        <v>716.00</v>
      </c>
      <c r="D30264" s="4"/>
    </row>
    <row collapsed="" customFormat="false" customHeight="1" hidden="" ht="14" outlineLevel="0" r="30265">
      <c r="A30265" s="3" t="inlineStr">
        <is>
          <t>30119</t>
        </is>
      </c>
      <c r="B30265" s="4" t="s">
        <f>=HYPERLINK("http://anyluxury.ru/shop/prazdnik/23-fevralya/svetootrazhayushhiy-braslet-lumi-ver2-serebristiy-1201611/" , "12016.11 Светоотражающий браслет Lumi, ver.2, серебристый")</f>
      </c>
      <c r="C30265" s="4" t="n">
        <v>76.00</v>
      </c>
      <c r="D30265" s="4"/>
    </row>
    <row collapsed="" customFormat="false" customHeight="1" hidden="" ht="14" outlineLevel="0" r="30266">
      <c r="A30266" s="3" t="inlineStr">
        <is>
          <t>30120</t>
        </is>
      </c>
      <c r="B30266" s="4" t="s">
        <f>=HYPERLINK("http://anyluxury.ru/shop/prazdnik/23-fevralya/svetootrazhayushhiy-braslet-lumi-ver2-zheltiy-neon-1201681/" , "12016.81 Светоотражающий браслет Lumi, ver.2, желтый неон")</f>
      </c>
      <c r="C30266" s="4" t="n">
        <v>76.00</v>
      </c>
      <c r="D30266" s="4"/>
    </row>
    <row collapsed="" customFormat="false" customHeight="1" hidden="" ht="14" outlineLevel="0" r="30267">
      <c r="A30267" s="3" t="inlineStr">
        <is>
          <t>30121</t>
        </is>
      </c>
      <c r="B30267" s="4" t="s">
        <f>=HYPERLINK("http://anyluxury.ru/shop/prazdnik/23-fevralya/nabor-instrumentov-instanter-cherniy-1770130/" , "17701.30 Набор инструментов Instanter, черный")</f>
      </c>
      <c r="C30267" s="4" t="n">
        <v>990.00</v>
      </c>
      <c r="D30267" s="4"/>
    </row>
    <row collapsed="" customFormat="false" customHeight="1" hidden="" ht="14" outlineLevel="0" r="30268">
      <c r="A30268" s="3" t="inlineStr">
        <is>
          <t>30122</t>
        </is>
      </c>
      <c r="B30268" s="4" t="s">
        <f>=HYPERLINK("http://anyluxury.ru/shop/prazdnik/23-fevralya/zont-naoborot-skladnoy-futurum-cherniy-1584430/" , "15844.30 Зонт наоборот складной Futurum, черный")</f>
      </c>
      <c r="C30268" s="4" t="n">
        <v>1950.00</v>
      </c>
      <c r="D30268" s="4"/>
    </row>
    <row collapsed="" customFormat="false" customHeight="1" hidden="" ht="14" outlineLevel="0" r="30269">
      <c r="A30269" s="3" t="inlineStr">
        <is>
          <t>30123</t>
        </is>
      </c>
      <c r="B30269" s="4" t="s">
        <f>=HYPERLINK("http://anyluxury.ru/shop/prazdnik/23-fevralya/zont-naoborot-skladnoy-futurum-krasniy-1584450/" , "15844.50 Зонт наоборот складной Futurum, красный")</f>
      </c>
      <c r="C30269" s="4" t="n">
        <v>1950.00</v>
      </c>
      <c r="D30269" s="4"/>
    </row>
    <row collapsed="" customFormat="false" customHeight="1" hidden="" ht="14" outlineLevel="0" r="30270">
      <c r="A30270" s="3" t="inlineStr">
        <is>
          <t>30124</t>
        </is>
      </c>
      <c r="B30270" s="4" t="s">
        <f>=HYPERLINK("http://anyluxury.ru/shop/prazdnik/23-fevralya/zont-naoborot-skladnoy-futurum-temnosiniy-1584440/" , "15844.40 Зонт наоборот складной Futurum, темно-синий")</f>
      </c>
      <c r="C30270" s="4" t="n">
        <v>1950.00</v>
      </c>
      <c r="D30270" s="4"/>
    </row>
    <row collapsed="" customFormat="false" customHeight="1" hidden="" ht="14" outlineLevel="0" r="30271">
      <c r="A30271" s="3" t="inlineStr">
        <is>
          <t>30125</t>
        </is>
      </c>
      <c r="B30271" s="4" t="s">
        <f>=HYPERLINK("http://anyluxury.ru/shop/prazdnik/23-fevralya/frenchpress-haze-lab-1733911/" , "17339.11 Френч-пресс Haze Lab")</f>
      </c>
      <c r="C30271" s="4" t="n">
        <v>1584.00</v>
      </c>
      <c r="D30271" s="4"/>
    </row>
    <row collapsed="" customFormat="false" customHeight="1" hidden="" ht="14" outlineLevel="0" r="30272">
      <c r="A30272" s="3" t="inlineStr">
        <is>
          <t>30126</t>
        </is>
      </c>
      <c r="B30272" s="4" t="s">
        <f>=HYPERLINK("http://anyluxury.ru/shop/prazdnik/23-fevralya/kofeyniy-nabor-force-nexus-1734020/" , "17340.20 Кофейный набор Force Nexus")</f>
      </c>
      <c r="C30272" s="4" t="n">
        <v>3714.00</v>
      </c>
      <c r="D30272" s="4"/>
    </row>
    <row collapsed="" customFormat="false" customHeight="1" hidden="" ht="14" outlineLevel="0" r="30273">
      <c r="A30273" s="3" t="inlineStr">
        <is>
          <t>30127</t>
        </is>
      </c>
      <c r="B30273" s="4" t="s">
        <f>=HYPERLINK("http://anyluxury.ru/shop/prazdnik/23-fevralya/varezhki-lillehammer-chernie-1569030/" , "15690.30 Варежки Lillehammer, черные, размер S")</f>
      </c>
      <c r="C30273" s="4" t="n">
        <v>2450.00</v>
      </c>
      <c r="D30273" s="4"/>
    </row>
    <row collapsed="" customFormat="false" customHeight="1" hidden="" ht="14" outlineLevel="0" r="30274">
      <c r="A30274" s="3" t="inlineStr">
        <is>
          <t>30128</t>
        </is>
      </c>
      <c r="B30274" s="4" t="s">
        <f>=HYPERLINK("http://anyluxury.ru/shop/prazdnik/23-fevralya/varezhki-lillehammer-chernie-1569030/" , "15690.30 Варежки Lillehammer, черные, размер M")</f>
      </c>
      <c r="C30274" s="4" t="n">
        <v>2450.00</v>
      </c>
      <c r="D30274" s="4"/>
    </row>
    <row collapsed="" customFormat="false" customHeight="1" hidden="" ht="14" outlineLevel="0" r="30275">
      <c r="A30275" s="3" t="inlineStr">
        <is>
          <t>30129</t>
        </is>
      </c>
      <c r="B30275" s="4" t="s">
        <f>=HYPERLINK("http://anyluxury.ru/shop/prazdnik/23-fevralya/varezhki-lillehammer-chernie-1569030/" , "15690.30 Варежки Lillehammer, черные, размер L")</f>
      </c>
      <c r="C30275" s="4" t="n">
        <v>2450.00</v>
      </c>
      <c r="D30275" s="4"/>
    </row>
    <row collapsed="" customFormat="false" customHeight="1" hidden="" ht="14" outlineLevel="0" r="30276">
      <c r="A30276" s="3" t="inlineStr">
        <is>
          <t>30130</t>
        </is>
      </c>
      <c r="B30276" s="4" t="s">
        <f>=HYPERLINK("http://anyluxury.ru/shop/prazdnik/23-fevralya/varezhki-lillehammer-chernie-1569030/" , "15690.30 Варежки Lillehammer, черные, размер XL")</f>
      </c>
      <c r="C30276" s="4" t="n">
        <v>2450.00</v>
      </c>
      <c r="D30276" s="4"/>
    </row>
    <row collapsed="" customFormat="false" customHeight="1" hidden="" ht="14" outlineLevel="0" r="30277">
      <c r="A30277" s="3" t="inlineStr">
        <is>
          <t>30131</t>
        </is>
      </c>
      <c r="B30277" s="4" t="s">
        <f>=HYPERLINK("http://anyluxury.ru/shop/prazdnik/23-fevralya/varezhki-lillehammer-serie-1569010/" , "15690.10 Варежки Lillehammer, серые, размер S")</f>
      </c>
      <c r="C30277" s="4" t="n">
        <v>2450.00</v>
      </c>
      <c r="D30277" s="4"/>
    </row>
    <row collapsed="" customFormat="false" customHeight="1" hidden="" ht="14" outlineLevel="0" r="30278">
      <c r="A30278" s="3" t="inlineStr">
        <is>
          <t>30132</t>
        </is>
      </c>
      <c r="B30278" s="4" t="s">
        <f>=HYPERLINK("http://anyluxury.ru/shop/prazdnik/23-fevralya/varezhki-lillehammer-serie-1569010/" , "15690.10 Варежки Lillehammer, серые, размер M")</f>
      </c>
      <c r="C30278" s="4" t="n">
        <v>2450.00</v>
      </c>
      <c r="D30278" s="4"/>
    </row>
    <row collapsed="" customFormat="false" customHeight="1" hidden="" ht="14" outlineLevel="0" r="30279">
      <c r="A30279" s="3" t="inlineStr">
        <is>
          <t>30133</t>
        </is>
      </c>
      <c r="B30279" s="4" t="s">
        <f>=HYPERLINK("http://anyluxury.ru/shop/prazdnik/23-fevralya/varezhki-lillehammer-serie-1569010/" , "15690.10 Варежки Lillehammer, серые, размер L")</f>
      </c>
      <c r="C30279" s="4" t="n">
        <v>2450.00</v>
      </c>
      <c r="D30279" s="4"/>
    </row>
    <row collapsed="" customFormat="false" customHeight="1" hidden="" ht="14" outlineLevel="0" r="30280">
      <c r="A30280" s="3" t="inlineStr">
        <is>
          <t>30134</t>
        </is>
      </c>
      <c r="B30280" s="4" t="s">
        <f>=HYPERLINK("http://anyluxury.ru/shop/prazdnik/23-fevralya/varezhki-lillehammer-serie-1569010/" , "15690.10 Варежки Lillehammer, серые, размер XL")</f>
      </c>
      <c r="C30280" s="4" t="n">
        <v>2450.00</v>
      </c>
      <c r="D30280" s="4"/>
    </row>
    <row collapsed="" customFormat="false" customHeight="1" hidden="" ht="14" outlineLevel="0" r="30281">
      <c r="A30281" s="3" t="inlineStr">
        <is>
          <t>30135</t>
        </is>
      </c>
      <c r="B30281" s="4" t="s">
        <f>=HYPERLINK("http://anyluxury.ru/shop/prazdnik/23-fevralya/varezhki-lillehammer-temnosinie-1569040/" , "15690.40 Варежки Lillehammer, темно-синие, размер S")</f>
      </c>
      <c r="C30281" s="4" t="n">
        <v>2450.00</v>
      </c>
      <c r="D30281" s="4"/>
    </row>
    <row collapsed="" customFormat="false" customHeight="1" hidden="" ht="14" outlineLevel="0" r="30282">
      <c r="A30282" s="3" t="inlineStr">
        <is>
          <t>30136</t>
        </is>
      </c>
      <c r="B30282" s="4" t="s">
        <f>=HYPERLINK("http://anyluxury.ru/shop/prazdnik/23-fevralya/varezhki-lillehammer-temnosinie-1569040/" , "15690.40 Варежки Lillehammer, темно-синие, размер M")</f>
      </c>
      <c r="C30282" s="4" t="n">
        <v>2450.00</v>
      </c>
      <c r="D30282" s="4"/>
    </row>
    <row collapsed="" customFormat="false" customHeight="1" hidden="" ht="14" outlineLevel="0" r="30283">
      <c r="A30283" s="3" t="inlineStr">
        <is>
          <t>30137</t>
        </is>
      </c>
      <c r="B30283" s="4" t="s">
        <f>=HYPERLINK("http://anyluxury.ru/shop/prazdnik/23-fevralya/varezhki-lillehammer-temnosinie-1569040/" , "15690.40 Варежки Lillehammer, темно-синие, размер L")</f>
      </c>
      <c r="C30283" s="4" t="n">
        <v>2450.00</v>
      </c>
      <c r="D30283" s="4"/>
    </row>
    <row collapsed="" customFormat="false" customHeight="1" hidden="" ht="14" outlineLevel="0" r="30284">
      <c r="A30284" s="3" t="inlineStr">
        <is>
          <t>30138</t>
        </is>
      </c>
      <c r="B30284" s="4" t="s">
        <f>=HYPERLINK("http://anyluxury.ru/shop/prazdnik/23-fevralya/varezhki-lillehammer-temnosinie-1569040/" , "15690.40 Варежки Lillehammer, темно-синие, размер XL")</f>
      </c>
      <c r="C30284" s="4" t="n">
        <v>2450.00</v>
      </c>
      <c r="D30284" s="4"/>
    </row>
    <row collapsed="" customFormat="false" customHeight="1" hidden="" ht="14" outlineLevel="0" r="30285">
      <c r="A30285" s="3" t="inlineStr">
        <is>
          <t>30139</t>
        </is>
      </c>
      <c r="B30285" s="4" t="s">
        <f>=HYPERLINK("http://anyluxury.ru/shop/prazdnik/23-fevralya/sportivniy-sheyker-hard-work-1565810/" , "15658.10 Спортивный шейкер Hard Work")</f>
      </c>
      <c r="C30285" s="4" t="n">
        <v>1234.00</v>
      </c>
      <c r="D30285" s="4"/>
    </row>
    <row collapsed="" customFormat="false" customHeight="1" hidden="" ht="14" outlineLevel="0" r="30286">
      <c r="A30286" s="3" t="inlineStr">
        <is>
          <t>30140</t>
        </is>
      </c>
      <c r="B30286" s="4" t="s">
        <f>=HYPERLINK("http://anyluxury.ru/shop/prazdnik/23-fevralya/brelok-tetta-15637/" , "15637 Брелок Tetta")</f>
      </c>
      <c r="C30286" s="4" t="n">
        <v>129.00</v>
      </c>
      <c r="D30286" s="4"/>
    </row>
    <row collapsed="" customFormat="false" customHeight="1" hidden="" ht="14" outlineLevel="0" r="30287">
      <c r="A30287" s="3" t="inlineStr">
        <is>
          <t>30141</t>
        </is>
      </c>
      <c r="B30287" s="4" t="s">
        <f>=HYPERLINK("http://anyluxury.ru/shop/prazdnik/23-fevralya/magnitnoe-zaryadnoe-ustroystvo-cooper-rond-15-vt-chernoe-1771530/" , "17715.30 Магнитное зарядное устройство Cooper Rond, 15 Вт, черное")</f>
      </c>
      <c r="C30287" s="4" t="n">
        <v>1390.00</v>
      </c>
      <c r="D30287" s="4"/>
    </row>
    <row collapsed="" customFormat="false" customHeight="1" hidden="" ht="14" outlineLevel="0" r="30288">
      <c r="A30288" s="3" t="inlineStr">
        <is>
          <t>30142</t>
        </is>
      </c>
      <c r="B30288" s="4" t="s">
        <f>=HYPERLINK("http://anyluxury.ru/shop/prazdnik/23-fevralya/magnitnoe-zaryadnoe-ustroystvo-cooper-rond-15-vt-serebristoe-1771510/" , "17715.10 Магнитное зарядное устройство Cooper Rond, 15 Вт, серебристое")</f>
      </c>
      <c r="C30288" s="4" t="n">
        <v>1390.00</v>
      </c>
      <c r="D30288" s="4"/>
    </row>
    <row collapsed="" customFormat="false" customHeight="1" hidden="" ht="14" outlineLevel="0" r="30289">
      <c r="A30289" s="3" t="inlineStr">
        <is>
          <t>30143</t>
        </is>
      </c>
      <c r="B30289" s="4" t="s">
        <f>=HYPERLINK("http://anyluxury.ru/shop/prazdnik/23-fevralya/magnitnoe-zaryadnoe-ustroystvo-cooper-rond-15-vt-sinee-1771540/" , "17715.40 Магнитное зарядное устройство Cooper Rond, 15 Вт, синее")</f>
      </c>
      <c r="C30289" s="4" t="n">
        <v>1390.00</v>
      </c>
      <c r="D30289" s="4"/>
    </row>
    <row collapsed="" customFormat="false" customHeight="1" hidden="" ht="14" outlineLevel="0" r="30290">
      <c r="A30290" s="3" t="inlineStr">
        <is>
          <t>30144</t>
        </is>
      </c>
      <c r="B30290" s="4" t="s">
        <f>=HYPERLINK("http://anyluxury.ru/shop/prazdnik/23-fevralya/multiinstrument-vakwerk-serebristiy-1771810/" , "17718.10 Мультиинструмент Vakwerk, серебристый")</f>
      </c>
      <c r="C30290" s="4" t="n">
        <v>2950.00</v>
      </c>
      <c r="D30290" s="4"/>
    </row>
    <row collapsed="" customFormat="false" customHeight="1" hidden="" ht="14" outlineLevel="0" r="30291">
      <c r="A30291" s="3" t="inlineStr">
        <is>
          <t>30145</t>
        </is>
      </c>
      <c r="B30291" s="4" t="s">
        <f>=HYPERLINK("http://anyluxury.ru/shop/prazdnik/23-fevralya/kruzhka-dacha-dlya-sublimacionnoy-pechati-belaya-7701060/" , "77010.60 Кружка Dacha для сублимационной печати, белая")</f>
      </c>
      <c r="C30291" s="4" t="n">
        <v>301.00</v>
      </c>
      <c r="D30291" s="4"/>
    </row>
    <row collapsed="" customFormat="false" customHeight="1" hidden="" ht="14" outlineLevel="0" r="30292">
      <c r="A30292" s="3" t="inlineStr">
        <is>
          <t>30146</t>
        </is>
      </c>
      <c r="B30292" s="4" t="s">
        <f>=HYPERLINK("http://anyluxury.ru/shop/prazdnik/23-fevralya/antistress-kub-siniy-2401140/" , "24011.40 Антистресс «Куб», синий")</f>
      </c>
      <c r="C30292" s="4" t="n">
        <v>260.00</v>
      </c>
      <c r="D30292" s="4"/>
    </row>
    <row collapsed="" customFormat="false" customHeight="1" hidden="" ht="14" outlineLevel="0" r="30293">
      <c r="A30293" s="3" t="inlineStr">
        <is>
          <t>30147</t>
        </is>
      </c>
      <c r="B30293" s="4" t="s">
        <f>=HYPERLINK("http://anyluxury.ru/shop/prazdnik/23-fevralya/antistress-kub-krasniy-2401150/" , "24011.50 Антистресс «Куб», красный")</f>
      </c>
      <c r="C30293" s="4" t="n">
        <v>260.00</v>
      </c>
      <c r="D30293" s="4"/>
    </row>
    <row collapsed="" customFormat="false" customHeight="1" hidden="" ht="14" outlineLevel="0" r="30294">
      <c r="A30294" s="3" t="inlineStr">
        <is>
          <t>30148</t>
        </is>
      </c>
      <c r="B30294" s="4" t="s">
        <f>=HYPERLINK("http://anyluxury.ru/shop/prazdnik/23-fevralya/akkumulyator-trellis-flat-10000-mach-siniy-2310514/" , "23105.14 Аккумулятор Trellis Flat 10000 мАч, синий")</f>
      </c>
      <c r="C30294" s="4" t="n">
        <v>1790.00</v>
      </c>
      <c r="D30294" s="4"/>
    </row>
    <row collapsed="" customFormat="false" customHeight="1" hidden="" ht="14" outlineLevel="0" r="30295">
      <c r="A30295" s="3" t="inlineStr">
        <is>
          <t>30149</t>
        </is>
      </c>
      <c r="B30295" s="4" t="s">
        <f>=HYPERLINK("http://anyluxury.ru/shop/prazdnik/23-fevralya/akkumulyator-trellis-flat-10000-mach-beliy-2310560/" , "23105.60 Аккумулятор Trellis Flat 10000 мАч, белый")</f>
      </c>
      <c r="C30295" s="4" t="n">
        <v>1790.00</v>
      </c>
      <c r="D30295" s="4"/>
    </row>
    <row collapsed="" customFormat="false" customHeight="1" hidden="" ht="14" outlineLevel="0" r="30296">
      <c r="A30296" s="3" t="inlineStr">
        <is>
          <t>30150</t>
        </is>
      </c>
      <c r="B30296" s="4" t="s">
        <f>=HYPERLINK("http://anyluxury.ru/shop/prazdnik/23-fevralya/termobutilka-glendale-chernaya-1625930/" , "16259.30 Термобутылка Glendale, черная")</f>
      </c>
      <c r="C30296" s="4" t="n">
        <v>1056.00</v>
      </c>
      <c r="D30296" s="4"/>
    </row>
    <row collapsed="" customFormat="false" customHeight="1" hidden="" ht="14" outlineLevel="0" r="30297">
      <c r="A30297" s="3" t="inlineStr">
        <is>
          <t>30151</t>
        </is>
      </c>
      <c r="B30297" s="4" t="s">
        <f>=HYPERLINK("http://anyluxury.ru/shop/prazdnik/23-fevralya/termobutilka-glendale-sinyaya-1625940/" , "16259.40 Термобутылка Glendale, синяя")</f>
      </c>
      <c r="C30297" s="4" t="n">
        <v>1056.00</v>
      </c>
      <c r="D30297" s="4"/>
    </row>
    <row collapsed="" customFormat="false" customHeight="1" hidden="" ht="14" outlineLevel="0" r="30298">
      <c r="A30298" s="3" t="inlineStr">
        <is>
          <t>30152</t>
        </is>
      </c>
      <c r="B30298" s="4" t="s">
        <f>=HYPERLINK("http://anyluxury.ru/shop/prazdnik/23-fevralya/termobutilka-glendale-seraya-1625910/" , "16259.10 Термобутылка Glendale, серая")</f>
      </c>
      <c r="C30298" s="4" t="n">
        <v>1056.00</v>
      </c>
      <c r="D30298" s="4"/>
    </row>
    <row collapsed="" customFormat="false" customHeight="1" hidden="" ht="14" outlineLevel="0" r="30299">
      <c r="A30299" s="3" t="inlineStr">
        <is>
          <t>30153</t>
        </is>
      </c>
      <c r="B30299" s="4" t="s">
        <f>=HYPERLINK("http://anyluxury.ru/shop/prazdnik/23-fevralya/termobutilka-glendale-belaya-1625960/" , "16259.60 Термобутылка Glendale, белая")</f>
      </c>
      <c r="C30299" s="4" t="n">
        <v>1056.00</v>
      </c>
      <c r="D30299" s="4"/>
    </row>
    <row collapsed="" customFormat="false" customHeight="1" hidden="" ht="14" outlineLevel="0" r="30300">
      <c r="A30300" s="3" t="inlineStr">
        <is>
          <t>30154</t>
        </is>
      </c>
      <c r="B30300" s="4" t="s">
        <f>=HYPERLINK("http://anyluxury.ru/shop/prazdnik/23-fevralya/termobutilka-fujisan-fioletovaya-1595144/" , "15951.44 Термобутылка Fujisan, фиолетовая")</f>
      </c>
      <c r="C30300" s="4" t="n">
        <v>2190.00</v>
      </c>
      <c r="D30300" s="4"/>
    </row>
    <row collapsed="" customFormat="false" customHeight="1" hidden="" ht="14" outlineLevel="0" r="30301">
      <c r="A30301" s="3" t="inlineStr">
        <is>
          <t>30155</t>
        </is>
      </c>
      <c r="B30301" s="4" t="s">
        <f>=HYPERLINK("http://anyluxury.ru/shop/prazdnik/23-fevralya/termobutilka-fujisan-chernaya-1595130/" , "15951.30 Термобутылка Fujisan, черная")</f>
      </c>
      <c r="C30301" s="4" t="n">
        <v>2190.00</v>
      </c>
      <c r="D30301" s="4"/>
    </row>
    <row collapsed="" customFormat="false" customHeight="1" hidden="" ht="14" outlineLevel="0" r="30302">
      <c r="A30302" s="3" t="inlineStr">
        <is>
          <t>30156</t>
        </is>
      </c>
      <c r="B30302" s="4" t="s">
        <f>=HYPERLINK("http://anyluxury.ru/shop/prazdnik/23-fevralya/termobutilka-fujisan-temnosinyaya-1595143/" , "15951.43 Термобутылка Fujisan, темно-синяя")</f>
      </c>
      <c r="C30302" s="4" t="n">
        <v>2190.00</v>
      </c>
      <c r="D30302" s="4"/>
    </row>
    <row collapsed="" customFormat="false" customHeight="1" hidden="" ht="14" outlineLevel="0" r="30303">
      <c r="A30303" s="3" t="inlineStr">
        <is>
          <t>30157</t>
        </is>
      </c>
      <c r="B30303" s="4" t="s">
        <f>=HYPERLINK("http://anyluxury.ru/shop/prazdnik/23-fevralya/termobutilka-fujisan-seraya-1595110/" , "15951.10 Термобутылка Fujisan, серая")</f>
      </c>
      <c r="C30303" s="4" t="n">
        <v>2190.00</v>
      </c>
      <c r="D30303" s="4"/>
    </row>
    <row collapsed="" customFormat="false" customHeight="1" hidden="" ht="14" outlineLevel="0" r="30304">
      <c r="A30304" s="3" t="inlineStr">
        <is>
          <t>30158</t>
        </is>
      </c>
      <c r="B30304" s="4" t="s">
        <f>=HYPERLINK("http://anyluxury.ru/shop/prazdnik/23-fevralya/fonar-akkumulyatorniy-grimsel-seriy-1772710/" , "17727.10 Фонарь аккумуляторный Grimsel, серый")</f>
      </c>
      <c r="C30304" s="4" t="n">
        <v>1700.00</v>
      </c>
      <c r="D30304" s="4"/>
    </row>
    <row collapsed="" customFormat="false" customHeight="1" hidden="" ht="14" outlineLevel="0" r="30305">
      <c r="A30305" s="3" t="inlineStr">
        <is>
          <t>30159</t>
        </is>
      </c>
      <c r="B30305" s="4" t="s">
        <f>=HYPERLINK("http://anyluxury.ru/shop/prazdnik/23-fevralya/fonarikfakel-akkumulyatorniy-wallis-seriy-1772810/" , "17728.10 Фонарик-факел аккумуляторный Wallis, серый")</f>
      </c>
      <c r="C30305" s="4" t="n">
        <v>990.00</v>
      </c>
      <c r="D30305" s="4"/>
    </row>
    <row collapsed="" customFormat="false" customHeight="1" hidden="" ht="14" outlineLevel="0" r="30306">
      <c r="A30306" s="3" t="inlineStr">
        <is>
          <t>30160</t>
        </is>
      </c>
      <c r="B30306" s="4" t="s">
        <f>=HYPERLINK("http://anyluxury.ru/shop/prazdnik/23-fevralya/fonarikfakel-akkumulyatorniy-wallis-cherniy-1772830/" , "17728.30 Фонарик-факел аккумуляторный Wallis, черный")</f>
      </c>
      <c r="C30306" s="4" t="n">
        <v>990.00</v>
      </c>
      <c r="D30306" s="4"/>
    </row>
    <row collapsed="" customFormat="false" customHeight="1" hidden="" ht="14" outlineLevel="0" r="30307">
      <c r="A30307" s="3" t="inlineStr">
        <is>
          <t>30161</t>
        </is>
      </c>
      <c r="B30307" s="4" t="s">
        <f>=HYPERLINK("http://anyluxury.ru/shop/prazdnik/23-fevralya/fonarikfakel-akkumulyatorniy-wallis-siniy-1772840/" , "17728.40 Фонарик-факел аккумуляторный Wallis, синий")</f>
      </c>
      <c r="C30307" s="4" t="n">
        <v>990.00</v>
      </c>
      <c r="D30307" s="4"/>
    </row>
    <row collapsed="" customFormat="false" customHeight="1" hidden="" ht="14" outlineLevel="0" r="30308">
      <c r="A30308" s="3" t="inlineStr">
        <is>
          <t>30162</t>
        </is>
      </c>
      <c r="B30308" s="4" t="s">
        <f>=HYPERLINK("http://anyluxury.ru/shop/prazdnik/23-fevralya/fonarik-akkumulyatorniy-s-fokusirovkoy-lucha-kirk-cherniy-1772930/" , "17729.30 Фонарик аккумуляторный с фокусировкой луча Kirk, черный")</f>
      </c>
      <c r="C30308" s="4" t="n">
        <v>565.00</v>
      </c>
      <c r="D30308" s="4"/>
    </row>
    <row collapsed="" customFormat="false" customHeight="1" hidden="" ht="14" outlineLevel="0" r="30309">
      <c r="A30309" s="3" t="inlineStr">
        <is>
          <t>30163</t>
        </is>
      </c>
      <c r="B30309" s="4" t="s">
        <f>=HYPERLINK("http://anyluxury.ru/shop/prazdnik/23-fevralya/nabor-dzhentlmeni-u-dachi-1794701/" , "17947.01 Набор «Джентльмены у дачи»")</f>
      </c>
      <c r="C30309" s="4" t="n">
        <v>4346.00</v>
      </c>
      <c r="D30309" s="4"/>
    </row>
    <row collapsed="" customFormat="false" customHeight="1" hidden="" ht="14" outlineLevel="0" r="30310">
      <c r="A30310" s="3" t="inlineStr">
        <is>
          <t>30164</t>
        </is>
      </c>
      <c r="B30310" s="4" t="s">
        <f>=HYPERLINK("http://anyluxury.ru/shop/prazdnik/23-fevralya/pled-bergen-bezheviy-1662600/" , "16626.00 Плед «Берген», бежевый")</f>
      </c>
      <c r="C30310" s="4" t="n">
        <v>2990.00</v>
      </c>
      <c r="D30310" s="4"/>
    </row>
    <row collapsed="" customFormat="false" customHeight="1" hidden="" ht="14" outlineLevel="0" r="30311">
      <c r="A30311" s="3" t="inlineStr">
        <is>
          <t>30165</t>
        </is>
      </c>
      <c r="B30311" s="4" t="s">
        <f>=HYPERLINK("http://anyluxury.ru/shop/prazdnik/23-fevralya/pled-bergen-svetlobezheviy-1662601/" , "16626.01 Плед «Берген», светло-бежевый")</f>
      </c>
      <c r="C30311" s="4" t="n">
        <v>2990.00</v>
      </c>
      <c r="D30311" s="4"/>
    </row>
    <row collapsed="" customFormat="false" customHeight="1" hidden="" ht="14" outlineLevel="0" r="30312">
      <c r="A30312" s="3" t="inlineStr">
        <is>
          <t>30166</t>
        </is>
      </c>
      <c r="B30312" s="4" t="s">
        <f>=HYPERLINK("http://anyluxury.ru/shop/prazdnik/23-fevralya/igra-kruglaya-bashnya-neokrashennaya-1771300/" , "17713.00 Игра «Круглая башня», неокрашенная")</f>
      </c>
      <c r="C30312" s="4" t="n">
        <v>1488.00</v>
      </c>
      <c r="D30312" s="4"/>
    </row>
    <row collapsed="" customFormat="false" customHeight="1" hidden="" ht="14" outlineLevel="0" r="30313">
      <c r="A30313" s="3" t="inlineStr">
        <is>
          <t>30167</t>
        </is>
      </c>
      <c r="B30313" s="4" t="s">
        <f>=HYPERLINK("http://anyluxury.ru/shop/prazdnik/23-fevralya/igra-kruglaya-bashnya-mini-neokrashennaya-1900400/" , "19004.00 Игра «Круглая башня мини», неокрашенная")</f>
      </c>
      <c r="C30313" s="4" t="n">
        <v>535.00</v>
      </c>
      <c r="D30313" s="4"/>
    </row>
    <row collapsed="" customFormat="false" customHeight="1" hidden="" ht="14" outlineLevel="0" r="30314">
      <c r="A30314" s="3" t="inlineStr">
        <is>
          <t>30168</t>
        </is>
      </c>
      <c r="B30314" s="4" t="s">
        <f>=HYPERLINK("http://anyluxury.ru/shop/prazdnik/23-fevralya/nabor-omnom-s-klyukvoy-1794901/" , "17949.01 Набор Omnom, с клюквой")</f>
      </c>
      <c r="C30314" s="4" t="n">
        <v>675.80</v>
      </c>
      <c r="D30314" s="4"/>
    </row>
    <row collapsed="" customFormat="false" customHeight="1" hidden="" ht="14" outlineLevel="0" r="30315">
      <c r="A30315" s="3" t="inlineStr">
        <is>
          <t>30169</t>
        </is>
      </c>
      <c r="B30315" s="4" t="s">
        <f>=HYPERLINK("http://anyluxury.ru/shop/prazdnik/23-fevralya/nabor-omnom-s-arahisom-v-kunzhute-1794902/" , "17949.02 Набор Omnom, с арахисом в кунжуте")</f>
      </c>
      <c r="C30315" s="4" t="n">
        <v>565.80</v>
      </c>
      <c r="D30315" s="4"/>
    </row>
    <row collapsed="" customFormat="false" customHeight="1" hidden="" ht="14" outlineLevel="0" r="30316">
      <c r="A30316" s="3" t="inlineStr">
        <is>
          <t>30170</t>
        </is>
      </c>
      <c r="B30316" s="4" t="s">
        <f>=HYPERLINK("http://anyluxury.ru/shop/prazdnik/23-fevralya/nabor-omnom-s-vishney-1794903/" , "17949.03 Набор Omnom, с вишней")</f>
      </c>
      <c r="C30316" s="4" t="n">
        <v>685.80</v>
      </c>
      <c r="D30316" s="4"/>
    </row>
    <row collapsed="" customFormat="false" customHeight="1" hidden="" ht="14" outlineLevel="0" r="30317">
      <c r="A30317" s="3" t="inlineStr">
        <is>
          <t>30171</t>
        </is>
      </c>
      <c r="B30317" s="4" t="s">
        <f>=HYPERLINK("http://anyluxury.ru/shop/prazdnik/23-fevralya/nabor-ohlazhdayushhih-stopok-stone-guest-1781200/" , "17812.00 Набор охлаждающих стопок Stone Guest")</f>
      </c>
      <c r="C30317" s="4" t="n">
        <v>2280.00</v>
      </c>
      <c r="D30317" s="4"/>
    </row>
    <row collapsed="" customFormat="false" customHeight="1" hidden="" ht="14" outlineLevel="0" r="30318">
      <c r="A30318" s="3" t="inlineStr">
        <is>
          <t>30172</t>
        </is>
      </c>
      <c r="B30318" s="4" t="s">
        <f>=HYPERLINK("http://anyluxury.ru/shop/prazdnik/23-fevralya/pled-bergen-seriy-1662610/" , "16626.10 Плед «Берген», серый")</f>
      </c>
      <c r="C30318" s="4" t="n">
        <v>2990.00</v>
      </c>
      <c r="D30318" s="4"/>
    </row>
    <row collapsed="" customFormat="false" customHeight="1" hidden="" ht="14" outlineLevel="0" r="30319">
      <c r="A30319" s="3" t="inlineStr">
        <is>
          <t>30173</t>
        </is>
      </c>
      <c r="B30319" s="4" t="s">
        <f>=HYPERLINK("http://anyluxury.ru/shop/prazdnik/23-fevralya/termos-dlya-edi-food-truck-siniy-1331140/" , "13311.40 Термос для еды Food Truck, синий")</f>
      </c>
      <c r="C30319" s="4" t="n">
        <v>1190.00</v>
      </c>
      <c r="D30319" s="4"/>
    </row>
    <row collapsed="" customFormat="false" customHeight="1" hidden="" ht="14" outlineLevel="0" r="30320">
      <c r="A30320" s="3" t="inlineStr">
        <is>
          <t>30174</t>
        </is>
      </c>
      <c r="B30320" s="4" t="s">
        <f>=HYPERLINK("http://anyluxury.ru/shop/prazdnik/23-fevralya/termos-dlya-edi-food-truck-beliy-1331160/" , "13311.60 Термос для еды Food Truck, белый")</f>
      </c>
      <c r="C30320" s="4" t="n">
        <v>1190.00</v>
      </c>
      <c r="D30320" s="4"/>
    </row>
    <row collapsed="" customFormat="false" customHeight="1" hidden="" ht="14" outlineLevel="0" r="30321">
      <c r="A30321" s="3" t="inlineStr">
        <is>
          <t>30175</t>
        </is>
      </c>
      <c r="B30321" s="4" t="s">
        <f>=HYPERLINK("http://anyluxury.ru/shop/prazdnik/23-fevralya/koster-suberic-kvadratniy-1560201/" , "15602.01 Костер Suberic, квадратный")</f>
      </c>
      <c r="C30321" s="4" t="n">
        <v>65.00</v>
      </c>
      <c r="D30321" s="4"/>
    </row>
    <row collapsed="" customFormat="false" customHeight="1" hidden="" ht="14" outlineLevel="0" r="30322">
      <c r="A30322" s="3" t="inlineStr">
        <is>
          <t>30176</t>
        </is>
      </c>
      <c r="B30322" s="4" t="s">
        <f>=HYPERLINK("http://anyluxury.ru/shop/prazdnik/23-fevralya/koster-suberic-krugliy-1560202/" , "15602.02 Костер Suberic, круглый")</f>
      </c>
      <c r="C30322" s="4" t="n">
        <v>65.00</v>
      </c>
      <c r="D30322" s="4"/>
    </row>
    <row collapsed="" customFormat="false" customHeight="1" hidden="" ht="14" outlineLevel="0" r="30323">
      <c r="A30323" s="3" t="inlineStr">
        <is>
          <t>30177</t>
        </is>
      </c>
      <c r="B30323" s="4" t="s">
        <f>=HYPERLINK("http://anyluxury.ru/shop/prazdnik/23-fevralya/sportivniy-sheyker-onetwo-drink-cherniy-1552530/" , "15525.30 Спортивный шейкер OneTwo Drink, черный")</f>
      </c>
      <c r="C30323" s="4" t="n">
        <v>296.00</v>
      </c>
      <c r="D30323" s="4"/>
    </row>
    <row collapsed="" customFormat="false" customHeight="1" hidden="" ht="14" outlineLevel="0" r="30324">
      <c r="A30324" s="3" t="inlineStr">
        <is>
          <t>30178</t>
        </is>
      </c>
      <c r="B30324" s="4" t="s">
        <f>=HYPERLINK("http://anyluxury.ru/shop/prazdnik/23-fevralya/sportivniy-sheyker-onetwo-drink-siniy-1552540/" , "15525.40 Спортивный шейкер OneTwo Drink, синий")</f>
      </c>
      <c r="C30324" s="4" t="n">
        <v>296.00</v>
      </c>
      <c r="D30324" s="4"/>
    </row>
    <row collapsed="" customFormat="false" customHeight="1" hidden="" ht="14" outlineLevel="0" r="30325">
      <c r="A30325" s="3" t="inlineStr">
        <is>
          <t>30179</t>
        </is>
      </c>
      <c r="B30325" s="4" t="s">
        <f>=HYPERLINK("http://anyluxury.ru/shop/prazdnik/23-fevralya/poyasnaya-sumka-remark-s-seraya-1548910/" , "15489.10 Поясная сумка Remark S, серая")</f>
      </c>
      <c r="C30325" s="4" t="n">
        <v>831.00</v>
      </c>
      <c r="D30325" s="4"/>
    </row>
    <row collapsed="" customFormat="false" customHeight="1" hidden="" ht="14" outlineLevel="0" r="30326">
      <c r="A30326" s="3" t="inlineStr">
        <is>
          <t>30180</t>
        </is>
      </c>
      <c r="B30326" s="4" t="s">
        <f>=HYPERLINK("http://anyluxury.ru/shop/prazdnik/23-fevralya/poyasnaya-sumka-remark-s-sinyaya-1548940/" , "15489.40 Поясная сумка Remark S, синяя")</f>
      </c>
      <c r="C30326" s="4" t="n">
        <v>831.00</v>
      </c>
      <c r="D30326" s="4"/>
    </row>
    <row collapsed="" customFormat="false" customHeight="1" hidden="" ht="14" outlineLevel="0" r="30327">
      <c r="A30327" s="3" t="inlineStr">
        <is>
          <t>30181</t>
        </is>
      </c>
      <c r="B30327" s="4" t="s">
        <f>=HYPERLINK("http://anyluxury.ru/shop/prazdnik/23-fevralya/nabor-dlya-bani-heat-off-beliy-1469860/" , "14698.60 Набор для бани Heat Off, белый")</f>
      </c>
      <c r="C30327" s="4" t="n">
        <v>445.00</v>
      </c>
      <c r="D30327" s="4"/>
    </row>
    <row collapsed="" customFormat="false" customHeight="1" hidden="" ht="14" outlineLevel="0" r="30328">
      <c r="A30328" s="3" t="inlineStr">
        <is>
          <t>30182</t>
        </is>
      </c>
      <c r="B30328" s="4" t="s">
        <f>=HYPERLINK("http://anyluxury.ru/shop/prazdnik/23-fevralya/nabor-dlya-bani-heat-off-seriy-1469810/" , "14698.10 Набор для бани Heat Off, серый")</f>
      </c>
      <c r="C30328" s="4" t="n">
        <v>445.00</v>
      </c>
      <c r="D30328" s="4"/>
    </row>
    <row collapsed="" customFormat="false" customHeight="1" hidden="" ht="14" outlineLevel="0" r="30329">
      <c r="A30329" s="3" t="inlineStr">
        <is>
          <t>30183</t>
        </is>
      </c>
      <c r="B30329" s="4" t="s">
        <f>=HYPERLINK("http://anyluxury.ru/shop/prazdnik/23-fevralya/gravitacionnaya-melnica-dlya-speciy-gravita-chernaya-1564530/" , "15645.30 Гравитационная мельница для специй Gravita, черная")</f>
      </c>
      <c r="C30329" s="4" t="n">
        <v>1115.00</v>
      </c>
      <c r="D30329" s="4"/>
    </row>
    <row collapsed="" customFormat="false" customHeight="1" hidden="" ht="14" outlineLevel="0" r="30330">
      <c r="A30330" s="3" t="inlineStr">
        <is>
          <t>30184</t>
        </is>
      </c>
      <c r="B30330" s="4" t="s">
        <f>=HYPERLINK("http://anyluxury.ru/shop/prazdnik/23-fevralya/arahis-v-kunzhute-smack-pack-16310/" , "16310 Арахис в кунжуте Smack Pack")</f>
      </c>
      <c r="C30330" s="4" t="n">
        <v>130.00</v>
      </c>
      <c r="D30330" s="4"/>
    </row>
    <row collapsed="" customFormat="false" customHeight="1" hidden="" ht="14" outlineLevel="0" r="30331">
      <c r="A30331" s="3" t="inlineStr">
        <is>
          <t>30185</t>
        </is>
      </c>
      <c r="B30331" s="4" t="s">
        <f>=HYPERLINK("http://anyluxury.ru/shop/prazdnik/23-fevralya/greckiy-oreh-nutgram-16311/" , "16311 Грецкий орех Nutgram")</f>
      </c>
      <c r="C30331" s="4" t="n">
        <v>190.00</v>
      </c>
      <c r="D30331" s="4"/>
    </row>
    <row collapsed="" customFormat="false" customHeight="1" hidden="" ht="14" outlineLevel="0" r="30332">
      <c r="A30332" s="3" t="inlineStr">
        <is>
          <t>30186</t>
        </is>
      </c>
      <c r="B30332" s="4" t="s">
        <f>=HYPERLINK("http://anyluxury.ru/shop/prazdnik/23-fevralya/stakan-canny-1770500/" , "17705.00 Стакан Canny")</f>
      </c>
      <c r="C30332" s="4" t="n">
        <v>448.00</v>
      </c>
      <c r="D30332" s="4"/>
    </row>
    <row collapsed="" customFormat="false" customHeight="1" hidden="" ht="14" outlineLevel="0" r="30333">
      <c r="A30333" s="3" t="inlineStr">
        <is>
          <t>30187</t>
        </is>
      </c>
      <c r="B30333" s="4" t="s">
        <f>=HYPERLINK("http://anyluxury.ru/shop/prazdnik/23-fevralya/nabor-dlya-nastolnogo-tennisa-high-scorer-chernokrasniy-1565535/" , "15655.35 Набор для настольного тенниса High Scorer, черно-красный")</f>
      </c>
      <c r="C30333" s="4" t="n">
        <v>1416.00</v>
      </c>
      <c r="D30333" s="4"/>
    </row>
    <row collapsed="" customFormat="false" customHeight="1" hidden="" ht="14" outlineLevel="0" r="30334">
      <c r="A30334" s="3" t="inlineStr">
        <is>
          <t>30188</t>
        </is>
      </c>
      <c r="B30334" s="4" t="s">
        <f>=HYPERLINK("http://anyluxury.ru/shop/prazdnik/23-fevralya/nabor-dlya-bani-parilka-cherniy-783730/" , "7837.30 Набор для бани «Парилка», черный")</f>
      </c>
      <c r="C30334" s="4" t="n">
        <v>774.00</v>
      </c>
      <c r="D30334" s="4"/>
    </row>
    <row collapsed="" customFormat="false" customHeight="1" hidden="" ht="14" outlineLevel="0" r="30335">
      <c r="A30335" s="3" t="inlineStr">
        <is>
          <t>30189</t>
        </is>
      </c>
      <c r="B30335" s="4" t="s">
        <f>=HYPERLINK("http://anyluxury.ru/shop/prazdnik/23-fevralya/bannaya-shapka-heat-off-chernaya-701430/" , "7014.30 Банная шапка Heat Off, черная")</f>
      </c>
      <c r="C30335" s="4" t="n">
        <v>244.00</v>
      </c>
      <c r="D30335" s="4"/>
    </row>
    <row collapsed="" customFormat="false" customHeight="1" hidden="" ht="14" outlineLevel="0" r="30336">
      <c r="A30336" s="3" t="inlineStr">
        <is>
          <t>30190</t>
        </is>
      </c>
      <c r="B30336" s="4" t="s">
        <f>=HYPERLINK("http://anyluxury.ru/shop/prazdnik/23-fevralya/nabor-dlya-bani-panam-seriy-1695110/" , "16951.10 Набор для бани Panam, серый")</f>
      </c>
      <c r="C30336" s="4" t="n">
        <v>709.00</v>
      </c>
      <c r="D30336" s="4"/>
    </row>
    <row collapsed="" customFormat="false" customHeight="1" hidden="" ht="14" outlineLevel="0" r="30337">
      <c r="A30337" s="3" t="inlineStr">
        <is>
          <t>30191</t>
        </is>
      </c>
      <c r="B30337" s="4" t="s">
        <f>=HYPERLINK("http://anyluxury.ru/shop/prazdnik/23-fevralya/nabor-dlya-bani-panam-beliy-1695160/" , "16951.60 Набор для бани Panam, белый")</f>
      </c>
      <c r="C30337" s="4" t="n">
        <v>709.00</v>
      </c>
      <c r="D30337" s="4"/>
    </row>
    <row collapsed="" customFormat="false" customHeight="1" hidden="" ht="14" outlineLevel="0" r="30338">
      <c r="A30338" s="3" t="inlineStr">
        <is>
          <t>30192</t>
        </is>
      </c>
      <c r="B30338" s="4" t="s">
        <f>=HYPERLINK("http://anyluxury.ru/shop/prazdnik/23-fevralya/nabor-dlya-bani-heat-off-s-kovrikom-seriy-1695210/" , "16952.10 Набор для бани Heat Off с ковриком, серый")</f>
      </c>
      <c r="C30338" s="4" t="n">
        <v>439.00</v>
      </c>
      <c r="D30338" s="4"/>
    </row>
    <row collapsed="" customFormat="false" customHeight="1" hidden="" ht="14" outlineLevel="0" r="30339">
      <c r="A30339" s="3" t="inlineStr">
        <is>
          <t>30193</t>
        </is>
      </c>
      <c r="B30339" s="4" t="s">
        <f>=HYPERLINK("http://anyluxury.ru/shop/prazdnik/23-fevralya/nabor-dlya-bani-heat-off-s-kovrikom-beliy-1695260/" , "16952.60 Набор для бани Heat Off с ковриком, белый")</f>
      </c>
      <c r="C30339" s="4" t="n">
        <v>439.00</v>
      </c>
      <c r="D30339" s="4"/>
    </row>
    <row collapsed="" customFormat="false" customHeight="1" hidden="" ht="14" outlineLevel="0" r="30340">
      <c r="A30340" s="3" t="inlineStr">
        <is>
          <t>30194</t>
        </is>
      </c>
      <c r="B30340" s="4" t="s">
        <f>=HYPERLINK("http://anyluxury.ru/shop/prazdnik/23-fevralya/levitiruyushhiy-stakan-leviglass-15532/" , "15532 Левитирующий стакан Leviglass")</f>
      </c>
      <c r="C30340" s="4" t="n">
        <v>10990.00</v>
      </c>
      <c r="D30340" s="4"/>
    </row>
    <row collapsed="" customFormat="false" customHeight="1" hidden="" ht="14" outlineLevel="0" r="30341">
      <c r="A30341" s="3" t="inlineStr">
        <is>
          <t>30195</t>
        </is>
      </c>
      <c r="B30341" s="4" t="s">
        <f>=HYPERLINK("http://anyluxury.ru/shop/prazdnik/23-fevralya/nabor-ya-nastaivayu-2005000/" , "20050.00 Набор «Я настаиваю!»")</f>
      </c>
      <c r="C30341" s="4" t="n">
        <v>3900.00</v>
      </c>
      <c r="D30341" s="4"/>
    </row>
    <row collapsed="" customFormat="false" customHeight="" hidden="" ht="12.1" outlineLevel="0" r="30342">
      <c r="A30342" s="5" t="inlineStr">
        <is>
          <t> -  - 8 марта</t>
        </is>
      </c>
      <c r="B30342" s="6"/>
      <c r="C30342" s="6"/>
      <c r="D30342" s="6"/>
    </row>
    <row collapsed="" customFormat="false" customHeight="1" hidden="" ht="14" outlineLevel="0" r="30343">
      <c r="A30343" s="3" t="inlineStr">
        <is>
          <t>30196</t>
        </is>
      </c>
      <c r="B30343" s="4" t="s">
        <f>=HYPERLINK("http://anyluxury.ru/shop/prazdnik/8-marta/podstavka-dlya-kolec-i-ukrasheniy-crown-malaya-z54073/" , "Z54073 Подставка для колец и украшений Crown, малая")</f>
      </c>
      <c r="C30343" s="4" t="n">
        <v>1786.00</v>
      </c>
      <c r="D30343" s="4"/>
    </row>
    <row collapsed="" customFormat="false" customHeight="1" hidden="" ht="14" outlineLevel="0" r="30344">
      <c r="A30344" s="3" t="inlineStr">
        <is>
          <t>30197</t>
        </is>
      </c>
      <c r="B30344" s="4" t="s">
        <f>=HYPERLINK("http://anyluxury.ru/shop/prazdnik/8-marta/nabor-mne-bi-v-nebo-z53338/" , "Z53338 Набор «Мне бы в небо»")</f>
      </c>
      <c r="C30344" s="4" t="n">
        <v>649.00</v>
      </c>
      <c r="D30344" s="4"/>
    </row>
    <row collapsed="" customFormat="false" customHeight="1" hidden="" ht="14" outlineLevel="0" r="30345">
      <c r="A30345" s="3" t="inlineStr">
        <is>
          <t>30198</t>
        </is>
      </c>
      <c r="B30345" s="4" t="s">
        <f>=HYPERLINK("http://anyluxury.ru/shop/prazdnik/8-marta/besprovodnaya-kolonka-chubby-chernaya-755730/" , "7557.30 Беспроводная колонка Chubby, черная")</f>
      </c>
      <c r="C30345" s="4" t="n">
        <v>789.00</v>
      </c>
      <c r="D30345" s="4"/>
    </row>
    <row collapsed="" customFormat="false" customHeight="1" hidden="" ht="14" outlineLevel="0" r="30346">
      <c r="A30346" s="3" t="inlineStr">
        <is>
          <t>30199</t>
        </is>
      </c>
      <c r="B30346" s="4" t="s">
        <f>=HYPERLINK("http://anyluxury.ru/shop/prazdnik/8-marta/besprovodnaya-kolonka-chubby-sinyaya-755740/" , "7557.40 Беспроводная колонка Chubby, синяя")</f>
      </c>
      <c r="C30346" s="4" t="n">
        <v>789.00</v>
      </c>
      <c r="D30346" s="4"/>
    </row>
    <row collapsed="" customFormat="false" customHeight="1" hidden="" ht="14" outlineLevel="0" r="30347">
      <c r="A30347" s="3" t="inlineStr">
        <is>
          <t>30200</t>
        </is>
      </c>
      <c r="B30347" s="4" t="s">
        <f>=HYPERLINK("http://anyluxury.ru/shop/prazdnik/8-marta/besprovodnaya-kolonka-chubby-belaya-755760/" , "7557.60 Беспроводная колонка Chubby, белая")</f>
      </c>
      <c r="C30347" s="4" t="n">
        <v>789.00</v>
      </c>
      <c r="D30347" s="4"/>
    </row>
    <row collapsed="" customFormat="false" customHeight="1" hidden="" ht="14" outlineLevel="0" r="30348">
      <c r="A30348" s="3" t="inlineStr">
        <is>
          <t>30201</t>
        </is>
      </c>
      <c r="B30348" s="4" t="s">
        <f>=HYPERLINK("http://anyluxury.ru/shop/prazdnik/8-marta/ezhednevnik-chillout-mini-nedatirovanniy-rozoviy-768915/" , "7689.15 Ежедневник Chillout Mini, недатированный, розовый")</f>
      </c>
      <c r="C30348" s="4" t="n">
        <v>388.00</v>
      </c>
      <c r="D30348" s="4"/>
    </row>
    <row collapsed="" customFormat="false" customHeight="1" hidden="" ht="14" outlineLevel="0" r="30349">
      <c r="A30349" s="3" t="inlineStr">
        <is>
          <t>30202</t>
        </is>
      </c>
      <c r="B30349" s="4" t="s">
        <f>=HYPERLINK("http://anyluxury.ru/shop/prazdnik/8-marta/sumka-zhenskaya-city-plume-temnosinyaya-p6132008/" , "P61-32008 Сумка женская City Plume, темно-синяя")</f>
      </c>
      <c r="C30349" s="4" t="n">
        <v>3990.00</v>
      </c>
      <c r="D30349" s="4"/>
    </row>
    <row collapsed="" customFormat="false" customHeight="1" hidden="" ht="14" outlineLevel="0" r="30350">
      <c r="A30350" s="3" t="inlineStr">
        <is>
          <t>30203</t>
        </is>
      </c>
      <c r="B30350" s="4" t="s">
        <f>=HYPERLINK("http://anyluxury.ru/shop/prazdnik/8-marta/sumka-zhenskaya-city-plume-seraya-p6116008/" , "P61-16008 Сумка женская City Plume, серая")</f>
      </c>
      <c r="C30350" s="4" t="n">
        <v>3990.00</v>
      </c>
      <c r="D30350" s="4"/>
    </row>
    <row collapsed="" customFormat="false" customHeight="1" hidden="" ht="14" outlineLevel="0" r="30351">
      <c r="A30351" s="3" t="inlineStr">
        <is>
          <t>30204</t>
        </is>
      </c>
      <c r="B30351" s="4" t="s">
        <f>=HYPERLINK("http://anyluxury.ru/shop/prazdnik/8-marta/sumka-zhenskaya-city-plume-krasnaya-p6105008/" , "P61-05008 Сумка женская City Plume, красная")</f>
      </c>
      <c r="C30351" s="4" t="n">
        <v>3990.00</v>
      </c>
      <c r="D30351" s="4"/>
    </row>
    <row collapsed="" customFormat="false" customHeight="1" hidden="" ht="14" outlineLevel="0" r="30352">
      <c r="A30352" s="3" t="inlineStr">
        <is>
          <t>30205</t>
        </is>
      </c>
      <c r="B30352" s="4" t="s">
        <f>=HYPERLINK("http://anyluxury.ru/shop/prazdnik/8-marta/sumka-zhenskaya-city-plume-chernaya-p6101008/" , "P61-01008 Сумка женская City Plume, черная")</f>
      </c>
      <c r="C30352" s="4" t="n">
        <v>3990.00</v>
      </c>
      <c r="D30352" s="4"/>
    </row>
    <row collapsed="" customFormat="false" customHeight="1" hidden="" ht="14" outlineLevel="0" r="30353">
      <c r="A30353" s="3" t="inlineStr">
        <is>
          <t>30206</t>
        </is>
      </c>
      <c r="B30353" s="4" t="s">
        <f>=HYPERLINK("http://anyluxury.ru/shop/prazdnik/8-marta/podstavka-pod-kruzhku-tabletop-belaya-762160/" , "7621.60 Подставка под кружку Tabletop, белая")</f>
      </c>
      <c r="C30353" s="4" t="n">
        <v>550.00</v>
      </c>
      <c r="D30353" s="4"/>
    </row>
    <row collapsed="" customFormat="false" customHeight="1" hidden="" ht="14" outlineLevel="0" r="30354">
      <c r="A30354" s="3" t="inlineStr">
        <is>
          <t>30207</t>
        </is>
      </c>
      <c r="B30354" s="4" t="s">
        <f>=HYPERLINK("http://anyluxury.ru/shop/prazdnik/8-marta/organayzer-dlya-zaryadnih-ustroystv-apache-korichneviy-1344359/" , "13443.59 Органайзер для зарядных устройств Apache, коричневый (какао)")</f>
      </c>
      <c r="C30354" s="4" t="n">
        <v>2100.00</v>
      </c>
      <c r="D30354" s="4"/>
    </row>
    <row collapsed="" customFormat="false" customHeight="1" hidden="" ht="14" outlineLevel="0" r="30355">
      <c r="A30355" s="3" t="inlineStr">
        <is>
          <t>30208</t>
        </is>
      </c>
      <c r="B30355" s="4" t="s">
        <f>=HYPERLINK("http://anyluxury.ru/shop/prazdnik/8-marta/organayzer-dlya-puteshestviy-ticketjacket-pesochniy-1067700/" , "10677.00 Органайзер для путешествий ticketJacket, песочный")</f>
      </c>
      <c r="C30355" s="4" t="n">
        <v>1692.00</v>
      </c>
      <c r="D30355" s="4"/>
    </row>
    <row collapsed="" customFormat="false" customHeight="1" hidden="" ht="14" outlineLevel="0" r="30356">
      <c r="A30356" s="3" t="inlineStr">
        <is>
          <t>30209</t>
        </is>
      </c>
      <c r="B30356" s="4" t="s">
        <f>=HYPERLINK("http://anyluxury.ru/shop/prazdnik/8-marta/varezhki-schastliviy-klever-7033555/" , "70335.55 Варежки «Счастливый клевер», размер L")</f>
      </c>
      <c r="C30356" s="4" t="n">
        <v>568.00</v>
      </c>
      <c r="D30356" s="4"/>
    </row>
    <row collapsed="" customFormat="false" customHeight="1" hidden="" ht="14" outlineLevel="0" r="30357">
      <c r="A30357" s="3" t="inlineStr">
        <is>
          <t>30210</t>
        </is>
      </c>
      <c r="B30357" s="4" t="s">
        <f>=HYPERLINK("http://anyluxury.ru/shop/prazdnik/8-marta/grafin-fridge-v-chehle-svetlozeleniy-evkaliptoviy-1149191/" , "11491.91 Графин Fridge в чехле, светло-зеленый (эвкалиптовый)")</f>
      </c>
      <c r="C30357" s="4" t="n">
        <v>5290.00</v>
      </c>
      <c r="D30357" s="4"/>
    </row>
    <row collapsed="" customFormat="false" customHeight="1" hidden="" ht="14" outlineLevel="0" r="30358">
      <c r="A30358" s="3" t="inlineStr">
        <is>
          <t>30211</t>
        </is>
      </c>
      <c r="B30358" s="4" t="s">
        <f>=HYPERLINK("http://anyluxury.ru/shop/prazdnik/8-marta/grafin-fridge-v-chehle-goluboy-1149144/" , "11491.44 Графин Fridge в чехле, голубой")</f>
      </c>
      <c r="C30358" s="4" t="n">
        <v>5290.00</v>
      </c>
      <c r="D30358" s="4"/>
    </row>
    <row collapsed="" customFormat="false" customHeight="1" hidden="" ht="14" outlineLevel="0" r="30359">
      <c r="A30359" s="3" t="inlineStr">
        <is>
          <t>30212</t>
        </is>
      </c>
      <c r="B30359" s="4" t="s">
        <f>=HYPERLINK("http://anyluxury.ru/shop/prazdnik/8-marta/zonttrost-glare-flare-1237100/" , "12371.00 Зонт-трость Glare Flare")</f>
      </c>
      <c r="C30359" s="4" t="n">
        <v>1894.00</v>
      </c>
      <c r="D30359" s="4"/>
    </row>
    <row collapsed="" customFormat="false" customHeight="1" hidden="" ht="14" outlineLevel="0" r="30360">
      <c r="A30360" s="3" t="inlineStr">
        <is>
          <t>30213</t>
        </is>
      </c>
      <c r="B30360" s="4" t="s">
        <f>=HYPERLINK("http://anyluxury.ru/shop/prazdnik/8-marta/kruzhka-piacente-ver2-belaya-793861/" , "7938.61 Кружка Piacente, белая")</f>
      </c>
      <c r="C30360" s="4" t="n">
        <v>497.00</v>
      </c>
      <c r="D30360" s="4"/>
    </row>
    <row collapsed="" customFormat="false" customHeight="1" hidden="" ht="14" outlineLevel="0" r="30361">
      <c r="A30361" s="3" t="inlineStr">
        <is>
          <t>30214</t>
        </is>
      </c>
      <c r="B30361" s="4" t="s">
        <f>=HYPERLINK("http://anyluxury.ru/shop/prazdnik/8-marta/nabor-kosmetichek-manifold-krasniy-1589350/" , "15893.50 Набор несессеров Manifold, красный")</f>
      </c>
      <c r="C30361" s="4" t="n">
        <v>1967.00</v>
      </c>
      <c r="D30361" s="4"/>
    </row>
    <row collapsed="" customFormat="false" customHeight="1" hidden="" ht="14" outlineLevel="0" r="30362">
      <c r="A30362" s="3" t="inlineStr">
        <is>
          <t>30215</t>
        </is>
      </c>
      <c r="B30362" s="4" t="s">
        <f>=HYPERLINK("http://anyluxury.ru/shop/prazdnik/8-marta/aerator-dlya-vina-easy-breezy-1238211/" , "12382.11 Аэратор для вина Easy Breezy")</f>
      </c>
      <c r="C30362" s="4" t="n">
        <v>1102.00</v>
      </c>
      <c r="D30362" s="4"/>
    </row>
    <row collapsed="" customFormat="false" customHeight="1" hidden="" ht="14" outlineLevel="0" r="30363">
      <c r="A30363" s="3" t="inlineStr">
        <is>
          <t>30216</t>
        </is>
      </c>
      <c r="B30363" s="4" t="s">
        <f>=HYPERLINK("http://anyluxury.ru/shop/prazdnik/8-marta/orehi-v-shokoladnoy-glazuri-sweetnut-12435/" , "12435 Орехи в шоколадной глазури Sweetnut")</f>
      </c>
      <c r="C30363" s="4" t="n">
        <v>276.00</v>
      </c>
      <c r="D30363" s="4"/>
    </row>
    <row collapsed="" customFormat="false" customHeight="1" hidden="" ht="14" outlineLevel="0" r="30364">
      <c r="A30364" s="3" t="inlineStr">
        <is>
          <t>30217</t>
        </is>
      </c>
      <c r="B30364" s="4" t="s">
        <f>=HYPERLINK("http://anyluxury.ru/shop/prazdnik/8-marta/solenaya-karamel-sur-mer-belaya-1268002/" , "12680.02 Соленая карамель Sur Mer, белая")</f>
      </c>
      <c r="C30364" s="4" t="n">
        <v>315.00</v>
      </c>
      <c r="D30364" s="4"/>
    </row>
    <row collapsed="" customFormat="false" customHeight="1" hidden="" ht="14" outlineLevel="0" r="30365">
      <c r="A30365" s="3" t="inlineStr">
        <is>
          <t>30218</t>
        </is>
      </c>
      <c r="B30365" s="4" t="s">
        <f>=HYPERLINK("http://anyluxury.ru/shop/prazdnik/8-marta/nabor-eco-kitchen-1172200/" , "11722.00 Набор Eco Kitchen")</f>
      </c>
      <c r="C30365" s="4" t="n">
        <v>1416.00</v>
      </c>
      <c r="D30365" s="4"/>
    </row>
    <row collapsed="" customFormat="false" customHeight="1" hidden="" ht="14" outlineLevel="0" r="30366">
      <c r="A30366" s="3" t="inlineStr">
        <is>
          <t>30219</t>
        </is>
      </c>
      <c r="B30366" s="4" t="s">
        <f>=HYPERLINK("http://anyluxury.ru/shop/prazdnik/8-marta/stakan-s-dvoynimi-stenkami-glass-bubble-567602/" , "5676.02 Стакан с двойными стенками Glass Bubble, бесцветный")</f>
      </c>
      <c r="C30366" s="4" t="n">
        <v>728.00</v>
      </c>
      <c r="D30366" s="4"/>
    </row>
    <row collapsed="" customFormat="false" customHeight="1" hidden="" ht="14" outlineLevel="0" r="30367">
      <c r="A30367" s="3" t="inlineStr">
        <is>
          <t>30220</t>
        </is>
      </c>
      <c r="B30367" s="4" t="s">
        <f>=HYPERLINK("http://anyluxury.ru/shop/prazdnik/8-marta/stakan-s-dvoynimi-stenkami-glass-bubble-zeleniy-567690/" , "5676.90 Стакан с двойными стенками Glass Bubble, зеленый")</f>
      </c>
      <c r="C30367" s="4" t="n">
        <v>815.00</v>
      </c>
      <c r="D30367" s="4"/>
    </row>
    <row collapsed="" customFormat="false" customHeight="1" hidden="" ht="14" outlineLevel="0" r="30368">
      <c r="A30368" s="3" t="inlineStr">
        <is>
          <t>30221</t>
        </is>
      </c>
      <c r="B30368" s="4" t="s">
        <f>=HYPERLINK("http://anyluxury.ru/shop/prazdnik/8-marta/stakan-s-dvoynimi-stenkami-glass-bubble-zheltiy-567680/" , "5676.80 Стакан с двойными стенками Glass Bubble, желтый")</f>
      </c>
      <c r="C30368" s="4" t="n">
        <v>815.00</v>
      </c>
      <c r="D30368" s="4"/>
    </row>
    <row collapsed="" customFormat="false" customHeight="1" hidden="" ht="14" outlineLevel="0" r="30369">
      <c r="A30369" s="3" t="inlineStr">
        <is>
          <t>30222</t>
        </is>
      </c>
      <c r="B30369" s="4" t="s">
        <f>=HYPERLINK("http://anyluxury.ru/shop/prazdnik/8-marta/stakan-s-dvoynimi-stenkami-glass-bubble-siniy-567640/" , "5676.40 Стакан с двойными стенками Glass Bubble, синий")</f>
      </c>
      <c r="C30369" s="4" t="n">
        <v>815.00</v>
      </c>
      <c r="D30369" s="4"/>
    </row>
    <row collapsed="" customFormat="false" customHeight="1" hidden="" ht="14" outlineLevel="0" r="30370">
      <c r="A30370" s="3" t="inlineStr">
        <is>
          <t>30223</t>
        </is>
      </c>
      <c r="B30370" s="4" t="s">
        <f>=HYPERLINK("http://anyluxury.ru/shop/prazdnik/8-marta/elektricheskiy-shtopor-s-nozhom-dlya-folgi-wine-diesel-serebristiy-1502710/" , "15027.10 Электрический штопор с ножом для фольги Wine Diesel, серебристый")</f>
      </c>
      <c r="C30370" s="4" t="n">
        <v>2750.00</v>
      </c>
      <c r="D30370" s="4"/>
    </row>
    <row collapsed="" customFormat="false" customHeight="1" hidden="" ht="14" outlineLevel="0" r="30371">
      <c r="A30371" s="3" t="inlineStr">
        <is>
          <t>30224</t>
        </is>
      </c>
      <c r="B30371" s="4" t="s">
        <f>=HYPERLINK("http://anyluxury.ru/shop/prazdnik/8-marta/sterilizator-us06-12780/" , "12780 Беспроводной стерилизатор US06")</f>
      </c>
      <c r="C30371" s="4" t="n">
        <v>1590.00</v>
      </c>
      <c r="D30371" s="4"/>
    </row>
    <row collapsed="" customFormat="false" customHeight="1" hidden="" ht="14" outlineLevel="0" r="30372">
      <c r="A30372" s="3" t="inlineStr">
        <is>
          <t>30225</t>
        </is>
      </c>
      <c r="B30372" s="4" t="s">
        <f>=HYPERLINK("http://anyluxury.ru/shop/prazdnik/8-marta/kabel-triple-charge-v-futlyare-2200630/" , "22006.30 Кабель Triple Charge в футляре")</f>
      </c>
      <c r="C30372" s="4" t="n">
        <v>739.00</v>
      </c>
      <c r="D30372" s="4"/>
    </row>
    <row collapsed="" customFormat="false" customHeight="1" hidden="" ht="14" outlineLevel="0" r="30373">
      <c r="A30373" s="3" t="inlineStr">
        <is>
          <t>30226</t>
        </is>
      </c>
      <c r="B30373" s="4" t="s">
        <f>=HYPERLINK("http://anyluxury.ru/shop/prazdnik/8-marta/holshhovaya-sumka-avoska-golubaya-1129314/" , "11293.14 Холщовая сумка Avoska, голубая")</f>
      </c>
      <c r="C30373" s="4" t="n">
        <v>399.00</v>
      </c>
      <c r="D30373" s="4"/>
    </row>
    <row collapsed="" customFormat="false" customHeight="1" hidden="" ht="14" outlineLevel="0" r="30374">
      <c r="A30374" s="3" t="inlineStr">
        <is>
          <t>30227</t>
        </is>
      </c>
      <c r="B30374" s="4" t="s">
        <f>=HYPERLINK("http://anyluxury.ru/shop/prazdnik/8-marta/holshhovaya-sumka-avoska-zelenaya-myatnaya-1129342/" , "11293.42 Холщовая сумка Avoska, бирюзовая")</f>
      </c>
      <c r="C30374" s="4" t="n">
        <v>399.00</v>
      </c>
      <c r="D30374" s="4"/>
    </row>
    <row collapsed="" customFormat="false" customHeight="1" hidden="" ht="14" outlineLevel="0" r="30375">
      <c r="A30375" s="3" t="inlineStr">
        <is>
          <t>30228</t>
        </is>
      </c>
      <c r="B30375" s="4" t="s">
        <f>=HYPERLINK("http://anyluxury.ru/shop/prazdnik/8-marta/holshhovaya-sumka-avoska-sirenevaya-1129356/" , "11293.56 Холщовая сумка Avoska, сиреневая (орхидея)")</f>
      </c>
      <c r="C30375" s="4" t="n">
        <v>399.00</v>
      </c>
      <c r="D30375" s="4"/>
    </row>
    <row collapsed="" customFormat="false" customHeight="1" hidden="" ht="14" outlineLevel="0" r="30376">
      <c r="A30376" s="3" t="inlineStr">
        <is>
          <t>30229</t>
        </is>
      </c>
      <c r="B30376" s="4" t="s">
        <f>=HYPERLINK("http://anyluxury.ru/shop/prazdnik/8-marta/ultrazvukovoy-skrabber-us02-12995/" , "12995 Ультразвуковой скраббер US02")</f>
      </c>
      <c r="C30376" s="4" t="n">
        <v>2190.00</v>
      </c>
      <c r="D30376" s="4"/>
    </row>
    <row collapsed="" customFormat="false" customHeight="1" hidden="" ht="14" outlineLevel="0" r="30377">
      <c r="A30377" s="3" t="inlineStr">
        <is>
          <t>30230</t>
        </is>
      </c>
      <c r="B30377" s="4" t="s">
        <f>=HYPERLINK("http://anyluxury.ru/shop/prazdnik/8-marta/besprovodnoe-zaryadnoe-ustroystvo-s-magnitom-magmate-serebristoe-2202310/" , "22023.10 Беспроводное зарядное устройство с магнитами Magmate, серебристое")</f>
      </c>
      <c r="C30377" s="4" t="n">
        <v>1290.00</v>
      </c>
      <c r="D30377" s="4"/>
    </row>
    <row collapsed="" customFormat="false" customHeight="1" hidden="" ht="14" outlineLevel="0" r="30378">
      <c r="A30378" s="3" t="inlineStr">
        <is>
          <t>30231</t>
        </is>
      </c>
      <c r="B30378" s="4" t="s">
        <f>=HYPERLINK("http://anyluxury.ru/shop/prazdnik/8-marta/sol-dlya-vanni-feeria-s-rozoy-1507301/" , "15073.01 Соль для ванны Feeria, с розой")</f>
      </c>
      <c r="C30378" s="4" t="n">
        <v>243.00</v>
      </c>
      <c r="D30378" s="4"/>
    </row>
    <row collapsed="" customFormat="false" customHeight="1" hidden="" ht="14" outlineLevel="0" r="30379">
      <c r="A30379" s="3" t="inlineStr">
        <is>
          <t>30232</t>
        </is>
      </c>
      <c r="B30379" s="4" t="s">
        <f>=HYPERLINK("http://anyluxury.ru/shop/prazdnik/8-marta/sol-dlya-vanni-feeria-s-lavandoy-1507302/" , "15073.02 Соль для ванны Feeria, с лавандой")</f>
      </c>
      <c r="C30379" s="4" t="n">
        <v>243.00</v>
      </c>
      <c r="D30379" s="4"/>
    </row>
    <row collapsed="" customFormat="false" customHeight="1" hidden="" ht="14" outlineLevel="0" r="30380">
      <c r="A30380" s="3" t="inlineStr">
        <is>
          <t>30233</t>
        </is>
      </c>
      <c r="B30380" s="4" t="s">
        <f>=HYPERLINK("http://anyluxury.ru/shop/prazdnik/8-marta/sol-dlya-vanni-feeria-v-banke-bez-dobavok-1507201/" , "15072.01 Соль для ванны Feeria в банке, без добавок")</f>
      </c>
      <c r="C30380" s="4" t="n">
        <v>384.00</v>
      </c>
      <c r="D30380" s="4"/>
    </row>
    <row collapsed="" customFormat="false" customHeight="1" hidden="" ht="14" outlineLevel="0" r="30381">
      <c r="A30381" s="3" t="inlineStr">
        <is>
          <t>30234</t>
        </is>
      </c>
      <c r="B30381" s="4" t="s">
        <f>=HYPERLINK("http://anyluxury.ru/shop/prazdnik/8-marta/sol-dlya-vanni-feeria-v-banke-s-lavandoy-1507202/" , "15072.02 Соль для ванны Feeria в банке, с лавандой")</f>
      </c>
      <c r="C30381" s="4" t="n">
        <v>384.00</v>
      </c>
      <c r="D30381" s="4"/>
    </row>
    <row collapsed="" customFormat="false" customHeight="1" hidden="" ht="14" outlineLevel="0" r="30382">
      <c r="A30382" s="3" t="inlineStr">
        <is>
          <t>30235</t>
        </is>
      </c>
      <c r="B30382" s="4" t="s">
        <f>=HYPERLINK("http://anyluxury.ru/shop/prazdnik/8-marta/kruzhka-coralli-fiore-1882560/" , "18825.60 Кружка Coralli Fiore")</f>
      </c>
      <c r="C30382" s="4" t="n">
        <v>1089.10</v>
      </c>
      <c r="D30382" s="4"/>
    </row>
    <row collapsed="" customFormat="false" customHeight="1" hidden="" ht="14" outlineLevel="0" r="30383">
      <c r="A30383" s="3" t="inlineStr">
        <is>
          <t>30236</t>
        </is>
      </c>
      <c r="B30383" s="4" t="s">
        <f>=HYPERLINK("http://anyluxury.ru/shop/prazdnik/8-marta/dorozhnaya-kosmetichka-cubo-seraya-1383410/" , "13834.10 Дорожная косметичка Cubo, серая")</f>
      </c>
      <c r="C30383" s="4" t="n">
        <v>1390.00</v>
      </c>
      <c r="D30383" s="4"/>
    </row>
    <row collapsed="" customFormat="false" customHeight="1" hidden="" ht="14" outlineLevel="0" r="30384">
      <c r="A30384" s="3" t="inlineStr">
        <is>
          <t>30237</t>
        </is>
      </c>
      <c r="B30384" s="4" t="s">
        <f>=HYPERLINK("http://anyluxury.ru/shop/prazdnik/8-marta/dorozhnaya-kosmetichka-cubo-bezhevaya-1383416/" , "13834.16 Дорожная косметичка Cubo, бежевая")</f>
      </c>
      <c r="C30384" s="4" t="n">
        <v>1390.00</v>
      </c>
      <c r="D30384" s="4"/>
    </row>
    <row collapsed="" customFormat="false" customHeight="1" hidden="" ht="14" outlineLevel="0" r="30385">
      <c r="A30385" s="3" t="inlineStr">
        <is>
          <t>30238</t>
        </is>
      </c>
      <c r="B30385" s="4" t="s">
        <f>=HYPERLINK("http://anyluxury.ru/shop/prazdnik/8-marta/shoper-clarity-1383500/" , "13835.00 Шопер Clarity, прозрачный")</f>
      </c>
      <c r="C30385" s="4" t="n">
        <v>1290.00</v>
      </c>
      <c r="D30385" s="4"/>
    </row>
    <row collapsed="" customFormat="false" customHeight="1" hidden="" ht="14" outlineLevel="0" r="30386">
      <c r="A30386" s="3" t="inlineStr">
        <is>
          <t>30239</t>
        </is>
      </c>
      <c r="B30386" s="4" t="s">
        <f>=HYPERLINK("http://anyluxury.ru/shop/prazdnik/8-marta/organayzer-opaque-cherniy-1383630/" , "13836.30 Органайзер Opaque, черный")</f>
      </c>
      <c r="C30386" s="4" t="n">
        <v>790.00</v>
      </c>
      <c r="D30386" s="4"/>
    </row>
    <row collapsed="" customFormat="false" customHeight="1" hidden="" ht="14" outlineLevel="0" r="30387">
      <c r="A30387" s="3" t="inlineStr">
        <is>
          <t>30240</t>
        </is>
      </c>
      <c r="B30387" s="4" t="s">
        <f>=HYPERLINK("http://anyluxury.ru/shop/prazdnik/8-marta/organayzer-opaque-beliy-1383660/" , "13836.60 Органайзер Opaque, белый")</f>
      </c>
      <c r="C30387" s="4" t="n">
        <v>790.00</v>
      </c>
      <c r="D30387" s="4"/>
    </row>
    <row collapsed="" customFormat="false" customHeight="1" hidden="" ht="14" outlineLevel="0" r="30388">
      <c r="A30388" s="3" t="inlineStr">
        <is>
          <t>30241</t>
        </is>
      </c>
      <c r="B30388" s="4" t="s">
        <f>=HYPERLINK("http://anyluxury.ru/shop/prazdnik/8-marta/pled-pail-tint-siniy-1522540/" , "15225.40 Плед Pail Tint, синий")</f>
      </c>
      <c r="C30388" s="4" t="n">
        <v>1900.00</v>
      </c>
      <c r="D30388" s="4"/>
    </row>
    <row collapsed="" customFormat="false" customHeight="1" hidden="" ht="14" outlineLevel="0" r="30389">
      <c r="A30389" s="3" t="inlineStr">
        <is>
          <t>30242</t>
        </is>
      </c>
      <c r="B30389" s="4" t="s">
        <f>=HYPERLINK("http://anyluxury.ru/shop/prazdnik/8-marta/kosinka-dalia-temnosinyaya-1808843/" , "18088.43 Косынка Dalia, темно-синяя")</f>
      </c>
      <c r="C30389" s="4" t="n">
        <v>1564.00</v>
      </c>
      <c r="D30389" s="4"/>
    </row>
    <row collapsed="" customFormat="false" customHeight="1" hidden="" ht="14" outlineLevel="0" r="30390">
      <c r="A30390" s="3" t="inlineStr">
        <is>
          <t>30243</t>
        </is>
      </c>
      <c r="B30390" s="4" t="s">
        <f>=HYPERLINK("http://anyluxury.ru/shop/prazdnik/8-marta/kosinka-dalia-krasnaya-1808850/" , "18088.50 Косынка Dalia, красная")</f>
      </c>
      <c r="C30390" s="4" t="n">
        <v>1564.00</v>
      </c>
      <c r="D30390" s="4"/>
    </row>
    <row collapsed="" customFormat="false" customHeight="1" hidden="" ht="14" outlineLevel="0" r="30391">
      <c r="A30391" s="3" t="inlineStr">
        <is>
          <t>30244</t>
        </is>
      </c>
      <c r="B30391" s="4" t="s">
        <f>=HYPERLINK("http://anyluxury.ru/shop/prazdnik/8-marta/kosinka-dalia-temnokorichnevaya-1808859/" , "18088.59 Косынка Dalia, темно-коричневая")</f>
      </c>
      <c r="C30391" s="4" t="n">
        <v>1564.00</v>
      </c>
      <c r="D30391" s="4"/>
    </row>
    <row collapsed="" customFormat="false" customHeight="1" hidden="" ht="14" outlineLevel="0" r="30392">
      <c r="A30392" s="3" t="inlineStr">
        <is>
          <t>30245</t>
        </is>
      </c>
      <c r="B30392" s="4" t="s">
        <f>=HYPERLINK("http://anyluxury.ru/shop/prazdnik/8-marta/kosinka-dalia-svetlokorichnevaya-1808855/" , "18088.55 Косынка Dalia, светло-коричневая")</f>
      </c>
      <c r="C30392" s="4" t="n">
        <v>1564.00</v>
      </c>
      <c r="D30392" s="4"/>
    </row>
    <row collapsed="" customFormat="false" customHeight="1" hidden="" ht="14" outlineLevel="0" r="30393">
      <c r="A30393" s="3" t="inlineStr">
        <is>
          <t>30246</t>
        </is>
      </c>
      <c r="B30393" s="4" t="s">
        <f>=HYPERLINK("http://anyluxury.ru/shop/prazdnik/8-marta/konfityur-skazhite-chiiiz-14620/" , "14620 Конфитюр «Скажите чиииз»")</f>
      </c>
      <c r="C30393" s="4" t="n">
        <v>360.00</v>
      </c>
      <c r="D30393" s="4"/>
    </row>
    <row collapsed="" customFormat="false" customHeight="1" hidden="" ht="14" outlineLevel="0" r="30394">
      <c r="A30394" s="3" t="inlineStr">
        <is>
          <t>30247</t>
        </is>
      </c>
      <c r="B30394" s="4" t="s">
        <f>=HYPERLINK("http://anyluxury.ru/shop/prazdnik/8-marta/yagodnofruktoviy-sous-krasnaya-koroleva-14623/" , "14623 Ягодно-фруктовый соус «Красная королева»")</f>
      </c>
      <c r="C30394" s="4" t="n">
        <v>432.00</v>
      </c>
      <c r="D30394" s="4"/>
    </row>
    <row collapsed="" customFormat="false" customHeight="1" hidden="" ht="14" outlineLevel="0" r="30395">
      <c r="A30395" s="3" t="inlineStr">
        <is>
          <t>30248</t>
        </is>
      </c>
      <c r="B30395" s="4" t="s">
        <f>=HYPERLINK("http://anyluxury.ru/shop/prazdnik/8-marta/ledenec-lollifruit-zheltiy-s-bananom-1463001/" , "14630.01 Леденец Lollifruit, желтый с бананом")</f>
      </c>
      <c r="C30395" s="4" t="n">
        <v>132.00</v>
      </c>
      <c r="D30395" s="4"/>
    </row>
    <row collapsed="" customFormat="false" customHeight="1" hidden="" ht="14" outlineLevel="0" r="30396">
      <c r="A30396" s="3" t="inlineStr">
        <is>
          <t>30249</t>
        </is>
      </c>
      <c r="B30396" s="4" t="s">
        <f>=HYPERLINK("http://anyluxury.ru/shop/prazdnik/8-marta/ledenec-lollifruit-zeleniy-s-kivi-1463002/" , "14630.02 Леденец Lollifruit, зеленый с киви")</f>
      </c>
      <c r="C30396" s="4" t="n">
        <v>132.00</v>
      </c>
      <c r="D30396" s="4"/>
    </row>
    <row collapsed="" customFormat="false" customHeight="1" hidden="" ht="14" outlineLevel="0" r="30397">
      <c r="A30397" s="3" t="inlineStr">
        <is>
          <t>30250</t>
        </is>
      </c>
      <c r="B30397" s="4" t="s">
        <f>=HYPERLINK("http://anyluxury.ru/shop/prazdnik/8-marta/ledenec-lollifruit-krasniy-s-sublimirovannoy-klubnikoy-1463003/" , "14630.03 Леденец Lollifruit, красный с сублимированной клубникой")</f>
      </c>
      <c r="C30397" s="4" t="n">
        <v>132.00</v>
      </c>
      <c r="D30397" s="4"/>
    </row>
    <row collapsed="" customFormat="false" customHeight="1" hidden="" ht="14" outlineLevel="0" r="30398">
      <c r="A30398" s="3" t="inlineStr">
        <is>
          <t>30251</t>
        </is>
      </c>
      <c r="B30398" s="4" t="s">
        <f>=HYPERLINK("http://anyluxury.ru/shop/prazdnik/8-marta/ledenec-lollifruit-oranzheviy-s-apelsinom-1463004/" , "14630.04 Леденец Lollifruit, оранжевый с апельсином")</f>
      </c>
      <c r="C30398" s="4" t="n">
        <v>132.00</v>
      </c>
      <c r="D30398" s="4"/>
    </row>
    <row collapsed="" customFormat="false" customHeight="1" hidden="" ht="14" outlineLevel="0" r="30399">
      <c r="A30399" s="3" t="inlineStr">
        <is>
          <t>30252</t>
        </is>
      </c>
      <c r="B30399" s="4" t="s">
        <f>=HYPERLINK("http://anyluxury.ru/shop/prazdnik/8-marta/dzhem-na-vinogradnom-soke-best-berries-krasnaya-smorodina-1309607/" , "13096.07 Джем на виноградном соке Best Berries, красная смородина")</f>
      </c>
      <c r="C30399" s="4" t="n">
        <v>80.00</v>
      </c>
      <c r="D30399" s="4"/>
    </row>
    <row collapsed="" customFormat="false" customHeight="1" hidden="" ht="14" outlineLevel="0" r="30400">
      <c r="A30400" s="3" t="inlineStr">
        <is>
          <t>30253</t>
        </is>
      </c>
      <c r="B30400" s="4" t="s">
        <f>=HYPERLINK("http://anyluxury.ru/shop/prazdnik/8-marta/kruzhka-s-dvoynimi-stenkami-double-wall-1791100/" , "17911.00 Кружка с двойными стенками Double Wall")</f>
      </c>
      <c r="C30400" s="4" t="n">
        <v>923.00</v>
      </c>
      <c r="D30400" s="4"/>
    </row>
    <row collapsed="" customFormat="false" customHeight="1" hidden="" ht="14" outlineLevel="0" r="30401">
      <c r="A30401" s="3" t="inlineStr">
        <is>
          <t>30254</t>
        </is>
      </c>
      <c r="B30401" s="4" t="s">
        <f>=HYPERLINK("http://anyluxury.ru/shop/prazdnik/8-marta/nastolniy-uvlazhnitel-s-podsvetkoy-dh13-beliy-1371960/" , "13719.60 Настольный увлажнитель с подсветкой DH13, белый")</f>
      </c>
      <c r="C30401" s="4" t="n">
        <v>1590.00</v>
      </c>
      <c r="D30401" s="4"/>
    </row>
    <row collapsed="" customFormat="false" customHeight="1" hidden="" ht="14" outlineLevel="0" r="30402">
      <c r="A30402" s="3" t="inlineStr">
        <is>
          <t>30255</t>
        </is>
      </c>
      <c r="B30402" s="4" t="s">
        <f>=HYPERLINK("http://anyluxury.ru/shop/prazdnik/8-marta/nabor-shokolada-endorphin-ver2-1014000/" , "10140.00 Набор шоколада Endorphin, ver.2")</f>
      </c>
      <c r="C30402" s="4" t="n">
        <v>460.00</v>
      </c>
      <c r="D30402" s="4"/>
    </row>
    <row collapsed="" customFormat="false" customHeight="1" hidden="" ht="14" outlineLevel="0" r="30403">
      <c r="A30403" s="3" t="inlineStr">
        <is>
          <t>30256</t>
        </is>
      </c>
      <c r="B30403" s="4" t="s">
        <f>=HYPERLINK("http://anyluxury.ru/shop/prazdnik/8-marta/nabor-dlya-mohito-bar-me-tender-s-madlerom-1585400/" , "15854.00 Набор для мохито Bar Me Tender с мадлером")</f>
      </c>
      <c r="C30403" s="4" t="n">
        <v>498.00</v>
      </c>
      <c r="D30403" s="4"/>
    </row>
    <row collapsed="" customFormat="false" customHeight="1" hidden="" ht="14" outlineLevel="0" r="30404">
      <c r="A30404" s="3" t="inlineStr">
        <is>
          <t>30257</t>
        </is>
      </c>
      <c r="B30404" s="4" t="s">
        <f>=HYPERLINK("http://anyluxury.ru/shop/prazdnik/8-marta/nabor-nesesserov-manifold-rozoviy-pudroviy-1589311/" , "15893.11 Набор несессеров Manifold, розовый (пудровый)")</f>
      </c>
      <c r="C30404" s="4" t="n">
        <v>1967.00</v>
      </c>
      <c r="D30404" s="4"/>
    </row>
    <row collapsed="" customFormat="false" customHeight="1" hidden="" ht="14" outlineLevel="0" r="30405">
      <c r="A30405" s="3" t="inlineStr">
        <is>
          <t>30258</t>
        </is>
      </c>
      <c r="B30405" s="4" t="s">
        <f>=HYPERLINK("http://anyluxury.ru/shop/prazdnik/8-marta/organayzer-dlya-zaryadnih-ustroystv-apache-temnokrasniy-1344305/" , "13443.05 Органайзер для зарядных устройств Apache, темно-красный")</f>
      </c>
      <c r="C30405" s="4" t="n">
        <v>2100.00</v>
      </c>
      <c r="D30405" s="4"/>
    </row>
    <row collapsed="" customFormat="false" customHeight="1" hidden="" ht="14" outlineLevel="0" r="30406">
      <c r="A30406" s="3" t="inlineStr">
        <is>
          <t>30259</t>
        </is>
      </c>
      <c r="B30406" s="4" t="s">
        <f>=HYPERLINK("http://anyluxury.ru/shop/prazdnik/8-marta/organayzer-dlya-zaryadnih-ustroystv-apache-temnozeleniy-1344399/" , "13443.99 Органайзер для зарядных устройств Apache, темно-зеленый")</f>
      </c>
      <c r="C30406" s="4" t="n">
        <v>2100.00</v>
      </c>
      <c r="D30406" s="4"/>
    </row>
    <row collapsed="" customFormat="false" customHeight="1" hidden="" ht="14" outlineLevel="0" r="30407">
      <c r="A30407" s="3" t="inlineStr">
        <is>
          <t>30260</t>
        </is>
      </c>
      <c r="B30407" s="4" t="s">
        <f>=HYPERLINK("http://anyluxury.ru/shop/prazdnik/8-marta/portativniy-blender-smoothberry-beliy-3013860/" , "30138.60 Портативный блендер Smoothberry, белый")</f>
      </c>
      <c r="C30407" s="4" t="n">
        <v>1590.00</v>
      </c>
      <c r="D30407" s="4"/>
    </row>
    <row collapsed="" customFormat="false" customHeight="1" hidden="" ht="14" outlineLevel="0" r="30408">
      <c r="A30408" s="3" t="inlineStr">
        <is>
          <t>30261</t>
        </is>
      </c>
      <c r="B30408" s="4" t="s">
        <f>=HYPERLINK("http://anyluxury.ru/shop/prazdnik/8-marta/nabor-nesesserov-manifold-siniy-1589340/" , "15893.40 Набор несессеров Manifold, синий")</f>
      </c>
      <c r="C30408" s="4" t="n">
        <v>1967.00</v>
      </c>
      <c r="D30408" s="4"/>
    </row>
    <row collapsed="" customFormat="false" customHeight="1" hidden="" ht="14" outlineLevel="0" r="30409">
      <c r="A30409" s="3" t="inlineStr">
        <is>
          <t>30262</t>
        </is>
      </c>
      <c r="B30409" s="4" t="s">
        <f>=HYPERLINK("http://anyluxury.ru/shop/prazdnik/8-marta/nabor-iz-2-bokalov-dlya-vina-golden-days-1751080/" , "17510.80 Набор из 2 бокалов для вина Golden Days")</f>
      </c>
      <c r="C30409" s="4" t="n">
        <v>1943.00</v>
      </c>
      <c r="D30409" s="4"/>
    </row>
    <row collapsed="" customFormat="false" customHeight="1" hidden="" ht="14" outlineLevel="0" r="30410">
      <c r="A30410" s="3" t="inlineStr">
        <is>
          <t>30263</t>
        </is>
      </c>
      <c r="B30410" s="4" t="s">
        <f>=HYPERLINK("http://anyluxury.ru/shop/prazdnik/8-marta/butilka-dlya-vodi-onflow-belaya-1539910/" , "15399.10 Бутылка для воды Onflow, белая")</f>
      </c>
      <c r="C30410" s="4" t="n">
        <v>893.00</v>
      </c>
      <c r="D30410" s="4"/>
    </row>
    <row collapsed="" customFormat="false" customHeight="1" hidden="" ht="14" outlineLevel="0" r="30411">
      <c r="A30411" s="3" t="inlineStr">
        <is>
          <t>30264</t>
        </is>
      </c>
      <c r="B30411" s="4" t="s">
        <f>=HYPERLINK("http://anyluxury.ru/shop/prazdnik/8-marta/butilka-dlya-vodi-onflow-sinyaya-1539940/" , "15399.40 Бутылка для воды Onflow, синяя")</f>
      </c>
      <c r="C30411" s="4" t="n">
        <v>893.00</v>
      </c>
      <c r="D30411" s="4"/>
    </row>
    <row collapsed="" customFormat="false" customHeight="1" hidden="" ht="14" outlineLevel="0" r="30412">
      <c r="A30412" s="3" t="inlineStr">
        <is>
          <t>30265</t>
        </is>
      </c>
      <c r="B30412" s="4" t="s">
        <f>=HYPERLINK("http://anyluxury.ru/shop/prazdnik/8-marta/butilka-dlya-vodi-onflow-seraya-1539960/" , "15399.60 Бутылка для воды Onflow, серая")</f>
      </c>
      <c r="C30412" s="4" t="n">
        <v>893.00</v>
      </c>
      <c r="D30412" s="4"/>
    </row>
    <row collapsed="" customFormat="false" customHeight="1" hidden="" ht="14" outlineLevel="0" r="30413">
      <c r="A30413" s="3" t="inlineStr">
        <is>
          <t>30266</t>
        </is>
      </c>
      <c r="B30413" s="4" t="s">
        <f>=HYPERLINK("http://anyluxury.ru/shop/prazdnik/8-marta/butilka-dlya-vodi-onflow-chernaya-1539930/" , "15399.30 Бутылка для воды Onflow, черная")</f>
      </c>
      <c r="C30413" s="4" t="n">
        <v>893.00</v>
      </c>
      <c r="D30413" s="4"/>
    </row>
    <row collapsed="" customFormat="false" customHeight="1" hidden="" ht="14" outlineLevel="0" r="30414">
      <c r="A30414" s="3" t="inlineStr">
        <is>
          <t>30267</t>
        </is>
      </c>
      <c r="B30414" s="4" t="s">
        <f>=HYPERLINK("http://anyluxury.ru/shop/prazdnik/8-marta/frenchpress-cupcode-1809300/" , "18093.00 Френч-пресс Cupcode")</f>
      </c>
      <c r="C30414" s="4" t="n">
        <v>1353.00</v>
      </c>
      <c r="D30414" s="4"/>
    </row>
    <row collapsed="" customFormat="false" customHeight="1" hidden="" ht="14" outlineLevel="0" r="30415">
      <c r="A30415" s="3" t="inlineStr">
        <is>
          <t>30268</t>
        </is>
      </c>
      <c r="B30415" s="4" t="s">
        <f>=HYPERLINK("http://anyluxury.ru/shop/prazdnik/8-marta/shoper-verkko-serogoluboy-1546413/" , "15464.13 Шопер Verkko, серо-голубой")</f>
      </c>
      <c r="C30415" s="4" t="n">
        <v>1490.00</v>
      </c>
      <c r="D30415" s="4"/>
    </row>
    <row collapsed="" customFormat="false" customHeight="1" hidden="" ht="14" outlineLevel="0" r="30416">
      <c r="A30416" s="3" t="inlineStr">
        <is>
          <t>30269</t>
        </is>
      </c>
      <c r="B30416" s="4" t="s">
        <f>=HYPERLINK("http://anyluxury.ru/shop/prazdnik/8-marta/nesesser-verkko-serogoluboy-1546513/" , "15465.13 Несессер Verkko, серо-голубой")</f>
      </c>
      <c r="C30416" s="4" t="n">
        <v>490.00</v>
      </c>
      <c r="D30416" s="4"/>
    </row>
    <row collapsed="" customFormat="false" customHeight="1" hidden="" ht="14" outlineLevel="0" r="30417">
      <c r="A30417" s="3" t="inlineStr">
        <is>
          <t>30270</t>
        </is>
      </c>
      <c r="B30417" s="4" t="s">
        <f>=HYPERLINK("http://anyluxury.ru/shop/prazdnik/8-marta/nesesser-remark-seriy-1549110/" , "15491.10 Несессер Remark, серый")</f>
      </c>
      <c r="C30417" s="4" t="n">
        <v>454.00</v>
      </c>
      <c r="D30417" s="4"/>
    </row>
    <row collapsed="" customFormat="false" customHeight="1" hidden="" ht="14" outlineLevel="0" r="30418">
      <c r="A30418" s="3" t="inlineStr">
        <is>
          <t>30271</t>
        </is>
      </c>
      <c r="B30418" s="4" t="s">
        <f>=HYPERLINK("http://anyluxury.ru/shop/prazdnik/8-marta/nesesser-remark-siniy-1549140/" , "15491.40 Несессер Remark, синий")</f>
      </c>
      <c r="C30418" s="4" t="n">
        <v>454.00</v>
      </c>
      <c r="D30418" s="4"/>
    </row>
    <row collapsed="" customFormat="false" customHeight="1" hidden="" ht="14" outlineLevel="0" r="30419">
      <c r="A30419" s="3" t="inlineStr">
        <is>
          <t>30272</t>
        </is>
      </c>
      <c r="B30419" s="4" t="s">
        <f>=HYPERLINK("http://anyluxury.ru/shop/prazdnik/8-marta/podushka-settle-in-seraya-1630010/" , "16300.10 Подушка Settle In, серая")</f>
      </c>
      <c r="C30419" s="4" t="n">
        <v>900.00</v>
      </c>
      <c r="D30419" s="4"/>
    </row>
    <row collapsed="" customFormat="false" customHeight="1" hidden="" ht="14" outlineLevel="0" r="30420">
      <c r="A30420" s="3" t="inlineStr">
        <is>
          <t>30273</t>
        </is>
      </c>
      <c r="B30420" s="4" t="s">
        <f>=HYPERLINK("http://anyluxury.ru/shop/prazdnik/8-marta/podushka-settle-in-temnoseraya-1630031/" , "16300.31 Подушка Settle In, темно-серая")</f>
      </c>
      <c r="C30420" s="4" t="n">
        <v>900.00</v>
      </c>
      <c r="D30420" s="4"/>
    </row>
    <row collapsed="" customFormat="false" customHeight="1" hidden="" ht="14" outlineLevel="0" r="30421">
      <c r="A30421" s="3" t="inlineStr">
        <is>
          <t>30274</t>
        </is>
      </c>
      <c r="B30421" s="4" t="s">
        <f>=HYPERLINK("http://anyluxury.ru/shop/prazdnik/8-marta/podushka-settle-in-krasnaya-1630050/" , "16300.50 Подушка Settle In, красная")</f>
      </c>
      <c r="C30421" s="4" t="n">
        <v>900.00</v>
      </c>
      <c r="D30421" s="4"/>
    </row>
    <row collapsed="" customFormat="false" customHeight="1" hidden="" ht="14" outlineLevel="0" r="30422">
      <c r="A30422" s="3" t="inlineStr">
        <is>
          <t>30275</t>
        </is>
      </c>
      <c r="B30422" s="4" t="s">
        <f>=HYPERLINK("http://anyluxury.ru/shop/prazdnik/8-marta/polotence-mahrovoe-flora-bolshoe-korichnevoe-shitaki-1632359/" , "16323.59 Полотенце махровое «Флора», большое, коричневое (шитаки)")</f>
      </c>
      <c r="C30422" s="4" t="n">
        <v>1290.00</v>
      </c>
      <c r="D30422" s="4"/>
    </row>
    <row collapsed="" customFormat="false" customHeight="1" hidden="" ht="14" outlineLevel="0" r="30423">
      <c r="A30423" s="3" t="inlineStr">
        <is>
          <t>30276</t>
        </is>
      </c>
      <c r="B30423" s="4" t="s">
        <f>=HYPERLINK("http://anyluxury.ru/shop/prazdnik/8-marta/polotence-mahrovoe-flora-bolshoe-oranzhevoe-persikovoe-eho-1632320/" , "16323.20 Полотенце махровое «Флора», большое, оранжевое (персиковое эхо)")</f>
      </c>
      <c r="C30423" s="4" t="n">
        <v>1290.00</v>
      </c>
      <c r="D30423" s="4"/>
    </row>
    <row collapsed="" customFormat="false" customHeight="1" hidden="" ht="14" outlineLevel="0" r="30424">
      <c r="A30424" s="3" t="inlineStr">
        <is>
          <t>30277</t>
        </is>
      </c>
      <c r="B30424" s="4" t="s">
        <f>=HYPERLINK("http://anyluxury.ru/shop/prazdnik/8-marta/polotence-mahrovoe-flora-bolshoe-sinee-1632340/" , "16323.40 Полотенце махровое «Флора», большое, синее")</f>
      </c>
      <c r="C30424" s="4" t="n">
        <v>1290.00</v>
      </c>
      <c r="D30424" s="4"/>
    </row>
    <row collapsed="" customFormat="false" customHeight="1" hidden="" ht="14" outlineLevel="0" r="30425">
      <c r="A30425" s="3" t="inlineStr">
        <is>
          <t>30278</t>
        </is>
      </c>
      <c r="B30425" s="4" t="s">
        <f>=HYPERLINK("http://anyluxury.ru/shop/prazdnik/8-marta/polotence-mahrovoe-flora-srednee-korichnevoe-shitaki-1632459/" , "16324.59 Полотенце махровое «Флора», среднее, коричневое (шитаки)")</f>
      </c>
      <c r="C30425" s="4" t="n">
        <v>650.00</v>
      </c>
      <c r="D30425" s="4"/>
    </row>
    <row collapsed="" customFormat="false" customHeight="1" hidden="" ht="14" outlineLevel="0" r="30426">
      <c r="A30426" s="3" t="inlineStr">
        <is>
          <t>30279</t>
        </is>
      </c>
      <c r="B30426" s="4" t="s">
        <f>=HYPERLINK("http://anyluxury.ru/shop/prazdnik/8-marta/polotence-mahrovoe-flora-srednee-oranzhevoe-persikovoe-eho-1632420/" , "16324.20 Полотенце махровое «Флора», среднее, оранжевое (персиковое эхо)")</f>
      </c>
      <c r="C30426" s="4" t="n">
        <v>650.00</v>
      </c>
      <c r="D30426" s="4"/>
    </row>
    <row collapsed="" customFormat="false" customHeight="1" hidden="" ht="14" outlineLevel="0" r="30427">
      <c r="A30427" s="3" t="inlineStr">
        <is>
          <t>30280</t>
        </is>
      </c>
      <c r="B30427" s="4" t="s">
        <f>=HYPERLINK("http://anyluxury.ru/shop/prazdnik/8-marta/polotence-mahrovoe-flora-srednee-sinee-1632440/" , "16324.40 Полотенце махровое «Флора», среднее, синее")</f>
      </c>
      <c r="C30427" s="4" t="n">
        <v>650.00</v>
      </c>
      <c r="D30427" s="4"/>
    </row>
    <row collapsed="" customFormat="false" customHeight="1" hidden="" ht="14" outlineLevel="0" r="30428">
      <c r="A30428" s="3" t="inlineStr">
        <is>
          <t>30281</t>
        </is>
      </c>
      <c r="B30428" s="4" t="s">
        <f>=HYPERLINK("http://anyluxury.ru/shop/prazdnik/8-marta/universalniy-magnitniy-akkumulyator-feel-motion-5000-mach-temnosiniy-2350240/" , "23502.40 Универсальный магнитный аккумулятор Feel Motion, 5000 мАч, темно-синий")</f>
      </c>
      <c r="C30428" s="4" t="n">
        <v>2290.00</v>
      </c>
      <c r="D30428" s="4"/>
    </row>
    <row collapsed="" customFormat="false" customHeight="1" hidden="" ht="14" outlineLevel="0" r="30429">
      <c r="A30429" s="3" t="inlineStr">
        <is>
          <t>30282</t>
        </is>
      </c>
      <c r="B30429" s="4" t="s">
        <f>=HYPERLINK("http://anyluxury.ru/shop/prazdnik/8-marta/besprovodnaya-kolonka-chubby-seraya-s-golubim-755714/" , "7557.14 Беспроводная колонка Chubby, серая с голубым")</f>
      </c>
      <c r="C30429" s="4" t="n">
        <v>789.00</v>
      </c>
      <c r="D30429" s="4"/>
    </row>
    <row collapsed="" customFormat="false" customHeight="1" hidden="" ht="14" outlineLevel="0" r="30430">
      <c r="A30430" s="3" t="inlineStr">
        <is>
          <t>30283</t>
        </is>
      </c>
      <c r="B30430" s="4" t="s">
        <f>=HYPERLINK("http://anyluxury.ru/shop/prazdnik/8-marta/besprovodnaya-kolonka-chubby-seraya-s-krasnim-755715/" , "7557.15 Беспроводная колонка Chubby, серая с красным")</f>
      </c>
      <c r="C30430" s="4" t="n">
        <v>789.00</v>
      </c>
      <c r="D30430" s="4"/>
    </row>
    <row collapsed="" customFormat="false" customHeight="1" hidden="" ht="14" outlineLevel="0" r="30431">
      <c r="A30431" s="3" t="inlineStr">
        <is>
          <t>30284</t>
        </is>
      </c>
      <c r="B30431" s="4" t="s">
        <f>=HYPERLINK("http://anyluxury.ru/shop/prazdnik/8-marta/shapka-urban-flow-zheltaya-1666180/" , "16661.80 Шапка Urban Flow, желтая")</f>
      </c>
      <c r="C30431" s="4" t="n">
        <v>387.00</v>
      </c>
      <c r="D30431" s="4"/>
    </row>
    <row collapsed="" customFormat="false" customHeight="1" hidden="" ht="14" outlineLevel="0" r="30432">
      <c r="A30432" s="3" t="inlineStr">
        <is>
          <t>30285</t>
        </is>
      </c>
      <c r="B30432" s="4" t="s">
        <f>=HYPERLINK("http://anyluxury.ru/shop/prazdnik/8-marta/shapka-urban-flow-oranzhevaya-1666120/" , "16661.20 Шапка Urban Flow, оранжевая")</f>
      </c>
      <c r="C30432" s="4" t="n">
        <v>387.00</v>
      </c>
      <c r="D30432" s="4"/>
    </row>
    <row collapsed="" customFormat="false" customHeight="1" hidden="" ht="14" outlineLevel="0" r="30433">
      <c r="A30433" s="3" t="inlineStr">
        <is>
          <t>30286</t>
        </is>
      </c>
      <c r="B30433" s="4" t="s">
        <f>=HYPERLINK("http://anyluxury.ru/shop/prazdnik/8-marta/shapka-urban-flow-krasnaya-1666150/" , "16661.50 Шапка Urban Flow, красная")</f>
      </c>
      <c r="C30433" s="4" t="n">
        <v>387.00</v>
      </c>
      <c r="D30433" s="4"/>
    </row>
    <row collapsed="" customFormat="false" customHeight="1" hidden="" ht="14" outlineLevel="0" r="30434">
      <c r="A30434" s="3" t="inlineStr">
        <is>
          <t>30287</t>
        </is>
      </c>
      <c r="B30434" s="4" t="s">
        <f>=HYPERLINK("http://anyluxury.ru/shop/prazdnik/8-marta/shapka-urban-flow-pilnorozovaya-1666156/" , "16661.56 Шапка Urban Flow, пыльно-розовая")</f>
      </c>
      <c r="C30434" s="4" t="n">
        <v>387.00</v>
      </c>
      <c r="D30434" s="4"/>
    </row>
    <row collapsed="" customFormat="false" customHeight="1" hidden="" ht="14" outlineLevel="0" r="30435">
      <c r="A30435" s="3" t="inlineStr">
        <is>
          <t>30288</t>
        </is>
      </c>
      <c r="B30435" s="4" t="s">
        <f>=HYPERLINK("http://anyluxury.ru/shop/prazdnik/8-marta/shapka-urban-flow-rozoviy-neon-1666115/" , "16661.15 Шапка Urban Flow, розовый неон")</f>
      </c>
      <c r="C30435" s="4" t="n">
        <v>387.00</v>
      </c>
      <c r="D30435" s="4"/>
    </row>
    <row collapsed="" customFormat="false" customHeight="1" hidden="" ht="14" outlineLevel="0" r="30436">
      <c r="A30436" s="3" t="inlineStr">
        <is>
          <t>30289</t>
        </is>
      </c>
      <c r="B30436" s="4" t="s">
        <f>=HYPERLINK("http://anyluxury.ru/shop/prazdnik/8-marta/shapka-urban-flow-zelenaya-1666190/" , "16661.90 Шапка Urban Flow, зеленая")</f>
      </c>
      <c r="C30436" s="4" t="n">
        <v>387.00</v>
      </c>
      <c r="D30436" s="4"/>
    </row>
    <row collapsed="" customFormat="false" customHeight="1" hidden="" ht="14" outlineLevel="0" r="30437">
      <c r="A30437" s="3" t="inlineStr">
        <is>
          <t>30290</t>
        </is>
      </c>
      <c r="B30437" s="4" t="s">
        <f>=HYPERLINK("http://anyluxury.ru/shop/prazdnik/8-marta/shapka-urban-flow-zelenaya-myatnaya-1666195/" , "16661.95 Шапка Urban Flow, зеленая (мятная)")</f>
      </c>
      <c r="C30437" s="4" t="n">
        <v>387.00</v>
      </c>
      <c r="D30437" s="4"/>
    </row>
    <row collapsed="" customFormat="false" customHeight="1" hidden="" ht="14" outlineLevel="0" r="30438">
      <c r="A30438" s="3" t="inlineStr">
        <is>
          <t>30291</t>
        </is>
      </c>
      <c r="B30438" s="4" t="s">
        <f>=HYPERLINK("http://anyluxury.ru/shop/prazdnik/8-marta/shapka-urban-flow-salatoviy-neon-1666194/" , "16661.94 Шапка Urban Flow, салатовый неон")</f>
      </c>
      <c r="C30438" s="4" t="n">
        <v>387.00</v>
      </c>
      <c r="D30438" s="4"/>
    </row>
    <row collapsed="" customFormat="false" customHeight="1" hidden="" ht="14" outlineLevel="0" r="30439">
      <c r="A30439" s="3" t="inlineStr">
        <is>
          <t>30292</t>
        </is>
      </c>
      <c r="B30439" s="4" t="s">
        <f>=HYPERLINK("http://anyluxury.ru/shop/prazdnik/8-marta/shapka-urban-flow-temnosiniy-melanzh-1666140/" , "16661.40 Шапка Urban Flow, темно-синий меланж")</f>
      </c>
      <c r="C30439" s="4" t="n">
        <v>387.00</v>
      </c>
      <c r="D30439" s="4"/>
    </row>
    <row collapsed="" customFormat="false" customHeight="1" hidden="" ht="14" outlineLevel="0" r="30440">
      <c r="A30440" s="3" t="inlineStr">
        <is>
          <t>30293</t>
        </is>
      </c>
      <c r="B30440" s="4" t="s">
        <f>=HYPERLINK("http://anyluxury.ru/shop/prazdnik/8-marta/shapka-urban-flow-morskaya-volna-1666149/" , "16661.49 Шапка Urban Flow, морская волна")</f>
      </c>
      <c r="C30440" s="4" t="n">
        <v>387.00</v>
      </c>
      <c r="D30440" s="4"/>
    </row>
    <row collapsed="" customFormat="false" customHeight="1" hidden="" ht="14" outlineLevel="0" r="30441">
      <c r="A30441" s="3" t="inlineStr">
        <is>
          <t>30294</t>
        </is>
      </c>
      <c r="B30441" s="4" t="s">
        <f>=HYPERLINK("http://anyluxury.ru/shop/prazdnik/8-marta/shapka-urban-flow-yarkogolubaya-1666142/" , "16661.42 Шапка Urban Flow, ярко-голубая")</f>
      </c>
      <c r="C30441" s="4" t="n">
        <v>387.00</v>
      </c>
      <c r="D30441" s="4"/>
    </row>
    <row collapsed="" customFormat="false" customHeight="1" hidden="" ht="14" outlineLevel="0" r="30442">
      <c r="A30442" s="3" t="inlineStr">
        <is>
          <t>30295</t>
        </is>
      </c>
      <c r="B30442" s="4" t="s">
        <f>=HYPERLINK("http://anyluxury.ru/shop/prazdnik/8-marta/shapka-urban-flow-yarkosinyaya-1666144/" , "16661.44 Шапка Urban Flow, ярко-синяя")</f>
      </c>
      <c r="C30442" s="4" t="n">
        <v>387.00</v>
      </c>
      <c r="D30442" s="4"/>
    </row>
    <row collapsed="" customFormat="false" customHeight="1" hidden="" ht="14" outlineLevel="0" r="30443">
      <c r="A30443" s="3" t="inlineStr">
        <is>
          <t>30296</t>
        </is>
      </c>
      <c r="B30443" s="4" t="s">
        <f>=HYPERLINK("http://anyluxury.ru/shop/prazdnik/8-marta/shapka-urban-flow-chernaya-1666130/" , "16661.30 Шапка Urban Flow, черная")</f>
      </c>
      <c r="C30443" s="4" t="n">
        <v>387.00</v>
      </c>
      <c r="D30443" s="4"/>
    </row>
    <row collapsed="" customFormat="false" customHeight="1" hidden="" ht="14" outlineLevel="0" r="30444">
      <c r="A30444" s="3" t="inlineStr">
        <is>
          <t>30297</t>
        </is>
      </c>
      <c r="B30444" s="4" t="s">
        <f>=HYPERLINK("http://anyluxury.ru/shop/prazdnik/8-marta/shapka-urban-flow-molochnobelaya-1666161/" , "16661.61 Шапка Urban Flow, молочно-белая")</f>
      </c>
      <c r="C30444" s="4" t="n">
        <v>387.00</v>
      </c>
      <c r="D30444" s="4"/>
    </row>
    <row collapsed="" customFormat="false" customHeight="1" hidden="" ht="14" outlineLevel="0" r="30445">
      <c r="A30445" s="3" t="inlineStr">
        <is>
          <t>30298</t>
        </is>
      </c>
      <c r="B30445" s="4" t="s">
        <f>=HYPERLINK("http://anyluxury.ru/shop/prazdnik/8-marta/shapka-urban-flow-svetloseriy-melanzh-1666131/" , "16661.31 Шапка Urban Flow, светло-серый меланж")</f>
      </c>
      <c r="C30445" s="4" t="n">
        <v>387.00</v>
      </c>
      <c r="D30445" s="4"/>
    </row>
    <row collapsed="" customFormat="false" customHeight="1" hidden="" ht="14" outlineLevel="0" r="30446">
      <c r="A30446" s="3" t="inlineStr">
        <is>
          <t>30299</t>
        </is>
      </c>
      <c r="B30446" s="4" t="s">
        <f>=HYPERLINK("http://anyluxury.ru/shop/prazdnik/8-marta/shapka-urban-flow-temnoseriy-melanzh-1666133/" , "16661.33 Шапка Urban Flow, темно-серый меланж")</f>
      </c>
      <c r="C30446" s="4" t="n">
        <v>387.00</v>
      </c>
      <c r="D30446" s="4"/>
    </row>
    <row collapsed="" customFormat="false" customHeight="1" hidden="" ht="14" outlineLevel="0" r="30447">
      <c r="A30447" s="3" t="inlineStr">
        <is>
          <t>30300</t>
        </is>
      </c>
      <c r="B30447" s="4" t="s">
        <f>=HYPERLINK("http://anyluxury.ru/shop/prazdnik/8-marta/shapka-urban-flow-bezhevaya-1666112/" , "16661.12 Шапка Urban Flow, бежевая")</f>
      </c>
      <c r="C30447" s="4" t="n">
        <v>387.00</v>
      </c>
      <c r="D30447" s="4"/>
    </row>
    <row collapsed="" customFormat="false" customHeight="1" hidden="" ht="14" outlineLevel="0" r="30448">
      <c r="A30448" s="3" t="inlineStr">
        <is>
          <t>30301</t>
        </is>
      </c>
      <c r="B30448" s="4" t="s">
        <f>=HYPERLINK("http://anyluxury.ru/shop/prazdnik/8-marta/shapka-urban-flow-goluboy-melanzh-1666145/" , "16661.45 Шапка Urban Flow, голубой меланж")</f>
      </c>
      <c r="C30448" s="4" t="n">
        <v>387.00</v>
      </c>
      <c r="D30448" s="4"/>
    </row>
    <row collapsed="" customFormat="false" customHeight="1" hidden="" ht="14" outlineLevel="0" r="30449">
      <c r="A30449" s="3" t="inlineStr">
        <is>
          <t>30302</t>
        </is>
      </c>
      <c r="B30449" s="4" t="s">
        <f>=HYPERLINK("http://anyluxury.ru/shop/prazdnik/8-marta/elektricheskaya-vafelnica-goround-belaya-1674560/" , "16745.60 Электрическая вафельница GoRound, белая")</f>
      </c>
      <c r="C30449" s="4" t="n">
        <v>1770.00</v>
      </c>
      <c r="D30449" s="4"/>
    </row>
    <row collapsed="" customFormat="false" customHeight="1" hidden="" ht="14" outlineLevel="0" r="30450">
      <c r="A30450" s="3" t="inlineStr">
        <is>
          <t>30303</t>
        </is>
      </c>
      <c r="B30450" s="4" t="s">
        <f>=HYPERLINK("http://anyluxury.ru/shop/prazdnik/8-marta/zont-skladnoy-nicety-cherniy-1584130/" , "15841.30 Зонт складной Nicety, черный")</f>
      </c>
      <c r="C30450" s="4" t="n">
        <v>1677.00</v>
      </c>
      <c r="D30450" s="4"/>
    </row>
    <row collapsed="" customFormat="false" customHeight="1" hidden="" ht="14" outlineLevel="0" r="30451">
      <c r="A30451" s="3" t="inlineStr">
        <is>
          <t>30304</t>
        </is>
      </c>
      <c r="B30451" s="4" t="s">
        <f>=HYPERLINK("http://anyluxury.ru/shop/prazdnik/8-marta/zont-skladnoy-nicety-bezheviy-1584100/" , "15841.00 Зонт складной Nicety, бежевый")</f>
      </c>
      <c r="C30451" s="4" t="n">
        <v>1677.00</v>
      </c>
      <c r="D30451" s="4"/>
    </row>
    <row collapsed="" customFormat="false" customHeight="1" hidden="" ht="14" outlineLevel="0" r="30452">
      <c r="A30452" s="3" t="inlineStr">
        <is>
          <t>30305</t>
        </is>
      </c>
      <c r="B30452" s="4" t="s">
        <f>=HYPERLINK("http://anyluxury.ru/shop/prazdnik/8-marta/chayniy-nabor-camberwell-na-2-personi-1733700/" , "17337.00 Чайный набор Camberwell на 2 персоны")</f>
      </c>
      <c r="C30452" s="4" t="n">
        <v>2458.00</v>
      </c>
      <c r="D30452" s="4"/>
    </row>
    <row collapsed="" customFormat="false" customHeight="1" hidden="" ht="14" outlineLevel="0" r="30453">
      <c r="A30453" s="3" t="inlineStr">
        <is>
          <t>30306</t>
        </is>
      </c>
      <c r="B30453" s="4" t="s">
        <f>=HYPERLINK("http://anyluxury.ru/shop/prazdnik/8-marta/organayzer-opaque-seriy-1383610/" , "13836.10 Органайзер Opaque, серый")</f>
      </c>
      <c r="C30453" s="4" t="n">
        <v>790.00</v>
      </c>
      <c r="D30453" s="4"/>
    </row>
    <row collapsed="" customFormat="false" customHeight="1" hidden="" ht="14" outlineLevel="0" r="30454">
      <c r="A30454" s="3" t="inlineStr">
        <is>
          <t>30307</t>
        </is>
      </c>
      <c r="B30454" s="4" t="s">
        <f>=HYPERLINK("http://anyluxury.ru/shop/prazdnik/8-marta/organayzer-opaque-krasniy-1383650/" , "13836.50 Органайзер Opaque, красный")</f>
      </c>
      <c r="C30454" s="4" t="n">
        <v>790.00</v>
      </c>
      <c r="D30454" s="4"/>
    </row>
    <row collapsed="" customFormat="false" customHeight="1" hidden="" ht="14" outlineLevel="0" r="30455">
      <c r="A30455" s="3" t="inlineStr">
        <is>
          <t>30308</t>
        </is>
      </c>
      <c r="B30455" s="4" t="s">
        <f>=HYPERLINK("http://anyluxury.ru/shop/prazdnik/8-marta/organayzer-opaque-goluboy-1383614/" , "13836.14 Органайзер Opaque, голубой")</f>
      </c>
      <c r="C30455" s="4" t="n">
        <v>790.00</v>
      </c>
      <c r="D30455" s="4"/>
    </row>
    <row collapsed="" customFormat="false" customHeight="1" hidden="" ht="14" outlineLevel="0" r="30456">
      <c r="A30456" s="3" t="inlineStr">
        <is>
          <t>30309</t>
        </is>
      </c>
      <c r="B30456" s="4" t="s">
        <f>=HYPERLINK("http://anyluxury.ru/shop/prazdnik/8-marta/organayzer-opaque-oranzheviy-1383620/" , "13836.20 Органайзер Opaque, оранжевый")</f>
      </c>
      <c r="C30456" s="4" t="n">
        <v>790.00</v>
      </c>
      <c r="D30456" s="4"/>
    </row>
    <row collapsed="" customFormat="false" customHeight="1" hidden="" ht="14" outlineLevel="0" r="30457">
      <c r="A30457" s="3" t="inlineStr">
        <is>
          <t>30310</t>
        </is>
      </c>
      <c r="B30457" s="4" t="s">
        <f>=HYPERLINK("http://anyluxury.ru/shop/prazdnik/8-marta/nabor-dlya-risovaniya-create-1621900/" , "16219.00 Набор для рисования Create")</f>
      </c>
      <c r="C30457" s="4" t="n">
        <v>320.00</v>
      </c>
      <c r="D30457" s="4"/>
    </row>
    <row collapsed="" customFormat="false" customHeight="1" hidden="" ht="14" outlineLevel="0" r="30458">
      <c r="A30458" s="3" t="inlineStr">
        <is>
          <t>30311</t>
        </is>
      </c>
      <c r="B30458" s="4" t="s">
        <f>=HYPERLINK("http://anyluxury.ru/shop/prazdnik/8-marta/spreydozator-dlya-masla-i-uksusa-spatter-1564430/" , "15644.30 Спрей-дозатор для масла и уксуса Spatter")</f>
      </c>
      <c r="C30458" s="4" t="n">
        <v>1311.00</v>
      </c>
      <c r="D30458" s="4"/>
    </row>
    <row collapsed="" customFormat="false" customHeight="1" hidden="" ht="14" outlineLevel="0" r="30459">
      <c r="A30459" s="3" t="inlineStr">
        <is>
          <t>30312</t>
        </is>
      </c>
      <c r="B30459" s="4" t="s">
        <f>=HYPERLINK("http://anyluxury.ru/shop/prazdnik/8-marta/svetootrazhatel-spare-care-zvezda-serebristiy-1732610/" , "17326.10 Светоотражатель Spare Care, звезда, серебристый")</f>
      </c>
      <c r="C30459" s="4" t="n">
        <v>59.00</v>
      </c>
      <c r="D30459" s="4"/>
    </row>
    <row collapsed="" customFormat="false" customHeight="1" hidden="" ht="14" outlineLevel="0" r="30460">
      <c r="A30460" s="3" t="inlineStr">
        <is>
          <t>30313</t>
        </is>
      </c>
      <c r="B30460" s="4" t="s">
        <f>=HYPERLINK("http://anyluxury.ru/shop/prazdnik/8-marta/svetootrazhatel-spare-care-zvezda-zheltiy-neon-1732680/" , "17326.80 Светоотражатель Spare Care, звезда, желтый неон")</f>
      </c>
      <c r="C30460" s="4" t="n">
        <v>59.00</v>
      </c>
      <c r="D30460" s="4"/>
    </row>
    <row collapsed="" customFormat="false" customHeight="1" hidden="" ht="14" outlineLevel="0" r="30461">
      <c r="A30461" s="3" t="inlineStr">
        <is>
          <t>30314</t>
        </is>
      </c>
      <c r="B30461" s="4" t="s">
        <f>=HYPERLINK("http://anyluxury.ru/shop/prazdnik/8-marta/antistress-limon-2401000/" , "24010.00 Антистресс «Лимон»")</f>
      </c>
      <c r="C30461" s="4" t="n">
        <v>135.00</v>
      </c>
      <c r="D30461" s="4"/>
    </row>
    <row collapsed="" customFormat="false" customHeight="1" hidden="" ht="14" outlineLevel="0" r="30462">
      <c r="A30462" s="3" t="inlineStr">
        <is>
          <t>30315</t>
        </is>
      </c>
      <c r="B30462" s="4" t="s">
        <f>=HYPERLINK("http://anyluxury.ru/shop/prazdnik/8-marta/termostakan-sapporo-zeleniy-1595390/" , "15953.90 Термостакан Sapporo, зеленый")</f>
      </c>
      <c r="C30462" s="4" t="n">
        <v>1990.00</v>
      </c>
      <c r="D30462" s="4"/>
    </row>
    <row collapsed="" customFormat="false" customHeight="1" hidden="" ht="14" outlineLevel="0" r="30463">
      <c r="A30463" s="3" t="inlineStr">
        <is>
          <t>30316</t>
        </is>
      </c>
      <c r="B30463" s="4" t="s">
        <f>=HYPERLINK("http://anyluxury.ru/shop/prazdnik/8-marta/fartuk-settle-in-krasniy-1578450/" , "15784.50 Фартук Settle In, красный")</f>
      </c>
      <c r="C30463" s="4" t="n">
        <v>1090.00</v>
      </c>
      <c r="D30463" s="4"/>
    </row>
    <row collapsed="" customFormat="false" customHeight="1" hidden="" ht="14" outlineLevel="0" r="30464">
      <c r="A30464" s="3" t="inlineStr">
        <is>
          <t>30317</t>
        </is>
      </c>
      <c r="B30464" s="4" t="s">
        <f>=HYPERLINK("http://anyluxury.ru/shop/prazdnik/8-marta/chaynik-tea-drop-1770600/" , "17706.00 Чайник Tea Drop")</f>
      </c>
      <c r="C30464" s="4" t="n">
        <v>1050.00</v>
      </c>
      <c r="D30464" s="4"/>
    </row>
    <row collapsed="" customFormat="false" customHeight="1" hidden="" ht="14" outlineLevel="0" r="30465">
      <c r="A30465" s="3" t="inlineStr">
        <is>
          <t>30318</t>
        </is>
      </c>
      <c r="B30465" s="4" t="s">
        <f>=HYPERLINK("http://anyluxury.ru/shop/prazdnik/8-marta/chaynik-apex-1770700/" , "17707.00 Чайник Apex")</f>
      </c>
      <c r="C30465" s="4" t="n">
        <v>1029.00</v>
      </c>
      <c r="D30465" s="4"/>
    </row>
    <row collapsed="" customFormat="false" customHeight="1" hidden="" ht="14" outlineLevel="0" r="30466">
      <c r="A30466" s="3" t="inlineStr">
        <is>
          <t>30319</t>
        </is>
      </c>
      <c r="B30466" s="4" t="s">
        <f>=HYPERLINK("http://anyluxury.ru/shop/prazdnik/8-marta/chaynaya-para-mansion-ver2-bolshaya-2022060/" , "20220.60 Чайная пара Mansion, ver.2, большая")</f>
      </c>
      <c r="C30466" s="4" t="n">
        <v>562.00</v>
      </c>
      <c r="D30466" s="4"/>
    </row>
    <row collapsed="" customFormat="false" customHeight="1" hidden="" ht="14" outlineLevel="0" r="30467">
      <c r="A30467" s="3" t="inlineStr">
        <is>
          <t>30320</t>
        </is>
      </c>
      <c r="B30467" s="4" t="s">
        <f>=HYPERLINK("http://anyluxury.ru/shop/prazdnik/8-marta/fartuk-settle-in-svetlobezheviy-molochniy-1578400/" , "15784.00 Фартук Settle In, светло-бежевый (молочный)")</f>
      </c>
      <c r="C30467" s="4" t="n">
        <v>1090.00</v>
      </c>
      <c r="D30467" s="4"/>
    </row>
    <row collapsed="" customFormat="false" customHeight="1" hidden="" ht="14" outlineLevel="0" r="30468">
      <c r="A30468" s="3" t="inlineStr">
        <is>
          <t>30321</t>
        </is>
      </c>
      <c r="B30468" s="4" t="s">
        <f>=HYPERLINK("http://anyluxury.ru/shop/prazdnik/8-marta/vishnya-cherry-lady-16307/" , "16307 Вишня Cherry Lady")</f>
      </c>
      <c r="C30468" s="4" t="n">
        <v>250.00</v>
      </c>
      <c r="D30468" s="4"/>
    </row>
    <row collapsed="" customFormat="false" customHeight="1" hidden="" ht="14" outlineLevel="0" r="30469">
      <c r="A30469" s="3" t="inlineStr">
        <is>
          <t>30322</t>
        </is>
      </c>
      <c r="B30469" s="4" t="s">
        <f>=HYPERLINK("http://anyluxury.ru/shop/prazdnik/8-marta/smes-orehov-i-cukatov-nut-fusion-16312/" , "16312 Смесь орехов и цукатов Nut Fusion")</f>
      </c>
      <c r="C30469" s="4" t="n">
        <v>340.00</v>
      </c>
      <c r="D30469" s="4"/>
    </row>
    <row collapsed="" customFormat="false" customHeight="1" hidden="" ht="14" outlineLevel="0" r="30470">
      <c r="A30470" s="3" t="inlineStr">
        <is>
          <t>30323</t>
        </is>
      </c>
      <c r="B30470" s="4" t="s">
        <f>=HYPERLINK("http://anyluxury.ru/shop/prazdnik/8-marta/bokal-thumbler-bolshoy-1770401/" , "17704.01 Бокал Thumbler, большой")</f>
      </c>
      <c r="C30470" s="4" t="n">
        <v>537.00</v>
      </c>
      <c r="D30470" s="4"/>
    </row>
    <row collapsed="" customFormat="false" customHeight="1" hidden="" ht="14" outlineLevel="0" r="30471">
      <c r="A30471" s="3" t="inlineStr">
        <is>
          <t>30324</t>
        </is>
      </c>
      <c r="B30471" s="4" t="s">
        <f>=HYPERLINK("http://anyluxury.ru/shop/prazdnik/8-marta/bokal-thumbler-maliy-1770402/" , "17704.02 Бокал Thumbler, малый")</f>
      </c>
      <c r="C30471" s="4" t="n">
        <v>296.00</v>
      </c>
      <c r="D30471" s="4"/>
    </row>
    <row collapsed="" customFormat="false" customHeight="1" hidden="" ht="14" outlineLevel="0" r="30472">
      <c r="A30472" s="3" t="inlineStr">
        <is>
          <t>30325</t>
        </is>
      </c>
      <c r="B30472" s="4" t="s">
        <f>=HYPERLINK("http://anyluxury.ru/shop/prazdnik/8-marta/nabor-dlya-igri-v-badminton-gloucester-chernoseriy-1565431/" , "15654.31 Набор для игры в бадминтон Gloucester, черно-серый")</f>
      </c>
      <c r="C30472" s="4" t="n">
        <v>1330.00</v>
      </c>
      <c r="D30472" s="4"/>
    </row>
    <row collapsed="" customFormat="false" customHeight="1" hidden="" ht="14" outlineLevel="0" r="30473">
      <c r="A30473" s="3" t="inlineStr">
        <is>
          <t>30326</t>
        </is>
      </c>
      <c r="B30473" s="4" t="s">
        <f>=HYPERLINK("http://anyluxury.ru/shop/prazdnik/8-marta/podushka-settle-in-korichnevaya-1630059/" , "16300.59 Подушка Settle In, коричневая")</f>
      </c>
      <c r="C30473" s="4" t="n">
        <v>900.00</v>
      </c>
      <c r="D30473" s="4"/>
    </row>
    <row collapsed="" customFormat="false" customHeight="1" hidden="" ht="14" outlineLevel="0" r="30474">
      <c r="A30474" s="3" t="inlineStr">
        <is>
          <t>30327</t>
        </is>
      </c>
      <c r="B30474" s="4" t="s">
        <f>=HYPERLINK("http://anyluxury.ru/shop/prazdnik/8-marta/monpanse-fruitberry-16444/" , "16444 Монпансье Fruitberry")</f>
      </c>
      <c r="C30474" s="4" t="n">
        <v>155.00</v>
      </c>
      <c r="D30474" s="4"/>
    </row>
    <row collapsed="" customFormat="false" customHeight="1" hidden="" ht="14" outlineLevel="0" r="30475">
      <c r="A30475" s="3" t="inlineStr">
        <is>
          <t>30328</t>
        </is>
      </c>
      <c r="B30475" s="4" t="s">
        <f>=HYPERLINK("http://anyluxury.ru/shop/prazdnik/8-marta/poyasnaya-sumka-pink-marble-7148756/" , "71487.56 Поясная сумка Pink Marble")</f>
      </c>
      <c r="C30475" s="4" t="n">
        <v>490.00</v>
      </c>
      <c r="D30475" s="4"/>
    </row>
    <row collapsed="" customFormat="false" customHeight="" hidden="" ht="12.1" outlineLevel="0" r="30476">
      <c r="A30476" s="5" t="inlineStr">
        <is>
          <t> -  - День авиации</t>
        </is>
      </c>
      <c r="B30476" s="6"/>
      <c r="C30476" s="6"/>
      <c r="D30476" s="6"/>
    </row>
    <row collapsed="" customFormat="false" customHeight="1" hidden="" ht="14" outlineLevel="0" r="30477">
      <c r="A30477" s="3" t="inlineStr">
        <is>
          <t>30329</t>
        </is>
      </c>
      <c r="B30477" s="4" t="s">
        <f>=HYPERLINK("http://anyluxury.ru/shop/prazdnik/den-aviatsii/ezhednevnik-grazhdanin-mira-nedatirovanniy-5278/" , "5278 Ежедневник «Гражданин мира», недатированный")</f>
      </c>
      <c r="C30477" s="4" t="n">
        <v>267.00</v>
      </c>
      <c r="D30477" s="4"/>
    </row>
    <row collapsed="" customFormat="false" customHeight="1" hidden="" ht="14" outlineLevel="0" r="30478">
      <c r="A30478" s="3" t="inlineStr">
        <is>
          <t>30330</t>
        </is>
      </c>
      <c r="B30478" s="4" t="s">
        <f>=HYPERLINK("http://anyluxury.ru/shop/prazdnik/den-aviatsii/rubashka-polo-muzhskaya-patriot-200-temnosinyaya-00576319/" , "00576319 Рубашка поло мужская PATRIOT темно-синяя, размер S")</f>
      </c>
      <c r="C30478" s="4" t="n">
        <v>2494.00</v>
      </c>
      <c r="D30478" s="4"/>
    </row>
    <row collapsed="" customFormat="false" customHeight="1" hidden="" ht="14" outlineLevel="0" r="30479">
      <c r="A30479" s="3" t="inlineStr">
        <is>
          <t>30331</t>
        </is>
      </c>
      <c r="B30479" s="4" t="s">
        <f>=HYPERLINK("http://anyluxury.ru/shop/prazdnik/den-aviatsii/rubashka-polo-muzhskaya-patriot-200-temnosinyaya-00576319/" , "00576319 Рубашка поло мужская PATRIOT темно-синяя, размер M")</f>
      </c>
      <c r="C30479" s="4" t="n">
        <v>2494.00</v>
      </c>
      <c r="D30479" s="4"/>
    </row>
    <row collapsed="" customFormat="false" customHeight="1" hidden="" ht="14" outlineLevel="0" r="30480">
      <c r="A30480" s="3" t="inlineStr">
        <is>
          <t>30332</t>
        </is>
      </c>
      <c r="B30480" s="4" t="s">
        <f>=HYPERLINK("http://anyluxury.ru/shop/prazdnik/den-aviatsii/rubashka-polo-muzhskaya-patriot-200-temnosinyaya-00576319/" , "00576319 Рубашка поло мужская PATRIOT темно-синяя, размер L")</f>
      </c>
      <c r="C30480" s="4" t="n">
        <v>2494.00</v>
      </c>
      <c r="D30480" s="4"/>
    </row>
    <row collapsed="" customFormat="false" customHeight="1" hidden="" ht="14" outlineLevel="0" r="30481">
      <c r="A30481" s="3" t="inlineStr">
        <is>
          <t>30333</t>
        </is>
      </c>
      <c r="B30481" s="4" t="s">
        <f>=HYPERLINK("http://anyluxury.ru/shop/prazdnik/den-aviatsii/rubashka-polo-muzhskaya-patriot-200-temnosinyaya-00576319/" , "00576319 Рубашка поло мужская PATRIOT темно-синяя, размер XL")</f>
      </c>
      <c r="C30481" s="4" t="n">
        <v>2494.00</v>
      </c>
      <c r="D30481" s="4"/>
    </row>
    <row collapsed="" customFormat="false" customHeight="1" hidden="" ht="14" outlineLevel="0" r="30482">
      <c r="A30482" s="3" t="inlineStr">
        <is>
          <t>30334</t>
        </is>
      </c>
      <c r="B30482" s="4" t="s">
        <f>=HYPERLINK("http://anyluxury.ru/shop/prazdnik/den-aviatsii/rubashka-polo-muzhskaya-patriot-200-temnosinyaya-00576319/" , "00576319 Рубашка поло мужская PATRIOT темно-синяя, размер XXL")</f>
      </c>
      <c r="C30482" s="4" t="n">
        <v>2494.00</v>
      </c>
      <c r="D30482" s="4"/>
    </row>
    <row collapsed="" customFormat="false" customHeight="1" hidden="" ht="14" outlineLevel="0" r="30483">
      <c r="A30483" s="3" t="inlineStr">
        <is>
          <t>30335</t>
        </is>
      </c>
      <c r="B30483" s="4" t="s">
        <f>=HYPERLINK("http://anyluxury.ru/shop/prazdnik/den-aviatsii/rubashka-polo-muzhskaya-patriot-200-temnosinyaya-00576319/" , "00576319 Рубашка поло мужская PATRIOT темно-синяя, размер 3XL")</f>
      </c>
      <c r="C30483" s="4" t="n">
        <v>2981.00</v>
      </c>
      <c r="D30483" s="4"/>
    </row>
    <row collapsed="" customFormat="false" customHeight="1" hidden="" ht="14" outlineLevel="0" r="30484">
      <c r="A30484" s="3" t="inlineStr">
        <is>
          <t>30336</t>
        </is>
      </c>
      <c r="B30484" s="4" t="s">
        <f>=HYPERLINK("http://anyluxury.ru/shop/prazdnik/den-aviatsii/rubashka-polo-muzhskaya-patriot-200-yarkosinyaya-00576241/" , "00576241 Рубашка поло мужская PATRIOT ярко-синяя, размер S")</f>
      </c>
      <c r="C30484" s="4" t="n">
        <v>2494.00</v>
      </c>
      <c r="D30484" s="4"/>
    </row>
    <row collapsed="" customFormat="false" customHeight="1" hidden="" ht="14" outlineLevel="0" r="30485">
      <c r="A30485" s="3" t="inlineStr">
        <is>
          <t>30337</t>
        </is>
      </c>
      <c r="B30485" s="4" t="s">
        <f>=HYPERLINK("http://anyluxury.ru/shop/prazdnik/den-aviatsii/rubashka-polo-muzhskaya-patriot-200-yarkosinyaya-00576241/" , "00576241 Рубашка поло мужская PATRIOT ярко-синяя, размер M")</f>
      </c>
      <c r="C30485" s="4" t="n">
        <v>2494.00</v>
      </c>
      <c r="D30485" s="4"/>
    </row>
    <row collapsed="" customFormat="false" customHeight="1" hidden="" ht="14" outlineLevel="0" r="30486">
      <c r="A30486" s="3" t="inlineStr">
        <is>
          <t>30338</t>
        </is>
      </c>
      <c r="B30486" s="4" t="s">
        <f>=HYPERLINK("http://anyluxury.ru/shop/prazdnik/den-aviatsii/rubashka-polo-muzhskaya-patriot-200-yarkosinyaya-00576241/" , "00576241 Рубашка поло мужская PATRIOT ярко-синяя, размер L")</f>
      </c>
      <c r="C30486" s="4" t="n">
        <v>2494.00</v>
      </c>
      <c r="D30486" s="4"/>
    </row>
    <row collapsed="" customFormat="false" customHeight="1" hidden="" ht="14" outlineLevel="0" r="30487">
      <c r="A30487" s="3" t="inlineStr">
        <is>
          <t>30339</t>
        </is>
      </c>
      <c r="B30487" s="4" t="s">
        <f>=HYPERLINK("http://anyluxury.ru/shop/prazdnik/den-aviatsii/rubashka-polo-muzhskaya-patriot-200-yarkosinyaya-00576241/" , "00576241 Рубашка поло мужская PATRIOT ярко-синяя, размер XL")</f>
      </c>
      <c r="C30487" s="4" t="n">
        <v>2494.00</v>
      </c>
      <c r="D30487" s="4"/>
    </row>
    <row collapsed="" customFormat="false" customHeight="1" hidden="" ht="14" outlineLevel="0" r="30488">
      <c r="A30488" s="3" t="inlineStr">
        <is>
          <t>30340</t>
        </is>
      </c>
      <c r="B30488" s="4" t="s">
        <f>=HYPERLINK("http://anyluxury.ru/shop/prazdnik/den-aviatsii/rubashka-polo-muzhskaya-patriot-200-yarkosinyaya-00576241/" , "00576241 Рубашка поло мужская PATRIOT ярко-синяя, размер XXL")</f>
      </c>
      <c r="C30488" s="4" t="n">
        <v>2494.00</v>
      </c>
      <c r="D30488" s="4"/>
    </row>
    <row collapsed="" customFormat="false" customHeight="1" hidden="" ht="14" outlineLevel="0" r="30489">
      <c r="A30489" s="3" t="inlineStr">
        <is>
          <t>30341</t>
        </is>
      </c>
      <c r="B30489" s="4" t="s">
        <f>=HYPERLINK("http://anyluxury.ru/shop/prazdnik/den-aviatsii/rubashka-polo-muzhskaya-patriot-200-yarkosinyaya-00576241/" , "00576241 Рубашка поло мужская PATRIOT ярко-синяя, размер 3XL")</f>
      </c>
      <c r="C30489" s="4" t="n">
        <v>2981.00</v>
      </c>
      <c r="D30489" s="4"/>
    </row>
    <row collapsed="" customFormat="false" customHeight="1" hidden="" ht="14" outlineLevel="0" r="30490">
      <c r="A30490" s="3" t="inlineStr">
        <is>
          <t>30342</t>
        </is>
      </c>
      <c r="B30490" s="4" t="s">
        <f>=HYPERLINK("http://anyluxury.ru/shop/prazdnik/den-aviatsii/rubashka-polo-patriot-women-temnosinyaya-01407319/" , "01407319 Рубашка поло PATRIOT WOMEN темно-синяя, размер S")</f>
      </c>
      <c r="C30490" s="4" t="n">
        <v>2450.00</v>
      </c>
      <c r="D30490" s="4"/>
    </row>
    <row collapsed="" customFormat="false" customHeight="1" hidden="" ht="14" outlineLevel="0" r="30491">
      <c r="A30491" s="3" t="inlineStr">
        <is>
          <t>30343</t>
        </is>
      </c>
      <c r="B30491" s="4" t="s">
        <f>=HYPERLINK("http://anyluxury.ru/shop/prazdnik/den-aviatsii/rubashka-polo-patriot-women-temnosinyaya-01407319/" , "01407319 Рубашка поло PATRIOT WOMEN темно-синяя, размер M")</f>
      </c>
      <c r="C30491" s="4" t="n">
        <v>2450.00</v>
      </c>
      <c r="D30491" s="4"/>
    </row>
    <row collapsed="" customFormat="false" customHeight="1" hidden="" ht="14" outlineLevel="0" r="30492">
      <c r="A30492" s="3" t="inlineStr">
        <is>
          <t>30344</t>
        </is>
      </c>
      <c r="B30492" s="4" t="s">
        <f>=HYPERLINK("http://anyluxury.ru/shop/prazdnik/den-aviatsii/rubashka-polo-patriot-women-temnosinyaya-01407319/" , "01407319 Рубашка поло PATRIOT WOMEN темно-синяя, размер L")</f>
      </c>
      <c r="C30492" s="4" t="n">
        <v>2450.00</v>
      </c>
      <c r="D30492" s="4"/>
    </row>
    <row collapsed="" customFormat="false" customHeight="1" hidden="" ht="14" outlineLevel="0" r="30493">
      <c r="A30493" s="3" t="inlineStr">
        <is>
          <t>30345</t>
        </is>
      </c>
      <c r="B30493" s="4" t="s">
        <f>=HYPERLINK("http://anyluxury.ru/shop/prazdnik/den-aviatsii/rubashka-polo-patriot-women-temnosinyaya-01407319/" , "01407319 Рубашка поло PATRIOT WOMEN темно-синяя, размер XL")</f>
      </c>
      <c r="C30493" s="4" t="n">
        <v>2450.00</v>
      </c>
      <c r="D30493" s="4"/>
    </row>
    <row collapsed="" customFormat="false" customHeight="1" hidden="" ht="14" outlineLevel="0" r="30494">
      <c r="A30494" s="3" t="inlineStr">
        <is>
          <t>30346</t>
        </is>
      </c>
      <c r="B30494" s="4" t="s">
        <f>=HYPERLINK("http://anyluxury.ru/shop/prazdnik/den-aviatsii/rubashka-polo-patriot-women-temnosinyaya-01407319/" , "01407319 Рубашка поло PATRIOT WOMEN темно-синяя, размер XXL")</f>
      </c>
      <c r="C30494" s="4" t="n">
        <v>2450.00</v>
      </c>
      <c r="D30494" s="4"/>
    </row>
    <row collapsed="" customFormat="false" customHeight="1" hidden="" ht="14" outlineLevel="0" r="30495">
      <c r="A30495" s="3" t="inlineStr">
        <is>
          <t>30347</t>
        </is>
      </c>
      <c r="B30495" s="4" t="s">
        <f>=HYPERLINK("http://anyluxury.ru/shop/prazdnik/den-aviatsii/banniy-nabor-takeoff-temnoseriy-1022202/" , "10222.02 Банный набор Takeoff, темно-серый")</f>
      </c>
      <c r="C30495" s="4" t="n">
        <v>880.00</v>
      </c>
      <c r="D30495" s="4"/>
    </row>
    <row collapsed="" customFormat="false" customHeight="1" hidden="" ht="14" outlineLevel="0" r="30496">
      <c r="A30496" s="3" t="inlineStr">
        <is>
          <t>30348</t>
        </is>
      </c>
      <c r="B30496" s="4" t="s">
        <f>=HYPERLINK("http://anyluxury.ru/shop/prazdnik/den-aviatsii/brelok-aviator-15638/" , "15638 Брелок Aviator")</f>
      </c>
      <c r="C30496" s="4" t="n">
        <v>219.00</v>
      </c>
      <c r="D30496" s="4"/>
    </row>
    <row collapsed="" customFormat="false" customHeight="" hidden="" ht="12.1" outlineLevel="0" r="30497">
      <c r="A30497" s="5" t="inlineStr">
        <is>
          <t> -  - День банковского работника 2 декабря</t>
        </is>
      </c>
      <c r="B30497" s="6"/>
      <c r="C30497" s="6"/>
      <c r="D30497" s="6"/>
    </row>
    <row collapsed="" customFormat="false" customHeight="1" hidden="" ht="14" outlineLevel="0" r="30498">
      <c r="A30498" s="3" t="inlineStr">
        <is>
          <t>30349</t>
        </is>
      </c>
      <c r="B30498" s="4" t="s">
        <f>=HYPERLINK("http://anyluxury.ru/shop/prazdnik/den-bankovskogo-rabotnika-2-dekabrya/rubashka-zhenskaya-s-dlinnim-rukavom-embassy-belaya-183860/" , "1838.60 Рубашка женская с длинным рукавом EMBASSY белая, размер XS ")</f>
      </c>
      <c r="C30498" s="4" t="n">
        <v>3248.00</v>
      </c>
      <c r="D30498" s="4"/>
    </row>
    <row collapsed="" customFormat="false" customHeight="1" hidden="" ht="14" outlineLevel="0" r="30499">
      <c r="A30499" s="3" t="inlineStr">
        <is>
          <t>30350</t>
        </is>
      </c>
      <c r="B30499" s="4" t="s">
        <f>=HYPERLINK("http://anyluxury.ru/shop/prazdnik/den-bankovskogo-rabotnika-2-dekabrya/rubashka-zhenskaya-s-dlinnim-rukavom-embassy-belaya-183860/" , "1838.60 Рубашка женская с длинным рукавом EMBASSY белая, размер XL")</f>
      </c>
      <c r="C30499" s="4" t="n">
        <v>3248.00</v>
      </c>
      <c r="D30499" s="4"/>
    </row>
    <row collapsed="" customFormat="false" customHeight="1" hidden="" ht="14" outlineLevel="0" r="30500">
      <c r="A30500" s="3" t="inlineStr">
        <is>
          <t>30351</t>
        </is>
      </c>
      <c r="B30500" s="4" t="s">
        <f>=HYPERLINK("http://anyluxury.ru/shop/prazdnik/den-bankovskogo-rabotnika-2-dekabrya/rubashka-zhenskaya-s-dlinnim-rukavom-embassy-belaya-183860/" , "1838.60 Рубашка женская с длинным рукавом EMBASSY белая, размер XXL")</f>
      </c>
      <c r="C30500" s="4" t="n">
        <v>3248.00</v>
      </c>
      <c r="D30500" s="4"/>
    </row>
    <row collapsed="" customFormat="false" customHeight="1" hidden="" ht="14" outlineLevel="0" r="30501">
      <c r="A30501" s="3" t="inlineStr">
        <is>
          <t>30352</t>
        </is>
      </c>
      <c r="B30501" s="4" t="s">
        <f>=HYPERLINK("http://anyluxury.ru/shop/prazdnik/den-bankovskogo-rabotnika-2-dekabrya/rubashka-zhenskaya-s-dlinnim-rukavom-embassy-belaya-183860/" , "1838.60 Рубашка женская с длинным рукавом EMBASSY белая, размер 3XL")</f>
      </c>
      <c r="C30501" s="4" t="n">
        <v>3248.00</v>
      </c>
      <c r="D30501" s="4"/>
    </row>
    <row collapsed="" customFormat="false" customHeight="1" hidden="" ht="14" outlineLevel="0" r="30502">
      <c r="A30502" s="3" t="inlineStr">
        <is>
          <t>30353</t>
        </is>
      </c>
      <c r="B30502" s="4" t="s">
        <f>=HYPERLINK("http://anyluxury.ru/shop/prazdnik/den-bankovskogo-rabotnika-2-dekabrya/portmone-palermo-sinee-5266/" , "5266 Портмоне Palermo, синее")</f>
      </c>
      <c r="C30502" s="4" t="n">
        <v>5700.00</v>
      </c>
      <c r="D30502" s="4"/>
    </row>
    <row collapsed="" customFormat="false" customHeight="1" hidden="" ht="14" outlineLevel="0" r="30503">
      <c r="A30503" s="3" t="inlineStr">
        <is>
          <t>30354</t>
        </is>
      </c>
      <c r="B30503" s="4" t="s">
        <f>=HYPERLINK("http://anyluxury.ru/shop/prazdnik/den-bankovskogo-rabotnika-2-dekabrya/chasi-nastennie-vivid-large-zelenie-559090/" , "5590.90 Часы настенные Vivid Large, зеленые")</f>
      </c>
      <c r="C30503" s="4" t="n">
        <v>689.00</v>
      </c>
      <c r="D30503" s="4"/>
    </row>
    <row collapsed="" customFormat="false" customHeight="1" hidden="" ht="14" outlineLevel="0" r="30504">
      <c r="A30504" s="3" t="inlineStr">
        <is>
          <t>30355</t>
        </is>
      </c>
      <c r="B30504" s="4" t="s">
        <f>=HYPERLINK("http://anyluxury.ru/shop/prazdnik/den-bankovskogo-rabotnika-2-dekabrya/butilka-dlya-sporta-industry-finansi-7136642/" , "71366.42 Бутылка для спорта Industry, финансы")</f>
      </c>
      <c r="C30504" s="4" t="n">
        <v>1017.00</v>
      </c>
      <c r="D30504" s="4"/>
    </row>
    <row collapsed="" customFormat="false" customHeight="1" hidden="" ht="14" outlineLevel="0" r="30505">
      <c r="A30505" s="3" t="inlineStr">
        <is>
          <t>30356</t>
        </is>
      </c>
      <c r="B30505" s="4" t="s">
        <f>=HYPERLINK("http://anyluxury.ru/shop/prazdnik/den-bankovskogo-rabotnika-2-dekabrya/chehol-dlya-kartochki-industry-finansi-7151042/" , "71510.42 Чехол для карточки Industry, финансы")</f>
      </c>
      <c r="C30505" s="4" t="n">
        <v>250.00</v>
      </c>
      <c r="D30505" s="4"/>
    </row>
    <row collapsed="" customFormat="false" customHeight="1" hidden="" ht="14" outlineLevel="0" r="30506">
      <c r="A30506" s="3" t="inlineStr">
        <is>
          <t>30357</t>
        </is>
      </c>
      <c r="B30506" s="4" t="s">
        <f>=HYPERLINK("http://anyluxury.ru/shop/prazdnik/den-bankovskogo-rabotnika-2-dekabrya/organayzer-dlya-puteshestviy-industry-finansi-7141942/" , "71419.42 Органайзер для путешествий Industry, финансы")</f>
      </c>
      <c r="C30506" s="4" t="n">
        <v>470.00</v>
      </c>
      <c r="D30506" s="4"/>
    </row>
    <row collapsed="" customFormat="false" customHeight="1" hidden="" ht="14" outlineLevel="0" r="30507">
      <c r="A30507" s="3" t="inlineStr">
        <is>
          <t>30358</t>
        </is>
      </c>
      <c r="B30507" s="4" t="s">
        <f>=HYPERLINK("http://anyluxury.ru/shop/prazdnik/den-bankovskogo-rabotnika-2-dekabrya/oblozhka-dlya-pasporta-industry-finansi-7141842/" , "71418.42 Обложка для паспорта Industry, финансы")</f>
      </c>
      <c r="C30507" s="4" t="n">
        <v>376.00</v>
      </c>
      <c r="D30507" s="4"/>
    </row>
    <row collapsed="" customFormat="false" customHeight="1" hidden="" ht="14" outlineLevel="0" r="30508">
      <c r="A30508" s="3" t="inlineStr">
        <is>
          <t>30359</t>
        </is>
      </c>
      <c r="B30508" s="4" t="s">
        <f>=HYPERLINK("http://anyluxury.ru/shop/prazdnik/den-bankovskogo-rabotnika-2-dekabrya/nabor-lichnih-aksessuarov-industry-finansi-7143142/" , "71431.42 Набор личных аксессуаров Industry, финансы")</f>
      </c>
      <c r="C30508" s="4" t="n">
        <v>1653.00</v>
      </c>
      <c r="D30508" s="4"/>
    </row>
    <row collapsed="" customFormat="false" customHeight="1" hidden="" ht="14" outlineLevel="0" r="30509">
      <c r="A30509" s="3" t="inlineStr">
        <is>
          <t>30360</t>
        </is>
      </c>
      <c r="B30509" s="4" t="s">
        <f>=HYPERLINK("http://anyluxury.ru/shop/prazdnik/den-bankovskogo-rabotnika-2-dekabrya/nabor-industry-finansi-7136842/" , "71368.42 Набор Industry, финансы")</f>
      </c>
      <c r="C30509" s="4" t="n">
        <v>993.30</v>
      </c>
      <c r="D30509" s="4"/>
    </row>
    <row collapsed="" customFormat="false" customHeight="1" hidden="" ht="14" outlineLevel="0" r="30510">
      <c r="A30510" s="3" t="inlineStr">
        <is>
          <t>30361</t>
        </is>
      </c>
      <c r="B30510" s="4" t="s">
        <f>=HYPERLINK("http://anyluxury.ru/shop/prazdnik/den-bankovskogo-rabotnika-2-dekabrya/ezhednevnik-industry-finansi-7163642/" , "71636.42 Ежедневник Industry, финансы")</f>
      </c>
      <c r="C30510" s="4" t="n">
        <v>605.00</v>
      </c>
      <c r="D30510" s="4"/>
    </row>
    <row collapsed="" customFormat="false" customHeight="1" hidden="" ht="14" outlineLevel="0" r="30511">
      <c r="A30511" s="3" t="inlineStr">
        <is>
          <t>30362</t>
        </is>
      </c>
      <c r="B30511" s="4" t="s">
        <f>=HYPERLINK("http://anyluxury.ru/shop/prazdnik/den-bankovskogo-rabotnika-2-dekabrya/podstavka-dlya-noutbuka-i-plansheta-triplex-serebristaya-1554410/" , "15544.10 Подставка для ноутбука и планшета Triplex, серебристая")</f>
      </c>
      <c r="C30511" s="4" t="n">
        <v>1990.00</v>
      </c>
      <c r="D30511" s="4"/>
    </row>
    <row collapsed="" customFormat="false" customHeight="" hidden="" ht="12.1" outlineLevel="0" r="30512">
      <c r="A30512" s="5" t="inlineStr">
        <is>
          <t> -  - День геолога</t>
        </is>
      </c>
      <c r="B30512" s="6"/>
      <c r="C30512" s="6"/>
      <c r="D30512" s="6"/>
    </row>
    <row collapsed="" customFormat="false" customHeight="1" hidden="" ht="14" outlineLevel="0" r="30513">
      <c r="A30513" s="3" t="inlineStr">
        <is>
          <t>30363</t>
        </is>
      </c>
      <c r="B30513" s="4" t="s">
        <f>=HYPERLINK("http://anyluxury.ru/shop/prazdnik/den-geologa/podstavka-dlya-melochey-z1947/" , "Z1947 Подставка для мелочей")</f>
      </c>
      <c r="C30513" s="4" t="n">
        <v>1490.00</v>
      </c>
      <c r="D30513" s="4"/>
    </row>
    <row collapsed="" customFormat="false" customHeight="1" hidden="" ht="14" outlineLevel="0" r="30514">
      <c r="A30514" s="3" t="inlineStr">
        <is>
          <t>30364</t>
        </is>
      </c>
      <c r="B30514" s="4" t="s">
        <f>=HYPERLINK("http://anyluxury.ru/shop/prazdnik/den-geologa/kurtka-zhenskaya-na-molnii-roxy-340-krasnaya-436850/" , "4368.50 Куртка женская на молнии ROXY 340 красная, размер L")</f>
      </c>
      <c r="C30514" s="4" t="n">
        <v>5101.00</v>
      </c>
      <c r="D30514" s="4"/>
    </row>
    <row collapsed="" customFormat="false" customHeight="1" hidden="" ht="14" outlineLevel="0" r="30515">
      <c r="A30515" s="3" t="inlineStr">
        <is>
          <t>30365</t>
        </is>
      </c>
      <c r="B30515" s="4" t="s">
        <f>=HYPERLINK("http://anyluxury.ru/shop/prazdnik/den-geologa/kurtka-zhenskaya-na-molnii-roxy-340-krasnaya-436850/" , "4368.50 Куртка женская на молнии ROXY 340 красная, размер XXL")</f>
      </c>
      <c r="C30515" s="4" t="n">
        <v>5101.00</v>
      </c>
      <c r="D30515" s="4"/>
    </row>
    <row collapsed="" customFormat="false" customHeight="1" hidden="" ht="14" outlineLevel="0" r="30516">
      <c r="A30516" s="3" t="inlineStr">
        <is>
          <t>30366</t>
        </is>
      </c>
      <c r="B30516" s="4" t="s">
        <f>=HYPERLINK("http://anyluxury.ru/shop/prazdnik/den-geologa/kurtka-zhenskaya-na-molnii-roxy-340-krasnaya-436850/" , "4368.50 Куртка женская на молнии ROXY 340 красная, размер S")</f>
      </c>
      <c r="C30516" s="4" t="n">
        <v>5101.00</v>
      </c>
      <c r="D30516" s="4"/>
    </row>
    <row collapsed="" customFormat="false" customHeight="1" hidden="" ht="14" outlineLevel="0" r="30517">
      <c r="A30517" s="3" t="inlineStr">
        <is>
          <t>30367</t>
        </is>
      </c>
      <c r="B30517" s="4" t="s">
        <f>=HYPERLINK("http://anyluxury.ru/shop/prazdnik/den-geologa/kurtka-zhenskaya-na-molnii-roxy-340-krasnaya-436850/" , "4368.50 Куртка женская на молнии ROXY 340 красная, размер XL")</f>
      </c>
      <c r="C30517" s="4" t="n">
        <v>5101.00</v>
      </c>
      <c r="D30517" s="4"/>
    </row>
    <row collapsed="" customFormat="false" customHeight="1" hidden="" ht="14" outlineLevel="0" r="30518">
      <c r="A30518" s="3" t="inlineStr">
        <is>
          <t>30368</t>
        </is>
      </c>
      <c r="B30518" s="4" t="s">
        <f>=HYPERLINK("http://anyluxury.ru/shop/prazdnik/den-geologa/kurtka-zhenskaya-na-molnii-roxy-340-krasnaya-436850/" , "4368.50 Куртка женская на молнии Roxy 340 красная, размер M")</f>
      </c>
      <c r="C30518" s="4" t="n">
        <v>5101.00</v>
      </c>
      <c r="D30518" s="4"/>
    </row>
    <row collapsed="" customFormat="false" customHeight="1" hidden="" ht="14" outlineLevel="0" r="30519">
      <c r="A30519" s="3" t="inlineStr">
        <is>
          <t>30369</t>
        </is>
      </c>
      <c r="B30519" s="4" t="s">
        <f>=HYPERLINK("http://anyluxury.ru/shop/prazdnik/den-geologa/kurtka-zhenskaya-na-molnii-roxy-340-chernaya-436830/" , "4368.30 Куртка женская на молнии ROXY 340 черная, размер S")</f>
      </c>
      <c r="C30519" s="4" t="n">
        <v>5101.00</v>
      </c>
      <c r="D30519" s="4"/>
    </row>
    <row collapsed="" customFormat="false" customHeight="1" hidden="" ht="14" outlineLevel="0" r="30520">
      <c r="A30520" s="3" t="inlineStr">
        <is>
          <t>30370</t>
        </is>
      </c>
      <c r="B30520" s="4" t="s">
        <f>=HYPERLINK("http://anyluxury.ru/shop/prazdnik/den-geologa/kurtka-zhenskaya-na-molnii-roxy-340-chernaya-436830/" , "4368.30 Куртка женская на молнии ROXY 340 черная, размер L")</f>
      </c>
      <c r="C30520" s="4" t="n">
        <v>5101.00</v>
      </c>
      <c r="D30520" s="4"/>
    </row>
    <row collapsed="" customFormat="false" customHeight="1" hidden="" ht="14" outlineLevel="0" r="30521">
      <c r="A30521" s="3" t="inlineStr">
        <is>
          <t>30371</t>
        </is>
      </c>
      <c r="B30521" s="4" t="s">
        <f>=HYPERLINK("http://anyluxury.ru/shop/prazdnik/den-geologa/kurtka-zhenskaya-na-molnii-roxy-340-chernaya-436830/" , "4368.30 Куртка женская на молнии ROXY 340 черная, размер XXL")</f>
      </c>
      <c r="C30521" s="4" t="n">
        <v>5101.00</v>
      </c>
      <c r="D30521" s="4"/>
    </row>
    <row collapsed="" customFormat="false" customHeight="1" hidden="" ht="14" outlineLevel="0" r="30522">
      <c r="A30522" s="3" t="inlineStr">
        <is>
          <t>30372</t>
        </is>
      </c>
      <c r="B30522" s="4" t="s">
        <f>=HYPERLINK("http://anyluxury.ru/shop/prazdnik/den-geologa/kurtka-zhenskaya-na-molnii-roxy-340-chernaya-436830/" , "4368.30 Куртка женская на молнии ROXY 340 черная, размер XL")</f>
      </c>
      <c r="C30522" s="4" t="n">
        <v>5101.00</v>
      </c>
      <c r="D30522" s="4"/>
    </row>
    <row collapsed="" customFormat="false" customHeight="1" hidden="" ht="14" outlineLevel="0" r="30523">
      <c r="A30523" s="3" t="inlineStr">
        <is>
          <t>30373</t>
        </is>
      </c>
      <c r="B30523" s="4" t="s">
        <f>=HYPERLINK("http://anyluxury.ru/shop/prazdnik/den-geologa/podsvechnik-zevs-z1950/" , "Z1950 Подсвечник «Зевс»")</f>
      </c>
      <c r="C30523" s="4" t="n">
        <v>10990.00</v>
      </c>
      <c r="D30523" s="4"/>
    </row>
    <row collapsed="" customFormat="false" customHeight="1" hidden="" ht="14" outlineLevel="0" r="30524">
      <c r="A30524" s="3" t="inlineStr">
        <is>
          <t>30374</t>
        </is>
      </c>
      <c r="B30524" s="4" t="s">
        <f>=HYPERLINK("http://anyluxury.ru/shop/prazdnik/den-geologa/kurtka-zhenskaya-na-molnii-roxy-340-yarkosinyaya-436844/" , "4368.44 Куртка женская на молнии ROXY 340 ярко-синяя, размер S")</f>
      </c>
      <c r="C30524" s="4" t="n">
        <v>5101.00</v>
      </c>
      <c r="D30524" s="4"/>
    </row>
    <row collapsed="" customFormat="false" customHeight="1" hidden="" ht="14" outlineLevel="0" r="30525">
      <c r="A30525" s="3" t="inlineStr">
        <is>
          <t>30375</t>
        </is>
      </c>
      <c r="B30525" s="4" t="s">
        <f>=HYPERLINK("http://anyluxury.ru/shop/prazdnik/den-geologa/kurtka-zhenskaya-na-molnii-roxy-340-yarkosinyaya-436844/" , "4368.44 Куртка женская на молнии ROXY 340 ярко-синяя, размер L")</f>
      </c>
      <c r="C30525" s="4" t="n">
        <v>5101.00</v>
      </c>
      <c r="D30525" s="4"/>
    </row>
    <row collapsed="" customFormat="false" customHeight="1" hidden="" ht="14" outlineLevel="0" r="30526">
      <c r="A30526" s="3" t="inlineStr">
        <is>
          <t>30376</t>
        </is>
      </c>
      <c r="B30526" s="4" t="s">
        <f>=HYPERLINK("http://anyluxury.ru/shop/prazdnik/den-geologa/kurtka-zhenskaya-na-molnii-roxy-340-yarkosinyaya-436844/" , "4368.44 Куртка женская на молнии ROXY 340 ярко-синяя, размер XL")</f>
      </c>
      <c r="C30526" s="4" t="n">
        <v>5101.00</v>
      </c>
      <c r="D30526" s="4"/>
    </row>
    <row collapsed="" customFormat="false" customHeight="1" hidden="" ht="14" outlineLevel="0" r="30527">
      <c r="A30527" s="3" t="inlineStr">
        <is>
          <t>30377</t>
        </is>
      </c>
      <c r="B30527" s="4" t="s">
        <f>=HYPERLINK("http://anyluxury.ru/shop/prazdnik/den-geologa/kurtka-zhenskaya-na-molnii-roxy-340-yarkosinyaya-436844/" , "4368.44 Куртка женская на молнии ROXY 340 ярко-синяя, размер XXL")</f>
      </c>
      <c r="C30527" s="4" t="n">
        <v>5101.00</v>
      </c>
      <c r="D30527" s="4"/>
    </row>
    <row collapsed="" customFormat="false" customHeight="1" hidden="" ht="14" outlineLevel="0" r="30528">
      <c r="A30528" s="3" t="inlineStr">
        <is>
          <t>30378</t>
        </is>
      </c>
      <c r="B30528" s="4" t="s">
        <f>=HYPERLINK("http://anyluxury.ru/shop/prazdnik/den-geologa/chasi-nastennie-vivid-large-chernie-559030/" , "5590.30 Часы настенные Vivid Large, черные")</f>
      </c>
      <c r="C30528" s="4" t="n">
        <v>689.00</v>
      </c>
      <c r="D30528" s="4"/>
    </row>
    <row collapsed="" customFormat="false" customHeight="1" hidden="" ht="14" outlineLevel="0" r="30529">
      <c r="A30529" s="3" t="inlineStr">
        <is>
          <t>30379</t>
        </is>
      </c>
      <c r="B30529" s="4" t="s">
        <f>=HYPERLINK("http://anyluxury.ru/shop/prazdnik/den-geologa/skladnoy-zont-take-it-duo-siniy-566840/" , "5668.40 Складной зонт Take It Duo, синий")</f>
      </c>
      <c r="C30529" s="4" t="n">
        <v>3833.00</v>
      </c>
      <c r="D30529" s="4"/>
    </row>
    <row collapsed="" customFormat="false" customHeight="1" hidden="" ht="14" outlineLevel="0" r="30530">
      <c r="A30530" s="3" t="inlineStr">
        <is>
          <t>30380</t>
        </is>
      </c>
      <c r="B30530" s="4" t="s">
        <f>=HYPERLINK("http://anyluxury.ru/shop/prazdnik/den-geologa/zhilet-equinox-pro-temnozeleniy-584790/" , "5847.90 Жилет EQUINOX PRO темно-зеленый, размер S")</f>
      </c>
      <c r="C30530" s="4" t="n">
        <v>4394.00</v>
      </c>
      <c r="D30530" s="4"/>
    </row>
    <row collapsed="" customFormat="false" customHeight="1" hidden="" ht="14" outlineLevel="0" r="30531">
      <c r="A30531" s="3" t="inlineStr">
        <is>
          <t>30381</t>
        </is>
      </c>
      <c r="B30531" s="4" t="s">
        <f>=HYPERLINK("http://anyluxury.ru/shop/prazdnik/den-geologa/zhilet-equinox-pro-temnozeleniy-584790/" , "5847.90 Жилет EQUINOX PRO темно-зеленый, размер M")</f>
      </c>
      <c r="C30531" s="4" t="n">
        <v>4394.00</v>
      </c>
      <c r="D30531" s="4"/>
    </row>
    <row collapsed="" customFormat="false" customHeight="1" hidden="" ht="14" outlineLevel="0" r="30532">
      <c r="A30532" s="3" t="inlineStr">
        <is>
          <t>30382</t>
        </is>
      </c>
      <c r="B30532" s="4" t="s">
        <f>=HYPERLINK("http://anyluxury.ru/shop/prazdnik/den-geologa/zhilet-equinox-pro-temnozeleniy-584790/" , "5847.90 Жилет EQUINOX PRO темно-зеленый, размер L")</f>
      </c>
      <c r="C30532" s="4" t="n">
        <v>4394.00</v>
      </c>
      <c r="D30532" s="4"/>
    </row>
    <row collapsed="" customFormat="false" customHeight="1" hidden="" ht="14" outlineLevel="0" r="30533">
      <c r="A30533" s="3" t="inlineStr">
        <is>
          <t>30383</t>
        </is>
      </c>
      <c r="B30533" s="4" t="s">
        <f>=HYPERLINK("http://anyluxury.ru/shop/prazdnik/den-geologa/zhilet-equinox-pro-temnozeleniy-584790/" , "5847.90 Жилет EQUINOX PRO темно-зеленый, размер XL")</f>
      </c>
      <c r="C30533" s="4" t="n">
        <v>4394.00</v>
      </c>
      <c r="D30533" s="4"/>
    </row>
    <row collapsed="" customFormat="false" customHeight="1" hidden="" ht="14" outlineLevel="0" r="30534">
      <c r="A30534" s="3" t="inlineStr">
        <is>
          <t>30384</t>
        </is>
      </c>
      <c r="B30534" s="4" t="s">
        <f>=HYPERLINK("http://anyluxury.ru/shop/prazdnik/den-geologa/zhilet-equinox-pro-temnozeleniy-584790/" , "5847.90 Жилет EQUINOX PRO темно-зеленый, размер XXL")</f>
      </c>
      <c r="C30534" s="4" t="n">
        <v>4394.00</v>
      </c>
      <c r="D30534" s="4"/>
    </row>
    <row collapsed="" customFormat="false" customHeight="1" hidden="" ht="14" outlineLevel="0" r="30535">
      <c r="A30535" s="3" t="inlineStr">
        <is>
          <t>30385</t>
        </is>
      </c>
      <c r="B30535" s="4" t="s">
        <f>=HYPERLINK("http://anyluxury.ru/shop/prazdnik/den-geologa/zhilet-equinox-pro-temnozeleniy-584790/" , "5847.90 Жилет EQUINOX PRO, темно-зеленый, размер 3XL")</f>
      </c>
      <c r="C30535" s="4" t="n">
        <v>4394.00</v>
      </c>
      <c r="D30535" s="4"/>
    </row>
    <row collapsed="" customFormat="false" customHeight="1" hidden="" ht="14" outlineLevel="0" r="30536">
      <c r="A30536" s="3" t="inlineStr">
        <is>
          <t>30386</t>
        </is>
      </c>
      <c r="B30536" s="4" t="s">
        <f>=HYPERLINK("http://anyluxury.ru/shop/prazdnik/den-geologa/zhilet-equinox-pro-temnozeleniy-584790/" , "5847.90 Жилет EQUINOX PRO, темно-зеленый, размер 4XL")</f>
      </c>
      <c r="C30536" s="4" t="n">
        <v>4394.00</v>
      </c>
      <c r="D30536" s="4"/>
    </row>
    <row collapsed="" customFormat="false" customHeight="1" hidden="" ht="14" outlineLevel="0" r="30537">
      <c r="A30537" s="3" t="inlineStr">
        <is>
          <t>30387</t>
        </is>
      </c>
      <c r="B30537" s="4" t="s">
        <f>=HYPERLINK("http://anyluxury.ru/shop/prazdnik/den-geologa/zhilet-equinox-pro-temnozeleniy-584790/" , "5847.90 Жилет EQUINOX PRO, темно-зеленый, размер 5XL")</f>
      </c>
      <c r="C30537" s="4" t="n">
        <v>4394.00</v>
      </c>
      <c r="D30537" s="4"/>
    </row>
    <row collapsed="" customFormat="false" customHeight="1" hidden="" ht="14" outlineLevel="0" r="30538">
      <c r="A30538" s="3" t="inlineStr">
        <is>
          <t>30388</t>
        </is>
      </c>
      <c r="B30538" s="4" t="s">
        <f>=HYPERLINK("http://anyluxury.ru/shop/prazdnik/den-geologa/zhilet-equinox-pro-temnoseriy-584710/" , "5847.10 Жилет EQUINOX PRO темно-серый, размер S")</f>
      </c>
      <c r="C30538" s="4" t="n">
        <v>4394.00</v>
      </c>
      <c r="D30538" s="4"/>
    </row>
    <row collapsed="" customFormat="false" customHeight="1" hidden="" ht="14" outlineLevel="0" r="30539">
      <c r="A30539" s="3" t="inlineStr">
        <is>
          <t>30389</t>
        </is>
      </c>
      <c r="B30539" s="4" t="s">
        <f>=HYPERLINK("http://anyluxury.ru/shop/prazdnik/den-geologa/zhilet-equinox-pro-temnoseriy-584710/" , "5847.10 Жилет EQUINOX PRO темно-серый, размер M")</f>
      </c>
      <c r="C30539" s="4" t="n">
        <v>4394.00</v>
      </c>
      <c r="D30539" s="4"/>
    </row>
    <row collapsed="" customFormat="false" customHeight="1" hidden="" ht="14" outlineLevel="0" r="30540">
      <c r="A30540" s="3" t="inlineStr">
        <is>
          <t>30390</t>
        </is>
      </c>
      <c r="B30540" s="4" t="s">
        <f>=HYPERLINK("http://anyluxury.ru/shop/prazdnik/den-geologa/zhilet-equinox-pro-temnoseriy-584710/" , "5847.10 Жилет EQUINOX PRO темно-серый, размер L")</f>
      </c>
      <c r="C30540" s="4" t="n">
        <v>4394.00</v>
      </c>
      <c r="D30540" s="4"/>
    </row>
    <row collapsed="" customFormat="false" customHeight="1" hidden="" ht="14" outlineLevel="0" r="30541">
      <c r="A30541" s="3" t="inlineStr">
        <is>
          <t>30391</t>
        </is>
      </c>
      <c r="B30541" s="4" t="s">
        <f>=HYPERLINK("http://anyluxury.ru/shop/prazdnik/den-geologa/zhilet-equinox-pro-temnoseriy-584710/" , "5847.10 Жилет EQUINOX PRO темно-серый, размер XL")</f>
      </c>
      <c r="C30541" s="4" t="n">
        <v>4394.00</v>
      </c>
      <c r="D30541" s="4"/>
    </row>
    <row collapsed="" customFormat="false" customHeight="1" hidden="" ht="14" outlineLevel="0" r="30542">
      <c r="A30542" s="3" t="inlineStr">
        <is>
          <t>30392</t>
        </is>
      </c>
      <c r="B30542" s="4" t="s">
        <f>=HYPERLINK("http://anyluxury.ru/shop/prazdnik/den-geologa/zhilet-equinox-pro-temnoseriy-584710/" , "5847.10 Жилет EQUINOX PRO темно-серый, размер XXL")</f>
      </c>
      <c r="C30542" s="4" t="n">
        <v>4394.00</v>
      </c>
      <c r="D30542" s="4"/>
    </row>
    <row collapsed="" customFormat="false" customHeight="1" hidden="" ht="14" outlineLevel="0" r="30543">
      <c r="A30543" s="3" t="inlineStr">
        <is>
          <t>30393</t>
        </is>
      </c>
      <c r="B30543" s="4" t="s">
        <f>=HYPERLINK("http://anyluxury.ru/shop/prazdnik/den-geologa/zhilet-equinox-pro-temnoseriy-584710/" , "5847.10 Жилет EQUINOX PRO, темно-серый, размер 3XL")</f>
      </c>
      <c r="C30543" s="4" t="n">
        <v>4394.00</v>
      </c>
      <c r="D30543" s="4"/>
    </row>
    <row collapsed="" customFormat="false" customHeight="1" hidden="" ht="14" outlineLevel="0" r="30544">
      <c r="A30544" s="3" t="inlineStr">
        <is>
          <t>30394</t>
        </is>
      </c>
      <c r="B30544" s="4" t="s">
        <f>=HYPERLINK("http://anyluxury.ru/shop/prazdnik/den-geologa/zhilet-equinox-pro-temnoseriy-584710/" , "5847.10 Жилет EQUINOX PRO, темно-серый, размер 4XL")</f>
      </c>
      <c r="C30544" s="4" t="n">
        <v>4394.00</v>
      </c>
      <c r="D30544" s="4"/>
    </row>
    <row collapsed="" customFormat="false" customHeight="1" hidden="" ht="14" outlineLevel="0" r="30545">
      <c r="A30545" s="3" t="inlineStr">
        <is>
          <t>30395</t>
        </is>
      </c>
      <c r="B30545" s="4" t="s">
        <f>=HYPERLINK("http://anyluxury.ru/shop/prazdnik/den-geologa/zhilet-equinox-pro-temnoseriy-584710/" , "5847.10 Жилет EQUINOX PRO, темно-серый, размер 5XL")</f>
      </c>
      <c r="C30545" s="4" t="n">
        <v>4394.00</v>
      </c>
      <c r="D30545" s="4"/>
    </row>
    <row collapsed="" customFormat="false" customHeight="1" hidden="" ht="14" outlineLevel="0" r="30546">
      <c r="A30546" s="3" t="inlineStr">
        <is>
          <t>30396</t>
        </is>
      </c>
      <c r="B30546" s="4" t="s">
        <f>=HYPERLINK("http://anyluxury.ru/shop/prazdnik/den-geologa/termostakan-tansley-germetichniy-vakuumniy-cherniy-662230/" , "6622.30 Термостакан Tansley, герметичный, вакуумный, черный")</f>
      </c>
      <c r="C30546" s="4" t="n">
        <v>1450.00</v>
      </c>
      <c r="D30546" s="4"/>
    </row>
    <row collapsed="" customFormat="false" customHeight="1" hidden="" ht="14" outlineLevel="0" r="30547">
      <c r="A30547" s="3" t="inlineStr">
        <is>
          <t>30397</t>
        </is>
      </c>
      <c r="B30547" s="4" t="s">
        <f>=HYPERLINK("http://anyluxury.ru/shop/prazdnik/den-geologa/vneshniy-akkumulyator-pebble-7800-mach-seriy-564210/" , "5642.10 Внешний аккумулятор Pebble 7800 мАч, серый")</f>
      </c>
      <c r="C30547" s="4" t="n">
        <v>2190.00</v>
      </c>
      <c r="D30547" s="4"/>
    </row>
    <row collapsed="" customFormat="false" customHeight="1" hidden="" ht="14" outlineLevel="0" r="30548">
      <c r="A30548" s="3" t="inlineStr">
        <is>
          <t>30398</t>
        </is>
      </c>
      <c r="B30548" s="4" t="s">
        <f>=HYPERLINK("http://anyluxury.ru/shop/prazdnik/den-geologa/fonarik-s-fokusirovkoy-lucha-fokus-siniy-metallik-335647/" , "3356.47 Фонарик с фокусировкой луча Fokus, серо-синий")</f>
      </c>
      <c r="C30548" s="4" t="n">
        <v>1555.00</v>
      </c>
      <c r="D30548" s="4"/>
    </row>
    <row collapsed="" customFormat="false" customHeight="1" hidden="" ht="14" outlineLevel="0" r="30549">
      <c r="A30549" s="3" t="inlineStr">
        <is>
          <t>30399</t>
        </is>
      </c>
      <c r="B30549" s="4" t="s">
        <f>=HYPERLINK("http://anyluxury.ru/shop/prazdnik/den-geologa/ezhednevnik-shall-nedatirovanniy-zeleniy-788090/" , "7880.90 Ежедневник Shall, недатированный, зеленый")</f>
      </c>
      <c r="C30549" s="4" t="n">
        <v>813.00</v>
      </c>
      <c r="D30549" s="4"/>
    </row>
    <row collapsed="" customFormat="false" customHeight="1" hidden="" ht="14" outlineLevel="0" r="30550">
      <c r="A30550" s="3" t="inlineStr">
        <is>
          <t>30400</t>
        </is>
      </c>
      <c r="B30550" s="4" t="s">
        <f>=HYPERLINK("http://anyluxury.ru/shop/prazdnik/den-geologa/vetrovka-unit-kivach-temnosinyaya-710240/" , "7102.40 Ветровка Unit Kivach темно-синяя, размер S")</f>
      </c>
      <c r="C30550" s="4" t="n">
        <v>1560.00</v>
      </c>
      <c r="D30550" s="4"/>
    </row>
    <row collapsed="" customFormat="false" customHeight="1" hidden="" ht="14" outlineLevel="0" r="30551">
      <c r="A30551" s="3" t="inlineStr">
        <is>
          <t>30401</t>
        </is>
      </c>
      <c r="B30551" s="4" t="s">
        <f>=HYPERLINK("http://anyluxury.ru/shop/prazdnik/den-geologa/vetrovka-unit-kivach-temnosinyaya-710240/" , "7102.40 Ветровка Unit Kivach темно-синяя, размер M")</f>
      </c>
      <c r="C30551" s="4" t="n">
        <v>1560.00</v>
      </c>
      <c r="D30551" s="4"/>
    </row>
    <row collapsed="" customFormat="false" customHeight="1" hidden="" ht="14" outlineLevel="0" r="30552">
      <c r="A30552" s="3" t="inlineStr">
        <is>
          <t>30402</t>
        </is>
      </c>
      <c r="B30552" s="4" t="s">
        <f>=HYPERLINK("http://anyluxury.ru/shop/prazdnik/den-geologa/vetrovka-unit-kivach-temnosinyaya-710240/" , "7102.40 Ветровка Unit Kivach темно-синяя, размер L")</f>
      </c>
      <c r="C30552" s="4" t="n">
        <v>1560.00</v>
      </c>
      <c r="D30552" s="4"/>
    </row>
    <row collapsed="" customFormat="false" customHeight="1" hidden="" ht="14" outlineLevel="0" r="30553">
      <c r="A30553" s="3" t="inlineStr">
        <is>
          <t>30403</t>
        </is>
      </c>
      <c r="B30553" s="4" t="s">
        <f>=HYPERLINK("http://anyluxury.ru/shop/prazdnik/den-geologa/vetrovka-unit-kivach-temnosinyaya-710240/" , "7102.40 Ветровка Unit Kivach темно-синяя, размер XL")</f>
      </c>
      <c r="C30553" s="4" t="n">
        <v>1560.00</v>
      </c>
      <c r="D30553" s="4"/>
    </row>
    <row collapsed="" customFormat="false" customHeight="1" hidden="" ht="14" outlineLevel="0" r="30554">
      <c r="A30554" s="3" t="inlineStr">
        <is>
          <t>30404</t>
        </is>
      </c>
      <c r="B30554" s="4" t="s">
        <f>=HYPERLINK("http://anyluxury.ru/shop/prazdnik/den-geologa/vetrovka-unit-kivach-temnosinyaya-710240/" , "7102.40 Ветровка Unit Kivach темно-синяя, размер XXL")</f>
      </c>
      <c r="C30554" s="4" t="n">
        <v>1560.00</v>
      </c>
      <c r="D30554" s="4"/>
    </row>
    <row collapsed="" customFormat="false" customHeight="1" hidden="" ht="14" outlineLevel="0" r="30555">
      <c r="A30555" s="3" t="inlineStr">
        <is>
          <t>30405</t>
        </is>
      </c>
      <c r="B30555" s="4" t="s">
        <f>=HYPERLINK("http://anyluxury.ru/shop/prazdnik/den-geologa/vetrovka-unit-kivach-temnosinyaya-710240/" , "7102.40 Ветровка Unit Kivach темно-синяя, размер 3XL")</f>
      </c>
      <c r="C30555" s="4" t="n">
        <v>1560.00</v>
      </c>
      <c r="D30555" s="4"/>
    </row>
    <row collapsed="" customFormat="false" customHeight="1" hidden="" ht="14" outlineLevel="0" r="30556">
      <c r="A30556" s="3" t="inlineStr">
        <is>
          <t>30406</t>
        </is>
      </c>
      <c r="B30556" s="4" t="s">
        <f>=HYPERLINK("http://anyluxury.ru/shop/prazdnik/den-geologa/vetrovka-unit-kivach-temnosinyaya-710240/" , "7102.40 Ветровка Unit Kivach темно-синяя, размер XS")</f>
      </c>
      <c r="C30556" s="4" t="n">
        <v>1560.00</v>
      </c>
      <c r="D30556" s="4"/>
    </row>
    <row collapsed="" customFormat="false" customHeight="1" hidden="" ht="14" outlineLevel="0" r="30557">
      <c r="A30557" s="3" t="inlineStr">
        <is>
          <t>30407</t>
        </is>
      </c>
      <c r="B30557" s="4" t="s">
        <f>=HYPERLINK("http://anyluxury.ru/shop/prazdnik/den-geologa/termobutilka-hard-work-black-chernaya-7054330/" , "70543.30 Tермобутылка Hard Work Black, черная")</f>
      </c>
      <c r="C30557" s="4" t="n">
        <v>1956.00</v>
      </c>
      <c r="D30557" s="4"/>
    </row>
    <row collapsed="" customFormat="false" customHeight="1" hidden="" ht="14" outlineLevel="0" r="30558">
      <c r="A30558" s="3" t="inlineStr">
        <is>
          <t>30408</t>
        </is>
      </c>
      <c r="B30558" s="4" t="s">
        <f>=HYPERLINK("http://anyluxury.ru/shop/prazdnik/den-geologa/termos-arktika-hammerite-1200-cherniy-1366330/" , "13663.30 Термос «Арктика Hammerite 1200», черный")</f>
      </c>
      <c r="C30558" s="4" t="n">
        <v>2686.00</v>
      </c>
      <c r="D30558" s="4"/>
    </row>
    <row collapsed="" customFormat="false" customHeight="1" hidden="" ht="14" outlineLevel="0" r="30559">
      <c r="A30559" s="3" t="inlineStr">
        <is>
          <t>30409</t>
        </is>
      </c>
      <c r="B30559" s="4" t="s">
        <f>=HYPERLINK("http://anyluxury.ru/shop/prazdnik/den-geologa/termos-dlya-edi-v-chehle-arktika-1000-zeleniy-1398590/" , "13985.90 Термос для еды в чехле «Арктика 1000», зеленый")</f>
      </c>
      <c r="C30559" s="4" t="n">
        <v>2536.00</v>
      </c>
      <c r="D30559" s="4"/>
    </row>
    <row collapsed="" customFormat="false" customHeight="" hidden="" ht="12.1" outlineLevel="0" r="30560">
      <c r="A30560" s="5" t="inlineStr">
        <is>
          <t> -  - День железнодорожника</t>
        </is>
      </c>
      <c r="B30560" s="6"/>
      <c r="C30560" s="6"/>
      <c r="D30560" s="6"/>
    </row>
    <row collapsed="" customFormat="false" customHeight="1" hidden="" ht="14" outlineLevel="0" r="30561">
      <c r="A30561" s="3" t="inlineStr">
        <is>
          <t>30410</t>
        </is>
      </c>
      <c r="B30561" s="4" t="s">
        <f>=HYPERLINK("http://anyluxury.ru/shop/prazdnik/den-zheleznodorozhnika/polotence-atoll-medium-chernoe-664630/" , "6646.30 Спортивное полотенце Atoll Medium, черное")</f>
      </c>
      <c r="C30561" s="4" t="n">
        <v>1140.00</v>
      </c>
      <c r="D30561" s="4"/>
    </row>
    <row collapsed="" customFormat="false" customHeight="1" hidden="" ht="14" outlineLevel="0" r="30562">
      <c r="A30562" s="3" t="inlineStr">
        <is>
          <t>30411</t>
        </is>
      </c>
      <c r="B30562" s="4" t="s">
        <f>=HYPERLINK("http://anyluxury.ru/shop/prazdnik/den-zheleznodorozhnika/polotence-atoll-medium-sinee-664640/" , "6646.40 Спортивное полотенце Atoll Medium, синее")</f>
      </c>
      <c r="C30562" s="4" t="n">
        <v>1140.00</v>
      </c>
      <c r="D30562" s="4"/>
    </row>
    <row collapsed="" customFormat="false" customHeight="1" hidden="" ht="14" outlineLevel="0" r="30563">
      <c r="A30563" s="3" t="inlineStr">
        <is>
          <t>30412</t>
        </is>
      </c>
      <c r="B30563" s="4" t="s">
        <f>=HYPERLINK("http://anyluxury.ru/shop/prazdnik/den-zheleznodorozhnika/oficerskiy-nozh-deluxe-tinker-91-krasniy-775850/" , "7758.50 Офицерский нож Deluxe Tinker 91, красный")</f>
      </c>
      <c r="C30563" s="4" t="n">
        <v>9780.00</v>
      </c>
      <c r="D30563" s="4"/>
    </row>
    <row collapsed="" customFormat="false" customHeight="1" hidden="" ht="14" outlineLevel="0" r="30564">
      <c r="A30564" s="3" t="inlineStr">
        <is>
          <t>30413</t>
        </is>
      </c>
      <c r="B30564" s="4" t="s">
        <f>=HYPERLINK("http://anyluxury.ru/shop/prazdnik/den-zheleznodorozhnika/polotence-atoll-large-temnozelenoe-664790/" , "6647.90 Спортивное полотенце Atoll Large, темно-зеленое")</f>
      </c>
      <c r="C30564" s="4" t="n">
        <v>1741.00</v>
      </c>
      <c r="D30564" s="4"/>
    </row>
    <row collapsed="" customFormat="false" customHeight="1" hidden="" ht="14" outlineLevel="0" r="30565">
      <c r="A30565" s="3" t="inlineStr">
        <is>
          <t>30414</t>
        </is>
      </c>
      <c r="B30565" s="4" t="s">
        <f>=HYPERLINK("http://anyluxury.ru/shop/prazdnik/den-zheleznodorozhnika/dorozhnaya-podushka-westerwick-temnoseraya-1332010/" , "13320.10 Дорожная подушка Westerwick, темно-серая")</f>
      </c>
      <c r="C30565" s="4" t="n">
        <v>1953.00</v>
      </c>
      <c r="D30565" s="4"/>
    </row>
    <row collapsed="" customFormat="false" customHeight="" hidden="" ht="12.1" outlineLevel="0" r="30566">
      <c r="A30566" s="5" t="inlineStr">
        <is>
          <t> -  - День знаний 1 сентября</t>
        </is>
      </c>
      <c r="B30566" s="6"/>
      <c r="C30566" s="6"/>
      <c r="D30566" s="6"/>
    </row>
    <row collapsed="" customFormat="false" customHeight="1" hidden="" ht="14" outlineLevel="0" r="30567">
      <c r="A30567" s="3" t="inlineStr">
        <is>
          <t>30415</t>
        </is>
      </c>
      <c r="B30567" s="4" t="s">
        <f>=HYPERLINK("http://anyluxury.ru/shop/prazdnik/den-znaniy-1-sentyabrya/rubashka-muzhskaya-s-dlinnim-rukavom-brighton-belaya-250860/" , "2508.60 Рубашка мужская с длинным рукавом BRIGHTON белая, размер S")</f>
      </c>
      <c r="C30567" s="4" t="n">
        <v>3143.00</v>
      </c>
      <c r="D30567" s="4"/>
    </row>
    <row collapsed="" customFormat="false" customHeight="1" hidden="" ht="14" outlineLevel="0" r="30568">
      <c r="A30568" s="3" t="inlineStr">
        <is>
          <t>30416</t>
        </is>
      </c>
      <c r="B30568" s="4" t="s">
        <f>=HYPERLINK("http://anyluxury.ru/shop/prazdnik/den-znaniy-1-sentyabrya/rubashka-muzhskaya-s-dlinnim-rukavom-brighton-belaya-250860/" , "2508.60 Рубашка мужская с длинным рукавом BRIGHTON белая, размер XXL")</f>
      </c>
      <c r="C30568" s="4" t="n">
        <v>3143.00</v>
      </c>
      <c r="D30568" s="4"/>
    </row>
    <row collapsed="" customFormat="false" customHeight="1" hidden="" ht="14" outlineLevel="0" r="30569">
      <c r="A30569" s="3" t="inlineStr">
        <is>
          <t>30417</t>
        </is>
      </c>
      <c r="B30569" s="4" t="s">
        <f>=HYPERLINK("http://anyluxury.ru/shop/prazdnik/den-znaniy-1-sentyabrya/rubashka-muzhskaya-s-dlinnim-rukavom-brighton-belaya-250860/" , "2508.60 Рубашка мужская с длинным рукавом BRIGHTON белая, размер 3XL")</f>
      </c>
      <c r="C30569" s="4" t="n">
        <v>3143.00</v>
      </c>
      <c r="D30569" s="4"/>
    </row>
    <row collapsed="" customFormat="false" customHeight="1" hidden="" ht="14" outlineLevel="0" r="30570">
      <c r="A30570" s="3" t="inlineStr">
        <is>
          <t>30418</t>
        </is>
      </c>
      <c r="B30570" s="4" t="s">
        <f>=HYPERLINK("http://anyluxury.ru/shop/prazdnik/den-znaniy-1-sentyabrya/rubashka-muzhskaya-s-dlinnim-rukavom-brighton-belaya-250860/" , "2508.60 Рубашка мужская с длинным рукавом Brighton белая, размер 4XL")</f>
      </c>
      <c r="C30570" s="4" t="n">
        <v>3143.00</v>
      </c>
      <c r="D30570" s="4"/>
    </row>
    <row collapsed="" customFormat="false" customHeight="1" hidden="" ht="14" outlineLevel="0" r="30571">
      <c r="A30571" s="3" t="inlineStr">
        <is>
          <t>30419</t>
        </is>
      </c>
      <c r="B30571" s="4" t="s">
        <f>=HYPERLINK("http://anyluxury.ru/shop/prazdnik/den-znaniy-1-sentyabrya/peshehodniy-svetootrazhatel-krug-siniy-421040/" , "4210.40 Пешеходный светоотражатель «Круг», синий")</f>
      </c>
      <c r="C30571" s="4" t="n">
        <v>93.00</v>
      </c>
      <c r="D30571" s="4"/>
    </row>
    <row collapsed="" customFormat="false" customHeight="1" hidden="" ht="14" outlineLevel="0" r="30572">
      <c r="A30572" s="3" t="inlineStr">
        <is>
          <t>30420</t>
        </is>
      </c>
      <c r="B30572" s="4" t="s">
        <f>=HYPERLINK("http://anyluxury.ru/shop/prazdnik/den-znaniy-1-sentyabrya/peshehodniy-svetootrazhatel-krug-beliy-421060/" , "4210.60 Пешеходный светоотражатель «Круг», белый")</f>
      </c>
      <c r="C30572" s="4" t="n">
        <v>93.00</v>
      </c>
      <c r="D30572" s="4"/>
    </row>
    <row collapsed="" customFormat="false" customHeight="1" hidden="" ht="14" outlineLevel="0" r="30573">
      <c r="A30573" s="3" t="inlineStr">
        <is>
          <t>30421</t>
        </is>
      </c>
      <c r="B30573" s="4" t="s">
        <f>=HYPERLINK("http://anyluxury.ru/shop/prazdnik/den-znaniy-1-sentyabrya/peshehodniy-svetootrazhatel-krug-neonzheltiy-421089/" , "4210.89 Пешеходный светоотражатель «Круг», неон-желтый")</f>
      </c>
      <c r="C30573" s="4" t="n">
        <v>93.00</v>
      </c>
      <c r="D30573" s="4"/>
    </row>
    <row collapsed="" customFormat="false" customHeight="1" hidden="" ht="14" outlineLevel="0" r="30574">
      <c r="A30574" s="3" t="inlineStr">
        <is>
          <t>30422</t>
        </is>
      </c>
      <c r="B30574" s="4" t="s">
        <f>=HYPERLINK("http://anyluxury.ru/shop/prazdnik/den-znaniy-1-sentyabrya/peshehodniy-svetootrazhatel-krug-oranzheviy-421020/" , "4210.20 Пешеходный светоотражатель «Круг», оранжевый")</f>
      </c>
      <c r="C30574" s="4" t="n">
        <v>93.00</v>
      </c>
      <c r="D30574" s="4"/>
    </row>
    <row collapsed="" customFormat="false" customHeight="1" hidden="" ht="14" outlineLevel="0" r="30575">
      <c r="A30575" s="3" t="inlineStr">
        <is>
          <t>30423</t>
        </is>
      </c>
      <c r="B30575" s="4" t="s">
        <f>=HYPERLINK("http://anyluxury.ru/shop/prazdnik/den-znaniy-1-sentyabrya/peshehodniy-svetootrazhatel-krug-zeleniy-421090/" , "4210.90 Пешеходный светоотражатель «Круг», зеленый")</f>
      </c>
      <c r="C30575" s="4" t="n">
        <v>93.00</v>
      </c>
      <c r="D30575" s="4"/>
    </row>
    <row collapsed="" customFormat="false" customHeight="1" hidden="" ht="14" outlineLevel="0" r="30576">
      <c r="A30576" s="3" t="inlineStr">
        <is>
          <t>30424</t>
        </is>
      </c>
      <c r="B30576" s="4" t="s">
        <f>=HYPERLINK("http://anyluxury.ru/shop/prazdnik/den-znaniy-1-sentyabrya/rubashka-muzhskaya-s-dlinnim-rukavom-brighton-golubaya-250814/" , "2508.14 Рубашка мужская с длинным рукавом BRIGHTON голубая, размер S")</f>
      </c>
      <c r="C30576" s="4" t="n">
        <v>3143.00</v>
      </c>
      <c r="D30576" s="4"/>
    </row>
    <row collapsed="" customFormat="false" customHeight="1" hidden="" ht="14" outlineLevel="0" r="30577">
      <c r="A30577" s="3" t="inlineStr">
        <is>
          <t>30425</t>
        </is>
      </c>
      <c r="B30577" s="4" t="s">
        <f>=HYPERLINK("http://anyluxury.ru/shop/prazdnik/den-znaniy-1-sentyabrya/rubashka-muzhskaya-s-dlinnim-rukavom-brighton-golubaya-250814/" , "2508.14 Рубашка мужская с длинным рукавом BRIGHTON голубая, размер L")</f>
      </c>
      <c r="C30577" s="4" t="n">
        <v>3143.00</v>
      </c>
      <c r="D30577" s="4"/>
    </row>
    <row collapsed="" customFormat="false" customHeight="1" hidden="" ht="14" outlineLevel="0" r="30578">
      <c r="A30578" s="3" t="inlineStr">
        <is>
          <t>30426</t>
        </is>
      </c>
      <c r="B30578" s="4" t="s">
        <f>=HYPERLINK("http://anyluxury.ru/shop/prazdnik/den-znaniy-1-sentyabrya/rubashka-muzhskaya-s-dlinnim-rukavom-brighton-golubaya-250814/" , "2508.14 Рубашка мужская с длинным рукавом BRIGHTON голубая, размер XL")</f>
      </c>
      <c r="C30578" s="4" t="n">
        <v>3143.00</v>
      </c>
      <c r="D30578" s="4"/>
    </row>
    <row collapsed="" customFormat="false" customHeight="1" hidden="" ht="14" outlineLevel="0" r="30579">
      <c r="A30579" s="3" t="inlineStr">
        <is>
          <t>30427</t>
        </is>
      </c>
      <c r="B30579" s="4" t="s">
        <f>=HYPERLINK("http://anyluxury.ru/shop/prazdnik/den-znaniy-1-sentyabrya/rubashka-muzhskaya-s-dlinnim-rukavom-brighton-golubaya-250814/" , "2508.14 Рубашка мужская с длинным рукавом BRIGHTON голубая, размер XXL")</f>
      </c>
      <c r="C30579" s="4" t="n">
        <v>3143.00</v>
      </c>
      <c r="D30579" s="4"/>
    </row>
    <row collapsed="" customFormat="false" customHeight="1" hidden="" ht="14" outlineLevel="0" r="30580">
      <c r="A30580" s="3" t="inlineStr">
        <is>
          <t>30428</t>
        </is>
      </c>
      <c r="B30580" s="4" t="s">
        <f>=HYPERLINK("http://anyluxury.ru/shop/prazdnik/den-znaniy-1-sentyabrya/rubashka-muzhskaya-s-dlinnim-rukavom-brighton-golubaya-250814/" , "2508.14 Рубашка мужская с длинным рукавом Brighton холодный голубой, размер 4XL")</f>
      </c>
      <c r="C30580" s="4" t="n">
        <v>3143.00</v>
      </c>
      <c r="D30580" s="4"/>
    </row>
    <row collapsed="" customFormat="false" customHeight="1" hidden="" ht="14" outlineLevel="0" r="30581">
      <c r="A30581" s="3" t="inlineStr">
        <is>
          <t>30429</t>
        </is>
      </c>
      <c r="B30581" s="4" t="s">
        <f>=HYPERLINK("http://anyluxury.ru/shop/prazdnik/den-znaniy-1-sentyabrya/rubashka-muzhskaya-s-dlinnim-rukavom-brighton-golubaya-250814/" , "2508.14 Рубашка мужская с длинным рукавом Brighton голубая, размер 5XL")</f>
      </c>
      <c r="C30581" s="4" t="n">
        <v>3143.00</v>
      </c>
      <c r="D30581" s="4"/>
    </row>
    <row collapsed="" customFormat="false" customHeight="1" hidden="" ht="14" outlineLevel="0" r="30582">
      <c r="A30582" s="3" t="inlineStr">
        <is>
          <t>30430</t>
        </is>
      </c>
      <c r="B30582" s="4" t="s">
        <f>=HYPERLINK("http://anyluxury.ru/shop/prazdnik/den-znaniy-1-sentyabrya/rubashka-muzhskaya-s-dlinnim-rukavom-brighton-golubaya-250814/" , "2508.14 Рубашка мужская с длинным рукавом Brighton холодный голубой, размер 3XL")</f>
      </c>
      <c r="C30582" s="4" t="n">
        <v>3143.00</v>
      </c>
      <c r="D30582" s="4"/>
    </row>
    <row collapsed="" customFormat="false" customHeight="1" hidden="" ht="14" outlineLevel="0" r="30583">
      <c r="A30583" s="3" t="inlineStr">
        <is>
          <t>30431</t>
        </is>
      </c>
      <c r="B30583" s="4" t="s">
        <f>=HYPERLINK("http://anyluxury.ru/shop/prazdnik/den-znaniy-1-sentyabrya/rubashka-polo-detskaya-summer-ii-kids-170-yarkosinyaya-556544/" , "5565.44 Рубашка поло детская Summer II Kids, ярко-синяя, на рост 118-128 см")</f>
      </c>
      <c r="C30583" s="4" t="n">
        <v>943.00</v>
      </c>
      <c r="D30583" s="4"/>
    </row>
    <row collapsed="" customFormat="false" customHeight="1" hidden="" ht="14" outlineLevel="0" r="30584">
      <c r="A30584" s="3" t="inlineStr">
        <is>
          <t>30432</t>
        </is>
      </c>
      <c r="B30584" s="4" t="s">
        <f>=HYPERLINK("http://anyluxury.ru/shop/prazdnik/den-znaniy-1-sentyabrya/rubashka-polo-detskaya-summer-ii-kids-170-yarkosinyaya-556544/" , "5565.44 Рубашка поло детская Summer II Kids, ярко-синяя, на рост 130-140 см")</f>
      </c>
      <c r="C30584" s="4" t="n">
        <v>943.00</v>
      </c>
      <c r="D30584" s="4"/>
    </row>
    <row collapsed="" customFormat="false" customHeight="1" hidden="" ht="14" outlineLevel="0" r="30585">
      <c r="A30585" s="3" t="inlineStr">
        <is>
          <t>30433</t>
        </is>
      </c>
      <c r="B30585" s="4" t="s">
        <f>=HYPERLINK("http://anyluxury.ru/shop/prazdnik/den-znaniy-1-sentyabrya/futbolka-detskaya-imperial-kids-190-golubaya-250514/" , "2505.14 Футболка детская IMPERIAL KIDS голубая, на рост 96-104 см (4 года)")</f>
      </c>
      <c r="C30585" s="4" t="n">
        <v>593.00</v>
      </c>
      <c r="D30585" s="4"/>
    </row>
    <row collapsed="" customFormat="false" customHeight="1" hidden="" ht="14" outlineLevel="0" r="30586">
      <c r="A30586" s="3" t="inlineStr">
        <is>
          <t>30434</t>
        </is>
      </c>
      <c r="B30586" s="4" t="s">
        <f>=HYPERLINK("http://anyluxury.ru/shop/prazdnik/den-znaniy-1-sentyabrya/futbolka-detskaya-imperial-kids-190-golubaya-250514/" , "2505.14 Футболка детская Imperial Kids 190 голубая, на рост 142-152 см (12 лет)")</f>
      </c>
      <c r="C30586" s="4" t="n">
        <v>593.00</v>
      </c>
      <c r="D30586" s="4"/>
    </row>
    <row collapsed="" customFormat="false" customHeight="1" hidden="" ht="14" outlineLevel="0" r="30587">
      <c r="A30587" s="3" t="inlineStr">
        <is>
          <t>30435</t>
        </is>
      </c>
      <c r="B30587" s="4" t="s">
        <f>=HYPERLINK("http://anyluxury.ru/shop/prazdnik/den-znaniy-1-sentyabrya/minibloknot-eco-light-c-ruchkoy-s-chernimi-elementami-559730/" , "5597.30 Мини-блокнот Eco Light c ручкой с черными элементами")</f>
      </c>
      <c r="C30587" s="4" t="n">
        <v>169.00</v>
      </c>
      <c r="D30587" s="4"/>
    </row>
    <row collapsed="" customFormat="false" customHeight="1" hidden="" ht="14" outlineLevel="0" r="30588">
      <c r="A30588" s="3" t="inlineStr">
        <is>
          <t>30436</t>
        </is>
      </c>
      <c r="B30588" s="4" t="s">
        <f>=HYPERLINK("http://anyluxury.ru/shop/prazdnik/den-znaniy-1-sentyabrya/rubashka-zhenskaya-v-kletku-tribeca-ladies-chernaya-656430/" , "6564.30 Рубашка женская в клетку TRIBECA LADIES, черная, размер S")</f>
      </c>
      <c r="C30588" s="4" t="n">
        <v>4567.00</v>
      </c>
      <c r="D30588" s="4"/>
    </row>
    <row collapsed="" customFormat="false" customHeight="1" hidden="" ht="14" outlineLevel="0" r="30589">
      <c r="A30589" s="3" t="inlineStr">
        <is>
          <t>30437</t>
        </is>
      </c>
      <c r="B30589" s="4" t="s">
        <f>=HYPERLINK("http://anyluxury.ru/shop/prazdnik/den-znaniy-1-sentyabrya/rubashka-zhenskaya-v-kletku-tribeca-ladies-chernaya-656430/" , "6564.30 Рубашка женская в клетку TRIBECA LADIES, черная, размер M")</f>
      </c>
      <c r="C30589" s="4" t="n">
        <v>4567.00</v>
      </c>
      <c r="D30589" s="4"/>
    </row>
    <row collapsed="" customFormat="false" customHeight="1" hidden="" ht="14" outlineLevel="0" r="30590">
      <c r="A30590" s="3" t="inlineStr">
        <is>
          <t>30438</t>
        </is>
      </c>
      <c r="B30590" s="4" t="s">
        <f>=HYPERLINK("http://anyluxury.ru/shop/prazdnik/den-znaniy-1-sentyabrya/rubashka-zhenskaya-v-kletku-tribeca-ladies-chernaya-656430/" , "6564.30 Рубашка женская в клетку TRIBECA LADIES, черная, размер L")</f>
      </c>
      <c r="C30590" s="4" t="n">
        <v>4567.00</v>
      </c>
      <c r="D30590" s="4"/>
    </row>
    <row collapsed="" customFormat="false" customHeight="1" hidden="" ht="14" outlineLevel="0" r="30591">
      <c r="A30591" s="3" t="inlineStr">
        <is>
          <t>30439</t>
        </is>
      </c>
      <c r="B30591" s="4" t="s">
        <f>=HYPERLINK("http://anyluxury.ru/shop/prazdnik/den-znaniy-1-sentyabrya/rubashka-zhenskaya-v-kletku-tribeca-ladies-chernaya-656430/" , "6564.30 Рубашка женская в клетку TRIBECA LADIES, черная, размер XL")</f>
      </c>
      <c r="C30591" s="4" t="n">
        <v>4567.00</v>
      </c>
      <c r="D30591" s="4"/>
    </row>
    <row collapsed="" customFormat="false" customHeight="1" hidden="" ht="14" outlineLevel="0" r="30592">
      <c r="A30592" s="3" t="inlineStr">
        <is>
          <t>30440</t>
        </is>
      </c>
      <c r="B30592" s="4" t="s">
        <f>=HYPERLINK("http://anyluxury.ru/shop/prazdnik/den-znaniy-1-sentyabrya/termostakan-underway-zeleniy-314690/" , "3146.90 Термостакан Underway, зеленый")</f>
      </c>
      <c r="C30592" s="4" t="n">
        <v>591.00</v>
      </c>
      <c r="D30592" s="4"/>
    </row>
    <row collapsed="" customFormat="false" customHeight="1" hidden="" ht="14" outlineLevel="0" r="30593">
      <c r="A30593" s="3" t="inlineStr">
        <is>
          <t>30441</t>
        </is>
      </c>
      <c r="B30593" s="4" t="s">
        <f>=HYPERLINK("http://anyluxury.ru/shop/prazdnik/den-znaniy-1-sentyabrya/fleshka-memo-8-gb-zelenaya-354890/" , "3548.90 Флешка Memo, 8 Гб, зеленая")</f>
      </c>
      <c r="C30593" s="4" t="n">
        <v>459.00</v>
      </c>
      <c r="D30593" s="4"/>
    </row>
    <row collapsed="" customFormat="false" customHeight="1" hidden="" ht="14" outlineLevel="0" r="30594">
      <c r="A30594" s="3" t="inlineStr">
        <is>
          <t>30442</t>
        </is>
      </c>
      <c r="B30594" s="4" t="s">
        <f>=HYPERLINK("http://anyluxury.ru/shop/prazdnik/den-znaniy-1-sentyabrya/peshehodniy-svetootrazhatel-krug-rozoviy-421056/" , "4210.56 Пешеходный светоотражатель «Круг», розовый")</f>
      </c>
      <c r="C30594" s="4" t="n">
        <v>93.00</v>
      </c>
      <c r="D30594" s="4"/>
    </row>
    <row collapsed="" customFormat="false" customHeight="1" hidden="" ht="14" outlineLevel="0" r="30595">
      <c r="A30595" s="3" t="inlineStr">
        <is>
          <t>30443</t>
        </is>
      </c>
      <c r="B30595" s="4" t="s">
        <f>=HYPERLINK("http://anyluxury.ru/shop/prazdnik/den-znaniy-1-sentyabrya/penal-pcase-zeleniy-1380490/" , "13804.90 Пенал P-case, зеленый")</f>
      </c>
      <c r="C30595" s="4" t="n">
        <v>139.00</v>
      </c>
      <c r="D30595" s="4"/>
    </row>
    <row collapsed="" customFormat="false" customHeight="1" hidden="" ht="14" outlineLevel="0" r="30596">
      <c r="A30596" s="3" t="inlineStr">
        <is>
          <t>30444</t>
        </is>
      </c>
      <c r="B30596" s="4" t="s">
        <f>=HYPERLINK("http://anyluxury.ru/shop/prazdnik/den-znaniy-1-sentyabrya/nabor-hobby-s-cvetnimi-karandashami-lastikom-i-tochilkoy-beliy-1613060/" , "16130.60 Набор Hobby с цветными карандашами, ластиком и точилкой, белый")</f>
      </c>
      <c r="C30596" s="4" t="n">
        <v>215.00</v>
      </c>
      <c r="D30596" s="4"/>
    </row>
    <row collapsed="" customFormat="false" customHeight="1" hidden="" ht="14" outlineLevel="0" r="30597">
      <c r="A30597" s="3" t="inlineStr">
        <is>
          <t>30445</t>
        </is>
      </c>
      <c r="B30597" s="4" t="s">
        <f>=HYPERLINK("http://anyluxury.ru/shop/prazdnik/den-znaniy-1-sentyabrya/nabor-hobby-s-cvetnimi-karandashami-lastikom-i-tochilkoy-krasniy-1613050/" , "16130.50 Набор Hobby с цветными карандашами, ластиком и точилкой, красный")</f>
      </c>
      <c r="C30597" s="4" t="n">
        <v>190.00</v>
      </c>
      <c r="D30597" s="4"/>
    </row>
    <row collapsed="" customFormat="false" customHeight="1" hidden="" ht="14" outlineLevel="0" r="30598">
      <c r="A30598" s="3" t="inlineStr">
        <is>
          <t>30446</t>
        </is>
      </c>
      <c r="B30598" s="4" t="s">
        <f>=HYPERLINK("http://anyluxury.ru/shop/prazdnik/den-znaniy-1-sentyabrya/penal-dlya-raskrashivaniya-create-beliy-1613260/" , "16132.60 Пенал для раскрашивания Create, белый")</f>
      </c>
      <c r="C30598" s="4" t="n">
        <v>110.00</v>
      </c>
      <c r="D30598" s="4"/>
    </row>
    <row collapsed="" customFormat="false" customHeight="" hidden="" ht="12.1" outlineLevel="0" r="30599">
      <c r="A30599" s="5" t="inlineStr">
        <is>
          <t> -  - День металлурга</t>
        </is>
      </c>
      <c r="B30599" s="6"/>
      <c r="C30599" s="6"/>
      <c r="D30599" s="6"/>
    </row>
    <row collapsed="" customFormat="false" customHeight="1" hidden="" ht="14" outlineLevel="0" r="30600">
      <c r="A30600" s="3" t="inlineStr">
        <is>
          <t>30447</t>
        </is>
      </c>
      <c r="B30600" s="4" t="s">
        <f>=HYPERLINK("http://anyluxury.ru/shop/prazdnik/den-metallurga/skladnoy-zont-gran-turismo-cherniy-525830/" , "5258.30 Складной зонт Gran Turismo, черный")</f>
      </c>
      <c r="C30600" s="4" t="n">
        <v>5386.00</v>
      </c>
      <c r="D30600" s="4"/>
    </row>
    <row collapsed="" customFormat="false" customHeight="1" hidden="" ht="14" outlineLevel="0" r="30601">
      <c r="A30601" s="3" t="inlineStr">
        <is>
          <t>30448</t>
        </is>
      </c>
      <c r="B30601" s="4" t="s">
        <f>=HYPERLINK("http://anyluxury.ru/shop/prazdnik/den-metallurga/rubashka-polo-muzhskaya-avon-krasnaya-655450/" , "6554.50 Рубашка поло мужская AVON, красная, размер S")</f>
      </c>
      <c r="C30601" s="4" t="n">
        <v>3077.00</v>
      </c>
      <c r="D30601" s="4"/>
    </row>
    <row collapsed="" customFormat="false" customHeight="1" hidden="" ht="14" outlineLevel="0" r="30602">
      <c r="A30602" s="3" t="inlineStr">
        <is>
          <t>30449</t>
        </is>
      </c>
      <c r="B30602" s="4" t="s">
        <f>=HYPERLINK("http://anyluxury.ru/shop/prazdnik/den-metallurga/termostakan-gems-red-rubine-krasniy-rubin-190754/" , "1907.54 Термостакан Gems Red Rubine, красный рубин")</f>
      </c>
      <c r="C30602" s="4" t="n">
        <v>1456.00</v>
      </c>
      <c r="D30602" s="4"/>
    </row>
    <row collapsed="" customFormat="false" customHeight="1" hidden="" ht="14" outlineLevel="0" r="30603">
      <c r="A30603" s="3" t="inlineStr">
        <is>
          <t>30450</t>
        </is>
      </c>
      <c r="B30603" s="4" t="s">
        <f>=HYPERLINK("http://anyluxury.ru/shop/prazdnik/den-metallurga/ruchka-sharikovaya-prodir-qs00-hard-work-3447/" , "3447 Ручка шариковая Prodir QS00 Hard Work")</f>
      </c>
      <c r="C30603" s="4" t="n">
        <v>175.00</v>
      </c>
      <c r="D30603" s="4"/>
    </row>
    <row collapsed="" customFormat="false" customHeight="1" hidden="" ht="14" outlineLevel="0" r="30604">
      <c r="A30604" s="3" t="inlineStr">
        <is>
          <t>30451</t>
        </is>
      </c>
      <c r="B30604" s="4" t="s">
        <f>=HYPERLINK("http://anyluxury.ru/shop/prazdnik/den-metallurga/pled-hard-work-seriy-melanzh-7012710/" , "70127.10 Плед Hard Work, M")</f>
      </c>
      <c r="C30604" s="4" t="n">
        <v>2980.00</v>
      </c>
      <c r="D30604" s="4"/>
    </row>
    <row collapsed="" customFormat="false" customHeight="1" hidden="" ht="14" outlineLevel="0" r="30605">
      <c r="A30605" s="3" t="inlineStr">
        <is>
          <t>30452</t>
        </is>
      </c>
      <c r="B30605" s="4" t="s">
        <f>=HYPERLINK("http://anyluxury.ru/shop/prazdnik/den-metallurga/korobka-hard-work-7013410/" , "70134.10 Коробка Hard Work")</f>
      </c>
      <c r="C30605" s="4" t="n">
        <v>685.00</v>
      </c>
      <c r="D30605" s="4"/>
    </row>
    <row collapsed="" customFormat="false" customHeight="1" hidden="" ht="14" outlineLevel="0" r="30606">
      <c r="A30606" s="3" t="inlineStr">
        <is>
          <t>30453</t>
        </is>
      </c>
      <c r="B30606" s="4" t="s">
        <f>=HYPERLINK("http://anyluxury.ru/shop/prazdnik/den-metallurga/pled-melting-1043400/" , "10434.00 Плед Industry, металлургия")</f>
      </c>
      <c r="C30606" s="4" t="n">
        <v>4895.00</v>
      </c>
      <c r="D30606" s="4"/>
    </row>
    <row collapsed="" customFormat="false" customHeight="1" hidden="" ht="14" outlineLevel="0" r="30607">
      <c r="A30607" s="3" t="inlineStr">
        <is>
          <t>30454</t>
        </is>
      </c>
      <c r="B30607" s="4" t="s">
        <f>=HYPERLINK("http://anyluxury.ru/shop/prazdnik/den-metallurga/fleshka-klyuch-16-gb-540206/" , "5402.06 Флешка «Ключ», 16 Гб")</f>
      </c>
      <c r="C30607" s="4" t="n">
        <v>529.00</v>
      </c>
      <c r="D30607" s="4"/>
    </row>
    <row collapsed="" customFormat="false" customHeight="1" hidden="" ht="14" outlineLevel="0" r="30608">
      <c r="A30608" s="3" t="inlineStr">
        <is>
          <t>30455</t>
        </is>
      </c>
      <c r="B30608" s="4" t="s">
        <f>=HYPERLINK("http://anyluxury.ru/shop/prazdnik/den-metallurga/futbolka-firm-wear-seriy-melanzh-1112511/" , "11125.11 Футболка Firm Wear серый меланж, размер S")</f>
      </c>
      <c r="C30608" s="4" t="n">
        <v>450.00</v>
      </c>
      <c r="D30608" s="4"/>
    </row>
    <row collapsed="" customFormat="false" customHeight="1" hidden="" ht="14" outlineLevel="0" r="30609">
      <c r="A30609" s="3" t="inlineStr">
        <is>
          <t>30456</t>
        </is>
      </c>
      <c r="B30609" s="4" t="s">
        <f>=HYPERLINK("http://anyluxury.ru/shop/prazdnik/den-metallurga/futbolka-firm-wear-seriy-melanzh-1112511/" , "11125.11 Футболка Firm Wear серый меланж, размер M")</f>
      </c>
      <c r="C30609" s="4" t="n">
        <v>450.00</v>
      </c>
      <c r="D30609" s="4"/>
    </row>
    <row collapsed="" customFormat="false" customHeight="1" hidden="" ht="14" outlineLevel="0" r="30610">
      <c r="A30610" s="3" t="inlineStr">
        <is>
          <t>30457</t>
        </is>
      </c>
      <c r="B30610" s="4" t="s">
        <f>=HYPERLINK("http://anyluxury.ru/shop/prazdnik/den-metallurga/futbolka-firm-wear-seriy-melanzh-1112511/" , "11125.11 Футболка Firm Wear серый меланж, размер XXL")</f>
      </c>
      <c r="C30610" s="4" t="n">
        <v>450.00</v>
      </c>
      <c r="D30610" s="4"/>
    </row>
    <row collapsed="" customFormat="false" customHeight="1" hidden="" ht="14" outlineLevel="0" r="30611">
      <c r="A30611" s="3" t="inlineStr">
        <is>
          <t>30458</t>
        </is>
      </c>
      <c r="B30611" s="4" t="s">
        <f>=HYPERLINK("http://anyluxury.ru/shop/prazdnik/den-metallurga/podushka-dorozhnaya-hard-work-seraya-7700110/" , "77001.10 Подушка дорожная Hard Work, серая")</f>
      </c>
      <c r="C30611" s="4" t="n">
        <v>2028.00</v>
      </c>
      <c r="D30611" s="4"/>
    </row>
    <row collapsed="" customFormat="false" customHeight="1" hidden="" ht="14" outlineLevel="0" r="30612">
      <c r="A30612" s="3" t="inlineStr">
        <is>
          <t>30459</t>
        </is>
      </c>
      <c r="B30612" s="4" t="s">
        <f>=HYPERLINK("http://anyluxury.ru/shop/prazdnik/den-metallurga/butilka-dlya-sporta-hard-work-7700410/" , "77004.10 Бутылка для спорта Hard Work")</f>
      </c>
      <c r="C30612" s="4" t="n">
        <v>1150.00</v>
      </c>
      <c r="D30612" s="4"/>
    </row>
    <row collapsed="" customFormat="false" customHeight="1" hidden="" ht="14" outlineLevel="0" r="30613">
      <c r="A30613" s="3" t="inlineStr">
        <is>
          <t>30460</t>
        </is>
      </c>
      <c r="B30613" s="4" t="s">
        <f>=HYPERLINK("http://anyluxury.ru/shop/prazdnik/den-metallurga/nabor-hard-work-black-71042/" , "71042 Набор Hard Work Black")</f>
      </c>
      <c r="C30613" s="4" t="n">
        <v>2776.00</v>
      </c>
      <c r="D30613" s="4"/>
    </row>
    <row collapsed="" customFormat="false" customHeight="1" hidden="" ht="14" outlineLevel="0" r="30614">
      <c r="A30614" s="3" t="inlineStr">
        <is>
          <t>30461</t>
        </is>
      </c>
      <c r="B30614" s="4" t="s">
        <f>=HYPERLINK("http://anyluxury.ru/shop/prazdnik/den-metallurga/lanchboks-hard-work-seriy-1087210/" , "10872.10 Ланчбокс Hard Work, серый")</f>
      </c>
      <c r="C30614" s="4" t="n">
        <v>1570.00</v>
      </c>
      <c r="D30614" s="4"/>
    </row>
    <row collapsed="" customFormat="false" customHeight="1" hidden="" ht="14" outlineLevel="0" r="30615">
      <c r="A30615" s="3" t="inlineStr">
        <is>
          <t>30462</t>
        </is>
      </c>
      <c r="B30615" s="4" t="s">
        <f>=HYPERLINK("http://anyluxury.ru/shop/prazdnik/den-metallurga/termos-hard-work-1270810/" , "12708.10 Термос Hard Work")</f>
      </c>
      <c r="C30615" s="4" t="n">
        <v>2097.00</v>
      </c>
      <c r="D30615" s="4"/>
    </row>
    <row collapsed="" customFormat="false" customHeight="1" hidden="" ht="14" outlineLevel="0" r="30616">
      <c r="A30616" s="3" t="inlineStr">
        <is>
          <t>30463</t>
        </is>
      </c>
      <c r="B30616" s="4" t="s">
        <f>=HYPERLINK("http://anyluxury.ru/shop/prazdnik/den-metallurga/zazhigalka-zippo-classic-brushed-serebristaya-1297711/" , "12977.11 Зажигалка Zippo Classic Brushed, серебристая")</f>
      </c>
      <c r="C30616" s="4" t="n">
        <v>4190.00</v>
      </c>
      <c r="D30616" s="4"/>
    </row>
    <row collapsed="" customFormat="false" customHeight="1" hidden="" ht="14" outlineLevel="0" r="30617">
      <c r="A30617" s="3" t="inlineStr">
        <is>
          <t>30464</t>
        </is>
      </c>
      <c r="B30617" s="4" t="s">
        <f>=HYPERLINK("http://anyluxury.ru/shop/prazdnik/den-metallurga/podstavka-dlya-noutbuka-i-plansheta-scaffold-metallik-13166/" , "13166 Подставка для ноутбука и планшета Scaffold, серебристая")</f>
      </c>
      <c r="C30617" s="4" t="n">
        <v>1590.00</v>
      </c>
      <c r="D30617" s="4"/>
    </row>
    <row collapsed="" customFormat="false" customHeight="1" hidden="" ht="14" outlineLevel="0" r="30618">
      <c r="A30618" s="3" t="inlineStr">
        <is>
          <t>30465</t>
        </is>
      </c>
      <c r="B30618" s="4" t="s">
        <f>=HYPERLINK("http://anyluxury.ru/shop/prazdnik/den-metallurga/nabor-lichnih-aksessuarov-industry-metallurgiya-7143131/" , "71431.31 Набор личных аксессуаров Industry, металлургия")</f>
      </c>
      <c r="C30618" s="4" t="n">
        <v>1651.00</v>
      </c>
      <c r="D30618" s="4"/>
    </row>
    <row collapsed="" customFormat="false" customHeight="1" hidden="" ht="14" outlineLevel="0" r="30619">
      <c r="A30619" s="3" t="inlineStr">
        <is>
          <t>30466</t>
        </is>
      </c>
      <c r="B30619" s="4" t="s">
        <f>=HYPERLINK("http://anyluxury.ru/shop/prazdnik/den-metallurga/ezhednevnik-hard-work-ver2-nedatirovanniy-624911/" , "6249.11 Ежедневник Hard Work, ver.2, недатированный")</f>
      </c>
      <c r="C30619" s="4" t="n">
        <v>1140.00</v>
      </c>
      <c r="D30619" s="4"/>
    </row>
    <row collapsed="" customFormat="false" customHeight="1" hidden="" ht="14" outlineLevel="0" r="30620">
      <c r="A30620" s="3" t="inlineStr">
        <is>
          <t>30467</t>
        </is>
      </c>
      <c r="B30620" s="4" t="s">
        <f>=HYPERLINK("http://anyluxury.ru/shop/prazdnik/den-metallurga/shevron-na-lipuchke-kran-1822902/" , "18229.02 Шеврон на липучке «Кран»")</f>
      </c>
      <c r="C30620" s="4" t="n">
        <v>202.00</v>
      </c>
      <c r="D30620" s="4"/>
    </row>
    <row collapsed="" customFormat="false" customHeight="1" hidden="" ht="14" outlineLevel="0" r="30621">
      <c r="A30621" s="3" t="inlineStr">
        <is>
          <t>30468</t>
        </is>
      </c>
      <c r="B30621" s="4" t="s">
        <f>=HYPERLINK("http://anyluxury.ru/shop/prazdnik/den-metallurga/shevron-na-lipuchke-zhidkiy-metall-1822904/" , "18229.04 Шеврон на липучке «Жидкий металл»")</f>
      </c>
      <c r="C30621" s="4" t="n">
        <v>202.00</v>
      </c>
      <c r="D30621" s="4"/>
    </row>
    <row collapsed="" customFormat="false" customHeight="1" hidden="" ht="14" outlineLevel="0" r="30622">
      <c r="A30622" s="3" t="inlineStr">
        <is>
          <t>30469</t>
        </is>
      </c>
      <c r="B30622" s="4" t="s">
        <f>=HYPERLINK("http://anyluxury.ru/shop/prazdnik/den-metallurga/ezhednevnik-industry-metallurgiya-7163651/" , "71636.51 Ежедневник Industry, металлургия")</f>
      </c>
      <c r="C30622" s="4" t="n">
        <v>605.00</v>
      </c>
      <c r="D30622" s="4"/>
    </row>
    <row collapsed="" customFormat="false" customHeight="" hidden="" ht="12.1" outlineLevel="0" r="30623">
      <c r="A30623" s="5" t="inlineStr">
        <is>
          <t> -  - День нефтяника</t>
        </is>
      </c>
      <c r="B30623" s="6"/>
      <c r="C30623" s="6"/>
      <c r="D30623" s="6"/>
    </row>
    <row collapsed="" customFormat="false" customHeight="1" hidden="" ht="14" outlineLevel="0" r="30624">
      <c r="A30624" s="3" t="inlineStr">
        <is>
          <t>30470</t>
        </is>
      </c>
      <c r="B30624" s="4" t="s">
        <f>=HYPERLINK("http://anyluxury.ru/shop/prazdnik/den-neftyanika/zonttrost-big-boss-cherniy-526030/" , "5260.30 Зонт-трость Big Boss, черный")</f>
      </c>
      <c r="C30624" s="4" t="n">
        <v>9109.00</v>
      </c>
      <c r="D30624" s="4"/>
    </row>
    <row collapsed="" customFormat="false" customHeight="1" hidden="" ht="14" outlineLevel="0" r="30625">
      <c r="A30625" s="3" t="inlineStr">
        <is>
          <t>30471</t>
        </is>
      </c>
      <c r="B30625" s="4" t="s">
        <f>=HYPERLINK("http://anyluxury.ru/shop/prazdnik/den-neftyanika/termostakan-underway-cherniy-314630/" , "3146.30 Термостакан Underway, черный")</f>
      </c>
      <c r="C30625" s="4" t="n">
        <v>591.00</v>
      </c>
      <c r="D30625" s="4"/>
    </row>
    <row collapsed="" customFormat="false" customHeight="1" hidden="" ht="14" outlineLevel="0" r="30626">
      <c r="A30626" s="3" t="inlineStr">
        <is>
          <t>30472</t>
        </is>
      </c>
      <c r="B30626" s="4" t="s">
        <f>=HYPERLINK("http://anyluxury.ru/shop/prazdnik/den-neftyanika/kruzhka-promo-plus-dlya-sublimacionnoy-pechati-chernaya-657930/" , "6579.30 Кружка Promo Plus для сублимационной печати, черная")</f>
      </c>
      <c r="C30626" s="4" t="n">
        <v>237.00</v>
      </c>
      <c r="D30626" s="4"/>
    </row>
    <row collapsed="" customFormat="false" customHeight="1" hidden="" ht="14" outlineLevel="0" r="30627">
      <c r="A30627" s="3" t="inlineStr">
        <is>
          <t>30473</t>
        </is>
      </c>
      <c r="B30627" s="4" t="s">
        <f>=HYPERLINK("http://anyluxury.ru/shop/prazdnik/den-neftyanika/pled-tycoon-1043500/" , "10435.00 Плед Industry, нефть и газ")</f>
      </c>
      <c r="C30627" s="4" t="n">
        <v>4895.00</v>
      </c>
      <c r="D30627" s="4"/>
    </row>
    <row collapsed="" customFormat="false" customHeight="1" hidden="" ht="14" outlineLevel="0" r="30628">
      <c r="A30628" s="3" t="inlineStr">
        <is>
          <t>30474</t>
        </is>
      </c>
      <c r="B30628" s="4" t="s">
        <f>=HYPERLINK("http://anyluxury.ru/shop/prazdnik/den-neftyanika/nabor-lichnih-aksessuarov-industry-neft-i-gaz-7143130/" , "71431.30 Набор личных аксессуаров Industry, нефть и газ")</f>
      </c>
      <c r="C30628" s="4" t="n">
        <v>1651.00</v>
      </c>
      <c r="D30628" s="4"/>
    </row>
    <row collapsed="" customFormat="false" customHeight="1" hidden="" ht="14" outlineLevel="0" r="30629">
      <c r="A30629" s="3" t="inlineStr">
        <is>
          <t>30475</t>
        </is>
      </c>
      <c r="B30629" s="4" t="s">
        <f>=HYPERLINK("http://anyluxury.ru/shop/prazdnik/den-neftyanika/shevron-na-lipuchke-cisterna-1823304/" , "18233.04 Шеврон на липучке «Цистерна»")</f>
      </c>
      <c r="C30629" s="4" t="n">
        <v>202.00</v>
      </c>
      <c r="D30629" s="4"/>
    </row>
    <row collapsed="" customFormat="false" customHeight="1" hidden="" ht="14" outlineLevel="0" r="30630">
      <c r="A30630" s="3" t="inlineStr">
        <is>
          <t>30476</t>
        </is>
      </c>
      <c r="B30630" s="4" t="s">
        <f>=HYPERLINK("http://anyluxury.ru/shop/prazdnik/den-neftyanika/ezhednevnik-industry-neft-i-gaz-7163630/" , "71636.30 Ежедневник Industry, нефть и газ")</f>
      </c>
      <c r="C30630" s="4" t="n">
        <v>605.00</v>
      </c>
      <c r="D30630" s="4"/>
    </row>
    <row collapsed="" customFormat="false" customHeight="1" hidden="" ht="14" outlineLevel="0" r="30631">
      <c r="A30631" s="3" t="inlineStr">
        <is>
          <t>30477</t>
        </is>
      </c>
      <c r="B30631" s="4" t="s">
        <f>=HYPERLINK("http://anyluxury.ru/shop/prazdnik/den-neftyanika/shokolad-industry-neft-i-gaz-1550001/" , "15500.01 Шоколад Industry, нефть и газ")</f>
      </c>
      <c r="C30631" s="4" t="n">
        <v>255.00</v>
      </c>
      <c r="D30631" s="4"/>
    </row>
    <row collapsed="" customFormat="false" customHeight="1" hidden="" ht="14" outlineLevel="0" r="30632">
      <c r="A30632" s="3" t="inlineStr">
        <is>
          <t>30478</t>
        </is>
      </c>
      <c r="B30632" s="4" t="s">
        <f>=HYPERLINK("http://anyluxury.ru/shop/prazdnik/den-neftyanika/papka-midstream-chernaya-2308830/" , "23088.30 Папка с блокнотом Midstream, черная")</f>
      </c>
      <c r="C30632" s="4" t="n">
        <v>2618.00</v>
      </c>
      <c r="D30632" s="4"/>
    </row>
    <row collapsed="" customFormat="false" customHeight="" hidden="" ht="12.1" outlineLevel="0" r="30633">
      <c r="A30633" s="5" t="inlineStr">
        <is>
          <t> -  - День Победы 9 мая</t>
        </is>
      </c>
      <c r="B30633" s="6"/>
      <c r="C30633" s="6"/>
      <c r="D30633" s="6"/>
    </row>
    <row collapsed="" customFormat="false" customHeight="1" hidden="" ht="14" outlineLevel="0" r="30634">
      <c r="A30634" s="3" t="inlineStr">
        <is>
          <t>30479</t>
        </is>
      </c>
      <c r="B30634" s="4" t="s">
        <f>=HYPERLINK("http://anyluxury.ru/shop/prazdnik/den-pobedy-9-maya/zhilet-dvustoronniy-winner-krasniy-267150/" , "2671.50 Жилет двусторонний WINNER, красный, размер XS")</f>
      </c>
      <c r="C30634" s="4" t="n">
        <v>2731.00</v>
      </c>
      <c r="D30634" s="4"/>
    </row>
    <row collapsed="" customFormat="false" customHeight="1" hidden="" ht="14" outlineLevel="0" r="30635">
      <c r="A30635" s="3" t="inlineStr">
        <is>
          <t>30480</t>
        </is>
      </c>
      <c r="B30635" s="4" t="s">
        <f>=HYPERLINK("http://anyluxury.ru/shop/prazdnik/den-pobedy-9-maya/zhilet-dvustoronniy-winner-krasniy-267150/" , "2671.50 Жилет двусторонний WINNER, красный, размер S")</f>
      </c>
      <c r="C30635" s="4" t="n">
        <v>2731.00</v>
      </c>
      <c r="D30635" s="4"/>
    </row>
    <row collapsed="" customFormat="false" customHeight="1" hidden="" ht="14" outlineLevel="0" r="30636">
      <c r="A30636" s="3" t="inlineStr">
        <is>
          <t>30481</t>
        </is>
      </c>
      <c r="B30636" s="4" t="s">
        <f>=HYPERLINK("http://anyluxury.ru/shop/prazdnik/den-pobedy-9-maya/zhilet-dvustoronniy-winner-krasniy-267150/" , "2671.50 Жилет двусторонний WINNER, красный, размер M")</f>
      </c>
      <c r="C30636" s="4" t="n">
        <v>2731.00</v>
      </c>
      <c r="D30636" s="4"/>
    </row>
    <row collapsed="" customFormat="false" customHeight="1" hidden="" ht="14" outlineLevel="0" r="30637">
      <c r="A30637" s="3" t="inlineStr">
        <is>
          <t>30482</t>
        </is>
      </c>
      <c r="B30637" s="4" t="s">
        <f>=HYPERLINK("http://anyluxury.ru/shop/prazdnik/den-pobedy-9-maya/zhilet-dvustoronniy-winner-krasniy-267150/" , "2671.50 Жилет двусторонний WINNER, красный, размер L")</f>
      </c>
      <c r="C30637" s="4" t="n">
        <v>2731.00</v>
      </c>
      <c r="D30637" s="4"/>
    </row>
    <row collapsed="" customFormat="false" customHeight="1" hidden="" ht="14" outlineLevel="0" r="30638">
      <c r="A30638" s="3" t="inlineStr">
        <is>
          <t>30483</t>
        </is>
      </c>
      <c r="B30638" s="4" t="s">
        <f>=HYPERLINK("http://anyluxury.ru/shop/prazdnik/den-pobedy-9-maya/zhilet-dvustoronniy-winner-krasniy-267150/" , "2671.50 Жилет двусторонний WINNER, красный, размер XL")</f>
      </c>
      <c r="C30638" s="4" t="n">
        <v>2731.00</v>
      </c>
      <c r="D30638" s="4"/>
    </row>
    <row collapsed="" customFormat="false" customHeight="1" hidden="" ht="14" outlineLevel="0" r="30639">
      <c r="A30639" s="3" t="inlineStr">
        <is>
          <t>30484</t>
        </is>
      </c>
      <c r="B30639" s="4" t="s">
        <f>=HYPERLINK("http://anyluxury.ru/shop/prazdnik/den-pobedy-9-maya/zhilet-dvustoronniy-winner-krasniy-267150/" , "2671.50 Жилет двусторонний WINNER, красный, размер XXL")</f>
      </c>
      <c r="C30639" s="4" t="n">
        <v>2731.00</v>
      </c>
      <c r="D30639" s="4"/>
    </row>
    <row collapsed="" customFormat="false" customHeight="1" hidden="" ht="14" outlineLevel="0" r="30640">
      <c r="A30640" s="3" t="inlineStr">
        <is>
          <t>30485</t>
        </is>
      </c>
      <c r="B30640" s="4" t="s">
        <f>=HYPERLINK("http://anyluxury.ru/shop/prazdnik/den-pobedy-9-maya/zhilet-dvustoronniy-winner-cherniy-267130/" , "2671.30 Жилет двусторонний WINNER, черный, размер XS")</f>
      </c>
      <c r="C30640" s="4" t="n">
        <v>2731.00</v>
      </c>
      <c r="D30640" s="4"/>
    </row>
    <row collapsed="" customFormat="false" customHeight="1" hidden="" ht="14" outlineLevel="0" r="30641">
      <c r="A30641" s="3" t="inlineStr">
        <is>
          <t>30486</t>
        </is>
      </c>
      <c r="B30641" s="4" t="s">
        <f>=HYPERLINK("http://anyluxury.ru/shop/prazdnik/den-pobedy-9-maya/zhilet-dvustoronniy-winner-cherniy-267130/" , "2671.30 Жилет двусторонний WINNER, черный, размер S")</f>
      </c>
      <c r="C30641" s="4" t="n">
        <v>2731.00</v>
      </c>
      <c r="D30641" s="4"/>
    </row>
    <row collapsed="" customFormat="false" customHeight="1" hidden="" ht="14" outlineLevel="0" r="30642">
      <c r="A30642" s="3" t="inlineStr">
        <is>
          <t>30487</t>
        </is>
      </c>
      <c r="B30642" s="4" t="s">
        <f>=HYPERLINK("http://anyluxury.ru/shop/prazdnik/den-pobedy-9-maya/zhilet-dvustoronniy-winner-oranzheviy-267120/" , "2671.20 Жилет двусторонний WINNER, оранжевый, размер XS")</f>
      </c>
      <c r="C30642" s="4" t="n">
        <v>2731.00</v>
      </c>
      <c r="D30642" s="4"/>
    </row>
    <row collapsed="" customFormat="false" customHeight="1" hidden="" ht="14" outlineLevel="0" r="30643">
      <c r="A30643" s="3" t="inlineStr">
        <is>
          <t>30488</t>
        </is>
      </c>
      <c r="B30643" s="4" t="s">
        <f>=HYPERLINK("http://anyluxury.ru/shop/prazdnik/den-pobedy-9-maya/zhilet-dvustoronniy-winner-oranzheviy-267120/" , "2671.20 Жилет двусторонний WINNER, оранжевый, размер S")</f>
      </c>
      <c r="C30643" s="4" t="n">
        <v>2731.00</v>
      </c>
      <c r="D30643" s="4"/>
    </row>
    <row collapsed="" customFormat="false" customHeight="1" hidden="" ht="14" outlineLevel="0" r="30644">
      <c r="A30644" s="3" t="inlineStr">
        <is>
          <t>30489</t>
        </is>
      </c>
      <c r="B30644" s="4" t="s">
        <f>=HYPERLINK("http://anyluxury.ru/shop/prazdnik/den-pobedy-9-maya/zhilet-dvustoronniy-winner-oranzheviy-267120/" , "2671.20 Жилет двусторонний WINNER, оранжевый, размер M")</f>
      </c>
      <c r="C30644" s="4" t="n">
        <v>2731.00</v>
      </c>
      <c r="D30644" s="4"/>
    </row>
    <row collapsed="" customFormat="false" customHeight="1" hidden="" ht="14" outlineLevel="0" r="30645">
      <c r="A30645" s="3" t="inlineStr">
        <is>
          <t>30490</t>
        </is>
      </c>
      <c r="B30645" s="4" t="s">
        <f>=HYPERLINK("http://anyluxury.ru/shop/prazdnik/den-pobedy-9-maya/zhilet-dvustoronniy-winner-oranzheviy-267120/" , "2671.20 Жилет двусторонний WINNER, оранжевый, размер L")</f>
      </c>
      <c r="C30645" s="4" t="n">
        <v>2731.00</v>
      </c>
      <c r="D30645" s="4"/>
    </row>
    <row collapsed="" customFormat="false" customHeight="1" hidden="" ht="14" outlineLevel="0" r="30646">
      <c r="A30646" s="3" t="inlineStr">
        <is>
          <t>30491</t>
        </is>
      </c>
      <c r="B30646" s="4" t="s">
        <f>=HYPERLINK("http://anyluxury.ru/shop/prazdnik/den-pobedy-9-maya/zhilet-dvustoronniy-winner-oranzheviy-267120/" , "2671.20 Жилет двусторонний WINNER, оранжевый, размер XL")</f>
      </c>
      <c r="C30646" s="4" t="n">
        <v>2731.00</v>
      </c>
      <c r="D30646" s="4"/>
    </row>
    <row collapsed="" customFormat="false" customHeight="1" hidden="" ht="14" outlineLevel="0" r="30647">
      <c r="A30647" s="3" t="inlineStr">
        <is>
          <t>30492</t>
        </is>
      </c>
      <c r="B30647" s="4" t="s">
        <f>=HYPERLINK("http://anyluxury.ru/shop/prazdnik/den-pobedy-9-maya/zhilet-dvustoronniy-winner-oranzheviy-267120/" , "2671.20 Жилет двусторонний WINNER, оранжевый, размер XXL")</f>
      </c>
      <c r="C30647" s="4" t="n">
        <v>2731.00</v>
      </c>
      <c r="D30647" s="4"/>
    </row>
    <row collapsed="" customFormat="false" customHeight="1" hidden="" ht="14" outlineLevel="0" r="30648">
      <c r="A30648" s="3" t="inlineStr">
        <is>
          <t>30493</t>
        </is>
      </c>
      <c r="B30648" s="4" t="s">
        <f>=HYPERLINK("http://anyluxury.ru/shop/prazdnik/den-pobedy-9-maya/holshhovaya-sumka-strong-210-neokrashennaya-525366/" , "5253.66 Холщовая сумка Strong 210, неокрашенная")</f>
      </c>
      <c r="C30648" s="4" t="n">
        <v>245.00</v>
      </c>
      <c r="D30648" s="4"/>
    </row>
    <row collapsed="" customFormat="false" customHeight="1" hidden="" ht="14" outlineLevel="0" r="30649">
      <c r="A30649" s="3" t="inlineStr">
        <is>
          <t>30494</t>
        </is>
      </c>
      <c r="B30649" s="4" t="s">
        <f>=HYPERLINK("http://anyluxury.ru/shop/prazdnik/den-pobedy-9-maya/chasi-nastennie-vivid-large-belie-559060/" , "5590.60 Часы настенные Vivid Large, белые")</f>
      </c>
      <c r="C30649" s="4" t="n">
        <v>689.00</v>
      </c>
      <c r="D30649" s="4"/>
    </row>
    <row collapsed="" customFormat="false" customHeight="1" hidden="" ht="14" outlineLevel="0" r="30650">
      <c r="A30650" s="3" t="inlineStr">
        <is>
          <t>30495</t>
        </is>
      </c>
      <c r="B30650" s="4" t="s">
        <f>=HYPERLINK("http://anyluxury.ru/shop/prazdnik/den-pobedy-9-maya/chasi-nastennie-vivid-large-oranzhevie-559020/" , "5590.20 Часы настенные Vivid Large, оранжевые")</f>
      </c>
      <c r="C30650" s="4" t="n">
        <v>689.00</v>
      </c>
      <c r="D30650" s="4"/>
    </row>
    <row collapsed="" customFormat="false" customHeight="1" hidden="" ht="14" outlineLevel="0" r="30651">
      <c r="A30651" s="3" t="inlineStr">
        <is>
          <t>30496</t>
        </is>
      </c>
      <c r="B30651" s="4" t="s">
        <f>=HYPERLINK("http://anyluxury.ru/shop/prazdnik/den-pobedy-9-maya/chasi-nastennie-vivid-large-krasnie-559050/" , "5590.50 Часы настенные Vivid Large, красные")</f>
      </c>
      <c r="C30651" s="4" t="n">
        <v>689.00</v>
      </c>
      <c r="D30651" s="4"/>
    </row>
    <row collapsed="" customFormat="false" customHeight="1" hidden="" ht="14" outlineLevel="0" r="30652">
      <c r="A30652" s="3" t="inlineStr">
        <is>
          <t>30497</t>
        </is>
      </c>
      <c r="B30652" s="4" t="s">
        <f>=HYPERLINK("http://anyluxury.ru/shop/prazdnik/den-pobedy-9-maya/bloknot-na-kolcah-eco-note-s-ruchkoy-cherniy-559630/" , "5596.30 Блокнот на кольцах Eco Note с ручкой, черный")</f>
      </c>
      <c r="C30652" s="4" t="n">
        <v>169.00</v>
      </c>
      <c r="D30652" s="4"/>
    </row>
    <row collapsed="" customFormat="false" customHeight="1" hidden="" ht="14" outlineLevel="0" r="30653">
      <c r="A30653" s="3" t="inlineStr">
        <is>
          <t>30498</t>
        </is>
      </c>
      <c r="B30653" s="4" t="s">
        <f>=HYPERLINK("http://anyluxury.ru/shop/prazdnik/den-pobedy-9-maya/kruzhka-promo-dlya-sublimacionnoy-pechati-belaya-657860/" , "6578.60 Кружка Orca Premium для сублимационной печати, белая")</f>
      </c>
      <c r="C30653" s="4" t="n">
        <v>147.00</v>
      </c>
      <c r="D30653" s="4"/>
    </row>
    <row collapsed="" customFormat="false" customHeight="1" hidden="" ht="14" outlineLevel="0" r="30654">
      <c r="A30654" s="3" t="inlineStr">
        <is>
          <t>30499</t>
        </is>
      </c>
      <c r="B30654" s="4" t="s">
        <f>=HYPERLINK("http://anyluxury.ru/shop/prazdnik/den-pobedy-9-maya/nabor-pullerov-dlya-molnii-oranzheviy-168120/" , "1681.20 Набор пуллеров для молнии, оранжевый")</f>
      </c>
      <c r="C30654" s="4" t="n">
        <v>199.00</v>
      </c>
      <c r="D30654" s="4"/>
    </row>
    <row collapsed="" customFormat="false" customHeight="1" hidden="" ht="14" outlineLevel="0" r="30655">
      <c r="A30655" s="3" t="inlineStr">
        <is>
          <t>30500</t>
        </is>
      </c>
      <c r="B30655" s="4" t="s">
        <f>=HYPERLINK("http://anyluxury.ru/shop/prazdnik/den-pobedy-9-maya/termos-plain-500-355610/" , "3556.10 Термос Plain 500")</f>
      </c>
      <c r="C30655" s="4" t="n">
        <v>777.00</v>
      </c>
      <c r="D30655" s="4"/>
    </row>
    <row collapsed="" customFormat="false" customHeight="1" hidden="" ht="14" outlineLevel="0" r="30656">
      <c r="A30656" s="3" t="inlineStr">
        <is>
          <t>30501</t>
        </is>
      </c>
      <c r="B30656" s="4" t="s">
        <f>=HYPERLINK("http://anyluxury.ru/shop/prazdnik/den-pobedy-9-maya/termos-plain-1000-366610/" , "3666.10 Термос Plain 1000")</f>
      </c>
      <c r="C30656" s="4" t="n">
        <v>1113.00</v>
      </c>
      <c r="D30656" s="4"/>
    </row>
    <row collapsed="" customFormat="false" customHeight="1" hidden="" ht="14" outlineLevel="0" r="30657">
      <c r="A30657" s="3" t="inlineStr">
        <is>
          <t>30502</t>
        </is>
      </c>
      <c r="B30657" s="4" t="s">
        <f>=HYPERLINK("http://anyluxury.ru/shop/prazdnik/den-pobedy-9-maya/termostakan-tansley-germetichniy-vakuumniy-beliy-662260/" , "6622.60 Термостакан Tansley, герметичный, вакуумный, белый")</f>
      </c>
      <c r="C30657" s="4" t="n">
        <v>1449.00</v>
      </c>
      <c r="D30657" s="4"/>
    </row>
    <row collapsed="" customFormat="false" customHeight="1" hidden="" ht="14" outlineLevel="0" r="30658">
      <c r="A30658" s="3" t="inlineStr">
        <is>
          <t>30503</t>
        </is>
      </c>
      <c r="B30658" s="4" t="s">
        <f>=HYPERLINK("http://anyluxury.ru/shop/prazdnik/den-pobedy-9-maya/zhilet-unit-kama-cherniy-672830/" , "6728.30 Жилет Unit Kama черный, размер XS")</f>
      </c>
      <c r="C30658" s="4" t="n">
        <v>3390.00</v>
      </c>
      <c r="D30658" s="4"/>
    </row>
    <row collapsed="" customFormat="false" customHeight="1" hidden="" ht="14" outlineLevel="0" r="30659">
      <c r="A30659" s="3" t="inlineStr">
        <is>
          <t>30504</t>
        </is>
      </c>
      <c r="B30659" s="4" t="s">
        <f>=HYPERLINK("http://anyluxury.ru/shop/prazdnik/den-pobedy-9-maya/zhilet-unit-kama-cherniy-672830/" , "6728.30 Жилет Unit Kama черный, размер XS")</f>
      </c>
      <c r="C30659" s="4" t="n">
        <v>3390.00</v>
      </c>
      <c r="D30659" s="4"/>
    </row>
    <row collapsed="" customFormat="false" customHeight="1" hidden="" ht="14" outlineLevel="0" r="30660">
      <c r="A30660" s="3" t="inlineStr">
        <is>
          <t>30505</t>
        </is>
      </c>
      <c r="B30660" s="4" t="s">
        <f>=HYPERLINK("http://anyluxury.ru/shop/prazdnik/den-pobedy-9-maya/zhilet-unit-kama-cherniy-672830/" , "6728.30 Жилет Unit Kama черный, размер 3XL")</f>
      </c>
      <c r="C30660" s="4" t="n">
        <v>3390.00</v>
      </c>
      <c r="D30660" s="4"/>
    </row>
    <row collapsed="" customFormat="false" customHeight="1" hidden="" ht="14" outlineLevel="0" r="30661">
      <c r="A30661" s="3" t="inlineStr">
        <is>
          <t>30506</t>
        </is>
      </c>
      <c r="B30661" s="4" t="s">
        <f>=HYPERLINK("http://anyluxury.ru/shop/prazdnik/den-pobedy-9-maya/zhilet-unit-kama-oranzheviy-672820/" , "6728.20 Жилет Unit Kama оранжевый, размер XS")</f>
      </c>
      <c r="C30661" s="4" t="n">
        <v>3390.00</v>
      </c>
      <c r="D30661" s="4"/>
    </row>
    <row collapsed="" customFormat="false" customHeight="1" hidden="" ht="14" outlineLevel="0" r="30662">
      <c r="A30662" s="3" t="inlineStr">
        <is>
          <t>30507</t>
        </is>
      </c>
      <c r="B30662" s="4" t="s">
        <f>=HYPERLINK("http://anyluxury.ru/shop/prazdnik/den-pobedy-9-maya/zhilet-unit-kama-oranzheviy-672820/" , "6728.20 Жилет Unit Kama оранжевый, размер 4XL")</f>
      </c>
      <c r="C30662" s="4" t="n">
        <v>3390.00</v>
      </c>
      <c r="D30662" s="4"/>
    </row>
    <row collapsed="" customFormat="false" customHeight="1" hidden="" ht="14" outlineLevel="0" r="30663">
      <c r="A30663" s="3" t="inlineStr">
        <is>
          <t>30508</t>
        </is>
      </c>
      <c r="B30663" s="4" t="s">
        <f>=HYPERLINK("http://anyluxury.ru/shop/prazdnik/den-pobedy-9-maya/zhilet-unit-kama-oranzheviy-672820/" , "6728.20 Жилет Unit Kama оранжевый, размер XS")</f>
      </c>
      <c r="C30663" s="4" t="n">
        <v>3390.00</v>
      </c>
      <c r="D30663" s="4"/>
    </row>
    <row collapsed="" customFormat="false" customHeight="1" hidden="" ht="14" outlineLevel="0" r="30664">
      <c r="A30664" s="3" t="inlineStr">
        <is>
          <t>30509</t>
        </is>
      </c>
      <c r="B30664" s="4" t="s">
        <f>=HYPERLINK("http://anyluxury.ru/shop/prazdnik/den-pobedy-9-maya/zhilet-unit-kama-oranzheviy-672820/" , "6728.20 Жилет Unit Kama оранжевый, размер S")</f>
      </c>
      <c r="C30664" s="4" t="n">
        <v>3390.00</v>
      </c>
      <c r="D30664" s="4"/>
    </row>
    <row collapsed="" customFormat="false" customHeight="1" hidden="" ht="14" outlineLevel="0" r="30665">
      <c r="A30665" s="3" t="inlineStr">
        <is>
          <t>30510</t>
        </is>
      </c>
      <c r="B30665" s="4" t="s">
        <f>=HYPERLINK("http://anyluxury.ru/shop/prazdnik/den-pobedy-9-maya/zhilet-unit-kama-oranzheviy-672820/" , "6728.20 Жилет Unit Kama оранжевый, размер XL")</f>
      </c>
      <c r="C30665" s="4" t="n">
        <v>3390.00</v>
      </c>
      <c r="D30665" s="4"/>
    </row>
    <row collapsed="" customFormat="false" customHeight="1" hidden="" ht="14" outlineLevel="0" r="30666">
      <c r="A30666" s="3" t="inlineStr">
        <is>
          <t>30511</t>
        </is>
      </c>
      <c r="B30666" s="4" t="s">
        <f>=HYPERLINK("http://anyluxury.ru/shop/prazdnik/den-pobedy-9-maya/zhilet-unit-kama-oranzheviy-672820/" , "6728.20 Жилет Unit Kama оранжевый, размер 3XL")</f>
      </c>
      <c r="C30666" s="4" t="n">
        <v>3390.00</v>
      </c>
      <c r="D30666" s="4"/>
    </row>
    <row collapsed="" customFormat="false" customHeight="1" hidden="" ht="14" outlineLevel="0" r="30667">
      <c r="A30667" s="3" t="inlineStr">
        <is>
          <t>30512</t>
        </is>
      </c>
      <c r="B30667" s="4" t="s">
        <f>=HYPERLINK("http://anyluxury.ru/shop/prazdnik/den-pobedy-9-maya/tarelka-wonder-dlya-sublimacionnoy-pechati-belaya-3374/" , "3374 Тарелка Wonder для сублимационной печати, белая")</f>
      </c>
      <c r="C30667" s="4" t="n">
        <v>586.00</v>
      </c>
      <c r="D30667" s="4"/>
    </row>
    <row collapsed="" customFormat="false" customHeight="1" hidden="" ht="14" outlineLevel="0" r="30668">
      <c r="A30668" s="3" t="inlineStr">
        <is>
          <t>30513</t>
        </is>
      </c>
      <c r="B30668" s="4" t="s">
        <f>=HYPERLINK("http://anyluxury.ru/shop/prazdnik/den-pobedy-9-maya/termostakan-underway-oranzheviy-314620/" , "3146.20 Термостакан Underway, оранжевый")</f>
      </c>
      <c r="C30668" s="4" t="n">
        <v>591.00</v>
      </c>
      <c r="D30668" s="4"/>
    </row>
    <row collapsed="" customFormat="false" customHeight="1" hidden="" ht="14" outlineLevel="0" r="30669">
      <c r="A30669" s="3" t="inlineStr">
        <is>
          <t>30514</t>
        </is>
      </c>
      <c r="B30669" s="4" t="s">
        <f>=HYPERLINK("http://anyluxury.ru/shop/prazdnik/den-pobedy-9-maya/nabor-dlya-bani-parilka-7837/" , "7837 Набор для бани «Парилка», белый")</f>
      </c>
      <c r="C30669" s="4" t="n">
        <v>606.00</v>
      </c>
      <c r="D30669" s="4"/>
    </row>
    <row collapsed="" customFormat="false" customHeight="1" hidden="" ht="14" outlineLevel="0" r="30670">
      <c r="A30670" s="3" t="inlineStr">
        <is>
          <t>30515</t>
        </is>
      </c>
      <c r="B30670" s="4" t="s">
        <f>=HYPERLINK("http://anyluxury.ru/shop/prazdnik/den-pobedy-9-maya/rubashka-polo-id001-belaya-pui10001/" , "PUI10001 Рубашка поло ID.001 белая, размер M")</f>
      </c>
      <c r="C30670" s="4" t="n">
        <v>1043.00</v>
      </c>
      <c r="D30670" s="4"/>
    </row>
    <row collapsed="" customFormat="false" customHeight="1" hidden="" ht="14" outlineLevel="0" r="30671">
      <c r="A30671" s="3" t="inlineStr">
        <is>
          <t>30516</t>
        </is>
      </c>
      <c r="B30671" s="4" t="s">
        <f>=HYPERLINK("http://anyluxury.ru/shop/prazdnik/den-pobedy-9-maya/rubashka-polo-id001-belaya-pui10001/" , "PUI10001 Рубашка поло ID.001 белая, размер 3XL")</f>
      </c>
      <c r="C30671" s="4" t="n">
        <v>1200.00</v>
      </c>
      <c r="D30671" s="4"/>
    </row>
    <row collapsed="" customFormat="false" customHeight="1" hidden="" ht="14" outlineLevel="0" r="30672">
      <c r="A30672" s="3" t="inlineStr">
        <is>
          <t>30517</t>
        </is>
      </c>
      <c r="B30672" s="4" t="s">
        <f>=HYPERLINK("http://anyluxury.ru/shop/prazdnik/den-pobedy-9-maya/bloknot-nota-bene-krasniy-692550/" , "6925.50 Блокнот Nota Bene, красный")</f>
      </c>
      <c r="C30672" s="4" t="n">
        <v>279.00</v>
      </c>
      <c r="D30672" s="4"/>
    </row>
    <row collapsed="" customFormat="false" customHeight="1" hidden="" ht="14" outlineLevel="0" r="30673">
      <c r="A30673" s="3" t="inlineStr">
        <is>
          <t>30518</t>
        </is>
      </c>
      <c r="B30673" s="4" t="s">
        <f>=HYPERLINK("http://anyluxury.ru/shop/prazdnik/den-pobedy-9-maya/bloknot-nota-bene-beliy-692560/" , "6925.60 Блокнот Nota Bene, белый")</f>
      </c>
      <c r="C30673" s="4" t="n">
        <v>279.00</v>
      </c>
      <c r="D30673" s="4"/>
    </row>
    <row collapsed="" customFormat="false" customHeight="1" hidden="" ht="14" outlineLevel="0" r="30674">
      <c r="A30674" s="3" t="inlineStr">
        <is>
          <t>30519</t>
        </is>
      </c>
      <c r="B30674" s="4" t="s">
        <f>=HYPERLINK("http://anyluxury.ru/shop/prazdnik/den-pobedy-9-maya/tolstovka-unit-toima-belaya-689660/" , "6896.60 Толстовка Unit Toima, белая, размер M")</f>
      </c>
      <c r="C30674" s="4" t="n">
        <v>1191.00</v>
      </c>
      <c r="D30674" s="4"/>
    </row>
    <row collapsed="" customFormat="false" customHeight="1" hidden="" ht="14" outlineLevel="0" r="30675">
      <c r="A30675" s="3" t="inlineStr">
        <is>
          <t>30520</t>
        </is>
      </c>
      <c r="B30675" s="4" t="s">
        <f>=HYPERLINK("http://anyluxury.ru/shop/prazdnik/den-pobedy-9-maya/tolstovka-unit-toima-belaya-689660/" , "6896.60 Толстовка Unit Toima, белая, размер L")</f>
      </c>
      <c r="C30675" s="4" t="n">
        <v>1191.00</v>
      </c>
      <c r="D30675" s="4"/>
    </row>
    <row collapsed="" customFormat="false" customHeight="1" hidden="" ht="14" outlineLevel="0" r="30676">
      <c r="A30676" s="3" t="inlineStr">
        <is>
          <t>30521</t>
        </is>
      </c>
      <c r="B30676" s="4" t="s">
        <f>=HYPERLINK("http://anyluxury.ru/shop/prazdnik/den-pobedy-9-maya/tolstovka-unit-toima-belaya-689660/" , "6896.60 Толстовка Unit Toima, белая, размер XXL")</f>
      </c>
      <c r="C30676" s="4" t="n">
        <v>1191.00</v>
      </c>
      <c r="D30676" s="4"/>
    </row>
    <row collapsed="" customFormat="false" customHeight="1" hidden="" ht="14" outlineLevel="0" r="30677">
      <c r="A30677" s="3" t="inlineStr">
        <is>
          <t>30522</t>
        </is>
      </c>
      <c r="B30677" s="4" t="s">
        <f>=HYPERLINK("http://anyluxury.ru/shop/prazdnik/den-pobedy-9-maya/tolstovka-unit-toima-belaya-689660/" , "6896.60 Толстовка Unit Toima, белая, размер 3XL")</f>
      </c>
      <c r="C30677" s="4" t="n">
        <v>1191.00</v>
      </c>
      <c r="D30677" s="4"/>
    </row>
    <row collapsed="" customFormat="false" customHeight="1" hidden="" ht="14" outlineLevel="0" r="30678">
      <c r="A30678" s="3" t="inlineStr">
        <is>
          <t>30523</t>
        </is>
      </c>
      <c r="B30678" s="4" t="s">
        <f>=HYPERLINK("http://anyluxury.ru/shop/prazdnik/den-pobedy-9-maya/tolstovka-unit-toima-belaya-689660/" , "6896.60 Толстовка Unit Toima, белая, размер 4XL")</f>
      </c>
      <c r="C30678" s="4" t="n">
        <v>1191.00</v>
      </c>
      <c r="D30678" s="4"/>
    </row>
    <row collapsed="" customFormat="false" customHeight="1" hidden="" ht="14" outlineLevel="0" r="30679">
      <c r="A30679" s="3" t="inlineStr">
        <is>
          <t>30524</t>
        </is>
      </c>
      <c r="B30679" s="4" t="s">
        <f>=HYPERLINK("http://anyluxury.ru/shop/prazdnik/den-pobedy-9-maya/rubashka-polo-id001-oranzhevaya-pui10235/" , "PUI10235 Рубашка поло ID.001 оранжевая, размер S")</f>
      </c>
      <c r="C30679" s="4" t="n">
        <v>1190.00</v>
      </c>
      <c r="D30679" s="4"/>
    </row>
    <row collapsed="" customFormat="false" customHeight="1" hidden="" ht="14" outlineLevel="0" r="30680">
      <c r="A30680" s="3" t="inlineStr">
        <is>
          <t>30525</t>
        </is>
      </c>
      <c r="B30680" s="4" t="s">
        <f>=HYPERLINK("http://anyluxury.ru/shop/prazdnik/den-pobedy-9-maya/rubashka-polo-id001-oranzhevaya-pui10235/" , "PUI10235 Рубашка поло ID.001 оранжевая, размер M")</f>
      </c>
      <c r="C30680" s="4" t="n">
        <v>1190.00</v>
      </c>
      <c r="D30680" s="4"/>
    </row>
    <row collapsed="" customFormat="false" customHeight="1" hidden="" ht="14" outlineLevel="0" r="30681">
      <c r="A30681" s="3" t="inlineStr">
        <is>
          <t>30526</t>
        </is>
      </c>
      <c r="B30681" s="4" t="s">
        <f>=HYPERLINK("http://anyluxury.ru/shop/prazdnik/den-pobedy-9-maya/rubashka-polo-id001-oranzhevaya-pui10235/" , "PUI10235 Рубашка поло ID.001 оранжевая, размер L")</f>
      </c>
      <c r="C30681" s="4" t="n">
        <v>1190.00</v>
      </c>
      <c r="D30681" s="4"/>
    </row>
    <row collapsed="" customFormat="false" customHeight="1" hidden="" ht="14" outlineLevel="0" r="30682">
      <c r="A30682" s="3" t="inlineStr">
        <is>
          <t>30527</t>
        </is>
      </c>
      <c r="B30682" s="4" t="s">
        <f>=HYPERLINK("http://anyluxury.ru/shop/prazdnik/den-pobedy-9-maya/rubashka-polo-id001-oranzhevaya-pui10235/" , "PUI10235 Рубашка поло ID.001 оранжевая, размер XXL")</f>
      </c>
      <c r="C30682" s="4" t="n">
        <v>1190.00</v>
      </c>
      <c r="D30682" s="4"/>
    </row>
    <row collapsed="" customFormat="false" customHeight="1" hidden="" ht="14" outlineLevel="0" r="30683">
      <c r="A30683" s="3" t="inlineStr">
        <is>
          <t>30528</t>
        </is>
      </c>
      <c r="B30683" s="4" t="s">
        <f>=HYPERLINK("http://anyluxury.ru/shop/prazdnik/den-pobedy-9-maya/rubashka-polo-id001-oranzhevaya-pui10235/" , "PUI10235 Рубашка поло ID.001 оранжевая, размер 3XL")</f>
      </c>
      <c r="C30683" s="4" t="n">
        <v>1190.00</v>
      </c>
      <c r="D30683" s="4"/>
    </row>
    <row collapsed="" customFormat="false" customHeight="1" hidden="" ht="14" outlineLevel="0" r="30684">
      <c r="A30684" s="3" t="inlineStr">
        <is>
          <t>30529</t>
        </is>
      </c>
      <c r="B30684" s="4" t="s">
        <f>=HYPERLINK("http://anyluxury.ru/shop/prazdnik/den-pobedy-9-maya/rubashka-polo-id001-oranzhevaya-pui10235/" , "PUI10235 Рубашка поло ID.001 оранжевая, размер S")</f>
      </c>
      <c r="C30684" s="4" t="n">
        <v>1190.00</v>
      </c>
      <c r="D30684" s="4"/>
    </row>
    <row collapsed="" customFormat="false" customHeight="1" hidden="" ht="14" outlineLevel="0" r="30685">
      <c r="A30685" s="3" t="inlineStr">
        <is>
          <t>30530</t>
        </is>
      </c>
      <c r="B30685" s="4" t="s">
        <f>=HYPERLINK("http://anyluxury.ru/shop/prazdnik/den-pobedy-9-maya/rubashka-polo-id001-oranzhevaya-pui10235/" , "PUI10235 Рубашка поло ID.001 оранжевая, размер M")</f>
      </c>
      <c r="C30685" s="4" t="n">
        <v>1190.00</v>
      </c>
      <c r="D30685" s="4"/>
    </row>
    <row collapsed="" customFormat="false" customHeight="1" hidden="" ht="14" outlineLevel="0" r="30686">
      <c r="A30686" s="3" t="inlineStr">
        <is>
          <t>30531</t>
        </is>
      </c>
      <c r="B30686" s="4" t="s">
        <f>=HYPERLINK("http://anyluxury.ru/shop/prazdnik/den-pobedy-9-maya/rubashka-polo-id001-oranzhevaya-pui10235/" , "PUI10235 Рубашка поло ID.001 оранжевая, размер L")</f>
      </c>
      <c r="C30686" s="4" t="n">
        <v>1190.00</v>
      </c>
      <c r="D30686" s="4"/>
    </row>
    <row collapsed="" customFormat="false" customHeight="1" hidden="" ht="14" outlineLevel="0" r="30687">
      <c r="A30687" s="3" t="inlineStr">
        <is>
          <t>30532</t>
        </is>
      </c>
      <c r="B30687" s="4" t="s">
        <f>=HYPERLINK("http://anyluxury.ru/shop/prazdnik/den-pobedy-9-maya/rubashka-polo-id001-oranzhevaya-pui10235/" , "PUI10235 Рубашка поло ID.001 оранжевая, размер XL")</f>
      </c>
      <c r="C30687" s="4" t="n">
        <v>1190.00</v>
      </c>
      <c r="D30687" s="4"/>
    </row>
    <row collapsed="" customFormat="false" customHeight="1" hidden="" ht="14" outlineLevel="0" r="30688">
      <c r="A30688" s="3" t="inlineStr">
        <is>
          <t>30533</t>
        </is>
      </c>
      <c r="B30688" s="4" t="s">
        <f>=HYPERLINK("http://anyluxury.ru/shop/prazdnik/den-pobedy-9-maya/rubashka-polo-id001-oranzhevaya-pui10235/" , "PUI10235 Рубашка поло ID.001 оранжевая, размер XXL")</f>
      </c>
      <c r="C30688" s="4" t="n">
        <v>1190.00</v>
      </c>
      <c r="D30688" s="4"/>
    </row>
    <row collapsed="" customFormat="false" customHeight="1" hidden="" ht="14" outlineLevel="0" r="30689">
      <c r="A30689" s="3" t="inlineStr">
        <is>
          <t>30534</t>
        </is>
      </c>
      <c r="B30689" s="4" t="s">
        <f>=HYPERLINK("http://anyluxury.ru/shop/prazdnik/den-pobedy-9-maya/rubashka-polo-id001-oranzhevaya-pui10235/" , "PUI10235 Рубашка поло ID.001 оранжевая, размер 3XL")</f>
      </c>
      <c r="C30689" s="4" t="n">
        <v>1450.00</v>
      </c>
      <c r="D30689" s="4"/>
    </row>
    <row collapsed="" customFormat="false" customHeight="1" hidden="" ht="14" outlineLevel="0" r="30690">
      <c r="A30690" s="3" t="inlineStr">
        <is>
          <t>30535</t>
        </is>
      </c>
      <c r="B30690" s="4" t="s">
        <f>=HYPERLINK("http://anyluxury.ru/shop/prazdnik/den-pobedy-9-maya/holshhovaya-sumka-neat-140-belaya-2360/" , "23.60 Холщовая сумка Neat 140, белая")</f>
      </c>
      <c r="C30690" s="4" t="n">
        <v>264.00</v>
      </c>
      <c r="D30690" s="4"/>
    </row>
    <row collapsed="" customFormat="false" customHeight="1" hidden="" ht="14" outlineLevel="0" r="30691">
      <c r="A30691" s="3" t="inlineStr">
        <is>
          <t>30536</t>
        </is>
      </c>
      <c r="B30691" s="4" t="s">
        <f>=HYPERLINK("http://anyluxury.ru/shop/prazdnik/den-pobedy-9-maya/vetrovka-unit-kivach-oranzhevaya-710220/" , "7102.20 Ветровка Unit Kivach оранжевая, размер S")</f>
      </c>
      <c r="C30691" s="4" t="n">
        <v>1560.00</v>
      </c>
      <c r="D30691" s="4"/>
    </row>
    <row collapsed="" customFormat="false" customHeight="1" hidden="" ht="14" outlineLevel="0" r="30692">
      <c r="A30692" s="3" t="inlineStr">
        <is>
          <t>30537</t>
        </is>
      </c>
      <c r="B30692" s="4" t="s">
        <f>=HYPERLINK("http://anyluxury.ru/shop/prazdnik/den-pobedy-9-maya/vetrovka-unit-kivach-oranzhevaya-710220/" , "7102.20 Ветровка Unit Kivach оранжевая, размер M")</f>
      </c>
      <c r="C30692" s="4" t="n">
        <v>1560.00</v>
      </c>
      <c r="D30692" s="4"/>
    </row>
    <row collapsed="" customFormat="false" customHeight="1" hidden="" ht="14" outlineLevel="0" r="30693">
      <c r="A30693" s="3" t="inlineStr">
        <is>
          <t>30538</t>
        </is>
      </c>
      <c r="B30693" s="4" t="s">
        <f>=HYPERLINK("http://anyluxury.ru/shop/prazdnik/den-pobedy-9-maya/vetrovka-unit-kivach-oranzhevaya-710220/" , "7102.20 Ветровка Unit Kivach оранжевая, размер L")</f>
      </c>
      <c r="C30693" s="4" t="n">
        <v>1560.00</v>
      </c>
      <c r="D30693" s="4"/>
    </row>
    <row collapsed="" customFormat="false" customHeight="1" hidden="" ht="14" outlineLevel="0" r="30694">
      <c r="A30694" s="3" t="inlineStr">
        <is>
          <t>30539</t>
        </is>
      </c>
      <c r="B30694" s="4" t="s">
        <f>=HYPERLINK("http://anyluxury.ru/shop/prazdnik/den-pobedy-9-maya/vetrovka-unit-kivach-oranzhevaya-710220/" , "7102.20 Ветровка Unit Kivach оранжевая, размер XL")</f>
      </c>
      <c r="C30694" s="4" t="n">
        <v>1560.00</v>
      </c>
      <c r="D30694" s="4"/>
    </row>
    <row collapsed="" customFormat="false" customHeight="1" hidden="" ht="14" outlineLevel="0" r="30695">
      <c r="A30695" s="3" t="inlineStr">
        <is>
          <t>30540</t>
        </is>
      </c>
      <c r="B30695" s="4" t="s">
        <f>=HYPERLINK("http://anyluxury.ru/shop/prazdnik/den-pobedy-9-maya/vetrovka-unit-kivach-oranzhevaya-710220/" , "7102.20 Ветровка Unit Kivach оранжевая, размер XXL")</f>
      </c>
      <c r="C30695" s="4" t="n">
        <v>1560.00</v>
      </c>
      <c r="D30695" s="4"/>
    </row>
    <row collapsed="" customFormat="false" customHeight="1" hidden="" ht="14" outlineLevel="0" r="30696">
      <c r="A30696" s="3" t="inlineStr">
        <is>
          <t>30541</t>
        </is>
      </c>
      <c r="B30696" s="4" t="s">
        <f>=HYPERLINK("http://anyluxury.ru/shop/prazdnik/den-pobedy-9-maya/vetrovka-unit-kivach-oranzhevaya-710220/" , "7102.20 Ветровка Unit Kivach оранжевая, размер 3XL")</f>
      </c>
      <c r="C30696" s="4" t="n">
        <v>1560.00</v>
      </c>
      <c r="D30696" s="4"/>
    </row>
    <row collapsed="" customFormat="false" customHeight="1" hidden="" ht="14" outlineLevel="0" r="30697">
      <c r="A30697" s="3" t="inlineStr">
        <is>
          <t>30542</t>
        </is>
      </c>
      <c r="B30697" s="4" t="s">
        <f>=HYPERLINK("http://anyluxury.ru/shop/prazdnik/den-pobedy-9-maya/vetrovka-unit-kivach-oranzhevaya-710220/" , "7102.20 Ветровка Unit Kivach оранжевая, размер XS")</f>
      </c>
      <c r="C30697" s="4" t="n">
        <v>1560.00</v>
      </c>
      <c r="D30697" s="4"/>
    </row>
    <row collapsed="" customFormat="false" customHeight="1" hidden="" ht="14" outlineLevel="0" r="30698">
      <c r="A30698" s="3" t="inlineStr">
        <is>
          <t>30543</t>
        </is>
      </c>
      <c r="B30698" s="4" t="s">
        <f>=HYPERLINK("http://anyluxury.ru/shop/prazdnik/den-pobedy-9-maya/termobutilka-sherp-oranzhevaya-58420/" , "584.20 Термобутылка Sherp, оранжевая")</f>
      </c>
      <c r="C30698" s="4" t="n">
        <v>1770.00</v>
      </c>
      <c r="D30698" s="4"/>
    </row>
    <row collapsed="" customFormat="false" customHeight="1" hidden="" ht="14" outlineLevel="0" r="30699">
      <c r="A30699" s="3" t="inlineStr">
        <is>
          <t>30544</t>
        </is>
      </c>
      <c r="B30699" s="4" t="s">
        <f>=HYPERLINK("http://anyluxury.ru/shop/prazdnik/den-pobedy-9-maya/stakan-casablanca-1025300/" , "10253.00 Стакан Casablanca")</f>
      </c>
      <c r="C30699" s="4" t="n">
        <v>150.00</v>
      </c>
      <c r="D30699" s="4"/>
    </row>
    <row collapsed="" customFormat="false" customHeight="1" hidden="" ht="14" outlineLevel="0" r="30700">
      <c r="A30700" s="3" t="inlineStr">
        <is>
          <t>30545</t>
        </is>
      </c>
      <c r="B30700" s="4" t="s">
        <f>=HYPERLINK("http://anyluxury.ru/shop/prazdnik/den-pobedy-9-maya/nabor-kuhonnih-polotenec-iskusstvo-kamuflyazha-7014111/" , "70141.11 Набор кухонных полотенец «Искусство камуфляжа»")</f>
      </c>
      <c r="C30700" s="4" t="n">
        <v>626.00</v>
      </c>
      <c r="D30700" s="4"/>
    </row>
    <row collapsed="" customFormat="false" customHeight="1" hidden="" ht="14" outlineLevel="0" r="30701">
      <c r="A30701" s="3" t="inlineStr">
        <is>
          <t>30546</t>
        </is>
      </c>
      <c r="B30701" s="4" t="s">
        <f>=HYPERLINK("http://anyluxury.ru/shop/prazdnik/den-pobedy-9-maya/zhilet-unit-kama-krasniy-aliy-672851/" , "6728.51 Жилет Unit Kama красный (алый), размер XS")</f>
      </c>
      <c r="C30701" s="4" t="n">
        <v>3390.00</v>
      </c>
      <c r="D30701" s="4"/>
    </row>
    <row collapsed="" customFormat="false" customHeight="1" hidden="" ht="14" outlineLevel="0" r="30702">
      <c r="A30702" s="3" t="inlineStr">
        <is>
          <t>30547</t>
        </is>
      </c>
      <c r="B30702" s="4" t="s">
        <f>=HYPERLINK("http://anyluxury.ru/shop/prazdnik/den-pobedy-9-maya/zhilet-unit-kama-krasniy-aliy-672851/" , "6728.51 Жилет Unit Kama красный (алый), размер 4XL")</f>
      </c>
      <c r="C30702" s="4" t="n">
        <v>1950.00</v>
      </c>
      <c r="D30702" s="4"/>
    </row>
    <row collapsed="" customFormat="false" customHeight="1" hidden="" ht="14" outlineLevel="0" r="30703">
      <c r="A30703" s="3" t="inlineStr">
        <is>
          <t>30548</t>
        </is>
      </c>
      <c r="B30703" s="4" t="s">
        <f>=HYPERLINK("http://anyluxury.ru/shop/prazdnik/den-pobedy-9-maya/zhilet-unit-kama-krasniy-aliy-672851/" , "6728.51 Жилет Unit Kama красный (алый), размер XS")</f>
      </c>
      <c r="C30703" s="4" t="n">
        <v>3390.00</v>
      </c>
      <c r="D30703" s="4"/>
    </row>
    <row collapsed="" customFormat="false" customHeight="1" hidden="" ht="14" outlineLevel="0" r="30704">
      <c r="A30704" s="3" t="inlineStr">
        <is>
          <t>30549</t>
        </is>
      </c>
      <c r="B30704" s="4" t="s">
        <f>=HYPERLINK("http://anyluxury.ru/shop/prazdnik/den-pobedy-9-maya/zhilet-unit-kama-krasniy-aliy-672851/" , "6728.51 Жилет Unit Kama красный (алый), размер S")</f>
      </c>
      <c r="C30704" s="4" t="n">
        <v>3390.00</v>
      </c>
      <c r="D30704" s="4"/>
    </row>
    <row collapsed="" customFormat="false" customHeight="1" hidden="" ht="14" outlineLevel="0" r="30705">
      <c r="A30705" s="3" t="inlineStr">
        <is>
          <t>30550</t>
        </is>
      </c>
      <c r="B30705" s="4" t="s">
        <f>=HYPERLINK("http://anyluxury.ru/shop/prazdnik/den-pobedy-9-maya/zhilet-unit-kama-krasniy-aliy-672851/" , "6728.51 Жилет Unit Kama красный (алый), размер XXL")</f>
      </c>
      <c r="C30705" s="4" t="n">
        <v>3390.00</v>
      </c>
      <c r="D30705" s="4"/>
    </row>
    <row collapsed="" customFormat="false" customHeight="1" hidden="" ht="14" outlineLevel="0" r="30706">
      <c r="A30706" s="3" t="inlineStr">
        <is>
          <t>30551</t>
        </is>
      </c>
      <c r="B30706" s="4" t="s">
        <f>=HYPERLINK("http://anyluxury.ru/shop/prazdnik/den-pobedy-9-maya/zhilet-unit-kama-krasniy-aliy-672851/" , "6728.51 Жилет Unit Kama красный (алый), размер 3XL")</f>
      </c>
      <c r="C30706" s="4" t="n">
        <v>3390.00</v>
      </c>
      <c r="D30706" s="4"/>
    </row>
    <row collapsed="" customFormat="false" customHeight="1" hidden="" ht="14" outlineLevel="0" r="30707">
      <c r="A30707" s="3" t="inlineStr">
        <is>
          <t>30552</t>
        </is>
      </c>
      <c r="B30707" s="4" t="s">
        <f>=HYPERLINK("http://anyluxury.ru/shop/prazdnik/den-pobedy-9-maya/zhilet-unit-kama-krasniy-aliy-672851/" , "6728.51 Жилет Unit Kama красный (алый), размер 4XL")</f>
      </c>
      <c r="C30707" s="4" t="n">
        <v>3390.00</v>
      </c>
      <c r="D30707" s="4"/>
    </row>
    <row collapsed="" customFormat="false" customHeight="1" hidden="" ht="14" outlineLevel="0" r="30708">
      <c r="A30708" s="3" t="inlineStr">
        <is>
          <t>30553</t>
        </is>
      </c>
      <c r="B30708" s="4" t="s">
        <f>=HYPERLINK("http://anyluxury.ru/shop/prazdnik/den-pobedy-9-maya/dozhdevik-rainman-zip-krasniy-1112450/" , "11124.50 Дождевик Rainman Zip красный, размер XS")</f>
      </c>
      <c r="C30708" s="4" t="n">
        <v>1290.00</v>
      </c>
      <c r="D30708" s="4"/>
    </row>
    <row collapsed="" customFormat="false" customHeight="1" hidden="" ht="14" outlineLevel="0" r="30709">
      <c r="A30709" s="3" t="inlineStr">
        <is>
          <t>30554</t>
        </is>
      </c>
      <c r="B30709" s="4" t="s">
        <f>=HYPERLINK("http://anyluxury.ru/shop/prazdnik/den-pobedy-9-maya/dozhdevik-rainman-zip-krasniy-1112450/" , "11124.50 Дождевик Rainman Zip красный, размер S")</f>
      </c>
      <c r="C30709" s="4" t="n">
        <v>1290.00</v>
      </c>
      <c r="D30709" s="4"/>
    </row>
    <row collapsed="" customFormat="false" customHeight="1" hidden="" ht="14" outlineLevel="0" r="30710">
      <c r="A30710" s="3" t="inlineStr">
        <is>
          <t>30555</t>
        </is>
      </c>
      <c r="B30710" s="4" t="s">
        <f>=HYPERLINK("http://anyluxury.ru/shop/prazdnik/den-pobedy-9-maya/dozhdevik-rainman-zip-krasniy-1112450/" , "11124.50 Дождевик Rainman Zip красный, размер M")</f>
      </c>
      <c r="C30710" s="4" t="n">
        <v>1290.00</v>
      </c>
      <c r="D30710" s="4"/>
    </row>
    <row collapsed="" customFormat="false" customHeight="1" hidden="" ht="14" outlineLevel="0" r="30711">
      <c r="A30711" s="3" t="inlineStr">
        <is>
          <t>30556</t>
        </is>
      </c>
      <c r="B30711" s="4" t="s">
        <f>=HYPERLINK("http://anyluxury.ru/shop/prazdnik/den-pobedy-9-maya/dozhdevik-rainman-zip-krasniy-1112450/" , "11124.50 Дождевик Rainman Zip красный, размер L")</f>
      </c>
      <c r="C30711" s="4" t="n">
        <v>1290.00</v>
      </c>
      <c r="D30711" s="4"/>
    </row>
    <row collapsed="" customFormat="false" customHeight="1" hidden="" ht="14" outlineLevel="0" r="30712">
      <c r="A30712" s="3" t="inlineStr">
        <is>
          <t>30557</t>
        </is>
      </c>
      <c r="B30712" s="4" t="s">
        <f>=HYPERLINK("http://anyluxury.ru/shop/prazdnik/den-pobedy-9-maya/dozhdevik-rainman-zip-krasniy-1112450/" , "11124.50 Дождевик Rainman Zip красный, размер XL")</f>
      </c>
      <c r="C30712" s="4" t="n">
        <v>1290.00</v>
      </c>
      <c r="D30712" s="4"/>
    </row>
    <row collapsed="" customFormat="false" customHeight="1" hidden="" ht="14" outlineLevel="0" r="30713">
      <c r="A30713" s="3" t="inlineStr">
        <is>
          <t>30558</t>
        </is>
      </c>
      <c r="B30713" s="4" t="s">
        <f>=HYPERLINK("http://anyluxury.ru/shop/prazdnik/den-pobedy-9-maya/dozhdevik-rainman-zip-krasniy-1112450/" , "11124.50 Дождевик Rainman Zip красный, размер XXL")</f>
      </c>
      <c r="C30713" s="4" t="n">
        <v>1290.00</v>
      </c>
      <c r="D30713" s="4"/>
    </row>
    <row collapsed="" customFormat="false" customHeight="1" hidden="" ht="14" outlineLevel="0" r="30714">
      <c r="A30714" s="3" t="inlineStr">
        <is>
          <t>30559</t>
        </is>
      </c>
      <c r="B30714" s="4" t="s">
        <f>=HYPERLINK("http://anyluxury.ru/shop/prazdnik/den-pobedy-9-maya/dozhdevik-rainman-zip-krasniy-1112450/" , "11124.50 Дождевик Rainman Zip, красный, размер S")</f>
      </c>
      <c r="C30714" s="4" t="n">
        <v>1290.00</v>
      </c>
      <c r="D30714" s="4"/>
    </row>
    <row collapsed="" customFormat="false" customHeight="1" hidden="" ht="14" outlineLevel="0" r="30715">
      <c r="A30715" s="3" t="inlineStr">
        <is>
          <t>30560</t>
        </is>
      </c>
      <c r="B30715" s="4" t="s">
        <f>=HYPERLINK("http://anyluxury.ru/shop/prazdnik/den-pobedy-9-maya/dozhdevik-rainman-zip-krasniy-1112450/" , "11124.50 Дождевик Rainman Zip, красный, размер M")</f>
      </c>
      <c r="C30715" s="4" t="n">
        <v>1290.00</v>
      </c>
      <c r="D30715" s="4"/>
    </row>
    <row collapsed="" customFormat="false" customHeight="1" hidden="" ht="14" outlineLevel="0" r="30716">
      <c r="A30716" s="3" t="inlineStr">
        <is>
          <t>30561</t>
        </is>
      </c>
      <c r="B30716" s="4" t="s">
        <f>=HYPERLINK("http://anyluxury.ru/shop/prazdnik/den-pobedy-9-maya/dozhdevik-rainman-zip-krasniy-1112450/" , "11124.50 Дождевик Rainman Zip, красный, размер L")</f>
      </c>
      <c r="C30716" s="4" t="n">
        <v>1290.00</v>
      </c>
      <c r="D30716" s="4"/>
    </row>
    <row collapsed="" customFormat="false" customHeight="1" hidden="" ht="14" outlineLevel="0" r="30717">
      <c r="A30717" s="3" t="inlineStr">
        <is>
          <t>30562</t>
        </is>
      </c>
      <c r="B30717" s="4" t="s">
        <f>=HYPERLINK("http://anyluxury.ru/shop/prazdnik/den-pobedy-9-maya/dozhdevik-rainman-zip-krasniy-1112450/" , "11124.50 Дождевик Rainman Zip, красный, размер XL")</f>
      </c>
      <c r="C30717" s="4" t="n">
        <v>1290.00</v>
      </c>
      <c r="D30717" s="4"/>
    </row>
    <row collapsed="" customFormat="false" customHeight="1" hidden="" ht="14" outlineLevel="0" r="30718">
      <c r="A30718" s="3" t="inlineStr">
        <is>
          <t>30563</t>
        </is>
      </c>
      <c r="B30718" s="4" t="s">
        <f>=HYPERLINK("http://anyluxury.ru/shop/prazdnik/den-pobedy-9-maya/dozhdevik-rainman-zip-krasniy-1112450/" , "11124.50 Дождевик Rainman Zip, красный, размер XXL")</f>
      </c>
      <c r="C30718" s="4" t="n">
        <v>1290.00</v>
      </c>
      <c r="D30718" s="4"/>
    </row>
    <row collapsed="" customFormat="false" customHeight="1" hidden="" ht="14" outlineLevel="0" r="30719">
      <c r="A30719" s="3" t="inlineStr">
        <is>
          <t>30564</t>
        </is>
      </c>
      <c r="B30719" s="4" t="s">
        <f>=HYPERLINK("http://anyluxury.ru/shop/prazdnik/den-pobedy-9-maya/dozhdevik-rainman-zip-beliy-1112460/" , "11124.60 Дождевик Rainman Zip белый, размер XS")</f>
      </c>
      <c r="C30719" s="4" t="n">
        <v>1290.00</v>
      </c>
      <c r="D30719" s="4"/>
    </row>
    <row collapsed="" customFormat="false" customHeight="1" hidden="" ht="14" outlineLevel="0" r="30720">
      <c r="A30720" s="3" t="inlineStr">
        <is>
          <t>30565</t>
        </is>
      </c>
      <c r="B30720" s="4" t="s">
        <f>=HYPERLINK("http://anyluxury.ru/shop/prazdnik/den-pobedy-9-maya/dozhdevik-rainman-zip-beliy-1112460/" , "11124.60 Дождевик Rainman Zip белый, размер S")</f>
      </c>
      <c r="C30720" s="4" t="n">
        <v>1290.00</v>
      </c>
      <c r="D30720" s="4"/>
    </row>
    <row collapsed="" customFormat="false" customHeight="1" hidden="" ht="14" outlineLevel="0" r="30721">
      <c r="A30721" s="3" t="inlineStr">
        <is>
          <t>30566</t>
        </is>
      </c>
      <c r="B30721" s="4" t="s">
        <f>=HYPERLINK("http://anyluxury.ru/shop/prazdnik/den-pobedy-9-maya/dozhdevik-rainman-zip-beliy-1112460/" , "11124.60 Дождевик Rainman Zip белый, размер M")</f>
      </c>
      <c r="C30721" s="4" t="n">
        <v>1290.00</v>
      </c>
      <c r="D30721" s="4"/>
    </row>
    <row collapsed="" customFormat="false" customHeight="1" hidden="" ht="14" outlineLevel="0" r="30722">
      <c r="A30722" s="3" t="inlineStr">
        <is>
          <t>30567</t>
        </is>
      </c>
      <c r="B30722" s="4" t="s">
        <f>=HYPERLINK("http://anyluxury.ru/shop/prazdnik/den-pobedy-9-maya/dozhdevik-rainman-zip-beliy-1112460/" , "11124.60 Дождевик Rainman Zip белый, размер L")</f>
      </c>
      <c r="C30722" s="4" t="n">
        <v>1290.00</v>
      </c>
      <c r="D30722" s="4"/>
    </row>
    <row collapsed="" customFormat="false" customHeight="1" hidden="" ht="14" outlineLevel="0" r="30723">
      <c r="A30723" s="3" t="inlineStr">
        <is>
          <t>30568</t>
        </is>
      </c>
      <c r="B30723" s="4" t="s">
        <f>=HYPERLINK("http://anyluxury.ru/shop/prazdnik/den-pobedy-9-maya/dozhdevik-rainman-zip-beliy-1112460/" , "11124.60 Дождевик Rainman Zip белый, размер XL")</f>
      </c>
      <c r="C30723" s="4" t="n">
        <v>1290.00</v>
      </c>
      <c r="D30723" s="4"/>
    </row>
    <row collapsed="" customFormat="false" customHeight="1" hidden="" ht="14" outlineLevel="0" r="30724">
      <c r="A30724" s="3" t="inlineStr">
        <is>
          <t>30569</t>
        </is>
      </c>
      <c r="B30724" s="4" t="s">
        <f>=HYPERLINK("http://anyluxury.ru/shop/prazdnik/den-pobedy-9-maya/dozhdevik-rainman-zip-beliy-1112460/" , "11124.60 Дождевик Rainman Zip белый, размер XXL")</f>
      </c>
      <c r="C30724" s="4" t="n">
        <v>1290.00</v>
      </c>
      <c r="D30724" s="4"/>
    </row>
    <row collapsed="" customFormat="false" customHeight="1" hidden="" ht="14" outlineLevel="0" r="30725">
      <c r="A30725" s="3" t="inlineStr">
        <is>
          <t>30570</t>
        </is>
      </c>
      <c r="B30725" s="4" t="s">
        <f>=HYPERLINK("http://anyluxury.ru/shop/prazdnik/den-pobedy-9-maya/dozhdevik-rainman-zip-beliy-1112460/" , "11124.60 Дождевик Rainman Zip, белый, размер XS")</f>
      </c>
      <c r="C30725" s="4" t="n">
        <v>1140.00</v>
      </c>
      <c r="D30725" s="4"/>
    </row>
    <row collapsed="" customFormat="false" customHeight="1" hidden="" ht="14" outlineLevel="0" r="30726">
      <c r="A30726" s="3" t="inlineStr">
        <is>
          <t>30571</t>
        </is>
      </c>
      <c r="B30726" s="4" t="s">
        <f>=HYPERLINK("http://anyluxury.ru/shop/prazdnik/den-pobedy-9-maya/dozhdevik-rainman-zip-beliy-1112460/" , "11124.60 Дождевик Rainman Zip, белый, размер S")</f>
      </c>
      <c r="C30726" s="4" t="n">
        <v>1290.00</v>
      </c>
      <c r="D30726" s="4"/>
    </row>
    <row collapsed="" customFormat="false" customHeight="1" hidden="" ht="14" outlineLevel="0" r="30727">
      <c r="A30727" s="3" t="inlineStr">
        <is>
          <t>30572</t>
        </is>
      </c>
      <c r="B30727" s="4" t="s">
        <f>=HYPERLINK("http://anyluxury.ru/shop/prazdnik/den-pobedy-9-maya/dozhdevik-rainman-zip-beliy-1112460/" , "11124.60 Дождевик Rainman Zip, белый, размер M")</f>
      </c>
      <c r="C30727" s="4" t="n">
        <v>1290.00</v>
      </c>
      <c r="D30727" s="4"/>
    </row>
    <row collapsed="" customFormat="false" customHeight="1" hidden="" ht="14" outlineLevel="0" r="30728">
      <c r="A30728" s="3" t="inlineStr">
        <is>
          <t>30573</t>
        </is>
      </c>
      <c r="B30728" s="4" t="s">
        <f>=HYPERLINK("http://anyluxury.ru/shop/prazdnik/den-pobedy-9-maya/dozhdevik-rainman-zip-beliy-1112460/" , "11124.60 Дождевик Rainman Zip, белый, размер L")</f>
      </c>
      <c r="C30728" s="4" t="n">
        <v>1290.00</v>
      </c>
      <c r="D30728" s="4"/>
    </row>
    <row collapsed="" customFormat="false" customHeight="1" hidden="" ht="14" outlineLevel="0" r="30729">
      <c r="A30729" s="3" t="inlineStr">
        <is>
          <t>30574</t>
        </is>
      </c>
      <c r="B30729" s="4" t="s">
        <f>=HYPERLINK("http://anyluxury.ru/shop/prazdnik/den-pobedy-9-maya/dozhdevik-rainman-zip-beliy-1112460/" , "11124.60 Дождевик Rainman Zip, белый, размер XL")</f>
      </c>
      <c r="C30729" s="4" t="n">
        <v>1290.00</v>
      </c>
      <c r="D30729" s="4"/>
    </row>
    <row collapsed="" customFormat="false" customHeight="1" hidden="" ht="14" outlineLevel="0" r="30730">
      <c r="A30730" s="3" t="inlineStr">
        <is>
          <t>30575</t>
        </is>
      </c>
      <c r="B30730" s="4" t="s">
        <f>=HYPERLINK("http://anyluxury.ru/shop/prazdnik/den-pobedy-9-maya/dozhdevik-rainman-zip-beliy-1112460/" , "11124.60 Дождевик Rainman Zip, белый, размер XXL")</f>
      </c>
      <c r="C30730" s="4" t="n">
        <v>1290.00</v>
      </c>
      <c r="D30730" s="4"/>
    </row>
    <row collapsed="" customFormat="false" customHeight="1" hidden="" ht="14" outlineLevel="0" r="30731">
      <c r="A30731" s="3" t="inlineStr">
        <is>
          <t>30576</t>
        </is>
      </c>
      <c r="B30731" s="4" t="s">
        <f>=HYPERLINK("http://anyluxury.ru/shop/prazdnik/den-pobedy-9-maya/pled-field-siniy-1045340/" , "10453.40 Плед Field, темно-синий")</f>
      </c>
      <c r="C30731" s="4" t="n">
        <v>2890.00</v>
      </c>
      <c r="D30731" s="4"/>
    </row>
    <row collapsed="" customFormat="false" customHeight="1" hidden="" ht="14" outlineLevel="0" r="30732">
      <c r="A30732" s="3" t="inlineStr">
        <is>
          <t>30577</t>
        </is>
      </c>
      <c r="B30732" s="4" t="s">
        <f>=HYPERLINK("http://anyluxury.ru/shop/prazdnik/den-pobedy-9-maya/holshhovaya-sumka-neat-140-krasnaya-2350/" , "23.50 Холщовая сумка Neat 140, красная")</f>
      </c>
      <c r="C30732" s="4" t="n">
        <v>264.00</v>
      </c>
      <c r="D30732" s="4"/>
    </row>
    <row collapsed="" customFormat="false" customHeight="1" hidden="" ht="14" outlineLevel="0" r="30733">
      <c r="A30733" s="3" t="inlineStr">
        <is>
          <t>30578</t>
        </is>
      </c>
      <c r="B30733" s="4" t="s">
        <f>=HYPERLINK("http://anyluxury.ru/shop/prazdnik/den-pobedy-9-maya/vaza-form-fluid-malaya-sinebordovaya-1128455/" , "11284.55 Ваза Form Fluid, малая, сине-бордовая")</f>
      </c>
      <c r="C30733" s="4" t="n">
        <v>1290.00</v>
      </c>
      <c r="D30733" s="4"/>
    </row>
    <row collapsed="" customFormat="false" customHeight="1" hidden="" ht="14" outlineLevel="0" r="30734">
      <c r="A30734" s="3" t="inlineStr">
        <is>
          <t>30579</t>
        </is>
      </c>
      <c r="B30734" s="4" t="s">
        <f>=HYPERLINK("http://anyluxury.ru/shop/prazdnik/den-pobedy-9-maya/nabor-podsvechnikov-form-fluid-gorchichniy-1128885/" , "11288.85 Набор подсвечников Form Fluid, горчичный")</f>
      </c>
      <c r="C30734" s="4" t="n">
        <v>1909.00</v>
      </c>
      <c r="D30734" s="4"/>
    </row>
    <row collapsed="" customFormat="false" customHeight="1" hidden="" ht="14" outlineLevel="0" r="30735">
      <c r="A30735" s="3" t="inlineStr">
        <is>
          <t>30580</t>
        </is>
      </c>
      <c r="B30735" s="4" t="s">
        <f>=HYPERLINK("http://anyluxury.ru/shop/prazdnik/den-pobedy-9-maya/shkatulka-form-fluid-gorchichnaya-1128985/" , "11289.85 Шкатулка Form Fluid, горчичная")</f>
      </c>
      <c r="C30735" s="4" t="n">
        <v>1290.00</v>
      </c>
      <c r="D30735" s="4"/>
    </row>
    <row collapsed="" customFormat="false" customHeight="1" hidden="" ht="14" outlineLevel="0" r="30736">
      <c r="A30736" s="3" t="inlineStr">
        <is>
          <t>30581</t>
        </is>
      </c>
      <c r="B30736" s="4" t="s">
        <f>=HYPERLINK("http://anyluxury.ru/shop/prazdnik/den-pobedy-9-maya/svitshot-uniseks-set-in-oranzheviy-wu01w233/" , "WU01W233 Свитшот унисекс Set In, оранжевый, размер XS")</f>
      </c>
      <c r="C30736" s="4" t="n">
        <v>2069.00</v>
      </c>
      <c r="D30736" s="4"/>
    </row>
    <row collapsed="" customFormat="false" customHeight="1" hidden="" ht="14" outlineLevel="0" r="30737">
      <c r="A30737" s="3" t="inlineStr">
        <is>
          <t>30582</t>
        </is>
      </c>
      <c r="B30737" s="4" t="s">
        <f>=HYPERLINK("http://anyluxury.ru/shop/prazdnik/den-pobedy-9-maya/korobka-new-case-oranzheviy-1104220/" , "11042.20 Коробка New Case, оранжевая")</f>
      </c>
      <c r="C30737" s="4" t="n">
        <v>845.00</v>
      </c>
      <c r="D30737" s="4"/>
    </row>
    <row collapsed="" customFormat="false" customHeight="1" hidden="" ht="14" outlineLevel="0" r="30738">
      <c r="A30738" s="3" t="inlineStr">
        <is>
          <t>30583</t>
        </is>
      </c>
      <c r="B30738" s="4" t="s">
        <f>=HYPERLINK("http://anyluxury.ru/shop/prazdnik/den-pobedy-9-maya/lenta-dlya-medali-s-pryazhkoy-ribbon-trikolor-3435845/" , "34358.45 Лента для медали с пряжкой Ribbon, триколор")</f>
      </c>
      <c r="C30738" s="4" t="n">
        <v>79.00</v>
      </c>
      <c r="D30738" s="4"/>
    </row>
    <row collapsed="" customFormat="false" customHeight="1" hidden="" ht="14" outlineLevel="0" r="30739">
      <c r="A30739" s="3" t="inlineStr">
        <is>
          <t>30584</t>
        </is>
      </c>
      <c r="B30739" s="4" t="s">
        <f>=HYPERLINK("http://anyluxury.ru/shop/prazdnik/den-pobedy-9-maya/medal-perfect-day-7330301/" , "73303.01 Медаль Perfect Day")</f>
      </c>
      <c r="C30739" s="4" t="n">
        <v>154.00</v>
      </c>
      <c r="D30739" s="4"/>
    </row>
    <row collapsed="" customFormat="false" customHeight="1" hidden="" ht="14" outlineLevel="0" r="30740">
      <c r="A30740" s="3" t="inlineStr">
        <is>
          <t>30585</t>
        </is>
      </c>
      <c r="B30740" s="4" t="s">
        <f>=HYPERLINK("http://anyluxury.ru/shop/prazdnik/den-pobedy-9-maya/termos-hiker-750-cherniy-1329930/" , "13299.30 Термос Hiker 750, черный")</f>
      </c>
      <c r="C30740" s="4" t="n">
        <v>1435.00</v>
      </c>
      <c r="D30740" s="4"/>
    </row>
    <row collapsed="" customFormat="false" customHeight="1" hidden="" ht="14" outlineLevel="0" r="30741">
      <c r="A30741" s="3" t="inlineStr">
        <is>
          <t>30586</t>
        </is>
      </c>
      <c r="B30741" s="4" t="s">
        <f>=HYPERLINK("http://anyluxury.ru/shop/prazdnik/den-pobedy-9-maya/termos-dlya-edi-takk-pappa-cherniy-1331030/" , "13310.30 Термос для еды Takk Pappa, черный")</f>
      </c>
      <c r="C30741" s="4" t="n">
        <v>1999.00</v>
      </c>
      <c r="D30741" s="4"/>
    </row>
    <row collapsed="" customFormat="false" customHeight="1" hidden="" ht="14" outlineLevel="0" r="30742">
      <c r="A30742" s="3" t="inlineStr">
        <is>
          <t>30587</t>
        </is>
      </c>
      <c r="B30742" s="4" t="s">
        <f>=HYPERLINK("http://anyluxury.ru/shop/prazdnik/den-pobedy-9-maya/nabor-kruzhek-promo-trikolor-2332300/" , "23323.00 Набор из 6 кружек Promo, триколор")</f>
      </c>
      <c r="C30742" s="4" t="n">
        <v>1999.00</v>
      </c>
      <c r="D30742" s="4"/>
    </row>
    <row collapsed="" customFormat="false" customHeight="1" hidden="" ht="14" outlineLevel="0" r="30743">
      <c r="A30743" s="3" t="inlineStr">
        <is>
          <t>30588</t>
        </is>
      </c>
      <c r="B30743" s="4" t="s">
        <f>=HYPERLINK("http://anyluxury.ru/shop/prazdnik/den-pobedy-9-maya/kruzhka-surprise-touch-black-c-pokritiem-softtach-oranzhevaya-1335620/" , "13356.20 Кружка Surprise Touch Black c покрытием софт-тач, оранжевая")</f>
      </c>
      <c r="C30743" s="4" t="n">
        <v>480.00</v>
      </c>
      <c r="D30743" s="4"/>
    </row>
    <row collapsed="" customFormat="false" customHeight="1" hidden="" ht="14" outlineLevel="0" r="30744">
      <c r="A30744" s="3" t="inlineStr">
        <is>
          <t>30589</t>
        </is>
      </c>
      <c r="B30744" s="4" t="s">
        <f>=HYPERLINK("http://anyluxury.ru/shop/prazdnik/den-pobedy-9-maya/znachok-zakatnoy-pinback-print-m-1599400/" , "15994.00 Значок закатной Pinback Print на заказ, M")</f>
      </c>
      <c r="C30744" s="4" t="n">
        <v>81.00</v>
      </c>
      <c r="D30744" s="4"/>
    </row>
    <row collapsed="" customFormat="false" customHeight="" hidden="" ht="12.1" outlineLevel="0" r="30745">
      <c r="A30745" s="5" t="inlineStr">
        <is>
          <t> -  - День полиции (милиции) 10 ноября</t>
        </is>
      </c>
      <c r="B30745" s="6"/>
      <c r="C30745" s="6"/>
      <c r="D30745" s="6"/>
    </row>
    <row collapsed="" customFormat="false" customHeight="1" hidden="" ht="14" outlineLevel="0" r="30746">
      <c r="A30746" s="3" t="inlineStr">
        <is>
          <t>30590</t>
        </is>
      </c>
      <c r="B30746" s="4" t="s">
        <f>=HYPERLINK("http://anyluxury.ru/shop/prazdnik/den-politsii-militsii-10-noyabrya/pannofotoramka-vnimanie-rozisk-naturalnaya-kozha-z16060/" , "Z16060 Панно-фоторамка «Внимание! Розыск», натуральная кожа")</f>
      </c>
      <c r="C30746" s="4" t="n">
        <v>490.00</v>
      </c>
      <c r="D30746" s="4"/>
    </row>
    <row collapsed="" customFormat="false" customHeight="1" hidden="" ht="14" outlineLevel="0" r="30747">
      <c r="A30747" s="3" t="inlineStr">
        <is>
          <t>30591</t>
        </is>
      </c>
      <c r="B30747" s="4" t="s">
        <f>=HYPERLINK("http://anyluxury.ru/shop/prazdnik/den-politsii-militsii-10-noyabrya/oblozhka-dlya-pasporta-twill-chernaya-669630/" , "6696.30 Обложка для паспорта Twill, черная")</f>
      </c>
      <c r="C30747" s="4" t="n">
        <v>319.00</v>
      </c>
      <c r="D30747" s="4"/>
    </row>
    <row collapsed="" customFormat="false" customHeight="1" hidden="" ht="14" outlineLevel="0" r="30748">
      <c r="A30748" s="3" t="inlineStr">
        <is>
          <t>30592</t>
        </is>
      </c>
      <c r="B30748" s="4" t="s">
        <f>=HYPERLINK("http://anyluxury.ru/shop/prazdnik/den-politsii-militsii-10-noyabrya/oblozhka-dlya-pasporta-twill-sinyaya-669640/" , "6696.40 Обложка для паспорта Twill, синяя")</f>
      </c>
      <c r="C30748" s="4" t="n">
        <v>319.00</v>
      </c>
      <c r="D30748" s="4"/>
    </row>
    <row collapsed="" customFormat="false" customHeight="1" hidden="" ht="14" outlineLevel="0" r="30749">
      <c r="A30749" s="3" t="inlineStr">
        <is>
          <t>30593</t>
        </is>
      </c>
      <c r="B30749" s="4" t="s">
        <f>=HYPERLINK("http://anyluxury.ru/shop/prazdnik/den-politsii-militsii-10-noyabrya/fleshka-kripteksr-ver2-usb-30-32-gb-512702/" , "5127.02 Флешка «Криптекс»®, ver.2, USB 3.0, 32 Гб")</f>
      </c>
      <c r="C30749" s="4" t="n">
        <v>3890.00</v>
      </c>
      <c r="D30749" s="4"/>
    </row>
    <row collapsed="" customFormat="false" customHeight="1" hidden="" ht="14" outlineLevel="0" r="30750">
      <c r="A30750" s="3" t="inlineStr">
        <is>
          <t>30594</t>
        </is>
      </c>
      <c r="B30750" s="4" t="s">
        <f>=HYPERLINK("http://anyluxury.ru/shop/prazdnik/den-politsii-militsii-10-noyabrya/nagrada-tochka-opori-778800/" , "7788.00 Награда «Точка опоры»")</f>
      </c>
      <c r="C30750" s="4" t="n">
        <v>4367.00</v>
      </c>
      <c r="D30750" s="4"/>
    </row>
    <row collapsed="" customFormat="false" customHeight="" hidden="" ht="12.1" outlineLevel="0" r="30751">
      <c r="A30751" s="5" t="inlineStr">
        <is>
          <t> -  - День России 12 июня</t>
        </is>
      </c>
      <c r="B30751" s="6"/>
      <c r="C30751" s="6"/>
      <c r="D30751" s="6"/>
    </row>
    <row collapsed="" customFormat="false" customHeight="1" hidden="" ht="14" outlineLevel="0" r="30752">
      <c r="A30752" s="3" t="inlineStr">
        <is>
          <t>30595</t>
        </is>
      </c>
      <c r="B30752" s="4" t="s">
        <f>=HYPERLINK("http://anyluxury.ru/shop/prazdnik/den-rossii-12-iyunya/kniga-vlast-i-politika-3724/" , "3724 Книга «Власть и политика»")</f>
      </c>
      <c r="C30752" s="4" t="n">
        <v>14900.00</v>
      </c>
      <c r="D30752" s="4"/>
    </row>
    <row collapsed="" customFormat="false" customHeight="1" hidden="" ht="14" outlineLevel="0" r="30753">
      <c r="A30753" s="3" t="inlineStr">
        <is>
          <t>30596</t>
        </is>
      </c>
      <c r="B30753" s="4" t="s">
        <f>=HYPERLINK("http://anyluxury.ru/shop/prazdnik/den-rossii-12-iyunya/fleshka-bamboo-16-gb-468816/" , "4688.16 Флешка Bamboo, 16 Гб")</f>
      </c>
      <c r="C30753" s="4" t="n">
        <v>799.00</v>
      </c>
      <c r="D30753" s="4"/>
    </row>
    <row collapsed="" customFormat="false" customHeight="1" hidden="" ht="14" outlineLevel="0" r="30754">
      <c r="A30754" s="3" t="inlineStr">
        <is>
          <t>30597</t>
        </is>
      </c>
      <c r="B30754" s="4" t="s">
        <f>=HYPERLINK("http://anyluxury.ru/shop/prazdnik/den-rossii-12-iyunya/oficerskiy-nozh-huntsman-91-prozrachniy-serebristiy-772715/" , "7727.15 Офицерский нож Huntsman 91, прозрачный серебристый")</f>
      </c>
      <c r="C30754" s="4" t="n">
        <v>8580.00</v>
      </c>
      <c r="D30754" s="4"/>
    </row>
    <row collapsed="" customFormat="false" customHeight="1" hidden="" ht="14" outlineLevel="0" r="30755">
      <c r="A30755" s="3" t="inlineStr">
        <is>
          <t>30598</t>
        </is>
      </c>
      <c r="B30755" s="4" t="s">
        <f>=HYPERLINK("http://anyluxury.ru/shop/prazdnik/den-rossii-12-iyunya/chehol-dlya-kartochek-dorset-siniy-1094340/" , "10943.40 Чехол для карточек Dorset, синий")</f>
      </c>
      <c r="C30755" s="4" t="n">
        <v>295.00</v>
      </c>
      <c r="D30755" s="4"/>
    </row>
    <row collapsed="" customFormat="false" customHeight="1" hidden="" ht="14" outlineLevel="0" r="30756">
      <c r="A30756" s="3" t="inlineStr">
        <is>
          <t>30599</t>
        </is>
      </c>
      <c r="B30756" s="4" t="s">
        <f>=HYPERLINK("http://anyluxury.ru/shop/prazdnik/den-rossii-12-iyunya/ryukzak-rider-yarkosiniy-386444/" , "3864.44 Рюкзак Rider, ярко-синий")</f>
      </c>
      <c r="C30756" s="4" t="n">
        <v>1194.00</v>
      </c>
      <c r="D30756" s="4"/>
    </row>
    <row collapsed="" customFormat="false" customHeight="1" hidden="" ht="14" outlineLevel="0" r="30757">
      <c r="A30757" s="3" t="inlineStr">
        <is>
          <t>30600</t>
        </is>
      </c>
      <c r="B30757" s="4" t="s">
        <f>=HYPERLINK("http://anyluxury.ru/shop/prazdnik/den-rossii-12-iyunya/lenta-dlya-medali-champ-trikolor-1551345/" , "15513.45 Лента с карабином Champ, триколор")</f>
      </c>
      <c r="C30757" s="4" t="n">
        <v>26.00</v>
      </c>
      <c r="D30757" s="4"/>
    </row>
    <row collapsed="" customFormat="false" customHeight="1" hidden="" ht="14" outlineLevel="0" r="30758">
      <c r="A30758" s="3" t="inlineStr">
        <is>
          <t>30601</t>
        </is>
      </c>
      <c r="B30758" s="4" t="s">
        <f>=HYPERLINK("http://anyluxury.ru/shop/prazdnik/den-rossii-12-iyunya/brelok-flagsta-trikolor-15689/" , "15689 Брелок Flagsta, триколор")</f>
      </c>
      <c r="C30758" s="4" t="n">
        <v>219.00</v>
      </c>
      <c r="D30758" s="4"/>
    </row>
    <row collapsed="" customFormat="false" customHeight="" hidden="" ht="12.1" outlineLevel="0" r="30759">
      <c r="A30759" s="5" t="inlineStr">
        <is>
          <t> -  - День строителя</t>
        </is>
      </c>
      <c r="B30759" s="6"/>
      <c r="C30759" s="6"/>
      <c r="D30759" s="6"/>
    </row>
    <row collapsed="" customFormat="false" customHeight="1" hidden="" ht="14" outlineLevel="0" r="30760">
      <c r="A30760" s="3" t="inlineStr">
        <is>
          <t>30602</t>
        </is>
      </c>
      <c r="B30760" s="4" t="s">
        <f>=HYPERLINK("http://anyluxury.ru/shop/prazdnik/den-stroitelya/zhilet-worker-yarkosiniy-542444/" , "5424.44 Жилет WORKER ярко-синий, размер S")</f>
      </c>
      <c r="C30760" s="4" t="n">
        <v>3200.00</v>
      </c>
      <c r="D30760" s="4"/>
    </row>
    <row collapsed="" customFormat="false" customHeight="1" hidden="" ht="14" outlineLevel="0" r="30761">
      <c r="A30761" s="3" t="inlineStr">
        <is>
          <t>30603</t>
        </is>
      </c>
      <c r="B30761" s="4" t="s">
        <f>=HYPERLINK("http://anyluxury.ru/shop/prazdnik/den-stroitelya/zhilet-worker-yarkosiniy-542444/" , "5424.44 Жилет WORKER ярко-синий, размер M")</f>
      </c>
      <c r="C30761" s="4" t="n">
        <v>3200.00</v>
      </c>
      <c r="D30761" s="4"/>
    </row>
    <row collapsed="" customFormat="false" customHeight="1" hidden="" ht="14" outlineLevel="0" r="30762">
      <c r="A30762" s="3" t="inlineStr">
        <is>
          <t>30604</t>
        </is>
      </c>
      <c r="B30762" s="4" t="s">
        <f>=HYPERLINK("http://anyluxury.ru/shop/prazdnik/den-stroitelya/zhilet-worker-krasniy-542450/" , "5424.50 Жилет WORKER красный, размер S")</f>
      </c>
      <c r="C30762" s="4" t="n">
        <v>3197.00</v>
      </c>
      <c r="D30762" s="4"/>
    </row>
    <row collapsed="" customFormat="false" customHeight="1" hidden="" ht="14" outlineLevel="0" r="30763">
      <c r="A30763" s="3" t="inlineStr">
        <is>
          <t>30605</t>
        </is>
      </c>
      <c r="B30763" s="4" t="s">
        <f>=HYPERLINK("http://anyluxury.ru/shop/prazdnik/den-stroitelya/zhilet-worker-krasniy-542450/" , "5424.50 Жилет WORKER красный, размер XL")</f>
      </c>
      <c r="C30763" s="4" t="n">
        <v>3197.00</v>
      </c>
      <c r="D30763" s="4"/>
    </row>
    <row collapsed="" customFormat="false" customHeight="1" hidden="" ht="14" outlineLevel="0" r="30764">
      <c r="A30764" s="3" t="inlineStr">
        <is>
          <t>30606</t>
        </is>
      </c>
      <c r="B30764" s="4" t="s">
        <f>=HYPERLINK("http://anyluxury.ru/shop/prazdnik/den-stroitelya/fonarik-aurora-cherniy-385530/" , "3855.30 Фонарик Aurora, черный")</f>
      </c>
      <c r="C30764" s="4" t="n">
        <v>295.00</v>
      </c>
      <c r="D30764" s="4"/>
    </row>
    <row collapsed="" customFormat="false" customHeight="1" hidden="" ht="14" outlineLevel="0" r="30765">
      <c r="A30765" s="3" t="inlineStr">
        <is>
          <t>30607</t>
        </is>
      </c>
      <c r="B30765" s="4" t="s">
        <f>=HYPERLINK("http://anyluxury.ru/shop/prazdnik/den-stroitelya/fonarik-aurora-krasniy-385550/" , "3855.50 Фонарик Aurora, красный")</f>
      </c>
      <c r="C30765" s="4" t="n">
        <v>295.00</v>
      </c>
      <c r="D30765" s="4"/>
    </row>
    <row collapsed="" customFormat="false" customHeight="1" hidden="" ht="14" outlineLevel="0" r="30766">
      <c r="A30766" s="3" t="inlineStr">
        <is>
          <t>30608</t>
        </is>
      </c>
      <c r="B30766" s="4" t="s">
        <f>=HYPERLINK("http://anyluxury.ru/shop/prazdnik/den-stroitelya/fonarik-aurora-siniy-385540/" , "3855.40 Фонарик Aurora, синий")</f>
      </c>
      <c r="C30766" s="4" t="n">
        <v>295.00</v>
      </c>
      <c r="D30766" s="4"/>
    </row>
    <row collapsed="" customFormat="false" customHeight="1" hidden="" ht="14" outlineLevel="0" r="30767">
      <c r="A30767" s="3" t="inlineStr">
        <is>
          <t>30609</t>
        </is>
      </c>
      <c r="B30767" s="4" t="s">
        <f>=HYPERLINK("http://anyluxury.ru/shop/prazdnik/den-stroitelya/fonarik-aurora-serebristiy-385510/" , "3855.10 Фонарик Aurora, серебристый")</f>
      </c>
      <c r="C30767" s="4" t="n">
        <v>295.00</v>
      </c>
      <c r="D30767" s="4"/>
    </row>
    <row collapsed="" customFormat="false" customHeight="1" hidden="" ht="14" outlineLevel="0" r="30768">
      <c r="A30768" s="3" t="inlineStr">
        <is>
          <t>30610</t>
        </is>
      </c>
      <c r="B30768" s="4" t="s">
        <f>=HYPERLINK("http://anyluxury.ru/shop/prazdnik/den-stroitelya/nabor-handmaster-fonarik-i-multitul-siniy-349540/" , "3495.40 Набор Handmaster: фонарик и мультитул, синий")</f>
      </c>
      <c r="C30768" s="4" t="n">
        <v>1692.00</v>
      </c>
      <c r="D30768" s="4"/>
    </row>
    <row collapsed="" customFormat="false" customHeight="1" hidden="" ht="14" outlineLevel="0" r="30769">
      <c r="A30769" s="3" t="inlineStr">
        <is>
          <t>30611</t>
        </is>
      </c>
      <c r="B30769" s="4" t="s">
        <f>=HYPERLINK("http://anyluxury.ru/shop/prazdnik/den-stroitelya/podstavka-pod-kruzhku-sofatop-korichnevaya-762059/" , "7620.59 Подставка под кружку Sofatop, коричневая")</f>
      </c>
      <c r="C30769" s="4" t="n">
        <v>390.00</v>
      </c>
      <c r="D30769" s="4"/>
    </row>
    <row collapsed="" customFormat="false" customHeight="1" hidden="" ht="14" outlineLevel="0" r="30770">
      <c r="A30770" s="3" t="inlineStr">
        <is>
          <t>30612</t>
        </is>
      </c>
      <c r="B30770" s="4" t="s">
        <f>=HYPERLINK("http://anyluxury.ru/shop/prazdnik/den-stroitelya/kamni-dlya-viski-whisky-stones-5582/" , "5582 Камни для виски Whisky Stones")</f>
      </c>
      <c r="C30770" s="4" t="n">
        <v>800.00</v>
      </c>
      <c r="D30770" s="4"/>
    </row>
    <row collapsed="" customFormat="false" customHeight="1" hidden="" ht="14" outlineLevel="0" r="30771">
      <c r="A30771" s="3" t="inlineStr">
        <is>
          <t>30613</t>
        </is>
      </c>
      <c r="B30771" s="4" t="s">
        <f>=HYPERLINK("http://anyluxury.ru/shop/prazdnik/den-stroitelya/holshhovaya-sumka-architectonic-yarkosinyaya-7035144/" , "70351.44 Холщовая сумка Architectonic, ярко-синяя")</f>
      </c>
      <c r="C30771" s="4" t="n">
        <v>549.00</v>
      </c>
      <c r="D30771" s="4"/>
    </row>
    <row collapsed="" customFormat="false" customHeight="1" hidden="" ht="14" outlineLevel="0" r="30772">
      <c r="A30772" s="3" t="inlineStr">
        <is>
          <t>30614</t>
        </is>
      </c>
      <c r="B30772" s="4" t="s">
        <f>=HYPERLINK("http://anyluxury.ru/shop/prazdnik/den-stroitelya/pled-foreman-1182600/" , "11826.00 Плед Industry, строительство")</f>
      </c>
      <c r="C30772" s="4" t="n">
        <v>4895.00</v>
      </c>
      <c r="D30772" s="4"/>
    </row>
    <row collapsed="" customFormat="false" customHeight="1" hidden="" ht="14" outlineLevel="0" r="30773">
      <c r="A30773" s="3" t="inlineStr">
        <is>
          <t>30615</t>
        </is>
      </c>
      <c r="B30773" s="4" t="s">
        <f>=HYPERLINK("http://anyluxury.ru/shop/prazdnik/den-stroitelya/ezhednevnik-unity-nedatirovanniy-seriy-7127010/" , "71270.10 Ежедневник Unity, недатированный, серый")</f>
      </c>
      <c r="C30773" s="4" t="n">
        <v>900.00</v>
      </c>
      <c r="D30773" s="4"/>
    </row>
    <row collapsed="" customFormat="false" customHeight="1" hidden="" ht="14" outlineLevel="0" r="30774">
      <c r="A30774" s="3" t="inlineStr">
        <is>
          <t>30616</t>
        </is>
      </c>
      <c r="B30774" s="4" t="s">
        <f>=HYPERLINK("http://anyluxury.ru/shop/prazdnik/den-stroitelya/futlyar-dlya-vizitok-unity-7127210/" , "71272.10 Футляр для визиток Unity")</f>
      </c>
      <c r="C30774" s="4" t="n">
        <v>419.00</v>
      </c>
      <c r="D30774" s="4"/>
    </row>
    <row collapsed="" customFormat="false" customHeight="1" hidden="" ht="14" outlineLevel="0" r="30775">
      <c r="A30775" s="3" t="inlineStr">
        <is>
          <t>30617</t>
        </is>
      </c>
      <c r="B30775" s="4" t="s">
        <f>=HYPERLINK("http://anyluxury.ru/shop/prazdnik/den-stroitelya/nabor-lichnih-aksessuarov-industry-stroitelstvo-7143112/" , "71431.12 Набор личных аксессуаров Industry, строительство")</f>
      </c>
      <c r="C30775" s="4" t="n">
        <v>1651.00</v>
      </c>
      <c r="D30775" s="4"/>
    </row>
    <row collapsed="" customFormat="false" customHeight="1" hidden="" ht="14" outlineLevel="0" r="30776">
      <c r="A30776" s="3" t="inlineStr">
        <is>
          <t>30618</t>
        </is>
      </c>
      <c r="B30776" s="4" t="s">
        <f>=HYPERLINK("http://anyluxury.ru/shop/prazdnik/den-stroitelya/shevron-na-lipuchke-masterok-1823501/" , "18235.01 Шеврон на липучке «Мастерок»")</f>
      </c>
      <c r="C30776" s="4" t="n">
        <v>202.00</v>
      </c>
      <c r="D30776" s="4"/>
    </row>
    <row collapsed="" customFormat="false" customHeight="1" hidden="" ht="14" outlineLevel="0" r="30777">
      <c r="A30777" s="3" t="inlineStr">
        <is>
          <t>30619</t>
        </is>
      </c>
      <c r="B30777" s="4" t="s">
        <f>=HYPERLINK("http://anyluxury.ru/shop/prazdnik/den-stroitelya/shevron-na-lipuchke-zhbi-1823503/" , "18235.03 Шеврон на липучке «ЖБИ»")</f>
      </c>
      <c r="C30777" s="4" t="n">
        <v>202.00</v>
      </c>
      <c r="D30777" s="4"/>
    </row>
    <row collapsed="" customFormat="false" customHeight="1" hidden="" ht="14" outlineLevel="0" r="30778">
      <c r="A30778" s="3" t="inlineStr">
        <is>
          <t>30620</t>
        </is>
      </c>
      <c r="B30778" s="4" t="s">
        <f>=HYPERLINK("http://anyluxury.ru/shop/prazdnik/den-stroitelya/ezhednevnik-industry-stroitelstvo-7163612/" , "71636.12 Ежедневник Industry, строительство")</f>
      </c>
      <c r="C30778" s="4" t="n">
        <v>605.00</v>
      </c>
      <c r="D30778" s="4"/>
    </row>
    <row collapsed="" customFormat="false" customHeight="1" hidden="" ht="14" outlineLevel="0" r="30779">
      <c r="A30779" s="3" t="inlineStr">
        <is>
          <t>30621</t>
        </is>
      </c>
      <c r="B30779" s="4" t="s">
        <f>=HYPERLINK("http://anyluxury.ru/shop/prazdnik/den-stroitelya/vechniy-karandash-construction-endless-serebristiy-1557710/" , "15577.10 Вечный карандаш Construction Endless, серебристый")</f>
      </c>
      <c r="C30779" s="4" t="n">
        <v>997.00</v>
      </c>
      <c r="D30779" s="4"/>
    </row>
    <row collapsed="" customFormat="false" customHeight="1" hidden="" ht="14" outlineLevel="0" r="30780">
      <c r="A30780" s="3" t="inlineStr">
        <is>
          <t>30622</t>
        </is>
      </c>
      <c r="B30780" s="4" t="s">
        <f>=HYPERLINK("http://anyluxury.ru/shop/prazdnik/den-stroitelya/vechniy-karandash-construction-endless-cherniy-1557730/" , "15577.30 Вечный карандаш Construction Endless, черный")</f>
      </c>
      <c r="C30780" s="4" t="n">
        <v>997.00</v>
      </c>
      <c r="D30780" s="4"/>
    </row>
    <row collapsed="" customFormat="false" customHeight="1" hidden="" ht="14" outlineLevel="0" r="30781">
      <c r="A30781" s="3" t="inlineStr">
        <is>
          <t>30623</t>
        </is>
      </c>
      <c r="B30781" s="4" t="s">
        <f>=HYPERLINK("http://anyluxury.ru/shop/prazdnik/den-stroitelya/shokolad-industry-stroitelstvo-1550007/" , "15500.07 Шоколад Industry, строительство")</f>
      </c>
      <c r="C30781" s="4" t="n">
        <v>255.00</v>
      </c>
      <c r="D30781" s="4"/>
    </row>
    <row collapsed="" customFormat="false" customHeight="1" hidden="" ht="14" outlineLevel="0" r="30782">
      <c r="A30782" s="3" t="inlineStr">
        <is>
          <t>30624</t>
        </is>
      </c>
      <c r="B30782" s="4" t="s">
        <f>=HYPERLINK("http://anyluxury.ru/shop/prazdnik/den-stroitelya/vechniy-karandash-construction-endless-krasniy-1557750/" , "15577.50 Вечный карандаш Construction Endless, красный")</f>
      </c>
      <c r="C30782" s="4" t="n">
        <v>997.00</v>
      </c>
      <c r="D30782" s="4"/>
    </row>
    <row collapsed="" customFormat="false" customHeight="1" hidden="" ht="14" outlineLevel="0" r="30783">
      <c r="A30783" s="3" t="inlineStr">
        <is>
          <t>30625</t>
        </is>
      </c>
      <c r="B30783" s="4" t="s">
        <f>=HYPERLINK("http://anyluxury.ru/shop/prazdnik/den-stroitelya/vechniy-karandash-construction-endless-temnosiniy-1557740/" , "15577.40 Вечный карандаш Construction Endless, темно-синий")</f>
      </c>
      <c r="C30783" s="4" t="n">
        <v>997.00</v>
      </c>
      <c r="D30783" s="4"/>
    </row>
    <row collapsed="" customFormat="false" customHeight="" hidden="" ht="12.1" outlineLevel="0" r="30784">
      <c r="A30784" s="5" t="inlineStr">
        <is>
          <t> -  - День учителя</t>
        </is>
      </c>
      <c r="B30784" s="6"/>
      <c r="C30784" s="6"/>
      <c r="D30784" s="6"/>
    </row>
    <row collapsed="" customFormat="false" customHeight="1" hidden="" ht="14" outlineLevel="0" r="30785">
      <c r="A30785" s="3" t="inlineStr">
        <is>
          <t>30626</t>
        </is>
      </c>
      <c r="B30785" s="4" t="s">
        <f>=HYPERLINK("http://anyluxury.ru/shop/prazdnik/den-uchitelya/ezhednevnik-brand-nedatirovanniy-oranzheviy-264520/" , "2645.20 Ежедневник Brand, недатированный, оранжевый")</f>
      </c>
      <c r="C30785" s="4" t="n">
        <v>659.00</v>
      </c>
      <c r="D30785" s="4"/>
    </row>
    <row collapsed="" customFormat="false" customHeight="1" hidden="" ht="14" outlineLevel="0" r="30786">
      <c r="A30786" s="3" t="inlineStr">
        <is>
          <t>30627</t>
        </is>
      </c>
      <c r="B30786" s="4" t="s">
        <f>=HYPERLINK("http://anyluxury.ru/shop/prazdnik/den-uchitelya/ruchka-sharikovaya-palermo-v-futlyare-5534/" , "5534 Ручка шариковая Palermo в футляре")</f>
      </c>
      <c r="C30786" s="4" t="n">
        <v>3360.00</v>
      </c>
      <c r="D30786" s="4"/>
    </row>
    <row collapsed="" customFormat="false" customHeight="1" hidden="" ht="14" outlineLevel="0" r="30787">
      <c r="A30787" s="3" t="inlineStr">
        <is>
          <t>30628</t>
        </is>
      </c>
      <c r="B30787" s="4" t="s">
        <f>=HYPERLINK("http://anyluxury.ru/shop/prazdnik/den-uchitelya/zonttrost-spektr-krasniy-538055/" , "5380.55 Зонт-трость «Спектр», красный")</f>
      </c>
      <c r="C30787" s="4" t="n">
        <v>1589.00</v>
      </c>
      <c r="D30787" s="4"/>
    </row>
    <row collapsed="" customFormat="false" customHeight="1" hidden="" ht="14" outlineLevel="0" r="30788">
      <c r="A30788" s="3" t="inlineStr">
        <is>
          <t>30629</t>
        </is>
      </c>
      <c r="B30788" s="4" t="s">
        <f>=HYPERLINK("http://anyluxury.ru/shop/prazdnik/den-uchitelya/igrushka-beastie-toys-mishka-s-belim-sharfom-1298801/" , "12988.01 Мягкая игрушка Beastie Toys, мишка с белым шарфом")</f>
      </c>
      <c r="C30788" s="4" t="n">
        <v>599.00</v>
      </c>
      <c r="D30788" s="4"/>
    </row>
    <row collapsed="" customFormat="false" customHeight="1" hidden="" ht="14" outlineLevel="0" r="30789">
      <c r="A30789" s="3" t="inlineStr">
        <is>
          <t>30630</t>
        </is>
      </c>
      <c r="B30789" s="4" t="s">
        <f>=HYPERLINK("http://anyluxury.ru/shop/prazdnik/den-uchitelya/igrushka-beastie-toys-zayac-s-belim-sharfom-1298901/" , "12989.01 Мягкая игрушка Beastie Toys, заяц с белым шарфом")</f>
      </c>
      <c r="C30789" s="4" t="n">
        <v>599.00</v>
      </c>
      <c r="D30789" s="4"/>
    </row>
    <row collapsed="" customFormat="false" customHeight="1" hidden="" ht="14" outlineLevel="0" r="30790">
      <c r="A30790" s="3" t="inlineStr">
        <is>
          <t>30631</t>
        </is>
      </c>
      <c r="B30790" s="4" t="s">
        <f>=HYPERLINK("http://anyluxury.ru/shop/prazdnik/den-uchitelya/chehol-dlya-kartochki-industry-nauka-7151011/" , "71510.11 Чехол для карточки Industry, наука и искусство")</f>
      </c>
      <c r="C30790" s="4" t="n">
        <v>250.00</v>
      </c>
      <c r="D30790" s="4"/>
    </row>
    <row collapsed="" customFormat="false" customHeight="1" hidden="" ht="14" outlineLevel="0" r="30791">
      <c r="A30791" s="3" t="inlineStr">
        <is>
          <t>30632</t>
        </is>
      </c>
      <c r="B30791" s="4" t="s">
        <f>=HYPERLINK("http://anyluxury.ru/shop/prazdnik/den-uchitelya/shevron-na-lipuchke-trigonometriya-1823202/" , "18232.02 Шеврон на липучке «Тригонометрия»")</f>
      </c>
      <c r="C30791" s="4" t="n">
        <v>202.00</v>
      </c>
      <c r="D30791" s="4"/>
    </row>
    <row collapsed="" customFormat="false" customHeight="1" hidden="" ht="14" outlineLevel="0" r="30792">
      <c r="A30792" s="3" t="inlineStr">
        <is>
          <t>30633</t>
        </is>
      </c>
      <c r="B30792" s="4" t="s">
        <f>=HYPERLINK("http://anyluxury.ru/shop/prazdnik/den-uchitelya/shevron-na-lipuchke-ot-a-do-ya-1823203/" , "18232.03 Шеврон на липучке «От А до Я»")</f>
      </c>
      <c r="C30792" s="4" t="n">
        <v>202.00</v>
      </c>
      <c r="D30792" s="4"/>
    </row>
    <row collapsed="" customFormat="false" customHeight="1" hidden="" ht="14" outlineLevel="0" r="30793">
      <c r="A30793" s="3" t="inlineStr">
        <is>
          <t>30634</t>
        </is>
      </c>
      <c r="B30793" s="4" t="s">
        <f>=HYPERLINK("http://anyluxury.ru/shop/prazdnik/den-uchitelya/ezhednevnik-industry-nauka-i-iskusstvo-7163611/" , "71636.11 Ежедневник Industry, наука и искусство")</f>
      </c>
      <c r="C30793" s="4" t="n">
        <v>605.00</v>
      </c>
      <c r="D30793" s="4"/>
    </row>
    <row collapsed="" customFormat="false" customHeight="" hidden="" ht="12.1" outlineLevel="0" r="30794">
      <c r="A30794" s="5" t="inlineStr">
        <is>
          <t> -  - День химика</t>
        </is>
      </c>
      <c r="B30794" s="6"/>
      <c r="C30794" s="6"/>
      <c r="D30794" s="6"/>
    </row>
    <row collapsed="" customFormat="false" customHeight="1" hidden="" ht="14" outlineLevel="0" r="30795">
      <c r="A30795" s="3" t="inlineStr">
        <is>
          <t>30635</t>
        </is>
      </c>
      <c r="B30795" s="4" t="s">
        <f>=HYPERLINK("http://anyluxury.ru/shop/prazdnik/den-khimika/ezhednevnik-nebraska-nedatirovanniy-zeleniy-287990/" , "2879.90 Ежедневник Nebraska, недатированный, зеленый")</f>
      </c>
      <c r="C30795" s="4" t="n">
        <v>687.00</v>
      </c>
      <c r="D30795" s="4"/>
    </row>
    <row collapsed="" customFormat="false" customHeight="1" hidden="" ht="14" outlineLevel="0" r="30796">
      <c r="A30796" s="3" t="inlineStr">
        <is>
          <t>30636</t>
        </is>
      </c>
      <c r="B30796" s="4" t="s">
        <f>=HYPERLINK("http://anyluxury.ru/shop/prazdnik/den-khimika/beysbolka-unit-standard-yarkozelenaya-184791/" , "1847.91 Бейсболка Unit Standard, ярко-зеленая")</f>
      </c>
      <c r="C30796" s="4" t="n">
        <v>340.00</v>
      </c>
      <c r="D30796" s="4"/>
    </row>
    <row collapsed="" customFormat="false" customHeight="1" hidden="" ht="14" outlineLevel="0" r="30797">
      <c r="A30797" s="3" t="inlineStr">
        <is>
          <t>30637</t>
        </is>
      </c>
      <c r="B30797" s="4" t="s">
        <f>=HYPERLINK("http://anyluxury.ru/shop/prazdnik/den-khimika/polotence-atoll-large-beloe-664760/" , "6647.60 Спортивное полотенце Atoll Large, белое")</f>
      </c>
      <c r="C30797" s="4" t="n">
        <v>1742.00</v>
      </c>
      <c r="D30797" s="4"/>
    </row>
    <row collapsed="" customFormat="false" customHeight="1" hidden="" ht="14" outlineLevel="0" r="30798">
      <c r="A30798" s="3" t="inlineStr">
        <is>
          <t>30638</t>
        </is>
      </c>
      <c r="B30798" s="4" t="s">
        <f>=HYPERLINK("http://anyluxury.ru/shop/prazdnik/den-khimika/polotence-atoll-large-chernoe-664730/" , "6647.30 Спортивное полотенце Atoll Large, черное")</f>
      </c>
      <c r="C30798" s="4" t="n">
        <v>1741.00</v>
      </c>
      <c r="D30798" s="4"/>
    </row>
    <row collapsed="" customFormat="false" customHeight="1" hidden="" ht="14" outlineLevel="0" r="30799">
      <c r="A30799" s="3" t="inlineStr">
        <is>
          <t>30639</t>
        </is>
      </c>
      <c r="B30799" s="4" t="s">
        <f>=HYPERLINK("http://anyluxury.ru/shop/prazdnik/den-khimika/polotence-atoll-large-sinee-664740/" , "6647.40 Спортивное полотенце Atoll Large, синее")</f>
      </c>
      <c r="C30799" s="4" t="n">
        <v>1742.00</v>
      </c>
      <c r="D30799" s="4"/>
    </row>
    <row collapsed="" customFormat="false" customHeight="1" hidden="" ht="14" outlineLevel="0" r="30800">
      <c r="A30800" s="3" t="inlineStr">
        <is>
          <t>30640</t>
        </is>
      </c>
      <c r="B30800" s="4" t="s">
        <f>=HYPERLINK("http://anyluxury.ru/shop/prazdnik/den-khimika/termostakan-gems-black-sapphire-cherniy-sapfir-190734/" , "1907.34 Термостакан Gems Black Sapphire, черный сапфир")</f>
      </c>
      <c r="C30800" s="4" t="n">
        <v>1436.00</v>
      </c>
      <c r="D30800" s="4"/>
    </row>
    <row collapsed="" customFormat="false" customHeight="1" hidden="" ht="14" outlineLevel="0" r="30801">
      <c r="A30801" s="3" t="inlineStr">
        <is>
          <t>30641</t>
        </is>
      </c>
      <c r="B30801" s="4" t="s">
        <f>=HYPERLINK("http://anyluxury.ru/shop/prazdnik/den-khimika/binokulyarniy-mikroskop-1st-13607/" , "13607 Бинокулярный микроскоп 1ST")</f>
      </c>
      <c r="C30801" s="4" t="n">
        <v>7290.00</v>
      </c>
      <c r="D30801" s="4"/>
    </row>
    <row collapsed="" customFormat="false" customHeight="1" hidden="" ht="14" outlineLevel="0" r="30802">
      <c r="A30802" s="3" t="inlineStr">
        <is>
          <t>30642</t>
        </is>
      </c>
      <c r="B30802" s="4" t="s">
        <f>=HYPERLINK("http://anyluxury.ru/shop/prazdnik/den-khimika/cifrovoy-mikroskop-dtx-30-14691/" , "14691 Цифровой микроскоп DTX 30")</f>
      </c>
      <c r="C30802" s="4" t="n">
        <v>9490.00</v>
      </c>
      <c r="D30802" s="4"/>
    </row>
    <row collapsed="" customFormat="false" customHeight="1" hidden="" ht="14" outlineLevel="0" r="30803">
      <c r="A30803" s="3" t="inlineStr">
        <is>
          <t>30643</t>
        </is>
      </c>
      <c r="B30803" s="4" t="s">
        <f>=HYPERLINK("http://anyluxury.ru/shop/prazdnik/den-khimika/osvezhayushhie-konfeti-polar-express-ver-2-arkticheskaya-myata-siniy-1246640/" , "12466.40 Освежающие конфеты Polar Express, ver. 2, арктическая мята, синий")</f>
      </c>
      <c r="C30803" s="4" t="n">
        <v>95.00</v>
      </c>
      <c r="D30803" s="4"/>
    </row>
    <row collapsed="" customFormat="false" customHeight="" hidden="" ht="12.1" outlineLevel="0" r="30804">
      <c r="A30804" s="5" t="inlineStr">
        <is>
          <t> -  - День шахтера</t>
        </is>
      </c>
      <c r="B30804" s="6"/>
      <c r="C30804" s="6"/>
      <c r="D30804" s="6"/>
    </row>
    <row collapsed="" customFormat="false" customHeight="1" hidden="" ht="14" outlineLevel="0" r="30805">
      <c r="A30805" s="3" t="inlineStr">
        <is>
          <t>30644</t>
        </is>
      </c>
      <c r="B30805" s="4" t="s">
        <f>=HYPERLINK("http://anyluxury.ru/shop/prazdnik/den-shakhtera/chasi-palmoviy-ray-iz-yashmi-s-bronzoy-z0145/" , "Z0145 Часы «Пальмовый рай» из яшмы с бронзой")</f>
      </c>
      <c r="C30805" s="4" t="n">
        <v>9990.00</v>
      </c>
      <c r="D30805" s="4"/>
    </row>
    <row collapsed="" customFormat="false" customHeight="1" hidden="" ht="14" outlineLevel="0" r="30806">
      <c r="A30806" s="3" t="inlineStr">
        <is>
          <t>30645</t>
        </is>
      </c>
      <c r="B30806" s="4" t="s">
        <f>=HYPERLINK("http://anyluxury.ru/shop/prazdnik/den-shakhtera/termostakan-solingen-vakuumniy-germetichniy-serebristiy-517510/" , "5175.10 Термостакан Solingen, вакуумный, герметичный, серебристый")</f>
      </c>
      <c r="C30806" s="4" t="n">
        <v>1409.00</v>
      </c>
      <c r="D30806" s="4"/>
    </row>
    <row collapsed="" customFormat="false" customHeight="1" hidden="" ht="14" outlineLevel="0" r="30807">
      <c r="A30807" s="3" t="inlineStr">
        <is>
          <t>30646</t>
        </is>
      </c>
      <c r="B30807" s="4" t="s">
        <f>=HYPERLINK("http://anyluxury.ru/shop/prazdnik/den-shakhtera/kurtka-muzhskaya-nova-men-200-chernaya-s-yarkogolubim-584934/" , "5849.34 Куртка мужская NOVA MEN 200, черная с ярко-голубым, размер S")</f>
      </c>
      <c r="C30807" s="4" t="n">
        <v>2334.00</v>
      </c>
      <c r="D30807" s="4"/>
    </row>
    <row collapsed="" customFormat="false" customHeight="1" hidden="" ht="14" outlineLevel="0" r="30808">
      <c r="A30808" s="3" t="inlineStr">
        <is>
          <t>30647</t>
        </is>
      </c>
      <c r="B30808" s="4" t="s">
        <f>=HYPERLINK("http://anyluxury.ru/shop/prazdnik/den-shakhtera/vneshniy-akkumulyator-pebble-5200-mach-seriy-562210/" , "5622.10 Внешний аккумулятор Pebble 5200 мАч, серый")</f>
      </c>
      <c r="C30808" s="4" t="n">
        <v>1890.00</v>
      </c>
      <c r="D30808" s="4"/>
    </row>
    <row collapsed="" customFormat="false" customHeight="1" hidden="" ht="14" outlineLevel="0" r="30809">
      <c r="A30809" s="3" t="inlineStr">
        <is>
          <t>30648</t>
        </is>
      </c>
      <c r="B30809" s="4" t="s">
        <f>=HYPERLINK("http://anyluxury.ru/shop/prazdnik/den-shakhtera/besprovodnaya-kolonka-uniscend-grinder-seraya-163510/" , "1635.10 Беспроводная колонка Uniscend Grinder, серая")</f>
      </c>
      <c r="C30809" s="4" t="n">
        <v>2490.00</v>
      </c>
      <c r="D30809" s="4"/>
    </row>
    <row collapsed="" customFormat="false" customHeight="1" hidden="" ht="14" outlineLevel="0" r="30810">
      <c r="A30810" s="3" t="inlineStr">
        <is>
          <t>30649</t>
        </is>
      </c>
      <c r="B30810" s="4" t="s">
        <f>=HYPERLINK("http://anyluxury.ru/shop/prazdnik/den-shakhtera/kurtka-muzhskaya-nova-men-200-temnoseraya-584910/" , "5849.10 Куртка мужская NOVA MEN 200 темно-серая, размер S")</f>
      </c>
      <c r="C30810" s="4" t="n">
        <v>2334.00</v>
      </c>
      <c r="D30810" s="4"/>
    </row>
    <row collapsed="" customFormat="false" customHeight="1" hidden="" ht="14" outlineLevel="0" r="30811">
      <c r="A30811" s="3" t="inlineStr">
        <is>
          <t>30650</t>
        </is>
      </c>
      <c r="B30811" s="4" t="s">
        <f>=HYPERLINK("http://anyluxury.ru/shop/prazdnik/den-shakhtera/kurtka-muzhskaya-nova-men-200-temnoseraya-584910/" , "5849.10 Куртка мужская NOVA MEN 200 темно-серая, размер M")</f>
      </c>
      <c r="C30811" s="4" t="n">
        <v>2334.00</v>
      </c>
      <c r="D30811" s="4"/>
    </row>
    <row collapsed="" customFormat="false" customHeight="1" hidden="" ht="14" outlineLevel="0" r="30812">
      <c r="A30812" s="3" t="inlineStr">
        <is>
          <t>30651</t>
        </is>
      </c>
      <c r="B30812" s="4" t="s">
        <f>=HYPERLINK("http://anyluxury.ru/shop/prazdnik/den-shakhtera/kurtka-muzhskaya-nova-men-200-temnoseraya-584910/" , "5849.10 Куртка мужская NOVA MEN 200 темно-серая, размер L")</f>
      </c>
      <c r="C30812" s="4" t="n">
        <v>2334.00</v>
      </c>
      <c r="D30812" s="4"/>
    </row>
    <row collapsed="" customFormat="false" customHeight="1" hidden="" ht="14" outlineLevel="0" r="30813">
      <c r="A30813" s="3" t="inlineStr">
        <is>
          <t>30652</t>
        </is>
      </c>
      <c r="B30813" s="4" t="s">
        <f>=HYPERLINK("http://anyluxury.ru/shop/prazdnik/den-shakhtera/kurtka-muzhskaya-nova-men-200-temnoseraya-584910/" , "5849.10 Куртка мужская NOVA MEN 200 темно-серая, размер XL")</f>
      </c>
      <c r="C30813" s="4" t="n">
        <v>2334.00</v>
      </c>
      <c r="D30813" s="4"/>
    </row>
    <row collapsed="" customFormat="false" customHeight="1" hidden="" ht="14" outlineLevel="0" r="30814">
      <c r="A30814" s="3" t="inlineStr">
        <is>
          <t>30653</t>
        </is>
      </c>
      <c r="B30814" s="4" t="s">
        <f>=HYPERLINK("http://anyluxury.ru/shop/prazdnik/den-shakhtera/kurtka-muzhskaya-nova-men-200-temnoseraya-584910/" , "5849.10 Куртка мужская NOVA MEN 200 темно-серая, размер XXL")</f>
      </c>
      <c r="C30814" s="4" t="n">
        <v>2334.00</v>
      </c>
      <c r="D30814" s="4"/>
    </row>
    <row collapsed="" customFormat="false" customHeight="1" hidden="" ht="14" outlineLevel="0" r="30815">
      <c r="A30815" s="3" t="inlineStr">
        <is>
          <t>30654</t>
        </is>
      </c>
      <c r="B30815" s="4" t="s">
        <f>=HYPERLINK("http://anyluxury.ru/shop/prazdnik/den-shakhtera/kurtka-muzhskaya-nova-men-200-temnoseraya-584910/" , "5849.10 Куртка мужская NOVA MEN 200 темно-серая, размер 3XL")</f>
      </c>
      <c r="C30815" s="4" t="n">
        <v>2749.00</v>
      </c>
      <c r="D30815" s="4"/>
    </row>
    <row collapsed="" customFormat="false" customHeight="1" hidden="" ht="14" outlineLevel="0" r="30816">
      <c r="A30816" s="3" t="inlineStr">
        <is>
          <t>30655</t>
        </is>
      </c>
      <c r="B30816" s="4" t="s">
        <f>=HYPERLINK("http://anyluxury.ru/shop/prazdnik/den-shakhtera/kurtka-muzhskaya-nova-men-200-chernaya-584930/" , "5849.30 Куртка мужская NOVA MEN 200 черная, размер S")</f>
      </c>
      <c r="C30816" s="4" t="n">
        <v>2334.00</v>
      </c>
      <c r="D30816" s="4"/>
    </row>
    <row collapsed="" customFormat="false" customHeight="1" hidden="" ht="14" outlineLevel="0" r="30817">
      <c r="A30817" s="3" t="inlineStr">
        <is>
          <t>30656</t>
        </is>
      </c>
      <c r="B30817" s="4" t="s">
        <f>=HYPERLINK("http://anyluxury.ru/shop/prazdnik/den-shakhtera/kurtka-muzhskaya-nova-men-200-chernaya-584930/" , "5849.30 Куртка мужская NOVA MEN 200 черная, размер M")</f>
      </c>
      <c r="C30817" s="4" t="n">
        <v>2334.00</v>
      </c>
      <c r="D30817" s="4"/>
    </row>
    <row collapsed="" customFormat="false" customHeight="1" hidden="" ht="14" outlineLevel="0" r="30818">
      <c r="A30818" s="3" t="inlineStr">
        <is>
          <t>30657</t>
        </is>
      </c>
      <c r="B30818" s="4" t="s">
        <f>=HYPERLINK("http://anyluxury.ru/shop/prazdnik/den-shakhtera/kurtka-muzhskaya-nova-men-200-chernaya-584930/" , "5849.30 Куртка мужская NOVA MEN 200 черная, размер L")</f>
      </c>
      <c r="C30818" s="4" t="n">
        <v>2334.00</v>
      </c>
      <c r="D30818" s="4"/>
    </row>
    <row collapsed="" customFormat="false" customHeight="1" hidden="" ht="14" outlineLevel="0" r="30819">
      <c r="A30819" s="3" t="inlineStr">
        <is>
          <t>30658</t>
        </is>
      </c>
      <c r="B30819" s="4" t="s">
        <f>=HYPERLINK("http://anyluxury.ru/shop/prazdnik/den-shakhtera/kurtka-muzhskaya-nova-men-200-chernaya-584930/" , "5849.30 Куртка мужская NOVA MEN 200 черная, размер XL")</f>
      </c>
      <c r="C30819" s="4" t="n">
        <v>2334.00</v>
      </c>
      <c r="D30819" s="4"/>
    </row>
    <row collapsed="" customFormat="false" customHeight="1" hidden="" ht="14" outlineLevel="0" r="30820">
      <c r="A30820" s="3" t="inlineStr">
        <is>
          <t>30659</t>
        </is>
      </c>
      <c r="B30820" s="4" t="s">
        <f>=HYPERLINK("http://anyluxury.ru/shop/prazdnik/den-shakhtera/kurtka-muzhskaya-nova-men-200-chernaya-584930/" , "5849.30 Куртка мужская NOVA MEN 200 черная, размер XXL")</f>
      </c>
      <c r="C30820" s="4" t="n">
        <v>2334.00</v>
      </c>
      <c r="D30820" s="4"/>
    </row>
    <row collapsed="" customFormat="false" customHeight="1" hidden="" ht="14" outlineLevel="0" r="30821">
      <c r="A30821" s="3" t="inlineStr">
        <is>
          <t>30660</t>
        </is>
      </c>
      <c r="B30821" s="4" t="s">
        <f>=HYPERLINK("http://anyluxury.ru/shop/prazdnik/den-shakhtera/kurtka-muzhskaya-nova-men-200-chernaya-584930/" , "5849.30 Куртка мужская NOVA MEN 200 черная, размер 3XL")</f>
      </c>
      <c r="C30821" s="4" t="n">
        <v>2749.00</v>
      </c>
      <c r="D30821" s="4"/>
    </row>
    <row collapsed="" customFormat="false" customHeight="1" hidden="" ht="14" outlineLevel="0" r="30822">
      <c r="A30822" s="3" t="inlineStr">
        <is>
          <t>30661</t>
        </is>
      </c>
      <c r="B30822" s="4" t="s">
        <f>=HYPERLINK("http://anyluxury.ru/shop/prazdnik/den-shakhtera/kurtka-muzhskaya-nova-men-200-temnosinyaya-584940/" , "5849.40 Куртка мужская NOVA MEN 200 темно-синяя, размер S")</f>
      </c>
      <c r="C30822" s="4" t="n">
        <v>2334.00</v>
      </c>
      <c r="D30822" s="4"/>
    </row>
    <row collapsed="" customFormat="false" customHeight="1" hidden="" ht="14" outlineLevel="0" r="30823">
      <c r="A30823" s="3" t="inlineStr">
        <is>
          <t>30662</t>
        </is>
      </c>
      <c r="B30823" s="4" t="s">
        <f>=HYPERLINK("http://anyluxury.ru/shop/prazdnik/den-shakhtera/kurtka-muzhskaya-nova-men-200-temnosinyaya-584940/" , "5849.40 Куртка мужская NOVA MEN 200 темно-синяя, размер M")</f>
      </c>
      <c r="C30823" s="4" t="n">
        <v>2334.00</v>
      </c>
      <c r="D30823" s="4"/>
    </row>
    <row collapsed="" customFormat="false" customHeight="1" hidden="" ht="14" outlineLevel="0" r="30824">
      <c r="A30824" s="3" t="inlineStr">
        <is>
          <t>30663</t>
        </is>
      </c>
      <c r="B30824" s="4" t="s">
        <f>=HYPERLINK("http://anyluxury.ru/shop/prazdnik/den-shakhtera/kurtka-muzhskaya-nova-men-200-temnosinyaya-584940/" , "5849.40 Куртка мужская NOVA MEN 200 темно-синяя, размер L")</f>
      </c>
      <c r="C30824" s="4" t="n">
        <v>2334.00</v>
      </c>
      <c r="D30824" s="4"/>
    </row>
    <row collapsed="" customFormat="false" customHeight="1" hidden="" ht="14" outlineLevel="0" r="30825">
      <c r="A30825" s="3" t="inlineStr">
        <is>
          <t>30664</t>
        </is>
      </c>
      <c r="B30825" s="4" t="s">
        <f>=HYPERLINK("http://anyluxury.ru/shop/prazdnik/den-shakhtera/kurtka-muzhskaya-nova-men-200-temnosinyaya-584940/" , "5849.40 Куртка мужская NOVA MEN 200 темно-синяя, размер XL")</f>
      </c>
      <c r="C30825" s="4" t="n">
        <v>2334.00</v>
      </c>
      <c r="D30825" s="4"/>
    </row>
    <row collapsed="" customFormat="false" customHeight="1" hidden="" ht="14" outlineLevel="0" r="30826">
      <c r="A30826" s="3" t="inlineStr">
        <is>
          <t>30665</t>
        </is>
      </c>
      <c r="B30826" s="4" t="s">
        <f>=HYPERLINK("http://anyluxury.ru/shop/prazdnik/den-shakhtera/kurtka-muzhskaya-nova-men-200-temnosinyaya-584940/" , "5849.40 Куртка мужская NOVA MEN 200 темно-синяя, размер XXL")</f>
      </c>
      <c r="C30826" s="4" t="n">
        <v>2334.00</v>
      </c>
      <c r="D30826" s="4"/>
    </row>
    <row collapsed="" customFormat="false" customHeight="1" hidden="" ht="14" outlineLevel="0" r="30827">
      <c r="A30827" s="3" t="inlineStr">
        <is>
          <t>30666</t>
        </is>
      </c>
      <c r="B30827" s="4" t="s">
        <f>=HYPERLINK("http://anyluxury.ru/shop/prazdnik/den-shakhtera/kurtka-muzhskaya-nova-men-200-temnosinyaya-584940/" , "5849.40 Куртка мужская NOVA MEN 200 темно-синяя, размер 3XL")</f>
      </c>
      <c r="C30827" s="4" t="n">
        <v>2749.00</v>
      </c>
      <c r="D30827" s="4"/>
    </row>
    <row collapsed="" customFormat="false" customHeight="1" hidden="" ht="14" outlineLevel="0" r="30828">
      <c r="A30828" s="3" t="inlineStr">
        <is>
          <t>30667</t>
        </is>
      </c>
      <c r="B30828" s="4" t="s">
        <f>=HYPERLINK("http://anyluxury.ru/shop/prazdnik/den-shakhtera/kurtka-muzhskaya-nova-men-200-krasnaya-584950/" , "5849.50 Куртка мужская NOVA MEN 200 красная, размер S")</f>
      </c>
      <c r="C30828" s="4" t="n">
        <v>3169.00</v>
      </c>
      <c r="D30828" s="4"/>
    </row>
    <row collapsed="" customFormat="false" customHeight="1" hidden="" ht="14" outlineLevel="0" r="30829">
      <c r="A30829" s="3" t="inlineStr">
        <is>
          <t>30668</t>
        </is>
      </c>
      <c r="B30829" s="4" t="s">
        <f>=HYPERLINK("http://anyluxury.ru/shop/prazdnik/den-shakhtera/kurtka-muzhskaya-nova-men-200-krasnaya-584950/" , "5849.50 Куртка мужская NOVA MEN 200 красная, размер M")</f>
      </c>
      <c r="C30829" s="4" t="n">
        <v>3169.00</v>
      </c>
      <c r="D30829" s="4"/>
    </row>
    <row collapsed="" customFormat="false" customHeight="1" hidden="" ht="14" outlineLevel="0" r="30830">
      <c r="A30830" s="3" t="inlineStr">
        <is>
          <t>30669</t>
        </is>
      </c>
      <c r="B30830" s="4" t="s">
        <f>=HYPERLINK("http://anyluxury.ru/shop/prazdnik/den-shakhtera/kurtka-muzhskaya-nova-men-200-krasnaya-584950/" , "5849.50 Куртка мужская NOVA MEN 200 красная, размер XL")</f>
      </c>
      <c r="C30830" s="4" t="n">
        <v>3169.00</v>
      </c>
      <c r="D30830" s="4"/>
    </row>
    <row collapsed="" customFormat="false" customHeight="1" hidden="" ht="14" outlineLevel="0" r="30831">
      <c r="A30831" s="3" t="inlineStr">
        <is>
          <t>30670</t>
        </is>
      </c>
      <c r="B30831" s="4" t="s">
        <f>=HYPERLINK("http://anyluxury.ru/shop/prazdnik/den-shakhtera/kurtka-muzhskaya-nova-men-200-krasnaya-584950/" , "5849.50 Куртка мужская NOVA MEN 200 красная, размер XXL")</f>
      </c>
      <c r="C30831" s="4" t="n">
        <v>3169.00</v>
      </c>
      <c r="D30831" s="4"/>
    </row>
    <row collapsed="" customFormat="false" customHeight="1" hidden="" ht="14" outlineLevel="0" r="30832">
      <c r="A30832" s="3" t="inlineStr">
        <is>
          <t>30671</t>
        </is>
      </c>
      <c r="B30832" s="4" t="s">
        <f>=HYPERLINK("http://anyluxury.ru/shop/prazdnik/den-shakhtera/kurtka-muzhskaya-nova-men-200-krasnaya-584950/" , "5849.50 Куртка мужская NOVA MEN 200 красная, размер 3XL")</f>
      </c>
      <c r="C30832" s="4" t="n">
        <v>3759.00</v>
      </c>
      <c r="D30832" s="4"/>
    </row>
    <row collapsed="" customFormat="false" customHeight="1" hidden="" ht="14" outlineLevel="0" r="30833">
      <c r="A30833" s="3" t="inlineStr">
        <is>
          <t>30672</t>
        </is>
      </c>
      <c r="B30833" s="4" t="s">
        <f>=HYPERLINK("http://anyluxury.ru/shop/prazdnik/den-shakhtera/zhilet-unit-kama-krasniy-672850/" , "6728.50 Жилет Unit Kama красный, размер L")</f>
      </c>
      <c r="C30833" s="4" t="n">
        <v>3390.00</v>
      </c>
      <c r="D30833" s="4"/>
    </row>
    <row collapsed="" customFormat="false" customHeight="1" hidden="" ht="14" outlineLevel="0" r="30834">
      <c r="A30834" s="3" t="inlineStr">
        <is>
          <t>30673</t>
        </is>
      </c>
      <c r="B30834" s="4" t="s">
        <f>=HYPERLINK("http://anyluxury.ru/shop/prazdnik/den-shakhtera/zhilet-unit-kama-krasniy-672850/" , "6728.50 Жилет Unit Kama красный, размер XXL")</f>
      </c>
      <c r="C30834" s="4" t="n">
        <v>3390.00</v>
      </c>
      <c r="D30834" s="4"/>
    </row>
    <row collapsed="" customFormat="false" customHeight="1" hidden="" ht="14" outlineLevel="0" r="30835">
      <c r="A30835" s="3" t="inlineStr">
        <is>
          <t>30674</t>
        </is>
      </c>
      <c r="B30835" s="4" t="s">
        <f>=HYPERLINK("http://anyluxury.ru/shop/prazdnik/den-shakhtera/zhilet-unit-kama-krasniy-672850/" , "6728.50 Жилет Unit Kama красный, размер 3XL")</f>
      </c>
      <c r="C30835" s="4" t="n">
        <v>3390.00</v>
      </c>
      <c r="D30835" s="4"/>
    </row>
    <row collapsed="" customFormat="false" customHeight="1" hidden="" ht="14" outlineLevel="0" r="30836">
      <c r="A30836" s="3" t="inlineStr">
        <is>
          <t>30675</t>
        </is>
      </c>
      <c r="B30836" s="4" t="s">
        <f>=HYPERLINK("http://anyluxury.ru/shop/prazdnik/den-shakhtera/zhilet-unit-kama-krasniy-672850/" , "6728.50 Жилет Unit Kama красный, размер 4XL")</f>
      </c>
      <c r="C30836" s="4" t="n">
        <v>3390.00</v>
      </c>
      <c r="D30836" s="4"/>
    </row>
    <row collapsed="" customFormat="false" customHeight="1" hidden="" ht="14" outlineLevel="0" r="30837">
      <c r="A30837" s="3" t="inlineStr">
        <is>
          <t>30676</t>
        </is>
      </c>
      <c r="B30837" s="4" t="s">
        <f>=HYPERLINK("http://anyluxury.ru/shop/prazdnik/den-shakhtera/zhilet-unit-kama-krasniy-672850/" , "6728.50 Жилет Unit Kama красный, размер S")</f>
      </c>
      <c r="C30837" s="4" t="n">
        <v>3390.00</v>
      </c>
      <c r="D30837" s="4"/>
    </row>
    <row collapsed="" customFormat="false" customHeight="1" hidden="" ht="14" outlineLevel="0" r="30838">
      <c r="A30838" s="3" t="inlineStr">
        <is>
          <t>30677</t>
        </is>
      </c>
      <c r="B30838" s="4" t="s">
        <f>=HYPERLINK("http://anyluxury.ru/shop/prazdnik/den-shakhtera/zhilet-unit-kama-temnosiniy-672840/" , "6728.40 Жилет Unit Kama темно-синий, размер XS")</f>
      </c>
      <c r="C30838" s="4" t="n">
        <v>3390.00</v>
      </c>
      <c r="D30838" s="4"/>
    </row>
    <row collapsed="" customFormat="false" customHeight="1" hidden="" ht="14" outlineLevel="0" r="30839">
      <c r="A30839" s="3" t="inlineStr">
        <is>
          <t>30678</t>
        </is>
      </c>
      <c r="B30839" s="4" t="s">
        <f>=HYPERLINK("http://anyluxury.ru/shop/prazdnik/den-shakhtera/zhilet-unit-kama-temnosiniy-672840/" , "6728.40 Жилет Unit Kama темно-синий, размер S")</f>
      </c>
      <c r="C30839" s="4" t="n">
        <v>3390.00</v>
      </c>
      <c r="D30839" s="4"/>
    </row>
    <row collapsed="" customFormat="false" customHeight="1" hidden="" ht="14" outlineLevel="0" r="30840">
      <c r="A30840" s="3" t="inlineStr">
        <is>
          <t>30679</t>
        </is>
      </c>
      <c r="B30840" s="4" t="s">
        <f>=HYPERLINK("http://anyluxury.ru/shop/prazdnik/den-shakhtera/zhilet-unit-kama-temnosiniy-672840/" , "6728.40 Жилет Unit Kama темно-синий, размер M")</f>
      </c>
      <c r="C30840" s="4" t="n">
        <v>3390.00</v>
      </c>
      <c r="D30840" s="4"/>
    </row>
    <row collapsed="" customFormat="false" customHeight="1" hidden="" ht="14" outlineLevel="0" r="30841">
      <c r="A30841" s="3" t="inlineStr">
        <is>
          <t>30680</t>
        </is>
      </c>
      <c r="B30841" s="4" t="s">
        <f>=HYPERLINK("http://anyluxury.ru/shop/prazdnik/den-shakhtera/zhilet-unit-kama-temnosiniy-672840/" , "6728.40 Жилет Unit Kama темно-синий, размер L")</f>
      </c>
      <c r="C30841" s="4" t="n">
        <v>3390.00</v>
      </c>
      <c r="D30841" s="4"/>
    </row>
    <row collapsed="" customFormat="false" customHeight="1" hidden="" ht="14" outlineLevel="0" r="30842">
      <c r="A30842" s="3" t="inlineStr">
        <is>
          <t>30681</t>
        </is>
      </c>
      <c r="B30842" s="4" t="s">
        <f>=HYPERLINK("http://anyluxury.ru/shop/prazdnik/den-shakhtera/zhilet-unit-kama-temnosiniy-672840/" , "6728.40 Жилет Unit Kama темно-синий, размер XL")</f>
      </c>
      <c r="C30842" s="4" t="n">
        <v>3390.00</v>
      </c>
      <c r="D30842" s="4"/>
    </row>
    <row collapsed="" customFormat="false" customHeight="1" hidden="" ht="14" outlineLevel="0" r="30843">
      <c r="A30843" s="3" t="inlineStr">
        <is>
          <t>30682</t>
        </is>
      </c>
      <c r="B30843" s="4" t="s">
        <f>=HYPERLINK("http://anyluxury.ru/shop/prazdnik/den-shakhtera/zhilet-unit-kama-temnosiniy-672840/" , "6728.40 Жилет Unit Kama темно-синий, размер XXL")</f>
      </c>
      <c r="C30843" s="4" t="n">
        <v>3390.00</v>
      </c>
      <c r="D30843" s="4"/>
    </row>
    <row collapsed="" customFormat="false" customHeight="1" hidden="" ht="14" outlineLevel="0" r="30844">
      <c r="A30844" s="3" t="inlineStr">
        <is>
          <t>30683</t>
        </is>
      </c>
      <c r="B30844" s="4" t="s">
        <f>=HYPERLINK("http://anyluxury.ru/shop/prazdnik/den-shakhtera/zhilet-unit-kama-temnosiniy-672840/" , "6728.40 Жилет Unit Kama темно-синий, размер 3XL")</f>
      </c>
      <c r="C30844" s="4" t="n">
        <v>3390.00</v>
      </c>
      <c r="D30844" s="4"/>
    </row>
    <row collapsed="" customFormat="false" customHeight="1" hidden="" ht="14" outlineLevel="0" r="30845">
      <c r="A30845" s="3" t="inlineStr">
        <is>
          <t>30684</t>
        </is>
      </c>
      <c r="B30845" s="4" t="s">
        <f>=HYPERLINK("http://anyluxury.ru/shop/prazdnik/den-shakhtera/zhilet-unit-kama-temnosiniy-672840/" , "6728.40 Жилет Unit Kama темно-синий, размер 4XL")</f>
      </c>
      <c r="C30845" s="4" t="n">
        <v>3390.00</v>
      </c>
      <c r="D30845" s="4"/>
    </row>
    <row collapsed="" customFormat="false" customHeight="1" hidden="" ht="14" outlineLevel="0" r="30846">
      <c r="A30846" s="3" t="inlineStr">
        <is>
          <t>30685</t>
        </is>
      </c>
      <c r="B30846" s="4" t="s">
        <f>=HYPERLINK("http://anyluxury.ru/shop/prazdnik/den-shakhtera/zhilet-unit-kama-temnosiniy-672840/" , "6728.40 Жилет Unit Kama темно-синий, размер XS")</f>
      </c>
      <c r="C30846" s="4" t="n">
        <v>3390.00</v>
      </c>
      <c r="D30846" s="4"/>
    </row>
    <row collapsed="" customFormat="false" customHeight="1" hidden="" ht="14" outlineLevel="0" r="30847">
      <c r="A30847" s="3" t="inlineStr">
        <is>
          <t>30686</t>
        </is>
      </c>
      <c r="B30847" s="4" t="s">
        <f>=HYPERLINK("http://anyluxury.ru/shop/prazdnik/den-shakhtera/zhilet-unit-kama-temnosiniy-672840/" , "6728.40 Жилет Unit Kama темно-синий, размер S")</f>
      </c>
      <c r="C30847" s="4" t="n">
        <v>3390.00</v>
      </c>
      <c r="D30847" s="4"/>
    </row>
    <row collapsed="" customFormat="false" customHeight="1" hidden="" ht="14" outlineLevel="0" r="30848">
      <c r="A30848" s="3" t="inlineStr">
        <is>
          <t>30687</t>
        </is>
      </c>
      <c r="B30848" s="4" t="s">
        <f>=HYPERLINK("http://anyluxury.ru/shop/prazdnik/den-shakhtera/zhilet-unit-kama-zeleniy-672890/" , "6728.90 Жилет Unit Kama зеленый, размер XS")</f>
      </c>
      <c r="C30848" s="4" t="n">
        <v>3390.00</v>
      </c>
      <c r="D30848" s="4"/>
    </row>
    <row collapsed="" customFormat="false" customHeight="1" hidden="" ht="14" outlineLevel="0" r="30849">
      <c r="A30849" s="3" t="inlineStr">
        <is>
          <t>30688</t>
        </is>
      </c>
      <c r="B30849" s="4" t="s">
        <f>=HYPERLINK("http://anyluxury.ru/shop/prazdnik/den-shakhtera/zhilet-unit-kama-zeleniy-672890/" , "6728.90 Жилет Unit Kama зеленый, размер 4XL")</f>
      </c>
      <c r="C30849" s="4" t="n">
        <v>3390.00</v>
      </c>
      <c r="D30849" s="4"/>
    </row>
    <row collapsed="" customFormat="false" customHeight="1" hidden="" ht="14" outlineLevel="0" r="30850">
      <c r="A30850" s="3" t="inlineStr">
        <is>
          <t>30689</t>
        </is>
      </c>
      <c r="B30850" s="4" t="s">
        <f>=HYPERLINK("http://anyluxury.ru/shop/prazdnik/den-shakhtera/kurtka-muzhskaya-nova-men-200-sinyaya-s-serim-584941/" , "5849.41 Куртка мужская NOVA MEN 200, синяя с серым, размер S")</f>
      </c>
      <c r="C30850" s="4" t="n">
        <v>2334.00</v>
      </c>
      <c r="D30850" s="4"/>
    </row>
    <row collapsed="" customFormat="false" customHeight="1" hidden="" ht="14" outlineLevel="0" r="30851">
      <c r="A30851" s="3" t="inlineStr">
        <is>
          <t>30690</t>
        </is>
      </c>
      <c r="B30851" s="4" t="s">
        <f>=HYPERLINK("http://anyluxury.ru/shop/prazdnik/den-shakhtera/kurtka-muzhskaya-nova-men-200-sinyaya-s-serim-584941/" , "5849.41 Куртка мужская NOVA MEN 200, синяя с серым, размер M")</f>
      </c>
      <c r="C30851" s="4" t="n">
        <v>2334.00</v>
      </c>
      <c r="D30851" s="4"/>
    </row>
    <row collapsed="" customFormat="false" customHeight="1" hidden="" ht="14" outlineLevel="0" r="30852">
      <c r="A30852" s="3" t="inlineStr">
        <is>
          <t>30691</t>
        </is>
      </c>
      <c r="B30852" s="4" t="s">
        <f>=HYPERLINK("http://anyluxury.ru/shop/prazdnik/den-shakhtera/kurtka-muzhskaya-nova-men-200-sinyaya-s-serim-584941/" , "5849.41 Куртка мужская NOVA MEN 200, синяя с серым, размер L")</f>
      </c>
      <c r="C30852" s="4" t="n">
        <v>2334.00</v>
      </c>
      <c r="D30852" s="4"/>
    </row>
    <row collapsed="" customFormat="false" customHeight="1" hidden="" ht="14" outlineLevel="0" r="30853">
      <c r="A30853" s="3" t="inlineStr">
        <is>
          <t>30692</t>
        </is>
      </c>
      <c r="B30853" s="4" t="s">
        <f>=HYPERLINK("http://anyluxury.ru/shop/prazdnik/den-shakhtera/kurtka-muzhskaya-nova-men-200-sinyaya-s-serim-584941/" , "5849.41 Куртка мужская NOVA MEN 200, синяя с серым, размер XL")</f>
      </c>
      <c r="C30853" s="4" t="n">
        <v>2334.00</v>
      </c>
      <c r="D30853" s="4"/>
    </row>
    <row collapsed="" customFormat="false" customHeight="1" hidden="" ht="14" outlineLevel="0" r="30854">
      <c r="A30854" s="3" t="inlineStr">
        <is>
          <t>30693</t>
        </is>
      </c>
      <c r="B30854" s="4" t="s">
        <f>=HYPERLINK("http://anyluxury.ru/shop/prazdnik/den-shakhtera/kurtka-muzhskaya-nova-men-200-sinyaya-s-serim-584941/" , "5849.41 Куртка мужская NOVA MEN 200, синяя с серым, размер XXL")</f>
      </c>
      <c r="C30854" s="4" t="n">
        <v>2334.00</v>
      </c>
      <c r="D30854" s="4"/>
    </row>
    <row collapsed="" customFormat="false" customHeight="1" hidden="" ht="14" outlineLevel="0" r="30855">
      <c r="A30855" s="3" t="inlineStr">
        <is>
          <t>30694</t>
        </is>
      </c>
      <c r="B30855" s="4" t="s">
        <f>=HYPERLINK("http://anyluxury.ru/shop/prazdnik/den-shakhtera/kurtka-muzhskaya-nova-men-200-sinyaya-s-serim-584941/" , "5849.41 Куртка мужская NOVA MEN 200, синяя с серым, размер 3XL")</f>
      </c>
      <c r="C30855" s="4" t="n">
        <v>2749.00</v>
      </c>
      <c r="D30855" s="4"/>
    </row>
    <row collapsed="" customFormat="false" customHeight="1" hidden="" ht="14" outlineLevel="0" r="30856">
      <c r="A30856" s="3" t="inlineStr">
        <is>
          <t>30695</t>
        </is>
      </c>
      <c r="B30856" s="4" t="s">
        <f>=HYPERLINK("http://anyluxury.ru/shop/prazdnik/den-shakhtera/nabor-handmaster-fonarik-i-multitul-krasniy-349550/" , "3495.50 Набор Handmaster: фонарик и мультитул, красный")</f>
      </c>
      <c r="C30856" s="4" t="n">
        <v>1692.00</v>
      </c>
      <c r="D30856" s="4"/>
    </row>
    <row collapsed="" customFormat="false" customHeight="1" hidden="" ht="14" outlineLevel="0" r="30857">
      <c r="A30857" s="3" t="inlineStr">
        <is>
          <t>30696</t>
        </is>
      </c>
      <c r="B30857" s="4" t="s">
        <f>=HYPERLINK("http://anyluxury.ru/shop/prazdnik/den-shakhtera/fonarikfakel-lightstream-bolshoy-cherniy-1042130/" , "10421.30 Фонарик-факел LightStream, большой, черный")</f>
      </c>
      <c r="C30857" s="4" t="n">
        <v>890.00</v>
      </c>
      <c r="D30857" s="4"/>
    </row>
    <row collapsed="" customFormat="false" customHeight="" hidden="" ht="12.1" outlineLevel="0" r="30858">
      <c r="A30858" s="5" t="inlineStr">
        <is>
          <t> -  - День электросвязи 17 мая</t>
        </is>
      </c>
      <c r="B30858" s="6"/>
      <c r="C30858" s="6"/>
      <c r="D30858" s="6"/>
    </row>
    <row collapsed="" customFormat="false" customHeight="1" hidden="" ht="14" outlineLevel="0" r="30859">
      <c r="A30859" s="3" t="inlineStr">
        <is>
          <t>30697</t>
        </is>
      </c>
      <c r="B30859" s="4" t="s">
        <f>=HYPERLINK("http://anyluxury.ru/shop/prazdnik/den-elektrosvyazi-17-maya/vetrovka-muzhskaya-mistral-210-krasnaya-184250/" , "1842.50 Ветровка мужская MISTRAL 210 красная, размер S")</f>
      </c>
      <c r="C30859" s="4" t="n">
        <v>3696.00</v>
      </c>
      <c r="D30859" s="4"/>
    </row>
    <row collapsed="" customFormat="false" customHeight="1" hidden="" ht="14" outlineLevel="0" r="30860">
      <c r="A30860" s="3" t="inlineStr">
        <is>
          <t>30698</t>
        </is>
      </c>
      <c r="B30860" s="4" t="s">
        <f>=HYPERLINK("http://anyluxury.ru/shop/prazdnik/den-elektrosvyazi-17-maya/vetrovka-muzhskaya-mistral-210-krasnaya-184250/" , "1842.50 Ветровка мужская MISTRAL 210 красная, размер XXL")</f>
      </c>
      <c r="C30860" s="4" t="n">
        <v>3696.00</v>
      </c>
      <c r="D30860" s="4"/>
    </row>
    <row collapsed="" customFormat="false" customHeight="1" hidden="" ht="14" outlineLevel="0" r="30861">
      <c r="A30861" s="3" t="inlineStr">
        <is>
          <t>30699</t>
        </is>
      </c>
      <c r="B30861" s="4" t="s">
        <f>=HYPERLINK("http://anyluxury.ru/shop/prazdnik/den-elektrosvyazi-17-maya/vetrovka-muzhskaya-mistral-210-chernaya-184230/" , "1842.30 Ветровка мужская MISTRAL 210 черная, размер S")</f>
      </c>
      <c r="C30861" s="4" t="n">
        <v>4563.00</v>
      </c>
      <c r="D30861" s="4"/>
    </row>
    <row collapsed="" customFormat="false" customHeight="1" hidden="" ht="14" outlineLevel="0" r="30862">
      <c r="A30862" s="3" t="inlineStr">
        <is>
          <t>30700</t>
        </is>
      </c>
      <c r="B30862" s="4" t="s">
        <f>=HYPERLINK("http://anyluxury.ru/shop/prazdnik/den-elektrosvyazi-17-maya/vetrovka-muzhskaya-mistral-210-chernaya-184230/" , "1842.30 Ветровка мужская MISTRAL 210 черная, размер M")</f>
      </c>
      <c r="C30862" s="4" t="n">
        <v>4563.00</v>
      </c>
      <c r="D30862" s="4"/>
    </row>
    <row collapsed="" customFormat="false" customHeight="1" hidden="" ht="14" outlineLevel="0" r="30863">
      <c r="A30863" s="3" t="inlineStr">
        <is>
          <t>30701</t>
        </is>
      </c>
      <c r="B30863" s="4" t="s">
        <f>=HYPERLINK("http://anyluxury.ru/shop/prazdnik/den-elektrosvyazi-17-maya/vetrovka-muzhskaya-mistral-210-temnosinyaya-navy-184240/" , "1842.40 Ветровка мужская MISTRAL 210 темно-синяя (navy), размер S")</f>
      </c>
      <c r="C30863" s="4" t="n">
        <v>4563.00</v>
      </c>
      <c r="D30863" s="4"/>
    </row>
    <row collapsed="" customFormat="false" customHeight="1" hidden="" ht="14" outlineLevel="0" r="30864">
      <c r="A30864" s="3" t="inlineStr">
        <is>
          <t>30702</t>
        </is>
      </c>
      <c r="B30864" s="4" t="s">
        <f>=HYPERLINK("http://anyluxury.ru/shop/prazdnik/den-elektrosvyazi-17-maya/vetrovka-muzhskaya-mistral-210-temnosinyaya-navy-184240/" , "1842.40 Ветровка мужская MISTRAL 210 темно-синяя (navy), размер M")</f>
      </c>
      <c r="C30864" s="4" t="n">
        <v>4563.00</v>
      </c>
      <c r="D30864" s="4"/>
    </row>
    <row collapsed="" customFormat="false" customHeight="1" hidden="" ht="14" outlineLevel="0" r="30865">
      <c r="A30865" s="3" t="inlineStr">
        <is>
          <t>30703</t>
        </is>
      </c>
      <c r="B30865" s="4" t="s">
        <f>=HYPERLINK("http://anyluxury.ru/shop/prazdnik/den-elektrosvyazi-17-maya/vetrovka-muzhskaya-mistral-210-temnosinyaya-navy-184240/" , "1842.40 Ветровка мужская MISTRAL 210 темно-синяя (navy), размер L")</f>
      </c>
      <c r="C30865" s="4" t="n">
        <v>4563.00</v>
      </c>
      <c r="D30865" s="4"/>
    </row>
    <row collapsed="" customFormat="false" customHeight="1" hidden="" ht="14" outlineLevel="0" r="30866">
      <c r="A30866" s="3" t="inlineStr">
        <is>
          <t>30704</t>
        </is>
      </c>
      <c r="B30866" s="4" t="s">
        <f>=HYPERLINK("http://anyluxury.ru/shop/prazdnik/den-elektrosvyazi-17-maya/vetrovka-muzhskaya-mistral-210-temnosinyaya-navy-184240/" , "1842.40 Ветровка мужская MISTRAL 210 темно-синяя (navy), размер XL")</f>
      </c>
      <c r="C30866" s="4" t="n">
        <v>4563.00</v>
      </c>
      <c r="D30866" s="4"/>
    </row>
    <row collapsed="" customFormat="false" customHeight="1" hidden="" ht="14" outlineLevel="0" r="30867">
      <c r="A30867" s="3" t="inlineStr">
        <is>
          <t>30705</t>
        </is>
      </c>
      <c r="B30867" s="4" t="s">
        <f>=HYPERLINK("http://anyluxury.ru/shop/prazdnik/den-elektrosvyazi-17-maya/vetrovka-muzhskaya-mistral-210-temnosinyaya-navy-184240/" , "1842.40 Ветровка мужская MISTRAL 210 темно-синяя (navy), размер XXL")</f>
      </c>
      <c r="C30867" s="4" t="n">
        <v>4563.00</v>
      </c>
      <c r="D30867" s="4"/>
    </row>
    <row collapsed="" customFormat="false" customHeight="1" hidden="" ht="14" outlineLevel="0" r="30868">
      <c r="A30868" s="3" t="inlineStr">
        <is>
          <t>30706</t>
        </is>
      </c>
      <c r="B30868" s="4" t="s">
        <f>=HYPERLINK("http://anyluxury.ru/shop/prazdnik/den-elektrosvyazi-17-maya/vetrovka-muzhskaya-mistral-210-oranzhevaya-184220/" , "1842.20 Ветровка мужская MISTRAL 210 оранжевая, размер XL")</f>
      </c>
      <c r="C30868" s="4" t="n">
        <v>2525.00</v>
      </c>
      <c r="D30868" s="4"/>
    </row>
    <row collapsed="" customFormat="false" customHeight="1" hidden="" ht="14" outlineLevel="0" r="30869">
      <c r="A30869" s="3" t="inlineStr">
        <is>
          <t>30707</t>
        </is>
      </c>
      <c r="B30869" s="4" t="s">
        <f>=HYPERLINK("http://anyluxury.ru/shop/prazdnik/den-elektrosvyazi-17-maya/vetrovka-muzhskaya-mistral-210-oranzhevaya-184220/" , "1842.20 Ветровка мужская MISTRAL 210 оранжевая, размер XXL")</f>
      </c>
      <c r="C30869" s="4" t="n">
        <v>2525.00</v>
      </c>
      <c r="D30869" s="4"/>
    </row>
    <row collapsed="" customFormat="false" customHeight="1" hidden="" ht="14" outlineLevel="0" r="30870">
      <c r="A30870" s="3" t="inlineStr">
        <is>
          <t>30708</t>
        </is>
      </c>
      <c r="B30870" s="4" t="s">
        <f>=HYPERLINK("http://anyluxury.ru/shop/prazdnik/den-elektrosvyazi-17-maya/vetrovka-muzhskaya-mistral-210-yarkosinyaya-royal-184244/" , "1842.44 Ветровка мужская MISTRAL 210 ярко-синяя (royal), размер S")</f>
      </c>
      <c r="C30870" s="4" t="n">
        <v>4563.00</v>
      </c>
      <c r="D30870" s="4"/>
    </row>
    <row collapsed="" customFormat="false" customHeight="1" hidden="" ht="14" outlineLevel="0" r="30871">
      <c r="A30871" s="3" t="inlineStr">
        <is>
          <t>30709</t>
        </is>
      </c>
      <c r="B30871" s="4" t="s">
        <f>=HYPERLINK("http://anyluxury.ru/shop/prazdnik/den-elektrosvyazi-17-maya/vetrovka-muzhskaya-mistral-210-yarkosinyaya-royal-184244/" , "1842.44 Ветровка мужская MISTRAL 210 ярко-синяя (royal), размер M")</f>
      </c>
      <c r="C30871" s="4" t="n">
        <v>4563.00</v>
      </c>
      <c r="D30871" s="4"/>
    </row>
    <row collapsed="" customFormat="false" customHeight="1" hidden="" ht="14" outlineLevel="0" r="30872">
      <c r="A30872" s="3" t="inlineStr">
        <is>
          <t>30710</t>
        </is>
      </c>
      <c r="B30872" s="4" t="s">
        <f>=HYPERLINK("http://anyluxury.ru/shop/prazdnik/den-elektrosvyazi-17-maya/vetrovka-muzhskaya-mistral-210-yarkosinyaya-royal-184244/" , "1842.44 Ветровка мужская MISTRAL 210 ярко-синяя (royal), размер L")</f>
      </c>
      <c r="C30872" s="4" t="n">
        <v>4563.00</v>
      </c>
      <c r="D30872" s="4"/>
    </row>
    <row collapsed="" customFormat="false" customHeight="1" hidden="" ht="14" outlineLevel="0" r="30873">
      <c r="A30873" s="3" t="inlineStr">
        <is>
          <t>30711</t>
        </is>
      </c>
      <c r="B30873" s="4" t="s">
        <f>=HYPERLINK("http://anyluxury.ru/shop/prazdnik/den-elektrosvyazi-17-maya/vetrovka-muzhskaya-mistral-210-yarkosinyaya-royal-184244/" , "1842.44 Ветровка мужская MISTRAL 210 ярко-синяя (royal), размер XL")</f>
      </c>
      <c r="C30873" s="4" t="n">
        <v>4563.00</v>
      </c>
      <c r="D30873" s="4"/>
    </row>
    <row collapsed="" customFormat="false" customHeight="1" hidden="" ht="14" outlineLevel="0" r="30874">
      <c r="A30874" s="3" t="inlineStr">
        <is>
          <t>30712</t>
        </is>
      </c>
      <c r="B30874" s="4" t="s">
        <f>=HYPERLINK("http://anyluxury.ru/shop/prazdnik/den-elektrosvyazi-17-maya/vetrovka-muzhskaya-mistral-210-yarkosinyaya-royal-184244/" , "1842.44 Ветровка мужская MISTRAL 210 ярко-синяя (royal), размер XXL")</f>
      </c>
      <c r="C30874" s="4" t="n">
        <v>4563.00</v>
      </c>
      <c r="D30874" s="4"/>
    </row>
    <row collapsed="" customFormat="false" customHeight="" hidden="" ht="12.1" outlineLevel="0" r="30875">
      <c r="A30875" s="5" t="inlineStr">
        <is>
          <t> -  - День энергетика 22 декабря</t>
        </is>
      </c>
      <c r="B30875" s="6"/>
      <c r="C30875" s="6"/>
      <c r="D30875" s="6"/>
    </row>
    <row collapsed="" customFormat="false" customHeight="1" hidden="" ht="14" outlineLevel="0" r="30876">
      <c r="A30876" s="3" t="inlineStr">
        <is>
          <t>30713</t>
        </is>
      </c>
      <c r="B30876" s="4" t="s">
        <f>=HYPERLINK("http://anyluxury.ru/shop/prazdnik/den-energetika-22-dekabrya/futbolka-zhenskaya-melrose-150-s-glubokim-virezom-belaya-183260/" , "1832.60 Футболка женская с глубоким вырезом MELROSE 150 белая, размер S ")</f>
      </c>
      <c r="C30876" s="4" t="n">
        <v>317.00</v>
      </c>
      <c r="D30876" s="4"/>
    </row>
    <row collapsed="" customFormat="false" customHeight="1" hidden="" ht="14" outlineLevel="0" r="30877">
      <c r="A30877" s="3" t="inlineStr">
        <is>
          <t>30714</t>
        </is>
      </c>
      <c r="B30877" s="4" t="s">
        <f>=HYPERLINK("http://anyluxury.ru/shop/prazdnik/den-energetika-22-dekabrya/zakladka-est-ideya-so-stikerami-kraft-560066/" , "5600.66 Закладка «Есть идея!» со стикерами, крафт")</f>
      </c>
      <c r="C30877" s="4" t="n">
        <v>99.00</v>
      </c>
      <c r="D30877" s="4"/>
    </row>
    <row collapsed="" customFormat="false" customHeight="1" hidden="" ht="14" outlineLevel="0" r="30878">
      <c r="A30878" s="3" t="inlineStr">
        <is>
          <t>30715</t>
        </is>
      </c>
      <c r="B30878" s="4" t="s">
        <f>=HYPERLINK("http://anyluxury.ru/shop/prazdnik/den-energetika-22-dekabrya/futbolka-zhenskaya-melrose-150-s-glubokim-virezom-yarkorozovaya-fuksiya-183257/" , "1832.57 Футболка женская с глубоким вырезом MELROSE 150 темно-розовая (фуксия), размер S")</f>
      </c>
      <c r="C30878" s="4" t="n">
        <v>396.00</v>
      </c>
      <c r="D30878" s="4"/>
    </row>
    <row collapsed="" customFormat="false" customHeight="1" hidden="" ht="14" outlineLevel="0" r="30879">
      <c r="A30879" s="3" t="inlineStr">
        <is>
          <t>30716</t>
        </is>
      </c>
      <c r="B30879" s="4" t="s">
        <f>=HYPERLINK("http://anyluxury.ru/shop/prazdnik/den-energetika-22-dekabrya/futbolka-zhenskaya-melrose-150-s-glubokim-virezom-yarkosinyaya-royal-183244/" , "1832.44 Футболка женская с глубоким вырезом MELROSE 150 ярко-синяя (royal), размер S")</f>
      </c>
      <c r="C30879" s="4" t="n">
        <v>396.00</v>
      </c>
      <c r="D30879" s="4"/>
    </row>
    <row collapsed="" customFormat="false" customHeight="1" hidden="" ht="14" outlineLevel="0" r="30880">
      <c r="A30880" s="3" t="inlineStr">
        <is>
          <t>30717</t>
        </is>
      </c>
      <c r="B30880" s="4" t="s">
        <f>=HYPERLINK("http://anyluxury.ru/shop/prazdnik/den-energetika-22-dekabrya/futbolka-zhenskaya-melrose-150-s-glubokim-virezom-yarkosinyaya-royal-183244/" , "1832.44 Футболка женская с глубоким вырезом MELROSE 150 ярко-синяя (royal), размер M")</f>
      </c>
      <c r="C30880" s="4" t="n">
        <v>396.00</v>
      </c>
      <c r="D30880" s="4"/>
    </row>
    <row collapsed="" customFormat="false" customHeight="1" hidden="" ht="14" outlineLevel="0" r="30881">
      <c r="A30881" s="3" t="inlineStr">
        <is>
          <t>30718</t>
        </is>
      </c>
      <c r="B30881" s="4" t="s">
        <f>=HYPERLINK("http://anyluxury.ru/shop/prazdnik/den-energetika-22-dekabrya/futbolka-zhenskaya-melrose-150-s-glubokim-virezom-yarkosinyaya-royal-183244/" , "1832.44 Футболка женская с глубоким вырезом MELROSE 150 ярко-синяя (royal), размер L")</f>
      </c>
      <c r="C30881" s="4" t="n">
        <v>396.00</v>
      </c>
      <c r="D30881" s="4"/>
    </row>
    <row collapsed="" customFormat="false" customHeight="1" hidden="" ht="14" outlineLevel="0" r="30882">
      <c r="A30882" s="3" t="inlineStr">
        <is>
          <t>30719</t>
        </is>
      </c>
      <c r="B30882" s="4" t="s">
        <f>=HYPERLINK("http://anyluxury.ru/shop/prazdnik/den-energetika-22-dekabrya/futbolka-po-visshemu-razryadu-chernaya-7012830/" , "70128.30 Футболка «По высшему разряду», черная, размер S")</f>
      </c>
      <c r="C30882" s="4" t="n">
        <v>778.00</v>
      </c>
      <c r="D30882" s="4"/>
    </row>
    <row collapsed="" customFormat="false" customHeight="1" hidden="" ht="14" outlineLevel="0" r="30883">
      <c r="A30883" s="3" t="inlineStr">
        <is>
          <t>30720</t>
        </is>
      </c>
      <c r="B30883" s="4" t="s">
        <f>=HYPERLINK("http://anyluxury.ru/shop/prazdnik/den-energetika-22-dekabrya/pled-volta-1098800/" , "10988.00 Плед Industry, энергетика")</f>
      </c>
      <c r="C30883" s="4" t="n">
        <v>4895.00</v>
      </c>
      <c r="D30883" s="4"/>
    </row>
    <row collapsed="" customFormat="false" customHeight="1" hidden="" ht="14" outlineLevel="0" r="30884">
      <c r="A30884" s="3" t="inlineStr">
        <is>
          <t>30721</t>
        </is>
      </c>
      <c r="B30884" s="4" t="s">
        <f>=HYPERLINK("http://anyluxury.ru/shop/prazdnik/den-energetika-22-dekabrya/nabor-lichnih-aksessuarov-industry-energetika-7143110/" , "71431.10 Набор личных аксессуаров Industry, энергетика")</f>
      </c>
      <c r="C30884" s="4" t="n">
        <v>1594.00</v>
      </c>
      <c r="D30884" s="4"/>
    </row>
    <row collapsed="" customFormat="false" customHeight="1" hidden="" ht="14" outlineLevel="0" r="30885">
      <c r="A30885" s="3" t="inlineStr">
        <is>
          <t>30722</t>
        </is>
      </c>
      <c r="B30885" s="4" t="s">
        <f>=HYPERLINK("http://anyluxury.ru/shop/prazdnik/den-energetika-22-dekabrya/ezhednevnik-industry-energetika-7163610/" , "71636.10 Ежедневник Industry, энергетика")</f>
      </c>
      <c r="C30885" s="4" t="n">
        <v>605.00</v>
      </c>
      <c r="D30885" s="4"/>
    </row>
    <row collapsed="" customFormat="false" customHeight="1" hidden="" ht="14" outlineLevel="0" r="30886">
      <c r="A30886" s="3" t="inlineStr">
        <is>
          <t>30723</t>
        </is>
      </c>
      <c r="B30886" s="4" t="s">
        <f>=HYPERLINK("http://anyluxury.ru/shop/prazdnik/den-energetika-22-dekabrya/podstavka-dlya-noutbuka-i-plansheta-rail-top-serebristaya-1556410/" , "15564.10 Подставка для ноутбука и планшета Rail Top, серебристая")</f>
      </c>
      <c r="C30886" s="4" t="n">
        <v>2190.00</v>
      </c>
      <c r="D30886" s="4"/>
    </row>
    <row collapsed="" customFormat="false" customHeight="1" hidden="" ht="14" outlineLevel="0" r="30887">
      <c r="A30887" s="3" t="inlineStr">
        <is>
          <t>30724</t>
        </is>
      </c>
      <c r="B30887" s="4" t="s">
        <f>=HYPERLINK("http://anyluxury.ru/shop/prazdnik/den-energetika-22-dekabrya/shokolad-industry-energetika-1550002/" , "15500.02 Шоколад Industry, энергетика")</f>
      </c>
      <c r="C30887" s="4" t="n">
        <v>255.00</v>
      </c>
      <c r="D30887" s="4"/>
    </row>
    <row collapsed="" customFormat="false" customHeight="1" hidden="" ht="14" outlineLevel="0" r="30888">
      <c r="A30888" s="3" t="inlineStr">
        <is>
          <t>30725</t>
        </is>
      </c>
      <c r="B30888" s="4" t="s">
        <f>=HYPERLINK("http://anyluxury.ru/shop/prazdnik/den-energetika-22-dekabrya/osvezhayushhie-konfeti-polar-express-ver-2-arkticheskaya-myata-krasniy-1246650/" , "12466.50 Освежающие конфеты Polar Express, ver. 2, арктическая мята, красный")</f>
      </c>
      <c r="C30888" s="4" t="n">
        <v>95.00</v>
      </c>
      <c r="D30888" s="4"/>
    </row>
    <row collapsed="" customFormat="false" customHeight="" hidden="" ht="12.1" outlineLevel="0" r="30889">
      <c r="A30889" s="5" t="inlineStr">
        <is>
          <t> -  - День юриста 3 декабря</t>
        </is>
      </c>
      <c r="B30889" s="6"/>
      <c r="C30889" s="6"/>
      <c r="D30889" s="6"/>
    </row>
    <row collapsed="" customFormat="false" customHeight="1" hidden="" ht="14" outlineLevel="0" r="30890">
      <c r="A30890" s="3" t="inlineStr">
        <is>
          <t>30726</t>
        </is>
      </c>
      <c r="B30890" s="4" t="s">
        <f>=HYPERLINK("http://anyluxury.ru/shop/prazdnik/den-yurista-3-dekabrya/ezhednevnik-condor-nedatirovanniy-siniy-484240/" , "4842.40 Ежедневник Condor, недатированный, синий")</f>
      </c>
      <c r="C30890" s="4" t="n">
        <v>2660.00</v>
      </c>
      <c r="D30890" s="4"/>
    </row>
    <row collapsed="" customFormat="false" customHeight="1" hidden="" ht="14" outlineLevel="0" r="30891">
      <c r="A30891" s="3" t="inlineStr">
        <is>
          <t>30727</t>
        </is>
      </c>
      <c r="B30891" s="4" t="s">
        <f>=HYPERLINK("http://anyluxury.ru/shop/prazdnik/den-yurista-3-dekabrya/skladnoy-zont-gran-turismo-carbon-cherniy-525730/" , "5257.30 Складной зонт Gran Turismo Carbon, черный")</f>
      </c>
      <c r="C30891" s="4" t="n">
        <v>6519.00</v>
      </c>
      <c r="D30891" s="4"/>
    </row>
    <row collapsed="" customFormat="false" customHeight="1" hidden="" ht="14" outlineLevel="0" r="30892">
      <c r="A30892" s="3" t="inlineStr">
        <is>
          <t>30728</t>
        </is>
      </c>
      <c r="B30892" s="4" t="s">
        <f>=HYPERLINK("http://anyluxury.ru/shop/prazdnik/den-yurista-3-dekabrya/futlyar-dlya-vizitki-eco-holder-so-stikerami-kraft-559866/" , "5598.66 Футляр для визитки Eco Holder со стикерами, крафт")</f>
      </c>
      <c r="C30892" s="4" t="n">
        <v>129.00</v>
      </c>
      <c r="D30892" s="4"/>
    </row>
    <row collapsed="" customFormat="false" customHeight="1" hidden="" ht="14" outlineLevel="0" r="30893">
      <c r="A30893" s="3" t="inlineStr">
        <is>
          <t>30729</t>
        </is>
      </c>
      <c r="B30893" s="4" t="s">
        <f>=HYPERLINK("http://anyluxury.ru/shop/prazdnik/den-yurista-3-dekabrya/rubashka-zhenskaya-v-polosku-reno-ladies-temnosinyaya-656040/" , "6560.40 Рубашка женская в полоску RENO LADIES, темно-синяя, размер S")</f>
      </c>
      <c r="C30893" s="4" t="n">
        <v>4503.00</v>
      </c>
      <c r="D30893" s="4"/>
    </row>
    <row collapsed="" customFormat="false" customHeight="1" hidden="" ht="14" outlineLevel="0" r="30894">
      <c r="A30894" s="3" t="inlineStr">
        <is>
          <t>30730</t>
        </is>
      </c>
      <c r="B30894" s="4" t="s">
        <f>=HYPERLINK("http://anyluxury.ru/shop/prazdnik/den-yurista-3-dekabrya/rubashka-muzhskaya-v-polosku-reno-golubaya-656114/" , "6561.14 Рубашка мужская в полоску RENO, голубая, размер S")</f>
      </c>
      <c r="C30894" s="4" t="n">
        <v>4515.00</v>
      </c>
      <c r="D30894" s="4"/>
    </row>
    <row collapsed="" customFormat="false" customHeight="1" hidden="" ht="14" outlineLevel="0" r="30895">
      <c r="A30895" s="3" t="inlineStr">
        <is>
          <t>30731</t>
        </is>
      </c>
      <c r="B30895" s="4" t="s">
        <f>=HYPERLINK("http://anyluxury.ru/shop/prazdnik/den-yurista-3-dekabrya/rubashka-muzhskaya-v-polosku-reno-temnosinyaya-656140/" , "6561.40 Рубашка мужская в полоску RENO, темно-синяя, размер S")</f>
      </c>
      <c r="C30895" s="4" t="n">
        <v>4515.00</v>
      </c>
      <c r="D30895" s="4"/>
    </row>
    <row collapsed="" customFormat="false" customHeight="1" hidden="" ht="14" outlineLevel="0" r="30896">
      <c r="A30896" s="3" t="inlineStr">
        <is>
          <t>30732</t>
        </is>
      </c>
      <c r="B30896" s="4" t="s">
        <f>=HYPERLINK("http://anyluxury.ru/shop/prazdnik/den-yurista-3-dekabrya/fleshka-kripteksr-ver2-usb-30-64-gb-512704/" , "5127.04 Флешка «Криптекс»®, ver.2, USB 3.0, 64 Гб")</f>
      </c>
      <c r="C30896" s="4" t="n">
        <v>4290.00</v>
      </c>
      <c r="D30896" s="4"/>
    </row>
    <row collapsed="" customFormat="false" customHeight="1" hidden="" ht="14" outlineLevel="0" r="30897">
      <c r="A30897" s="3" t="inlineStr">
        <is>
          <t>30733</t>
        </is>
      </c>
      <c r="B30897" s="4" t="s">
        <f>=HYPERLINK("http://anyluxury.ru/shop/prazdnik/den-yurista-3-dekabrya/nagrada-poputniy-veter-778900/" , "7789.00 Награда «Попутный ветер»")</f>
      </c>
      <c r="C30897" s="4" t="n">
        <v>2233.00</v>
      </c>
      <c r="D30897" s="4"/>
    </row>
    <row collapsed="" customFormat="false" customHeight="1" hidden="" ht="14" outlineLevel="0" r="30898">
      <c r="A30898" s="3" t="inlineStr">
        <is>
          <t>30734</t>
        </is>
      </c>
      <c r="B30898" s="4" t="s">
        <f>=HYPERLINK("http://anyluxury.ru/shop/prazdnik/den-yurista-3-dekabrya/zonttrost-big-boss-temnosiniy-526042/" , "5260.42 Зонт-трость Big Boss, темно-синий")</f>
      </c>
      <c r="C30898" s="4" t="n">
        <v>9109.00</v>
      </c>
      <c r="D30898" s="4"/>
    </row>
    <row collapsed="" customFormat="false" customHeight="1" hidden="" ht="14" outlineLevel="0" r="30899">
      <c r="A30899" s="3" t="inlineStr">
        <is>
          <t>30735</t>
        </is>
      </c>
      <c r="B30899" s="4" t="s">
        <f>=HYPERLINK("http://anyluxury.ru/shop/prazdnik/den-yurista-3-dekabrya/ezhednevnik-shall-nedatirovanniy-krasniy-788050/" , "7880.50 Ежедневник Shall, недатированный, красный")</f>
      </c>
      <c r="C30899" s="4" t="n">
        <v>813.00</v>
      </c>
      <c r="D30899" s="4"/>
    </row>
    <row collapsed="" customFormat="false" customHeight="" hidden="" ht="12.1" outlineLevel="0" r="30900">
      <c r="A30900" s="5" t="inlineStr">
        <is>
          <t> -  - Подарки автомобилисту</t>
        </is>
      </c>
      <c r="B30900" s="6"/>
      <c r="C30900" s="6"/>
      <c r="D30900" s="6"/>
    </row>
    <row collapsed="" customFormat="false" customHeight="1" hidden="" ht="14" outlineLevel="0" r="30901">
      <c r="A30901" s="3" t="inlineStr">
        <is>
          <t>30736</t>
        </is>
      </c>
      <c r="B30901" s="4" t="s">
        <f>=HYPERLINK("http://anyluxury.ru/shop/prazdnik/podarki-avtomobilistu/naduvnaya-podushka-pod-sheyu-v-chehle-sleep-temnosinyaya-512540/" , "5125.40 Надувная подушка под шею в чехле Sleep, темно-синяя")</f>
      </c>
      <c r="C30901" s="4" t="n">
        <v>169.00</v>
      </c>
      <c r="D30901" s="4"/>
    </row>
    <row collapsed="" customFormat="false" customHeight="1" hidden="" ht="14" outlineLevel="0" r="30902">
      <c r="A30902" s="3" t="inlineStr">
        <is>
          <t>30737</t>
        </is>
      </c>
      <c r="B30902" s="4" t="s">
        <f>=HYPERLINK("http://anyluxury.ru/shop/prazdnik/podarki-avtomobilistu/termostakan-solingen-vakuumniy-germetichniy-cherniy-517530/" , "5175.30 Термостакан Solingen, вакуумный, герметичный, черный")</f>
      </c>
      <c r="C30902" s="4" t="n">
        <v>1409.00</v>
      </c>
      <c r="D30902" s="4"/>
    </row>
    <row collapsed="" customFormat="false" customHeight="1" hidden="" ht="14" outlineLevel="0" r="30903">
      <c r="A30903" s="3" t="inlineStr">
        <is>
          <t>30738</t>
        </is>
      </c>
      <c r="B30903" s="4" t="s">
        <f>=HYPERLINK("http://anyluxury.ru/shop/prazdnik/podarki-avtomobilistu/organayzer-v-bagazhnik-avtomobilya-unit-carry-cherniy-349830/" , "3498.30 Органайзер в багажник автомобиля Carry, черный")</f>
      </c>
      <c r="C30903" s="4" t="n">
        <v>1590.00</v>
      </c>
      <c r="D30903" s="4"/>
    </row>
    <row collapsed="" customFormat="false" customHeight="1" hidden="" ht="14" outlineLevel="0" r="30904">
      <c r="A30904" s="3" t="inlineStr">
        <is>
          <t>30739</t>
        </is>
      </c>
      <c r="B30904" s="4" t="s">
        <f>=HYPERLINK("http://anyluxury.ru/shop/prazdnik/podarki-avtomobilistu/nabor-handmaster-fonarik-i-multitul-cherniy-349530/" , "3495.30 Набор Handmaster: фонарик и мультитул, черный")</f>
      </c>
      <c r="C30904" s="4" t="n">
        <v>1692.00</v>
      </c>
      <c r="D30904" s="4"/>
    </row>
    <row collapsed="" customFormat="false" customHeight="1" hidden="" ht="14" outlineLevel="0" r="30905">
      <c r="A30905" s="3" t="inlineStr">
        <is>
          <t>30740</t>
        </is>
      </c>
      <c r="B30905" s="4" t="s">
        <f>=HYPERLINK("http://anyluxury.ru/shop/prazdnik/podarki-avtomobilistu/organayzerholodilnik-na-spinku-sidenya-cool-rider-cherniy-1047430/" , "10474.30 Органайзер с термоотделением на спинку сиденья Cool Rider, черный")</f>
      </c>
      <c r="C30905" s="4" t="n">
        <v>1850.00</v>
      </c>
      <c r="D30905" s="4"/>
    </row>
    <row collapsed="" customFormat="false" customHeight="1" hidden="" ht="14" outlineLevel="0" r="30906">
      <c r="A30906" s="3" t="inlineStr">
        <is>
          <t>30741</t>
        </is>
      </c>
      <c r="B30906" s="4" t="s">
        <f>=HYPERLINK("http://anyluxury.ru/shop/prazdnik/podarki-avtomobilistu/nabor-avtomobilista-car-care-5420/" , "54.20 Набор автомобилиста Car Care")</f>
      </c>
      <c r="C30906" s="4" t="n">
        <v>2454.00</v>
      </c>
      <c r="D30906" s="4"/>
    </row>
    <row collapsed="" customFormat="false" customHeight="1" hidden="" ht="14" outlineLevel="0" r="30907">
      <c r="A30907" s="3" t="inlineStr">
        <is>
          <t>30742</t>
        </is>
      </c>
      <c r="B30907" s="4" t="s">
        <f>=HYPERLINK("http://anyluxury.ru/shop/prazdnik/podarki-avtomobilistu/zont-skladnoy-profile-seriy-1571311/" , "15713.11 Зонт складной Profile, серый")</f>
      </c>
      <c r="C30907" s="4" t="n">
        <v>3203.00</v>
      </c>
      <c r="D30907" s="4"/>
    </row>
    <row collapsed="" customFormat="false" customHeight="1" hidden="" ht="14" outlineLevel="0" r="30908">
      <c r="A30908" s="3" t="inlineStr">
        <is>
          <t>30743</t>
        </is>
      </c>
      <c r="B30908" s="4" t="s">
        <f>=HYPERLINK("http://anyluxury.ru/shop/prazdnik/podarki-avtomobilistu/zont-skladnoy-profile-temnosiniy-1571340/" , "15713.40 Зонт складной Profile, темно-синий")</f>
      </c>
      <c r="C30908" s="4" t="n">
        <v>3203.00</v>
      </c>
      <c r="D30908" s="4"/>
    </row>
    <row collapsed="" customFormat="false" customHeight="1" hidden="" ht="14" outlineLevel="0" r="30909">
      <c r="A30909" s="3" t="inlineStr">
        <is>
          <t>30744</t>
        </is>
      </c>
      <c r="B30909" s="4" t="s">
        <f>=HYPERLINK("http://anyluxury.ru/shop/prazdnik/podarki-avtomobilistu/zont-skladnoy-profile-krasniy-1571350/" , "15713.50 Зонт складной Profile, красный")</f>
      </c>
      <c r="C30909" s="4" t="n">
        <v>3203.00</v>
      </c>
      <c r="D30909" s="4"/>
    </row>
    <row collapsed="" customFormat="false" customHeight="1" hidden="" ht="14" outlineLevel="0" r="30910">
      <c r="A30910" s="3" t="inlineStr">
        <is>
          <t>30745</t>
        </is>
      </c>
      <c r="B30910" s="4" t="s">
        <f>=HYPERLINK("http://anyluxury.ru/shop/prazdnik/podarki-avtomobilistu/zont-skladnoy-profile-cherniy-1571330/" , "15713.30 Зонт складной Profile, черный")</f>
      </c>
      <c r="C30910" s="4" t="n">
        <v>3203.00</v>
      </c>
      <c r="D30910" s="4"/>
    </row>
    <row collapsed="" customFormat="false" customHeight="1" hidden="" ht="14" outlineLevel="0" r="30911">
      <c r="A30911" s="3" t="inlineStr">
        <is>
          <t>30746</t>
        </is>
      </c>
      <c r="B30911" s="4" t="s">
        <f>=HYPERLINK("http://anyluxury.ru/shop/prazdnik/podarki-avtomobilistu/zont-skladnoy-profile-beliy-1571360/" , "15713.60 Зонт складной Profile, белый")</f>
      </c>
      <c r="C30911" s="4" t="n">
        <v>3203.00</v>
      </c>
      <c r="D30911" s="4"/>
    </row>
    <row collapsed="" customFormat="false" customHeight="1" hidden="" ht="14" outlineLevel="0" r="30912">
      <c r="A30912" s="3" t="inlineStr">
        <is>
          <t>30747</t>
        </is>
      </c>
      <c r="B30912" s="4" t="s">
        <f>=HYPERLINK("http://anyluxury.ru/shop/prazdnik/podarki-avtomobilistu/nabor-apache-driver-key-cherniy-1917630/" , "19176.30 Набор Apache Driver Key, черный")</f>
      </c>
      <c r="C30912" s="4" t="n">
        <v>3907.00</v>
      </c>
      <c r="D30912" s="4"/>
    </row>
    <row collapsed="" customFormat="false" customHeight="1" hidden="" ht="14" outlineLevel="0" r="30913">
      <c r="A30913" s="3" t="inlineStr">
        <is>
          <t>30748</t>
        </is>
      </c>
      <c r="B30913" s="4" t="s">
        <f>=HYPERLINK("http://anyluxury.ru/shop/prazdnik/podarki-avtomobilistu/nabor-apache-driver-key-siniy-1917640/" , "19176.40 Набор Apache Driver Key, синий")</f>
      </c>
      <c r="C30913" s="4" t="n">
        <v>3907.00</v>
      </c>
      <c r="D30913" s="4"/>
    </row>
    <row collapsed="" customFormat="false" customHeight="" hidden="" ht="12.1" outlineLevel="0" r="30914">
      <c r="A30914" s="5" t="inlineStr">
        <is>
          <t> -  - Подарки для детей</t>
        </is>
      </c>
      <c r="B30914" s="6"/>
      <c r="C30914" s="6"/>
      <c r="D30914" s="6"/>
    </row>
    <row collapsed="" customFormat="false" customHeight="1" hidden="" ht="14" outlineLevel="0" r="30915">
      <c r="A30915" s="3" t="inlineStr">
        <is>
          <t>30749</t>
        </is>
      </c>
      <c r="B30915" s="4" t="s">
        <f>=HYPERLINK("http://anyluxury.ru/shop/prazdnik/podarki-dlya-detey/beysbolka-detskaya-unit-kids-sinyaya-602240/" , "6022.40 Бейсболка детская Unit Kids, синяя")</f>
      </c>
      <c r="C30915" s="4" t="n">
        <v>365.00</v>
      </c>
      <c r="D30915" s="4"/>
    </row>
    <row collapsed="" customFormat="false" customHeight="1" hidden="" ht="14" outlineLevel="0" r="30916">
      <c r="A30916" s="3" t="inlineStr">
        <is>
          <t>30750</t>
        </is>
      </c>
      <c r="B30916" s="4" t="s">
        <f>=HYPERLINK("http://anyluxury.ru/shop/prazdnik/podarki-dlya-detey/bloknot-na-kolcah-eco-note-s-ruchkoy-krasniy-559650/" , "5596.50 Блокнот на кольцах Eco Note с ручкой, красный")</f>
      </c>
      <c r="C30916" s="4" t="n">
        <v>169.00</v>
      </c>
      <c r="D30916" s="4"/>
    </row>
    <row collapsed="" customFormat="false" customHeight="1" hidden="" ht="14" outlineLevel="0" r="30917">
      <c r="A30917" s="3" t="inlineStr">
        <is>
          <t>30751</t>
        </is>
      </c>
      <c r="B30917" s="4" t="s">
        <f>=HYPERLINK("http://anyluxury.ru/shop/prazdnik/podarki-dlya-detey/peshehodniy-svetootrazhatel-mishka-beliy-481560/" , "4815.60 Пешеходный светоотражатель «Мишка», белый")</f>
      </c>
      <c r="C30917" s="4" t="n">
        <v>89.00</v>
      </c>
      <c r="D30917" s="4"/>
    </row>
    <row collapsed="" customFormat="false" customHeight="1" hidden="" ht="14" outlineLevel="0" r="30918">
      <c r="A30918" s="3" t="inlineStr">
        <is>
          <t>30752</t>
        </is>
      </c>
      <c r="B30918" s="4" t="s">
        <f>=HYPERLINK("http://anyluxury.ru/shop/prazdnik/podarki-dlya-detey/peshehodniy-svetootrazhatel-mishka-oranzheviy-481520/" , "4815.20 Пешеходный светоотражатель «Мишка», оранжевый")</f>
      </c>
      <c r="C30918" s="4" t="n">
        <v>89.00</v>
      </c>
      <c r="D30918" s="4"/>
    </row>
    <row collapsed="" customFormat="false" customHeight="1" hidden="" ht="14" outlineLevel="0" r="30919">
      <c r="A30919" s="3" t="inlineStr">
        <is>
          <t>30753</t>
        </is>
      </c>
      <c r="B30919" s="4" t="s">
        <f>=HYPERLINK("http://anyluxury.ru/shop/prazdnik/podarki-dlya-detey/peshehodniy-svetootrazhatel-mishka-neonzheltiy-481589/" , "4815.89 Пешеходный светоотражатель «Мишка», неон-желтый")</f>
      </c>
      <c r="C30919" s="4" t="n">
        <v>89.00</v>
      </c>
      <c r="D30919" s="4"/>
    </row>
    <row collapsed="" customFormat="false" customHeight="1" hidden="" ht="14" outlineLevel="0" r="30920">
      <c r="A30920" s="3" t="inlineStr">
        <is>
          <t>30754</t>
        </is>
      </c>
      <c r="B30920" s="4" t="s">
        <f>=HYPERLINK("http://anyluxury.ru/shop/prazdnik/podarki-dlya-detey/peshehodniy-svetootrazhatel-mishka-siniy-481540/" , "4815.40 Пешеходный светоотражатель «Мишка», синий")</f>
      </c>
      <c r="C30920" s="4" t="n">
        <v>89.00</v>
      </c>
      <c r="D30920" s="4"/>
    </row>
    <row collapsed="" customFormat="false" customHeight="1" hidden="" ht="14" outlineLevel="0" r="30921">
      <c r="A30921" s="3" t="inlineStr">
        <is>
          <t>30755</t>
        </is>
      </c>
      <c r="B30921" s="4" t="s">
        <f>=HYPERLINK("http://anyluxury.ru/shop/prazdnik/podarki-dlya-detey/antistress-spinner-krasniy-46050/" , "460.50 Антистресс Spinner, красный")</f>
      </c>
      <c r="C30921" s="4" t="n">
        <v>119.00</v>
      </c>
      <c r="D30921" s="4"/>
    </row>
    <row collapsed="" customFormat="false" customHeight="1" hidden="" ht="14" outlineLevel="0" r="30922">
      <c r="A30922" s="3" t="inlineStr">
        <is>
          <t>30756</t>
        </is>
      </c>
      <c r="B30922" s="4" t="s">
        <f>=HYPERLINK("http://anyluxury.ru/shop/prazdnik/podarki-dlya-detey/nabor-karandashey-pencilvania-middle-690100/" , "6901.00 Набор цветных карандашей Pencilvania Middle")</f>
      </c>
      <c r="C30922" s="4" t="n">
        <v>94.00</v>
      </c>
      <c r="D30922" s="4"/>
    </row>
    <row collapsed="" customFormat="false" customHeight="1" hidden="" ht="14" outlineLevel="0" r="30923">
      <c r="A30923" s="3" t="inlineStr">
        <is>
          <t>30757</t>
        </is>
      </c>
      <c r="B30923" s="4" t="s">
        <f>=HYPERLINK("http://anyluxury.ru/shop/prazdnik/podarki-dlya-detey/nabor-karandashey-pencilvania-tube-690300/" , "6903.00 Набор цветных карандашей Pencilvania Tube")</f>
      </c>
      <c r="C30923" s="4" t="n">
        <v>115.00</v>
      </c>
      <c r="D30923" s="4"/>
    </row>
    <row collapsed="" customFormat="false" customHeight="1" hidden="" ht="14" outlineLevel="0" r="30924">
      <c r="A30924" s="3" t="inlineStr">
        <is>
          <t>30758</t>
        </is>
      </c>
      <c r="B30924" s="4" t="s">
        <f>=HYPERLINK("http://anyluxury.ru/shop/prazdnik/podarki-dlya-detey/avtokreslobuster-mifold-temnoseroe-1017411/" , "10174.11 Автокресло-бустер Mifold, темно-серое")</f>
      </c>
      <c r="C30924" s="4" t="n">
        <v>3650.00</v>
      </c>
      <c r="D30924" s="4"/>
    </row>
    <row collapsed="" customFormat="false" customHeight="1" hidden="" ht="14" outlineLevel="0" r="30925">
      <c r="A30925" s="3" t="inlineStr">
        <is>
          <t>30759</t>
        </is>
      </c>
      <c r="B30925" s="4" t="s">
        <f>=HYPERLINK("http://anyluxury.ru/shop/prazdnik/podarki-dlya-detey/avtokreslobuster-mifold-rozovoe-1017415/" , "10174.15 Автокресло-бустер Mifold, розовое")</f>
      </c>
      <c r="C30925" s="4" t="n">
        <v>3650.00</v>
      </c>
      <c r="D30925" s="4"/>
    </row>
    <row collapsed="" customFormat="false" customHeight="1" hidden="" ht="14" outlineLevel="0" r="30926">
      <c r="A30926" s="3" t="inlineStr">
        <is>
          <t>30760</t>
        </is>
      </c>
      <c r="B30926" s="4" t="s">
        <f>=HYPERLINK("http://anyluxury.ru/shop/prazdnik/podarki-dlya-detey/avtokreslobuster-mifold-sinee-1017440/" , "10174.40 Автокресло-бустер Mifold, синее")</f>
      </c>
      <c r="C30926" s="4" t="n">
        <v>3650.00</v>
      </c>
      <c r="D30926" s="4"/>
    </row>
    <row collapsed="" customFormat="false" customHeight="1" hidden="" ht="14" outlineLevel="0" r="30927">
      <c r="A30927" s="3" t="inlineStr">
        <is>
          <t>30761</t>
        </is>
      </c>
      <c r="B30927" s="4" t="s">
        <f>=HYPERLINK("http://anyluxury.ru/shop/prazdnik/podarki-dlya-detey/chehol-dlya-avtokreslabustera-mifold-temnoseriy-1017511/" , "10175.11 Чехол для автокресла-бустера Mifold, темно-серый")</f>
      </c>
      <c r="C30927" s="4" t="n">
        <v>1200.00</v>
      </c>
      <c r="D30927" s="4"/>
    </row>
    <row collapsed="" customFormat="false" customHeight="1" hidden="" ht="14" outlineLevel="0" r="30928">
      <c r="A30928" s="3" t="inlineStr">
        <is>
          <t>30762</t>
        </is>
      </c>
      <c r="B30928" s="4" t="s">
        <f>=HYPERLINK("http://anyluxury.ru/shop/prazdnik/podarki-dlya-detey/svitshot-detskiy-toima-kids-temnosiniy-1113640/" , "11136.40 Свитшот Toima Kids темно-синий, 6 лет")</f>
      </c>
      <c r="C30928" s="4" t="n">
        <v>789.00</v>
      </c>
      <c r="D30928" s="4"/>
    </row>
    <row collapsed="" customFormat="false" customHeight="1" hidden="" ht="14" outlineLevel="0" r="30929">
      <c r="A30929" s="3" t="inlineStr">
        <is>
          <t>30763</t>
        </is>
      </c>
      <c r="B30929" s="4" t="s">
        <f>=HYPERLINK("http://anyluxury.ru/shop/prazdnik/podarki-dlya-detey/svitshot-detskiy-toima-kids-temnosiniy-1113640/" , "11136.40 Свитшот Toima Kids темно-синий, 8 лет")</f>
      </c>
      <c r="C30929" s="4" t="n">
        <v>789.00</v>
      </c>
      <c r="D30929" s="4"/>
    </row>
    <row collapsed="" customFormat="false" customHeight="1" hidden="" ht="14" outlineLevel="0" r="30930">
      <c r="A30930" s="3" t="inlineStr">
        <is>
          <t>30764</t>
        </is>
      </c>
      <c r="B30930" s="4" t="s">
        <f>=HYPERLINK("http://anyluxury.ru/shop/prazdnik/podarki-dlya-detey/svitshot-detskiy-toima-kids-temnosiniy-1113640/" , "11136.40 Свитшот Toima Kids темно-синий, 10 лет")</f>
      </c>
      <c r="C30930" s="4" t="n">
        <v>789.00</v>
      </c>
      <c r="D30930" s="4"/>
    </row>
    <row collapsed="" customFormat="false" customHeight="1" hidden="" ht="14" outlineLevel="0" r="30931">
      <c r="A30931" s="3" t="inlineStr">
        <is>
          <t>30765</t>
        </is>
      </c>
      <c r="B30931" s="4" t="s">
        <f>=HYPERLINK("http://anyluxury.ru/shop/prazdnik/podarki-dlya-detey/svitshot-detskiy-toima-kids-temnosiniy-1113640/" , "11136.40 Свитшот Toima Kids темно-синий, 12 лет")</f>
      </c>
      <c r="C30931" s="4" t="n">
        <v>789.00</v>
      </c>
      <c r="D30931" s="4"/>
    </row>
    <row collapsed="" customFormat="false" customHeight="1" hidden="" ht="14" outlineLevel="0" r="30932">
      <c r="A30932" s="3" t="inlineStr">
        <is>
          <t>30766</t>
        </is>
      </c>
      <c r="B30932" s="4" t="s">
        <f>=HYPERLINK("http://anyluxury.ru/shop/prazdnik/podarki-dlya-detey/svitshot-detskiy-toima-kids-temnosiniy-1113640/" , "11136.40 Свитшот Toima Kids темно-синий, 14 лет")</f>
      </c>
      <c r="C30932" s="4" t="n">
        <v>789.00</v>
      </c>
      <c r="D30932" s="4"/>
    </row>
    <row collapsed="" customFormat="false" customHeight="1" hidden="" ht="14" outlineLevel="0" r="30933">
      <c r="A30933" s="3" t="inlineStr">
        <is>
          <t>30767</t>
        </is>
      </c>
      <c r="B30933" s="4" t="s">
        <f>=HYPERLINK("http://anyluxury.ru/shop/prazdnik/podarki-dlya-detey/svitshot-detskiy-toima-kids-seriy-melanzh-1113611/" , "11136.11 Свитшот Toima Kids серый меланж, 6 лет")</f>
      </c>
      <c r="C30933" s="4" t="n">
        <v>789.00</v>
      </c>
      <c r="D30933" s="4"/>
    </row>
    <row collapsed="" customFormat="false" customHeight="1" hidden="" ht="14" outlineLevel="0" r="30934">
      <c r="A30934" s="3" t="inlineStr">
        <is>
          <t>30768</t>
        </is>
      </c>
      <c r="B30934" s="4" t="s">
        <f>=HYPERLINK("http://anyluxury.ru/shop/prazdnik/podarki-dlya-detey/svitshot-detskiy-toima-kids-cherniy-1113630/" , "11136.30 Свитшот Toima Kids черный, 8 лет")</f>
      </c>
      <c r="C30934" s="4" t="n">
        <v>789.00</v>
      </c>
      <c r="D30934" s="4"/>
    </row>
    <row collapsed="" customFormat="false" customHeight="1" hidden="" ht="14" outlineLevel="0" r="30935">
      <c r="A30935" s="3" t="inlineStr">
        <is>
          <t>30769</t>
        </is>
      </c>
      <c r="B30935" s="4" t="s">
        <f>=HYPERLINK("http://anyluxury.ru/shop/prazdnik/podarki-dlya-detey/detskiy-stakanraskraska-peredvizhnik-siniy-1138140/" , "11381.40 Детский стакан-раскраска «Передвижник», синий")</f>
      </c>
      <c r="C30935" s="4" t="n">
        <v>643.00</v>
      </c>
      <c r="D30935" s="4"/>
    </row>
    <row collapsed="" customFormat="false" customHeight="1" hidden="" ht="14" outlineLevel="0" r="30936">
      <c r="A30936" s="3" t="inlineStr">
        <is>
          <t>30770</t>
        </is>
      </c>
      <c r="B30936" s="4" t="s">
        <f>=HYPERLINK("http://anyluxury.ru/shop/prazdnik/podarki-dlya-detey/butilka-juicy-drink-box-zheltaya-1069780/" , "10697.80 Бутылка Juicy Drink Box, желтая")</f>
      </c>
      <c r="C30936" s="4" t="n">
        <v>990.00</v>
      </c>
      <c r="D30936" s="4"/>
    </row>
    <row collapsed="" customFormat="false" customHeight="1" hidden="" ht="14" outlineLevel="0" r="30937">
      <c r="A30937" s="3" t="inlineStr">
        <is>
          <t>30771</t>
        </is>
      </c>
      <c r="B30937" s="4" t="s">
        <f>=HYPERLINK("http://anyluxury.ru/shop/prazdnik/podarki-dlya-detey/nabor-karandashey-tiny-15353/" , "15353 Набор цветных карандашей Tiny")</f>
      </c>
      <c r="C30937" s="4" t="n">
        <v>376.00</v>
      </c>
      <c r="D30937" s="4"/>
    </row>
    <row collapsed="" customFormat="false" customHeight="1" hidden="" ht="14" outlineLevel="0" r="30938">
      <c r="A30938" s="3" t="inlineStr">
        <is>
          <t>30772</t>
        </is>
      </c>
      <c r="B30938" s="4" t="s">
        <f>=HYPERLINK("http://anyluxury.ru/shop/prazdnik/podarki-dlya-detey/svetilnik-keramicheskiy-medved-11061/" , "11061 Светильник керамический «Медведь»")</f>
      </c>
      <c r="C30938" s="4" t="n">
        <v>2683.00</v>
      </c>
      <c r="D30938" s="4"/>
    </row>
    <row collapsed="" customFormat="false" customHeight="1" hidden="" ht="14" outlineLevel="0" r="30939">
      <c r="A30939" s="3" t="inlineStr">
        <is>
          <t>30773</t>
        </is>
      </c>
      <c r="B30939" s="4" t="s">
        <f>=HYPERLINK("http://anyluxury.ru/shop/prazdnik/podarki-dlya-detey/konstruktor-lego-duplo-samolet-16064/" , "16064 Конструктор «LEGO Duplo. Самолет»")</f>
      </c>
      <c r="C30939" s="4" t="n">
        <v>702.00</v>
      </c>
      <c r="D30939" s="4"/>
    </row>
    <row collapsed="" customFormat="false" customHeight="1" hidden="" ht="14" outlineLevel="0" r="30940">
      <c r="A30940" s="3" t="inlineStr">
        <is>
          <t>30774</t>
        </is>
      </c>
      <c r="B30940" s="4" t="s">
        <f>=HYPERLINK("http://anyluxury.ru/shop/prazdnik/podarki-dlya-detey/konstruktor-lego-technic-remontniy-avtokran-16067/" , "16067 Конструктор «LEGO Technic. Ремонтный автокран»")</f>
      </c>
      <c r="C30940" s="4" t="n">
        <v>820.00</v>
      </c>
      <c r="D30940" s="4"/>
    </row>
    <row collapsed="" customFormat="false" customHeight="1" hidden="" ht="14" outlineLevel="0" r="30941">
      <c r="A30941" s="3" t="inlineStr">
        <is>
          <t>30775</t>
        </is>
      </c>
      <c r="B30941" s="4" t="s">
        <f>=HYPERLINK("http://anyluxury.ru/shop/prazdnik/podarki-dlya-detey/igra-kubiki-istoriy-mumitrolli-1196802/" , "11968.02 Игра «Кубики Историй. Муми-тролли»")</f>
      </c>
      <c r="C30941" s="4" t="n">
        <v>890.00</v>
      </c>
      <c r="D30941" s="4"/>
    </row>
    <row collapsed="" customFormat="false" customHeight="1" hidden="" ht="14" outlineLevel="0" r="30942">
      <c r="A30942" s="3" t="inlineStr">
        <is>
          <t>30776</t>
        </is>
      </c>
      <c r="B30942" s="4" t="s">
        <f>=HYPERLINK("http://anyluxury.ru/shop/prazdnik/podarki-dlya-detey/igra-kubiki-istoriy-fantaziya-1196805/" , "11968.05 Игра «Кубики Историй. Фантазия»")</f>
      </c>
      <c r="C30942" s="4" t="n">
        <v>1299.00</v>
      </c>
      <c r="D30942" s="4"/>
    </row>
    <row collapsed="" customFormat="false" customHeight="1" hidden="" ht="14" outlineLevel="0" r="30943">
      <c r="A30943" s="3" t="inlineStr">
        <is>
          <t>30777</t>
        </is>
      </c>
      <c r="B30943" s="4" t="s">
        <f>=HYPERLINK("http://anyluxury.ru/shop/prazdnik/podarki-dlya-detey/pled-detskiy-illinois-siniy-1068740/" , "10687.40 Плед детский Illinois, синий")</f>
      </c>
      <c r="C30943" s="4" t="n">
        <v>4900.00</v>
      </c>
      <c r="D30943" s="4"/>
    </row>
    <row collapsed="" customFormat="false" customHeight="1" hidden="" ht="14" outlineLevel="0" r="30944">
      <c r="A30944" s="3" t="inlineStr">
        <is>
          <t>30778</t>
        </is>
      </c>
      <c r="B30944" s="4" t="s">
        <f>=HYPERLINK("http://anyluxury.ru/shop/prazdnik/podarki-dlya-detey/svitshot-detskiy-toima-kids-krasniy-1113650/" , "11136.50 Свитшот Toima kids красный, 6 лет")</f>
      </c>
      <c r="C30944" s="4" t="n">
        <v>789.00</v>
      </c>
      <c r="D30944" s="4"/>
    </row>
    <row collapsed="" customFormat="false" customHeight="1" hidden="" ht="14" outlineLevel="0" r="30945">
      <c r="A30945" s="3" t="inlineStr">
        <is>
          <t>30779</t>
        </is>
      </c>
      <c r="B30945" s="4" t="s">
        <f>=HYPERLINK("http://anyluxury.ru/shop/prazdnik/podarki-dlya-detey/svitshot-detskiy-toima-kids-krasniy-1113650/" , "11136.50 Свитшот Toima kids красный, 8 лет")</f>
      </c>
      <c r="C30945" s="4" t="n">
        <v>789.00</v>
      </c>
      <c r="D30945" s="4"/>
    </row>
    <row collapsed="" customFormat="false" customHeight="1" hidden="" ht="14" outlineLevel="0" r="30946">
      <c r="A30946" s="3" t="inlineStr">
        <is>
          <t>30780</t>
        </is>
      </c>
      <c r="B30946" s="4" t="s">
        <f>=HYPERLINK("http://anyluxury.ru/shop/prazdnik/podarki-dlya-detey/svitshot-detskiy-toima-kids-krasniy-1113650/" , "11136.50 Свитшот Toima kids красный, 10 лет")</f>
      </c>
      <c r="C30946" s="4" t="n">
        <v>789.00</v>
      </c>
      <c r="D30946" s="4"/>
    </row>
    <row collapsed="" customFormat="false" customHeight="1" hidden="" ht="14" outlineLevel="0" r="30947">
      <c r="A30947" s="3" t="inlineStr">
        <is>
          <t>30781</t>
        </is>
      </c>
      <c r="B30947" s="4" t="s">
        <f>=HYPERLINK("http://anyluxury.ru/shop/prazdnik/podarki-dlya-detey/svitshot-detskiy-toima-kids-krasniy-1113650/" , "11136.50 Свитшот Toima kids красный, 14 лет")</f>
      </c>
      <c r="C30947" s="4" t="n">
        <v>789.00</v>
      </c>
      <c r="D30947" s="4"/>
    </row>
    <row collapsed="" customFormat="false" customHeight="1" hidden="" ht="14" outlineLevel="0" r="30948">
      <c r="A30948" s="3" t="inlineStr">
        <is>
          <t>30782</t>
        </is>
      </c>
      <c r="B30948" s="4" t="s">
        <f>=HYPERLINK("http://anyluxury.ru/shop/prazdnik/podarki-dlya-detey/igra-kubiki-istoriy-mistika-1196806/" , "11968.06 Игра «Кубики историй. Мистика»")</f>
      </c>
      <c r="C30948" s="4" t="n">
        <v>1299.00</v>
      </c>
      <c r="D30948" s="4"/>
    </row>
    <row collapsed="" customFormat="false" customHeight="1" hidden="" ht="14" outlineLevel="0" r="30949">
      <c r="A30949" s="3" t="inlineStr">
        <is>
          <t>30783</t>
        </is>
      </c>
      <c r="B30949" s="4" t="s">
        <f>=HYPERLINK("http://anyluxury.ru/shop/prazdnik/podarki-dlya-detey/igra-kubiki-istoriy-pervobitniy-mir-1196807/" , "11968.07 Игра «Кубики историй. Первобытный мир»")</f>
      </c>
      <c r="C30949" s="4" t="n">
        <v>1299.00</v>
      </c>
      <c r="D30949" s="4"/>
    </row>
    <row collapsed="" customFormat="false" customHeight="1" hidden="" ht="14" outlineLevel="0" r="30950">
      <c r="A30950" s="3" t="inlineStr">
        <is>
          <t>30784</t>
        </is>
      </c>
      <c r="B30950" s="4" t="s">
        <f>=HYPERLINK("http://anyluxury.ru/shop/prazdnik/podarki-dlya-detey/igra-kubiki-istoriy-astronomiya-1196808/" , "11968.08 Игра «Кубики историй. Астрономия»")</f>
      </c>
      <c r="C30950" s="4" t="n">
        <v>1299.00</v>
      </c>
      <c r="D30950" s="4"/>
    </row>
    <row collapsed="" customFormat="false" customHeight="1" hidden="" ht="14" outlineLevel="0" r="30951">
      <c r="A30951" s="3" t="inlineStr">
        <is>
          <t>30785</t>
        </is>
      </c>
      <c r="B30951" s="4" t="s">
        <f>=HYPERLINK("http://anyluxury.ru/shop/prazdnik/podarki-dlya-detey/igra-kubiki-istoriy-pervaya-pomoshh-1196809/" , "11968.09 Игра «Кубики историй. Первая помощь»")</f>
      </c>
      <c r="C30951" s="4" t="n">
        <v>1299.00</v>
      </c>
      <c r="D30951" s="4"/>
    </row>
    <row collapsed="" customFormat="false" customHeight="1" hidden="" ht="14" outlineLevel="0" r="30952">
      <c r="A30952" s="3" t="inlineStr">
        <is>
          <t>30786</t>
        </is>
      </c>
      <c r="B30952" s="4" t="s">
        <f>=HYPERLINK("http://anyluxury.ru/shop/prazdnik/podarki-dlya-detey/igra-kubiki-istoriy-geroi-1196810/" , "11968.10 Игра «Кубики историй. Герои»")</f>
      </c>
      <c r="C30952" s="4" t="n">
        <v>1299.00</v>
      </c>
      <c r="D30952" s="4"/>
    </row>
    <row collapsed="" customFormat="false" customHeight="1" hidden="" ht="14" outlineLevel="0" r="30953">
      <c r="A30953" s="3" t="inlineStr">
        <is>
          <t>30787</t>
        </is>
      </c>
      <c r="B30953" s="4" t="s">
        <f>=HYPERLINK("http://anyluxury.ru/shop/prazdnik/podarki-dlya-detey/tolstovka-s-kapyushonom-detskaya-kirenga-kids-seriy-melanzh-1114711/" , "11147.11 Толстовка с капюшоном детская Kirenga Kids, серый меланж, 6 лет")</f>
      </c>
      <c r="C30953" s="4" t="n">
        <v>988.00</v>
      </c>
      <c r="D30953" s="4"/>
    </row>
    <row collapsed="" customFormat="false" customHeight="1" hidden="" ht="14" outlineLevel="0" r="30954">
      <c r="A30954" s="3" t="inlineStr">
        <is>
          <t>30788</t>
        </is>
      </c>
      <c r="B30954" s="4" t="s">
        <f>=HYPERLINK("http://anyluxury.ru/shop/prazdnik/podarki-dlya-detey/tolstovka-s-kapyushonom-detskaya-kirenga-kids-seriy-melanzh-1114711/" , "11147.11 Толстовка с капюшоном детская Kirenga Kids, серый меланж, 8 лет")</f>
      </c>
      <c r="C30954" s="4" t="n">
        <v>988.00</v>
      </c>
      <c r="D30954" s="4"/>
    </row>
    <row collapsed="" customFormat="false" customHeight="1" hidden="" ht="14" outlineLevel="0" r="30955">
      <c r="A30955" s="3" t="inlineStr">
        <is>
          <t>30789</t>
        </is>
      </c>
      <c r="B30955" s="4" t="s">
        <f>=HYPERLINK("http://anyluxury.ru/shop/prazdnik/podarki-dlya-detey/tolstovka-s-kapyushonom-detskaya-kirenga-kids-seriy-melanzh-1114711/" , "11147.11 Толстовка с капюшоном детская Kirenga Kids, серый меланж, 10 лет")</f>
      </c>
      <c r="C30955" s="4" t="n">
        <v>988.00</v>
      </c>
      <c r="D30955" s="4"/>
    </row>
    <row collapsed="" customFormat="false" customHeight="1" hidden="" ht="14" outlineLevel="0" r="30956">
      <c r="A30956" s="3" t="inlineStr">
        <is>
          <t>30790</t>
        </is>
      </c>
      <c r="B30956" s="4" t="s">
        <f>=HYPERLINK("http://anyluxury.ru/shop/prazdnik/podarki-dlya-detey/tolstovka-s-kapyushonom-detskaya-kirenga-kids-seriy-melanzh-1114711/" , "11147.11 Толстовка с капюшоном детская Kirenga Kids серый меланж, 12 лет")</f>
      </c>
      <c r="C30956" s="4" t="n">
        <v>988.00</v>
      </c>
      <c r="D30956" s="4"/>
    </row>
    <row collapsed="" customFormat="false" customHeight="1" hidden="" ht="14" outlineLevel="0" r="30957">
      <c r="A30957" s="3" t="inlineStr">
        <is>
          <t>30791</t>
        </is>
      </c>
      <c r="B30957" s="4" t="s">
        <f>=HYPERLINK("http://anyluxury.ru/shop/prazdnik/podarki-dlya-detey/tolstovka-s-kapyushonom-detskaya-kirenga-kids-chernaya-1114730/" , "11147.30 Толстовка с капюшоном детская Kirenga Kids, черная, 6 лет")</f>
      </c>
      <c r="C30957" s="4" t="n">
        <v>988.00</v>
      </c>
      <c r="D30957" s="4"/>
    </row>
    <row collapsed="" customFormat="false" customHeight="1" hidden="" ht="14" outlineLevel="0" r="30958">
      <c r="A30958" s="3" t="inlineStr">
        <is>
          <t>30792</t>
        </is>
      </c>
      <c r="B30958" s="4" t="s">
        <f>=HYPERLINK("http://anyluxury.ru/shop/prazdnik/podarki-dlya-detey/tolstovka-s-kapyushonom-detskaya-kirenga-kids-chernaya-1114730/" , "11147.30 Толстовка с капюшоном детская Kirenga Kids, черная, 12 лет")</f>
      </c>
      <c r="C30958" s="4" t="n">
        <v>988.00</v>
      </c>
      <c r="D30958" s="4"/>
    </row>
    <row collapsed="" customFormat="false" customHeight="1" hidden="" ht="14" outlineLevel="0" r="30959">
      <c r="A30959" s="3" t="inlineStr">
        <is>
          <t>30793</t>
        </is>
      </c>
      <c r="B30959" s="4" t="s">
        <f>=HYPERLINK("http://anyluxury.ru/shop/prazdnik/podarki-dlya-detey/tolstovka-s-kapyushonom-detskaya-kirenga-kids-chernaya-1114730/" , "11147.30 Толстовка с капюшоном детская Kirenga Kids, черная, 14 лет")</f>
      </c>
      <c r="C30959" s="4" t="n">
        <v>988.00</v>
      </c>
      <c r="D30959" s="4"/>
    </row>
    <row collapsed="" customFormat="false" customHeight="1" hidden="" ht="14" outlineLevel="0" r="30960">
      <c r="A30960" s="3" t="inlineStr">
        <is>
          <t>30794</t>
        </is>
      </c>
      <c r="B30960" s="4" t="s">
        <f>=HYPERLINK("http://anyluxury.ru/shop/prazdnik/podarki-dlya-detey/tolstovka-s-kapyushonom-detskaya-kirenga-kids-belaya-1114760/" , "11147.60 Толстовка с капюшоном детская Kirenga Kids, белая, 6 лет")</f>
      </c>
      <c r="C30960" s="4" t="n">
        <v>988.00</v>
      </c>
      <c r="D30960" s="4"/>
    </row>
    <row collapsed="" customFormat="false" customHeight="1" hidden="" ht="14" outlineLevel="0" r="30961">
      <c r="A30961" s="3" t="inlineStr">
        <is>
          <t>30795</t>
        </is>
      </c>
      <c r="B30961" s="4" t="s">
        <f>=HYPERLINK("http://anyluxury.ru/shop/prazdnik/podarki-dlya-detey/tolstovka-s-kapyushonom-detskaya-kirenga-kids-belaya-1114760/" , "11147.60 Толстовка с капюшоном детская Kirenga Kids, белая, 10 лет")</f>
      </c>
      <c r="C30961" s="4" t="n">
        <v>988.00</v>
      </c>
      <c r="D30961" s="4"/>
    </row>
    <row collapsed="" customFormat="false" customHeight="1" hidden="" ht="14" outlineLevel="0" r="30962">
      <c r="A30962" s="3" t="inlineStr">
        <is>
          <t>30796</t>
        </is>
      </c>
      <c r="B30962" s="4" t="s">
        <f>=HYPERLINK("http://anyluxury.ru/shop/prazdnik/podarki-dlya-detey/tolstovka-s-kapyushonom-detskaya-kirenga-kids-belaya-1114760/" , "11147.60 Толстовка с капюшоном детская Kirenga Kids, белая, 12 лет")</f>
      </c>
      <c r="C30962" s="4" t="n">
        <v>988.00</v>
      </c>
      <c r="D30962" s="4"/>
    </row>
    <row collapsed="" customFormat="false" customHeight="1" hidden="" ht="14" outlineLevel="0" r="30963">
      <c r="A30963" s="3" t="inlineStr">
        <is>
          <t>30797</t>
        </is>
      </c>
      <c r="B30963" s="4" t="s">
        <f>=HYPERLINK("http://anyluxury.ru/shop/prazdnik/podarki-dlya-detey/tolstovka-s-kapyushonom-detskaya-kirenga-kids-temnosinyaya-1114740/" , "11147.40 Толстовка с капюшоном детская Kirenga Kids, темно-синяя, 6 лет")</f>
      </c>
      <c r="C30963" s="4" t="n">
        <v>988.00</v>
      </c>
      <c r="D30963" s="4"/>
    </row>
    <row collapsed="" customFormat="false" customHeight="1" hidden="" ht="14" outlineLevel="0" r="30964">
      <c r="A30964" s="3" t="inlineStr">
        <is>
          <t>30798</t>
        </is>
      </c>
      <c r="B30964" s="4" t="s">
        <f>=HYPERLINK("http://anyluxury.ru/shop/prazdnik/podarki-dlya-detey/tolstovka-s-kapyushonom-detskaya-kirenga-kids-temnosinyaya-1114740/" , "11147.40 Толстовка с капюшоном детская Kirenga Kids, темно-синяя, 8 лет")</f>
      </c>
      <c r="C30964" s="4" t="n">
        <v>988.00</v>
      </c>
      <c r="D30964" s="4"/>
    </row>
    <row collapsed="" customFormat="false" customHeight="1" hidden="" ht="14" outlineLevel="0" r="30965">
      <c r="A30965" s="3" t="inlineStr">
        <is>
          <t>30799</t>
        </is>
      </c>
      <c r="B30965" s="4" t="s">
        <f>=HYPERLINK("http://anyluxury.ru/shop/prazdnik/podarki-dlya-detey/tolstovka-s-kapyushonom-detskaya-kirenga-kids-temnosinyaya-1114740/" , "11147.40 Толстовка с капюшоном детская Kirenga Kids, темно-синяя, 10 лет")</f>
      </c>
      <c r="C30965" s="4" t="n">
        <v>988.00</v>
      </c>
      <c r="D30965" s="4"/>
    </row>
    <row collapsed="" customFormat="false" customHeight="1" hidden="" ht="14" outlineLevel="0" r="30966">
      <c r="A30966" s="3" t="inlineStr">
        <is>
          <t>30800</t>
        </is>
      </c>
      <c r="B30966" s="4" t="s">
        <f>=HYPERLINK("http://anyluxury.ru/shop/prazdnik/podarki-dlya-detey/tolstovka-s-kapyushonom-detskaya-kirenga-kids-temnosinyaya-1114740/" , "11147.40 Толстовка с капюшоном детская Kirenga Kids, темно-синяя, 12 лет")</f>
      </c>
      <c r="C30966" s="4" t="n">
        <v>988.00</v>
      </c>
      <c r="D30966" s="4"/>
    </row>
    <row collapsed="" customFormat="false" customHeight="1" hidden="" ht="14" outlineLevel="0" r="30967">
      <c r="A30967" s="3" t="inlineStr">
        <is>
          <t>30801</t>
        </is>
      </c>
      <c r="B30967" s="4" t="s">
        <f>=HYPERLINK("http://anyluxury.ru/shop/prazdnik/podarki-dlya-detey/tolstovka-s-kapyushonom-detskaya-kirenga-kids-temnosinyaya-1114740/" , "11147.40 Толстовка с капюшоном детская Kirenga Kids, темно-синяя, 14 лет")</f>
      </c>
      <c r="C30967" s="4" t="n">
        <v>988.00</v>
      </c>
      <c r="D30967" s="4"/>
    </row>
    <row collapsed="" customFormat="false" customHeight="1" hidden="" ht="14" outlineLevel="0" r="30968">
      <c r="A30968" s="3" t="inlineStr">
        <is>
          <t>30802</t>
        </is>
      </c>
      <c r="B30968" s="4" t="s">
        <f>=HYPERLINK("http://anyluxury.ru/shop/prazdnik/podarki-dlya-detey/tolstovka-s-kapyushonom-detskaya-kirenga-kids-yarkosinyaya-1114744/" , "11147.44 Толстовка с капюшоном детская Kirenga Kids, ярко-синяя, 6 лет")</f>
      </c>
      <c r="C30968" s="4" t="n">
        <v>988.00</v>
      </c>
      <c r="D30968" s="4"/>
    </row>
    <row collapsed="" customFormat="false" customHeight="1" hidden="" ht="14" outlineLevel="0" r="30969">
      <c r="A30969" s="3" t="inlineStr">
        <is>
          <t>30803</t>
        </is>
      </c>
      <c r="B30969" s="4" t="s">
        <f>=HYPERLINK("http://anyluxury.ru/shop/prazdnik/podarki-dlya-detey/tolstovka-s-kapyushonom-detskaya-kirenga-kids-yarkosinyaya-1114744/" , "11147.44 Толстовка с капюшоном детская Kirenga Kids, ярко-синяя, 8 лет")</f>
      </c>
      <c r="C30969" s="4" t="n">
        <v>988.00</v>
      </c>
      <c r="D30969" s="4"/>
    </row>
    <row collapsed="" customFormat="false" customHeight="1" hidden="" ht="14" outlineLevel="0" r="30970">
      <c r="A30970" s="3" t="inlineStr">
        <is>
          <t>30804</t>
        </is>
      </c>
      <c r="B30970" s="4" t="s">
        <f>=HYPERLINK("http://anyluxury.ru/shop/prazdnik/podarki-dlya-detey/tolstovka-s-kapyushonom-detskaya-kirenga-kids-yarkosinyaya-1114744/" , "11147.44 Толстовка с капюшоном детская Kirenga Kids, ярко-синяя, 10 лет")</f>
      </c>
      <c r="C30970" s="4" t="n">
        <v>988.00</v>
      </c>
      <c r="D30970" s="4"/>
    </row>
    <row collapsed="" customFormat="false" customHeight="1" hidden="" ht="14" outlineLevel="0" r="30971">
      <c r="A30971" s="3" t="inlineStr">
        <is>
          <t>30805</t>
        </is>
      </c>
      <c r="B30971" s="4" t="s">
        <f>=HYPERLINK("http://anyluxury.ru/shop/prazdnik/podarki-dlya-detey/tolstovka-s-kapyushonom-detskaya-kirenga-kids-yarkosinyaya-1114744/" , "11147.44 Толстовка с капюшоном детская Kirenga Kids, ярко-синяя, 12 лет")</f>
      </c>
      <c r="C30971" s="4" t="n">
        <v>988.00</v>
      </c>
      <c r="D30971" s="4"/>
    </row>
    <row collapsed="" customFormat="false" customHeight="1" hidden="" ht="14" outlineLevel="0" r="30972">
      <c r="A30972" s="3" t="inlineStr">
        <is>
          <t>30806</t>
        </is>
      </c>
      <c r="B30972" s="4" t="s">
        <f>=HYPERLINK("http://anyluxury.ru/shop/prazdnik/podarki-dlya-detey/tolstovka-s-kapyushonom-detskaya-kirenga-kids-yarkosinyaya-1114744/" , "11147.44 Толстовка с капюшоном детская Kirenga Kids, ярко-синяя, 14 лет")</f>
      </c>
      <c r="C30972" s="4" t="n">
        <v>988.00</v>
      </c>
      <c r="D30972" s="4"/>
    </row>
    <row collapsed="" customFormat="false" customHeight="1" hidden="" ht="14" outlineLevel="0" r="30973">
      <c r="A30973" s="3" t="inlineStr">
        <is>
          <t>30807</t>
        </is>
      </c>
      <c r="B30973" s="4" t="s">
        <f>=HYPERLINK("http://anyluxury.ru/shop/prazdnik/podarki-dlya-detey/tolstovka-s-kapyushonom-detskaya-kirenga-kids-krasnaya-1114750/" , "11147.50 Толстовка с капюшоном детская Kirenga Kids, красная, 6 лет")</f>
      </c>
      <c r="C30973" s="4" t="n">
        <v>988.00</v>
      </c>
      <c r="D30973" s="4"/>
    </row>
    <row collapsed="" customFormat="false" customHeight="1" hidden="" ht="14" outlineLevel="0" r="30974">
      <c r="A30974" s="3" t="inlineStr">
        <is>
          <t>30808</t>
        </is>
      </c>
      <c r="B30974" s="4" t="s">
        <f>=HYPERLINK("http://anyluxury.ru/shop/prazdnik/podarki-dlya-detey/tolstovka-s-kapyushonom-detskaya-kirenga-kids-krasnaya-1114750/" , "11147.50 Толстовка с капюшоном детская Kirenga Kids, красная, 8 лет")</f>
      </c>
      <c r="C30974" s="4" t="n">
        <v>988.00</v>
      </c>
      <c r="D30974" s="4"/>
    </row>
    <row collapsed="" customFormat="false" customHeight="1" hidden="" ht="14" outlineLevel="0" r="30975">
      <c r="A30975" s="3" t="inlineStr">
        <is>
          <t>30809</t>
        </is>
      </c>
      <c r="B30975" s="4" t="s">
        <f>=HYPERLINK("http://anyluxury.ru/shop/prazdnik/podarki-dlya-detey/tolstovka-s-kapyushonom-detskaya-kirenga-kids-krasnaya-1114750/" , "11147.50 Толстовка с капюшоном детская Kirenga Kids, красная, 10 лет")</f>
      </c>
      <c r="C30975" s="4" t="n">
        <v>988.00</v>
      </c>
      <c r="D30975" s="4"/>
    </row>
    <row collapsed="" customFormat="false" customHeight="1" hidden="" ht="14" outlineLevel="0" r="30976">
      <c r="A30976" s="3" t="inlineStr">
        <is>
          <t>30810</t>
        </is>
      </c>
      <c r="B30976" s="4" t="s">
        <f>=HYPERLINK("http://anyluxury.ru/shop/prazdnik/podarki-dlya-detey/tolstovka-s-kapyushonom-detskaya-kirenga-kids-krasnaya-1114750/" , "11147.50 Толстовка с капюшоном детская Kirenga Kids, красная, 12 лет")</f>
      </c>
      <c r="C30976" s="4" t="n">
        <v>988.00</v>
      </c>
      <c r="D30976" s="4"/>
    </row>
    <row collapsed="" customFormat="false" customHeight="1" hidden="" ht="14" outlineLevel="0" r="30977">
      <c r="A30977" s="3" t="inlineStr">
        <is>
          <t>30811</t>
        </is>
      </c>
      <c r="B30977" s="4" t="s">
        <f>=HYPERLINK("http://anyluxury.ru/shop/prazdnik/podarki-dlya-detey/tolstovka-s-kapyushonom-detskaya-kirenga-kids-krasnaya-1114750/" , "11147.50 Толстовка с капюшоном детская Kirenga Kids, красная, 14 лет")</f>
      </c>
      <c r="C30977" s="4" t="n">
        <v>988.00</v>
      </c>
      <c r="D30977" s="4"/>
    </row>
    <row collapsed="" customFormat="false" customHeight="1" hidden="" ht="14" outlineLevel="0" r="30978">
      <c r="A30978" s="3" t="inlineStr">
        <is>
          <t>30812</t>
        </is>
      </c>
      <c r="B30978" s="4" t="s">
        <f>=HYPERLINK("http://anyluxury.ru/shop/prazdnik/podarki-dlya-detey/nastolnaya-igra-enciklopediya-17991/" , "17991 Настольная игра «Энциклопедия»")</f>
      </c>
      <c r="C30978" s="4" t="n">
        <v>990.00</v>
      </c>
      <c r="D30978" s="4"/>
    </row>
    <row collapsed="" customFormat="false" customHeight="1" hidden="" ht="14" outlineLevel="0" r="30979">
      <c r="A30979" s="3" t="inlineStr">
        <is>
          <t>30813</t>
        </is>
      </c>
      <c r="B30979" s="4" t="s">
        <f>=HYPERLINK("http://anyluxury.ru/shop/prazdnik/podarki-dlya-detey/futbolka-detskaya-s-dlinnim-rukavom-baby-prime-biryuzovaya-s-rozovim-1811342/" , "18113.42 Футболка детская с длинным рукавом Baby Prime, бирюзовая с розовым, 68 см")</f>
      </c>
      <c r="C30979" s="4" t="n">
        <v>295.00</v>
      </c>
      <c r="D30979" s="4"/>
    </row>
    <row collapsed="" customFormat="false" customHeight="1" hidden="" ht="14" outlineLevel="0" r="30980">
      <c r="A30980" s="3" t="inlineStr">
        <is>
          <t>30814</t>
        </is>
      </c>
      <c r="B30980" s="4" t="s">
        <f>=HYPERLINK("http://anyluxury.ru/shop/prazdnik/podarki-dlya-detey/futbolka-detskaya-s-dlinnim-rukavom-baby-prime-biryuzovaya-s-rozovim-1811342/" , "18113.42 Футболка детская с длинным рукавом Baby Prime, бирюзовая с розовым, 74 см")</f>
      </c>
      <c r="C30980" s="4" t="n">
        <v>295.00</v>
      </c>
      <c r="D30980" s="4"/>
    </row>
    <row collapsed="" customFormat="false" customHeight="1" hidden="" ht="14" outlineLevel="0" r="30981">
      <c r="A30981" s="3" t="inlineStr">
        <is>
          <t>30815</t>
        </is>
      </c>
      <c r="B30981" s="4" t="s">
        <f>=HYPERLINK("http://anyluxury.ru/shop/prazdnik/podarki-dlya-detey/futbolka-detskaya-s-dlinnim-rukavom-baby-prime-biryuzovaya-s-rozovim-1811342/" , "18113.42 Футболка детская с длинным рукавом Baby Prime, бирюзовая с розовым, 80 см")</f>
      </c>
      <c r="C30981" s="4" t="n">
        <v>295.00</v>
      </c>
      <c r="D30981" s="4"/>
    </row>
    <row collapsed="" customFormat="false" customHeight="1" hidden="" ht="14" outlineLevel="0" r="30982">
      <c r="A30982" s="3" t="inlineStr">
        <is>
          <t>30816</t>
        </is>
      </c>
      <c r="B30982" s="4" t="s">
        <f>=HYPERLINK("http://anyluxury.ru/shop/prazdnik/podarki-dlya-detey/bodi-detskoe-baby-prime-molochnobeloe-1816360/" , "18163.60 Боди детское Baby Prime, молочно-белое, размер 80 см")</f>
      </c>
      <c r="C30982" s="4" t="n">
        <v>526.00</v>
      </c>
      <c r="D30982" s="4"/>
    </row>
    <row collapsed="" customFormat="false" customHeight="1" hidden="" ht="14" outlineLevel="0" r="30983">
      <c r="A30983" s="3" t="inlineStr">
        <is>
          <t>30817</t>
        </is>
      </c>
      <c r="B30983" s="4" t="s">
        <f>=HYPERLINK("http://anyluxury.ru/shop/prazdnik/podarki-dlya-detey/bodi-detskoe-baby-prime-rozovoe-s-molochnobelim-1816315/" , "18163.15 Боди детское Baby Prime, розовое с молочно-белым, размер 68 см")</f>
      </c>
      <c r="C30983" s="4" t="n">
        <v>526.00</v>
      </c>
      <c r="D30983" s="4"/>
    </row>
    <row collapsed="" customFormat="false" customHeight="1" hidden="" ht="14" outlineLevel="0" r="30984">
      <c r="A30984" s="3" t="inlineStr">
        <is>
          <t>30818</t>
        </is>
      </c>
      <c r="B30984" s="4" t="s">
        <f>=HYPERLINK("http://anyluxury.ru/shop/prazdnik/podarki-dlya-detey/bodi-detskoe-baby-prime-rozovoe-s-molochnobelim-1816315/" , "18163.15 Боди детское Baby Prime, розовое с молочно-белым, размер 74 см")</f>
      </c>
      <c r="C30984" s="4" t="n">
        <v>526.00</v>
      </c>
      <c r="D30984" s="4"/>
    </row>
    <row collapsed="" customFormat="false" customHeight="1" hidden="" ht="14" outlineLevel="0" r="30985">
      <c r="A30985" s="3" t="inlineStr">
        <is>
          <t>30819</t>
        </is>
      </c>
      <c r="B30985" s="4" t="s">
        <f>=HYPERLINK("http://anyluxury.ru/shop/prazdnik/podarki-dlya-detey/bodi-detskoe-baby-prime-rozovoe-s-molochnobelim-1816315/" , "18163.15 Боди детское Baby Prime, розовое с молочно-белым, размер 80 см")</f>
      </c>
      <c r="C30985" s="4" t="n">
        <v>526.00</v>
      </c>
      <c r="D30985" s="4"/>
    </row>
    <row collapsed="" customFormat="false" customHeight="1" hidden="" ht="14" outlineLevel="0" r="30986">
      <c r="A30986" s="3" t="inlineStr">
        <is>
          <t>30820</t>
        </is>
      </c>
      <c r="B30986" s="4" t="s">
        <f>=HYPERLINK("http://anyluxury.ru/shop/prazdnik/podarki-dlya-detey/bodi-detskoe-baby-prime-chernoe-1816330/" , "18163.30 Боди детское Baby Prime, черное, размер 68 см")</f>
      </c>
      <c r="C30986" s="4" t="n">
        <v>526.00</v>
      </c>
      <c r="D30986" s="4"/>
    </row>
    <row collapsed="" customFormat="false" customHeight="1" hidden="" ht="14" outlineLevel="0" r="30987">
      <c r="A30987" s="3" t="inlineStr">
        <is>
          <t>30821</t>
        </is>
      </c>
      <c r="B30987" s="4" t="s">
        <f>=HYPERLINK("http://anyluxury.ru/shop/prazdnik/podarki-dlya-detey/bodi-detskoe-baby-prime-chernoe-1816330/" , "18163.30 Боди детское Baby Prime, черное, размер 74 см")</f>
      </c>
      <c r="C30987" s="4" t="n">
        <v>526.00</v>
      </c>
      <c r="D30987" s="4"/>
    </row>
    <row collapsed="" customFormat="false" customHeight="1" hidden="" ht="14" outlineLevel="0" r="30988">
      <c r="A30988" s="3" t="inlineStr">
        <is>
          <t>30822</t>
        </is>
      </c>
      <c r="B30988" s="4" t="s">
        <f>=HYPERLINK("http://anyluxury.ru/shop/prazdnik/podarki-dlya-detey/bodi-detskoe-baby-prime-chernoe-1816330/" , "18163.30 Боди детское Baby Prime, черное, размер 80 см")</f>
      </c>
      <c r="C30988" s="4" t="n">
        <v>526.00</v>
      </c>
      <c r="D30988" s="4"/>
    </row>
    <row collapsed="" customFormat="false" customHeight="1" hidden="" ht="14" outlineLevel="0" r="30989">
      <c r="A30989" s="3" t="inlineStr">
        <is>
          <t>30823</t>
        </is>
      </c>
      <c r="B30989" s="4" t="s">
        <f>=HYPERLINK("http://anyluxury.ru/shop/prazdnik/podarki-dlya-detey/shapochka-detskaya-baby-prime-biryuzovaya-s-rozovim-1707542/" , "17075.42 Шапочка детская Baby Prime, бирюзовая с розовым")</f>
      </c>
      <c r="C30989" s="4" t="n">
        <v>135.00</v>
      </c>
      <c r="D30989" s="4"/>
    </row>
    <row collapsed="" customFormat="false" customHeight="1" hidden="" ht="14" outlineLevel="0" r="30990">
      <c r="A30990" s="3" t="inlineStr">
        <is>
          <t>30824</t>
        </is>
      </c>
      <c r="B30990" s="4" t="s">
        <f>=HYPERLINK("http://anyluxury.ru/shop/prazdnik/podarki-dlya-detey/futbolka-detskaya-s-dlinnim-rukavom-baby-prime-molochnobelaya-1811360/" , "18113.60 Футболка с длинным рукавом Baby Prime, детская, молочная, 68 см")</f>
      </c>
      <c r="C30990" s="4" t="n">
        <v>295.00</v>
      </c>
      <c r="D30990" s="4"/>
    </row>
    <row collapsed="" customFormat="false" customHeight="1" hidden="" ht="14" outlineLevel="0" r="30991">
      <c r="A30991" s="3" t="inlineStr">
        <is>
          <t>30825</t>
        </is>
      </c>
      <c r="B30991" s="4" t="s">
        <f>=HYPERLINK("http://anyluxury.ru/shop/prazdnik/podarki-dlya-detey/futbolka-detskaya-s-dlinnim-rukavom-baby-prime-molochnobelaya-1811360/" , "18113.60 Футболка с длинным рукавом Baby Prime, детская, молочная, 74 см")</f>
      </c>
      <c r="C30991" s="4" t="n">
        <v>295.00</v>
      </c>
      <c r="D30991" s="4"/>
    </row>
    <row collapsed="" customFormat="false" customHeight="1" hidden="" ht="14" outlineLevel="0" r="30992">
      <c r="A30992" s="3" t="inlineStr">
        <is>
          <t>30826</t>
        </is>
      </c>
      <c r="B30992" s="4" t="s">
        <f>=HYPERLINK("http://anyluxury.ru/shop/prazdnik/podarki-dlya-detey/futbolka-detskaya-s-dlinnim-rukavom-baby-prime-molochnobelaya-1811360/" , "18113.60 Футболка с длинным рукавом Baby Prime, детская, молочная, 80 см")</f>
      </c>
      <c r="C30992" s="4" t="n">
        <v>295.00</v>
      </c>
      <c r="D30992" s="4"/>
    </row>
    <row collapsed="" customFormat="false" customHeight="1" hidden="" ht="14" outlineLevel="0" r="30993">
      <c r="A30993" s="3" t="inlineStr">
        <is>
          <t>30827</t>
        </is>
      </c>
      <c r="B30993" s="4" t="s">
        <f>=HYPERLINK("http://anyluxury.ru/shop/prazdnik/podarki-dlya-detey/futbolka-detskaya-s-korotkim-rukavom-baby-prime-molochnobelaya-1813660/" , "18136.60 Футболка с коротким рукавом Baby Prime, детская, молочная, 74 см")</f>
      </c>
      <c r="C30993" s="4" t="n">
        <v>279.00</v>
      </c>
      <c r="D30993" s="4"/>
    </row>
    <row collapsed="" customFormat="false" customHeight="1" hidden="" ht="14" outlineLevel="0" r="30994">
      <c r="A30994" s="3" t="inlineStr">
        <is>
          <t>30828</t>
        </is>
      </c>
      <c r="B30994" s="4" t="s">
        <f>=HYPERLINK("http://anyluxury.ru/shop/prazdnik/podarki-dlya-detey/futbolka-detskaya-s-dlinnim-rukavom-baby-prime-rozovaya-s-molochnobelim-1811315/" , "18113.15 Футболка детская с длинным рукавом Baby Prime, розовая с молочно-белым, 68 см")</f>
      </c>
      <c r="C30994" s="4" t="n">
        <v>295.00</v>
      </c>
      <c r="D30994" s="4"/>
    </row>
    <row collapsed="" customFormat="false" customHeight="1" hidden="" ht="14" outlineLevel="0" r="30995">
      <c r="A30995" s="3" t="inlineStr">
        <is>
          <t>30829</t>
        </is>
      </c>
      <c r="B30995" s="4" t="s">
        <f>=HYPERLINK("http://anyluxury.ru/shop/prazdnik/podarki-dlya-detey/futbolka-detskaya-s-dlinnim-rukavom-baby-prime-rozovaya-s-molochnobelim-1811315/" , "18113.15 Футболка детская с длинным рукавом Baby Prime, розовая с молочно-белым, 74 см")</f>
      </c>
      <c r="C30995" s="4" t="n">
        <v>295.00</v>
      </c>
      <c r="D30995" s="4"/>
    </row>
    <row collapsed="" customFormat="false" customHeight="1" hidden="" ht="14" outlineLevel="0" r="30996">
      <c r="A30996" s="3" t="inlineStr">
        <is>
          <t>30830</t>
        </is>
      </c>
      <c r="B30996" s="4" t="s">
        <f>=HYPERLINK("http://anyluxury.ru/shop/prazdnik/podarki-dlya-detey/futbolka-detskaya-s-dlinnim-rukavom-baby-prime-rozovaya-s-molochnobelim-1811315/" , "18113.15 Футболка детская с длинным рукавом Baby Prime, розовая с молочно-белым, 80 см")</f>
      </c>
      <c r="C30996" s="4" t="n">
        <v>295.00</v>
      </c>
      <c r="D30996" s="4"/>
    </row>
    <row collapsed="" customFormat="false" customHeight="1" hidden="" ht="14" outlineLevel="0" r="30997">
      <c r="A30997" s="3" t="inlineStr">
        <is>
          <t>30831</t>
        </is>
      </c>
      <c r="B30997" s="4" t="s">
        <f>=HYPERLINK("http://anyluxury.ru/shop/prazdnik/podarki-dlya-detey/futbolka-detskaya-s-korotkim-rukavom-baby-prime-rozovaya-s-molochnobelim-1813615/" , "18136.15 Футболка с коротким рукавом Baby Prime, детская, розовая с молочно-белым, 74 см")</f>
      </c>
      <c r="C30997" s="4" t="n">
        <v>279.00</v>
      </c>
      <c r="D30997" s="4"/>
    </row>
    <row collapsed="" customFormat="false" customHeight="1" hidden="" ht="14" outlineLevel="0" r="30998">
      <c r="A30998" s="3" t="inlineStr">
        <is>
          <t>30832</t>
        </is>
      </c>
      <c r="B30998" s="4" t="s">
        <f>=HYPERLINK("http://anyluxury.ru/shop/prazdnik/podarki-dlya-detey/futbolka-detskaya-s-korotkim-rukavom-baby-prime-rozovaya-s-molochnobelim-1813615/" , "18136.15 Футболка с коротким рукавом Baby Prime, детская, розовая с молочно-белым, 80 см")</f>
      </c>
      <c r="C30998" s="4" t="n">
        <v>279.00</v>
      </c>
      <c r="D30998" s="4"/>
    </row>
    <row collapsed="" customFormat="false" customHeight="1" hidden="" ht="14" outlineLevel="0" r="30999">
      <c r="A30999" s="3" t="inlineStr">
        <is>
          <t>30833</t>
        </is>
      </c>
      <c r="B30999" s="4" t="s">
        <f>=HYPERLINK("http://anyluxury.ru/shop/prazdnik/podarki-dlya-detey/nabor-dlya-tvorchestva-s-prazdnikom-cveti-1603501/" , "16035.01 Набор для творчества «С праздником!», цветы")</f>
      </c>
      <c r="C30999" s="4" t="n">
        <v>260.00</v>
      </c>
      <c r="D30999" s="4"/>
    </row>
    <row collapsed="" customFormat="false" customHeight="1" hidden="" ht="14" outlineLevel="0" r="31000">
      <c r="A31000" s="3" t="inlineStr">
        <is>
          <t>30834</t>
        </is>
      </c>
      <c r="B31000" s="4" t="s">
        <f>=HYPERLINK("http://anyluxury.ru/shop/prazdnik/podarki-dlya-detey/nabor-dlya-tvorchestva-s-prazdnikom-korablik-1603502/" , "16035.02 Набор для творчества «С праздником!», кораблик")</f>
      </c>
      <c r="C31000" s="4" t="n">
        <v>260.00</v>
      </c>
      <c r="D31000" s="4"/>
    </row>
    <row collapsed="" customFormat="false" customHeight="1" hidden="" ht="14" outlineLevel="0" r="31001">
      <c r="A31001" s="3" t="inlineStr">
        <is>
          <t>30835</t>
        </is>
      </c>
      <c r="B31001" s="4" t="s">
        <f>=HYPERLINK("http://anyluxury.ru/shop/prazdnik/podarki-dlya-detey/nabor-dlya-tvorchestva-s-prazdnikom-parovozik-1603503/" , "16035.03 Набор для творчества «С праздником!», паровозик")</f>
      </c>
      <c r="C31001" s="4" t="n">
        <v>260.00</v>
      </c>
      <c r="D31001" s="4"/>
    </row>
    <row collapsed="" customFormat="false" customHeight="1" hidden="" ht="14" outlineLevel="0" r="31002">
      <c r="A31002" s="3" t="inlineStr">
        <is>
          <t>30836</t>
        </is>
      </c>
      <c r="B31002" s="4" t="s">
        <f>=HYPERLINK("http://anyluxury.ru/shop/prazdnik/podarki-dlya-detey/nabor-dlya-tvorchestva-chudesnie-zhivotnie-afrika-slon-i-begemot-1603601/" , "16036.01 Набор для творчества «Чудесные животные. Африка: слон и бегемот»")</f>
      </c>
      <c r="C31002" s="4" t="n">
        <v>521.00</v>
      </c>
      <c r="D31002" s="4"/>
    </row>
    <row collapsed="" customFormat="false" customHeight="1" hidden="" ht="14" outlineLevel="0" r="31003">
      <c r="A31003" s="3" t="inlineStr">
        <is>
          <t>30837</t>
        </is>
      </c>
      <c r="B31003" s="4" t="s">
        <f>=HYPERLINK("http://anyluxury.ru/shop/prazdnik/podarki-dlya-detey/nabor-dlya-tvorchestva-chudesnie-zhivotnie-evropa-medved-i-lisa-1603602/" , "16036.02 Набор для творчества «Чудесные животные. Европа: медведь и лиса»")</f>
      </c>
      <c r="C31003" s="4" t="n">
        <v>521.00</v>
      </c>
      <c r="D31003" s="4"/>
    </row>
    <row collapsed="" customFormat="false" customHeight="1" hidden="" ht="14" outlineLevel="0" r="31004">
      <c r="A31004" s="3" t="inlineStr">
        <is>
          <t>30838</t>
        </is>
      </c>
      <c r="B31004" s="4" t="s">
        <f>=HYPERLINK("http://anyluxury.ru/shop/prazdnik/podarki-dlya-detey/nabor-dlya-tvorchestva-chudesnie-zhivotnie-morya-i-okeani-kit-i-delfin-1603603/" , "16036.03 Набор для творчества «Чудесные животные. Моря и океаны: кит и дельфин»")</f>
      </c>
      <c r="C31004" s="4" t="n">
        <v>521.00</v>
      </c>
      <c r="D31004" s="4"/>
    </row>
    <row collapsed="" customFormat="false" customHeight="1" hidden="" ht="14" outlineLevel="0" r="31005">
      <c r="A31005" s="3" t="inlineStr">
        <is>
          <t>30839</t>
        </is>
      </c>
      <c r="B31005" s="4" t="s">
        <f>=HYPERLINK("http://anyluxury.ru/shop/prazdnik/podarki-dlya-detey/nabor-dlya-tvorchestva-igrushka-svoimi-rukami-ribka-undina-1603701/" , "16037.01 Набор для творчества «Игрушка своими руками. Рыбка Ундина»")</f>
      </c>
      <c r="C31005" s="4" t="n">
        <v>417.00</v>
      </c>
      <c r="D31005" s="4"/>
    </row>
    <row collapsed="" customFormat="false" customHeight="1" hidden="" ht="14" outlineLevel="0" r="31006">
      <c r="A31006" s="3" t="inlineStr">
        <is>
          <t>30840</t>
        </is>
      </c>
      <c r="B31006" s="4" t="s">
        <f>=HYPERLINK("http://anyluxury.ru/shop/prazdnik/podarki-dlya-detey/nabor-dlya-tvorchestva-igrushka-svoimi-rukami-ptichka-archi-1603702/" , "16037.02 Набор для творчества «Игрушка своими руками. Птичка Арчи»")</f>
      </c>
      <c r="C31006" s="4" t="n">
        <v>417.00</v>
      </c>
      <c r="D31006" s="4"/>
    </row>
    <row collapsed="" customFormat="false" customHeight="1" hidden="" ht="14" outlineLevel="0" r="31007">
      <c r="A31007" s="3" t="inlineStr">
        <is>
          <t>30841</t>
        </is>
      </c>
      <c r="B31007" s="4" t="s">
        <f>=HYPERLINK("http://anyluxury.ru/shop/prazdnik/podarki-dlya-detey/nabor-dlya-tvorchestva-igrushka-svoimi-rukami-loshadka-bucefal-1603703/" , "16037.03 Набор для творчества «Игрушка своими руками. Лошадка Буцефал»")</f>
      </c>
      <c r="C31007" s="4" t="n">
        <v>417.00</v>
      </c>
      <c r="D31007" s="4"/>
    </row>
    <row collapsed="" customFormat="false" customHeight="1" hidden="" ht="14" outlineLevel="0" r="31008">
      <c r="A31008" s="3" t="inlineStr">
        <is>
          <t>30842</t>
        </is>
      </c>
      <c r="B31008" s="4" t="s">
        <f>=HYPERLINK("http://anyluxury.ru/shop/prazdnik/podarki-dlya-detey/detskaya-butilka-dlya-vodi-zoku-krasnaya-1260350/" , "12603.50 Детская бутылка для воды Zoku, красная")</f>
      </c>
      <c r="C31008" s="4" t="n">
        <v>1970.00</v>
      </c>
      <c r="D31008" s="4"/>
    </row>
    <row collapsed="" customFormat="false" customHeight="1" hidden="" ht="14" outlineLevel="0" r="31009">
      <c r="A31009" s="3" t="inlineStr">
        <is>
          <t>30843</t>
        </is>
      </c>
      <c r="B31009" s="4" t="s">
        <f>=HYPERLINK("http://anyluxury.ru/shop/prazdnik/podarki-dlya-detey/nastolnaya-igra-moi-pervie-igri-nuka-ulibnis-1799302/" , "17993.02 Настольная игра «Мои первые игры. Ну-ка, улыбнись!»")</f>
      </c>
      <c r="C31009" s="4" t="n">
        <v>153.00</v>
      </c>
      <c r="D31009" s="4"/>
    </row>
    <row collapsed="" customFormat="false" customHeight="1" hidden="" ht="14" outlineLevel="0" r="31010">
      <c r="A31010" s="3" t="inlineStr">
        <is>
          <t>30844</t>
        </is>
      </c>
      <c r="B31010" s="4" t="s">
        <f>=HYPERLINK("http://anyluxury.ru/shop/prazdnik/podarki-dlya-detey/nastolnaya-igra-moi-pervie-igri-lesenka-1799303/" , "17993.03 Настольная игра «Мои первые игры. Лесенка»")</f>
      </c>
      <c r="C31010" s="4" t="n">
        <v>153.00</v>
      </c>
      <c r="D31010" s="4"/>
    </row>
    <row collapsed="" customFormat="false" customHeight="1" hidden="" ht="14" outlineLevel="0" r="31011">
      <c r="A31011" s="3" t="inlineStr">
        <is>
          <t>30845</t>
        </is>
      </c>
      <c r="B31011" s="4" t="s">
        <f>=HYPERLINK("http://anyluxury.ru/shop/prazdnik/podarki-dlya-detey/nastolnaya-igra-moi-pervie-igri-tropinka-1799304/" , "17993.04 Настольная игра «Мои первые игры. Тропинка»")</f>
      </c>
      <c r="C31011" s="4" t="n">
        <v>153.00</v>
      </c>
      <c r="D31011" s="4"/>
    </row>
    <row collapsed="" customFormat="false" customHeight="1" hidden="" ht="14" outlineLevel="0" r="31012">
      <c r="A31012" s="3" t="inlineStr">
        <is>
          <t>30846</t>
        </is>
      </c>
      <c r="B31012" s="4" t="s">
        <f>=HYPERLINK("http://anyluxury.ru/shop/prazdnik/podarki-dlya-detey/kartochnaya-igra-zabavnaya-fruktoschitalka-1324902/" , "13249.02 Карточная игра «Забавная. Фруктосчиталка»")</f>
      </c>
      <c r="C31012" s="4" t="n">
        <v>120.00</v>
      </c>
      <c r="D31012" s="4"/>
    </row>
    <row collapsed="" customFormat="false" customHeight="1" hidden="" ht="14" outlineLevel="0" r="31013">
      <c r="A31013" s="3" t="inlineStr">
        <is>
          <t>30847</t>
        </is>
      </c>
      <c r="B31013" s="4" t="s">
        <f>=HYPERLINK("http://anyluxury.ru/shop/prazdnik/podarki-dlya-detey/ryukzak-detskiy-rider-kids-zelenoe-yabloko-1166294/" , "11662.94 Рюкзак детский Rider Kids, зеленое яблоко")</f>
      </c>
      <c r="C31013" s="4" t="n">
        <v>1128.00</v>
      </c>
      <c r="D31013" s="4"/>
    </row>
    <row collapsed="" customFormat="false" customHeight="1" hidden="" ht="14" outlineLevel="0" r="31014">
      <c r="A31014" s="3" t="inlineStr">
        <is>
          <t>30848</t>
        </is>
      </c>
      <c r="B31014" s="4" t="s">
        <f>=HYPERLINK("http://anyluxury.ru/shop/prazdnik/podarki-dlya-detey/ryukzak-detskiy-rider-kids-seriy-1166210/" , "11662.10 Рюкзак детский Rider Kids, серый")</f>
      </c>
      <c r="C31014" s="4" t="n">
        <v>1128.00</v>
      </c>
      <c r="D31014" s="4"/>
    </row>
    <row collapsed="" customFormat="false" customHeight="1" hidden="" ht="14" outlineLevel="0" r="31015">
      <c r="A31015" s="3" t="inlineStr">
        <is>
          <t>30849</t>
        </is>
      </c>
      <c r="B31015" s="4" t="s">
        <f>=HYPERLINK("http://anyluxury.ru/shop/prazdnik/podarki-dlya-detey/ryukzak-detskiy-rider-kids-yarkosiniy-1166244/" , "11662.44 Рюкзак детский Rider Kids, ярко-синий")</f>
      </c>
      <c r="C31015" s="4" t="n">
        <v>1128.00</v>
      </c>
      <c r="D31015" s="4"/>
    </row>
    <row collapsed="" customFormat="false" customHeight="1" hidden="" ht="14" outlineLevel="0" r="31016">
      <c r="A31016" s="3" t="inlineStr">
        <is>
          <t>30850</t>
        </is>
      </c>
      <c r="B31016" s="4" t="s">
        <f>=HYPERLINK("http://anyluxury.ru/shop/prazdnik/podarki-dlya-detey/dozhdevik-detskiy-rainman-kids-yarkosiniy-1172944/" , "11729.44 Дождевик детский Rainman Kids ярко-синий, 7-9 лет")</f>
      </c>
      <c r="C31016" s="4" t="n">
        <v>1204.00</v>
      </c>
      <c r="D31016" s="4"/>
    </row>
    <row collapsed="" customFormat="false" customHeight="1" hidden="" ht="14" outlineLevel="0" r="31017">
      <c r="A31017" s="3" t="inlineStr">
        <is>
          <t>30851</t>
        </is>
      </c>
      <c r="B31017" s="4" t="s">
        <f>=HYPERLINK("http://anyluxury.ru/shop/prazdnik/podarki-dlya-detey/dozhdevik-detskiy-rainman-kids-yarkosiniy-1172944/" , "11729.44 Дождевик детский Rainman Kids ярко-синий, 10-12 лет")</f>
      </c>
      <c r="C31017" s="4" t="n">
        <v>1204.00</v>
      </c>
      <c r="D31017" s="4"/>
    </row>
    <row collapsed="" customFormat="false" customHeight="1" hidden="" ht="14" outlineLevel="0" r="31018">
      <c r="A31018" s="3" t="inlineStr">
        <is>
          <t>30852</t>
        </is>
      </c>
      <c r="B31018" s="4" t="s">
        <f>=HYPERLINK("http://anyluxury.ru/shop/prazdnik/podarki-dlya-detey/umnie-chasi-dlya-detey-elari-kidphone-2-chernie-1180230/" , "11802.30 Умные часы для детей Elari KidPhone 2, черные")</f>
      </c>
      <c r="C31018" s="4" t="n">
        <v>2490.00</v>
      </c>
      <c r="D31018" s="4"/>
    </row>
    <row collapsed="" customFormat="false" customHeight="1" hidden="" ht="14" outlineLevel="0" r="31019">
      <c r="A31019" s="3" t="inlineStr">
        <is>
          <t>30853</t>
        </is>
      </c>
      <c r="B31019" s="4" t="s">
        <f>=HYPERLINK("http://anyluxury.ru/shop/prazdnik/podarki-dlya-detey/umnie-chasi-elari-kidphone-fresh-krasnie-1180350/" , "11803.50 Умные часы Elari KidPhone Fresh, красные")</f>
      </c>
      <c r="C31019" s="4" t="n">
        <v>3890.00</v>
      </c>
      <c r="D31019" s="4"/>
    </row>
    <row collapsed="" customFormat="false" customHeight="1" hidden="" ht="14" outlineLevel="0" r="31020">
      <c r="A31020" s="3" t="inlineStr">
        <is>
          <t>30854</t>
        </is>
      </c>
      <c r="B31020" s="4" t="s">
        <f>=HYPERLINK("http://anyluxury.ru/shop/prazdnik/podarki-dlya-detey/igra-kvestik-shpionskiy-1700701/" , "17007.01 Игра «Квестик шпионский»")</f>
      </c>
      <c r="C31020" s="4" t="n">
        <v>673.00</v>
      </c>
      <c r="D31020" s="4"/>
    </row>
    <row collapsed="" customFormat="false" customHeight="1" hidden="" ht="14" outlineLevel="0" r="31021">
      <c r="A31021" s="3" t="inlineStr">
        <is>
          <t>30855</t>
        </is>
      </c>
      <c r="B31021" s="4" t="s">
        <f>=HYPERLINK("http://anyluxury.ru/shop/prazdnik/podarki-dlya-detey/igra-kvestik-piratskiy-dzhek-1700702/" , "17007.02 Игра «Квестик пиратский. Джек»")</f>
      </c>
      <c r="C31021" s="4" t="n">
        <v>673.00</v>
      </c>
      <c r="D31021" s="4"/>
    </row>
    <row collapsed="" customFormat="false" customHeight="1" hidden="" ht="14" outlineLevel="0" r="31022">
      <c r="A31022" s="3" t="inlineStr">
        <is>
          <t>30856</t>
        </is>
      </c>
      <c r="B31022" s="4" t="s">
        <f>=HYPERLINK("http://anyluxury.ru/shop/prazdnik/podarki-dlya-detey/golovolomkasgibalka-transport-1700801/" , "17008.01 Головоломка-сгибалка «Транспорт»")</f>
      </c>
      <c r="C31022" s="4" t="n">
        <v>167.00</v>
      </c>
      <c r="D31022" s="4"/>
    </row>
    <row collapsed="" customFormat="false" customHeight="1" hidden="" ht="14" outlineLevel="0" r="31023">
      <c r="A31023" s="3" t="inlineStr">
        <is>
          <t>30857</t>
        </is>
      </c>
      <c r="B31023" s="4" t="s">
        <f>=HYPERLINK("http://anyluxury.ru/shop/prazdnik/podarki-dlya-detey/golovolomkasgibalka-zveryata-1700802/" , "17008.02 Головоломка-сгибалка «Зверята»")</f>
      </c>
      <c r="C31023" s="4" t="n">
        <v>167.00</v>
      </c>
      <c r="D31023" s="4"/>
    </row>
    <row collapsed="" customFormat="false" customHeight="1" hidden="" ht="14" outlineLevel="0" r="31024">
      <c r="A31024" s="3" t="inlineStr">
        <is>
          <t>30858</t>
        </is>
      </c>
      <c r="B31024" s="4" t="s">
        <f>=HYPERLINK("http://anyluxury.ru/shop/prazdnik/podarki-dlya-detey/golovolomkasgibalka-roboti-1700803/" , "17008.03 Головоломка-сгибалка «Роботы»")</f>
      </c>
      <c r="C31024" s="4" t="n">
        <v>167.00</v>
      </c>
      <c r="D31024" s="4"/>
    </row>
    <row collapsed="" customFormat="false" customHeight="1" hidden="" ht="14" outlineLevel="0" r="31025">
      <c r="A31025" s="3" t="inlineStr">
        <is>
          <t>30859</t>
        </is>
      </c>
      <c r="B31025" s="4" t="s">
        <f>=HYPERLINK("http://anyluxury.ru/shop/prazdnik/podarki-dlya-detey/golovolomkasgibalka-sport-1700804/" , "17008.04 Головоломка-сгибалка «Спорт»")</f>
      </c>
      <c r="C31025" s="4" t="n">
        <v>167.00</v>
      </c>
      <c r="D31025" s="4"/>
    </row>
    <row collapsed="" customFormat="false" customHeight="1" hidden="" ht="14" outlineLevel="0" r="31026">
      <c r="A31026" s="3" t="inlineStr">
        <is>
          <t>30860</t>
        </is>
      </c>
      <c r="B31026" s="4" t="s">
        <f>=HYPERLINK("http://anyluxury.ru/shop/prazdnik/podarki-dlya-detey/golovolomkasgibalka-vokrug-sveta-1700805/" , "17008.05 Головоломка-сгибалка «Вокруг света»")</f>
      </c>
      <c r="C31026" s="4" t="n">
        <v>167.00</v>
      </c>
      <c r="D31026" s="4"/>
    </row>
    <row collapsed="" customFormat="false" customHeight="1" hidden="" ht="14" outlineLevel="0" r="31027">
      <c r="A31027" s="3" t="inlineStr">
        <is>
          <t>30861</t>
        </is>
      </c>
      <c r="B31027" s="4" t="s">
        <f>=HYPERLINK("http://anyluxury.ru/shop/prazdnik/podarki-dlya-detey/dozhdevik-detskiy-sunshower-kids-siniy-1168444/" , "11684.44 Дождевик детский Sunshower Kids, синий, 10 лет")</f>
      </c>
      <c r="C31027" s="4" t="n">
        <v>1067.00</v>
      </c>
      <c r="D31027" s="4"/>
    </row>
    <row collapsed="" customFormat="false" customHeight="1" hidden="" ht="14" outlineLevel="0" r="31028">
      <c r="A31028" s="3" t="inlineStr">
        <is>
          <t>30862</t>
        </is>
      </c>
      <c r="B31028" s="4" t="s">
        <f>=HYPERLINK("http://anyluxury.ru/shop/prazdnik/podarki-dlya-detey/futbolka-s-dlinnim-rukavom-moya-snezhinka-1813060/" , "18130.60 Футболка с длинным рукавом «Моя снежинка», размер 80 см")</f>
      </c>
      <c r="C31028" s="4" t="n">
        <v>395.00</v>
      </c>
      <c r="D31028" s="4"/>
    </row>
    <row collapsed="" customFormat="false" customHeight="1" hidden="" ht="14" outlineLevel="0" r="31029">
      <c r="A31029" s="3" t="inlineStr">
        <is>
          <t>30863</t>
        </is>
      </c>
      <c r="B31029" s="4" t="s">
        <f>=HYPERLINK("http://anyluxury.ru/shop/prazdnik/podarki-dlya-detey/futbolka-s-korotkim-rukavom-moya-snezhinka-1816060/" , "18160.60 Футболка с коротким рукавом «Моя снежинка»")</f>
      </c>
      <c r="C31029" s="4" t="n">
        <v>378.00</v>
      </c>
      <c r="D31029" s="4"/>
    </row>
    <row collapsed="" customFormat="false" customHeight="1" hidden="" ht="14" outlineLevel="0" r="31030">
      <c r="A31030" s="3" t="inlineStr">
        <is>
          <t>30864</t>
        </is>
      </c>
      <c r="B31030" s="4" t="s">
        <f>=HYPERLINK("http://anyluxury.ru/shop/prazdnik/podarki-dlya-detey/bodi-detskoe-moya-snezhinka-1816460/" , "18164.60 Боди детское «Моя снежинка», размер 80 см")</f>
      </c>
      <c r="C31030" s="4" t="n">
        <v>711.00</v>
      </c>
      <c r="D31030" s="4"/>
    </row>
    <row collapsed="" customFormat="false" customHeight="1" hidden="" ht="14" outlineLevel="0" r="31031">
      <c r="A31031" s="3" t="inlineStr">
        <is>
          <t>30865</t>
        </is>
      </c>
      <c r="B31031" s="4" t="s">
        <f>=HYPERLINK("http://anyluxury.ru/shop/prazdnik/podarki-dlya-detey/shapochka-detskaya-moya-snezhinka-1707660/" , "17076.60 Шапочка детская «Моя снежинка»")</f>
      </c>
      <c r="C31031" s="4" t="n">
        <v>240.00</v>
      </c>
      <c r="D31031" s="4"/>
    </row>
    <row collapsed="" customFormat="false" customHeight="1" hidden="" ht="14" outlineLevel="0" r="31032">
      <c r="A31032" s="3" t="inlineStr">
        <is>
          <t>30866</t>
        </is>
      </c>
      <c r="B31032" s="4" t="s">
        <f>=HYPERLINK("http://anyluxury.ru/shop/prazdnik/podarki-dlya-detey/nagrudnik-detskiy-moya-snezhinka-1709160/" , "17091.60 Нагрудник детский «Моя снежинка»")</f>
      </c>
      <c r="C31032" s="4" t="n">
        <v>311.00</v>
      </c>
      <c r="D31032" s="4"/>
    </row>
    <row collapsed="" customFormat="false" customHeight="1" hidden="" ht="14" outlineLevel="0" r="31033">
      <c r="A31033" s="3" t="inlineStr">
        <is>
          <t>30867</t>
        </is>
      </c>
      <c r="B31033" s="4" t="s">
        <f>=HYPERLINK("http://anyluxury.ru/shop/prazdnik/podarki-dlya-detey/detskiy-zonttrost-bambi-7913300/" , "79133.00 Детский зонт-трость Bambi")</f>
      </c>
      <c r="C31033" s="4" t="n">
        <v>699.00</v>
      </c>
      <c r="D31033" s="4"/>
    </row>
    <row collapsed="" customFormat="false" customHeight="1" hidden="" ht="14" outlineLevel="0" r="31034">
      <c r="A31034" s="3" t="inlineStr">
        <is>
          <t>30868</t>
        </is>
      </c>
      <c r="B31034" s="4" t="s">
        <f>=HYPERLINK("http://anyluxury.ru/shop/prazdnik/podarki-dlya-detey/termos-dlya-edi-detskiy-foodjar-mermaids-1359977/" , "13599.77 Термос для еды детский Food Jar Mermaids")</f>
      </c>
      <c r="C31034" s="4" t="n">
        <v>2841.00</v>
      </c>
      <c r="D31034" s="4"/>
    </row>
    <row collapsed="" customFormat="false" customHeight="1" hidden="" ht="14" outlineLevel="0" r="31035">
      <c r="A31035" s="3" t="inlineStr">
        <is>
          <t>30869</t>
        </is>
      </c>
      <c r="B31035" s="4" t="s">
        <f>=HYPERLINK("http://anyluxury.ru/shop/prazdnik/podarki-dlya-detey/termos-dlya-edi-detskiy-foodjar-sharks-1359914/" , "13599.14 Термос для еды детский Food Jar Sharks")</f>
      </c>
      <c r="C31035" s="4" t="n">
        <v>2841.00</v>
      </c>
      <c r="D31035" s="4"/>
    </row>
    <row collapsed="" customFormat="false" customHeight="1" hidden="" ht="14" outlineLevel="0" r="31036">
      <c r="A31036" s="3" t="inlineStr">
        <is>
          <t>30870</t>
        </is>
      </c>
      <c r="B31036" s="4" t="s">
        <f>=HYPERLINK("http://anyluxury.ru/shop/prazdnik/podarki-dlya-detey/nabor-hobby-time-oranzheviy-1359020/" , "13590.20 Набор Hobby Time, оранжевый")</f>
      </c>
      <c r="C31036" s="4" t="n">
        <v>1435.00</v>
      </c>
      <c r="D31036" s="4"/>
    </row>
    <row collapsed="" customFormat="false" customHeight="1" hidden="" ht="14" outlineLevel="0" r="31037">
      <c r="A31037" s="3" t="inlineStr">
        <is>
          <t>30871</t>
        </is>
      </c>
      <c r="B31037" s="4" t="s">
        <f>=HYPERLINK("http://anyluxury.ru/shop/prazdnik/podarki-dlya-detey/nabor-hobby-time-siniy-1359040/" , "13590.40 Набор Hobby Time, синий")</f>
      </c>
      <c r="C31037" s="4" t="n">
        <v>1435.00</v>
      </c>
      <c r="D31037" s="4"/>
    </row>
    <row collapsed="" customFormat="false" customHeight="1" hidden="" ht="14" outlineLevel="0" r="31038">
      <c r="A31038" s="3" t="inlineStr">
        <is>
          <t>30872</t>
        </is>
      </c>
      <c r="B31038" s="4" t="s">
        <f>=HYPERLINK("http://anyluxury.ru/shop/prazdnik/podarki-dlya-detey/detskiy-ryukzak-manifest-iz-svetootrazhayushhey-tkani-seriy-1377911/" , "13779.11 Детский рюкзак-мешок Manifest из светоотражающей ткани, серый")</f>
      </c>
      <c r="C31038" s="4" t="n">
        <v>555.00</v>
      </c>
      <c r="D31038" s="4"/>
    </row>
    <row collapsed="" customFormat="false" customHeight="1" hidden="" ht="14" outlineLevel="0" r="31039">
      <c r="A31039" s="3" t="inlineStr">
        <is>
          <t>30873</t>
        </is>
      </c>
      <c r="B31039" s="4" t="s">
        <f>=HYPERLINK("http://anyluxury.ru/shop/prazdnik/podarki-dlya-detey/ryukzak-detskiy-manifest-iz-svetootrazhayushhey-tkani-seriy-1599811/" , "15998.11 Рюкзак детский Manifest из светоотражающей ткани, серый")</f>
      </c>
      <c r="C31039" s="4" t="n">
        <v>1188.00</v>
      </c>
      <c r="D31039" s="4"/>
    </row>
    <row collapsed="" customFormat="false" customHeight="1" hidden="" ht="14" outlineLevel="0" r="31040">
      <c r="A31040" s="3" t="inlineStr">
        <is>
          <t>30874</t>
        </is>
      </c>
      <c r="B31040" s="4" t="s">
        <f>=HYPERLINK("http://anyluxury.ru/shop/prazdnik/podarki-dlya-detey/nabor-school-1666700/" , "16667.00 Набор School")</f>
      </c>
      <c r="C31040" s="4" t="n">
        <v>1707.00</v>
      </c>
      <c r="D31040" s="4"/>
    </row>
    <row collapsed="" customFormat="false" customHeight="1" hidden="" ht="14" outlineLevel="0" r="31041">
      <c r="A31041" s="3" t="inlineStr">
        <is>
          <t>30875</t>
        </is>
      </c>
      <c r="B31041" s="4" t="s">
        <f>=HYPERLINK("http://anyluxury.ru/shop/prazdnik/podarki-dlya-detey/igra-magnitniy-darts-1691500/" , "16915.00 Игра «Магнитный дартс»")</f>
      </c>
      <c r="C31041" s="4" t="n">
        <v>2100.00</v>
      </c>
      <c r="D31041" s="4"/>
    </row>
    <row collapsed="" customFormat="false" customHeight="1" hidden="" ht="14" outlineLevel="0" r="31042">
      <c r="A31042" s="3" t="inlineStr">
        <is>
          <t>30876</t>
        </is>
      </c>
      <c r="B31042" s="4" t="s">
        <f>=HYPERLINK("http://anyluxury.ru/shop/prazdnik/podarki-dlya-detey/magnitnaya-igra-vozmi-v-dorogu-shashki-1602505/" , "16025.05 Магнитная игра «Возьми в дорогу. Шашки»")</f>
      </c>
      <c r="C31042" s="4" t="n">
        <v>593.00</v>
      </c>
      <c r="D31042" s="4"/>
    </row>
    <row collapsed="" customFormat="false" customHeight="1" hidden="" ht="14" outlineLevel="0" r="31043">
      <c r="A31043" s="3" t="inlineStr">
        <is>
          <t>30877</t>
        </is>
      </c>
      <c r="B31043" s="4" t="s">
        <f>=HYPERLINK("http://anyluxury.ru/shop/prazdnik/podarki-dlya-detey/magnitnaya-igra-vozmi-v-dorogu-shahmati-1602506/" , "16025.06 Магнитная игра «Возьми в дорогу. Шахматы»")</f>
      </c>
      <c r="C31043" s="4" t="n">
        <v>593.00</v>
      </c>
      <c r="D31043" s="4"/>
    </row>
    <row collapsed="" customFormat="false" customHeight="1" hidden="" ht="14" outlineLevel="0" r="31044">
      <c r="A31044" s="3" t="inlineStr">
        <is>
          <t>30878</t>
        </is>
      </c>
      <c r="B31044" s="4" t="s">
        <f>=HYPERLINK("http://anyluxury.ru/shop/prazdnik/podarki-dlya-detey/magnitnaya-igra-vozmi-v-dorogu-domino-1602500/" , "16025.00 Магнитная игра «Возьми в дорогу. Домино»")</f>
      </c>
      <c r="C31044" s="4" t="n">
        <v>593.00</v>
      </c>
      <c r="D31044" s="4"/>
    </row>
    <row collapsed="" customFormat="false" customHeight="1" hidden="" ht="14" outlineLevel="0" r="31045">
      <c r="A31045" s="3" t="inlineStr">
        <is>
          <t>30879</t>
        </is>
      </c>
      <c r="B31045" s="4" t="s">
        <f>=HYPERLINK("http://anyluxury.ru/shop/prazdnik/podarki-dlya-detey/dozhdevikponcho-detskiy-aquastop-kids-na-zakaz-1894801/" , "18948.01 Дождевик-пончо детский AquaStop Kids на заказ")</f>
      </c>
      <c r="C31045" s="4" t="n">
        <v>2880.00</v>
      </c>
      <c r="D31045" s="4"/>
    </row>
    <row collapsed="" customFormat="false" customHeight="1" hidden="" ht="14" outlineLevel="0" r="31046">
      <c r="A31046" s="3" t="inlineStr">
        <is>
          <t>30880</t>
        </is>
      </c>
      <c r="B31046" s="4" t="s">
        <f>=HYPERLINK("http://anyluxury.ru/shop/prazdnik/podarki-dlya-detey/ryukzak-dlya-raskrashivaniya-create-beliy-1613160/" , "16131.60 Рюкзак для раскрашивания Create, белый")</f>
      </c>
      <c r="C31046" s="4" t="n">
        <v>149.00</v>
      </c>
      <c r="D31046" s="4"/>
    </row>
    <row collapsed="" customFormat="false" customHeight="1" hidden="" ht="14" outlineLevel="0" r="31047">
      <c r="A31047" s="3" t="inlineStr">
        <is>
          <t>30881</t>
        </is>
      </c>
      <c r="B31047" s="4" t="s">
        <f>=HYPERLINK("http://anyluxury.ru/shop/prazdnik/podarki-dlya-detey/ryukzak-new-element-seriy-1392110/" , "13921.10 Рюкзак New Element, серый")</f>
      </c>
      <c r="C31047" s="4" t="n">
        <v>179.00</v>
      </c>
      <c r="D31047" s="4"/>
    </row>
    <row collapsed="" customFormat="false" customHeight="1" hidden="" ht="14" outlineLevel="0" r="31048">
      <c r="A31048" s="3" t="inlineStr">
        <is>
          <t>30882</t>
        </is>
      </c>
      <c r="B31048" s="4" t="s">
        <f>=HYPERLINK("http://anyluxury.ru/shop/prazdnik/podarki-dlya-detey/ryukzak-new-element-oranzheviy-1392120/" , "13921.20 Рюкзак New Element, оранжевый")</f>
      </c>
      <c r="C31048" s="4" t="n">
        <v>179.00</v>
      </c>
      <c r="D31048" s="4"/>
    </row>
    <row collapsed="" customFormat="false" customHeight="1" hidden="" ht="14" outlineLevel="0" r="31049">
      <c r="A31049" s="3" t="inlineStr">
        <is>
          <t>30883</t>
        </is>
      </c>
      <c r="B31049" s="4" t="s">
        <f>=HYPERLINK("http://anyluxury.ru/shop/prazdnik/podarki-dlya-detey/ryukzak-new-element-cherniy-1392130/" , "13921.30 Рюкзак New Element, черный")</f>
      </c>
      <c r="C31049" s="4" t="n">
        <v>179.00</v>
      </c>
      <c r="D31049" s="4"/>
    </row>
    <row collapsed="" customFormat="false" customHeight="1" hidden="" ht="14" outlineLevel="0" r="31050">
      <c r="A31050" s="3" t="inlineStr">
        <is>
          <t>30884</t>
        </is>
      </c>
      <c r="B31050" s="4" t="s">
        <f>=HYPERLINK("http://anyluxury.ru/shop/prazdnik/podarki-dlya-detey/ryukzak-new-element-siniy-1392140/" , "13921.40 Рюкзак New Element, синий")</f>
      </c>
      <c r="C31050" s="4" t="n">
        <v>179.00</v>
      </c>
      <c r="D31050" s="4"/>
    </row>
    <row collapsed="" customFormat="false" customHeight="1" hidden="" ht="14" outlineLevel="0" r="31051">
      <c r="A31051" s="3" t="inlineStr">
        <is>
          <t>30885</t>
        </is>
      </c>
      <c r="B31051" s="4" t="s">
        <f>=HYPERLINK("http://anyluxury.ru/shop/prazdnik/podarki-dlya-detey/ryukzak-new-element-krasniy-1392150/" , "13921.50 Рюкзак New Element, красный")</f>
      </c>
      <c r="C31051" s="4" t="n">
        <v>179.00</v>
      </c>
      <c r="D31051" s="4"/>
    </row>
    <row collapsed="" customFormat="false" customHeight="1" hidden="" ht="14" outlineLevel="0" r="31052">
      <c r="A31052" s="3" t="inlineStr">
        <is>
          <t>30886</t>
        </is>
      </c>
      <c r="B31052" s="4" t="s">
        <f>=HYPERLINK("http://anyluxury.ru/shop/prazdnik/podarki-dlya-detey/ryukzak-new-element-beliy-1392160/" , "13921.60 Рюкзак New Element, белый")</f>
      </c>
      <c r="C31052" s="4" t="n">
        <v>179.00</v>
      </c>
      <c r="D31052" s="4"/>
    </row>
    <row collapsed="" customFormat="false" customHeight="1" hidden="" ht="14" outlineLevel="0" r="31053">
      <c r="A31053" s="3" t="inlineStr">
        <is>
          <t>30887</t>
        </is>
      </c>
      <c r="B31053" s="4" t="s">
        <f>=HYPERLINK("http://anyluxury.ru/shop/prazdnik/podarki-dlya-detey/ryukzak-new-element-temnosiniy-1392170/" , "13921.70 Рюкзак New Element, темно-синий")</f>
      </c>
      <c r="C31053" s="4" t="n">
        <v>179.00</v>
      </c>
      <c r="D31053" s="4"/>
    </row>
    <row collapsed="" customFormat="false" customHeight="1" hidden="" ht="14" outlineLevel="0" r="31054">
      <c r="A31054" s="3" t="inlineStr">
        <is>
          <t>30888</t>
        </is>
      </c>
      <c r="B31054" s="4" t="s">
        <f>=HYPERLINK("http://anyluxury.ru/shop/prazdnik/podarki-dlya-detey/ryukzak-new-element-zheltiy-1392180/" , "13921.80 Рюкзак New Element, желтый")</f>
      </c>
      <c r="C31054" s="4" t="n">
        <v>179.00</v>
      </c>
      <c r="D31054" s="4"/>
    </row>
    <row collapsed="" customFormat="false" customHeight="1" hidden="" ht="14" outlineLevel="0" r="31055">
      <c r="A31055" s="3" t="inlineStr">
        <is>
          <t>30889</t>
        </is>
      </c>
      <c r="B31055" s="4" t="s">
        <f>=HYPERLINK("http://anyluxury.ru/shop/prazdnik/podarki-dlya-detey/ryukzak-new-element-zeleniy-1392192/" , "13921.92 Рюкзак New Element, зеленый")</f>
      </c>
      <c r="C31055" s="4" t="n">
        <v>179.00</v>
      </c>
      <c r="D31055" s="4"/>
    </row>
    <row collapsed="" customFormat="false" customHeight="1" hidden="" ht="14" outlineLevel="0" r="31056">
      <c r="A31056" s="3" t="inlineStr">
        <is>
          <t>30890</t>
        </is>
      </c>
      <c r="B31056" s="4" t="s">
        <f>=HYPERLINK("http://anyluxury.ru/shop/prazdnik/podarki-dlya-detey/ryukzak-detskiy-kiddo-bordoviy-s-serim-1731202/" , "17312.02 Рюкзак детский Kiddo, бордовый с серым")</f>
      </c>
      <c r="C31056" s="4" t="n">
        <v>850.00</v>
      </c>
      <c r="D31056" s="4"/>
    </row>
    <row collapsed="" customFormat="false" customHeight="1" hidden="" ht="14" outlineLevel="0" r="31057">
      <c r="A31057" s="3" t="inlineStr">
        <is>
          <t>30891</t>
        </is>
      </c>
      <c r="B31057" s="4" t="s">
        <f>=HYPERLINK("http://anyluxury.ru/shop/prazdnik/podarki-dlya-detey/myagkaya-igrushka-beastie-toys-kotik-s-belim-sharfom-2241501/" , "22415.01 Мягкая игрушка Beastie Toys, котик с белым шарфом")</f>
      </c>
      <c r="C31057" s="4" t="n">
        <v>599.00</v>
      </c>
      <c r="D31057" s="4"/>
    </row>
    <row collapsed="" customFormat="false" customHeight="1" hidden="" ht="14" outlineLevel="0" r="31058">
      <c r="A31058" s="3" t="inlineStr">
        <is>
          <t>30892</t>
        </is>
      </c>
      <c r="B31058" s="4" t="s">
        <f>=HYPERLINK("http://anyluxury.ru/shop/prazdnik/podarki-dlya-detey/myagkaya-igrushka-beastie-toys-lisenok-s-belim-sharfom-2241401/" , "22414.01 Мягкая игрушка Beastie Toys, лисенок с белым шарфом")</f>
      </c>
      <c r="C31058" s="4" t="n">
        <v>599.00</v>
      </c>
      <c r="D31058" s="4"/>
    </row>
    <row collapsed="" customFormat="false" customHeight="1" hidden="" ht="14" outlineLevel="0" r="31059">
      <c r="A31059" s="3" t="inlineStr">
        <is>
          <t>30893</t>
        </is>
      </c>
      <c r="B31059" s="4" t="s">
        <f>=HYPERLINK("http://anyluxury.ru/shop/prazdnik/podarki-dlya-detey/tolstovka-s-kapyushonom-detskaya-kirenga-kids-biryuzovaya-1114714/" , "11147.14 Толстовка с капюшоном детская Kirenga Kids, бирюзовая, 6 лет")</f>
      </c>
      <c r="C31059" s="4" t="n">
        <v>988.00</v>
      </c>
      <c r="D31059" s="4"/>
    </row>
    <row collapsed="" customFormat="false" customHeight="1" hidden="" ht="14" outlineLevel="0" r="31060">
      <c r="A31060" s="3" t="inlineStr">
        <is>
          <t>30894</t>
        </is>
      </c>
      <c r="B31060" s="4" t="s">
        <f>=HYPERLINK("http://anyluxury.ru/shop/prazdnik/podarki-dlya-detey/tolstovka-s-kapyushonom-detskaya-kirenga-kids-biryuzovaya-1114714/" , "11147.14 Толстовка с капюшоном детская Kirenga Kids, бирюзовая, 8 лет")</f>
      </c>
      <c r="C31060" s="4" t="n">
        <v>988.00</v>
      </c>
      <c r="D31060" s="4"/>
    </row>
    <row collapsed="" customFormat="false" customHeight="1" hidden="" ht="14" outlineLevel="0" r="31061">
      <c r="A31061" s="3" t="inlineStr">
        <is>
          <t>30895</t>
        </is>
      </c>
      <c r="B31061" s="4" t="s">
        <f>=HYPERLINK("http://anyluxury.ru/shop/prazdnik/podarki-dlya-detey/tolstovka-s-kapyushonom-detskaya-kirenga-kids-biryuzovaya-1114714/" , "11147.14 Толстовка с капюшоном детская Kirenga Kids, бирюзовая, 10 лет")</f>
      </c>
      <c r="C31061" s="4" t="n">
        <v>988.00</v>
      </c>
      <c r="D31061" s="4"/>
    </row>
    <row collapsed="" customFormat="false" customHeight="1" hidden="" ht="14" outlineLevel="0" r="31062">
      <c r="A31062" s="3" t="inlineStr">
        <is>
          <t>30896</t>
        </is>
      </c>
      <c r="B31062" s="4" t="s">
        <f>=HYPERLINK("http://anyluxury.ru/shop/prazdnik/podarki-dlya-detey/tolstovka-s-kapyushonom-detskaya-kirenga-kids-biryuzovaya-1114714/" , "11147.14 Толстовка с капюшоном детская Kirenga Kids, бирюзовая, 12 лет")</f>
      </c>
      <c r="C31062" s="4" t="n">
        <v>988.00</v>
      </c>
      <c r="D31062" s="4"/>
    </row>
    <row collapsed="" customFormat="false" customHeight="1" hidden="" ht="14" outlineLevel="0" r="31063">
      <c r="A31063" s="3" t="inlineStr">
        <is>
          <t>30897</t>
        </is>
      </c>
      <c r="B31063" s="4" t="s">
        <f>=HYPERLINK("http://anyluxury.ru/shop/prazdnik/podarki-dlya-detey/tolstovka-s-kapyushonom-detskaya-kirenga-kids-biryuzovaya-1114714/" , "11147.14 Толстовка с капюшоном детская Kirenga Kids, бирюзовая, 14 лет")</f>
      </c>
      <c r="C31063" s="4" t="n">
        <v>988.00</v>
      </c>
      <c r="D31063" s="4"/>
    </row>
    <row collapsed="" customFormat="false" customHeight="1" hidden="" ht="14" outlineLevel="0" r="31064">
      <c r="A31064" s="3" t="inlineStr">
        <is>
          <t>30898</t>
        </is>
      </c>
      <c r="B31064" s="4" t="s">
        <f>=HYPERLINK("http://anyluxury.ru/shop/prazdnik/podarki-dlya-detey/tolstovka-s-kapyushonom-detskaya-kirenga-kids-zelenoe-yabloko-1114794/" , "11147.94 Толстовка с капюшоном детская Kirenga Kids, зеленое яблоко, 6 лет")</f>
      </c>
      <c r="C31064" s="4" t="n">
        <v>988.00</v>
      </c>
      <c r="D31064" s="4"/>
    </row>
    <row collapsed="" customFormat="false" customHeight="1" hidden="" ht="14" outlineLevel="0" r="31065">
      <c r="A31065" s="3" t="inlineStr">
        <is>
          <t>30899</t>
        </is>
      </c>
      <c r="B31065" s="4" t="s">
        <f>=HYPERLINK("http://anyluxury.ru/shop/prazdnik/podarki-dlya-detey/tolstovka-s-kapyushonom-detskaya-kirenga-kids-zelenoe-yabloko-1114794/" , "11147.94 Толстовка с капюшоном детская Kirenga Kids, зеленое яблоко, 8 лет")</f>
      </c>
      <c r="C31065" s="4" t="n">
        <v>988.00</v>
      </c>
      <c r="D31065" s="4"/>
    </row>
    <row collapsed="" customFormat="false" customHeight="1" hidden="" ht="14" outlineLevel="0" r="31066">
      <c r="A31066" s="3" t="inlineStr">
        <is>
          <t>30900</t>
        </is>
      </c>
      <c r="B31066" s="4" t="s">
        <f>=HYPERLINK("http://anyluxury.ru/shop/prazdnik/podarki-dlya-detey/tolstovka-s-kapyushonom-detskaya-kirenga-kids-zelenoe-yabloko-1114794/" , "11147.94 Толстовка с капюшоном детская Kirenga Kids, зеленое яблоко, 10 лет")</f>
      </c>
      <c r="C31066" s="4" t="n">
        <v>988.00</v>
      </c>
      <c r="D31066" s="4"/>
    </row>
    <row collapsed="" customFormat="false" customHeight="1" hidden="" ht="14" outlineLevel="0" r="31067">
      <c r="A31067" s="3" t="inlineStr">
        <is>
          <t>30901</t>
        </is>
      </c>
      <c r="B31067" s="4" t="s">
        <f>=HYPERLINK("http://anyluxury.ru/shop/prazdnik/podarki-dlya-detey/tolstovka-s-kapyushonom-detskaya-kirenga-kids-zelenoe-yabloko-1114794/" , "11147.94 Толстовка с капюшоном детская Kirenga Kids, зеленое яблоко, 12 лет")</f>
      </c>
      <c r="C31067" s="4" t="n">
        <v>988.00</v>
      </c>
      <c r="D31067" s="4"/>
    </row>
    <row collapsed="" customFormat="false" customHeight="1" hidden="" ht="14" outlineLevel="0" r="31068">
      <c r="A31068" s="3" t="inlineStr">
        <is>
          <t>30902</t>
        </is>
      </c>
      <c r="B31068" s="4" t="s">
        <f>=HYPERLINK("http://anyluxury.ru/shop/prazdnik/podarki-dlya-detey/tolstovka-s-kapyushonom-detskaya-kirenga-kids-zelenoe-yabloko-1114794/" , "11147.94 Толстовка с капюшоном детская Kirenga Kids, зеленое яблоко, 14 лет")</f>
      </c>
      <c r="C31068" s="4" t="n">
        <v>988.00</v>
      </c>
      <c r="D31068" s="4"/>
    </row>
    <row collapsed="" customFormat="false" customHeight="1" hidden="" ht="14" outlineLevel="0" r="31069">
      <c r="A31069" s="3" t="inlineStr">
        <is>
          <t>30903</t>
        </is>
      </c>
      <c r="B31069" s="4" t="s">
        <f>=HYPERLINK("http://anyluxury.ru/shop/prazdnik/podarki-dlya-detey/futbolka-detskaya-tbolka-kids-molochnobelaya-250462/" , "2504.62 Футболка детская T-Bolka Kids, молочно-белая, 6 лет")</f>
      </c>
      <c r="C31069" s="4" t="n">
        <v>495.00</v>
      </c>
      <c r="D31069" s="4"/>
    </row>
    <row collapsed="" customFormat="false" customHeight="1" hidden="" ht="14" outlineLevel="0" r="31070">
      <c r="A31070" s="3" t="inlineStr">
        <is>
          <t>30904</t>
        </is>
      </c>
      <c r="B31070" s="4" t="s">
        <f>=HYPERLINK("http://anyluxury.ru/shop/prazdnik/podarki-dlya-detey/futbolka-detskaya-tbolka-kids-molochnobelaya-250462/" , "2504.62 Футболка детская T-Bolka Kids, молочно-белая, 8 лет")</f>
      </c>
      <c r="C31070" s="4" t="n">
        <v>495.00</v>
      </c>
      <c r="D31070" s="4"/>
    </row>
    <row collapsed="" customFormat="false" customHeight="1" hidden="" ht="14" outlineLevel="0" r="31071">
      <c r="A31071" s="3" t="inlineStr">
        <is>
          <t>30905</t>
        </is>
      </c>
      <c r="B31071" s="4" t="s">
        <f>=HYPERLINK("http://anyluxury.ru/shop/prazdnik/podarki-dlya-detey/futbolka-detskaya-tbolka-kids-molochnobelaya-250462/" , "2504.62 Футболка детская T-Bolka Kids, молочно-белая, 10 лет")</f>
      </c>
      <c r="C31071" s="4" t="n">
        <v>495.00</v>
      </c>
      <c r="D31071" s="4"/>
    </row>
    <row collapsed="" customFormat="false" customHeight="1" hidden="" ht="14" outlineLevel="0" r="31072">
      <c r="A31072" s="3" t="inlineStr">
        <is>
          <t>30906</t>
        </is>
      </c>
      <c r="B31072" s="4" t="s">
        <f>=HYPERLINK("http://anyluxury.ru/shop/prazdnik/podarki-dlya-detey/futbolka-detskaya-tbolka-kids-molochnobelaya-250462/" , "2504.62 Футболка детская T-Bolka Kids, молочно-белая, 12 лет")</f>
      </c>
      <c r="C31072" s="4" t="n">
        <v>495.00</v>
      </c>
      <c r="D31072" s="4"/>
    </row>
    <row collapsed="" customFormat="false" customHeight="1" hidden="" ht="14" outlineLevel="0" r="31073">
      <c r="A31073" s="3" t="inlineStr">
        <is>
          <t>30907</t>
        </is>
      </c>
      <c r="B31073" s="4" t="s">
        <f>=HYPERLINK("http://anyluxury.ru/shop/prazdnik/podarki-dlya-detey/futbolka-detskaya-tbolka-kids-molochnobelaya-250462/" , "2504.62 Футболка детская T-Bolka Kids, молочно-белая, 14 лет")</f>
      </c>
      <c r="C31073" s="4" t="n">
        <v>495.00</v>
      </c>
      <c r="D31073" s="4"/>
    </row>
    <row collapsed="" customFormat="false" customHeight="1" hidden="" ht="14" outlineLevel="0" r="31074">
      <c r="A31074" s="3" t="inlineStr">
        <is>
          <t>30908</t>
        </is>
      </c>
      <c r="B31074" s="4" t="s">
        <f>=HYPERLINK("http://anyluxury.ru/shop/prazdnik/podarki-dlya-detey/tolstovka-s-kapyushonom-detskaya-kirenga-kids-fioletovaya-1114778/" , "11147.78 Толстовка с капюшоном детская Kirenga Kids, фиолетовая, 6 лет")</f>
      </c>
      <c r="C31074" s="4" t="n">
        <v>988.00</v>
      </c>
      <c r="D31074" s="4"/>
    </row>
    <row collapsed="" customFormat="false" customHeight="1" hidden="" ht="14" outlineLevel="0" r="31075">
      <c r="A31075" s="3" t="inlineStr">
        <is>
          <t>30909</t>
        </is>
      </c>
      <c r="B31075" s="4" t="s">
        <f>=HYPERLINK("http://anyluxury.ru/shop/prazdnik/podarki-dlya-detey/tolstovka-s-kapyushonom-detskaya-kirenga-kids-fioletovaya-1114778/" , "11147.78 Толстовка с капюшоном детская Kirenga Kids, фиолетовая, 10 лет")</f>
      </c>
      <c r="C31075" s="4" t="n">
        <v>988.00</v>
      </c>
      <c r="D31075" s="4"/>
    </row>
    <row collapsed="" customFormat="false" customHeight="1" hidden="" ht="14" outlineLevel="0" r="31076">
      <c r="A31076" s="3" t="inlineStr">
        <is>
          <t>30910</t>
        </is>
      </c>
      <c r="B31076" s="4" t="s">
        <f>=HYPERLINK("http://anyluxury.ru/shop/prazdnik/podarki-dlya-detey/tolstovka-s-kapyushonom-detskaya-kirenga-kids-fioletovaya-1114778/" , "11147.78 Толстовка с капюшоном детская Kirenga Kids, фиолетовая, 12 лет")</f>
      </c>
      <c r="C31076" s="4" t="n">
        <v>988.00</v>
      </c>
      <c r="D31076" s="4"/>
    </row>
    <row collapsed="" customFormat="false" customHeight="1" hidden="" ht="14" outlineLevel="0" r="31077">
      <c r="A31077" s="3" t="inlineStr">
        <is>
          <t>30911</t>
        </is>
      </c>
      <c r="B31077" s="4" t="s">
        <f>=HYPERLINK("http://anyluxury.ru/shop/prazdnik/podarki-dlya-detey/tolstovka-s-kapyushonom-detskaya-kirenga-kids-fioletovaya-1114778/" , "11147.78 Толстовка с капюшоном детская Kirenga Kids, фиолетовая, 14 лет")</f>
      </c>
      <c r="C31077" s="4" t="n">
        <v>988.00</v>
      </c>
      <c r="D31077" s="4"/>
    </row>
    <row collapsed="" customFormat="false" customHeight="1" hidden="" ht="14" outlineLevel="0" r="31078">
      <c r="A31078" s="3" t="inlineStr">
        <is>
          <t>30912</t>
        </is>
      </c>
      <c r="B31078" s="4" t="s">
        <f>=HYPERLINK("http://anyluxury.ru/shop/prazdnik/podarki-dlya-detey/tolstovka-s-kapyushonom-detskaya-kirenga-kids-zelenaya-1114792/" , "11147.92 Толстовка с капюшоном детская Kirenga Kids, зеленая, 6 лет")</f>
      </c>
      <c r="C31078" s="4" t="n">
        <v>988.00</v>
      </c>
      <c r="D31078" s="4"/>
    </row>
    <row collapsed="" customFormat="false" customHeight="1" hidden="" ht="14" outlineLevel="0" r="31079">
      <c r="A31079" s="3" t="inlineStr">
        <is>
          <t>30913</t>
        </is>
      </c>
      <c r="B31079" s="4" t="s">
        <f>=HYPERLINK("http://anyluxury.ru/shop/prazdnik/podarki-dlya-detey/tolstovka-s-kapyushonom-detskaya-kirenga-kids-zelenaya-1114792/" , "11147.92 Толстовка с капюшоном детская Kirenga Kids, зеленая, 8 лет")</f>
      </c>
      <c r="C31079" s="4" t="n">
        <v>988.00</v>
      </c>
      <c r="D31079" s="4"/>
    </row>
    <row collapsed="" customFormat="false" customHeight="1" hidden="" ht="14" outlineLevel="0" r="31080">
      <c r="A31080" s="3" t="inlineStr">
        <is>
          <t>30914</t>
        </is>
      </c>
      <c r="B31080" s="4" t="s">
        <f>=HYPERLINK("http://anyluxury.ru/shop/prazdnik/podarki-dlya-detey/tolstovka-s-kapyushonom-detskaya-kirenga-kids-zelenaya-1114792/" , "11147.92 Толстовка с капюшоном детская Kirenga Kids, зеленая, 10 лет")</f>
      </c>
      <c r="C31080" s="4" t="n">
        <v>988.00</v>
      </c>
      <c r="D31080" s="4"/>
    </row>
    <row collapsed="" customFormat="false" customHeight="1" hidden="" ht="14" outlineLevel="0" r="31081">
      <c r="A31081" s="3" t="inlineStr">
        <is>
          <t>30915</t>
        </is>
      </c>
      <c r="B31081" s="4" t="s">
        <f>=HYPERLINK("http://anyluxury.ru/shop/prazdnik/podarki-dlya-detey/tolstovka-s-kapyushonom-detskaya-kirenga-kids-zelenaya-1114792/" , "11147.92 Толстовка с капюшоном детская Kirenga Kids, зеленая, 12 лет")</f>
      </c>
      <c r="C31081" s="4" t="n">
        <v>988.00</v>
      </c>
      <c r="D31081" s="4"/>
    </row>
    <row collapsed="" customFormat="false" customHeight="1" hidden="" ht="14" outlineLevel="0" r="31082">
      <c r="A31082" s="3" t="inlineStr">
        <is>
          <t>30916</t>
        </is>
      </c>
      <c r="B31082" s="4" t="s">
        <f>=HYPERLINK("http://anyluxury.ru/shop/prazdnik/podarki-dlya-detey/tolstovka-s-kapyushonom-detskaya-kirenga-kids-zelenaya-1114792/" , "11147.92 Толстовка с капюшоном детская Kirenga Kids, зеленая, 14 лет")</f>
      </c>
      <c r="C31082" s="4" t="n">
        <v>988.00</v>
      </c>
      <c r="D31082" s="4"/>
    </row>
    <row collapsed="" customFormat="false" customHeight="1" hidden="" ht="14" outlineLevel="0" r="31083">
      <c r="A31083" s="3" t="inlineStr">
        <is>
          <t>30917</t>
        </is>
      </c>
      <c r="B31083" s="4" t="s">
        <f>=HYPERLINK("http://anyluxury.ru/shop/prazdnik/podarki-dlya-detey/poyasnaya-sumka-detskaya-kiddo-sinyaya-s-golubim-1618201/" , "16182.01 Поясная сумка детская Kiddo, синяя с голубым")</f>
      </c>
      <c r="C31083" s="4" t="n">
        <v>410.00</v>
      </c>
      <c r="D31083" s="4"/>
    </row>
    <row collapsed="" customFormat="false" customHeight="1" hidden="" ht="14" outlineLevel="0" r="31084">
      <c r="A31084" s="3" t="inlineStr">
        <is>
          <t>30918</t>
        </is>
      </c>
      <c r="B31084" s="4" t="s">
        <f>=HYPERLINK("http://anyluxury.ru/shop/prazdnik/podarki-dlya-detey/poyasnaya-sumka-detskaya-kiddo-bordovaya-s-serim-1618202/" , "16182.02 Поясная сумка детская Kiddo, бордовая с серым")</f>
      </c>
      <c r="C31084" s="4" t="n">
        <v>410.00</v>
      </c>
      <c r="D31084" s="4"/>
    </row>
    <row collapsed="" customFormat="false" customHeight="1" hidden="" ht="14" outlineLevel="0" r="31085">
      <c r="A31085" s="3" t="inlineStr">
        <is>
          <t>30919</t>
        </is>
      </c>
      <c r="B31085" s="4" t="s">
        <f>=HYPERLINK("http://anyluxury.ru/shop/prazdnik/podarki-dlya-detey/nabor-dlya-raskrashivaniya-ace-pintura-1678200/" , "16782.00 Набор для раскрашивания Ace Pintura")</f>
      </c>
      <c r="C31085" s="4" t="n">
        <v>365.00</v>
      </c>
      <c r="D31085" s="4"/>
    </row>
    <row collapsed="" customFormat="false" customHeight="1" hidden="" ht="14" outlineLevel="0" r="31086">
      <c r="A31086" s="3" t="inlineStr">
        <is>
          <t>30920</t>
        </is>
      </c>
      <c r="B31086" s="4" t="s">
        <f>=HYPERLINK("http://anyluxury.ru/shop/prazdnik/podarki-dlya-detey/nabor-dlya-raskrashivaniya-artemond-v-tubuse-1678300/" , "16783.00 Набор для раскрашивания Artemond в тубусе")</f>
      </c>
      <c r="C31086" s="4" t="n">
        <v>99.00</v>
      </c>
      <c r="D31086" s="4"/>
    </row>
    <row collapsed="" customFormat="false" customHeight="1" hidden="" ht="14" outlineLevel="0" r="31087">
      <c r="A31087" s="3" t="inlineStr">
        <is>
          <t>30921</t>
        </is>
      </c>
      <c r="B31087" s="4" t="s">
        <f>=HYPERLINK("http://anyluxury.ru/shop/prazdnik/podarki-dlya-detey/nabor-cvetnih-karandashey-pencilvania-tube-plus-kraft-1563400/" , "15634.00 Набор цветных карандашей Pencilvania Tube Plus, крафт")</f>
      </c>
      <c r="C31087" s="4" t="n">
        <v>135.00</v>
      </c>
      <c r="D31087" s="4"/>
    </row>
    <row collapsed="" customFormat="false" customHeight="1" hidden="" ht="14" outlineLevel="0" r="31088">
      <c r="A31088" s="3" t="inlineStr">
        <is>
          <t>30922</t>
        </is>
      </c>
      <c r="B31088" s="4" t="s">
        <f>=HYPERLINK("http://anyluxury.ru/shop/prazdnik/podarki-dlya-detey/nabor-cvetnih-karandashey-pencilvania-tube-plus-cherniy-1563430/" , "15634.30 Набор цветных карандашей Pencilvania Tube Plus, черный")</f>
      </c>
      <c r="C31088" s="4" t="n">
        <v>135.00</v>
      </c>
      <c r="D31088" s="4"/>
    </row>
    <row collapsed="" customFormat="false" customHeight="1" hidden="" ht="14" outlineLevel="0" r="31089">
      <c r="A31089" s="3" t="inlineStr">
        <is>
          <t>30923</t>
        </is>
      </c>
      <c r="B31089" s="4" t="s">
        <f>=HYPERLINK("http://anyluxury.ru/shop/prazdnik/podarki-dlya-detey/detskiy-ryukzak-novice-seriy-s-sinim-1733314/" , "17333.14 Детский рюкзак Novice, серый с синим")</f>
      </c>
      <c r="C31089" s="4" t="n">
        <v>235.00</v>
      </c>
      <c r="D31089" s="4"/>
    </row>
    <row collapsed="" customFormat="false" customHeight="1" hidden="" ht="14" outlineLevel="0" r="31090">
      <c r="A31090" s="3" t="inlineStr">
        <is>
          <t>30924</t>
        </is>
      </c>
      <c r="B31090" s="4" t="s">
        <f>=HYPERLINK("http://anyluxury.ru/shop/prazdnik/podarki-dlya-detey/detskiy-ryukzak-novice-seriy-s-krasnim-1733315/" , "17333.15 Детский рюкзак Novice, серый с красным")</f>
      </c>
      <c r="C31090" s="4" t="n">
        <v>235.00</v>
      </c>
      <c r="D31090" s="4"/>
    </row>
    <row collapsed="" customFormat="false" customHeight="1" hidden="" ht="14" outlineLevel="0" r="31091">
      <c r="A31091" s="3" t="inlineStr">
        <is>
          <t>30925</t>
        </is>
      </c>
      <c r="B31091" s="4" t="s">
        <f>=HYPERLINK("http://anyluxury.ru/shop/prazdnik/podarki-dlya-detey/detskiy-ryukzak-novice-seriy-s-zelenim-1733319/" , "17333.19 Детский рюкзак Novice, серый с зеленым")</f>
      </c>
      <c r="C31091" s="4" t="n">
        <v>235.00</v>
      </c>
      <c r="D31091" s="4"/>
    </row>
    <row collapsed="" customFormat="false" customHeight="1" hidden="" ht="14" outlineLevel="0" r="31092">
      <c r="A31092" s="3" t="inlineStr">
        <is>
          <t>30926</t>
        </is>
      </c>
      <c r="B31092" s="4" t="s">
        <f>=HYPERLINK("http://anyluxury.ru/shop/prazdnik/podarki-dlya-detey/detskiy-ryukzak-novice-seriy-s-oranzhevim-1733312/" , "17333.12 Детский рюкзак Novice, серый с оранжевым")</f>
      </c>
      <c r="C31092" s="4" t="n">
        <v>235.00</v>
      </c>
      <c r="D31092" s="4"/>
    </row>
    <row collapsed="" customFormat="false" customHeight="1" hidden="" ht="14" outlineLevel="0" r="31093">
      <c r="A31093" s="3" t="inlineStr">
        <is>
          <t>30927</t>
        </is>
      </c>
      <c r="B31093" s="4" t="s">
        <f>=HYPERLINK("http://anyluxury.ru/shop/prazdnik/podarki-dlya-detey/detskiy-ryukzak-wonderkid-goluboy-1733444/" , "17334.44 Детский рюкзак Wonderkid, голубой")</f>
      </c>
      <c r="C31093" s="4" t="n">
        <v>285.00</v>
      </c>
      <c r="D31093" s="4"/>
    </row>
    <row collapsed="" customFormat="false" customHeight="1" hidden="" ht="14" outlineLevel="0" r="31094">
      <c r="A31094" s="3" t="inlineStr">
        <is>
          <t>30928</t>
        </is>
      </c>
      <c r="B31094" s="4" t="s">
        <f>=HYPERLINK("http://anyluxury.ru/shop/prazdnik/podarki-dlya-detey/detskiy-ryukzak-wonderkid-oranzheviy-1733420/" , "17334.20 Детский рюкзак Wonderkid, оранжевый")</f>
      </c>
      <c r="C31094" s="4" t="n">
        <v>285.00</v>
      </c>
      <c r="D31094" s="4"/>
    </row>
    <row collapsed="" customFormat="false" customHeight="" hidden="" ht="12.1" outlineLevel="0" r="31095">
      <c r="A31095" s="5" t="inlineStr">
        <is>
          <t> -  - Подарки морякам</t>
        </is>
      </c>
      <c r="B31095" s="6"/>
      <c r="C31095" s="6"/>
      <c r="D31095" s="6"/>
    </row>
    <row collapsed="" customFormat="false" customHeight="1" hidden="" ht="14" outlineLevel="0" r="31096">
      <c r="A31096" s="3" t="inlineStr">
        <is>
          <t>30929</t>
        </is>
      </c>
      <c r="B31096" s="4" t="s">
        <f>=HYPERLINK("http://anyluxury.ru/shop/prazdnik/podarki-moryakam/vetrovka-muzhskaya-mistral-210-zelenaya-184290/" , "1842.90 Ветровка мужская MISTRAL 210 зеленая, размер S")</f>
      </c>
      <c r="C31096" s="4" t="n">
        <v>4563.00</v>
      </c>
      <c r="D31096" s="4"/>
    </row>
    <row collapsed="" customFormat="false" customHeight="1" hidden="" ht="14" outlineLevel="0" r="31097">
      <c r="A31097" s="3" t="inlineStr">
        <is>
          <t>30930</t>
        </is>
      </c>
      <c r="B31097" s="4" t="s">
        <f>=HYPERLINK("http://anyluxury.ru/shop/prazdnik/podarki-moryakam/vetrovka-muzhskaya-mistral-210-zelenaya-184290/" , "1842.90 Ветровка мужская MISTRAL 210 зеленая, размер M")</f>
      </c>
      <c r="C31097" s="4" t="n">
        <v>4563.00</v>
      </c>
      <c r="D31097" s="4"/>
    </row>
    <row collapsed="" customFormat="false" customHeight="1" hidden="" ht="14" outlineLevel="0" r="31098">
      <c r="A31098" s="3" t="inlineStr">
        <is>
          <t>30931</t>
        </is>
      </c>
      <c r="B31098" s="4" t="s">
        <f>=HYPERLINK("http://anyluxury.ru/shop/prazdnik/podarki-moryakam/vetrovka-muzhskaya-mistral-210-zelenaya-184290/" , "1842.90 Ветровка мужская MISTRAL 210 зеленая, размер L")</f>
      </c>
      <c r="C31098" s="4" t="n">
        <v>4563.00</v>
      </c>
      <c r="D31098" s="4"/>
    </row>
    <row collapsed="" customFormat="false" customHeight="1" hidden="" ht="14" outlineLevel="0" r="31099">
      <c r="A31099" s="3" t="inlineStr">
        <is>
          <t>30932</t>
        </is>
      </c>
      <c r="B31099" s="4" t="s">
        <f>=HYPERLINK("http://anyluxury.ru/shop/prazdnik/podarki-moryakam/vetrovka-muzhskaya-mistral-210-zelenaya-184290/" , "1842.90 Ветровка мужская MISTRAL 210 зеленая, размер XL")</f>
      </c>
      <c r="C31099" s="4" t="n">
        <v>4563.00</v>
      </c>
      <c r="D31099" s="4"/>
    </row>
    <row collapsed="" customFormat="false" customHeight="1" hidden="" ht="14" outlineLevel="0" r="31100">
      <c r="A31100" s="3" t="inlineStr">
        <is>
          <t>30933</t>
        </is>
      </c>
      <c r="B31100" s="4" t="s">
        <f>=HYPERLINK("http://anyluxury.ru/shop/prazdnik/podarki-moryakam/vetrovka-muzhskaya-mistral-210-zelenaya-184290/" , "1842.90 Ветровка мужская MISTRAL 210 зеленая, размер XXL")</f>
      </c>
      <c r="C31100" s="4" t="n">
        <v>4563.00</v>
      </c>
      <c r="D31100" s="4"/>
    </row>
    <row collapsed="" customFormat="false" customHeight="1" hidden="" ht="14" outlineLevel="0" r="31101">
      <c r="A31101" s="3" t="inlineStr">
        <is>
          <t>30934</t>
        </is>
      </c>
      <c r="B31101" s="4" t="s">
        <f>=HYPERLINK("http://anyluxury.ru/shop/prazdnik/podarki-moryakam/rubashka-polo-muzhskaya-patriot-200-zelenaya-597290/" , "5972.90 Рубашка поло мужская PATRIOT 200, зеленая, размер S")</f>
      </c>
      <c r="C31101" s="4" t="n">
        <v>2270.00</v>
      </c>
      <c r="D31101" s="4"/>
    </row>
    <row collapsed="" customFormat="false" customHeight="1" hidden="" ht="14" outlineLevel="0" r="31102">
      <c r="A31102" s="3" t="inlineStr">
        <is>
          <t>30935</t>
        </is>
      </c>
      <c r="B31102" s="4" t="s">
        <f>=HYPERLINK("http://anyluxury.ru/shop/prazdnik/podarki-moryakam/rubashka-polo-muzhskaya-patriot-200-zelenaya-597290/" , "5972.90 Рубашка поло мужская PATRIOT 200, зеленая, размер XXL")</f>
      </c>
      <c r="C31102" s="4" t="n">
        <v>2270.00</v>
      </c>
      <c r="D31102" s="4"/>
    </row>
    <row collapsed="" customFormat="false" customHeight="1" hidden="" ht="14" outlineLevel="0" r="31103">
      <c r="A31103" s="3" t="inlineStr">
        <is>
          <t>30936</t>
        </is>
      </c>
      <c r="B31103" s="4" t="s">
        <f>=HYPERLINK("http://anyluxury.ru/shop/prazdnik/podarki-moryakam/rubashka-polo-muzhskaya-patriot-200-zelenaya-597290/" , "5972.90 Рубашка поло мужская PATRIOT 200 зеленая, размер 3XL")</f>
      </c>
      <c r="C31103" s="4" t="n">
        <v>2827.00</v>
      </c>
      <c r="D31103" s="4"/>
    </row>
    <row collapsed="" customFormat="false" customHeight="1" hidden="" ht="14" outlineLevel="0" r="31104">
      <c r="A31104" s="3" t="inlineStr">
        <is>
          <t>30937</t>
        </is>
      </c>
      <c r="B31104" s="4" t="s">
        <f>=HYPERLINK("http://anyluxury.ru/shop/prazdnik/podarki-moryakam/rubashka-polo-patriot-women-yarkosinyaya-01407241/" , "01407241 Рубашка поло PATRIOT WOMEN ярко-синяя, размер S")</f>
      </c>
      <c r="C31104" s="4" t="n">
        <v>2450.00</v>
      </c>
      <c r="D31104" s="4"/>
    </row>
    <row collapsed="" customFormat="false" customHeight="1" hidden="" ht="14" outlineLevel="0" r="31105">
      <c r="A31105" s="3" t="inlineStr">
        <is>
          <t>30938</t>
        </is>
      </c>
      <c r="B31105" s="4" t="s">
        <f>=HYPERLINK("http://anyluxury.ru/shop/prazdnik/podarki-moryakam/rubashka-polo-patriot-women-yarkosinyaya-01407241/" , "01407241 Рубашка поло PATRIOT WOMEN ярко-синяя, размер M")</f>
      </c>
      <c r="C31105" s="4" t="n">
        <v>2450.00</v>
      </c>
      <c r="D31105" s="4"/>
    </row>
    <row collapsed="" customFormat="false" customHeight="1" hidden="" ht="14" outlineLevel="0" r="31106">
      <c r="A31106" s="3" t="inlineStr">
        <is>
          <t>30939</t>
        </is>
      </c>
      <c r="B31106" s="4" t="s">
        <f>=HYPERLINK("http://anyluxury.ru/shop/prazdnik/podarki-moryakam/rubashka-polo-patriot-women-yarkosinyaya-01407241/" , "01407241 Рубашка поло PATRIOT WOMEN ярко-синяя, размер L")</f>
      </c>
      <c r="C31106" s="4" t="n">
        <v>2450.00</v>
      </c>
      <c r="D31106" s="4"/>
    </row>
    <row collapsed="" customFormat="false" customHeight="1" hidden="" ht="14" outlineLevel="0" r="31107">
      <c r="A31107" s="3" t="inlineStr">
        <is>
          <t>30940</t>
        </is>
      </c>
      <c r="B31107" s="4" t="s">
        <f>=HYPERLINK("http://anyluxury.ru/shop/prazdnik/podarki-moryakam/rubashka-polo-patriot-women-yarkosinyaya-01407241/" , "01407241 Рубашка поло PATRIOT WOMEN ярко-синяя, размер XL")</f>
      </c>
      <c r="C31107" s="4" t="n">
        <v>2450.00</v>
      </c>
      <c r="D31107" s="4"/>
    </row>
    <row collapsed="" customFormat="false" customHeight="1" hidden="" ht="14" outlineLevel="0" r="31108">
      <c r="A31108" s="3" t="inlineStr">
        <is>
          <t>30941</t>
        </is>
      </c>
      <c r="B31108" s="4" t="s">
        <f>=HYPERLINK("http://anyluxury.ru/shop/prazdnik/podarki-moryakam/rubashka-polo-patriot-women-yarkosinyaya-01407241/" , "01407241 Рубашка поло PATRIOT WOMEN ярко-синяя, размер XXL")</f>
      </c>
      <c r="C31108" s="4" t="n">
        <v>2450.00</v>
      </c>
      <c r="D31108" s="4"/>
    </row>
    <row collapsed="" customFormat="false" customHeight="1" hidden="" ht="14" outlineLevel="0" r="31109">
      <c r="A31109" s="3" t="inlineStr">
        <is>
          <t>30942</t>
        </is>
      </c>
      <c r="B31109" s="4" t="s">
        <f>=HYPERLINK("http://anyluxury.ru/shop/prazdnik/podarki-moryakam/pled-mariman-7028/" , "7028 Плед Industry, морской")</f>
      </c>
      <c r="C31109" s="4" t="n">
        <v>4895.00</v>
      </c>
      <c r="D31109" s="4"/>
    </row>
    <row collapsed="" customFormat="false" customHeight="1" hidden="" ht="14" outlineLevel="0" r="31110">
      <c r="A31110" s="3" t="inlineStr">
        <is>
          <t>30943</t>
        </is>
      </c>
      <c r="B31110" s="4" t="s">
        <f>=HYPERLINK("http://anyluxury.ru/shop/prazdnik/podarki-moryakam/shevron-na-lipuchke-chayka-1822801/" , "18228.01 Шеврон на липучке «Чайка»")</f>
      </c>
      <c r="C31110" s="4" t="n">
        <v>202.00</v>
      </c>
      <c r="D31110" s="4"/>
    </row>
    <row collapsed="" customFormat="false" customHeight="1" hidden="" ht="14" outlineLevel="0" r="31111">
      <c r="A31111" s="3" t="inlineStr">
        <is>
          <t>30944</t>
        </is>
      </c>
      <c r="B31111" s="4" t="s">
        <f>=HYPERLINK("http://anyluxury.ru/shop/prazdnik/podarki-moryakam/shevron-na-lipuchke-spasatelniy-krug-1822804/" , "18228.04 Шеврон на липучке «Спасательный круг»")</f>
      </c>
      <c r="C31111" s="4" t="n">
        <v>202.00</v>
      </c>
      <c r="D31111" s="4"/>
    </row>
    <row collapsed="" customFormat="false" customHeight="1" hidden="" ht="14" outlineLevel="0" r="31112">
      <c r="A31112" s="3" t="inlineStr">
        <is>
          <t>30945</t>
        </is>
      </c>
      <c r="B31112" s="4" t="s">
        <f>=HYPERLINK("http://anyluxury.ru/shop/prazdnik/podarki-moryakam/ezhednevnik-industry-morskoy-7163640/" , "71636.40 Ежедневник Industry, морской")</f>
      </c>
      <c r="C31112" s="4" t="n">
        <v>605.00</v>
      </c>
      <c r="D31112" s="4"/>
    </row>
    <row collapsed="" customFormat="false" customHeight="1" hidden="" ht="14" outlineLevel="0" r="31113">
      <c r="A31113" s="3" t="inlineStr">
        <is>
          <t>30946</t>
        </is>
      </c>
      <c r="B31113" s="4" t="s">
        <f>=HYPERLINK("http://anyluxury.ru/shop/prazdnik/podarki-moryakam/shokolad-industry-morskoy-1550003/" , "15500.03 Шоколад Industry, морской")</f>
      </c>
      <c r="C31113" s="4" t="n">
        <v>255.00</v>
      </c>
      <c r="D31113" s="4"/>
    </row>
    <row collapsed="" customFormat="false" customHeight="" hidden="" ht="12.1" outlineLevel="0" r="31114">
      <c r="A31114" s="5" t="inlineStr">
        <is>
          <t> -  - Подарки на День медицинского работника</t>
        </is>
      </c>
      <c r="B31114" s="6"/>
      <c r="C31114" s="6"/>
      <c r="D31114" s="6"/>
    </row>
    <row collapsed="" customFormat="false" customHeight="1" hidden="" ht="14" outlineLevel="0" r="31115">
      <c r="A31115" s="3" t="inlineStr">
        <is>
          <t>30947</t>
        </is>
      </c>
      <c r="B31115" s="4" t="s">
        <f>=HYPERLINK("http://anyluxury.ru/shop/prazdnik/podarki-na-den-meditsinskogo-rabotnika/rubashka-polo-patriot-women-belaya-s-chernim-01407906/" , "01407906 Рубашка поло PATRIOT WOMEN белая с черным, размер S")</f>
      </c>
      <c r="C31115" s="4" t="n">
        <v>2450.00</v>
      </c>
      <c r="D31115" s="4"/>
    </row>
    <row collapsed="" customFormat="false" customHeight="1" hidden="" ht="14" outlineLevel="0" r="31116">
      <c r="A31116" s="3" t="inlineStr">
        <is>
          <t>30948</t>
        </is>
      </c>
      <c r="B31116" s="4" t="s">
        <f>=HYPERLINK("http://anyluxury.ru/shop/prazdnik/podarki-na-den-meditsinskogo-rabotnika/rubashka-polo-patriot-women-belaya-s-chernim-01407906/" , "01407906 Рубашка поло PATRIOT WOMEN белая с черным, размер M")</f>
      </c>
      <c r="C31116" s="4" t="n">
        <v>2450.00</v>
      </c>
      <c r="D31116" s="4"/>
    </row>
    <row collapsed="" customFormat="false" customHeight="1" hidden="" ht="14" outlineLevel="0" r="31117">
      <c r="A31117" s="3" t="inlineStr">
        <is>
          <t>30949</t>
        </is>
      </c>
      <c r="B31117" s="4" t="s">
        <f>=HYPERLINK("http://anyluxury.ru/shop/prazdnik/podarki-na-den-meditsinskogo-rabotnika/rubashka-polo-patriot-women-belaya-s-chernim-01407906/" , "01407906 Рубашка поло PATRIOT WOMEN белая с черным, размер L")</f>
      </c>
      <c r="C31117" s="4" t="n">
        <v>2450.00</v>
      </c>
      <c r="D31117" s="4"/>
    </row>
    <row collapsed="" customFormat="false" customHeight="1" hidden="" ht="14" outlineLevel="0" r="31118">
      <c r="A31118" s="3" t="inlineStr">
        <is>
          <t>30950</t>
        </is>
      </c>
      <c r="B31118" s="4" t="s">
        <f>=HYPERLINK("http://anyluxury.ru/shop/prazdnik/podarki-na-den-meditsinskogo-rabotnika/rubashka-polo-patriot-women-belaya-s-chernim-01407906/" , "01407906 Рубашка поло PATRIOT WOMEN белая с черным, размер XL")</f>
      </c>
      <c r="C31118" s="4" t="n">
        <v>2450.00</v>
      </c>
      <c r="D31118" s="4"/>
    </row>
    <row collapsed="" customFormat="false" customHeight="1" hidden="" ht="14" outlineLevel="0" r="31119">
      <c r="A31119" s="3" t="inlineStr">
        <is>
          <t>30951</t>
        </is>
      </c>
      <c r="B31119" s="4" t="s">
        <f>=HYPERLINK("http://anyluxury.ru/shop/prazdnik/podarki-na-den-meditsinskogo-rabotnika/rubashka-polo-patriot-women-belaya-s-chernim-01407906/" , "01407906 Рубашка поло PATRIOT WOMEN белая с черным, размер XXL")</f>
      </c>
      <c r="C31119" s="4" t="n">
        <v>2450.00</v>
      </c>
      <c r="D31119" s="4"/>
    </row>
    <row collapsed="" customFormat="false" customHeight="1" hidden="" ht="14" outlineLevel="0" r="31120">
      <c r="A31120" s="3" t="inlineStr">
        <is>
          <t>30952</t>
        </is>
      </c>
      <c r="B31120" s="4" t="s">
        <f>=HYPERLINK("http://anyluxury.ru/shop/prazdnik/podarki-na-den-meditsinskogo-rabotnika/tabletnica-gesund-oranzhevaya-7415020/" , "74150.20 Таблетница Gesund, оранжевая")</f>
      </c>
      <c r="C31120" s="4" t="n">
        <v>80.30</v>
      </c>
      <c r="D31120" s="4"/>
    </row>
    <row collapsed="" customFormat="false" customHeight="1" hidden="" ht="14" outlineLevel="0" r="31121">
      <c r="A31121" s="3" t="inlineStr">
        <is>
          <t>30953</t>
        </is>
      </c>
      <c r="B31121" s="4" t="s">
        <f>=HYPERLINK("http://anyluxury.ru/shop/prazdnik/podarki-na-den-meditsinskogo-rabotnika/tabletnica-gesund-sinyaya-7415040/" , "74150.40 Таблетница Gesund, синяя")</f>
      </c>
      <c r="C31121" s="4" t="n">
        <v>80.30</v>
      </c>
      <c r="D31121" s="4"/>
    </row>
    <row collapsed="" customFormat="false" customHeight="1" hidden="" ht="14" outlineLevel="0" r="31122">
      <c r="A31122" s="3" t="inlineStr">
        <is>
          <t>30954</t>
        </is>
      </c>
      <c r="B31122" s="4" t="s">
        <f>=HYPERLINK("http://anyluxury.ru/shop/prazdnik/podarki-na-den-meditsinskogo-rabotnika/tabletnica-gesund-zelenaya-7415092/" , "74150.92 Таблетница Gesund, зеленая")</f>
      </c>
      <c r="C31122" s="4" t="n">
        <v>80.30</v>
      </c>
      <c r="D31122" s="4"/>
    </row>
    <row collapsed="" customFormat="false" customHeight="1" hidden="" ht="14" outlineLevel="0" r="31123">
      <c r="A31123" s="3" t="inlineStr">
        <is>
          <t>30955</t>
        </is>
      </c>
      <c r="B31123" s="4" t="s">
        <f>=HYPERLINK("http://anyluxury.ru/shop/prazdnik/podarki-na-den-meditsinskogo-rabotnika/pled-sanitas-1171400/" , "11714.00 Плед Industry, здравоохранение")</f>
      </c>
      <c r="C31123" s="4" t="n">
        <v>4895.00</v>
      </c>
      <c r="D31123" s="4"/>
    </row>
    <row collapsed="" customFormat="false" customHeight="1" hidden="" ht="14" outlineLevel="0" r="31124">
      <c r="A31124" s="3" t="inlineStr">
        <is>
          <t>30956</t>
        </is>
      </c>
      <c r="B31124" s="4" t="s">
        <f>=HYPERLINK("http://anyluxury.ru/shop/prazdnik/podarki-na-den-meditsinskogo-rabotnika/kruzhka-razdelenie-truda-doktorro-belaya-s-krasnim-7102250/" , "71022.50 Кружка «Разделение труда. Докторро», белая с красным")</f>
      </c>
      <c r="C31124" s="4" t="n">
        <v>635.00</v>
      </c>
      <c r="D31124" s="4"/>
    </row>
    <row collapsed="" customFormat="false" customHeight="1" hidden="" ht="14" outlineLevel="0" r="31125">
      <c r="A31125" s="3" t="inlineStr">
        <is>
          <t>30957</t>
        </is>
      </c>
      <c r="B31125" s="4" t="s">
        <f>=HYPERLINK("http://anyluxury.ru/shop/prazdnik/podarki-na-den-meditsinskogo-rabotnika/futbolka-angeli-marli-chernaya-7102430/" , "71024.30 Футболка «Ангелы марли», черная, размер S")</f>
      </c>
      <c r="C31125" s="4" t="n">
        <v>711.00</v>
      </c>
      <c r="D31125" s="4"/>
    </row>
    <row collapsed="" customFormat="false" customHeight="1" hidden="" ht="14" outlineLevel="0" r="31126">
      <c r="A31126" s="3" t="inlineStr">
        <is>
          <t>30958</t>
        </is>
      </c>
      <c r="B31126" s="4" t="s">
        <f>=HYPERLINK("http://anyluxury.ru/shop/prazdnik/podarki-na-den-meditsinskogo-rabotnika/futbolka-angeli-marli-chernaya-7102430/" , "71024.30 Футболка «Ангелы марли», черная, размер M")</f>
      </c>
      <c r="C31126" s="4" t="n">
        <v>711.00</v>
      </c>
      <c r="D31126" s="4"/>
    </row>
    <row collapsed="" customFormat="false" customHeight="1" hidden="" ht="14" outlineLevel="0" r="31127">
      <c r="A31127" s="3" t="inlineStr">
        <is>
          <t>30959</t>
        </is>
      </c>
      <c r="B31127" s="4" t="s">
        <f>=HYPERLINK("http://anyluxury.ru/shop/prazdnik/podarki-na-den-meditsinskogo-rabotnika/futbolka-angeli-marli-chernaya-7102430/" , "71024.30 Футболка «Ангелы марли», черная, размер L")</f>
      </c>
      <c r="C31127" s="4" t="n">
        <v>711.00</v>
      </c>
      <c r="D31127" s="4"/>
    </row>
    <row collapsed="" customFormat="false" customHeight="1" hidden="" ht="14" outlineLevel="0" r="31128">
      <c r="A31128" s="3" t="inlineStr">
        <is>
          <t>30960</t>
        </is>
      </c>
      <c r="B31128" s="4" t="s">
        <f>=HYPERLINK("http://anyluxury.ru/shop/prazdnik/podarki-na-den-meditsinskogo-rabotnika/futbolka-angeli-marli-chernaya-7102430/" , "71024.30 Футболка «Ангелы марли», черная, размер XL")</f>
      </c>
      <c r="C31128" s="4" t="n">
        <v>711.00</v>
      </c>
      <c r="D31128" s="4"/>
    </row>
    <row collapsed="" customFormat="false" customHeight="1" hidden="" ht="14" outlineLevel="0" r="31129">
      <c r="A31129" s="3" t="inlineStr">
        <is>
          <t>30961</t>
        </is>
      </c>
      <c r="B31129" s="4" t="s">
        <f>=HYPERLINK("http://anyluxury.ru/shop/prazdnik/podarki-na-den-meditsinskogo-rabotnika/futbolka-angeli-marli-chernaya-7102430/" , "71024.30 Футболка «Ангелы марли», черная, размер XXL")</f>
      </c>
      <c r="C31129" s="4" t="n">
        <v>711.00</v>
      </c>
      <c r="D31129" s="4"/>
    </row>
    <row collapsed="" customFormat="false" customHeight="1" hidden="" ht="14" outlineLevel="0" r="31130">
      <c r="A31130" s="3" t="inlineStr">
        <is>
          <t>30962</t>
        </is>
      </c>
      <c r="B31130" s="4" t="s">
        <f>=HYPERLINK("http://anyluxury.ru/shop/prazdnik/podarki-na-den-meditsinskogo-rabotnika/skladnoy-zont-tomas-beliy-7913960/" , "79139.60 Складной зонт Tomas, белый")</f>
      </c>
      <c r="C31130" s="4" t="n">
        <v>1401.00</v>
      </c>
      <c r="D31130" s="4"/>
    </row>
    <row collapsed="" customFormat="false" customHeight="1" hidden="" ht="14" outlineLevel="0" r="31131">
      <c r="A31131" s="3" t="inlineStr">
        <is>
          <t>30963</t>
        </is>
      </c>
      <c r="B31131" s="4" t="s">
        <f>=HYPERLINK("http://anyluxury.ru/shop/prazdnik/podarki-na-den-meditsinskogo-rabotnika/shevron-na-lipuchke-mikroskop-1823103/" , "18231.03 Шеврон на липучке «Микроскоп»")</f>
      </c>
      <c r="C31131" s="4" t="n">
        <v>202.00</v>
      </c>
      <c r="D31131" s="4"/>
    </row>
    <row collapsed="" customFormat="false" customHeight="1" hidden="" ht="14" outlineLevel="0" r="31132">
      <c r="A31132" s="3" t="inlineStr">
        <is>
          <t>30964</t>
        </is>
      </c>
      <c r="B31132" s="4" t="s">
        <f>=HYPERLINK("http://anyluxury.ru/shop/prazdnik/podarki-na-den-meditsinskogo-rabotnika/ezhednevnik-industry-zdravoohranenie-7163650/" , "71636.50 Ежедневник Industry, здравоохранение")</f>
      </c>
      <c r="C31132" s="4" t="n">
        <v>605.00</v>
      </c>
      <c r="D31132" s="4"/>
    </row>
    <row collapsed="" customFormat="false" customHeight="1" hidden="" ht="14" outlineLevel="0" r="31133">
      <c r="A31133" s="3" t="inlineStr">
        <is>
          <t>30965</t>
        </is>
      </c>
      <c r="B31133" s="4" t="s">
        <f>=HYPERLINK("http://anyluxury.ru/shop/prazdnik/podarki-na-den-meditsinskogo-rabotnika/shokolad-industry-zdravoohranenie-1550004/" , "15500.04 Шоколад Industry, здравоохранение")</f>
      </c>
      <c r="C31133" s="4" t="n">
        <v>255.00</v>
      </c>
      <c r="D31133" s="4"/>
    </row>
    <row collapsed="" customFormat="false" customHeight="1" hidden="" ht="14" outlineLevel="0" r="31134">
      <c r="A31134" s="3" t="inlineStr">
        <is>
          <t>30966</t>
        </is>
      </c>
      <c r="B31134" s="4" t="s">
        <f>=HYPERLINK("http://anyluxury.ru/shop/prazdnik/podarki-na-den-meditsinskogo-rabotnika/shokolad-industry-metallurgiya-1550006/" , "15500.06 Шоколад Industry, металлургия")</f>
      </c>
      <c r="C31134" s="4" t="n">
        <v>255.00</v>
      </c>
      <c r="D31134" s="4"/>
    </row>
    <row collapsed="" customFormat="false" customHeight="" hidden="" ht="12.1" outlineLevel="0" r="31135">
      <c r="A31135" s="5" t="inlineStr">
        <is>
          <t> -  - Подарки на День рождения компании</t>
        </is>
      </c>
      <c r="B31135" s="6"/>
      <c r="C31135" s="6"/>
      <c r="D31135" s="6"/>
    </row>
    <row collapsed="" customFormat="false" customHeight="1" hidden="" ht="14" outlineLevel="0" r="31136">
      <c r="A31136" s="3" t="inlineStr">
        <is>
          <t>30967</t>
        </is>
      </c>
      <c r="B31136" s="4" t="s">
        <f>=HYPERLINK("http://anyluxury.ru/shop/prazdnik/podarki-na-den-rozhdeniya-kompanii/skulptura-tisyacha-kultur-z2105/" , "Z2105 Скульптура «Тысяча культур»")</f>
      </c>
      <c r="C31136" s="4" t="n">
        <v>8990.00</v>
      </c>
      <c r="D31136" s="4"/>
    </row>
    <row collapsed="" customFormat="false" customHeight="1" hidden="" ht="14" outlineLevel="0" r="31137">
      <c r="A31137" s="3" t="inlineStr">
        <is>
          <t>30968</t>
        </is>
      </c>
      <c r="B31137" s="4" t="s">
        <f>=HYPERLINK("http://anyluxury.ru/shop/prazdnik/podarki-na-den-rozhdeniya-kompanii/nagrada-vzlet-779000/" , "7790.00 Награда «Взлет»")</f>
      </c>
      <c r="C31137" s="4" t="n">
        <v>2199.00</v>
      </c>
      <c r="D31137" s="4"/>
    </row>
    <row collapsed="" customFormat="false" customHeight="" hidden="" ht="12.1" outlineLevel="0" r="31138">
      <c r="A31138" s="5" t="inlineStr">
        <is>
          <t> -  - Подарки начальнику</t>
        </is>
      </c>
      <c r="B31138" s="6"/>
      <c r="C31138" s="6"/>
      <c r="D31138" s="6"/>
    </row>
    <row collapsed="" customFormat="false" customHeight="1" hidden="" ht="14" outlineLevel="0" r="31139">
      <c r="A31139" s="3" t="inlineStr">
        <is>
          <t>30969</t>
        </is>
      </c>
      <c r="B31139" s="4" t="s">
        <f>=HYPERLINK("http://anyluxury.ru/shop/prazdnik/podarki-nachalniku/kurtka-zhenskaya-elizabeth-cherniy-melanzh-655612/" , "6556.12 Куртка женская ELIZABETH, черный меланж, размер M")</f>
      </c>
      <c r="C31139" s="4" t="n">
        <v>9341.00</v>
      </c>
      <c r="D31139" s="4"/>
    </row>
    <row collapsed="" customFormat="false" customHeight="1" hidden="" ht="14" outlineLevel="0" r="31140">
      <c r="A31140" s="3" t="inlineStr">
        <is>
          <t>30970</t>
        </is>
      </c>
      <c r="B31140" s="4" t="s">
        <f>=HYPERLINK("http://anyluxury.ru/shop/prazdnik/podarki-nachalniku/rubashka-muzhskaya-v-kletku-tribeca-chernaya-656330/" , "6563.30 Рубашка мужская в клетку TRIBECA, черная, размер S")</f>
      </c>
      <c r="C31140" s="4" t="n">
        <v>4578.00</v>
      </c>
      <c r="D31140" s="4"/>
    </row>
    <row collapsed="" customFormat="false" customHeight="1" hidden="" ht="14" outlineLevel="0" r="31141">
      <c r="A31141" s="3" t="inlineStr">
        <is>
          <t>30971</t>
        </is>
      </c>
      <c r="B31141" s="4" t="s">
        <f>=HYPERLINK("http://anyluxury.ru/shop/prazdnik/podarki-nachalniku/rubashka-muzhskaya-v-kletku-tribeca-chernaya-656330/" , "6563.30 Рубашка мужская в клетку TRIBECA, черная, размер M")</f>
      </c>
      <c r="C31141" s="4" t="n">
        <v>4578.00</v>
      </c>
      <c r="D31141" s="4"/>
    </row>
    <row collapsed="" customFormat="false" customHeight="1" hidden="" ht="14" outlineLevel="0" r="31142">
      <c r="A31142" s="3" t="inlineStr">
        <is>
          <t>30972</t>
        </is>
      </c>
      <c r="B31142" s="4" t="s">
        <f>=HYPERLINK("http://anyluxury.ru/shop/prazdnik/podarki-nachalniku/rubashka-muzhskaya-v-kletku-tribeca-sinyaya-656344/" , "6563.44 Рубашка мужская в клетку TRIBECA, синяя, размер S")</f>
      </c>
      <c r="C31142" s="4" t="n">
        <v>4578.00</v>
      </c>
      <c r="D31142" s="4"/>
    </row>
    <row collapsed="" customFormat="false" customHeight="1" hidden="" ht="14" outlineLevel="0" r="31143">
      <c r="A31143" s="3" t="inlineStr">
        <is>
          <t>30973</t>
        </is>
      </c>
      <c r="B31143" s="4" t="s">
        <f>=HYPERLINK("http://anyluxury.ru/shop/prazdnik/podarki-nachalniku/rubashka-muzhskaya-v-kletku-tribeca-sinyaya-656344/" , "6563.44 Рубашка мужская в клетку Tribeca, синяя, размер 3XL")</f>
      </c>
      <c r="C31143" s="4" t="n">
        <v>5140.00</v>
      </c>
      <c r="D31143" s="4"/>
    </row>
    <row collapsed="" customFormat="false" customHeight="1" hidden="" ht="14" outlineLevel="0" r="31144">
      <c r="A31144" s="3" t="inlineStr">
        <is>
          <t>30974</t>
        </is>
      </c>
      <c r="B31144" s="4" t="s">
        <f>=HYPERLINK("http://anyluxury.ru/shop/prazdnik/podarki-nachalniku/kurtka-muzhskaya-jackson-cherniy-melanzh-656512/" , "6565.12 Куртка мужская JACKSON, черный меланж, размер S")</f>
      </c>
      <c r="C31144" s="4" t="n">
        <v>10454.00</v>
      </c>
      <c r="D31144" s="4"/>
    </row>
    <row collapsed="" customFormat="false" customHeight="1" hidden="" ht="14" outlineLevel="0" r="31145">
      <c r="A31145" s="3" t="inlineStr">
        <is>
          <t>30975</t>
        </is>
      </c>
      <c r="B31145" s="4" t="s">
        <f>=HYPERLINK("http://anyluxury.ru/shop/prazdnik/podarki-nachalniku/ezhednevnik-clappy-mini-nedatirovanniy-krasniy-1589150/" , "15891.50 Ежедневник Clappy Mini, недатированный, красный")</f>
      </c>
      <c r="C31145" s="4" t="n">
        <v>898.00</v>
      </c>
      <c r="D31145" s="4"/>
    </row>
    <row collapsed="" customFormat="false" customHeight="1" hidden="" ht="14" outlineLevel="0" r="31146">
      <c r="A31146" s="3" t="inlineStr">
        <is>
          <t>30976</t>
        </is>
      </c>
      <c r="B31146" s="4" t="s">
        <f>=HYPERLINK("http://anyluxury.ru/shop/prazdnik/podarki-nachalniku/organayzer-s-bloknotom-i-akkumulyatorom-oiro-cherniy-2200130/" , "22001.30 Органайзер с блокнотом и аккумулятором Oiro, черный")</f>
      </c>
      <c r="C31146" s="4" t="n">
        <v>6300.00</v>
      </c>
      <c r="D31146" s="4"/>
    </row>
    <row collapsed="" customFormat="false" customHeight="1" hidden="" ht="14" outlineLevel="0" r="31147">
      <c r="A31147" s="3" t="inlineStr">
        <is>
          <t>30977</t>
        </is>
      </c>
      <c r="B31147" s="4" t="s">
        <f>=HYPERLINK("http://anyluxury.ru/shop/prazdnik/podarki-nachalniku/organayzer-s-bloknotom-i-akkumulyatorom-oiro-siniy-2200140/" , "22001.40 Органайзер с блокнотом и аккумулятором Oiro, синий")</f>
      </c>
      <c r="C31147" s="4" t="n">
        <v>6300.00</v>
      </c>
      <c r="D31147" s="4"/>
    </row>
    <row collapsed="" customFormat="false" customHeight="1" hidden="" ht="14" outlineLevel="0" r="31148">
      <c r="A31148" s="3" t="inlineStr">
        <is>
          <t>30978</t>
        </is>
      </c>
      <c r="B31148" s="4" t="s">
        <f>=HYPERLINK("http://anyluxury.ru/shop/prazdnik/podarki-nachalniku/dorozhniy-organayzer-s-akkumulyatorom-oiro-cherniy-2200330/" , "22003.30 Дорожный органайзер с аккумулятором Oiro, черный")</f>
      </c>
      <c r="C31148" s="4" t="n">
        <v>3980.00</v>
      </c>
      <c r="D31148" s="4"/>
    </row>
    <row collapsed="" customFormat="false" customHeight="" hidden="" ht="12.1" outlineLevel="0" r="31149">
      <c r="A31149" s="5" t="inlineStr">
        <is>
          <t> -  - Подарок коллеге</t>
        </is>
      </c>
      <c r="B31149" s="6"/>
      <c r="C31149" s="6"/>
      <c r="D31149" s="6"/>
    </row>
    <row collapsed="" customFormat="false" customHeight="1" hidden="" ht="14" outlineLevel="0" r="31150">
      <c r="A31150" s="3" t="inlineStr">
        <is>
          <t>30979</t>
        </is>
      </c>
      <c r="B31150" s="4" t="s">
        <f>=HYPERLINK("http://anyluxury.ru/shop/prazdnik/podarok-kollege/nagrada-doska-pocheta-779100/" , "7791.00 Награда «Доска почета»")</f>
      </c>
      <c r="C31150" s="4" t="n">
        <v>2101.00</v>
      </c>
      <c r="D31150" s="4"/>
    </row>
    <row collapsed="" customFormat="false" customHeight="" hidden="" ht="12.1" outlineLevel="0" r="31151">
      <c r="A31151" s="5" t="inlineStr">
        <is>
          <t>Ежедневники и блокноты</t>
        </is>
      </c>
      <c r="B31151" s="6"/>
      <c r="C31151" s="6"/>
      <c r="D31151" s="6"/>
    </row>
    <row collapsed="" customFormat="false" customHeight="" hidden="" ht="12.1" outlineLevel="0" r="31152">
      <c r="A31152" s="5" t="inlineStr">
        <is>
          <t> -  - Блокноты</t>
        </is>
      </c>
      <c r="B31152" s="6"/>
      <c r="C31152" s="6"/>
      <c r="D31152" s="6"/>
    </row>
    <row collapsed="" customFormat="false" customHeight="1" hidden="" ht="14" outlineLevel="0" r="31153">
      <c r="A31153" s="3" t="inlineStr">
        <is>
          <t>30980</t>
        </is>
      </c>
      <c r="B31153" s="4" t="s">
        <f>=HYPERLINK("http://anyluxury.ru/shop/ezhednevniki-i-bloknoty/bloknoty/bloknot-na-kolcah-eco-note-s-ruchkoy-siniy-559640/" , "5596.40 Блокнот на кольцах Eco Note с ручкой, синий")</f>
      </c>
      <c r="C31153" s="4" t="n">
        <v>169.00</v>
      </c>
      <c r="D31153" s="4"/>
    </row>
    <row collapsed="" customFormat="false" customHeight="1" hidden="" ht="14" outlineLevel="0" r="31154">
      <c r="A31154" s="3" t="inlineStr">
        <is>
          <t>30981</t>
        </is>
      </c>
      <c r="B31154" s="4" t="s">
        <f>=HYPERLINK("http://anyluxury.ru/shop/ezhednevniki-i-bloknoty/bloknoty/bloknot-scope-v-lineyku-siniy-578640/" , "5786.40 Блокнот Scope, в линейку, синий")</f>
      </c>
      <c r="C31154" s="4" t="n">
        <v>453.00</v>
      </c>
      <c r="D31154" s="4"/>
    </row>
    <row collapsed="" customFormat="false" customHeight="1" hidden="" ht="14" outlineLevel="0" r="31155">
      <c r="A31155" s="3" t="inlineStr">
        <is>
          <t>30982</t>
        </is>
      </c>
      <c r="B31155" s="4" t="s">
        <f>=HYPERLINK("http://anyluxury.ru/shop/ezhednevniki-i-bloknoty/bloknoty/bloknot-scope-v-lineyku-goluboy-578644/" , "5786.44 Блокнот Scope, в линейку, светло-синий")</f>
      </c>
      <c r="C31155" s="4" t="n">
        <v>453.00</v>
      </c>
      <c r="D31155" s="4"/>
    </row>
    <row collapsed="" customFormat="false" customHeight="1" hidden="" ht="14" outlineLevel="0" r="31156">
      <c r="A31156" s="3" t="inlineStr">
        <is>
          <t>30983</t>
        </is>
      </c>
      <c r="B31156" s="4" t="s">
        <f>=HYPERLINK("http://anyluxury.ru/shop/ezhednevniki-i-bloknoty/bloknoty/bloknot-flex-shall-biryuzoviy-1700949/" , "17009.49 Блокнот Shall, бирюзовый")</f>
      </c>
      <c r="C31156" s="4" t="n">
        <v>590.00</v>
      </c>
      <c r="D31156" s="4"/>
    </row>
    <row collapsed="" customFormat="false" customHeight="1" hidden="" ht="14" outlineLevel="0" r="31157">
      <c r="A31157" s="3" t="inlineStr">
        <is>
          <t>30984</t>
        </is>
      </c>
      <c r="B31157" s="4" t="s">
        <f>=HYPERLINK("http://anyluxury.ru/shop/ezhednevniki-i-bloknoty/bloknoty/bloknot-real-hard-work-6328/" , "6328 Блокнот Real Hard Work")</f>
      </c>
      <c r="C31157" s="4" t="n">
        <v>1183.00</v>
      </c>
      <c r="D31157" s="4"/>
    </row>
    <row collapsed="" customFormat="false" customHeight="1" hidden="" ht="14" outlineLevel="0" r="31158">
      <c r="A31158" s="3" t="inlineStr">
        <is>
          <t>30985</t>
        </is>
      </c>
      <c r="B31158" s="4" t="s">
        <f>=HYPERLINK("http://anyluxury.ru/shop/ezhednevniki-i-bloknoty/bloknoty/bloknot-na-kolcah-bamboo-simple-6583/" , "6583 Блокнот на кольцах Bamboo Simple")</f>
      </c>
      <c r="C31158" s="4" t="n">
        <v>198.00</v>
      </c>
      <c r="D31158" s="4"/>
    </row>
    <row collapsed="" customFormat="false" customHeight="1" hidden="" ht="14" outlineLevel="0" r="31159">
      <c r="A31159" s="3" t="inlineStr">
        <is>
          <t>30986</t>
        </is>
      </c>
      <c r="B31159" s="4" t="s">
        <f>=HYPERLINK("http://anyluxury.ru/shop/ezhednevniki-i-bloknoty/bloknoty/bloknot-freenote-v-lineyku-cherniy-587330/" , "5873.30 Блокнот Freenote Mini, в линейку, черный")</f>
      </c>
      <c r="C31159" s="4" t="n">
        <v>460.00</v>
      </c>
      <c r="D31159" s="4"/>
    </row>
    <row collapsed="" customFormat="false" customHeight="1" hidden="" ht="14" outlineLevel="0" r="31160">
      <c r="A31160" s="3" t="inlineStr">
        <is>
          <t>30987</t>
        </is>
      </c>
      <c r="B31160" s="4" t="s">
        <f>=HYPERLINK("http://anyluxury.ru/shop/ezhednevniki-i-bloknoty/bloknoty/bloknot-freenote-v-lineyku-zeleniy-587390/" , "5873.90 Блокнот Freenote Mini, в линейку, зеленый")</f>
      </c>
      <c r="C31160" s="4" t="n">
        <v>460.00</v>
      </c>
      <c r="D31160" s="4"/>
    </row>
    <row collapsed="" customFormat="false" customHeight="1" hidden="" ht="14" outlineLevel="0" r="31161">
      <c r="A31161" s="3" t="inlineStr">
        <is>
          <t>30988</t>
        </is>
      </c>
      <c r="B31161" s="4" t="s">
        <f>=HYPERLINK("http://anyluxury.ru/shop/ezhednevniki-i-bloknoty/bloknoty/bloknot-butterfly-mini-v-lineyku-beliy-s-zheltim-289302/" , "2893.02 Блокнот Butterfly Mini, в линейку, белый с желтым")</f>
      </c>
      <c r="C31161" s="4" t="n">
        <v>199.00</v>
      </c>
      <c r="D31161" s="4"/>
    </row>
    <row collapsed="" customFormat="false" customHeight="1" hidden="" ht="14" outlineLevel="0" r="31162">
      <c r="A31162" s="3" t="inlineStr">
        <is>
          <t>30989</t>
        </is>
      </c>
      <c r="B31162" s="4" t="s">
        <f>=HYPERLINK("http://anyluxury.ru/shop/ezhednevniki-i-bloknoty/bloknoty/bloknot-butterfly-mini-v-lineyku-beliy-s-chernim-289303/" , "2893.03 Блокнот Butterfly Mini, в линейку, белый с черным")</f>
      </c>
      <c r="C31162" s="4" t="n">
        <v>199.00</v>
      </c>
      <c r="D31162" s="4"/>
    </row>
    <row collapsed="" customFormat="false" customHeight="1" hidden="" ht="14" outlineLevel="0" r="31163">
      <c r="A31163" s="3" t="inlineStr">
        <is>
          <t>30990</t>
        </is>
      </c>
      <c r="B31163" s="4" t="s">
        <f>=HYPERLINK("http://anyluxury.ru/shop/ezhednevniki-i-bloknoty/bloknoty/bloknot-corkness-691600/" , "6916.00 Блокнот Corkness Mini")</f>
      </c>
      <c r="C31163" s="4" t="n">
        <v>458.00</v>
      </c>
      <c r="D31163" s="4"/>
    </row>
    <row collapsed="" customFormat="false" customHeight="1" hidden="" ht="14" outlineLevel="0" r="31164">
      <c r="A31164" s="3" t="inlineStr">
        <is>
          <t>30991</t>
        </is>
      </c>
      <c r="B31164" s="4" t="s">
        <f>=HYPERLINK("http://anyluxury.ru/shop/ezhednevniki-i-bloknoty/bloknoty/bloknot-nota-bene-cherniy-692530/" , "6925.30 Блокнот Nota Bene, черный")</f>
      </c>
      <c r="C31164" s="4" t="n">
        <v>279.00</v>
      </c>
      <c r="D31164" s="4"/>
    </row>
    <row collapsed="" customFormat="false" customHeight="1" hidden="" ht="14" outlineLevel="0" r="31165">
      <c r="A31165" s="3" t="inlineStr">
        <is>
          <t>30992</t>
        </is>
      </c>
      <c r="B31165" s="4" t="s">
        <f>=HYPERLINK("http://anyluxury.ru/shop/ezhednevniki-i-bloknoty/bloknoty/bloknot-nota-bene-siniy-692540/" , "6925.40 Блокнот Nota Bene, синий")</f>
      </c>
      <c r="C31165" s="4" t="n">
        <v>279.00</v>
      </c>
      <c r="D31165" s="4"/>
    </row>
    <row collapsed="" customFormat="false" customHeight="1" hidden="" ht="14" outlineLevel="0" r="31166">
      <c r="A31166" s="3" t="inlineStr">
        <is>
          <t>30993</t>
        </is>
      </c>
      <c r="B31166" s="4" t="s">
        <f>=HYPERLINK("http://anyluxury.ru/shop/ezhednevniki-i-bloknoty/bloknoty/bloknot-nota-bene-zeleniy-692590/" , "6925.90 Блокнот Nota Bene, зеленый")</f>
      </c>
      <c r="C31166" s="4" t="n">
        <v>279.00</v>
      </c>
      <c r="D31166" s="4"/>
    </row>
    <row collapsed="" customFormat="false" customHeight="1" hidden="" ht="14" outlineLevel="0" r="31167">
      <c r="A31167" s="3" t="inlineStr">
        <is>
          <t>30994</t>
        </is>
      </c>
      <c r="B31167" s="4" t="s">
        <f>=HYPERLINK("http://anyluxury.ru/shop/ezhednevniki-i-bloknoty/bloknoty/bloknot-nota-bene-oranzheviy-692520/" , "6925.20 Блокнот Nota Bene, оранжевый")</f>
      </c>
      <c r="C31167" s="4" t="n">
        <v>279.00</v>
      </c>
      <c r="D31167" s="4"/>
    </row>
    <row collapsed="" customFormat="false" customHeight="1" hidden="" ht="14" outlineLevel="0" r="31168">
      <c r="A31168" s="3" t="inlineStr">
        <is>
          <t>30995</t>
        </is>
      </c>
      <c r="B31168" s="4" t="s">
        <f>=HYPERLINK("http://anyluxury.ru/shop/ezhednevniki-i-bloknoty/bloknoty/bloknot-scope-v-lineyku-biryuzoviy-578649/" , "5786.49 Блокнот Scope, в линейку, бирюзовый")</f>
      </c>
      <c r="C31168" s="4" t="n">
        <v>453.00</v>
      </c>
      <c r="D31168" s="4"/>
    </row>
    <row collapsed="" customFormat="false" customHeight="1" hidden="" ht="14" outlineLevel="0" r="31169">
      <c r="A31169" s="3" t="inlineStr">
        <is>
          <t>30996</t>
        </is>
      </c>
      <c r="B31169" s="4" t="s">
        <f>=HYPERLINK("http://anyluxury.ru/shop/ezhednevniki-i-bloknoty/bloknoty/bloknot-scope-v-lineyku-krasniy-578650/" , "5786.50 Блокнот Scope, в линейку, красный")</f>
      </c>
      <c r="C31169" s="4" t="n">
        <v>453.00</v>
      </c>
      <c r="D31169" s="4"/>
    </row>
    <row collapsed="" customFormat="false" customHeight="1" hidden="" ht="14" outlineLevel="0" r="31170">
      <c r="A31170" s="3" t="inlineStr">
        <is>
          <t>30997</t>
        </is>
      </c>
      <c r="B31170" s="4" t="s">
        <f>=HYPERLINK("http://anyluxury.ru/shop/ezhednevniki-i-bloknoty/bloknoty/bloknot-scope-v-lineyku-cherniy-578630/" , "5786.30 Блокнот Scope, в линейку, черный")</f>
      </c>
      <c r="C31170" s="4" t="n">
        <v>453.00</v>
      </c>
      <c r="D31170" s="4"/>
    </row>
    <row collapsed="" customFormat="false" customHeight="1" hidden="" ht="14" outlineLevel="0" r="31171">
      <c r="A31171" s="3" t="inlineStr">
        <is>
          <t>30998</t>
        </is>
      </c>
      <c r="B31171" s="4" t="s">
        <f>=HYPERLINK("http://anyluxury.ru/shop/ezhednevniki-i-bloknoty/bloknoty/bloknot-dlya-zapisey-krilatie-virazheniya-z36500/" , "Z36500 Блокнот для записей «Крылатые выражения»")</f>
      </c>
      <c r="C31171" s="4" t="n">
        <v>1710.00</v>
      </c>
      <c r="D31171" s="4"/>
    </row>
    <row collapsed="" customFormat="false" customHeight="1" hidden="" ht="14" outlineLevel="0" r="31172">
      <c r="A31172" s="3" t="inlineStr">
        <is>
          <t>30999</t>
        </is>
      </c>
      <c r="B31172" s="4" t="s">
        <f>=HYPERLINK("http://anyluxury.ru/shop/ezhednevniki-i-bloknoty/bloknoty/bloknot-nettuno-mini-v-kletku-cherniy-1699530/" , "16995.30 Блокнот Nettuno mini в клетку, черный")</f>
      </c>
      <c r="C31172" s="4" t="n">
        <v>159.00</v>
      </c>
      <c r="D31172" s="4"/>
    </row>
    <row collapsed="" customFormat="false" customHeight="1" hidden="" ht="14" outlineLevel="0" r="31173">
      <c r="A31173" s="3" t="inlineStr">
        <is>
          <t>31000</t>
        </is>
      </c>
      <c r="B31173" s="4" t="s">
        <f>=HYPERLINK("http://anyluxury.ru/shop/ezhednevniki-i-bloknoty/bloknoty/bloknot-nettuno-mini-v-kletku-krasniy-1699550/" , "16995.50 Блокнот Nettuno mini в клетку, красный")</f>
      </c>
      <c r="C31173" s="4" t="n">
        <v>159.00</v>
      </c>
      <c r="D31173" s="4"/>
    </row>
    <row collapsed="" customFormat="false" customHeight="1" hidden="" ht="14" outlineLevel="0" r="31174">
      <c r="A31174" s="3" t="inlineStr">
        <is>
          <t>31001</t>
        </is>
      </c>
      <c r="B31174" s="4" t="s">
        <f>=HYPERLINK("http://anyluxury.ru/shop/ezhednevniki-i-bloknoty/bloknoty/bloknot-freenote-wide-siniy-1104940/" , "11049.40 Блокнот Freenote Wide, темно-синий")</f>
      </c>
      <c r="C31174" s="4" t="n">
        <v>435.00</v>
      </c>
      <c r="D31174" s="4"/>
    </row>
    <row collapsed="" customFormat="false" customHeight="1" hidden="" ht="14" outlineLevel="0" r="31175">
      <c r="A31175" s="3" t="inlineStr">
        <is>
          <t>31002</t>
        </is>
      </c>
      <c r="B31175" s="4" t="s">
        <f>=HYPERLINK("http://anyluxury.ru/shop/ezhednevniki-i-bloknoty/bloknoty/bloknot-freenote-wide-krasniy-1104950/" , "11049.50 Блокнот Freenote Wide, красный")</f>
      </c>
      <c r="C31175" s="4" t="n">
        <v>435.00</v>
      </c>
      <c r="D31175" s="4"/>
    </row>
    <row collapsed="" customFormat="false" customHeight="1" hidden="" ht="14" outlineLevel="0" r="31176">
      <c r="A31176" s="3" t="inlineStr">
        <is>
          <t>31003</t>
        </is>
      </c>
      <c r="B31176" s="4" t="s">
        <f>=HYPERLINK("http://anyluxury.ru/shop/ezhednevniki-i-bloknoty/bloknoty/bloknot-freenote-wide-zheltiy-1104980/" , "11049.80 Блокнот Freenote Wide, желтый")</f>
      </c>
      <c r="C31176" s="4" t="n">
        <v>435.00</v>
      </c>
      <c r="D31176" s="4"/>
    </row>
    <row collapsed="" customFormat="false" customHeight="1" hidden="" ht="14" outlineLevel="0" r="31177">
      <c r="A31177" s="3" t="inlineStr">
        <is>
          <t>31004</t>
        </is>
      </c>
      <c r="B31177" s="4" t="s">
        <f>=HYPERLINK("http://anyluxury.ru/shop/ezhednevniki-i-bloknoty/bloknoty/bloknot-freenote-wide-oranzheviy-1104920/" , "11049.20 Блокнот Freenote Wide, оранжевый")</f>
      </c>
      <c r="C31177" s="4" t="n">
        <v>435.00</v>
      </c>
      <c r="D31177" s="4"/>
    </row>
    <row collapsed="" customFormat="false" customHeight="1" hidden="" ht="14" outlineLevel="0" r="31178">
      <c r="A31178" s="3" t="inlineStr">
        <is>
          <t>31005</t>
        </is>
      </c>
      <c r="B31178" s="4" t="s">
        <f>=HYPERLINK("http://anyluxury.ru/shop/ezhednevniki-i-bloknoty/bloknoty/bloknot-freenote-wide-goluboy-1104914/" , "11049.14 Блокнот Freenote Wide, голубой")</f>
      </c>
      <c r="C31178" s="4" t="n">
        <v>435.00</v>
      </c>
      <c r="D31178" s="4"/>
    </row>
    <row collapsed="" customFormat="false" customHeight="1" hidden="" ht="14" outlineLevel="0" r="31179">
      <c r="A31179" s="3" t="inlineStr">
        <is>
          <t>31006</t>
        </is>
      </c>
      <c r="B31179" s="4" t="s">
        <f>=HYPERLINK("http://anyluxury.ru/shop/ezhednevniki-i-bloknoty/bloknoty/bloknot-writer-oranzheviy-7412920/" , "74129.20 Блокнот Writer, оранжевый")</f>
      </c>
      <c r="C31179" s="4" t="n">
        <v>173.00</v>
      </c>
      <c r="D31179" s="4"/>
    </row>
    <row collapsed="" customFormat="false" customHeight="1" hidden="" ht="14" outlineLevel="0" r="31180">
      <c r="A31180" s="3" t="inlineStr">
        <is>
          <t>31007</t>
        </is>
      </c>
      <c r="B31180" s="4" t="s">
        <f>=HYPERLINK("http://anyluxury.ru/shop/ezhednevniki-i-bloknoty/bloknoty/bloknot-underwood-7413100/" , "74131.00 Блокнот Underwood")</f>
      </c>
      <c r="C31180" s="4" t="n">
        <v>684.00</v>
      </c>
      <c r="D31180" s="4"/>
    </row>
    <row collapsed="" customFormat="false" customHeight="1" hidden="" ht="14" outlineLevel="0" r="31181">
      <c r="A31181" s="3" t="inlineStr">
        <is>
          <t>31008</t>
        </is>
      </c>
      <c r="B31181" s="4" t="s">
        <f>=HYPERLINK("http://anyluxury.ru/shop/ezhednevniki-i-bloknoty/bloknoty/bloknot-shall-krasniy-1700950/" , "17009.50 Блокнот Shall, в линейку, красный")</f>
      </c>
      <c r="C31181" s="4" t="n">
        <v>610.00</v>
      </c>
      <c r="D31181" s="4"/>
    </row>
    <row collapsed="" customFormat="false" customHeight="1" hidden="" ht="14" outlineLevel="0" r="31182">
      <c r="A31182" s="3" t="inlineStr">
        <is>
          <t>31009</t>
        </is>
      </c>
      <c r="B31182" s="4" t="s">
        <f>=HYPERLINK("http://anyluxury.ru/shop/ezhednevniki-i-bloknoty/bloknoty/bloknot-shall-oranzheviy-1700920/" , "17009.20 Блокнот Shall, в линейку, оранжевый")</f>
      </c>
      <c r="C31182" s="4" t="n">
        <v>610.00</v>
      </c>
      <c r="D31182" s="4"/>
    </row>
    <row collapsed="" customFormat="false" customHeight="1" hidden="" ht="14" outlineLevel="0" r="31183">
      <c r="A31183" s="3" t="inlineStr">
        <is>
          <t>31010</t>
        </is>
      </c>
      <c r="B31183" s="4" t="s">
        <f>=HYPERLINK("http://anyluxury.ru/shop/ezhednevniki-i-bloknoty/bloknoty/bloknot-shall-fioletoviy-1700970/" , "17009.70 Блокнот Shall, в линейку, фиолетовый")</f>
      </c>
      <c r="C31183" s="4" t="n">
        <v>590.00</v>
      </c>
      <c r="D31183" s="4"/>
    </row>
    <row collapsed="" customFormat="false" customHeight="1" hidden="" ht="14" outlineLevel="0" r="31184">
      <c r="A31184" s="3" t="inlineStr">
        <is>
          <t>31011</t>
        </is>
      </c>
      <c r="B31184" s="4" t="s">
        <f>=HYPERLINK("http://anyluxury.ru/shop/ezhednevniki-i-bloknoty/bloknoty/bloknot-shall-round-siniy-1188240/" , "11882.40 Блокнот Shall Round, синий")</f>
      </c>
      <c r="C31184" s="4" t="n">
        <v>708.30</v>
      </c>
      <c r="D31184" s="4"/>
    </row>
    <row collapsed="" customFormat="false" customHeight="1" hidden="" ht="14" outlineLevel="0" r="31185">
      <c r="A31185" s="3" t="inlineStr">
        <is>
          <t>31012</t>
        </is>
      </c>
      <c r="B31185" s="4" t="s">
        <f>=HYPERLINK("http://anyluxury.ru/shop/ezhednevniki-i-bloknoty/bloknoty/bloknot-shall-round-zeleniy-1188290/" , "11882.90 Блокнот Shall Round, зеленый")</f>
      </c>
      <c r="C31185" s="4" t="n">
        <v>708.30</v>
      </c>
      <c r="D31185" s="4"/>
    </row>
    <row collapsed="" customFormat="false" customHeight="1" hidden="" ht="14" outlineLevel="0" r="31186">
      <c r="A31186" s="3" t="inlineStr">
        <is>
          <t>31013</t>
        </is>
      </c>
      <c r="B31186" s="4" t="s">
        <f>=HYPERLINK("http://anyluxury.ru/shop/ezhednevniki-i-bloknoty/bloknoty/bloknot-shall-round-oranzheviy-1188220/" , "11882.20 Блокнот Shall Round, оранжевый")</f>
      </c>
      <c r="C31186" s="4" t="n">
        <v>708.30</v>
      </c>
      <c r="D31186" s="4"/>
    </row>
    <row collapsed="" customFormat="false" customHeight="1" hidden="" ht="14" outlineLevel="0" r="31187">
      <c r="A31187" s="3" t="inlineStr">
        <is>
          <t>31014</t>
        </is>
      </c>
      <c r="B31187" s="4" t="s">
        <f>=HYPERLINK("http://anyluxury.ru/shop/ezhednevniki-i-bloknoty/bloknoty/bloknot-shall-round-fioletoviy-1188270/" , "11882.70 Блокнот Shall Round, фиолетовый")</f>
      </c>
      <c r="C31187" s="4" t="n">
        <v>688.30</v>
      </c>
      <c r="D31187" s="4"/>
    </row>
    <row collapsed="" customFormat="false" customHeight="1" hidden="" ht="14" outlineLevel="0" r="31188">
      <c r="A31188" s="3" t="inlineStr">
        <is>
          <t>31015</t>
        </is>
      </c>
      <c r="B31188" s="4" t="s">
        <f>=HYPERLINK("http://anyluxury.ru/shop/ezhednevniki-i-bloknoty/bloknoty/bloknot-shall-round-krasniy-1188250/" , "11882.50 Блокнот Shall Round, красный")</f>
      </c>
      <c r="C31188" s="4" t="n">
        <v>708.30</v>
      </c>
      <c r="D31188" s="4"/>
    </row>
    <row collapsed="" customFormat="false" customHeight="1" hidden="" ht="14" outlineLevel="0" r="31189">
      <c r="A31189" s="3" t="inlineStr">
        <is>
          <t>31016</t>
        </is>
      </c>
      <c r="B31189" s="4" t="s">
        <f>=HYPERLINK("http://anyluxury.ru/shop/ezhednevniki-i-bloknoty/bloknoty/bloknot-shall-round-cherniy-1188230/" , "11882.30 Блокнот Shall Round, черный")</f>
      </c>
      <c r="C31189" s="4" t="n">
        <v>708.30</v>
      </c>
      <c r="D31189" s="4"/>
    </row>
    <row collapsed="" customFormat="false" customHeight="1" hidden="" ht="14" outlineLevel="0" r="31190">
      <c r="A31190" s="3" t="inlineStr">
        <is>
          <t>31017</t>
        </is>
      </c>
      <c r="B31190" s="4" t="s">
        <f>=HYPERLINK("http://anyluxury.ru/shop/ezhednevniki-i-bloknoty/bloknoty/bloknot-shall-direct-siniy-1187840/" , "11878.40 Блокнот Shall Direct, синий")</f>
      </c>
      <c r="C31190" s="4" t="n">
        <v>725.80</v>
      </c>
      <c r="D31190" s="4"/>
    </row>
    <row collapsed="" customFormat="false" customHeight="1" hidden="" ht="14" outlineLevel="0" r="31191">
      <c r="A31191" s="3" t="inlineStr">
        <is>
          <t>31018</t>
        </is>
      </c>
      <c r="B31191" s="4" t="s">
        <f>=HYPERLINK("http://anyluxury.ru/shop/ezhednevniki-i-bloknoty/bloknoty/bloknot-shall-direct-zeleniy-1187890/" , "11878.90 Блокнот Shall Direct, зеленый")</f>
      </c>
      <c r="C31191" s="4" t="n">
        <v>725.80</v>
      </c>
      <c r="D31191" s="4"/>
    </row>
    <row collapsed="" customFormat="false" customHeight="1" hidden="" ht="14" outlineLevel="0" r="31192">
      <c r="A31192" s="3" t="inlineStr">
        <is>
          <t>31019</t>
        </is>
      </c>
      <c r="B31192" s="4" t="s">
        <f>=HYPERLINK("http://anyluxury.ru/shop/ezhednevniki-i-bloknoty/bloknoty/bloknot-shall-direct-oranzheviy-1187820/" , "11878.20 Блокнот Shall Direct, оранжевый")</f>
      </c>
      <c r="C31192" s="4" t="n">
        <v>725.80</v>
      </c>
      <c r="D31192" s="4"/>
    </row>
    <row collapsed="" customFormat="false" customHeight="1" hidden="" ht="14" outlineLevel="0" r="31193">
      <c r="A31193" s="3" t="inlineStr">
        <is>
          <t>31020</t>
        </is>
      </c>
      <c r="B31193" s="4" t="s">
        <f>=HYPERLINK("http://anyluxury.ru/shop/ezhednevniki-i-bloknoty/bloknoty/bloknot-shall-direct-fioletoviy-1187870/" , "11878.70 Блокнот Shall Direct, фиолетовый")</f>
      </c>
      <c r="C31193" s="4" t="n">
        <v>705.80</v>
      </c>
      <c r="D31193" s="4"/>
    </row>
    <row collapsed="" customFormat="false" customHeight="1" hidden="" ht="14" outlineLevel="0" r="31194">
      <c r="A31194" s="3" t="inlineStr">
        <is>
          <t>31021</t>
        </is>
      </c>
      <c r="B31194" s="4" t="s">
        <f>=HYPERLINK("http://anyluxury.ru/shop/ezhednevniki-i-bloknoty/bloknoty/bloknot-shall-direct-krasniy-1187850/" , "11878.50 Блокнот Shall Direct, красный")</f>
      </c>
      <c r="C31194" s="4" t="n">
        <v>725.80</v>
      </c>
      <c r="D31194" s="4"/>
    </row>
    <row collapsed="" customFormat="false" customHeight="1" hidden="" ht="14" outlineLevel="0" r="31195">
      <c r="A31195" s="3" t="inlineStr">
        <is>
          <t>31022</t>
        </is>
      </c>
      <c r="B31195" s="4" t="s">
        <f>=HYPERLINK("http://anyluxury.ru/shop/ezhednevniki-i-bloknoty/bloknoty/bloknot-nota-bene-biryuzoviy-692549/" , "6925.49 Блокнот Nota Bene, бирюзовый")</f>
      </c>
      <c r="C31195" s="4" t="n">
        <v>282.00</v>
      </c>
      <c r="D31195" s="4"/>
    </row>
    <row collapsed="" customFormat="false" customHeight="1" hidden="" ht="14" outlineLevel="0" r="31196">
      <c r="A31196" s="3" t="inlineStr">
        <is>
          <t>31023</t>
        </is>
      </c>
      <c r="B31196" s="4" t="s">
        <f>=HYPERLINK("http://anyluxury.ru/shop/ezhednevniki-i-bloknoty/bloknoty/bloknot-freenote-v-lineyku-temnosiniy-587344/" , "5873.44 Блокнот Freenote Mini, в линейку, синий")</f>
      </c>
      <c r="C31196" s="4" t="n">
        <v>460.00</v>
      </c>
      <c r="D31196" s="4"/>
    </row>
    <row collapsed="" customFormat="false" customHeight="1" hidden="" ht="14" outlineLevel="0" r="31197">
      <c r="A31197" s="3" t="inlineStr">
        <is>
          <t>31024</t>
        </is>
      </c>
      <c r="B31197" s="4" t="s">
        <f>=HYPERLINK("http://anyluxury.ru/shop/ezhednevniki-i-bloknoty/bloknoty/bloknot-freenote-v-lineyku-temnokrasniy-587305/" , "5873.05 Блокнот Freenote Mini, в линейку, темно-красный")</f>
      </c>
      <c r="C31197" s="4" t="n">
        <v>460.00</v>
      </c>
      <c r="D31197" s="4"/>
    </row>
    <row collapsed="" customFormat="false" customHeight="1" hidden="" ht="14" outlineLevel="0" r="31198">
      <c r="A31198" s="3" t="inlineStr">
        <is>
          <t>31025</t>
        </is>
      </c>
      <c r="B31198" s="4" t="s">
        <f>=HYPERLINK("http://anyluxury.ru/shop/ezhednevniki-i-bloknoty/bloknoty/bloknot-goroda-ekaterinburg-zeleniy-2001190/" , "20011.90 Блокнот «Города. Екатеринбург», зеленый")</f>
      </c>
      <c r="C31198" s="4" t="n">
        <v>690.00</v>
      </c>
      <c r="D31198" s="4"/>
    </row>
    <row collapsed="" customFormat="false" customHeight="1" hidden="" ht="14" outlineLevel="0" r="31199">
      <c r="A31199" s="3" t="inlineStr">
        <is>
          <t>31026</t>
        </is>
      </c>
      <c r="B31199" s="4" t="s">
        <f>=HYPERLINK("http://anyluxury.ru/shop/ezhednevniki-i-bloknoty/bloknoty/bloknot-storyline-temnosiniy-hnh704n/" , "HNH704N Блокнот Storyline, темно-синий")</f>
      </c>
      <c r="C31199" s="4" t="n">
        <v>2082.00</v>
      </c>
      <c r="D31199" s="4"/>
    </row>
    <row collapsed="" customFormat="false" customHeight="1" hidden="" ht="14" outlineLevel="0" r="31200">
      <c r="A31200" s="3" t="inlineStr">
        <is>
          <t>31027</t>
        </is>
      </c>
      <c r="B31200" s="4" t="s">
        <f>=HYPERLINK("http://anyluxury.ru/shop/ezhednevniki-i-bloknoty/bloknoty/bloknot-hamilton-mini-cherniy-nnm711a/" , "NNM711A Блокнот Hamilton Mini, черный")</f>
      </c>
      <c r="C31200" s="4" t="n">
        <v>989.00</v>
      </c>
      <c r="D31200" s="4"/>
    </row>
    <row collapsed="" customFormat="false" customHeight="1" hidden="" ht="14" outlineLevel="0" r="31201">
      <c r="A31201" s="3" t="inlineStr">
        <is>
          <t>31028</t>
        </is>
      </c>
      <c r="B31201" s="4" t="s">
        <f>=HYPERLINK("http://anyluxury.ru/shop/ezhednevniki-i-bloknoty/bloknoty/bloknot-hamilton-mini-seriy-nnm711h/" , "NNM711H Блокнот Hamilton Mini, серый")</f>
      </c>
      <c r="C31201" s="4" t="n">
        <v>989.00</v>
      </c>
      <c r="D31201" s="4"/>
    </row>
    <row collapsed="" customFormat="false" customHeight="1" hidden="" ht="14" outlineLevel="0" r="31202">
      <c r="A31202" s="3" t="inlineStr">
        <is>
          <t>31029</t>
        </is>
      </c>
      <c r="B31202" s="4" t="s">
        <f>=HYPERLINK("http://anyluxury.ru/shop/ezhednevniki-i-bloknoty/bloknoty/bloknot-spring-cherniy-nnm811a/" , "NNM811A Блокнот Spring, черный")</f>
      </c>
      <c r="C31202" s="4" t="n">
        <v>1499.00</v>
      </c>
      <c r="D31202" s="4"/>
    </row>
    <row collapsed="" customFormat="false" customHeight="1" hidden="" ht="14" outlineLevel="0" r="31203">
      <c r="A31203" s="3" t="inlineStr">
        <is>
          <t>31030</t>
        </is>
      </c>
      <c r="B31203" s="4" t="s">
        <f>=HYPERLINK("http://anyluxury.ru/shop/ezhednevniki-i-bloknoty/bloknoty/bloknot-magnet-chrome-s-ruchkoy-chernorozoviy-1501615/" , "15016.15 Блокнот Magnet Chrome с ручкой, черно-розовый")</f>
      </c>
      <c r="C31203" s="4" t="n">
        <v>719.10</v>
      </c>
      <c r="D31203" s="4"/>
    </row>
    <row collapsed="" customFormat="false" customHeight="1" hidden="" ht="14" outlineLevel="0" r="31204">
      <c r="A31204" s="3" t="inlineStr">
        <is>
          <t>31031</t>
        </is>
      </c>
      <c r="B31204" s="4" t="s">
        <f>=HYPERLINK("http://anyluxury.ru/shop/ezhednevniki-i-bloknoty/bloknoty/bloknot-kalsa-palermo-siniy-15263/" , "15263 Блокнот Kalsa Palermo, синий")</f>
      </c>
      <c r="C31204" s="4" t="n">
        <v>4078.00</v>
      </c>
      <c r="D31204" s="4"/>
    </row>
    <row collapsed="" customFormat="false" customHeight="1" hidden="" ht="14" outlineLevel="0" r="31205">
      <c r="A31205" s="3" t="inlineStr">
        <is>
          <t>31032</t>
        </is>
      </c>
      <c r="B31205" s="4" t="s">
        <f>=HYPERLINK("http://anyluxury.ru/shop/ezhednevniki-i-bloknoty/bloknoty/bloknot-freenote-wide-cherniy-1104933/" , "11049.33 Блокнот Freenote Wide, черный")</f>
      </c>
      <c r="C31205" s="4" t="n">
        <v>435.00</v>
      </c>
      <c r="D31205" s="4"/>
    </row>
    <row collapsed="" customFormat="false" customHeight="1" hidden="" ht="14" outlineLevel="0" r="31206">
      <c r="A31206" s="3" t="inlineStr">
        <is>
          <t>31033</t>
        </is>
      </c>
      <c r="B31206" s="4" t="s">
        <f>=HYPERLINK("http://anyluxury.ru/shop/ezhednevniki-i-bloknoty/bloknoty/bloknot-cluster-v-kletku-oranzheviy-1520920/" , "15209.20 Блокнот Cluster Mini в клетку, оранжевый")</f>
      </c>
      <c r="C31206" s="4" t="n">
        <v>287.00</v>
      </c>
      <c r="D31206" s="4"/>
    </row>
    <row collapsed="" customFormat="false" customHeight="1" hidden="" ht="14" outlineLevel="0" r="31207">
      <c r="A31207" s="3" t="inlineStr">
        <is>
          <t>31034</t>
        </is>
      </c>
      <c r="B31207" s="4" t="s">
        <f>=HYPERLINK("http://anyluxury.ru/shop/ezhednevniki-i-bloknoty/bloknoty/bloknot-cluster-v-kletku-zeleniy-1520990/" , "15209.90 Блокнот Cluster Mini в клетку, зеленый")</f>
      </c>
      <c r="C31207" s="4" t="n">
        <v>287.00</v>
      </c>
      <c r="D31207" s="4"/>
    </row>
    <row collapsed="" customFormat="false" customHeight="1" hidden="" ht="14" outlineLevel="0" r="31208">
      <c r="A31208" s="3" t="inlineStr">
        <is>
          <t>31035</t>
        </is>
      </c>
      <c r="B31208" s="4" t="s">
        <f>=HYPERLINK("http://anyluxury.ru/shop/ezhednevniki-i-bloknoty/bloknoty/bloknot-cluster-v-kletku-seriy-1520910/" , "15209.10 Блокнот Cluster Mini в клетку, темно-серый")</f>
      </c>
      <c r="C31208" s="4" t="n">
        <v>287.00</v>
      </c>
      <c r="D31208" s="4"/>
    </row>
    <row collapsed="" customFormat="false" customHeight="1" hidden="" ht="14" outlineLevel="0" r="31209">
      <c r="A31209" s="3" t="inlineStr">
        <is>
          <t>31036</t>
        </is>
      </c>
      <c r="B31209" s="4" t="s">
        <f>=HYPERLINK("http://anyluxury.ru/shop/ezhednevniki-i-bloknoty/bloknoty/bloknot-deluxe-v-myagkoy-oblozhke-b5-xl-seriy-p772062/" , "P772.062 Блокнот Deluxe в мягкой обложке B5 XL, серый")</f>
      </c>
      <c r="C31209" s="4" t="n">
        <v>817.00</v>
      </c>
      <c r="D31209" s="4"/>
    </row>
    <row collapsed="" customFormat="false" customHeight="1" hidden="" ht="14" outlineLevel="0" r="31210">
      <c r="A31210" s="3" t="inlineStr">
        <is>
          <t>31037</t>
        </is>
      </c>
      <c r="B31210" s="4" t="s">
        <f>=HYPERLINK("http://anyluxury.ru/shop/ezhednevniki-i-bloknoty/bloknoty/bloknot-deluxe-v-myagkoy-oblozhke-b5-xl-cherniy-p772061/" , "P772.061 Блокнот Deluxe в мягкой обложке B5 XL, черный")</f>
      </c>
      <c r="C31210" s="4" t="n">
        <v>817.00</v>
      </c>
      <c r="D31210" s="4"/>
    </row>
    <row collapsed="" customFormat="false" customHeight="1" hidden="" ht="14" outlineLevel="0" r="31211">
      <c r="A31211" s="3" t="inlineStr">
        <is>
          <t>31038</t>
        </is>
      </c>
      <c r="B31211" s="4" t="s">
        <f>=HYPERLINK("http://anyluxury.ru/shop/ezhednevniki-i-bloknoty/bloknoty/bloknot-standard-v-tverdoy-oblozhke-b5-xl-siniy-p772045/" , "P772.045 Блокнот Standard в твердой обложке, B5 XL, синий")</f>
      </c>
      <c r="C31211" s="4" t="n">
        <v>659.00</v>
      </c>
      <c r="D31211" s="4"/>
    </row>
    <row collapsed="" customFormat="false" customHeight="1" hidden="" ht="14" outlineLevel="0" r="31212">
      <c r="A31212" s="3" t="inlineStr">
        <is>
          <t>31039</t>
        </is>
      </c>
      <c r="B31212" s="4" t="s">
        <f>=HYPERLINK("http://anyluxury.ru/shop/ezhednevniki-i-bloknoty/bloknoty/bloknot-standard-v-tverdoy-oblozhke-b5-xl-serebryaniy-p772042/" , "P772.042 Блокнот Standard в твердой обложке, B5 XL, серебряный")</f>
      </c>
      <c r="C31212" s="4" t="n">
        <v>659.00</v>
      </c>
      <c r="D31212" s="4"/>
    </row>
    <row collapsed="" customFormat="false" customHeight="1" hidden="" ht="14" outlineLevel="0" r="31213">
      <c r="A31213" s="3" t="inlineStr">
        <is>
          <t>31040</t>
        </is>
      </c>
      <c r="B31213" s="4" t="s">
        <f>=HYPERLINK("http://anyluxury.ru/shop/ezhednevniki-i-bloknoty/bloknoty/bloknot-standard-v-tverdoy-oblozhke-b5-xl-beliy-p772043/" , "P772.043 Блокнот Standard в твердой обложке, B5 XL, белый")</f>
      </c>
      <c r="C31213" s="4" t="n">
        <v>659.00</v>
      </c>
      <c r="D31213" s="4"/>
    </row>
    <row collapsed="" customFormat="false" customHeight="1" hidden="" ht="14" outlineLevel="0" r="31214">
      <c r="A31214" s="3" t="inlineStr">
        <is>
          <t>31041</t>
        </is>
      </c>
      <c r="B31214" s="4" t="s">
        <f>=HYPERLINK("http://anyluxury.ru/shop/ezhednevniki-i-bloknoty/bloknoty/bloknot-deluxe-s-derzhatelem-dlya-ruchki-a5-p772857/" , "P772.857 Блокнот Deluxe с держателем для ручки А5")</f>
      </c>
      <c r="C31214" s="4" t="n">
        <v>642.00</v>
      </c>
      <c r="D31214" s="4"/>
    </row>
    <row collapsed="" customFormat="false" customHeight="1" hidden="" ht="14" outlineLevel="0" r="31215">
      <c r="A31215" s="3" t="inlineStr">
        <is>
          <t>31042</t>
        </is>
      </c>
      <c r="B31215" s="4" t="s">
        <f>=HYPERLINK("http://anyluxury.ru/shop/ezhednevniki-i-bloknoty/bloknoty/bloknot-dlya-zapisey-na-rezinke-s-fleshkoy-4-gb-p773113/" , "P773.113 Блокнот для записей на резинке с флешкой, 4 ГБ")</f>
      </c>
      <c r="C31215" s="4" t="n">
        <v>1931.00</v>
      </c>
      <c r="D31215" s="4"/>
    </row>
    <row collapsed="" customFormat="false" customHeight="1" hidden="" ht="14" outlineLevel="0" r="31216">
      <c r="A31216" s="3" t="inlineStr">
        <is>
          <t>31043</t>
        </is>
      </c>
      <c r="B31216" s="4" t="s">
        <f>=HYPERLINK("http://anyluxury.ru/shop/ezhednevniki-i-bloknoty/bloknoty/bloknot-dlya-zapisey-na-rezinke-s-fleshkoy-4-gb-p773115/" , "P773.115 Блокнот для записей на резинке с флешкой, 4 ГБ")</f>
      </c>
      <c r="C31216" s="4" t="n">
        <v>1931.00</v>
      </c>
      <c r="D31216" s="4"/>
    </row>
    <row collapsed="" customFormat="false" customHeight="1" hidden="" ht="14" outlineLevel="0" r="31217">
      <c r="A31217" s="3" t="inlineStr">
        <is>
          <t>31044</t>
        </is>
      </c>
      <c r="B31217" s="4" t="s">
        <f>=HYPERLINK("http://anyluxury.ru/shop/ezhednevniki-i-bloknoty/bloknoty/bloknot-deluxe-170h200mm-siniy-p773895/" , "P773.895 Блокнот Deluxe 170х200мм, синий")</f>
      </c>
      <c r="C31217" s="4" t="n">
        <v>519.00</v>
      </c>
      <c r="D31217" s="4"/>
    </row>
    <row collapsed="" customFormat="false" customHeight="1" hidden="" ht="14" outlineLevel="0" r="31218">
      <c r="A31218" s="3" t="inlineStr">
        <is>
          <t>31045</t>
        </is>
      </c>
      <c r="B31218" s="4" t="s">
        <f>=HYPERLINK("http://anyluxury.ru/shop/ezhednevniki-i-bloknoty/bloknoty/bloknot-deluxe-170h200mm-seriy-p773892/" , "P773.892 Блокнот Deluxe 170х200мм, серый")</f>
      </c>
      <c r="C31218" s="4" t="n">
        <v>519.00</v>
      </c>
      <c r="D31218" s="4"/>
    </row>
    <row collapsed="" customFormat="false" customHeight="1" hidden="" ht="14" outlineLevel="0" r="31219">
      <c r="A31219" s="3" t="inlineStr">
        <is>
          <t>31046</t>
        </is>
      </c>
      <c r="B31219" s="4" t="s">
        <f>=HYPERLINK("http://anyluxury.ru/shop/ezhednevniki-i-bloknoty/bloknoty/bloknot-deluxe-210x240mm-cherniy-p773901/" , "P773.901 Блокнот Deluxe 210x240мм, черный")</f>
      </c>
      <c r="C31219" s="4" t="n">
        <v>809.00</v>
      </c>
      <c r="D31219" s="4"/>
    </row>
    <row collapsed="" customFormat="false" customHeight="1" hidden="" ht="14" outlineLevel="0" r="31220">
      <c r="A31220" s="3" t="inlineStr">
        <is>
          <t>31047</t>
        </is>
      </c>
      <c r="B31220" s="4" t="s">
        <f>=HYPERLINK("http://anyluxury.ru/shop/ezhednevniki-i-bloknoty/bloknoty/bloknot-dlya-zapisey-na-rezinke-s-fleshkoy-4-gb-p773110/" , "P773.110 Блокнот для записей на резинке с флешкой, 4 ГБ")</f>
      </c>
      <c r="C31220" s="4" t="n">
        <v>1609.00</v>
      </c>
      <c r="D31220" s="4"/>
    </row>
    <row collapsed="" customFormat="false" customHeight="1" hidden="" ht="14" outlineLevel="0" r="31221">
      <c r="A31221" s="3" t="inlineStr">
        <is>
          <t>31048</t>
        </is>
      </c>
      <c r="B31221" s="4" t="s">
        <f>=HYPERLINK("http://anyluxury.ru/shop/ezhednevniki-i-bloknoty/bloknoty/bloknot-dlya-zapisey-basic-v-tverdoy-oblozhke-pu-a5-p773245/" , "P773.245 Блокнот для записей Basic в твердой обложке PU, А5")</f>
      </c>
      <c r="C31221" s="4" t="n">
        <v>433.00</v>
      </c>
      <c r="D31221" s="4"/>
    </row>
    <row collapsed="" customFormat="false" customHeight="1" hidden="" ht="14" outlineLevel="0" r="31222">
      <c r="A31222" s="3" t="inlineStr">
        <is>
          <t>31049</t>
        </is>
      </c>
      <c r="B31222" s="4" t="s">
        <f>=HYPERLINK("http://anyluxury.ru/shop/ezhednevniki-i-bloknoty/bloknoty/bloknot-dlya-zapisey-basic-i-ruchkastilus-a5-p773253/" , "P773.253 Блокнот для записей Basic и ручка-стилус, А5")</f>
      </c>
      <c r="C31222" s="4" t="n">
        <v>680.00</v>
      </c>
      <c r="D31222" s="4"/>
    </row>
    <row collapsed="" customFormat="false" customHeight="1" hidden="" ht="14" outlineLevel="0" r="31223">
      <c r="A31223" s="3" t="inlineStr">
        <is>
          <t>31050</t>
        </is>
      </c>
      <c r="B31223" s="4" t="s">
        <f>=HYPERLINK("http://anyluxury.ru/shop/ezhednevniki-i-bloknoty/bloknoty/bloknot-v-probkovoy-oblozhke-seriy-p773922/" , "P773.922 Блокнот в пробковой обложке, серый")</f>
      </c>
      <c r="C31223" s="4" t="n">
        <v>519.00</v>
      </c>
      <c r="D31223" s="4"/>
    </row>
    <row collapsed="" customFormat="false" customHeight="1" hidden="" ht="14" outlineLevel="0" r="31224">
      <c r="A31224" s="3" t="inlineStr">
        <is>
          <t>31051</t>
        </is>
      </c>
      <c r="B31224" s="4" t="s">
        <f>=HYPERLINK("http://anyluxury.ru/shop/ezhednevniki-i-bloknoty/bloknoty/bloknot-v-probkovoy-oblozhke-siniy-p773925/" , "P773.925 Блокнот в пробковой обложке, синий")</f>
      </c>
      <c r="C31224" s="4" t="n">
        <v>519.00</v>
      </c>
      <c r="D31224" s="4"/>
    </row>
    <row collapsed="" customFormat="false" customHeight="1" hidden="" ht="14" outlineLevel="0" r="31225">
      <c r="A31225" s="3" t="inlineStr">
        <is>
          <t>31052</t>
        </is>
      </c>
      <c r="B31225" s="4" t="s">
        <f>=HYPERLINK("http://anyluxury.ru/shop/ezhednevniki-i-bloknoty/bloknoty/bloknot-deluxe-v-myagkoy-oblozhke-a5-serebryaniy-p773492/" , "P773.492 Блокнот Deluxe в мягкой обложке А5, серебряный")</f>
      </c>
      <c r="C31225" s="4" t="n">
        <v>289.00</v>
      </c>
      <c r="D31225" s="4"/>
    </row>
    <row collapsed="" customFormat="false" customHeight="1" hidden="" ht="14" outlineLevel="0" r="31226">
      <c r="A31226" s="3" t="inlineStr">
        <is>
          <t>31053</t>
        </is>
      </c>
      <c r="B31226" s="4" t="s">
        <f>=HYPERLINK("http://anyluxury.ru/shop/ezhednevniki-i-bloknoty/bloknoty/bloknot-s-zakladkoyfonarikom-beliy-p773453/" , "P773.453 Блокнот с закладкой-фонариком, белый")</f>
      </c>
      <c r="C31226" s="4" t="n">
        <v>590.00</v>
      </c>
      <c r="D31226" s="4"/>
    </row>
    <row collapsed="" customFormat="false" customHeight="1" hidden="" ht="14" outlineLevel="0" r="31227">
      <c r="A31227" s="3" t="inlineStr">
        <is>
          <t>31054</t>
        </is>
      </c>
      <c r="B31227" s="4" t="s">
        <f>=HYPERLINK("http://anyluxury.ru/shop/ezhednevniki-i-bloknoty/bloknoty/bloknot-formata-a5-salatoviy-p773027/" , "P773.027 Блокнот формата A5, салатовый")</f>
      </c>
      <c r="C31227" s="4" t="n">
        <v>619.00</v>
      </c>
      <c r="D31227" s="4"/>
    </row>
    <row collapsed="" customFormat="false" customHeight="1" hidden="" ht="14" outlineLevel="0" r="31228">
      <c r="A31228" s="3" t="inlineStr">
        <is>
          <t>31055</t>
        </is>
      </c>
      <c r="B31228" s="4" t="s">
        <f>=HYPERLINK("http://anyluxury.ru/shop/ezhednevniki-i-bloknoty/bloknoty/bloknot-v-tverdoy-oblozhke-formata-a5-v-kletku-p773201/" , "P773.201 Блокнот в твердой обложке формата A5, в клетку")</f>
      </c>
      <c r="C31228" s="4" t="n">
        <v>519.00</v>
      </c>
      <c r="D31228" s="4"/>
    </row>
    <row collapsed="" customFormat="false" customHeight="1" hidden="" ht="14" outlineLevel="0" r="31229">
      <c r="A31229" s="3" t="inlineStr">
        <is>
          <t>31056</t>
        </is>
      </c>
      <c r="B31229" s="4" t="s">
        <f>=HYPERLINK("http://anyluxury.ru/shop/ezhednevniki-i-bloknoty/bloknoty/bloknot-deluxe-s-cvetnim-srezom-v-myagkoy-oblozhke-a5-p773003/" , "P773.003 Блокнот Deluxe с цветным срезом в мягкой обложке, A5")</f>
      </c>
      <c r="C31229" s="4" t="n">
        <v>479.00</v>
      </c>
      <c r="D31229" s="4"/>
    </row>
    <row collapsed="" customFormat="false" customHeight="1" hidden="" ht="14" outlineLevel="0" r="31230">
      <c r="A31230" s="3" t="inlineStr">
        <is>
          <t>31057</t>
        </is>
      </c>
      <c r="B31230" s="4" t="s">
        <f>=HYPERLINK("http://anyluxury.ru/shop/ezhednevniki-i-bloknoty/bloknoty/bloknot-deluxe-s-cvetnim-srezom-v-myagkoy-oblozhke-a5-p773004/" , "P773.004 Блокнот Deluxe с цветным срезом в мягкой обложке, A5")</f>
      </c>
      <c r="C31230" s="4" t="n">
        <v>635.00</v>
      </c>
      <c r="D31230" s="4"/>
    </row>
    <row collapsed="" customFormat="false" customHeight="1" hidden="" ht="14" outlineLevel="0" r="31231">
      <c r="A31231" s="3" t="inlineStr">
        <is>
          <t>31058</t>
        </is>
      </c>
      <c r="B31231" s="4" t="s">
        <f>=HYPERLINK("http://anyluxury.ru/shop/ezhednevniki-i-bloknoty/bloknoty/bloknot-blank-bordoviy-1400255/" , "14002.55 Блокнот Blank, бордовый")</f>
      </c>
      <c r="C31231" s="4" t="n">
        <v>470.00</v>
      </c>
      <c r="D31231" s="4"/>
    </row>
    <row collapsed="" customFormat="false" customHeight="1" hidden="" ht="14" outlineLevel="0" r="31232">
      <c r="A31232" s="3" t="inlineStr">
        <is>
          <t>31059</t>
        </is>
      </c>
      <c r="B31232" s="4" t="s">
        <f>=HYPERLINK("http://anyluxury.ru/shop/ezhednevniki-i-bloknoty/bloknoty/bloknot-flex-shall-siniy-1400340/" , "14003.40 Блокнот Flex Shall, синий")</f>
      </c>
      <c r="C31232" s="4" t="n">
        <v>627.00</v>
      </c>
      <c r="D31232" s="4"/>
    </row>
    <row collapsed="" customFormat="false" customHeight="1" hidden="" ht="14" outlineLevel="0" r="31233">
      <c r="A31233" s="3" t="inlineStr">
        <is>
          <t>31060</t>
        </is>
      </c>
      <c r="B31233" s="4" t="s">
        <f>=HYPERLINK("http://anyluxury.ru/shop/ezhednevniki-i-bloknoty/bloknoty/bloknot-flex-shall-biryuzoviy-1400349/" , "14003.49 Блокнот Flex Shall, бирюзовый")</f>
      </c>
      <c r="C31233" s="4" t="n">
        <v>627.00</v>
      </c>
      <c r="D31233" s="4"/>
    </row>
    <row collapsed="" customFormat="false" customHeight="1" hidden="" ht="14" outlineLevel="0" r="31234">
      <c r="A31234" s="3" t="inlineStr">
        <is>
          <t>31061</t>
        </is>
      </c>
      <c r="B31234" s="4" t="s">
        <f>=HYPERLINK("http://anyluxury.ru/shop/ezhednevniki-i-bloknoty/bloknoty/bloknot-flex-shall-zeleniy-1400390/" , "14003.90 Блокнот Flex Shall, зеленый")</f>
      </c>
      <c r="C31234" s="4" t="n">
        <v>627.00</v>
      </c>
      <c r="D31234" s="4"/>
    </row>
    <row collapsed="" customFormat="false" customHeight="1" hidden="" ht="14" outlineLevel="0" r="31235">
      <c r="A31235" s="3" t="inlineStr">
        <is>
          <t>31062</t>
        </is>
      </c>
      <c r="B31235" s="4" t="s">
        <f>=HYPERLINK("http://anyluxury.ru/shop/ezhednevniki-i-bloknoty/bloknoty/bloknot-flex-shall-goluboy-1400314/" , "14003.14 Блокнот Flex Shall, голубой")</f>
      </c>
      <c r="C31235" s="4" t="n">
        <v>627.00</v>
      </c>
      <c r="D31235" s="4"/>
    </row>
    <row collapsed="" customFormat="false" customHeight="1" hidden="" ht="14" outlineLevel="0" r="31236">
      <c r="A31236" s="3" t="inlineStr">
        <is>
          <t>31063</t>
        </is>
      </c>
      <c r="B31236" s="4" t="s">
        <f>=HYPERLINK("http://anyluxury.ru/shop/ezhednevniki-i-bloknoty/bloknoty/bloknot-blank-fioletoviy-1400270/" , "14002.70 Блокнот Blank, фиолетовый")</f>
      </c>
      <c r="C31236" s="4" t="n">
        <v>470.00</v>
      </c>
      <c r="D31236" s="4"/>
    </row>
    <row collapsed="" customFormat="false" customHeight="1" hidden="" ht="14" outlineLevel="0" r="31237">
      <c r="A31237" s="3" t="inlineStr">
        <is>
          <t>31064</t>
        </is>
      </c>
      <c r="B31237" s="4" t="s">
        <f>=HYPERLINK("http://anyluxury.ru/shop/ezhednevniki-i-bloknoty/bloknoty/bloknot-na-zakaz-sketch-print-xs-1331600/" , "13316.00 Блокнот на заказ Sketch Print XS")</f>
      </c>
      <c r="C31237" s="4" t="n">
        <v>105.00</v>
      </c>
      <c r="D31237" s="4"/>
    </row>
    <row collapsed="" customFormat="false" customHeight="1" hidden="" ht="14" outlineLevel="0" r="31238">
      <c r="A31238" s="3" t="inlineStr">
        <is>
          <t>31065</t>
        </is>
      </c>
      <c r="B31238" s="4" t="s">
        <f>=HYPERLINK("http://anyluxury.ru/shop/ezhednevniki-i-bloknoty/bloknoty/bloknot-na-zakaz-sketch-print-s-1331700/" , "13317.00 Блокнот на заказ Sketch Print S")</f>
      </c>
      <c r="C31238" s="4" t="n">
        <v>123.00</v>
      </c>
      <c r="D31238" s="4"/>
    </row>
    <row collapsed="" customFormat="false" customHeight="1" hidden="" ht="14" outlineLevel="0" r="31239">
      <c r="A31239" s="3" t="inlineStr">
        <is>
          <t>31066</t>
        </is>
      </c>
      <c r="B31239" s="4" t="s">
        <f>=HYPERLINK("http://anyluxury.ru/shop/ezhednevniki-i-bloknoty/bloknoty/bloknot-na-zakaz-sketch-print-m-1331800/" , "13318.00 Блокнот на заказ Sketch Print M")</f>
      </c>
      <c r="C31239" s="4" t="n">
        <v>193.00</v>
      </c>
      <c r="D31239" s="4"/>
    </row>
    <row collapsed="" customFormat="false" customHeight="1" hidden="" ht="14" outlineLevel="0" r="31240">
      <c r="A31240" s="3" t="inlineStr">
        <is>
          <t>31067</t>
        </is>
      </c>
      <c r="B31240" s="4" t="s">
        <f>=HYPERLINK("http://anyluxury.ru/shop/ezhednevniki-i-bloknoty/bloknoty/bloknot-na-zakaz-sketch-print-l-1378600/" , "13786.00 Блокнот на заказ Sketch Print L")</f>
      </c>
      <c r="C31240" s="4" t="n">
        <v>249.00</v>
      </c>
      <c r="D31240" s="4"/>
    </row>
    <row collapsed="" customFormat="false" customHeight="1" hidden="" ht="14" outlineLevel="0" r="31241">
      <c r="A31241" s="3" t="inlineStr">
        <is>
          <t>31068</t>
        </is>
      </c>
      <c r="B31241" s="4" t="s">
        <f>=HYPERLINK("http://anyluxury.ru/shop/ezhednevniki-i-bloknoty/bloknoty/bloknot-flex-shall-krasniy-1400350/" , "14003.50 Блокнот Flex Shall, красный")</f>
      </c>
      <c r="C31241" s="4" t="n">
        <v>627.00</v>
      </c>
      <c r="D31241" s="4"/>
    </row>
    <row collapsed="" customFormat="false" customHeight="1" hidden="" ht="14" outlineLevel="0" r="31242">
      <c r="A31242" s="3" t="inlineStr">
        <is>
          <t>31069</t>
        </is>
      </c>
      <c r="B31242" s="4" t="s">
        <f>=HYPERLINK("http://anyluxury.ru/shop/ezhednevniki-i-bloknoty/bloknoty/bloknot-flex-shall-cherniy-1400330/" , "14003.30 Блокнот Flex Shall, черный")</f>
      </c>
      <c r="C31242" s="4" t="n">
        <v>627.00</v>
      </c>
      <c r="D31242" s="4"/>
    </row>
    <row collapsed="" customFormat="false" customHeight="1" hidden="" ht="14" outlineLevel="0" r="31243">
      <c r="A31243" s="3" t="inlineStr">
        <is>
          <t>31070</t>
        </is>
      </c>
      <c r="B31243" s="4" t="s">
        <f>=HYPERLINK("http://anyluxury.ru/shop/ezhednevniki-i-bloknoty/bloknoty/zapisnaya-knizhka-moleskine-classic-large-bez-linovki-chernaya-3889130/" , "38891.30 Записная книжка Moleskine Classic Large, без линовки, черная")</f>
      </c>
      <c r="C31243" s="4" t="n">
        <v>1724.00</v>
      </c>
      <c r="D31243" s="4"/>
    </row>
    <row collapsed="" customFormat="false" customHeight="1" hidden="" ht="14" outlineLevel="0" r="31244">
      <c r="A31244" s="3" t="inlineStr">
        <is>
          <t>31071</t>
        </is>
      </c>
      <c r="B31244" s="4" t="s">
        <f>=HYPERLINK("http://anyluxury.ru/shop/ezhednevniki-i-bloknoty/bloknoty/zapisnaya-knizhka-moleskine-classic-large-v-lineyku-sinyaya-3889240/" , "38892.40 Записная книжка Moleskine Classic Large, в линейку, синяя")</f>
      </c>
      <c r="C31244" s="4" t="n">
        <v>2083.00</v>
      </c>
      <c r="D31244" s="4"/>
    </row>
    <row collapsed="" customFormat="false" customHeight="1" hidden="" ht="14" outlineLevel="0" r="31245">
      <c r="A31245" s="3" t="inlineStr">
        <is>
          <t>31072</t>
        </is>
      </c>
      <c r="B31245" s="4" t="s">
        <f>=HYPERLINK("http://anyluxury.ru/shop/ezhednevniki-i-bloknoty/bloknoty/zapisnaya-knizhka-moleskine-professional-large-chernaya-3889530/" , "38895.30 Записная книжка Moleskine Professional Large, черная")</f>
      </c>
      <c r="C31245" s="4" t="n">
        <v>1520.00</v>
      </c>
      <c r="D31245" s="4"/>
    </row>
    <row collapsed="" customFormat="false" customHeight="1" hidden="" ht="14" outlineLevel="0" r="31246">
      <c r="A31246" s="3" t="inlineStr">
        <is>
          <t>31073</t>
        </is>
      </c>
      <c r="B31246" s="4" t="s">
        <f>=HYPERLINK("http://anyluxury.ru/shop/ezhednevniki-i-bloknoty/bloknoty/svetyashhayasya-povyazka-na-ruku-dlya-bega-s-akkumulyatorom-p239453/" , "P239.453 Светящаяся повязка на руку для бега с аккумулятором")</f>
      </c>
      <c r="C31246" s="4" t="n">
        <v>1439.00</v>
      </c>
      <c r="D31246" s="4"/>
    </row>
    <row collapsed="" customFormat="false" customHeight="1" hidden="" ht="14" outlineLevel="0" r="31247">
      <c r="A31247" s="3" t="inlineStr">
        <is>
          <t>31074</t>
        </is>
      </c>
      <c r="B31247" s="4" t="s">
        <f>=HYPERLINK("http://anyluxury.ru/shop/ezhednevniki-i-bloknoty/bloknoty/sketchbuk-object-maxi-siniy-2302340/" , "23023.40 Скетчбук Object Maxi, синий")</f>
      </c>
      <c r="C31247" s="4" t="n">
        <v>660.00</v>
      </c>
      <c r="D31247" s="4"/>
    </row>
    <row collapsed="" customFormat="false" customHeight="1" hidden="" ht="14" outlineLevel="0" r="31248">
      <c r="A31248" s="3" t="inlineStr">
        <is>
          <t>31075</t>
        </is>
      </c>
      <c r="B31248" s="4" t="s">
        <f>=HYPERLINK("http://anyluxury.ru/shop/ezhednevniki-i-bloknoty/bloknoty/sketchbuk-object-siniy-1919040/" , "19190.40 Скетчбук Object, синий")</f>
      </c>
      <c r="C31248" s="4" t="n">
        <v>681.00</v>
      </c>
      <c r="D31248" s="4"/>
    </row>
    <row collapsed="" customFormat="false" customHeight="1" hidden="" ht="14" outlineLevel="0" r="31249">
      <c r="A31249" s="3" t="inlineStr">
        <is>
          <t>31076</t>
        </is>
      </c>
      <c r="B31249" s="4" t="s">
        <f>=HYPERLINK("http://anyluxury.ru/shop/ezhednevniki-i-bloknoty/bloknoty/sketchbuk-object-krasniy-1919050/" , "19190.50 Скетчбук Object, красный")</f>
      </c>
      <c r="C31249" s="4" t="n">
        <v>681.00</v>
      </c>
      <c r="D31249" s="4"/>
    </row>
    <row collapsed="" customFormat="false" customHeight="1" hidden="" ht="14" outlineLevel="0" r="31250">
      <c r="A31250" s="3" t="inlineStr">
        <is>
          <t>31077</t>
        </is>
      </c>
      <c r="B31250" s="4" t="s">
        <f>=HYPERLINK("http://anyluxury.ru/shop/ezhednevniki-i-bloknoty/bloknoty/sketchbuk-object-beliy-1919060/" , "19190.60 Скетчбук Object, белый")</f>
      </c>
      <c r="C31250" s="4" t="n">
        <v>622.00</v>
      </c>
      <c r="D31250" s="4"/>
    </row>
    <row collapsed="" customFormat="false" customHeight="1" hidden="" ht="14" outlineLevel="0" r="31251">
      <c r="A31251" s="3" t="inlineStr">
        <is>
          <t>31078</t>
        </is>
      </c>
      <c r="B31251" s="4" t="s">
        <f>=HYPERLINK("http://anyluxury.ru/shop/ezhednevniki-i-bloknoty/bloknoty/bloknot-new-sandy-v-lineyku-1691401/" , "16914.01 Блокнот New Sandy, в линейку")</f>
      </c>
      <c r="C31251" s="4" t="n">
        <v>69.00</v>
      </c>
      <c r="D31251" s="4"/>
    </row>
    <row collapsed="" customFormat="false" customHeight="1" hidden="" ht="14" outlineLevel="0" r="31252">
      <c r="A31252" s="3" t="inlineStr">
        <is>
          <t>31079</t>
        </is>
      </c>
      <c r="B31252" s="4" t="s">
        <f>=HYPERLINK("http://anyluxury.ru/shop/ezhednevniki-i-bloknoty/bloknoty/bloknot-new-sandy-v-kletku-1691402/" , "16914.02 Блокнот New Sandy, в клетку")</f>
      </c>
      <c r="C31252" s="4" t="n">
        <v>69.00</v>
      </c>
      <c r="D31252" s="4"/>
    </row>
    <row collapsed="" customFormat="false" customHeight="1" hidden="" ht="14" outlineLevel="0" r="31253">
      <c r="A31253" s="3" t="inlineStr">
        <is>
          <t>31080</t>
        </is>
      </c>
      <c r="B31253" s="4" t="s">
        <f>=HYPERLINK("http://anyluxury.ru/shop/ezhednevniki-i-bloknoty/bloknoty/bloknot-essing-m-kraft-1560700/" , "15607.00 Блокнот Essing M в клетку, крафт")</f>
      </c>
      <c r="C31253" s="4" t="n">
        <v>99.00</v>
      </c>
      <c r="D31253" s="4"/>
    </row>
    <row collapsed="" customFormat="false" customHeight="1" hidden="" ht="14" outlineLevel="0" r="31254">
      <c r="A31254" s="3" t="inlineStr">
        <is>
          <t>31081</t>
        </is>
      </c>
      <c r="B31254" s="4" t="s">
        <f>=HYPERLINK("http://anyluxury.ru/shop/ezhednevniki-i-bloknoty/bloknoty/bloknot-essing-l-kraft-1560800/" , "15608.00 Блокнот Essing L в клетку, крафт")</f>
      </c>
      <c r="C31254" s="4" t="n">
        <v>149.00</v>
      </c>
      <c r="D31254" s="4"/>
    </row>
    <row collapsed="" customFormat="false" customHeight="1" hidden="" ht="14" outlineLevel="0" r="31255">
      <c r="A31255" s="3" t="inlineStr">
        <is>
          <t>31082</t>
        </is>
      </c>
      <c r="B31255" s="4" t="s">
        <f>=HYPERLINK("http://anyluxury.ru/shop/ezhednevniki-i-bloknoty/bloknoty/bloknot-centar-kraft-1523000/" , "15230.00 Блокнот Centar S, крафт")</f>
      </c>
      <c r="C31255" s="4" t="n">
        <v>59.00</v>
      </c>
      <c r="D31255" s="4"/>
    </row>
    <row collapsed="" customFormat="false" customHeight="1" hidden="" ht="14" outlineLevel="0" r="31256">
      <c r="A31256" s="3" t="inlineStr">
        <is>
          <t>31083</t>
        </is>
      </c>
      <c r="B31256" s="4" t="s">
        <f>=HYPERLINK("http://anyluxury.ru/shop/ezhednevniki-i-bloknoty/bloknoty/bloknot-bonn-soft-touch-s-beliy-1523500/" , "15235.00 Блокнот Bonn Soft Touch, S, белый")</f>
      </c>
      <c r="C31256" s="4" t="n">
        <v>119.00</v>
      </c>
      <c r="D31256" s="4"/>
    </row>
    <row collapsed="" customFormat="false" customHeight="1" hidden="" ht="14" outlineLevel="0" r="31257">
      <c r="A31257" s="3" t="inlineStr">
        <is>
          <t>31084</t>
        </is>
      </c>
      <c r="B31257" s="4" t="s">
        <f>=HYPERLINK("http://anyluxury.ru/shop/ezhednevniki-i-bloknoty/bloknoty/bloknot-bonn-soft-touch-m-beliy-1523600/" , "15236.00 Блокнот Bonn Soft Touch, M, белый")</f>
      </c>
      <c r="C31257" s="4" t="n">
        <v>169.00</v>
      </c>
      <c r="D31257" s="4"/>
    </row>
    <row collapsed="" customFormat="false" customHeight="1" hidden="" ht="14" outlineLevel="0" r="31258">
      <c r="A31258" s="3" t="inlineStr">
        <is>
          <t>31085</t>
        </is>
      </c>
      <c r="B31258" s="4" t="s">
        <f>=HYPERLINK("http://anyluxury.ru/shop/ezhednevniki-i-bloknoty/bloknoty/bloknot-bonn-plastic-s-1591500/" , "15915.00 Блокнот Bonn Plastic, S")</f>
      </c>
      <c r="C31258" s="4" t="n">
        <v>109.00</v>
      </c>
      <c r="D31258" s="4"/>
    </row>
    <row collapsed="" customFormat="false" customHeight="1" hidden="" ht="14" outlineLevel="0" r="31259">
      <c r="A31259" s="3" t="inlineStr">
        <is>
          <t>31086</t>
        </is>
      </c>
      <c r="B31259" s="4" t="s">
        <f>=HYPERLINK("http://anyluxury.ru/shop/ezhednevniki-i-bloknoty/bloknoty/bloknot-bonn-plastic-m-1591600/" , "15916.00 Блокнот Bonn Plastic, M")</f>
      </c>
      <c r="C31259" s="4" t="n">
        <v>119.00</v>
      </c>
      <c r="D31259" s="4"/>
    </row>
    <row collapsed="" customFormat="false" customHeight="1" hidden="" ht="14" outlineLevel="0" r="31260">
      <c r="A31260" s="3" t="inlineStr">
        <is>
          <t>31087</t>
        </is>
      </c>
      <c r="B31260" s="4" t="s">
        <f>=HYPERLINK("http://anyluxury.ru/shop/ezhednevniki-i-bloknoty/bloknoty/bloknot-shall-siniy-s-beloy-bumagoy-1700904/" , "17009.04 Блокнот Shall, в линейку, синий")</f>
      </c>
      <c r="C31260" s="4" t="n">
        <v>610.00</v>
      </c>
      <c r="D31260" s="4"/>
    </row>
    <row collapsed="" customFormat="false" customHeight="1" hidden="" ht="14" outlineLevel="0" r="31261">
      <c r="A31261" s="3" t="inlineStr">
        <is>
          <t>31088</t>
        </is>
      </c>
      <c r="B31261" s="4" t="s">
        <f>=HYPERLINK("http://anyluxury.ru/shop/ezhednevniki-i-bloknoty/bloknoty/bloknot-shall-cherniy-s-beloy-bumagoy-1700903/" , "17009.03 Блокнот Shall, в линейку, черный")</f>
      </c>
      <c r="C31261" s="4" t="n">
        <v>610.00</v>
      </c>
      <c r="D31261" s="4"/>
    </row>
    <row collapsed="" customFormat="false" customHeight="1" hidden="" ht="14" outlineLevel="0" r="31262">
      <c r="A31262" s="3" t="inlineStr">
        <is>
          <t>31089</t>
        </is>
      </c>
      <c r="B31262" s="4" t="s">
        <f>=HYPERLINK("http://anyluxury.ru/shop/ezhednevniki-i-bloknoty/bloknoty/bloknot-shall-zeleniy-s-beloy-bumagoy-1700909/" , "17009.09 Блокнот Shall, в линейку, зеленый")</f>
      </c>
      <c r="C31262" s="4" t="n">
        <v>610.00</v>
      </c>
      <c r="D31262" s="4"/>
    </row>
    <row collapsed="" customFormat="false" customHeight="1" hidden="" ht="14" outlineLevel="0" r="31263">
      <c r="A31263" s="3" t="inlineStr">
        <is>
          <t>31090</t>
        </is>
      </c>
      <c r="B31263" s="4" t="s">
        <f>=HYPERLINK("http://anyluxury.ru/shop/ezhednevniki-i-bloknoty/bloknoty/bloknot-shall-seriy-s-beloy-bumagoy-1700911/" , "17009.11 Блокнот Shall, в линейку, серый")</f>
      </c>
      <c r="C31263" s="4" t="n">
        <v>610.00</v>
      </c>
      <c r="D31263" s="4"/>
    </row>
    <row collapsed="" customFormat="false" customHeight="1" hidden="" ht="14" outlineLevel="0" r="31264">
      <c r="A31264" s="3" t="inlineStr">
        <is>
          <t>31091</t>
        </is>
      </c>
      <c r="B31264" s="4" t="s">
        <f>=HYPERLINK("http://anyluxury.ru/shop/ezhednevniki-i-bloknoty/bloknoty/ezhednevnik-portobello-lite-slimbook-dallas-112-str-bez-pechati-oranzheviy-sketchbook-2311239072/" , "2311239.072 Ежедневник Slimbook Dallas недатированный без печати, оранжевый (Sketchbook)")</f>
      </c>
      <c r="C31264" s="4" t="n">
        <v>390.00</v>
      </c>
      <c r="D31264" s="4"/>
    </row>
    <row collapsed="" customFormat="false" customHeight="1" hidden="" ht="14" outlineLevel="0" r="31265">
      <c r="A31265" s="3" t="inlineStr">
        <is>
          <t>31092</t>
        </is>
      </c>
      <c r="B31265" s="4" t="s">
        <f>=HYPERLINK("http://anyluxury.ru/shop/ezhednevniki-i-bloknoty/bloknoty/ezhednevnik-portobello-lite-slimbook-marseille-112-str-bez-pechati-zeleniy-sketchbook-2311236040/" , "2311236.040 Ежедневник Slimbook Marseille недатированный без печати, зеленый (Sketchbook)")</f>
      </c>
      <c r="C31265" s="4" t="n">
        <v>390.00</v>
      </c>
      <c r="D31265" s="4"/>
    </row>
    <row collapsed="" customFormat="false" customHeight="1" hidden="" ht="14" outlineLevel="0" r="31266">
      <c r="A31266" s="3" t="inlineStr">
        <is>
          <t>31093</t>
        </is>
      </c>
      <c r="B31266" s="4" t="s">
        <f>=HYPERLINK("http://anyluxury.ru/shop/ezhednevniki-i-bloknoty/bloknoty/ezhednevnik-portobello-lite-slimbook-marseille-112-str-bez-pechati-korichneviy-sketchbook-2311238020/" , "2311238.020 Ежедневник Marseille недатированный без печати, коричневый (Sketchbook)")</f>
      </c>
      <c r="C31266" s="4" t="n">
        <v>390.00</v>
      </c>
      <c r="D31266" s="4"/>
    </row>
    <row collapsed="" customFormat="false" customHeight="1" hidden="" ht="14" outlineLevel="0" r="31267">
      <c r="A31267" s="3" t="inlineStr">
        <is>
          <t>31094</t>
        </is>
      </c>
      <c r="B31267" s="4" t="s">
        <f>=HYPERLINK("http://anyluxury.ru/shop/ezhednevniki-i-bloknoty/bloknoty/ezhednevnik-portobello-lite-slimbook-shia-new-112-str-bez-pechati-seriy-sketchbook-2311241080/" , "2311241.080 Ежедневник Slimbook Shia New недатированный без печати, серый (Sketchbook)")</f>
      </c>
      <c r="C31267" s="4" t="n">
        <v>390.00</v>
      </c>
      <c r="D31267" s="4"/>
    </row>
    <row collapsed="" customFormat="false" customHeight="1" hidden="" ht="14" outlineLevel="0" r="31268">
      <c r="A31268" s="3" t="inlineStr">
        <is>
          <t>31095</t>
        </is>
      </c>
      <c r="B31268" s="4" t="s">
        <f>=HYPERLINK("http://anyluxury.ru/shop/ezhednevniki-i-bloknoty/bloknoty/ezhednevnik-portobello-lite-slimbook-manchester-112-str-bez-pechati-zeleniy-sketchbook-2311235040/" , "2311235.040 Ежедневник Slimbook Manchester недатированный без печати, зеленый (Sketchbook)")</f>
      </c>
      <c r="C31268" s="4" t="n">
        <v>390.00</v>
      </c>
      <c r="D31268" s="4"/>
    </row>
    <row collapsed="" customFormat="false" customHeight="1" hidden="" ht="14" outlineLevel="0" r="31269">
      <c r="A31269" s="3" t="inlineStr">
        <is>
          <t>31096</t>
        </is>
      </c>
      <c r="B31269" s="4" t="s">
        <f>=HYPERLINK("http://anyluxury.ru/shop/ezhednevniki-i-bloknoty/bloknoty/bloknot-essing-m-bez-linovki-kraft-1560701/" , "15607.01 Блокнот Essing M без линовки, крафт")</f>
      </c>
      <c r="C31269" s="4" t="n">
        <v>99.00</v>
      </c>
      <c r="D31269" s="4"/>
    </row>
    <row collapsed="" customFormat="false" customHeight="1" hidden="" ht="14" outlineLevel="0" r="31270">
      <c r="A31270" s="3" t="inlineStr">
        <is>
          <t>31097</t>
        </is>
      </c>
      <c r="B31270" s="4" t="s">
        <f>=HYPERLINK("http://anyluxury.ru/shop/ezhednevniki-i-bloknoty/bloknoty/bloknot-essing-l-bez-linovki-kraft-1560801/" , "15608.01 Блокнот Essing L без линовки, крафт")</f>
      </c>
      <c r="C31270" s="4" t="n">
        <v>149.00</v>
      </c>
      <c r="D31270" s="4"/>
    </row>
    <row collapsed="" customFormat="false" customHeight="1" hidden="" ht="14" outlineLevel="0" r="31271">
      <c r="A31271" s="3" t="inlineStr">
        <is>
          <t>31098</t>
        </is>
      </c>
      <c r="B31271" s="4" t="s">
        <f>=HYPERLINK("http://anyluxury.ru/shop/ezhednevniki-i-bloknoty/bloknoty/bloknot-new-sandy-bez-linovki-1691403/" , "16914.03 Блокнот New Sandy, без линовки")</f>
      </c>
      <c r="C31271" s="4" t="n">
        <v>69.00</v>
      </c>
      <c r="D31271" s="4"/>
    </row>
    <row collapsed="" customFormat="false" customHeight="1" hidden="" ht="14" outlineLevel="0" r="31272">
      <c r="A31272" s="3" t="inlineStr">
        <is>
          <t>31099</t>
        </is>
      </c>
      <c r="B31272" s="4" t="s">
        <f>=HYPERLINK("http://anyluxury.ru/shop/ezhednevniki-i-bloknoty/bloknoty/bloknot-centar-m-kraft-1523100/" , "15231.00 Блокнот Centar M, крафт")</f>
      </c>
      <c r="C31272" s="4" t="n">
        <v>99.00</v>
      </c>
      <c r="D31272" s="4"/>
    </row>
    <row collapsed="" customFormat="false" customHeight="1" hidden="" ht="14" outlineLevel="0" r="31273">
      <c r="A31273" s="3" t="inlineStr">
        <is>
          <t>31100</t>
        </is>
      </c>
      <c r="B31273" s="4" t="s">
        <f>=HYPERLINK("http://anyluxury.ru/shop/ezhednevniki-i-bloknoty/bloknoty/bloknot-centar-l-kraft-1523200/" , "15232.00 Блокнот Centar L, крафт")</f>
      </c>
      <c r="C31273" s="4" t="n">
        <v>149.00</v>
      </c>
      <c r="D31273" s="4"/>
    </row>
    <row collapsed="" customFormat="false" customHeight="1" hidden="" ht="14" outlineLevel="0" r="31274">
      <c r="A31274" s="3" t="inlineStr">
        <is>
          <t>31101</t>
        </is>
      </c>
      <c r="B31274" s="4" t="s">
        <f>=HYPERLINK("http://anyluxury.ru/shop/ezhednevniki-i-bloknoty/bloknoty/bloknot-pinpoint-beliy-1556960/" , "15569.60 Блокнот Pinpoint, белый")</f>
      </c>
      <c r="C31274" s="4" t="n">
        <v>189.00</v>
      </c>
      <c r="D31274" s="4"/>
    </row>
    <row collapsed="" customFormat="false" customHeight="1" hidden="" ht="14" outlineLevel="0" r="31275">
      <c r="A31275" s="3" t="inlineStr">
        <is>
          <t>31102</t>
        </is>
      </c>
      <c r="B31275" s="4" t="s">
        <f>=HYPERLINK("http://anyluxury.ru/shop/ezhednevniki-i-bloknoty/bloknoty/sportivnoe-polotence-vinga-iz-rpet-40x80-sm-60021/" , "60021 Спортивное полотенце VINGA из rPET, 40x80 см")</f>
      </c>
      <c r="C31275" s="4" t="n">
        <v>779.00</v>
      </c>
      <c r="D31275" s="4"/>
    </row>
    <row collapsed="" customFormat="false" customHeight="1" hidden="" ht="14" outlineLevel="0" r="31276">
      <c r="A31276" s="3" t="inlineStr">
        <is>
          <t>31103</t>
        </is>
      </c>
      <c r="B31276" s="4" t="s">
        <f>=HYPERLINK("http://anyluxury.ru/shop/ezhednevniki-i-bloknoty/bloknoty/sportivnoe-polotence-vinga-iz-rpet-140x70-sm-60022/" , "60022 Спортивное полотенце VINGA из rPET, 140x70 см")</f>
      </c>
      <c r="C31276" s="4" t="n">
        <v>1499.00</v>
      </c>
      <c r="D31276" s="4"/>
    </row>
    <row collapsed="" customFormat="false" customHeight="1" hidden="" ht="14" outlineLevel="0" r="31277">
      <c r="A31277" s="3" t="inlineStr">
        <is>
          <t>31104</t>
        </is>
      </c>
      <c r="B31277" s="4" t="s">
        <f>=HYPERLINK("http://anyluxury.ru/shop/ezhednevniki-i-bloknoty/bloknoty/sportivnoe-polotence-vinga-iz-rpet-40x80-sm-60023/" , "60023 Спортивное полотенце VINGA из rPET, 40x80 см")</f>
      </c>
      <c r="C31277" s="4" t="n">
        <v>779.00</v>
      </c>
      <c r="D31277" s="4"/>
    </row>
    <row collapsed="" customFormat="false" customHeight="1" hidden="" ht="14" outlineLevel="0" r="31278">
      <c r="A31278" s="3" t="inlineStr">
        <is>
          <t>31105</t>
        </is>
      </c>
      <c r="B31278" s="4" t="s">
        <f>=HYPERLINK("http://anyluxury.ru/shop/ezhednevniki-i-bloknoty/bloknoty/sportivnoe-polotence-vinga-iz-rpet-140x70-sm-60024/" , "60024 Спортивное полотенце VINGA из rPET, 140x70 см")</f>
      </c>
      <c r="C31278" s="4" t="n">
        <v>1499.00</v>
      </c>
      <c r="D31278" s="4"/>
    </row>
    <row collapsed="" customFormat="false" customHeight="1" hidden="" ht="14" outlineLevel="0" r="31279">
      <c r="A31279" s="3" t="inlineStr">
        <is>
          <t>31106</t>
        </is>
      </c>
      <c r="B31279" s="4" t="s">
        <f>=HYPERLINK("http://anyluxury.ru/shop/ezhednevniki-i-bloknoty/bloknoty/sportivnoe-polotence-vinga-iz-rpet-40x80-sm-60025/" , "60025 Спортивное полотенце VINGA из rPET, 40x80 см")</f>
      </c>
      <c r="C31279" s="4" t="n">
        <v>779.00</v>
      </c>
      <c r="D31279" s="4"/>
    </row>
    <row collapsed="" customFormat="false" customHeight="1" hidden="" ht="14" outlineLevel="0" r="31280">
      <c r="A31280" s="3" t="inlineStr">
        <is>
          <t>31107</t>
        </is>
      </c>
      <c r="B31280" s="4" t="s">
        <f>=HYPERLINK("http://anyluxury.ru/shop/ezhednevniki-i-bloknoty/bloknoty/sportivnoe-polotence-vinga-iz-rpet-140x70-sm-60026/" , "60026 Спортивное полотенце VINGA из rPET, 140x70 см")</f>
      </c>
      <c r="C31280" s="4" t="n">
        <v>1499.00</v>
      </c>
      <c r="D31280" s="4"/>
    </row>
    <row collapsed="" customFormat="false" customHeight="1" hidden="" ht="14" outlineLevel="0" r="31281">
      <c r="A31281" s="3" t="inlineStr">
        <is>
          <t>31108</t>
        </is>
      </c>
      <c r="B31281" s="4" t="s">
        <f>=HYPERLINK("http://anyluxury.ru/shop/ezhednevniki-i-bloknoty/bloknoty/bloknotplanshet-saff-plus-na-zakaz-bolshoy-1899702/" , "18997.02 Блокнот-планшет Saff Plus на заказ, большой")</f>
      </c>
      <c r="C31281" s="4" t="n">
        <v>1680.00</v>
      </c>
      <c r="D31281" s="4"/>
    </row>
    <row collapsed="" customFormat="false" customHeight="1" hidden="" ht="14" outlineLevel="0" r="31282">
      <c r="A31282" s="3" t="inlineStr">
        <is>
          <t>31109</t>
        </is>
      </c>
      <c r="B31282" s="4" t="s">
        <f>=HYPERLINK("http://anyluxury.ru/shop/ezhednevniki-i-bloknoty/bloknoty/bloknot-dali-mini-v-kletku-siniy-2699540/" , "26995.40 Блокнот Dali Mini в клетку, синий")</f>
      </c>
      <c r="C31282" s="4" t="n">
        <v>149.00</v>
      </c>
      <c r="D31282" s="4"/>
    </row>
    <row collapsed="" customFormat="false" customHeight="1" hidden="" ht="14" outlineLevel="0" r="31283">
      <c r="A31283" s="3" t="inlineStr">
        <is>
          <t>31110</t>
        </is>
      </c>
      <c r="B31283" s="4" t="s">
        <f>=HYPERLINK("http://anyluxury.ru/shop/ezhednevniki-i-bloknoty/bloknoty/bloknot-dali-mini-v-kletku-krasniy-2699550/" , "26995.50 Блокнот Dali Mini в клетку, красный")</f>
      </c>
      <c r="C31283" s="4" t="n">
        <v>149.00</v>
      </c>
      <c r="D31283" s="4"/>
    </row>
    <row collapsed="" customFormat="false" customHeight="1" hidden="" ht="14" outlineLevel="0" r="31284">
      <c r="A31284" s="3" t="inlineStr">
        <is>
          <t>31111</t>
        </is>
      </c>
      <c r="B31284" s="4" t="s">
        <f>=HYPERLINK("http://anyluxury.ru/shop/ezhednevniki-i-bloknoty/bloknoty/bloknot-dali-mini-v-kletku-beliy-2699560/" , "26995.60 Блокнот Dali Mini в клетку, белый")</f>
      </c>
      <c r="C31284" s="4" t="n">
        <v>149.00</v>
      </c>
      <c r="D31284" s="4"/>
    </row>
    <row collapsed="" customFormat="false" customHeight="1" hidden="" ht="14" outlineLevel="0" r="31285">
      <c r="A31285" s="3" t="inlineStr">
        <is>
          <t>31112</t>
        </is>
      </c>
      <c r="B31285" s="4" t="s">
        <f>=HYPERLINK("http://anyluxury.ru/shop/ezhednevniki-i-bloknoty/bloknoty/bloknot-dali-v-kletku-siniy-2606940/" , "26069.40 Блокнот Dali в клетку, синий")</f>
      </c>
      <c r="C31285" s="4" t="n">
        <v>219.00</v>
      </c>
      <c r="D31285" s="4"/>
    </row>
    <row collapsed="" customFormat="false" customHeight="1" hidden="" ht="14" outlineLevel="0" r="31286">
      <c r="A31286" s="3" t="inlineStr">
        <is>
          <t>31113</t>
        </is>
      </c>
      <c r="B31286" s="4" t="s">
        <f>=HYPERLINK("http://anyluxury.ru/shop/ezhednevniki-i-bloknoty/bloknoty/bloknotplanshet-saff-plus-na-zakaz-maliy-1899701/" , "18997.01 Блокнот-планшет Saff Plus на заказ, малый")</f>
      </c>
      <c r="C31286" s="4" t="n">
        <v>903.00</v>
      </c>
      <c r="D31286" s="4"/>
    </row>
    <row collapsed="" customFormat="false" customHeight="1" hidden="" ht="14" outlineLevel="0" r="31287">
      <c r="A31287" s="3" t="inlineStr">
        <is>
          <t>31114</t>
        </is>
      </c>
      <c r="B31287" s="4" t="s">
        <f>=HYPERLINK("http://anyluxury.ru/shop/ezhednevniki-i-bloknoty/bloknoty/bloknot-saffian-mini-cherniy-1718730/" , "17187.30 Блокнот Saffian Mini, черный")</f>
      </c>
      <c r="C31287" s="4" t="n">
        <v>390.00</v>
      </c>
      <c r="D31287" s="4"/>
    </row>
    <row collapsed="" customFormat="false" customHeight="1" hidden="" ht="14" outlineLevel="0" r="31288">
      <c r="A31288" s="3" t="inlineStr">
        <is>
          <t>31115</t>
        </is>
      </c>
      <c r="B31288" s="4" t="s">
        <f>=HYPERLINK("http://anyluxury.ru/shop/ezhednevniki-i-bloknoty/bloknoty/bloknot-saffian-mini-siniy-1718740/" , "17187.40 Блокнот Saffian Mini, синий")</f>
      </c>
      <c r="C31288" s="4" t="n">
        <v>390.00</v>
      </c>
      <c r="D31288" s="4"/>
    </row>
    <row collapsed="" customFormat="false" customHeight="1" hidden="" ht="14" outlineLevel="0" r="31289">
      <c r="A31289" s="3" t="inlineStr">
        <is>
          <t>31116</t>
        </is>
      </c>
      <c r="B31289" s="4" t="s">
        <f>=HYPERLINK("http://anyluxury.ru/shop/ezhednevniki-i-bloknoty/bloknoty/bloknot-saffian-mini-krasniy-1718750/" , "17187.50 Блокнот Saffian Mini, красный")</f>
      </c>
      <c r="C31289" s="4" t="n">
        <v>390.00</v>
      </c>
      <c r="D31289" s="4"/>
    </row>
    <row collapsed="" customFormat="false" customHeight="1" hidden="" ht="14" outlineLevel="0" r="31290">
      <c r="A31290" s="3" t="inlineStr">
        <is>
          <t>31117</t>
        </is>
      </c>
      <c r="B31290" s="4" t="s">
        <f>=HYPERLINK("http://anyluxury.ru/shop/ezhednevniki-i-bloknoty/bloknoty/bloknot-saffian-mini-seriy-1718710/" , "17187.10 Блокнот Saffian Mini, серый")</f>
      </c>
      <c r="C31290" s="4" t="n">
        <v>390.00</v>
      </c>
      <c r="D31290" s="4"/>
    </row>
    <row collapsed="" customFormat="false" customHeight="1" hidden="" ht="14" outlineLevel="0" r="31291">
      <c r="A31291" s="3" t="inlineStr">
        <is>
          <t>31118</t>
        </is>
      </c>
      <c r="B31291" s="4" t="s">
        <f>=HYPERLINK("http://anyluxury.ru/shop/ezhednevniki-i-bloknoty/bloknoty/bloknot-saffian-mini-korichneviy-1718759/" , "17187.59 Блокнот Saffian Mini, коричневый")</f>
      </c>
      <c r="C31291" s="4" t="n">
        <v>390.00</v>
      </c>
      <c r="D31291" s="4"/>
    </row>
    <row collapsed="" customFormat="false" customHeight="1" hidden="" ht="14" outlineLevel="0" r="31292">
      <c r="A31292" s="3" t="inlineStr">
        <is>
          <t>31119</t>
        </is>
      </c>
      <c r="B31292" s="4" t="s">
        <f>=HYPERLINK("http://anyluxury.ru/shop/ezhednevniki-i-bloknoty/bloknoty/sketchbuk-object-goluboy-1919014/" , "19190.14 Скетчбук Object, голубой")</f>
      </c>
      <c r="C31292" s="4" t="n">
        <v>681.00</v>
      </c>
      <c r="D31292" s="4"/>
    </row>
    <row collapsed="" customFormat="false" customHeight="1" hidden="" ht="14" outlineLevel="0" r="31293">
      <c r="A31293" s="3" t="inlineStr">
        <is>
          <t>31120</t>
        </is>
      </c>
      <c r="B31293" s="4" t="s">
        <f>=HYPERLINK("http://anyluxury.ru/shop/ezhednevniki-i-bloknoty/bloknoty/bloknot-dali-v-kletku-cherniy-2606930/" , "26069.30 Блокнот Dali в клетку, черный")</f>
      </c>
      <c r="C31293" s="4" t="n">
        <v>219.00</v>
      </c>
      <c r="D31293" s="4"/>
    </row>
    <row collapsed="" customFormat="false" customHeight="1" hidden="" ht="14" outlineLevel="0" r="31294">
      <c r="A31294" s="3" t="inlineStr">
        <is>
          <t>31121</t>
        </is>
      </c>
      <c r="B31294" s="4" t="s">
        <f>=HYPERLINK("http://anyluxury.ru/shop/ezhednevniki-i-bloknoty/bloknoty/bloknot-cluster-mini-v-kletku-siniy-1520944/" , "15209.44 Блокнот Cluster Mini в клетку, темно-синий")</f>
      </c>
      <c r="C31294" s="4" t="n">
        <v>287.00</v>
      </c>
      <c r="D31294" s="4"/>
    </row>
    <row collapsed="" customFormat="false" customHeight="1" hidden="" ht="14" outlineLevel="0" r="31295">
      <c r="A31295" s="3" t="inlineStr">
        <is>
          <t>31122</t>
        </is>
      </c>
      <c r="B31295" s="4" t="s">
        <f>=HYPERLINK("http://anyluxury.ru/shop/ezhednevniki-i-bloknoty/bloknoty/bloknot-cluster-mini-v-kletku-zheltiy-1520980/" , "15209.80 Блокнот Cluster Mini в клетку, желтый")</f>
      </c>
      <c r="C31295" s="4" t="n">
        <v>287.00</v>
      </c>
      <c r="D31295" s="4"/>
    </row>
    <row collapsed="" customFormat="false" customHeight="1" hidden="" ht="14" outlineLevel="0" r="31296">
      <c r="A31296" s="3" t="inlineStr">
        <is>
          <t>31123</t>
        </is>
      </c>
      <c r="B31296" s="4" t="s">
        <f>=HYPERLINK("http://anyluxury.ru/shop/ezhednevniki-i-bloknoty/bloknoty/bloknot-dual-oranzheviy-1562521/" , "15625.21 Блокнот Dual, оранжевый")</f>
      </c>
      <c r="C31296" s="4" t="n">
        <v>716.00</v>
      </c>
      <c r="D31296" s="4"/>
    </row>
    <row collapsed="" customFormat="false" customHeight="1" hidden="" ht="14" outlineLevel="0" r="31297">
      <c r="A31297" s="3" t="inlineStr">
        <is>
          <t>31124</t>
        </is>
      </c>
      <c r="B31297" s="4" t="s">
        <f>=HYPERLINK("http://anyluxury.ru/shop/ezhednevniki-i-bloknoty/bloknoty/bloknot-dual-krasniy-1562551/" , "15625.51 Блокнот Dual, красный")</f>
      </c>
      <c r="C31297" s="4" t="n">
        <v>716.00</v>
      </c>
      <c r="D31297" s="4"/>
    </row>
    <row collapsed="" customFormat="false" customHeight="1" hidden="" ht="14" outlineLevel="0" r="31298">
      <c r="A31298" s="3" t="inlineStr">
        <is>
          <t>31125</t>
        </is>
      </c>
      <c r="B31298" s="4" t="s">
        <f>=HYPERLINK("http://anyluxury.ru/shop/ezhednevniki-i-bloknoty/bloknoty/bloknot-dual-siniy-1562541/" , "15625.41 Блокнот Dual, синий")</f>
      </c>
      <c r="C31298" s="4" t="n">
        <v>716.00</v>
      </c>
      <c r="D31298" s="4"/>
    </row>
    <row collapsed="" customFormat="false" customHeight="1" hidden="" ht="14" outlineLevel="0" r="31299">
      <c r="A31299" s="3" t="inlineStr">
        <is>
          <t>31126</t>
        </is>
      </c>
      <c r="B31299" s="4" t="s">
        <f>=HYPERLINK("http://anyluxury.ru/shop/ezhednevniki-i-bloknoty/bloknoty/bloknot-dual-yarkosiniy-1562514/" , "15625.14 Блокнот Dual, ярко-синий")</f>
      </c>
      <c r="C31299" s="4" t="n">
        <v>716.00</v>
      </c>
      <c r="D31299" s="4"/>
    </row>
    <row collapsed="" customFormat="false" customHeight="1" hidden="" ht="14" outlineLevel="0" r="31300">
      <c r="A31300" s="3" t="inlineStr">
        <is>
          <t>31127</t>
        </is>
      </c>
      <c r="B31300" s="4" t="s">
        <f>=HYPERLINK("http://anyluxury.ru/shop/ezhednevniki-i-bloknoty/bloknoty/bloknot-dual-zeleniy-1562591/" , "15625.91 Блокнот Dual, зеленый")</f>
      </c>
      <c r="C31300" s="4" t="n">
        <v>716.00</v>
      </c>
      <c r="D31300" s="4"/>
    </row>
    <row collapsed="" customFormat="false" customHeight="1" hidden="" ht="14" outlineLevel="0" r="31301">
      <c r="A31301" s="3" t="inlineStr">
        <is>
          <t>31128</t>
        </is>
      </c>
      <c r="B31301" s="4" t="s">
        <f>=HYPERLINK("http://anyluxury.ru/shop/ezhednevniki-i-bloknoty/bloknoty/bloknot-dual-zheltiy-1562581/" , "15625.81 Блокнот Dual, желтый")</f>
      </c>
      <c r="C31301" s="4" t="n">
        <v>716.00</v>
      </c>
      <c r="D31301" s="4"/>
    </row>
    <row collapsed="" customFormat="false" customHeight="1" hidden="" ht="14" outlineLevel="0" r="31302">
      <c r="A31302" s="3" t="inlineStr">
        <is>
          <t>31129</t>
        </is>
      </c>
      <c r="B31302" s="4" t="s">
        <f>=HYPERLINK("http://anyluxury.ru/shop/ezhednevniki-i-bloknoty/bloknoty/tetrad-iz-kamennoy-bumagi-stone-paper-chernaya-bez-linovki-1553631/" , "15536.31 Тетрадь из каменной бумаги Stone Paper, черная, без линовки")</f>
      </c>
      <c r="C31302" s="4" t="n">
        <v>2390.00</v>
      </c>
      <c r="D31302" s="4"/>
    </row>
    <row collapsed="" customFormat="false" customHeight="1" hidden="" ht="14" outlineLevel="0" r="31303">
      <c r="A31303" s="3" t="inlineStr">
        <is>
          <t>31130</t>
        </is>
      </c>
      <c r="B31303" s="4" t="s">
        <f>=HYPERLINK("http://anyluxury.ru/shop/ezhednevniki-i-bloknoty/bloknoty/tetrad-iz-kamennoy-bumagi-stone-paper-chernaya-v-tochku-1553632/" , "15536.32 Тетрадь из каменной бумаги Stone Paper, черная, в точку")</f>
      </c>
      <c r="C31303" s="4" t="n">
        <v>2390.00</v>
      </c>
      <c r="D31303" s="4"/>
    </row>
    <row collapsed="" customFormat="false" customHeight="1" hidden="" ht="14" outlineLevel="0" r="31304">
      <c r="A31304" s="3" t="inlineStr">
        <is>
          <t>31131</t>
        </is>
      </c>
      <c r="B31304" s="4" t="s">
        <f>=HYPERLINK("http://anyluxury.ru/shop/ezhednevniki-i-bloknoty/bloknoty/tetrad-iz-kamennoy-bumagi-stone-paper-chernaya-v-lineyku-1553633/" , "15536.33 Тетрадь из каменной бумаги Stone Paper, черная, в линейку")</f>
      </c>
      <c r="C31304" s="4" t="n">
        <v>2390.00</v>
      </c>
      <c r="D31304" s="4"/>
    </row>
    <row collapsed="" customFormat="false" customHeight="1" hidden="" ht="14" outlineLevel="0" r="31305">
      <c r="A31305" s="3" t="inlineStr">
        <is>
          <t>31132</t>
        </is>
      </c>
      <c r="B31305" s="4" t="s">
        <f>=HYPERLINK("http://anyluxury.ru/shop/ezhednevniki-i-bloknoty/bloknoty/bloknot-flex-shall-beliy-1400360/" , "14003.60 Блокнот Flex Shall, белый")</f>
      </c>
      <c r="C31305" s="4" t="n">
        <v>627.00</v>
      </c>
      <c r="D31305" s="4"/>
    </row>
    <row collapsed="" customFormat="false" customHeight="1" hidden="" ht="14" outlineLevel="0" r="31306">
      <c r="A31306" s="3" t="inlineStr">
        <is>
          <t>31133</t>
        </is>
      </c>
      <c r="B31306" s="4" t="s">
        <f>=HYPERLINK("http://anyluxury.ru/shop/ezhednevniki-i-bloknoty/bloknoty/bloknot-dali-v-kletku-krasniy-2606950/" , "26069.50 Блокнот Dali в клетку, красный")</f>
      </c>
      <c r="C31306" s="4" t="n">
        <v>219.00</v>
      </c>
      <c r="D31306" s="4"/>
    </row>
    <row collapsed="" customFormat="false" customHeight="1" hidden="" ht="14" outlineLevel="0" r="31307">
      <c r="A31307" s="3" t="inlineStr">
        <is>
          <t>31134</t>
        </is>
      </c>
      <c r="B31307" s="4" t="s">
        <f>=HYPERLINK("http://anyluxury.ru/shop/ezhednevniki-i-bloknoty/bloknoty/organayzer-midstream-s-bloknotom-i-akkumulyatorom-cherniy-2308930/" , "23089.30 Органайзер Midstream, с блокнотом и аккумулятором, черный")</f>
      </c>
      <c r="C31307" s="4" t="n">
        <v>4426.00</v>
      </c>
      <c r="D31307" s="4"/>
    </row>
    <row collapsed="" customFormat="false" customHeight="1" hidden="" ht="14" outlineLevel="0" r="31308">
      <c r="A31308" s="3" t="inlineStr">
        <is>
          <t>31135</t>
        </is>
      </c>
      <c r="B31308" s="4" t="s">
        <f>=HYPERLINK("http://anyluxury.ru/shop/ezhednevniki-i-bloknoty/bloknoty/bloknot-hard-work-ver2-7013711/" , "70137.11 Блокнот Hard Work, ver.2")</f>
      </c>
      <c r="C31308" s="4" t="n">
        <v>325.00</v>
      </c>
      <c r="D31308" s="4"/>
    </row>
    <row collapsed="" customFormat="false" customHeight="1" hidden="" ht="14" outlineLevel="0" r="31309">
      <c r="A31309" s="3" t="inlineStr">
        <is>
          <t>31136</t>
        </is>
      </c>
      <c r="B31309" s="4" t="s">
        <f>=HYPERLINK("http://anyluxury.ru/shop/ezhednevniki-i-bloknoty/bloknoty/bloknot-verso-v-kletku-cherniy-1558703/" , "15587.03 Блокнот Verso в клетку, черный")</f>
      </c>
      <c r="C31309" s="4" t="n">
        <v>385.00</v>
      </c>
      <c r="D31309" s="4"/>
    </row>
    <row collapsed="" customFormat="false" customHeight="1" hidden="" ht="14" outlineLevel="0" r="31310">
      <c r="A31310" s="3" t="inlineStr">
        <is>
          <t>31137</t>
        </is>
      </c>
      <c r="B31310" s="4" t="s">
        <f>=HYPERLINK("http://anyluxury.ru/shop/ezhednevniki-i-bloknoty/bloknoty/bloknot-verso-v-kletku-siniy-1558714/" , "15587.14 Блокнот Verso в клетку, синий")</f>
      </c>
      <c r="C31310" s="4" t="n">
        <v>385.00</v>
      </c>
      <c r="D31310" s="4"/>
    </row>
    <row collapsed="" customFormat="false" customHeight="1" hidden="" ht="14" outlineLevel="0" r="31311">
      <c r="A31311" s="3" t="inlineStr">
        <is>
          <t>31138</t>
        </is>
      </c>
      <c r="B31311" s="4" t="s">
        <f>=HYPERLINK("http://anyluxury.ru/shop/ezhednevniki-i-bloknoty/bloknoty/bloknot-verso-v-kletku-zeleniy-1558709/" , "15587.09 Блокнот Verso в клетку, зеленый")</f>
      </c>
      <c r="C31311" s="4" t="n">
        <v>385.00</v>
      </c>
      <c r="D31311" s="4"/>
    </row>
    <row collapsed="" customFormat="false" customHeight="1" hidden="" ht="14" outlineLevel="0" r="31312">
      <c r="A31312" s="3" t="inlineStr">
        <is>
          <t>31139</t>
        </is>
      </c>
      <c r="B31312" s="4" t="s">
        <f>=HYPERLINK("http://anyluxury.ru/shop/ezhednevniki-i-bloknoty/bloknoty/bloknot-verso-v-kletku-zheltiy-1558708/" , "15587.08 Блокнот Verso в клетку, желтый")</f>
      </c>
      <c r="C31312" s="4" t="n">
        <v>385.00</v>
      </c>
      <c r="D31312" s="4"/>
    </row>
    <row collapsed="" customFormat="false" customHeight="1" hidden="" ht="14" outlineLevel="0" r="31313">
      <c r="A31313" s="3" t="inlineStr">
        <is>
          <t>31140</t>
        </is>
      </c>
      <c r="B31313" s="4" t="s">
        <f>=HYPERLINK("http://anyluxury.ru/shop/ezhednevniki-i-bloknoty/bloknoty/bloknot-verso-v-kletku-biryuzoviy-1558719/" , "15587.19 Блокнот Verso в клетку, бирюзовый")</f>
      </c>
      <c r="C31313" s="4" t="n">
        <v>385.00</v>
      </c>
      <c r="D31313" s="4"/>
    </row>
    <row collapsed="" customFormat="false" customHeight="1" hidden="" ht="14" outlineLevel="0" r="31314">
      <c r="A31314" s="3" t="inlineStr">
        <is>
          <t>31141</t>
        </is>
      </c>
      <c r="B31314" s="4" t="s">
        <f>=HYPERLINK("http://anyluxury.ru/shop/ezhednevniki-i-bloknoty/bloknoty/bloknot-scope-v-lineyku-seriy-578611/" , "5786.11 Блокнот Scope, в линейку, серый")</f>
      </c>
      <c r="C31314" s="4" t="n">
        <v>453.00</v>
      </c>
      <c r="D31314" s="4"/>
    </row>
    <row collapsed="" customFormat="false" customHeight="1" hidden="" ht="14" outlineLevel="0" r="31315">
      <c r="A31315" s="3" t="inlineStr">
        <is>
          <t>31142</t>
        </is>
      </c>
      <c r="B31315" s="4" t="s">
        <f>=HYPERLINK("http://anyluxury.ru/shop/ezhednevniki-i-bloknoty/bloknoty/bloknot-dali-mini-v-kletku-cherniy-2699530/" , "26995.30 Блокнот Dali Mini в клетку, черный")</f>
      </c>
      <c r="C31315" s="4" t="n">
        <v>149.00</v>
      </c>
      <c r="D31315" s="4"/>
    </row>
    <row collapsed="" customFormat="false" customHeight="" hidden="" ht="12.1" outlineLevel="0" r="31316">
      <c r="A31316" s="5" t="inlineStr">
        <is>
          <t> -  - Ежедневники</t>
        </is>
      </c>
      <c r="B31316" s="6"/>
      <c r="C31316" s="6"/>
      <c r="D31316" s="6"/>
    </row>
    <row collapsed="" customFormat="false" customHeight="1" hidden="" ht="14" outlineLevel="0" r="31317">
      <c r="A31317" s="3" t="inlineStr">
        <is>
          <t>31143</t>
        </is>
      </c>
      <c r="B31317" s="4" t="s">
        <f>=HYPERLINK("http://anyluxury.ru/shop/ezhednevniki-i-bloknoty/ezhednevniki/ezhednevnik-nedatirovanniy-birmingham-145h205-mm-bez-kalendarya-zeleniy-lxx65031041/" , "LXX65031-041 Ежедневник Birmingham недатированный без календаря, зеленый")</f>
      </c>
      <c r="C31317" s="4" t="n">
        <v>589.00</v>
      </c>
      <c r="D31317" s="4"/>
    </row>
    <row collapsed="" customFormat="false" customHeight="1" hidden="" ht="14" outlineLevel="0" r="31318">
      <c r="A31318" s="3" t="inlineStr">
        <is>
          <t>31144</t>
        </is>
      </c>
      <c r="B31318" s="4" t="s">
        <f>=HYPERLINK("http://anyluxury.ru/shop/ezhednevniki-i-bloknoty/ezhednevniki/ezhednevnik-nedatirovanniy-birmingham-145h205-mm-bez-kalendarya-s-logo-avd-zeleniy-lxx65031040it/" , "LXX65031-040-IT Ежедневник Birmingham недатированный без календаря, зеленый (с лого AvD)")</f>
      </c>
      <c r="C31318" s="4" t="n">
        <v>618.00</v>
      </c>
      <c r="D31318" s="4"/>
    </row>
    <row collapsed="" customFormat="false" customHeight="1" hidden="" ht="14" outlineLevel="0" r="31319">
      <c r="A31319" s="3" t="inlineStr">
        <is>
          <t>31145</t>
        </is>
      </c>
      <c r="B31319" s="4" t="s">
        <f>=HYPERLINK("http://anyluxury.ru/shop/ezhednevniki-i-bloknoty/ezhednevniki/ezhednevnik-nedatirovanniy-birmingham-145h205-mm-bez-kalendarya-s-logo-avd-pepelniy-metallik-lxx65031234it/" , "LXX65031-234-IT Ежедневник Birmingham недатированный без календаря, пепельный металлик (с лого AvD)")</f>
      </c>
      <c r="C31319" s="4" t="n">
        <v>692.00</v>
      </c>
      <c r="D31319" s="4"/>
    </row>
    <row collapsed="" customFormat="false" customHeight="1" hidden="" ht="14" outlineLevel="0" r="31320">
      <c r="A31320" s="3" t="inlineStr">
        <is>
          <t>31146</t>
        </is>
      </c>
      <c r="B31320" s="4" t="s">
        <f>=HYPERLINK("http://anyluxury.ru/shop/ezhednevniki-i-bloknoty/ezhednevniki/ezhednevnik-nedatirovanniy-city-flax-145h205-mm-bez-kalendarya-zheltiy-lxx65052075/" , "LXX65052-075 Ежедневник City Flax недатированный без календаря, желтый")</f>
      </c>
      <c r="C31320" s="4" t="n">
        <v>614.00</v>
      </c>
      <c r="D31320" s="4"/>
    </row>
    <row collapsed="" customFormat="false" customHeight="1" hidden="" ht="14" outlineLevel="0" r="31321">
      <c r="A31321" s="3" t="inlineStr">
        <is>
          <t>31147</t>
        </is>
      </c>
      <c r="B31321" s="4" t="s">
        <f>=HYPERLINK("http://anyluxury.ru/shop/ezhednevniki-i-bloknoty/ezhednevniki/ezhednevnik-nedatirovanniy-manchester-145h205-mm-bez-kalendarya-s-logo-avd-apelsin-lxx65025070it/" , "LXX65025-070-IT Ежедневник Manchester недатированный без календаря, апельсин (с лого AvD)")</f>
      </c>
      <c r="C31321" s="4" t="n">
        <v>623.00</v>
      </c>
      <c r="D31321" s="4"/>
    </row>
    <row collapsed="" customFormat="false" customHeight="1" hidden="" ht="14" outlineLevel="0" r="31322">
      <c r="A31322" s="3" t="inlineStr">
        <is>
          <t>31148</t>
        </is>
      </c>
      <c r="B31322" s="4" t="s">
        <f>=HYPERLINK("http://anyluxury.ru/shop/ezhednevniki-i-bloknoty/ezhednevniki/ezhednevnik-nedatirovanniy-manchester-145h205-mm-bez-kalendarya-s-logo-avd-zeleniy-lxx65025040it/" , "LXX65025-040-IT Ежедневник Manchester недатированный без календаря, зеленый (с лого AvD)")</f>
      </c>
      <c r="C31322" s="4" t="n">
        <v>623.00</v>
      </c>
      <c r="D31322" s="4"/>
    </row>
    <row collapsed="" customFormat="false" customHeight="1" hidden="" ht="14" outlineLevel="0" r="31323">
      <c r="A31323" s="3" t="inlineStr">
        <is>
          <t>31149</t>
        </is>
      </c>
      <c r="B31323" s="4" t="s">
        <f>=HYPERLINK("http://anyluxury.ru/shop/ezhednevniki-i-bloknoty/ezhednevniki/nedatirovanniy-ezhednevnik-velvet-650u-5451-145x205mm-bezheviy-bez-kalendarya-xx054512202211/" , "XX05451220-221/1 Ежедневник Velvet 650U (5451) недатированный без календаря, бежевый")</f>
      </c>
      <c r="C31323" s="4" t="n">
        <v>773.00</v>
      </c>
      <c r="D31323" s="4"/>
    </row>
    <row collapsed="" customFormat="false" customHeight="1" hidden="" ht="14" outlineLevel="0" r="31324">
      <c r="A31324" s="3" t="inlineStr">
        <is>
          <t>31150</t>
        </is>
      </c>
      <c r="B31324" s="4" t="s">
        <f>=HYPERLINK("http://anyluxury.ru/shop/ezhednevniki-i-bloknoty/ezhednevniki/nedatirovanniy-ezhednevnik-velvet-650u-5451-145x205mm-bezheviy-do-2023-g-xx05451220221/" , "XX05451220-221 Ежедневник Velvet 650U (5451) недатированный, бежевый (календарь до 2023 г.)")</f>
      </c>
      <c r="C31324" s="4" t="n">
        <v>773.00</v>
      </c>
      <c r="D31324" s="4"/>
    </row>
    <row collapsed="" customFormat="false" customHeight="1" hidden="" ht="14" outlineLevel="0" r="31325">
      <c r="A31325" s="3" t="inlineStr">
        <is>
          <t>31151</t>
        </is>
      </c>
      <c r="B31325" s="4" t="s">
        <f>=HYPERLINK("http://anyluxury.ru/shop/ezhednevniki-i-bloknoty/ezhednevniki/ezhednevnik-nedatirovanniy-city-winner-145h205-mm-bez-kalendarya-zeleniy-00104040/" , "00104.040 Ежедневник City Winner недатированный без календаря, зеленый")</f>
      </c>
      <c r="C31325" s="4" t="n">
        <v>614.00</v>
      </c>
      <c r="D31325" s="4"/>
    </row>
    <row collapsed="" customFormat="false" customHeight="1" hidden="" ht="14" outlineLevel="0" r="31326">
      <c r="A31326" s="3" t="inlineStr">
        <is>
          <t>31152</t>
        </is>
      </c>
      <c r="B31326" s="4" t="s">
        <f>=HYPERLINK("http://anyluxury.ru/shop/ezhednevniki-i-bloknoty/ezhednevniki/ezhednevnik-nedatirovanniy-manchester-145h205-mm-bez-kalendarya-apelsin-00108070/" , "00108.070 Ежедневник Manchester недатированный без календаря, апельсин")</f>
      </c>
      <c r="C31326" s="4" t="n">
        <v>623.00</v>
      </c>
      <c r="D31326" s="4"/>
    </row>
    <row collapsed="" customFormat="false" customHeight="1" hidden="" ht="14" outlineLevel="0" r="31327">
      <c r="A31327" s="3" t="inlineStr">
        <is>
          <t>31153</t>
        </is>
      </c>
      <c r="B31327" s="4" t="s">
        <f>=HYPERLINK("http://anyluxury.ru/shop/ezhednevniki-i-bloknoty/ezhednevniki/nedatirovanniy-ezhednevnik-velvet-145x205mm-bez-kalendarya-bezheviy-00214221/" , "00214.221 Ежедневник Velvet недатированный без календаря, бежевый")</f>
      </c>
      <c r="C31327" s="4" t="n">
        <v>773.00</v>
      </c>
      <c r="D31327" s="4"/>
    </row>
    <row collapsed="" customFormat="false" customHeight="1" hidden="" ht="14" outlineLevel="0" r="31328">
      <c r="A31328" s="3" t="inlineStr">
        <is>
          <t>31154</t>
        </is>
      </c>
      <c r="B31328" s="4" t="s">
        <f>=HYPERLINK("http://anyluxury.ru/shop/ezhednevniki-i-bloknoty/ezhednevniki/ezhednevnik-portobello-trend-atlas-nedatirovanniy-seriy-srezfolgaseriy-16260020/" , "16260.020 Ежедневник Atlas недатированный, серый, срез-фольга/серый")</f>
      </c>
      <c r="C31328" s="4" t="n">
        <v>650.00</v>
      </c>
      <c r="D31328" s="4"/>
    </row>
    <row collapsed="" customFormat="false" customHeight="1" hidden="" ht="14" outlineLevel="0" r="31329">
      <c r="A31329" s="3" t="inlineStr">
        <is>
          <t>31155</t>
        </is>
      </c>
      <c r="B31329" s="4" t="s">
        <f>=HYPERLINK("http://anyluxury.ru/shop/ezhednevniki-i-bloknoty/ezhednevniki/ezhednevnik-nedatirovanniy-alpha-btobook-krasniy-00321060/" , "00321.060 Ежедневник Alpha BtoBook недатированный, красный (без упаковки, без стикера)")</f>
      </c>
      <c r="C31329" s="4" t="n">
        <v>749.00</v>
      </c>
      <c r="D31329" s="4"/>
    </row>
    <row collapsed="" customFormat="false" customHeight="1" hidden="" ht="14" outlineLevel="0" r="31330">
      <c r="A31330" s="3" t="inlineStr">
        <is>
          <t>31156</t>
        </is>
      </c>
      <c r="B31330" s="4" t="s">
        <f>=HYPERLINK("http://anyluxury.ru/shop/ezhednevniki-i-bloknoty/ezhednevniki/ezhednevnik-nedatirovanniy-summer-time-btobook-zeleniy-00320040/" , "00320.040 Ежедневник Summer time BtoBook недатированный, зеленый (без упаковки, без стикера)")</f>
      </c>
      <c r="C31330" s="4" t="n">
        <v>749.00</v>
      </c>
      <c r="D31330" s="4"/>
    </row>
    <row collapsed="" customFormat="false" customHeight="1" hidden="" ht="14" outlineLevel="0" r="31331">
      <c r="A31331" s="3" t="inlineStr">
        <is>
          <t>31157</t>
        </is>
      </c>
      <c r="B31331" s="4" t="s">
        <f>=HYPERLINK("http://anyluxury.ru/shop/ezhednevniki-i-bloknoty/ezhednevniki/ezhednevnik-nedatirovanniy-summer-time-btobook-krasniy-00320060/" , "00320.060 Ежедневник Summer time BtoBook недатированный, красный (без упаковки, без стикера)")</f>
      </c>
      <c r="C31331" s="4" t="n">
        <v>749.00</v>
      </c>
      <c r="D31331" s="4"/>
    </row>
    <row collapsed="" customFormat="false" customHeight="1" hidden="" ht="14" outlineLevel="0" r="31332">
      <c r="A31332" s="3" t="inlineStr">
        <is>
          <t>31158</t>
        </is>
      </c>
      <c r="B31332" s="4" t="s">
        <f>=HYPERLINK("http://anyluxury.ru/shop/ezhednevniki-i-bloknoty/ezhednevniki/ezhednevnik-nedatirovanniy-voyage-btobook-zeleniy-00323040/" , "00323.040 Ежедневник Voyage BtoBook недатированный, зеленый (без упаковки, без стикера)")</f>
      </c>
      <c r="C31332" s="4" t="n">
        <v>749.00</v>
      </c>
      <c r="D31332" s="4"/>
    </row>
    <row collapsed="" customFormat="false" customHeight="1" hidden="" ht="14" outlineLevel="0" r="31333">
      <c r="A31333" s="3" t="inlineStr">
        <is>
          <t>31159</t>
        </is>
      </c>
      <c r="B31333" s="4" t="s">
        <f>=HYPERLINK("http://anyluxury.ru/shop/ezhednevniki-i-bloknoty/ezhednevniki/ezhednevnik-portobello-trend-rain-nedatirovanniy-burgundi-141440501/" , "14144.050.1 Ежедневник Rain недатированный, бургунди (без упаковки, без стикера)")</f>
      </c>
      <c r="C31333" s="4" t="n">
        <v>835.00</v>
      </c>
      <c r="D31333" s="4"/>
    </row>
    <row collapsed="" customFormat="false" customHeight="1" hidden="" ht="14" outlineLevel="0" r="31334">
      <c r="A31334" s="3" t="inlineStr">
        <is>
          <t>31160</t>
        </is>
      </c>
      <c r="B31334" s="4" t="s">
        <f>=HYPERLINK("http://anyluxury.ru/shop/ezhednevniki-i-bloknoty/ezhednevniki/ezhednevnik-portobello-trend-rain-nedatirovanniy-zheltiy-141440751/" , "14144.075.1 Ежедневник Rain недатированный, желтый (без упаковки, без стикера)")</f>
      </c>
      <c r="C31334" s="4" t="n">
        <v>835.00</v>
      </c>
      <c r="D31334" s="4"/>
    </row>
    <row collapsed="" customFormat="false" customHeight="1" hidden="" ht="14" outlineLevel="0" r="31335">
      <c r="A31335" s="3" t="inlineStr">
        <is>
          <t>31161</t>
        </is>
      </c>
      <c r="B31335" s="4" t="s">
        <f>=HYPERLINK("http://anyluxury.ru/shop/ezhednevniki-i-bloknoty/ezhednevniki/ezhednevnik-portobello-trend-rain-nedatirovanniy-zeleniy-141440401/" , "14144.040.1 Ежедневник Rain недатированный, зеленый (без упаковки, без стикера)")</f>
      </c>
      <c r="C31335" s="4" t="n">
        <v>835.00</v>
      </c>
      <c r="D31335" s="4"/>
    </row>
    <row collapsed="" customFormat="false" customHeight="1" hidden="" ht="14" outlineLevel="0" r="31336">
      <c r="A31336" s="3" t="inlineStr">
        <is>
          <t>31162</t>
        </is>
      </c>
      <c r="B31336" s="4" t="s">
        <f>=HYPERLINK("http://anyluxury.ru/shop/ezhednevniki-i-bloknoty/ezhednevniki/ezhednevnik-portobello-trend-rain-nedatirovanniy-krasniy-141440601/" , "14144.060.1 Ежедневник Rain недатированный, красный (без упаковки, без стикера)")</f>
      </c>
      <c r="C31336" s="4" t="n">
        <v>835.00</v>
      </c>
      <c r="D31336" s="4"/>
    </row>
    <row collapsed="" customFormat="false" customHeight="1" hidden="" ht="14" outlineLevel="0" r="31337">
      <c r="A31337" s="3" t="inlineStr">
        <is>
          <t>31163</t>
        </is>
      </c>
      <c r="B31337" s="4" t="s">
        <f>=HYPERLINK("http://anyluxury.ru/shop/ezhednevniki-i-bloknoty/ezhednevniki/ezhednevnik-portobello-trend-rain-nedatirovanniy-oranzheviy-141440701/" , "14144.070.1 Ежедневник Rain недатированный, оранжевый (без упаковки, без стикера)")</f>
      </c>
      <c r="C31337" s="4" t="n">
        <v>835.00</v>
      </c>
      <c r="D31337" s="4"/>
    </row>
    <row collapsed="" customFormat="false" customHeight="1" hidden="" ht="14" outlineLevel="0" r="31338">
      <c r="A31338" s="3" t="inlineStr">
        <is>
          <t>31164</t>
        </is>
      </c>
      <c r="B31338" s="4" t="s">
        <f>=HYPERLINK("http://anyluxury.ru/shop/ezhednevniki-i-bloknoty/ezhednevniki/ezhednevnik-portobello-trend-rain-nedatirovanniy-seriy-141440801/" , "14144.080.1 Ежедневник Rain недатированный, серый (без упаковки, без стикера)")</f>
      </c>
      <c r="C31338" s="4" t="n">
        <v>835.00</v>
      </c>
      <c r="D31338" s="4"/>
    </row>
    <row collapsed="" customFormat="false" customHeight="1" hidden="" ht="14" outlineLevel="0" r="31339">
      <c r="A31339" s="3" t="inlineStr">
        <is>
          <t>31165</t>
        </is>
      </c>
      <c r="B31339" s="4" t="s">
        <f>=HYPERLINK("http://anyluxury.ru/shop/ezhednevniki-i-bloknoty/ezhednevniki/ezhednevnik-portobello-trend-rain-nedatirovanniy-siniy-141440301/" , "14144.030.1 Ежедневник Portobello Trend Rain, недатированный, синий (без упаковки и стикера)")</f>
      </c>
      <c r="C31339" s="4" t="n">
        <v>835.00</v>
      </c>
      <c r="D31339" s="4"/>
    </row>
    <row collapsed="" customFormat="false" customHeight="1" hidden="" ht="14" outlineLevel="0" r="31340">
      <c r="A31340" s="3" t="inlineStr">
        <is>
          <t>31166</t>
        </is>
      </c>
      <c r="B31340" s="4" t="s">
        <f>=HYPERLINK("http://anyluxury.ru/shop/ezhednevniki-i-bloknoty/ezhednevniki/ezhednevnik-portobello-trend-rain-nedatirovanniy-fioletoviy-141440341/" , "14144.034.1 Ежедневник Rain недатированный, фиолетовый (без упаковки, без стикера)")</f>
      </c>
      <c r="C31340" s="4" t="n">
        <v>835.00</v>
      </c>
      <c r="D31340" s="4"/>
    </row>
    <row collapsed="" customFormat="false" customHeight="1" hidden="" ht="14" outlineLevel="0" r="31341">
      <c r="A31341" s="3" t="inlineStr">
        <is>
          <t>31167</t>
        </is>
      </c>
      <c r="B31341" s="4" t="s">
        <f>=HYPERLINK("http://anyluxury.ru/shop/ezhednevniki-i-bloknoty/ezhednevniki/ezhednevnik-portobello-trend-rain-nedatirovanniy-cherniy-141440101/" , "14144.010.1 Ежедневник Rain недатированный, черный (без упаковки, без стикера)")</f>
      </c>
      <c r="C31341" s="4" t="n">
        <v>835.00</v>
      </c>
      <c r="D31341" s="4"/>
    </row>
    <row collapsed="" customFormat="false" customHeight="1" hidden="" ht="14" outlineLevel="0" r="31342">
      <c r="A31342" s="3" t="inlineStr">
        <is>
          <t>31168</t>
        </is>
      </c>
      <c r="B31342" s="4" t="s">
        <f>=HYPERLINK("http://anyluxury.ru/shop/ezhednevniki-i-bloknoty/ezhednevniki/ezhednevnik-portobello-trend-sky-nedatirovanniy-zheltiy-141410751/" , "14141.075.1 Ежедневник Sky недатированный, желтый (без упаковки, без стикера)")</f>
      </c>
      <c r="C31342" s="4" t="n">
        <v>699.00</v>
      </c>
      <c r="D31342" s="4"/>
    </row>
    <row collapsed="" customFormat="false" customHeight="1" hidden="" ht="14" outlineLevel="0" r="31343">
      <c r="A31343" s="3" t="inlineStr">
        <is>
          <t>31169</t>
        </is>
      </c>
      <c r="B31343" s="4" t="s">
        <f>=HYPERLINK("http://anyluxury.ru/shop/ezhednevniki-i-bloknoty/ezhednevniki/ezhednevnik-portobello-trend-sky-nedatirovanniy-lazurniy-141412401/" , "14141.240.1 Ежедневник Sky недатированный, лазурный (без упаковки, без стикера)")</f>
      </c>
      <c r="C31343" s="4" t="n">
        <v>699.00</v>
      </c>
      <c r="D31343" s="4"/>
    </row>
    <row collapsed="" customFormat="false" customHeight="1" hidden="" ht="14" outlineLevel="0" r="31344">
      <c r="A31344" s="3" t="inlineStr">
        <is>
          <t>31170</t>
        </is>
      </c>
      <c r="B31344" s="4" t="s">
        <f>=HYPERLINK("http://anyluxury.ru/shop/ezhednevniki-i-bloknoty/ezhednevniki/ezhednevnik-portobello-trend-sky-nedatirovanniy-oranzheviy-141410701/" , "14141.070.1 Ежедневник Sky недатированный, оранжевый (без упаковки, без стикера)")</f>
      </c>
      <c r="C31344" s="4" t="n">
        <v>699.00</v>
      </c>
      <c r="D31344" s="4"/>
    </row>
    <row collapsed="" customFormat="false" customHeight="1" hidden="" ht="14" outlineLevel="0" r="31345">
      <c r="A31345" s="3" t="inlineStr">
        <is>
          <t>31171</t>
        </is>
      </c>
      <c r="B31345" s="4" t="s">
        <f>=HYPERLINK("http://anyluxury.ru/shop/ezhednevniki-i-bloknoty/ezhednevniki/ezhednevnik-portobello-trend-sky-nedatirovanniy-siniy-141410301/" , "14141.030.1 Ежедневник Sky недатированный, синий (без упаковки, без стикера)")</f>
      </c>
      <c r="C31345" s="4" t="n">
        <v>699.00</v>
      </c>
      <c r="D31345" s="4"/>
    </row>
    <row collapsed="" customFormat="false" customHeight="1" hidden="" ht="14" outlineLevel="0" r="31346">
      <c r="A31346" s="3" t="inlineStr">
        <is>
          <t>31172</t>
        </is>
      </c>
      <c r="B31346" s="4" t="s">
        <f>=HYPERLINK("http://anyluxury.ru/shop/ezhednevniki-i-bloknoty/ezhednevniki/ezhednevnik-portobello-trend-spark-nedatirovanniy-burgundi-192800501/" , "19280.050.1 Ежедневник Spark недатированный, бургунди (без упаковки, без стикера)")</f>
      </c>
      <c r="C31346" s="4" t="n">
        <v>699.00</v>
      </c>
      <c r="D31346" s="4"/>
    </row>
    <row collapsed="" customFormat="false" customHeight="1" hidden="" ht="14" outlineLevel="0" r="31347">
      <c r="A31347" s="3" t="inlineStr">
        <is>
          <t>31173</t>
        </is>
      </c>
      <c r="B31347" s="4" t="s">
        <f>=HYPERLINK("http://anyluxury.ru/shop/ezhednevniki-i-bloknoty/ezhednevniki/ezhednevnik-portobello-trend-spark-nedatirovanniy-seriy-192800801/" , "19280.080.1 Ежедневник Spark недатированный, серый (без упаковки, без стикера)")</f>
      </c>
      <c r="C31347" s="4" t="n">
        <v>699.00</v>
      </c>
      <c r="D31347" s="4"/>
    </row>
    <row collapsed="" customFormat="false" customHeight="1" hidden="" ht="14" outlineLevel="0" r="31348">
      <c r="A31348" s="3" t="inlineStr">
        <is>
          <t>31174</t>
        </is>
      </c>
      <c r="B31348" s="4" t="s">
        <f>=HYPERLINK("http://anyluxury.ru/shop/ezhednevniki-i-bloknoty/ezhednevniki/ezhednevnik-portobello-trend-spark-nedatirovanniy-siniy-192800301/" , "19280.030.1 Ежедневник Spark недатированный, синий (без упаковки, без стикера)")</f>
      </c>
      <c r="C31348" s="4" t="n">
        <v>699.00</v>
      </c>
      <c r="D31348" s="4"/>
    </row>
    <row collapsed="" customFormat="false" customHeight="1" hidden="" ht="14" outlineLevel="0" r="31349">
      <c r="A31349" s="3" t="inlineStr">
        <is>
          <t>31175</t>
        </is>
      </c>
      <c r="B31349" s="4" t="s">
        <f>=HYPERLINK("http://anyluxury.ru/shop/ezhednevniki-i-bloknoty/ezhednevniki/ezhednevnik-portobello-trend-spark-nedatirovanniy-cherniy-192800101/" , "19280.010.1 Ежедневник Spark недатированный, черный (без упаковки, без стикера)")</f>
      </c>
      <c r="C31349" s="4" t="n">
        <v>699.00</v>
      </c>
      <c r="D31349" s="4"/>
    </row>
    <row collapsed="" customFormat="false" customHeight="1" hidden="" ht="14" outlineLevel="0" r="31350">
      <c r="A31350" s="3" t="inlineStr">
        <is>
          <t>31176</t>
        </is>
      </c>
      <c r="B31350" s="4" t="s">
        <f>=HYPERLINK("http://anyluxury.ru/shop/ezhednevniki-i-bloknoty/ezhednevniki/ezhednevnik-portobello-trend-star-nedatirovanniy-burgundi-192810501/" , "19281.050.1 Ежедневник Star недатированный, бургунди (без упаковки, без стикера)")</f>
      </c>
      <c r="C31350" s="4" t="n">
        <v>699.00</v>
      </c>
      <c r="D31350" s="4"/>
    </row>
    <row collapsed="" customFormat="false" customHeight="1" hidden="" ht="14" outlineLevel="0" r="31351">
      <c r="A31351" s="3" t="inlineStr">
        <is>
          <t>31177</t>
        </is>
      </c>
      <c r="B31351" s="4" t="s">
        <f>=HYPERLINK("http://anyluxury.ru/shop/ezhednevniki-i-bloknoty/ezhednevniki/ezhednevnik-portobello-trend-star-nedatirovanniy-seriy-192810801/" , "19281.080.1 Ежедневник Star недатированный, серый (без упаковки, без стикера)")</f>
      </c>
      <c r="C31351" s="4" t="n">
        <v>699.00</v>
      </c>
      <c r="D31351" s="4"/>
    </row>
    <row collapsed="" customFormat="false" customHeight="1" hidden="" ht="14" outlineLevel="0" r="31352">
      <c r="A31352" s="3" t="inlineStr">
        <is>
          <t>31178</t>
        </is>
      </c>
      <c r="B31352" s="4" t="s">
        <f>=HYPERLINK("http://anyluxury.ru/shop/ezhednevniki-i-bloknoty/ezhednevniki/ezhednevnik-portobello-trend-star-nedatirovanniy-siniy-192810301/" , "19281.030.1 Ежедневник Star недатированный, синий (без упаковки, без стикера)")</f>
      </c>
      <c r="C31352" s="4" t="n">
        <v>699.00</v>
      </c>
      <c r="D31352" s="4"/>
    </row>
    <row collapsed="" customFormat="false" customHeight="1" hidden="" ht="14" outlineLevel="0" r="31353">
      <c r="A31353" s="3" t="inlineStr">
        <is>
          <t>31179</t>
        </is>
      </c>
      <c r="B31353" s="4" t="s">
        <f>=HYPERLINK("http://anyluxury.ru/shop/ezhednevniki-i-bloknoty/ezhednevniki/ezhednevnik-portobello-trend-star-nedatirovanniy-cherniy-192810101/" , "19281.010.1 Ежедневник Star недатированный, черный (без упаковки, без стикера)")</f>
      </c>
      <c r="C31353" s="4" t="n">
        <v>699.00</v>
      </c>
      <c r="D31353" s="4"/>
    </row>
    <row collapsed="" customFormat="false" customHeight="1" hidden="" ht="14" outlineLevel="0" r="31354">
      <c r="A31354" s="3" t="inlineStr">
        <is>
          <t>31180</t>
        </is>
      </c>
      <c r="B31354" s="4" t="s">
        <f>=HYPERLINK("http://anyluxury.ru/shop/ezhednevniki-i-bloknoty/ezhednevniki/ezhednevnik-nedatirovanniy-marseille-soft-touch-btobook-cherniy-00324010/" , "00324.010 Ежедневник Marseille soft touch BtoBook недатированный, черный (без упаковки, без стикера)")</f>
      </c>
      <c r="C31354" s="4" t="n">
        <v>749.00</v>
      </c>
      <c r="D31354" s="4"/>
    </row>
    <row collapsed="" customFormat="false" customHeight="1" hidden="" ht="14" outlineLevel="0" r="31355">
      <c r="A31355" s="3" t="inlineStr">
        <is>
          <t>31181</t>
        </is>
      </c>
      <c r="B31355" s="4" t="s">
        <f>=HYPERLINK("http://anyluxury.ru/shop/ezhednevniki-i-bloknoty/ezhednevniki/ezhednevnik-nedatirovanniy-voyage-btobook-cherniy-00323010/" , "00323.010 Ежедневник Voyage BtoBook недатированный, черный (без упаковки, без стикера)")</f>
      </c>
      <c r="C31355" s="4" t="n">
        <v>749.00</v>
      </c>
      <c r="D31355" s="4"/>
    </row>
    <row collapsed="" customFormat="false" customHeight="1" hidden="" ht="14" outlineLevel="0" r="31356">
      <c r="A31356" s="3" t="inlineStr">
        <is>
          <t>31182</t>
        </is>
      </c>
      <c r="B31356" s="4" t="s">
        <f>=HYPERLINK("http://anyluxury.ru/shop/ezhednevniki-i-bloknoty/ezhednevniki/ezhednevnik-portobello-trend-carbon-nedatirovanniy-seriy-19277080/" , "19277.080 Ежедневник Carbon недатированный, серый")</f>
      </c>
      <c r="C31356" s="4" t="n">
        <v>1089.00</v>
      </c>
      <c r="D31356" s="4"/>
    </row>
    <row collapsed="" customFormat="false" customHeight="1" hidden="" ht="14" outlineLevel="0" r="31357">
      <c r="A31357" s="3" t="inlineStr">
        <is>
          <t>31183</t>
        </is>
      </c>
      <c r="B31357" s="4" t="s">
        <f>=HYPERLINK("http://anyluxury.ru/shop/ezhednevniki-i-bloknoty/ezhednevniki/ezhednevnik-portobello-trend-latte-new-nedatirovanniy-kapuchinokrasniy-15254020/" , "15254.020 Ежедневник Latte NEW недатированный, капучино/красный")</f>
      </c>
      <c r="C31357" s="4" t="n">
        <v>835.00</v>
      </c>
      <c r="D31357" s="4"/>
    </row>
    <row collapsed="" customFormat="false" customHeight="1" hidden="" ht="14" outlineLevel="0" r="31358">
      <c r="A31358" s="3" t="inlineStr">
        <is>
          <t>31184</t>
        </is>
      </c>
      <c r="B31358" s="4" t="s">
        <f>=HYPERLINK("http://anyluxury.ru/shop/ezhednevniki-i-bloknoty/ezhednevniki/ezhednevnik-portobello-trend-latte-new-nedatirovanniy-krasniybezheviy-15254060/" , "15254.060 Ежедневник Latte NEW недатированный, красный/бежевый")</f>
      </c>
      <c r="C31358" s="4" t="n">
        <v>835.00</v>
      </c>
      <c r="D31358" s="4"/>
    </row>
    <row collapsed="" customFormat="false" customHeight="1" hidden="" ht="14" outlineLevel="0" r="31359">
      <c r="A31359" s="3" t="inlineStr">
        <is>
          <t>31185</t>
        </is>
      </c>
      <c r="B31359" s="4" t="s">
        <f>=HYPERLINK("http://anyluxury.ru/shop/ezhednevniki-i-bloknoty/ezhednevniki/ezhednevnik-portobello-trend-latte-new-nedatirovanniy-oranzheviykorichneviy-15254070/" , "15254.070 Ежедневник Latte NEW недатированный, оранжевый/коричневый")</f>
      </c>
      <c r="C31359" s="4" t="n">
        <v>835.00</v>
      </c>
      <c r="D31359" s="4"/>
    </row>
    <row collapsed="" customFormat="false" customHeight="1" hidden="" ht="14" outlineLevel="0" r="31360">
      <c r="A31360" s="3" t="inlineStr">
        <is>
          <t>31186</t>
        </is>
      </c>
      <c r="B31360" s="4" t="s">
        <f>=HYPERLINK("http://anyluxury.ru/shop/ezhednevniki-i-bloknoty/ezhednevniki/ezhednevnik-portobello-trend-latte-new-nedatirovanniy-seriyzeleniy-15254080/" , "15254.080 Ежедневник Latte NEW недатированный, серый/зеленый")</f>
      </c>
      <c r="C31360" s="4" t="n">
        <v>835.00</v>
      </c>
      <c r="D31360" s="4"/>
    </row>
    <row collapsed="" customFormat="false" customHeight="1" hidden="" ht="14" outlineLevel="0" r="31361">
      <c r="A31361" s="3" t="inlineStr">
        <is>
          <t>31187</t>
        </is>
      </c>
      <c r="B31361" s="4" t="s">
        <f>=HYPERLINK("http://anyluxury.ru/shop/ezhednevniki-i-bloknoty/ezhednevniki/ezhednevnik-portobello-trend-latte-new-nedatirovanniy-siniygoluboy-15254030/" , "15254.030 Ежедневник Latte NEW недатированный, синий/голубой")</f>
      </c>
      <c r="C31361" s="4" t="n">
        <v>835.00</v>
      </c>
      <c r="D31361" s="4"/>
    </row>
    <row collapsed="" customFormat="false" customHeight="1" hidden="" ht="14" outlineLevel="0" r="31362">
      <c r="A31362" s="3" t="inlineStr">
        <is>
          <t>31188</t>
        </is>
      </c>
      <c r="B31362" s="4" t="s">
        <f>=HYPERLINK("http://anyluxury.ru/shop/ezhednevniki-i-bloknoty/ezhednevniki/ezhednevnik-portobello-trend-latte-new-nedatirovanniy-cherniyoranzheviy-15254010/" , "15254.010 Ежедневник Latte NEW недатированный, черный/оранжевый")</f>
      </c>
      <c r="C31362" s="4" t="n">
        <v>835.00</v>
      </c>
      <c r="D31362" s="4"/>
    </row>
    <row collapsed="" customFormat="false" customHeight="1" hidden="" ht="14" outlineLevel="0" r="31363">
      <c r="A31363" s="3" t="inlineStr">
        <is>
          <t>31189</t>
        </is>
      </c>
      <c r="B31363" s="4" t="s">
        <f>=HYPERLINK("http://anyluxury.ru/shop/ezhednevniki-i-bloknoty/ezhednevniki/ezhednevnik-portobello-trend-latte-soft-touch-nedatirovanniy-zeleniy-18272040/" , "18272.040 Ежедневник Latte soft touch недатированный, зеленый")</f>
      </c>
      <c r="C31363" s="4" t="n">
        <v>995.00</v>
      </c>
      <c r="D31363" s="4"/>
    </row>
    <row collapsed="" customFormat="false" customHeight="1" hidden="" ht="14" outlineLevel="0" r="31364">
      <c r="A31364" s="3" t="inlineStr">
        <is>
          <t>31190</t>
        </is>
      </c>
      <c r="B31364" s="4" t="s">
        <f>=HYPERLINK("http://anyluxury.ru/shop/ezhednevniki-i-bloknoty/ezhednevniki/ezhednevnik-portobello-trend-latte-soft-touch-nedatirovanniy-krasniy-18272060/" , "18272.060 Ежедневник Latte soft touch недатированный, красный")</f>
      </c>
      <c r="C31364" s="4" t="n">
        <v>995.00</v>
      </c>
      <c r="D31364" s="4"/>
    </row>
    <row collapsed="" customFormat="false" customHeight="1" hidden="" ht="14" outlineLevel="0" r="31365">
      <c r="A31365" s="3" t="inlineStr">
        <is>
          <t>31191</t>
        </is>
      </c>
      <c r="B31365" s="4" t="s">
        <f>=HYPERLINK("http://anyluxury.ru/shop/ezhednevniki-i-bloknoty/ezhednevniki/ezhednevnik-portobello-trend-latte-soft-touch-nedatirovanniy-seriy-18272080/" , "18272.080 Ежедневник Latte soft touch недатированный, серый")</f>
      </c>
      <c r="C31365" s="4" t="n">
        <v>995.00</v>
      </c>
      <c r="D31365" s="4"/>
    </row>
    <row collapsed="" customFormat="false" customHeight="1" hidden="" ht="14" outlineLevel="0" r="31366">
      <c r="A31366" s="3" t="inlineStr">
        <is>
          <t>31192</t>
        </is>
      </c>
      <c r="B31366" s="4" t="s">
        <f>=HYPERLINK("http://anyluxury.ru/shop/ezhednevniki-i-bloknoty/ezhednevniki/ezhednevnik-portobello-trend-latte-soft-touch-nedatirovanniy-siniy-18272030/" , "18272.030 Ежедневник Latte soft touch недатированный, синий")</f>
      </c>
      <c r="C31366" s="4" t="n">
        <v>995.00</v>
      </c>
      <c r="D31366" s="4"/>
    </row>
    <row collapsed="" customFormat="false" customHeight="1" hidden="" ht="14" outlineLevel="0" r="31367">
      <c r="A31367" s="3" t="inlineStr">
        <is>
          <t>31193</t>
        </is>
      </c>
      <c r="B31367" s="4" t="s">
        <f>=HYPERLINK("http://anyluxury.ru/shop/ezhednevniki-i-bloknoty/ezhednevniki/ezhednevnik-portobello-trend-latte-soft-touch-nedatirovanniy-chernilnosiniy-18272010/" , "18272.010 Ежедневник Latte soft touch недатированный, чернильно-синий")</f>
      </c>
      <c r="C31367" s="4" t="n">
        <v>995.00</v>
      </c>
      <c r="D31367" s="4"/>
    </row>
    <row collapsed="" customFormat="false" customHeight="1" hidden="" ht="14" outlineLevel="0" r="31368">
      <c r="A31368" s="3" t="inlineStr">
        <is>
          <t>31194</t>
        </is>
      </c>
      <c r="B31368" s="4" t="s">
        <f>=HYPERLINK("http://anyluxury.ru/shop/ezhednevniki-i-bloknoty/ezhednevniki/ezhednevnik-portobello-trend-moon-river-nedatirovanniy-burgundi-19279050/" , "19279.050 Ежедневник Moon river недатированный, бургунди")</f>
      </c>
      <c r="C31368" s="4" t="n">
        <v>999.00</v>
      </c>
      <c r="D31368" s="4"/>
    </row>
    <row collapsed="" customFormat="false" customHeight="1" hidden="" ht="14" outlineLevel="0" r="31369">
      <c r="A31369" s="3" t="inlineStr">
        <is>
          <t>31195</t>
        </is>
      </c>
      <c r="B31369" s="4" t="s">
        <f>=HYPERLINK("http://anyluxury.ru/shop/ezhednevniki-i-bloknoty/ezhednevniki/ezhednevnik-portobello-trend-moon-river-nedatirovanniy-seriy-19279080/" , "19279.080 Ежедневник Moon river недатированный, серый")</f>
      </c>
      <c r="C31369" s="4" t="n">
        <v>999.00</v>
      </c>
      <c r="D31369" s="4"/>
    </row>
    <row collapsed="" customFormat="false" customHeight="1" hidden="" ht="14" outlineLevel="0" r="31370">
      <c r="A31370" s="3" t="inlineStr">
        <is>
          <t>31196</t>
        </is>
      </c>
      <c r="B31370" s="4" t="s">
        <f>=HYPERLINK("http://anyluxury.ru/shop/ezhednevniki-i-bloknoty/ezhednevniki/ezhednevnik-portobello-trend-moon-river-nedatirovanniy-siniy-19279030/" , "19279.030 Ежедневник Moon river недатированный, синий")</f>
      </c>
      <c r="C31370" s="4" t="n">
        <v>999.00</v>
      </c>
      <c r="D31370" s="4"/>
    </row>
    <row collapsed="" customFormat="false" customHeight="1" hidden="" ht="14" outlineLevel="0" r="31371">
      <c r="A31371" s="3" t="inlineStr">
        <is>
          <t>31197</t>
        </is>
      </c>
      <c r="B31371" s="4" t="s">
        <f>=HYPERLINK("http://anyluxury.ru/shop/ezhednevniki-i-bloknoty/ezhednevniki/ezhednevnik-portobello-trend-moon-river-nedatirovanniy-cherniy-19279010/" , "19279.010 Ежедневник Moon river недатированный, черный")</f>
      </c>
      <c r="C31371" s="4" t="n">
        <v>999.00</v>
      </c>
      <c r="D31371" s="4"/>
    </row>
    <row collapsed="" customFormat="false" customHeight="1" hidden="" ht="14" outlineLevel="0" r="31372">
      <c r="A31372" s="3" t="inlineStr">
        <is>
          <t>31198</t>
        </is>
      </c>
      <c r="B31372" s="4" t="s">
        <f>=HYPERLINK("http://anyluxury.ru/shop/ezhednevniki-i-bloknoty/ezhednevniki/ezhednevnik-portobello-trend-rain-nedatirovanniy-zeleniy-14144040/" , "14144.040 Ежедневник Rain недатированный, зеленый")</f>
      </c>
      <c r="C31372" s="4" t="n">
        <v>835.00</v>
      </c>
      <c r="D31372" s="4"/>
    </row>
    <row collapsed="" customFormat="false" customHeight="1" hidden="" ht="14" outlineLevel="0" r="31373">
      <c r="A31373" s="3" t="inlineStr">
        <is>
          <t>31199</t>
        </is>
      </c>
      <c r="B31373" s="4" t="s">
        <f>=HYPERLINK("http://anyluxury.ru/shop/ezhednevniki-i-bloknoty/ezhednevniki/ezhednevnik-portobello-trend-rain-nedatirovanniy-krasniy-14144060/" , "14144.060 Ежедневник Rain недатированный, красный")</f>
      </c>
      <c r="C31373" s="4" t="n">
        <v>835.00</v>
      </c>
      <c r="D31373" s="4"/>
    </row>
    <row collapsed="" customFormat="false" customHeight="1" hidden="" ht="14" outlineLevel="0" r="31374">
      <c r="A31374" s="3" t="inlineStr">
        <is>
          <t>31200</t>
        </is>
      </c>
      <c r="B31374" s="4" t="s">
        <f>=HYPERLINK("http://anyluxury.ru/shop/ezhednevniki-i-bloknoty/ezhednevniki/ezhednevnik-portobello-trend-rain-nedatirovanniy-seriy-14144080/" , "14144.080 Ежедневник Rain недатированный, серый")</f>
      </c>
      <c r="C31374" s="4" t="n">
        <v>835.00</v>
      </c>
      <c r="D31374" s="4"/>
    </row>
    <row collapsed="" customFormat="false" customHeight="1" hidden="" ht="14" outlineLevel="0" r="31375">
      <c r="A31375" s="3" t="inlineStr">
        <is>
          <t>31201</t>
        </is>
      </c>
      <c r="B31375" s="4" t="s">
        <f>=HYPERLINK("http://anyluxury.ru/shop/ezhednevniki-i-bloknoty/ezhednevniki/ezhednevnik-portobello-trend-rain-nedatirovanniy-siniy-14144030/" , "14144.030 Ежедневник Rain недатированный, синий")</f>
      </c>
      <c r="C31375" s="4" t="n">
        <v>835.00</v>
      </c>
      <c r="D31375" s="4"/>
    </row>
    <row collapsed="" customFormat="false" customHeight="1" hidden="" ht="14" outlineLevel="0" r="31376">
      <c r="A31376" s="3" t="inlineStr">
        <is>
          <t>31202</t>
        </is>
      </c>
      <c r="B31376" s="4" t="s">
        <f>=HYPERLINK("http://anyluxury.ru/shop/ezhednevniki-i-bloknoty/ezhednevniki/ezhednevnik-portobello-trend-rain-nedatirovanniy-cherniy-14144010/" , "14144.010 Ежедневник Rain недатированный, черный")</f>
      </c>
      <c r="C31376" s="4" t="n">
        <v>835.00</v>
      </c>
      <c r="D31376" s="4"/>
    </row>
    <row collapsed="" customFormat="false" customHeight="1" hidden="" ht="14" outlineLevel="0" r="31377">
      <c r="A31377" s="3" t="inlineStr">
        <is>
          <t>31203</t>
        </is>
      </c>
      <c r="B31377" s="4" t="s">
        <f>=HYPERLINK("http://anyluxury.ru/shop/ezhednevniki-i-bloknoty/ezhednevniki/ezhednevnik-portobello-trend-river-side-nedatirovanniy-bezheviygoluboy-15256525/" , "15256.525 Ежедневник River side недатированный, бежевый/голубой")</f>
      </c>
      <c r="C31377" s="4" t="n">
        <v>871.00</v>
      </c>
      <c r="D31377" s="4"/>
    </row>
    <row collapsed="" customFormat="false" customHeight="1" hidden="" ht="14" outlineLevel="0" r="31378">
      <c r="A31378" s="3" t="inlineStr">
        <is>
          <t>31204</t>
        </is>
      </c>
      <c r="B31378" s="4" t="s">
        <f>=HYPERLINK("http://anyluxury.ru/shop/ezhednevniki-i-bloknoty/ezhednevniki/ezhednevnik-portobello-trend-river-side-nedatirovanniy-lazurniysiniy-15256240/" , "15256.240 Ежедневник River side недатированный, лазурный/синий")</f>
      </c>
      <c r="C31378" s="4" t="n">
        <v>871.00</v>
      </c>
      <c r="D31378" s="4"/>
    </row>
    <row collapsed="" customFormat="false" customHeight="1" hidden="" ht="14" outlineLevel="0" r="31379">
      <c r="A31379" s="3" t="inlineStr">
        <is>
          <t>31205</t>
        </is>
      </c>
      <c r="B31379" s="4" t="s">
        <f>=HYPERLINK("http://anyluxury.ru/shop/ezhednevniki-i-bloknoty/ezhednevniki/ezhednevnik-portobello-trend-river-side-nedatirovanniy-siniyoranzheviy-15256030/" , "15256.030 Ежедневник River side недатированный, синий/оранжевый")</f>
      </c>
      <c r="C31379" s="4" t="n">
        <v>871.00</v>
      </c>
      <c r="D31379" s="4"/>
    </row>
    <row collapsed="" customFormat="false" customHeight="1" hidden="" ht="14" outlineLevel="0" r="31380">
      <c r="A31380" s="3" t="inlineStr">
        <is>
          <t>31206</t>
        </is>
      </c>
      <c r="B31380" s="4" t="s">
        <f>=HYPERLINK("http://anyluxury.ru/shop/ezhednevniki-i-bloknoty/ezhednevniki/ezhednevnik-portobello-trend-river-side-nedatirovanniy-cherniykrasniy-15256010/" , "15256.010 Ежедневник River side недатированный, черный/красный")</f>
      </c>
      <c r="C31380" s="4" t="n">
        <v>871.00</v>
      </c>
      <c r="D31380" s="4"/>
    </row>
    <row collapsed="" customFormat="false" customHeight="1" hidden="" ht="14" outlineLevel="0" r="31381">
      <c r="A31381" s="3" t="inlineStr">
        <is>
          <t>31207</t>
        </is>
      </c>
      <c r="B31381" s="4" t="s">
        <f>=HYPERLINK("http://anyluxury.ru/shop/ezhednevniki-i-bloknoty/ezhednevniki/ezhednevnik-portobello-trend-tweed-nedatirovanniy-zeleniy-18269040/" , "18269.040 Ежедневник Tweed недатированный, зеленый")</f>
      </c>
      <c r="C31381" s="4" t="n">
        <v>986.00</v>
      </c>
      <c r="D31381" s="4"/>
    </row>
    <row collapsed="" customFormat="false" customHeight="1" hidden="" ht="14" outlineLevel="0" r="31382">
      <c r="A31382" s="3" t="inlineStr">
        <is>
          <t>31208</t>
        </is>
      </c>
      <c r="B31382" s="4" t="s">
        <f>=HYPERLINK("http://anyluxury.ru/shop/ezhednevniki-i-bloknoty/ezhednevniki/ezhednevnik-portobello-trend-tweed-nedatirovanniy-oranzheviy-18269070/" , "18269.070 Ежедневник Tweed недатированный, оранжевый")</f>
      </c>
      <c r="C31382" s="4" t="n">
        <v>986.00</v>
      </c>
      <c r="D31382" s="4"/>
    </row>
    <row collapsed="" customFormat="false" customHeight="1" hidden="" ht="14" outlineLevel="0" r="31383">
      <c r="A31383" s="3" t="inlineStr">
        <is>
          <t>31209</t>
        </is>
      </c>
      <c r="B31383" s="4" t="s">
        <f>=HYPERLINK("http://anyluxury.ru/shop/ezhednevniki-i-bloknoty/ezhednevniki/ezhednevnik-portobello-trend-tweed-nedatirovanniy-seriy-18269080/" , "18269.080 Ежедневник Tweed недатированный, серый")</f>
      </c>
      <c r="C31383" s="4" t="n">
        <v>986.00</v>
      </c>
      <c r="D31383" s="4"/>
    </row>
    <row collapsed="" customFormat="false" customHeight="1" hidden="" ht="14" outlineLevel="0" r="31384">
      <c r="A31384" s="3" t="inlineStr">
        <is>
          <t>31210</t>
        </is>
      </c>
      <c r="B31384" s="4" t="s">
        <f>=HYPERLINK("http://anyluxury.ru/shop/ezhednevniki-i-bloknoty/ezhednevniki/ezhednevnik-portobello-trend-tweed-nedatirovanniy-siniy-18269030/" , "18269.030 Ежедневник Tweed недатированный, синий")</f>
      </c>
      <c r="C31384" s="4" t="n">
        <v>986.00</v>
      </c>
      <c r="D31384" s="4"/>
    </row>
    <row collapsed="" customFormat="false" customHeight="1" hidden="" ht="14" outlineLevel="0" r="31385">
      <c r="A31385" s="3" t="inlineStr">
        <is>
          <t>31211</t>
        </is>
      </c>
      <c r="B31385" s="4" t="s">
        <f>=HYPERLINK("http://anyluxury.ru/shop/ezhednevniki-i-bloknoty/ezhednevniki/ezhednevnik-portobello-trend-velour-nedatirovanniy-bezheviy-19278525/" , "19278.525 Ежедневник Velour недатированный, бежевый")</f>
      </c>
      <c r="C31385" s="4" t="n">
        <v>690.00</v>
      </c>
      <c r="D31385" s="4"/>
    </row>
    <row collapsed="" customFormat="false" customHeight="1" hidden="" ht="14" outlineLevel="0" r="31386">
      <c r="A31386" s="3" t="inlineStr">
        <is>
          <t>31212</t>
        </is>
      </c>
      <c r="B31386" s="4" t="s">
        <f>=HYPERLINK("http://anyluxury.ru/shop/ezhednevniki-i-bloknoty/ezhednevniki/ezhednevnik-portobello-trend-velour-nedatirovanniy-krasniy-19278060/" , "19278.060 Ежедневник Velour недатированный, красный")</f>
      </c>
      <c r="C31386" s="4" t="n">
        <v>690.00</v>
      </c>
      <c r="D31386" s="4"/>
    </row>
    <row collapsed="" customFormat="false" customHeight="1" hidden="" ht="14" outlineLevel="0" r="31387">
      <c r="A31387" s="3" t="inlineStr">
        <is>
          <t>31213</t>
        </is>
      </c>
      <c r="B31387" s="4" t="s">
        <f>=HYPERLINK("http://anyluxury.ru/shop/ezhednevniki-i-bloknoty/ezhednevniki/ezhednevnik-portobello-trend-vista-nedatirovanniy-zeleniysalatoviy-17267040045/" , "17267.040.045 Ежедневник Vista недатированный, зеленый/салатовый")</f>
      </c>
      <c r="C31387" s="4" t="n">
        <v>1148.00</v>
      </c>
      <c r="D31387" s="4"/>
    </row>
    <row collapsed="" customFormat="false" customHeight="1" hidden="" ht="14" outlineLevel="0" r="31388">
      <c r="A31388" s="3" t="inlineStr">
        <is>
          <t>31214</t>
        </is>
      </c>
      <c r="B31388" s="4" t="s">
        <f>=HYPERLINK("http://anyluxury.ru/shop/ezhednevniki-i-bloknoty/ezhednevniki/ezhednevnik-portobello-trend-vista-nedatirovanniy-krasniybezheviy-17267060221/" , "17267.060.221 Ежедневник Vista недатированный, красный/бежевый")</f>
      </c>
      <c r="C31388" s="4" t="n">
        <v>1148.00</v>
      </c>
      <c r="D31388" s="4"/>
    </row>
    <row collapsed="" customFormat="false" customHeight="1" hidden="" ht="14" outlineLevel="0" r="31389">
      <c r="A31389" s="3" t="inlineStr">
        <is>
          <t>31215</t>
        </is>
      </c>
      <c r="B31389" s="4" t="s">
        <f>=HYPERLINK("http://anyluxury.ru/shop/ezhednevniki-i-bloknoty/ezhednevniki/ezhednevnik-portobello-trend-vista-nedatirovanniy-oranzheviykorichneviy-17267070020/" , "17267.070.020 Ежедневник Vista недатированный, оранжевый/коричневый")</f>
      </c>
      <c r="C31389" s="4" t="n">
        <v>1148.00</v>
      </c>
      <c r="D31389" s="4"/>
    </row>
    <row collapsed="" customFormat="false" customHeight="1" hidden="" ht="14" outlineLevel="0" r="31390">
      <c r="A31390" s="3" t="inlineStr">
        <is>
          <t>31216</t>
        </is>
      </c>
      <c r="B31390" s="4" t="s">
        <f>=HYPERLINK("http://anyluxury.ru/shop/ezhednevniki-i-bloknoty/ezhednevniki/ezhednevnik-portobello-trend-vista-nedatirovanniy-siniybezheviy-17267030221/" , "17267.030.221 Ежедневник Vista недатированный, синий/бежевый")</f>
      </c>
      <c r="C31390" s="4" t="n">
        <v>1148.00</v>
      </c>
      <c r="D31390" s="4"/>
    </row>
    <row collapsed="" customFormat="false" customHeight="1" hidden="" ht="14" outlineLevel="0" r="31391">
      <c r="A31391" s="3" t="inlineStr">
        <is>
          <t>31217</t>
        </is>
      </c>
      <c r="B31391" s="4" t="s">
        <f>=HYPERLINK("http://anyluxury.ru/shop/ezhednevniki-i-bloknoty/ezhednevniki/ezhednevnik-portobello-trend-vista-nedatirovanniy-cherniykrasniy-17267010060/" , "17267.010.060 Ежедневник Vista недатированный, черный/красный")</f>
      </c>
      <c r="C31391" s="4" t="n">
        <v>1148.00</v>
      </c>
      <c r="D31391" s="4"/>
    </row>
    <row collapsed="" customFormat="false" customHeight="1" hidden="" ht="14" outlineLevel="0" r="31392">
      <c r="A31392" s="3" t="inlineStr">
        <is>
          <t>31218</t>
        </is>
      </c>
      <c r="B31392" s="4" t="s">
        <f>=HYPERLINK("http://anyluxury.ru/shop/ezhednevniki-i-bloknoty/ezhednevniki/ezhednevnik-portobello-trend-voyage-nedatirovanniy-temnozeleniy-14147040/" , "14147.040 Ежедневник Voyage недатированный, темно-зеленый")</f>
      </c>
      <c r="C31392" s="4" t="n">
        <v>999.00</v>
      </c>
      <c r="D31392" s="4"/>
    </row>
    <row collapsed="" customFormat="false" customHeight="1" hidden="" ht="14" outlineLevel="0" r="31393">
      <c r="A31393" s="3" t="inlineStr">
        <is>
          <t>31219</t>
        </is>
      </c>
      <c r="B31393" s="4" t="s">
        <f>=HYPERLINK("http://anyluxury.ru/shop/ezhednevniki-i-bloknoty/ezhednevniki/ezhednevnik-portobello-trend-voyage-nedatirovanniy-temnosiniy-14147030/" , "14147.030 Ежедневник Voyage недатированный, темно-синий")</f>
      </c>
      <c r="C31393" s="4" t="n">
        <v>999.00</v>
      </c>
      <c r="D31393" s="4"/>
    </row>
    <row collapsed="" customFormat="false" customHeight="1" hidden="" ht="14" outlineLevel="0" r="31394">
      <c r="A31394" s="3" t="inlineStr">
        <is>
          <t>31220</t>
        </is>
      </c>
      <c r="B31394" s="4" t="s">
        <f>=HYPERLINK("http://anyluxury.ru/shop/ezhednevniki-i-bloknoty/ezhednevniki/nedatirovanniy-ezhednevnik-velvet-145x205-mm-bez-kalendarya-zeleniy-blok-sinechernaya-grafika-002141401/" , "00214.140.1 Ежедневник Velvet недатированный без календаря, зеленый (блок сине-черная графика)")</f>
      </c>
      <c r="C31394" s="4" t="n">
        <v>773.00</v>
      </c>
      <c r="D31394" s="4"/>
    </row>
    <row collapsed="" customFormat="false" customHeight="1" hidden="" ht="14" outlineLevel="0" r="31395">
      <c r="A31395" s="3" t="inlineStr">
        <is>
          <t>31221</t>
        </is>
      </c>
      <c r="B31395" s="4" t="s">
        <f>=HYPERLINK("http://anyluxury.ru/shop/ezhednevniki-i-bloknoty/ezhednevniki/ezhednevnik-portobello-trend-alpha-nedatirovanniy-biryuzoviyseriy-17264600/" , "17264.600 Ежедневник Alpha недатированный, бирюзовый/серый")</f>
      </c>
      <c r="C31395" s="4" t="n">
        <v>1150.00</v>
      </c>
      <c r="D31395" s="4"/>
    </row>
    <row collapsed="" customFormat="false" customHeight="1" hidden="" ht="14" outlineLevel="0" r="31396">
      <c r="A31396" s="3" t="inlineStr">
        <is>
          <t>31222</t>
        </is>
      </c>
      <c r="B31396" s="4" t="s">
        <f>=HYPERLINK("http://anyluxury.ru/shop/ezhednevniki-i-bloknoty/ezhednevniki/ezhednevnik-portobello-trend-alpha-nedatirovanniy-zeleniyolivkoviy-17264040/" , "17264.040 Ежедневник Alpha недатированный, зеленый/оливковый")</f>
      </c>
      <c r="C31396" s="4" t="n">
        <v>1150.00</v>
      </c>
      <c r="D31396" s="4"/>
    </row>
    <row collapsed="" customFormat="false" customHeight="1" hidden="" ht="14" outlineLevel="0" r="31397">
      <c r="A31397" s="3" t="inlineStr">
        <is>
          <t>31223</t>
        </is>
      </c>
      <c r="B31397" s="4" t="s">
        <f>=HYPERLINK("http://anyluxury.ru/shop/ezhednevniki-i-bloknoty/ezhednevniki/ezhednevnik-portobello-trend-alpha-nedatirovanniy-korichneviyoranzheviy-17264020/" , "17264.020 Ежедневник Alpha недатированный, коричневый/оранжевый")</f>
      </c>
      <c r="C31397" s="4" t="n">
        <v>1150.00</v>
      </c>
      <c r="D31397" s="4"/>
    </row>
    <row collapsed="" customFormat="false" customHeight="1" hidden="" ht="14" outlineLevel="0" r="31398">
      <c r="A31398" s="3" t="inlineStr">
        <is>
          <t>31224</t>
        </is>
      </c>
      <c r="B31398" s="4" t="s">
        <f>=HYPERLINK("http://anyluxury.ru/shop/ezhednevniki-i-bloknoty/ezhednevniki/ezhednevnik-portobello-trend-alpha-nedatirovanniy-krasniyseriy-17264060/" , "17264.060 Ежедневник Alpha недатированный, красный/серый")</f>
      </c>
      <c r="C31398" s="4" t="n">
        <v>1150.00</v>
      </c>
      <c r="D31398" s="4"/>
    </row>
    <row collapsed="" customFormat="false" customHeight="1" hidden="" ht="14" outlineLevel="0" r="31399">
      <c r="A31399" s="3" t="inlineStr">
        <is>
          <t>31225</t>
        </is>
      </c>
      <c r="B31399" s="4" t="s">
        <f>=HYPERLINK("http://anyluxury.ru/shop/ezhednevniki-i-bloknoty/ezhednevniki/ezhednevnik-portobello-trend-alpha-nedatirovanniy-oranzheviykorichneviy-17264070/" , "17264.070 Ежедневник Alpha недатированный, оранжевый/коричневый")</f>
      </c>
      <c r="C31399" s="4" t="n">
        <v>1150.00</v>
      </c>
      <c r="D31399" s="4"/>
    </row>
    <row collapsed="" customFormat="false" customHeight="1" hidden="" ht="14" outlineLevel="0" r="31400">
      <c r="A31400" s="3" t="inlineStr">
        <is>
          <t>31226</t>
        </is>
      </c>
      <c r="B31400" s="4" t="s">
        <f>=HYPERLINK("http://anyluxury.ru/shop/ezhednevniki-i-bloknoty/ezhednevniki/ezhednevnik-portobello-trend-alpha-nedatirovanniy-serebroseriy-17264111/" , "17264.111 Ежедневник Alpha недатированный, серебро/серый")</f>
      </c>
      <c r="C31400" s="4" t="n">
        <v>1150.00</v>
      </c>
      <c r="D31400" s="4"/>
    </row>
    <row collapsed="" customFormat="false" customHeight="1" hidden="" ht="14" outlineLevel="0" r="31401">
      <c r="A31401" s="3" t="inlineStr">
        <is>
          <t>31227</t>
        </is>
      </c>
      <c r="B31401" s="4" t="s">
        <f>=HYPERLINK("http://anyluxury.ru/shop/ezhednevniki-i-bloknoty/ezhednevniki/ezhednevnik-portobello-trend-alpha-nedatirovanniy-seriybiryuzoviy-17264080/" , "17264.080 Ежедневник Alpha недатированный, серый/бирюзовый")</f>
      </c>
      <c r="C31401" s="4" t="n">
        <v>1150.00</v>
      </c>
      <c r="D31401" s="4"/>
    </row>
    <row collapsed="" customFormat="false" customHeight="1" hidden="" ht="14" outlineLevel="0" r="31402">
      <c r="A31402" s="3" t="inlineStr">
        <is>
          <t>31228</t>
        </is>
      </c>
      <c r="B31402" s="4" t="s">
        <f>=HYPERLINK("http://anyluxury.ru/shop/ezhednevniki-i-bloknoty/ezhednevniki/ezhednevnik-portobello-trend-alpha-nedatirovanniy-siniygoluboy-17264030/" , "17264.030 Ежедневник Alpha недатированный, синий/голубой")</f>
      </c>
      <c r="C31402" s="4" t="n">
        <v>1150.00</v>
      </c>
      <c r="D31402" s="4"/>
    </row>
    <row collapsed="" customFormat="false" customHeight="1" hidden="" ht="14" outlineLevel="0" r="31403">
      <c r="A31403" s="3" t="inlineStr">
        <is>
          <t>31229</t>
        </is>
      </c>
      <c r="B31403" s="4" t="s">
        <f>=HYPERLINK("http://anyluxury.ru/shop/ezhednevniki-i-bloknoty/ezhednevniki/ezhednevnik-portobello-trend-spark-nedatirovanniy-siniy-19280030/" , "19280.030 Ежедневник Spark недатированный, синий (без упаковки, со стикерами)")</f>
      </c>
      <c r="C31403" s="4" t="n">
        <v>659.00</v>
      </c>
      <c r="D31403" s="4"/>
    </row>
    <row collapsed="" customFormat="false" customHeight="1" hidden="" ht="14" outlineLevel="0" r="31404">
      <c r="A31404" s="3" t="inlineStr">
        <is>
          <t>31230</t>
        </is>
      </c>
      <c r="B31404" s="4" t="s">
        <f>=HYPERLINK("http://anyluxury.ru/shop/ezhednevniki-i-bloknoty/ezhednevniki/ezhednevnik-portobello-trend-spark-nedatirovanniy-cherniy-19280010/" , "19280.010 Ежедневник Spark недатированный, черный (без упаковки, со стикерами)")</f>
      </c>
      <c r="C31404" s="4" t="n">
        <v>699.00</v>
      </c>
      <c r="D31404" s="4"/>
    </row>
    <row collapsed="" customFormat="false" customHeight="1" hidden="" ht="14" outlineLevel="0" r="31405">
      <c r="A31405" s="3" t="inlineStr">
        <is>
          <t>31231</t>
        </is>
      </c>
      <c r="B31405" s="4" t="s">
        <f>=HYPERLINK("http://anyluxury.ru/shop/ezhednevniki-i-bloknoty/ezhednevniki/ezhednevnik-portobello-trend-star-nedatirovanniy-cherniy-19281010/" , "19281.010 Ежедневник Star недатированный, черный (без упаковки, со стикерами)")</f>
      </c>
      <c r="C31405" s="4" t="n">
        <v>699.00</v>
      </c>
      <c r="D31405" s="4"/>
    </row>
    <row collapsed="" customFormat="false" customHeight="1" hidden="" ht="14" outlineLevel="0" r="31406">
      <c r="A31406" s="3" t="inlineStr">
        <is>
          <t>31232</t>
        </is>
      </c>
      <c r="B31406" s="4" t="s">
        <f>=HYPERLINK("http://anyluxury.ru/shop/ezhednevniki-i-bloknoty/ezhednevniki/ezhednevnik-portobello-trend-voyage-nedatirovanniy-seriy-14147020/" , "14147.020 Ежедневник Voyage недатированный, серый")</f>
      </c>
      <c r="C31406" s="4" t="n">
        <v>999.00</v>
      </c>
      <c r="D31406" s="4"/>
    </row>
    <row collapsed="" customFormat="false" customHeight="1" hidden="" ht="14" outlineLevel="0" r="31407">
      <c r="A31407" s="3" t="inlineStr">
        <is>
          <t>31233</t>
        </is>
      </c>
      <c r="B31407" s="4" t="s">
        <f>=HYPERLINK("http://anyluxury.ru/shop/ezhednevniki-i-bloknoty/ezhednevniki/ezhednevnik-nedatirovanniy-sky-btobook-cherniy-bez-rezinki-00330010/" , "00330.010 Ежедневник Portobello BtoBook, Rain, недатированный, черный")</f>
      </c>
      <c r="C31407" s="4" t="n">
        <v>590.00</v>
      </c>
      <c r="D31407" s="4"/>
    </row>
    <row collapsed="" customFormat="false" customHeight="1" hidden="" ht="14" outlineLevel="0" r="31408">
      <c r="A31408" s="3" t="inlineStr">
        <is>
          <t>31234</t>
        </is>
      </c>
      <c r="B31408" s="4" t="s">
        <f>=HYPERLINK("http://anyluxury.ru/shop/ezhednevniki-i-bloknoty/ezhednevniki/ezhednevnik-portobello-trend-arctic-nedatirovanniy-beliyzeleniy-16261040/" , "16261.040 Ежедневник Arctic недатированный, белый/зеленый")</f>
      </c>
      <c r="C31408" s="4" t="n">
        <v>1150.00</v>
      </c>
      <c r="D31408" s="4"/>
    </row>
    <row collapsed="" customFormat="false" customHeight="1" hidden="" ht="14" outlineLevel="0" r="31409">
      <c r="A31409" s="3" t="inlineStr">
        <is>
          <t>31235</t>
        </is>
      </c>
      <c r="B31409" s="4" t="s">
        <f>=HYPERLINK("http://anyluxury.ru/shop/ezhednevniki-i-bloknoty/ezhednevniki/ezhednevnik-portobello-trend-arctic-nedatirovanniy-beliyplatina-16261080/" , "16261.080 Ежедневник Arctic недатированный, белый/платина")</f>
      </c>
      <c r="C31409" s="4" t="n">
        <v>1150.00</v>
      </c>
      <c r="D31409" s="4"/>
    </row>
    <row collapsed="" customFormat="false" customHeight="1" hidden="" ht="14" outlineLevel="0" r="31410">
      <c r="A31410" s="3" t="inlineStr">
        <is>
          <t>31236</t>
        </is>
      </c>
      <c r="B31410" s="4" t="s">
        <f>=HYPERLINK("http://anyluxury.ru/shop/ezhednevniki-i-bloknoty/ezhednevniki/ezhednevnik-portobello-trend-marseille-soft-touch-nedatirovanniy-krasniy-181571060/" , "181571.060 Ежедневник Marseille soft touch недатированный, красный")</f>
      </c>
      <c r="C31410" s="4" t="n">
        <v>1020.00</v>
      </c>
      <c r="D31410" s="4"/>
    </row>
    <row collapsed="" customFormat="false" customHeight="1" hidden="" ht="14" outlineLevel="0" r="31411">
      <c r="A31411" s="3" t="inlineStr">
        <is>
          <t>31237</t>
        </is>
      </c>
      <c r="B31411" s="4" t="s">
        <f>=HYPERLINK("http://anyluxury.ru/shop/ezhednevniki-i-bloknoty/ezhednevniki/ezhednevnik-portobello-trend-marseille-soft-touch-nedatirovanniy-oranzheviy-181571070/" , "181571.070 Ежедневник Marseille soft touch недатированный, оранжевый")</f>
      </c>
      <c r="C31411" s="4" t="n">
        <v>1020.00</v>
      </c>
      <c r="D31411" s="4"/>
    </row>
    <row collapsed="" customFormat="false" customHeight="1" hidden="" ht="14" outlineLevel="0" r="31412">
      <c r="A31412" s="3" t="inlineStr">
        <is>
          <t>31238</t>
        </is>
      </c>
      <c r="B31412" s="4" t="s">
        <f>=HYPERLINK("http://anyluxury.ru/shop/ezhednevniki-i-bloknoty/ezhednevniki/ezhednevnik-portobello-trend-marseille-soft-touch-nedatirovanniy-zeleniy-181571040/" , "181571.040 Ежедневник Marseille soft touch недатированный, зеленый")</f>
      </c>
      <c r="C31412" s="4" t="n">
        <v>1020.00</v>
      </c>
      <c r="D31412" s="4"/>
    </row>
    <row collapsed="" customFormat="false" customHeight="1" hidden="" ht="14" outlineLevel="0" r="31413">
      <c r="A31413" s="3" t="inlineStr">
        <is>
          <t>31239</t>
        </is>
      </c>
      <c r="B31413" s="4" t="s">
        <f>=HYPERLINK("http://anyluxury.ru/shop/ezhednevniki-i-bloknoty/ezhednevniki/ezhednevnik-portobello-trend-marseille-soft-touch-nedatirovanniy-seriy-181571080/" , "181571.080 Ежедневник Marseille soft touch недатированный, серый")</f>
      </c>
      <c r="C31413" s="4" t="n">
        <v>1020.00</v>
      </c>
      <c r="D31413" s="4"/>
    </row>
    <row collapsed="" customFormat="false" customHeight="1" hidden="" ht="14" outlineLevel="0" r="31414">
      <c r="A31414" s="3" t="inlineStr">
        <is>
          <t>31240</t>
        </is>
      </c>
      <c r="B31414" s="4" t="s">
        <f>=HYPERLINK("http://anyluxury.ru/shop/ezhednevniki-i-bloknoty/ezhednevniki/ezhednevnik-nedatirovanniy-city-flax-145h205-mm-bez-kalendarya-zheltiy-00116075/" , "00116.075 Ежедневник недатированный City Flax 145х205 мм, без календаря, желтый")</f>
      </c>
      <c r="C31414" s="4" t="n">
        <v>488.00</v>
      </c>
      <c r="D31414" s="4"/>
    </row>
    <row collapsed="" customFormat="false" customHeight="1" hidden="" ht="14" outlineLevel="0" r="31415">
      <c r="A31415" s="3" t="inlineStr">
        <is>
          <t>31241</t>
        </is>
      </c>
      <c r="B31415" s="4" t="s">
        <f>=HYPERLINK("http://anyluxury.ru/shop/ezhednevniki-i-bloknoty/ezhednevniki/ezhednevnik-portobello-trend-tweed-nedatirovanniy-cherniy-18269010/" , "18269.010 Ежедневник Tweed недатированный, черный")</f>
      </c>
      <c r="C31415" s="4" t="n">
        <v>986.00</v>
      </c>
      <c r="D31415" s="4"/>
    </row>
    <row collapsed="" customFormat="false" customHeight="1" hidden="" ht="14" outlineLevel="0" r="31416">
      <c r="A31416" s="3" t="inlineStr">
        <is>
          <t>31242</t>
        </is>
      </c>
      <c r="B31416" s="4" t="s">
        <f>=HYPERLINK("http://anyluxury.ru/shop/ezhednevniki-i-bloknoty/ezhednevniki/ezhednevnik-portobello-trend-voyage-nedatirovanniy-burgundi-14147050/" , "14147.050 Ежедневник Voyage недатированный, бургунди")</f>
      </c>
      <c r="C31416" s="4" t="n">
        <v>999.00</v>
      </c>
      <c r="D31416" s="4"/>
    </row>
    <row collapsed="" customFormat="false" customHeight="1" hidden="" ht="14" outlineLevel="0" r="31417">
      <c r="A31417" s="3" t="inlineStr">
        <is>
          <t>31243</t>
        </is>
      </c>
      <c r="B31417" s="4" t="s">
        <f>=HYPERLINK("http://anyluxury.ru/shop/ezhednevniki-i-bloknoty/ezhednevniki/ezhednevnik-portobello-trend-star-nedatirovanniy-burgundi-19281050/" , "19281.050 Ежедневник Star недатированный, бургунди (без упаковки, со стикерами)")</f>
      </c>
      <c r="C31417" s="4" t="n">
        <v>699.00</v>
      </c>
      <c r="D31417" s="4"/>
    </row>
    <row collapsed="" customFormat="false" customHeight="1" hidden="" ht="14" outlineLevel="0" r="31418">
      <c r="A31418" s="3" t="inlineStr">
        <is>
          <t>31244</t>
        </is>
      </c>
      <c r="B31418" s="4" t="s">
        <f>=HYPERLINK("http://anyluxury.ru/shop/ezhednevniki-i-bloknoty/ezhednevniki/ezhednevnik-portobello-trend-sky-nedatirovanniy-seriy-14141080/" , "14141.080 Ежедневник Sky недатированный, серый")</f>
      </c>
      <c r="C31418" s="4" t="n">
        <v>699.00</v>
      </c>
      <c r="D31418" s="4"/>
    </row>
    <row collapsed="" customFormat="false" customHeight="1" hidden="" ht="14" outlineLevel="0" r="31419">
      <c r="A31419" s="3" t="inlineStr">
        <is>
          <t>31245</t>
        </is>
      </c>
      <c r="B31419" s="4" t="s">
        <f>=HYPERLINK("http://anyluxury.ru/shop/ezhednevniki-i-bloknoty/ezhednevniki/ezhednevnik-portobello-trend-river-side-nedatirovanniy-korichneviysalatoviy-15256020/" , "15256.020 Ежедневник River side недатированный, коричневый/салатовый")</f>
      </c>
      <c r="C31419" s="4" t="n">
        <v>871.00</v>
      </c>
      <c r="D31419" s="4"/>
    </row>
    <row collapsed="" customFormat="false" customHeight="1" hidden="" ht="14" outlineLevel="0" r="31420">
      <c r="A31420" s="3" t="inlineStr">
        <is>
          <t>31246</t>
        </is>
      </c>
      <c r="B31420" s="4" t="s">
        <f>=HYPERLINK("http://anyluxury.ru/shop/ezhednevniki-i-bloknoty/ezhednevniki/ezhednevnik-portobello-trend-river-side-nedatirovanniy-fioletoviyzeleniy-15256034/" , "15256.034 Ежедневник River side недатированный, фиолетовый/зеленый")</f>
      </c>
      <c r="C31420" s="4" t="n">
        <v>871.00</v>
      </c>
      <c r="D31420" s="4"/>
    </row>
    <row collapsed="" customFormat="false" customHeight="1" hidden="" ht="14" outlineLevel="0" r="31421">
      <c r="A31421" s="3" t="inlineStr">
        <is>
          <t>31247</t>
        </is>
      </c>
      <c r="B31421" s="4" t="s">
        <f>=HYPERLINK("http://anyluxury.ru/shop/ezhednevniki-i-bloknoty/ezhednevniki/ezhednevnik-portobello-trend-river-side-nedatirovanniy-zeleniyburgundi-15256040/" , "15256.040 Ежедневник River side недатированный, зеленый/бургунди")</f>
      </c>
      <c r="C31421" s="4" t="n">
        <v>871.00</v>
      </c>
      <c r="D31421" s="4"/>
    </row>
    <row collapsed="" customFormat="false" customHeight="1" hidden="" ht="14" outlineLevel="0" r="31422">
      <c r="A31422" s="3" t="inlineStr">
        <is>
          <t>31248</t>
        </is>
      </c>
      <c r="B31422" s="4" t="s">
        <f>=HYPERLINK("http://anyluxury.ru/shop/ezhednevniki-i-bloknoty/ezhednevniki/ezhednevnik-portobello-trend-river-side-nedatirovanniy-krasniyzeleniy-15256060/" , "15256.060 Ежедневник River side недатированный, красный/зеленый")</f>
      </c>
      <c r="C31422" s="4" t="n">
        <v>871.00</v>
      </c>
      <c r="D31422" s="4"/>
    </row>
    <row collapsed="" customFormat="false" customHeight="1" hidden="" ht="14" outlineLevel="0" r="31423">
      <c r="A31423" s="3" t="inlineStr">
        <is>
          <t>31249</t>
        </is>
      </c>
      <c r="B31423" s="4" t="s">
        <f>=HYPERLINK("http://anyluxury.ru/shop/ezhednevniki-i-bloknoty/ezhednevniki/ezhednevnik-portobello-trend-latte-new-nedatirovanniy-zeleniylimonniy-15254040/" , "15254.040 Ежедневник Latte NEW недатированный, зеленый/лимонный")</f>
      </c>
      <c r="C31423" s="4" t="n">
        <v>835.00</v>
      </c>
      <c r="D31423" s="4"/>
    </row>
    <row collapsed="" customFormat="false" customHeight="1" hidden="" ht="14" outlineLevel="0" r="31424">
      <c r="A31424" s="3" t="inlineStr">
        <is>
          <t>31250</t>
        </is>
      </c>
      <c r="B31424" s="4" t="s">
        <f>=HYPERLINK("http://anyluxury.ru/shop/ezhednevniki-i-bloknoty/ezhednevniki/ezhednevnik-portobello-trend-latte-new-nedatirovanniy-bordolimonniy-15254050/" , "15254.050 Ежедневник Latte NEW недатированный, бордо/лимонный")</f>
      </c>
      <c r="C31424" s="4" t="n">
        <v>835.00</v>
      </c>
      <c r="D31424" s="4"/>
    </row>
    <row collapsed="" customFormat="false" customHeight="1" hidden="" ht="14" outlineLevel="0" r="31425">
      <c r="A31425" s="3" t="inlineStr">
        <is>
          <t>31251</t>
        </is>
      </c>
      <c r="B31425" s="4" t="s">
        <f>=HYPERLINK("http://anyluxury.ru/shop/ezhednevniki-i-bloknoty/ezhednevniki/ezhednevnik-portobello-btobook-marseille-nedatirovanniy-cherniy-00325010/" , "00325.010 Ежедневник недатированный Marseille BtoBook, черный (без упаковки, без стикера)")</f>
      </c>
      <c r="C31425" s="4" t="n">
        <v>749.00</v>
      </c>
      <c r="D31425" s="4"/>
    </row>
    <row collapsed="" customFormat="false" customHeight="1" hidden="" ht="14" outlineLevel="0" r="31426">
      <c r="A31426" s="3" t="inlineStr">
        <is>
          <t>31252</t>
        </is>
      </c>
      <c r="B31426" s="4" t="s">
        <f>=HYPERLINK("http://anyluxury.ru/shop/ezhednevniki-i-bloknoty/ezhednevniki/ezhednevnik-portobello-btobook-rain-nedatirovanniy-seriy-00330080/" , "00330.080 Ежедневник Portobello BtoBook, Rain, недатированный, серый")</f>
      </c>
      <c r="C31426" s="4" t="n">
        <v>590.00</v>
      </c>
      <c r="D31426" s="4"/>
    </row>
    <row collapsed="" customFormat="false" customHeight="1" hidden="" ht="14" outlineLevel="0" r="31427">
      <c r="A31427" s="3" t="inlineStr">
        <is>
          <t>31253</t>
        </is>
      </c>
      <c r="B31427" s="4" t="s">
        <f>=HYPERLINK("http://anyluxury.ru/shop/ezhednevniki-i-bloknoty/ezhednevniki/ezhednevnik-portobello-trend-latte-new-nedatirovanniy-bezheviygoluboy-15254525/" , "15254.525 Ежедневник Latte NEW недатированный, бежевый/голубой")</f>
      </c>
      <c r="C31427" s="4" t="n">
        <v>835.00</v>
      </c>
      <c r="D31427" s="4"/>
    </row>
    <row collapsed="" customFormat="false" customHeight="1" hidden="" ht="14" outlineLevel="0" r="31428">
      <c r="A31428" s="3" t="inlineStr">
        <is>
          <t>31254</t>
        </is>
      </c>
      <c r="B31428" s="4" t="s">
        <f>=HYPERLINK("http://anyluxury.ru/shop/ezhednevniki-i-bloknoty/ezhednevniki/ezhednevnik-portobello-trend-latte-new-nedatirovanniy-goluboysiniy-15254600/" , "15254.600 Ежедневник Latte NEW недатированный, голубой/синий")</f>
      </c>
      <c r="C31428" s="4" t="n">
        <v>835.00</v>
      </c>
      <c r="D31428" s="4"/>
    </row>
    <row collapsed="" customFormat="false" customHeight="1" hidden="" ht="14" outlineLevel="0" r="31429">
      <c r="A31429" s="3" t="inlineStr">
        <is>
          <t>31255</t>
        </is>
      </c>
      <c r="B31429" s="4" t="s">
        <f>=HYPERLINK("http://anyluxury.ru/shop/ezhednevniki-i-bloknoty/ezhednevniki/ezhednevnik-portobello-trend-terra-nedatirovanniy-cherniy-21283010/" , "21283.010 Ежедневник Terra недатированный, черный")</f>
      </c>
      <c r="C31429" s="4" t="n">
        <v>650.00</v>
      </c>
      <c r="D31429" s="4"/>
    </row>
    <row collapsed="" customFormat="false" customHeight="1" hidden="" ht="14" outlineLevel="0" r="31430">
      <c r="A31430" s="3" t="inlineStr">
        <is>
          <t>31256</t>
        </is>
      </c>
      <c r="B31430" s="4" t="s">
        <f>=HYPERLINK("http://anyluxury.ru/shop/ezhednevniki-i-bloknoty/ezhednevniki/ezhednevnik-portobello-trend-teolo-nedatirovanniy-cherniy-21282010/" , "21282.010 Ежедневник Teolo недатированный, черный")</f>
      </c>
      <c r="C31430" s="4" t="n">
        <v>917.00</v>
      </c>
      <c r="D31430" s="4"/>
    </row>
    <row collapsed="" customFormat="false" customHeight="1" hidden="" ht="14" outlineLevel="0" r="31431">
      <c r="A31431" s="3" t="inlineStr">
        <is>
          <t>31257</t>
        </is>
      </c>
      <c r="B31431" s="4" t="s">
        <f>=HYPERLINK("http://anyluxury.ru/shop/ezhednevniki-i-bloknoty/ezhednevniki/ezhednevnik-portobello-trend-teolo-nedatirovanniy-siniy-21282030/" , "21282.030 Ежедневник Teolo недатированный, синий")</f>
      </c>
      <c r="C31431" s="4" t="n">
        <v>917.00</v>
      </c>
      <c r="D31431" s="4"/>
    </row>
    <row collapsed="" customFormat="false" customHeight="1" hidden="" ht="14" outlineLevel="0" r="31432">
      <c r="A31432" s="3" t="inlineStr">
        <is>
          <t>31258</t>
        </is>
      </c>
      <c r="B31432" s="4" t="s">
        <f>=HYPERLINK("http://anyluxury.ru/shop/ezhednevniki-i-bloknoty/ezhednevniki/ezhednevnik-portobello-trend-teolo-nedatirovanniy-seriy-21282080/" , "21282.080 Ежедневник Teolo недатированный, серый")</f>
      </c>
      <c r="C31432" s="4" t="n">
        <v>917.00</v>
      </c>
      <c r="D31432" s="4"/>
    </row>
    <row collapsed="" customFormat="false" customHeight="1" hidden="" ht="14" outlineLevel="0" r="31433">
      <c r="A31433" s="3" t="inlineStr">
        <is>
          <t>31259</t>
        </is>
      </c>
      <c r="B31433" s="4" t="s">
        <f>=HYPERLINK("http://anyluxury.ru/shop/ezhednevniki-i-bloknoty/ezhednevniki/ezhednevnik-portobello-trend-teolo-nedatirovanniy-korichneviy-21282020/" , "21282.020 Ежедневник Teolo недатированный, коричневый")</f>
      </c>
      <c r="C31433" s="4" t="n">
        <v>917.00</v>
      </c>
      <c r="D31433" s="4"/>
    </row>
    <row collapsed="" customFormat="false" customHeight="1" hidden="" ht="14" outlineLevel="0" r="31434">
      <c r="A31434" s="3" t="inlineStr">
        <is>
          <t>31260</t>
        </is>
      </c>
      <c r="B31434" s="4" t="s">
        <f>=HYPERLINK("http://anyluxury.ru/shop/ezhednevniki-i-bloknoty/ezhednevniki/ezhednevnik-portobello-trend-teolo-nedatirovanniy-koralloviy-21282060/" , "21282.060 Ежедневник Teolo недатированный, коралловый")</f>
      </c>
      <c r="C31434" s="4" t="n">
        <v>917.00</v>
      </c>
      <c r="D31434" s="4"/>
    </row>
    <row collapsed="" customFormat="false" customHeight="1" hidden="" ht="14" outlineLevel="0" r="31435">
      <c r="A31435" s="3" t="inlineStr">
        <is>
          <t>31261</t>
        </is>
      </c>
      <c r="B31435" s="4" t="s">
        <f>=HYPERLINK("http://anyluxury.ru/shop/ezhednevniki-i-bloknoty/ezhednevniki/ezhednevnik-portobello-btobook-rain-nedatirovanniy-cherniy-00333010/" , "00333.010 Ежедневник Rain BtoBook недатированный, черный (без упаковки, без стикера)")</f>
      </c>
      <c r="C31435" s="4" t="n">
        <v>749.00</v>
      </c>
      <c r="D31435" s="4"/>
    </row>
    <row collapsed="" customFormat="false" customHeight="1" hidden="" ht="14" outlineLevel="0" r="31436">
      <c r="A31436" s="3" t="inlineStr">
        <is>
          <t>31262</t>
        </is>
      </c>
      <c r="B31436" s="4" t="s">
        <f>=HYPERLINK("http://anyluxury.ru/shop/ezhednevniki-i-bloknoty/ezhednevniki/ezhednevnik-portobello-trend-latte-ecoline-nedatirovanniy-zeleniy-s-antibakterialnim-pokritiem-00521040/" , "00521.040 Ежедневник Latte Ecoline недатированный с антибактериальным покрытием, зеленый")</f>
      </c>
      <c r="C31436" s="4" t="n">
        <v>905.00</v>
      </c>
      <c r="D31436" s="4"/>
    </row>
    <row collapsed="" customFormat="false" customHeight="1" hidden="" ht="14" outlineLevel="0" r="31437">
      <c r="A31437" s="3" t="inlineStr">
        <is>
          <t>31263</t>
        </is>
      </c>
      <c r="B31437" s="4" t="s">
        <f>=HYPERLINK("http://anyluxury.ru/shop/ezhednevniki-i-bloknoty/ezhednevniki/ezhednevnik-portobello-trend-latte-ecoline-nedatirovanniy-krasniy-s-antibakterialnim-pokritiem-00521060/" , "00521.060 Ежедневник Latte Ecoline недатированный с антибактериальным покрытием, красный")</f>
      </c>
      <c r="C31437" s="4" t="n">
        <v>905.00</v>
      </c>
      <c r="D31437" s="4"/>
    </row>
    <row collapsed="" customFormat="false" customHeight="1" hidden="" ht="14" outlineLevel="0" r="31438">
      <c r="A31438" s="3" t="inlineStr">
        <is>
          <t>31264</t>
        </is>
      </c>
      <c r="B31438" s="4" t="s">
        <f>=HYPERLINK("http://anyluxury.ru/shop/ezhednevniki-i-bloknoty/ezhednevniki/ezhednevnik-portobello-trend-carbon-nedatirovanniy-serebro-19277111/" , "19277.111 Ежедневник Carbon недатированный, серебро")</f>
      </c>
      <c r="C31438" s="4" t="n">
        <v>1089.00</v>
      </c>
      <c r="D31438" s="4"/>
    </row>
    <row collapsed="" customFormat="false" customHeight="1" hidden="" ht="14" outlineLevel="0" r="31439">
      <c r="A31439" s="3" t="inlineStr">
        <is>
          <t>31265</t>
        </is>
      </c>
      <c r="B31439" s="4" t="s">
        <f>=HYPERLINK("http://anyluxury.ru/shop/ezhednevniki-i-bloknoty/ezhednevniki/ezhednevnik-portobello-trend-stella-nedatirovanniy-bezheviy-22257525/" , "22257.525 Ежедневник Stella недатированный с магнитом на обложке, бежевый")</f>
      </c>
      <c r="C31439" s="4" t="n">
        <v>1206.00</v>
      </c>
      <c r="D31439" s="4"/>
    </row>
    <row collapsed="" customFormat="false" customHeight="1" hidden="" ht="14" outlineLevel="0" r="31440">
      <c r="A31440" s="3" t="inlineStr">
        <is>
          <t>31266</t>
        </is>
      </c>
      <c r="B31440" s="4" t="s">
        <f>=HYPERLINK("http://anyluxury.ru/shop/ezhednevniki-i-bloknoty/ezhednevniki/ezhednevnik-portobello-trend-stella-nedatirovanniy-biryuzoviy-22257600/" , "22257.600 Ежедневник Stella недатированный с магнитом на обложке, бирюзовый")</f>
      </c>
      <c r="C31440" s="4" t="n">
        <v>1206.00</v>
      </c>
      <c r="D31440" s="4"/>
    </row>
    <row collapsed="" customFormat="false" customHeight="1" hidden="" ht="14" outlineLevel="0" r="31441">
      <c r="A31441" s="3" t="inlineStr">
        <is>
          <t>31267</t>
        </is>
      </c>
      <c r="B31441" s="4" t="s">
        <f>=HYPERLINK("http://anyluxury.ru/shop/ezhednevniki-i-bloknoty/ezhednevniki/ezhednevnik-portobello-trend-stella-nedatirovanniy-svetlozeleniy-22257040/" , "22257.040 Ежедневник Stella недатированный с магнитом на обложке, светло-зеленый")</f>
      </c>
      <c r="C31441" s="4" t="n">
        <v>1206.00</v>
      </c>
      <c r="D31441" s="4"/>
    </row>
    <row collapsed="" customFormat="false" customHeight="1" hidden="" ht="14" outlineLevel="0" r="31442">
      <c r="A31442" s="3" t="inlineStr">
        <is>
          <t>31268</t>
        </is>
      </c>
      <c r="B31442" s="4" t="s">
        <f>=HYPERLINK("http://anyluxury.ru/shop/ezhednevniki-i-bloknoty/ezhednevniki/ezhednevnik-portobello-trend-stella-nedatirovanniy-seriy-22257080/" , "22257.080 Ежедневник Stella недатированный с магнитом на обложке, серый")</f>
      </c>
      <c r="C31442" s="4" t="n">
        <v>1206.00</v>
      </c>
      <c r="D31442" s="4"/>
    </row>
    <row collapsed="" customFormat="false" customHeight="1" hidden="" ht="14" outlineLevel="0" r="31443">
      <c r="A31443" s="3" t="inlineStr">
        <is>
          <t>31269</t>
        </is>
      </c>
      <c r="B31443" s="4" t="s">
        <f>=HYPERLINK("http://anyluxury.ru/shop/ezhednevniki-i-bloknoty/ezhednevniki/ezhednevnik-portobello-trend-stella-nedatirovanniy-siniy-22257030/" , "22257.030 Ежедневник Stella недатированный с магнитом на обложке, синий")</f>
      </c>
      <c r="C31443" s="4" t="n">
        <v>1206.00</v>
      </c>
      <c r="D31443" s="4"/>
    </row>
    <row collapsed="" customFormat="false" customHeight="1" hidden="" ht="14" outlineLevel="0" r="31444">
      <c r="A31444" s="3" t="inlineStr">
        <is>
          <t>31270</t>
        </is>
      </c>
      <c r="B31444" s="4" t="s">
        <f>=HYPERLINK("http://anyluxury.ru/shop/ezhednevniki-i-bloknoty/ezhednevniki/ezhednevnik-portobello-trend-stella-nedatirovanniy-cherniy-22257010/" , "22257.010 Ежедневник Stella недатированный с магнитом на обложке, черный")</f>
      </c>
      <c r="C31444" s="4" t="n">
        <v>1206.00</v>
      </c>
      <c r="D31444" s="4"/>
    </row>
    <row collapsed="" customFormat="false" customHeight="1" hidden="" ht="14" outlineLevel="0" r="31445">
      <c r="A31445" s="3" t="inlineStr">
        <is>
          <t>31271</t>
        </is>
      </c>
      <c r="B31445" s="4" t="s">
        <f>=HYPERLINK("http://anyluxury.ru/shop/ezhednevniki-i-bloknoty/ezhednevniki/ezhednevnik-portobello-trend-latte-new-nedatirovanniy-cherniyoranzheviy-bez-upakovki-bez-stikera-152540101/" , "15254.010.1 Ежедневник Latte NEW недатированный, черный/оранжевый (без упаковки, без стикера)")</f>
      </c>
      <c r="C31445" s="4" t="n">
        <v>835.00</v>
      </c>
      <c r="D31445" s="4"/>
    </row>
    <row collapsed="" customFormat="false" customHeight="1" hidden="" ht="14" outlineLevel="0" r="31446">
      <c r="A31446" s="3" t="inlineStr">
        <is>
          <t>31272</t>
        </is>
      </c>
      <c r="B31446" s="4" t="s">
        <f>=HYPERLINK("http://anyluxury.ru/shop/ezhednevniki-i-bloknoty/ezhednevniki/ezhednevnik-portobello-trend-river-side-nedatirovanniy-krasniyzeleniy-bez-upakovki-bez-stikera-152560601/" , "15256.060.1 Ежедневник River side недатированный, красный/зеленый (без упаковки, без стикера)")</f>
      </c>
      <c r="C31446" s="4" t="n">
        <v>871.00</v>
      </c>
      <c r="D31446" s="4"/>
    </row>
    <row collapsed="" customFormat="false" customHeight="1" hidden="" ht="14" outlineLevel="0" r="31447">
      <c r="A31447" s="3" t="inlineStr">
        <is>
          <t>31273</t>
        </is>
      </c>
      <c r="B31447" s="4" t="s">
        <f>=HYPERLINK("http://anyluxury.ru/shop/ezhednevniki-i-bloknoty/ezhednevniki/ezhednevnik-portobello-trend-river-side-nedatirovanniy-siniyoranzheviy-bez-upakovki-bez-stikera-152560301/" , "15256.030.1 Ежедневник River side недатированный, синий/оранжевый (без упаковки, без стикера)")</f>
      </c>
      <c r="C31447" s="4" t="n">
        <v>871.00</v>
      </c>
      <c r="D31447" s="4"/>
    </row>
    <row collapsed="" customFormat="false" customHeight="1" hidden="" ht="14" outlineLevel="0" r="31448">
      <c r="A31448" s="3" t="inlineStr">
        <is>
          <t>31274</t>
        </is>
      </c>
      <c r="B31448" s="4" t="s">
        <f>=HYPERLINK("http://anyluxury.ru/shop/ezhednevniki-i-bloknoty/ezhednevniki/ezhednevnik-portobello-trend-tweed-nedatirovanniy-zeleniy-bez-upakovki-bez-stikera-182690401/" , "18269.040.1 Ежедневник Tweed недатированный, зеленый (без упаковки, без стикера)")</f>
      </c>
      <c r="C31448" s="4" t="n">
        <v>986.00</v>
      </c>
      <c r="D31448" s="4"/>
    </row>
    <row collapsed="" customFormat="false" customHeight="1" hidden="" ht="14" outlineLevel="0" r="31449">
      <c r="A31449" s="3" t="inlineStr">
        <is>
          <t>31275</t>
        </is>
      </c>
      <c r="B31449" s="4" t="s">
        <f>=HYPERLINK("http://anyluxury.ru/shop/ezhednevniki-i-bloknoty/ezhednevniki/ezhednevnik-portobello-trend-tweed-nedatirovanniy-seriy-bez-upakovki-bez-stikera-182690801/" , "18269.080.1 Ежедневник Tweed недатированный, серый (без упаковки, без стикера)")</f>
      </c>
      <c r="C31449" s="4" t="n">
        <v>986.00</v>
      </c>
      <c r="D31449" s="4"/>
    </row>
    <row collapsed="" customFormat="false" customHeight="1" hidden="" ht="14" outlineLevel="0" r="31450">
      <c r="A31450" s="3" t="inlineStr">
        <is>
          <t>31276</t>
        </is>
      </c>
      <c r="B31450" s="4" t="s">
        <f>=HYPERLINK("http://anyluxury.ru/shop/ezhednevniki-i-bloknoty/ezhednevniki/ezhednevnik-portobello-trend-tweed-nedatirovanniy-siniy-bez-upakovki-bez-stikera-182690301/" , "18269.030.1 Ежедневник Tweed недатированный, синий (без упаковки, без стикера)")</f>
      </c>
      <c r="C31450" s="4" t="n">
        <v>986.00</v>
      </c>
      <c r="D31450" s="4"/>
    </row>
    <row collapsed="" customFormat="false" customHeight="1" hidden="" ht="14" outlineLevel="0" r="31451">
      <c r="A31451" s="3" t="inlineStr">
        <is>
          <t>31277</t>
        </is>
      </c>
      <c r="B31451" s="4" t="s">
        <f>=HYPERLINK("http://anyluxury.ru/shop/ezhednevniki-i-bloknoty/ezhednevniki/ezhednevnik-portobello-trend-marseille-soft-touch-nedatirovanniy-krasniy-1815710601/" , "181571.060.1 Ежедневник Marseille soft touch недатированный, светло-красный")</f>
      </c>
      <c r="C31451" s="4" t="n">
        <v>1020.00</v>
      </c>
      <c r="D31451" s="4"/>
    </row>
    <row collapsed="" customFormat="false" customHeight="1" hidden="" ht="14" outlineLevel="0" r="31452">
      <c r="A31452" s="3" t="inlineStr">
        <is>
          <t>31278</t>
        </is>
      </c>
      <c r="B31452" s="4" t="s">
        <f>=HYPERLINK("http://anyluxury.ru/shop/ezhednevniki-i-bloknoty/ezhednevniki/bloknot-portobello-notebook-trend-moon-river-slim-burgundi-23279050/" , "23279.050 Блокнот Moon river slim, бургунди")</f>
      </c>
      <c r="C31452" s="4" t="n">
        <v>330.00</v>
      </c>
      <c r="D31452" s="4"/>
    </row>
    <row collapsed="" customFormat="false" customHeight="1" hidden="" ht="14" outlineLevel="0" r="31453">
      <c r="A31453" s="3" t="inlineStr">
        <is>
          <t>31279</t>
        </is>
      </c>
      <c r="B31453" s="4" t="s">
        <f>=HYPERLINK("http://anyluxury.ru/shop/ezhednevniki-i-bloknoty/ezhednevniki/ezhednevnik-portobello-trend-chameleon-nedatirovanniy-zeleniyoranzheviy-17266040070/" , "17266.040.070 Ежедневник Chameleon недатированный, зеленый/оранжевый")</f>
      </c>
      <c r="C31453" s="4" t="n">
        <v>690.00</v>
      </c>
      <c r="D31453" s="4"/>
    </row>
    <row collapsed="" customFormat="false" customHeight="1" hidden="" ht="14" outlineLevel="0" r="31454">
      <c r="A31454" s="3" t="inlineStr">
        <is>
          <t>31280</t>
        </is>
      </c>
      <c r="B31454" s="4" t="s">
        <f>=HYPERLINK("http://anyluxury.ru/shop/ezhednevniki-i-bloknoty/ezhednevniki/ezhednevnik-birmingham-a5-datirovanniy-2024-g-cherniy-24001011/" , "24001.011 Ежедневник Birmingham датированный, черный (2024 г.)")</f>
      </c>
      <c r="C31454" s="4" t="n">
        <v>650.00</v>
      </c>
      <c r="D31454" s="4"/>
    </row>
    <row collapsed="" customFormat="false" customHeight="1" hidden="" ht="14" outlineLevel="0" r="31455">
      <c r="A31455" s="3" t="inlineStr">
        <is>
          <t>31281</t>
        </is>
      </c>
      <c r="B31455" s="4" t="s">
        <f>=HYPERLINK("http://anyluxury.ru/shop/ezhednevniki-i-bloknoty/ezhednevniki/ezhednevnik-nedatirovanniy-canyon-btobook-krasniy-bez-upakovki-bez-stikera-00327060/" , "00327.060 Ежедневник Canyon Btobook недатированный, красный (без упаковки, без стикера)")</f>
      </c>
      <c r="C31455" s="4" t="n">
        <v>620.00</v>
      </c>
      <c r="D31455" s="4"/>
    </row>
    <row collapsed="" customFormat="false" customHeight="1" hidden="" ht="14" outlineLevel="0" r="31456">
      <c r="A31456" s="3" t="inlineStr">
        <is>
          <t>31282</t>
        </is>
      </c>
      <c r="B31456" s="4" t="s">
        <f>=HYPERLINK("http://anyluxury.ru/shop/ezhednevniki-i-bloknoty/ezhednevniki/ezhednevnik-nedatirovanniy-chameleon-btobook-cherniykrasniy-bez-upakovki-bez-stikera-00334010060/" , "00334.010.060 Ежедневник Chameleon BtoBook недатированный, черный/красный (без упаковки, без стикера)")</f>
      </c>
      <c r="C31456" s="4" t="n">
        <v>620.00</v>
      </c>
      <c r="D31456" s="4"/>
    </row>
    <row collapsed="" customFormat="false" customHeight="1" hidden="" ht="14" outlineLevel="0" r="31457">
      <c r="A31457" s="3" t="inlineStr">
        <is>
          <t>31283</t>
        </is>
      </c>
      <c r="B31457" s="4" t="s">
        <f>=HYPERLINK("http://anyluxury.ru/shop/ezhednevniki-i-bloknoty/ezhednevniki/ezhednevnik-nedatirovanniy-chameleon-btobook-cherniyoranzheviy-bez-upakovki-bez-stikera-00334010070/" , "00334.010.070 Ежедневник Chameleon BtoBook недатированный, черный/оранжевый (без упаковки, без стикера)")</f>
      </c>
      <c r="C31457" s="4" t="n">
        <v>620.00</v>
      </c>
      <c r="D31457" s="4"/>
    </row>
    <row collapsed="" customFormat="false" customHeight="1" hidden="" ht="14" outlineLevel="0" r="31458">
      <c r="A31458" s="3" t="inlineStr">
        <is>
          <t>31284</t>
        </is>
      </c>
      <c r="B31458" s="4" t="s">
        <f>=HYPERLINK("http://anyluxury.ru/shop/ezhednevniki-i-bloknoty/ezhednevniki/ezhednevnik-nedatirovanniy-dallas-btobook-cherniy-bez-upakovki-bez-stikera-00337010/" , "00337.010 Ежедневник Dallas Btobook недатированный, черный (без упаковки, без стикера)")</f>
      </c>
      <c r="C31458" s="4" t="n">
        <v>620.00</v>
      </c>
      <c r="D31458" s="4"/>
    </row>
    <row collapsed="" customFormat="false" customHeight="1" hidden="" ht="14" outlineLevel="0" r="31459">
      <c r="A31459" s="3" t="inlineStr">
        <is>
          <t>31285</t>
        </is>
      </c>
      <c r="B31459" s="4" t="s">
        <f>=HYPERLINK("http://anyluxury.ru/shop/ezhednevniki-i-bloknoty/ezhednevniki/ezhednevnik-nedatirovanniy-portland-btobook-zeleniy-bez-upakovki-bez-stikera-00338040/" , "00338.040 Ежедневник Portland Btobook недатированный, зеленый (без упаковки, без стикера)")</f>
      </c>
      <c r="C31459" s="4" t="n">
        <v>620.00</v>
      </c>
      <c r="D31459" s="4"/>
    </row>
    <row collapsed="" customFormat="false" customHeight="1" hidden="" ht="14" outlineLevel="0" r="31460">
      <c r="A31460" s="3" t="inlineStr">
        <is>
          <t>31286</t>
        </is>
      </c>
      <c r="B31460" s="4" t="s">
        <f>=HYPERLINK("http://anyluxury.ru/shop/ezhednevniki-i-bloknoty/ezhednevniki/ezhednevnik-nedatirovanniy-portland-btobook-oranzheviy-bez-upakovki-bez-stikera-00338070/" , "00338.070 Ежедневник Portland BtoBook недатированный, оранжевый (без упаковки, без стикера)")</f>
      </c>
      <c r="C31460" s="4" t="n">
        <v>620.00</v>
      </c>
      <c r="D31460" s="4"/>
    </row>
    <row collapsed="" customFormat="false" customHeight="1" hidden="" ht="14" outlineLevel="0" r="31461">
      <c r="A31461" s="3" t="inlineStr">
        <is>
          <t>31287</t>
        </is>
      </c>
      <c r="B31461" s="4" t="s">
        <f>=HYPERLINK("http://anyluxury.ru/shop/ezhednevniki-i-bloknoty/ezhednevniki/ezhednevnik-nedatirovanniy-reina-btobook-siniy-bez-upakovki-bez-stikera-00340030/" , "00340.030 Ежедневник Reina BtoBook недатированный, синий (без упаковки, без стикера)")</f>
      </c>
      <c r="C31461" s="4" t="n">
        <v>620.00</v>
      </c>
      <c r="D31461" s="4"/>
    </row>
    <row collapsed="" customFormat="false" customHeight="1" hidden="" ht="14" outlineLevel="0" r="31462">
      <c r="A31462" s="3" t="inlineStr">
        <is>
          <t>31288</t>
        </is>
      </c>
      <c r="B31462" s="4" t="s">
        <f>=HYPERLINK("http://anyluxury.ru/shop/ezhednevniki-i-bloknoty/ezhednevniki/ezhednevnik-nedatirovanniy-vegas-btobook-zeleniy-bez-upakovki-bez-stikera-00336040/" , "00336.040 Ежедневник Vegas BtoBook недатированный, зеленый (без упаковки, без стикера)")</f>
      </c>
      <c r="C31462" s="4" t="n">
        <v>620.00</v>
      </c>
      <c r="D31462" s="4"/>
    </row>
    <row collapsed="" customFormat="false" customHeight="1" hidden="" ht="14" outlineLevel="0" r="31463">
      <c r="A31463" s="3" t="inlineStr">
        <is>
          <t>31289</t>
        </is>
      </c>
      <c r="B31463" s="4" t="s">
        <f>=HYPERLINK("http://anyluxury.ru/shop/ezhednevniki-i-bloknoty/ezhednevniki/ezhednevnik-nedatirovanniy-vegas-btobook-krasniy-bez-upakovki-bez-stikera-00336060/" , "00336.060 Ежедневник Vegas BtoBook недатированный, красный (без упаковки, без стикера)")</f>
      </c>
      <c r="C31463" s="4" t="n">
        <v>620.00</v>
      </c>
      <c r="D31463" s="4"/>
    </row>
    <row collapsed="" customFormat="false" customHeight="1" hidden="" ht="14" outlineLevel="0" r="31464">
      <c r="A31464" s="3" t="inlineStr">
        <is>
          <t>31290</t>
        </is>
      </c>
      <c r="B31464" s="4" t="s">
        <f>=HYPERLINK("http://anyluxury.ru/shop/ezhednevniki-i-bloknoty/ezhednevniki/ezhednevnik-portobello-trend-spark-nedatirovanniy-zeleniy-bez-upakovki-bez-stikera-192800401/" , "19280.040.1 Ежедневник Spark недатированный, зеленый (без упаковки, без стикера)")</f>
      </c>
      <c r="C31464" s="4" t="n">
        <v>699.00</v>
      </c>
      <c r="D31464" s="4"/>
    </row>
    <row collapsed="" customFormat="false" customHeight="1" hidden="" ht="14" outlineLevel="0" r="31465">
      <c r="A31465" s="3" t="inlineStr">
        <is>
          <t>31291</t>
        </is>
      </c>
      <c r="B31465" s="4" t="s">
        <f>=HYPERLINK("http://anyluxury.ru/shop/ezhednevniki-i-bloknoty/ezhednevniki/ezhednevnik-portobello-trend-spark-nedatirovanniy-krasniy-bez-upakovki-bez-stikera-192800601/" , "19280.060.1 Ежедневник Spark недатированный, красный (без упаковки, без стикера)")</f>
      </c>
      <c r="C31465" s="4" t="n">
        <v>699.00</v>
      </c>
      <c r="D31465" s="4"/>
    </row>
    <row collapsed="" customFormat="false" customHeight="1" hidden="" ht="14" outlineLevel="0" r="31466">
      <c r="A31466" s="3" t="inlineStr">
        <is>
          <t>31292</t>
        </is>
      </c>
      <c r="B31466" s="4" t="s">
        <f>=HYPERLINK("http://anyluxury.ru/shop/ezhednevniki-i-bloknoty/ezhednevniki/ezhednevnik-portobello-trend-spark-nedatirovanniy-oranzheviy-bez-upakovki-bez-stikera-192800701/" , "19280.070.1 Ежедневник Spark недатированный, оранжевый (без упаковки, без стикера)")</f>
      </c>
      <c r="C31466" s="4" t="n">
        <v>699.00</v>
      </c>
      <c r="D31466" s="4"/>
    </row>
    <row collapsed="" customFormat="false" customHeight="1" hidden="" ht="14" outlineLevel="0" r="31467">
      <c r="A31467" s="3" t="inlineStr">
        <is>
          <t>31293</t>
        </is>
      </c>
      <c r="B31467" s="4" t="s">
        <f>=HYPERLINK("http://anyluxury.ru/shop/ezhednevniki-i-bloknoty/ezhednevniki/ezhednevnik-portobello-trend-spark-nedatirovanniy-serebryaniy-bez-upakovki-bez-stikera-192801111/" , "19280.111.1 Ежедневник Spark недатированный, серебряный (без упаковки, без стикера)")</f>
      </c>
      <c r="C31467" s="4" t="n">
        <v>699.00</v>
      </c>
      <c r="D31467" s="4"/>
    </row>
    <row collapsed="" customFormat="false" customHeight="1" hidden="" ht="14" outlineLevel="0" r="31468">
      <c r="A31468" s="3" t="inlineStr">
        <is>
          <t>31294</t>
        </is>
      </c>
      <c r="B31468" s="4" t="s">
        <f>=HYPERLINK("http://anyluxury.ru/shop/ezhednevniki-i-bloknoty/ezhednevniki/ezhednevnik-portobello-trend-spark-nedatirovanniy-fioletoviy-bez-upakovki-bez-stikera-192800341/" , "19280.034.1 Ежедневник Spark недатированный, фиолетовый (без упаковки, без стикера)")</f>
      </c>
      <c r="C31468" s="4" t="n">
        <v>699.00</v>
      </c>
      <c r="D31468" s="4"/>
    </row>
    <row collapsed="" customFormat="false" customHeight="1" hidden="" ht="14" outlineLevel="0" r="31469">
      <c r="A31469" s="3" t="inlineStr">
        <is>
          <t>31295</t>
        </is>
      </c>
      <c r="B31469" s="4" t="s">
        <f>=HYPERLINK("http://anyluxury.ru/shop/ezhednevniki-i-bloknoty/ezhednevniki/ezhednevnik-marseille-a5-datirovanniy-2024-g-cherniy-24003011/" , "24003.011 Ежедневник Marseille датированный, черный (2024 г.)")</f>
      </c>
      <c r="C31469" s="4" t="n">
        <v>650.00</v>
      </c>
      <c r="D31469" s="4"/>
    </row>
    <row collapsed="" customFormat="false" customHeight="1" hidden="" ht="14" outlineLevel="0" r="31470">
      <c r="A31470" s="3" t="inlineStr">
        <is>
          <t>31296</t>
        </is>
      </c>
      <c r="B31470" s="4" t="s">
        <f>=HYPERLINK("http://anyluxury.ru/shop/ezhednevniki-i-bloknoty/ezhednevniki/ezhednevnik-portobello-trend-arctic-nedatirovanniy-beliyzeleniy-23261040/" , "23261.040 Ежедневник Arctic недатированный, белый/зеленый")</f>
      </c>
      <c r="C31470" s="4" t="n">
        <v>1150.00</v>
      </c>
      <c r="D31470" s="4"/>
    </row>
    <row collapsed="" customFormat="false" customHeight="1" hidden="" ht="14" outlineLevel="0" r="31471">
      <c r="A31471" s="3" t="inlineStr">
        <is>
          <t>31297</t>
        </is>
      </c>
      <c r="B31471" s="4" t="s">
        <f>=HYPERLINK("http://anyluxury.ru/shop/ezhednevniki-i-bloknoty/ezhednevniki/ezhednevnik-portobello-trend-arctic-nedatirovanniy-beliykrasniy-23261060/" , "23261.060 Ежедневник Arctic недатированный, белый/красный")</f>
      </c>
      <c r="C31471" s="4" t="n">
        <v>1150.00</v>
      </c>
      <c r="D31471" s="4"/>
    </row>
    <row collapsed="" customFormat="false" customHeight="1" hidden="" ht="14" outlineLevel="0" r="31472">
      <c r="A31472" s="3" t="inlineStr">
        <is>
          <t>31298</t>
        </is>
      </c>
      <c r="B31472" s="4" t="s">
        <f>=HYPERLINK("http://anyluxury.ru/shop/ezhednevniki-i-bloknoty/ezhednevniki/ezhednevnik-portobello-trend-arctic-nedatirovanniy-beliyseriy-23261080/" , "23261.080 Ежедневник Arctic недатированный, белый/серый")</f>
      </c>
      <c r="C31472" s="4" t="n">
        <v>1150.00</v>
      </c>
      <c r="D31472" s="4"/>
    </row>
    <row collapsed="" customFormat="false" customHeight="1" hidden="" ht="14" outlineLevel="0" r="31473">
      <c r="A31473" s="3" t="inlineStr">
        <is>
          <t>31299</t>
        </is>
      </c>
      <c r="B31473" s="4" t="s">
        <f>=HYPERLINK("http://anyluxury.ru/shop/ezhednevniki-i-bloknoty/ezhednevniki/ezhednevnik-portobello-trend-arctic-nedatirovanniy-beliysiniy-23261030/" , "23261.030 Ежедневник Arctic недатированный, белый/синий")</f>
      </c>
      <c r="C31473" s="4" t="n">
        <v>1150.00</v>
      </c>
      <c r="D31473" s="4"/>
    </row>
    <row collapsed="" customFormat="false" customHeight="1" hidden="" ht="14" outlineLevel="0" r="31474">
      <c r="A31474" s="3" t="inlineStr">
        <is>
          <t>31300</t>
        </is>
      </c>
      <c r="B31474" s="4" t="s">
        <f>=HYPERLINK("http://anyluxury.ru/shop/ezhednevniki-i-bloknoty/ezhednevniki/ezhednevnik-portobello-trend-ritz-nedatirovanniy-bezheviy-tverdaya-oblozhka-23281525/" , "23281.525 Ежедневник Ritz недатированный, бежевый, твердая обложка")</f>
      </c>
      <c r="C31474" s="4" t="n">
        <v>1209.00</v>
      </c>
      <c r="D31474" s="4"/>
    </row>
    <row collapsed="" customFormat="false" customHeight="1" hidden="" ht="14" outlineLevel="0" r="31475">
      <c r="A31475" s="3" t="inlineStr">
        <is>
          <t>31301</t>
        </is>
      </c>
      <c r="B31475" s="4" t="s">
        <f>=HYPERLINK("http://anyluxury.ru/shop/ezhednevniki-i-bloknoty/ezhednevniki/ezhednevnik-portobello-trend-ritz-nedatirovanniy-biryuzoviy-tverdaya-oblozhka-23281600/" , "23281.600 Ежедневник Ritz недатированный, бирюзовый, твердая обложка")</f>
      </c>
      <c r="C31475" s="4" t="n">
        <v>1209.00</v>
      </c>
      <c r="D31475" s="4"/>
    </row>
    <row collapsed="" customFormat="false" customHeight="1" hidden="" ht="14" outlineLevel="0" r="31476">
      <c r="A31476" s="3" t="inlineStr">
        <is>
          <t>31302</t>
        </is>
      </c>
      <c r="B31476" s="4" t="s">
        <f>=HYPERLINK("http://anyluxury.ru/shop/ezhednevniki-i-bloknoty/ezhednevniki/ezhednevnik-portobello-trend-ritz-nedatirovanniy-seriy-tverdaya-oblozhka-23281080/" , "23281.080 Ежедневник Ritz недатированный, серый, твердая обложка")</f>
      </c>
      <c r="C31476" s="4" t="n">
        <v>1209.00</v>
      </c>
      <c r="D31476" s="4"/>
    </row>
    <row collapsed="" customFormat="false" customHeight="1" hidden="" ht="14" outlineLevel="0" r="31477">
      <c r="A31477" s="3" t="inlineStr">
        <is>
          <t>31303</t>
        </is>
      </c>
      <c r="B31477" s="4" t="s">
        <f>=HYPERLINK("http://anyluxury.ru/shop/ezhednevniki-i-bloknoty/ezhednevniki/ezhednevnik-portobello-trend-ritz-nedatirovanniy-siniy-tverdaya-oblozhka-23281030/" , "23281.030 Ежедневник Ritz недатированный, синий, твердая обложка")</f>
      </c>
      <c r="C31477" s="4" t="n">
        <v>1209.00</v>
      </c>
      <c r="D31477" s="4"/>
    </row>
    <row collapsed="" customFormat="false" customHeight="1" hidden="" ht="14" outlineLevel="0" r="31478">
      <c r="A31478" s="3" t="inlineStr">
        <is>
          <t>31304</t>
        </is>
      </c>
      <c r="B31478" s="4" t="s">
        <f>=HYPERLINK("http://anyluxury.ru/shop/ezhednevniki-i-bloknoty/ezhednevniki/ezhednevnik-portobello-trend-ritz-nedatirovanniy-cherniy-tverdaya-oblozhka-23281010/" , "23281.010 Ежедневник Ritz недатированный, черный, твердая обложка")</f>
      </c>
      <c r="C31478" s="4" t="n">
        <v>1209.00</v>
      </c>
      <c r="D31478" s="4"/>
    </row>
    <row collapsed="" customFormat="false" customHeight="1" hidden="" ht="14" outlineLevel="0" r="31479">
      <c r="A31479" s="3" t="inlineStr">
        <is>
          <t>31305</t>
        </is>
      </c>
      <c r="B31479" s="4" t="s">
        <f>=HYPERLINK("http://anyluxury.ru/shop/ezhednevniki-i-bloknoty/ezhednevniki/ezhednevnik-portobello-trend-alpha-nedatirovanniy-cherniybezheviy-17264011/" , "17264.011 Ежедневник Alpha недатированный, черный/бежевый")</f>
      </c>
      <c r="C31479" s="4" t="n">
        <v>1150.00</v>
      </c>
      <c r="D31479" s="4"/>
    </row>
    <row collapsed="" customFormat="false" customHeight="1" hidden="" ht="14" outlineLevel="0" r="31480">
      <c r="A31480" s="3" t="inlineStr">
        <is>
          <t>31306</t>
        </is>
      </c>
      <c r="B31480" s="4" t="s">
        <f>=HYPERLINK("http://anyluxury.ru/shop/ezhednevniki-i-bloknoty/ezhednevniki/ezhednevnik-portobello-trend-alpha-nedatirovanniy-korichneviybezheviy-17264021/" , "17264.021 Ежедневник Alpha недатированный, коричневый/бежевый")</f>
      </c>
      <c r="C31480" s="4" t="n">
        <v>1150.00</v>
      </c>
      <c r="D31480" s="4"/>
    </row>
    <row collapsed="" customFormat="false" customHeight="1" hidden="" ht="14" outlineLevel="0" r="31481">
      <c r="A31481" s="3" t="inlineStr">
        <is>
          <t>31307</t>
        </is>
      </c>
      <c r="B31481" s="4" t="s">
        <f>=HYPERLINK("http://anyluxury.ru/shop/ezhednevniki-i-bloknoty/ezhednevniki/ezhednevnik-datirovannyy-2024-bolshoy-format-210kh297-mm-a4-brauberg-iguana-pod-kozhu-korichnevyy/" , "114776 Ежедневник датированный 2024 БОЛЬШОЙ ФОРМАТ 210х297 мм А4, BRAUBERG 'Iguana', под кожу, коричневый")</f>
      </c>
      <c r="C31481" s="4" t="n">
        <v>998.00</v>
      </c>
      <c r="D31481" s="4"/>
    </row>
    <row collapsed="" customFormat="false" customHeight="1" hidden="" ht="14" outlineLevel="0" r="31482">
      <c r="A31482" s="3" t="inlineStr">
        <is>
          <t>31308</t>
        </is>
      </c>
      <c r="B31482" s="4" t="s">
        <f>=HYPERLINK("http://anyluxury.ru/shop/ezhednevniki-i-bloknoty/ezhednevniki/ezhednevnik-datirovannyy-2024-bolshoy-format-210kh297-mm-a4-brauberg-iguana-pod-kozhu-siniy/" , "114777 Ежедневник датированный 2024 БОЛЬШОЙ ФОРМАТ 210х297 мм А4, BRAUBERG 'Iguana', под кожу, синий")</f>
      </c>
      <c r="C31482" s="4" t="n">
        <v>998.00</v>
      </c>
      <c r="D31482" s="4"/>
    </row>
    <row collapsed="" customFormat="false" customHeight="1" hidden="" ht="14" outlineLevel="0" r="31483">
      <c r="A31483" s="3" t="inlineStr">
        <is>
          <t>31309</t>
        </is>
      </c>
      <c r="B31483" s="4" t="s">
        <f>=HYPERLINK("http://anyluxury.ru/shop/ezhednevniki-i-bloknoty/ezhednevniki/ezhednevnik-portobello-trend-in-velour-nedatirovanniy-biryuzoviy-22255600/" , "22255.600 Ежедневник In Velour недатированный, бирюзовый")</f>
      </c>
      <c r="C31483" s="4" t="n">
        <v>1293.00</v>
      </c>
      <c r="D31483" s="4"/>
    </row>
    <row collapsed="" customFormat="false" customHeight="1" hidden="" ht="14" outlineLevel="0" r="31484">
      <c r="A31484" s="3" t="inlineStr">
        <is>
          <t>31310</t>
        </is>
      </c>
      <c r="B31484" s="4" t="s">
        <f>=HYPERLINK("http://anyluxury.ru/shop/ezhednevniki-i-bloknoty/ezhednevniki/ezhednevnik-portobello-trend-in-velour-nedatirovanniy-seriy-22255080/" , "22255.080 Ежедневник In Velour недатированный, серый")</f>
      </c>
      <c r="C31484" s="4" t="n">
        <v>1293.00</v>
      </c>
      <c r="D31484" s="4"/>
    </row>
    <row collapsed="" customFormat="false" customHeight="1" hidden="" ht="14" outlineLevel="0" r="31485">
      <c r="A31485" s="3" t="inlineStr">
        <is>
          <t>31311</t>
        </is>
      </c>
      <c r="B31485" s="4" t="s">
        <f>=HYPERLINK("http://anyluxury.ru/shop/ezhednevniki-i-bloknoty/ezhednevniki/ezhednevnik-portobello-trend-in-velour-nedatirovanniy-siniy-22255030/" , "22255.030 Ежедневник In Velour недатированный, синий")</f>
      </c>
      <c r="C31485" s="4" t="n">
        <v>1293.00</v>
      </c>
      <c r="D31485" s="4"/>
    </row>
    <row collapsed="" customFormat="false" customHeight="1" hidden="" ht="14" outlineLevel="0" r="31486">
      <c r="A31486" s="3" t="inlineStr">
        <is>
          <t>31312</t>
        </is>
      </c>
      <c r="B31486" s="4" t="s">
        <f>=HYPERLINK("http://anyluxury.ru/shop/ezhednevniki-i-bloknoty/ezhednevniki/ezhednevnik-portobello-trend-in-velour-nedatirovanniy-cherniy-22255010/" , "22255.010 Ежедневник In Velour недатированный, черный")</f>
      </c>
      <c r="C31486" s="4" t="n">
        <v>1293.00</v>
      </c>
      <c r="D31486" s="4"/>
    </row>
    <row collapsed="" customFormat="false" customHeight="1" hidden="" ht="14" outlineLevel="0" r="31487">
      <c r="A31487" s="3" t="inlineStr">
        <is>
          <t>31313</t>
        </is>
      </c>
      <c r="B31487" s="4" t="s">
        <f>=HYPERLINK("http://anyluxury.ru/shop/ezhednevniki-i-bloknoty/ezhednevniki/ezhednevnik-portobello-trend-vetro-nedatirovanniy-korichneviy-22256020/" , "22256.020 Ежедневник Vetro недатированный, коричневый")</f>
      </c>
      <c r="C31487" s="4" t="n">
        <v>650.00</v>
      </c>
      <c r="D31487" s="4"/>
    </row>
    <row collapsed="" customFormat="false" customHeight="1" hidden="" ht="14" outlineLevel="0" r="31488">
      <c r="A31488" s="3" t="inlineStr">
        <is>
          <t>31314</t>
        </is>
      </c>
      <c r="B31488" s="4" t="s">
        <f>=HYPERLINK("http://anyluxury.ru/shop/ezhednevniki-i-bloknoty/ezhednevniki/ezhednevnik-portobello-trend-vetro-nedatirovanniy-cherniy-22256010/" , "22256.010 Ежедневник Vetro недатированный, черный")</f>
      </c>
      <c r="C31488" s="4" t="n">
        <v>650.00</v>
      </c>
      <c r="D31488" s="4"/>
    </row>
    <row collapsed="" customFormat="false" customHeight="1" hidden="" ht="14" outlineLevel="0" r="31489">
      <c r="A31489" s="3" t="inlineStr">
        <is>
          <t>31315</t>
        </is>
      </c>
      <c r="B31489" s="4" t="s">
        <f>=HYPERLINK("http://anyluxury.ru/shop/ezhednevniki-i-bloknoty/ezhednevniki/ezhednevnik-portobello-trend-lite-chameleon-nedatir-256-str-zeleniyoranzheviy-22258040070/" , "22258.040.070 Ежедневник Portobello Trend Lite, Chameleon, недатир. 256 стр., зеленый/оранжевый")</f>
      </c>
      <c r="C31489" s="4" t="n">
        <v>515.00</v>
      </c>
      <c r="D31489" s="4"/>
    </row>
    <row collapsed="" customFormat="false" customHeight="1" hidden="" ht="14" outlineLevel="0" r="31490">
      <c r="A31490" s="3" t="inlineStr">
        <is>
          <t>31316</t>
        </is>
      </c>
      <c r="B31490" s="4" t="s">
        <f>=HYPERLINK("http://anyluxury.ru/shop/ezhednevniki-i-bloknoty/ezhednevniki/ezhednevnik-portobello-trend-lite-chameleon-nedatir-256-str-krasniybeliy-22258060100/" , "22258.060.100 Ежедневник Portobello Trend Lite, Chameleon, недатир. 256 стр., красный/белый")</f>
      </c>
      <c r="C31490" s="4" t="n">
        <v>515.00</v>
      </c>
      <c r="D31490" s="4"/>
    </row>
    <row collapsed="" customFormat="false" customHeight="1" hidden="" ht="14" outlineLevel="0" r="31491">
      <c r="A31491" s="3" t="inlineStr">
        <is>
          <t>31317</t>
        </is>
      </c>
      <c r="B31491" s="4" t="s">
        <f>=HYPERLINK("http://anyluxury.ru/shop/ezhednevniki-i-bloknoty/ezhednevniki/ezhednevnik-portobello-trend-lite-chameleon-nedatir-256-str-oranzheviybeliy-22258070100/" , "22258.070.100 Ежедневник Portobello Trend Lite, Chameleon, недатир. 256 стр., оранжевый/белый")</f>
      </c>
      <c r="C31491" s="4" t="n">
        <v>515.00</v>
      </c>
      <c r="D31491" s="4"/>
    </row>
    <row collapsed="" customFormat="false" customHeight="1" hidden="" ht="14" outlineLevel="0" r="31492">
      <c r="A31492" s="3" t="inlineStr">
        <is>
          <t>31318</t>
        </is>
      </c>
      <c r="B31492" s="4" t="s">
        <f>=HYPERLINK("http://anyluxury.ru/shop/ezhednevniki-i-bloknoty/ezhednevniki/ezhednevnik-portobello-trend-lite-chameleon-nedatir-256-str-cherniyzheltiy-22258010075/" , "22258.010.075 Ежедневник Portobello Trend Lite, Chameleon, недатир. 256 стр., черный/желтый")</f>
      </c>
      <c r="C31492" s="4" t="n">
        <v>515.00</v>
      </c>
      <c r="D31492" s="4"/>
    </row>
    <row collapsed="" customFormat="false" customHeight="1" hidden="" ht="14" outlineLevel="0" r="31493">
      <c r="A31493" s="3" t="inlineStr">
        <is>
          <t>31319</t>
        </is>
      </c>
      <c r="B31493" s="4" t="s">
        <f>=HYPERLINK("http://anyluxury.ru/shop/ezhednevniki-i-bloknoty/ezhednevniki/ezhednevnik-portobello-trend-spark-nedatirovanniy-lazurniy-bez-upakovki-bez-stikera-192802401/" , "19280.240.1 Ежедневник Spark недатированный, лазурный (без упаковки, без стикера)")</f>
      </c>
      <c r="C31493" s="4" t="n">
        <v>699.00</v>
      </c>
      <c r="D31493" s="4"/>
    </row>
    <row collapsed="" customFormat="false" customHeight="1" hidden="" ht="14" outlineLevel="0" r="31494">
      <c r="A31494" s="3" t="inlineStr">
        <is>
          <t>31320</t>
        </is>
      </c>
      <c r="B31494" s="4" t="s">
        <f>=HYPERLINK("http://anyluxury.ru/shop/ezhednevniki-i-bloknoty/ezhednevniki/ezhednevnik-portobello-trend-spark-nedatirovanniy-myatniy-bez-upakovki-bez-stikera-192806501/" , "19280.650.1 Ежедневник Spark недатированный, мятный (без упаковки, без стикера)")</f>
      </c>
      <c r="C31494" s="4" t="n">
        <v>699.00</v>
      </c>
      <c r="D31494" s="4"/>
    </row>
    <row collapsed="" customFormat="false" customHeight="1" hidden="" ht="14" outlineLevel="0" r="31495">
      <c r="A31495" s="3" t="inlineStr">
        <is>
          <t>31321</t>
        </is>
      </c>
      <c r="B31495" s="4" t="s">
        <f>=HYPERLINK("http://anyluxury.ru/shop/ezhednevniki-i-bloknoty/ezhednevniki/bloknot-portobello-notebook-trend-alpha-slim-zeleniy-24264040/" , "24264.040 Блокнот Alpha slim, зеленый")</f>
      </c>
      <c r="C31495" s="4" t="n">
        <v>390.00</v>
      </c>
      <c r="D31495" s="4"/>
    </row>
    <row collapsed="" customFormat="false" customHeight="1" hidden="" ht="14" outlineLevel="0" r="31496">
      <c r="A31496" s="3" t="inlineStr">
        <is>
          <t>31322</t>
        </is>
      </c>
      <c r="B31496" s="4" t="s">
        <f>=HYPERLINK("http://anyluxury.ru/shop/ezhednevniki-i-bloknoty/ezhednevniki/bloknot-portobello-notebook-trend-alpha-slim-korichneviy-24264020/" , "24264.020 Блокнот Alpha slim, коричневый")</f>
      </c>
      <c r="C31496" s="4" t="n">
        <v>390.00</v>
      </c>
      <c r="D31496" s="4"/>
    </row>
    <row collapsed="" customFormat="false" customHeight="1" hidden="" ht="14" outlineLevel="0" r="31497">
      <c r="A31497" s="3" t="inlineStr">
        <is>
          <t>31323</t>
        </is>
      </c>
      <c r="B31497" s="4" t="s">
        <f>=HYPERLINK("http://anyluxury.ru/shop/ezhednevniki-i-bloknoty/ezhednevniki/bloknot-portobello-notebook-trend-alpha-slim-krasniy-24264060/" , "24264.060 Блокнот Alpha slim, красный")</f>
      </c>
      <c r="C31497" s="4" t="n">
        <v>390.00</v>
      </c>
      <c r="D31497" s="4"/>
    </row>
    <row collapsed="" customFormat="false" customHeight="1" hidden="" ht="14" outlineLevel="0" r="31498">
      <c r="A31498" s="3" t="inlineStr">
        <is>
          <t>31324</t>
        </is>
      </c>
      <c r="B31498" s="4" t="s">
        <f>=HYPERLINK("http://anyluxury.ru/shop/ezhednevniki-i-bloknoty/ezhednevniki/bloknot-portobello-notebook-trend-alpha-slim-lazurniy-24264240/" , "24264.240 Блокнот Alpha slim, лазурный")</f>
      </c>
      <c r="C31498" s="4" t="n">
        <v>390.00</v>
      </c>
      <c r="D31498" s="4"/>
    </row>
    <row collapsed="" customFormat="false" customHeight="1" hidden="" ht="14" outlineLevel="0" r="31499">
      <c r="A31499" s="3" t="inlineStr">
        <is>
          <t>31325</t>
        </is>
      </c>
      <c r="B31499" s="4" t="s">
        <f>=HYPERLINK("http://anyluxury.ru/shop/ezhednevniki-i-bloknoty/ezhednevniki/bloknot-portobello-notebook-trend-alpha-slim-oranzheviy-24264070/" , "24264.070 Блокнот Alpha slim, оранжевый")</f>
      </c>
      <c r="C31499" s="4" t="n">
        <v>390.00</v>
      </c>
      <c r="D31499" s="4"/>
    </row>
    <row collapsed="" customFormat="false" customHeight="1" hidden="" ht="14" outlineLevel="0" r="31500">
      <c r="A31500" s="3" t="inlineStr">
        <is>
          <t>31326</t>
        </is>
      </c>
      <c r="B31500" s="4" t="s">
        <f>=HYPERLINK("http://anyluxury.ru/shop/ezhednevniki-i-bloknoty/ezhednevniki/bloknot-portobello-notebook-trend-alpha-slim-seriy-24264080/" , "24264.080 Блокнот Alpha slim, серый")</f>
      </c>
      <c r="C31500" s="4" t="n">
        <v>390.00</v>
      </c>
      <c r="D31500" s="4"/>
    </row>
    <row collapsed="" customFormat="false" customHeight="1" hidden="" ht="14" outlineLevel="0" r="31501">
      <c r="A31501" s="3" t="inlineStr">
        <is>
          <t>31327</t>
        </is>
      </c>
      <c r="B31501" s="4" t="s">
        <f>=HYPERLINK("http://anyluxury.ru/shop/ezhednevniki-i-bloknoty/ezhednevniki/bloknot-portobello-notebook-trend-alpha-slim-siniy-24264030/" , "24264.030 Блокнот Alpha slim, синий")</f>
      </c>
      <c r="C31501" s="4" t="n">
        <v>390.00</v>
      </c>
      <c r="D31501" s="4"/>
    </row>
    <row collapsed="" customFormat="false" customHeight="1" hidden="" ht="14" outlineLevel="0" r="31502">
      <c r="A31502" s="3" t="inlineStr">
        <is>
          <t>31328</t>
        </is>
      </c>
      <c r="B31502" s="4" t="s">
        <f>=HYPERLINK("http://anyluxury.ru/shop/ezhednevniki-i-bloknoty/ezhednevniki/bloknot-portobello-notebook-trend-alpha-slim-cherniy-24264010/" , "24264.010 Блокнот Alpha slim, черный")</f>
      </c>
      <c r="C31502" s="4" t="n">
        <v>390.00</v>
      </c>
      <c r="D31502" s="4"/>
    </row>
    <row collapsed="" customFormat="false" customHeight="" hidden="" ht="12.1" outlineLevel="0" r="31503">
      <c r="A31503" s="5" t="inlineStr">
        <is>
          <t> -  - Ежедневники-портфолио</t>
        </is>
      </c>
      <c r="B31503" s="6"/>
      <c r="C31503" s="6"/>
      <c r="D31503" s="6"/>
    </row>
    <row collapsed="" customFormat="false" customHeight="1" hidden="" ht="14" outlineLevel="0" r="31504">
      <c r="A31504" s="3" t="inlineStr">
        <is>
          <t>31329</t>
        </is>
      </c>
      <c r="B31504" s="4" t="s">
        <f>=HYPERLINK("http://anyluxury.ru/shop/ezhednevniki-i-bloknoty/ezhednevniki-portfolio/ezhednevnikportfolio-clip-siniy-oblozhka-soft-touch-nedatirovanniy-kremoviy-blok-podarochnaya-korobka-v-komplekte-ruchka-tesoro-sinyaya-21502030/" , "21502.030 Ежедневник-портфолио Clip недатированный в подарочной коробке, синий (в комплекте ручка Tesoro синяя)")</f>
      </c>
      <c r="C31504" s="4" t="n">
        <v>2200.00</v>
      </c>
      <c r="D31504" s="4"/>
    </row>
    <row collapsed="" customFormat="false" customHeight="1" hidden="" ht="14" outlineLevel="0" r="31505">
      <c r="A31505" s="3" t="inlineStr">
        <is>
          <t>31330</t>
        </is>
      </c>
      <c r="B31505" s="4" t="s">
        <f>=HYPERLINK("http://anyluxury.ru/shop/ezhednevniki-i-bloknoty/ezhednevniki-portfolio/ezhednevnikportfolio-clip-seriy-oblozhka-soft-touch-nedatirovanniy-kremoviy-blok-podarochnaya-korobka-v-komplekte-ruchka-tesoro-serebro-21502080/" , "21502.080 Ежедневник-портфолио Clip недатированный в подарочной коробке, серый (в комплекте ручка Tesoro серебро)")</f>
      </c>
      <c r="C31505" s="4" t="n">
        <v>2200.00</v>
      </c>
      <c r="D31505" s="4"/>
    </row>
    <row collapsed="" customFormat="false" customHeight="1" hidden="" ht="14" outlineLevel="0" r="31506">
      <c r="A31506" s="3" t="inlineStr">
        <is>
          <t>31331</t>
        </is>
      </c>
      <c r="B31506" s="4" t="s">
        <f>=HYPERLINK("http://anyluxury.ru/shop/ezhednevniki-i-bloknoty/ezhednevniki-portfolio/ezhednevnikportfolio-passage-siniy-oblozhka-soft-touch-nedatirovanniy-kremoviy-blok-podarochnaya-korobka-21503030/" , "21503.030 Ежедневник-портфолио Passage недатированный в подарочной коробке, синий")</f>
      </c>
      <c r="C31506" s="4" t="n">
        <v>2200.00</v>
      </c>
      <c r="D31506" s="4"/>
    </row>
    <row collapsed="" customFormat="false" customHeight="1" hidden="" ht="14" outlineLevel="0" r="31507">
      <c r="A31507" s="3" t="inlineStr">
        <is>
          <t>31332</t>
        </is>
      </c>
      <c r="B31507" s="4" t="s">
        <f>=HYPERLINK("http://anyluxury.ru/shop/ezhednevniki-i-bloknoty/ezhednevniki-portfolio/ezhednevnikportfolio-passage-seriy-oblozhka-soft-touch-nedatirovanniy-kremoviy-blok-podarochnaya-korobka-21503080/" , "21503.080 Ежедневник-портфолио Passage недатированный в подарочной коробке, серый")</f>
      </c>
      <c r="C31507" s="4" t="n">
        <v>2200.00</v>
      </c>
      <c r="D31507" s="4"/>
    </row>
    <row collapsed="" customFormat="false" customHeight="1" hidden="" ht="14" outlineLevel="0" r="31508">
      <c r="A31508" s="3" t="inlineStr">
        <is>
          <t>31333</t>
        </is>
      </c>
      <c r="B31508" s="4" t="s">
        <f>=HYPERLINK("http://anyluxury.ru/shop/ezhednevniki-i-bloknoty/ezhednevniki-portfolio/ezhednevnikportfolio-royal-siniy-oblozhka-soft-touch-nedatirovanniy-kremoviy-blok-podarochnaya-korobka-21501030/" , "21501.030 Ежедневник-портфолио Royal недатированный в подарочной коробке, синий")</f>
      </c>
      <c r="C31508" s="4" t="n">
        <v>2200.00</v>
      </c>
      <c r="D31508" s="4"/>
    </row>
    <row collapsed="" customFormat="false" customHeight="" hidden="" ht="12.1" outlineLevel="0" r="31509">
      <c r="A31509" s="5" t="inlineStr">
        <is>
          <t> -  - Коробки для ежедневников</t>
        </is>
      </c>
      <c r="B31509" s="6"/>
      <c r="C31509" s="6"/>
      <c r="D31509" s="6"/>
    </row>
    <row collapsed="" customFormat="false" customHeight="1" hidden="" ht="14" outlineLevel="0" r="31510">
      <c r="A31510" s="3" t="inlineStr">
        <is>
          <t>31334</t>
        </is>
      </c>
      <c r="B31510" s="4" t="s">
        <f>=HYPERLINK("http://anyluxury.ru/shop/ezhednevniki-i-bloknoty/korobki-dlya-ezhednevnikov/korobka-pod-ezhednevnik-sinyaya-485840/" , "4858.40 Коробка под ежедневник Startpoint, синяя")</f>
      </c>
      <c r="C31510" s="4" t="n">
        <v>304.00</v>
      </c>
      <c r="D31510" s="4"/>
    </row>
    <row collapsed="" customFormat="false" customHeight="1" hidden="" ht="14" outlineLevel="0" r="31511">
      <c r="A31511" s="3" t="inlineStr">
        <is>
          <t>31335</t>
        </is>
      </c>
      <c r="B31511" s="4" t="s">
        <f>=HYPERLINK("http://anyluxury.ru/shop/ezhednevniki-i-bloknoty/korobki-dlya-ezhednevnikov/korobka-duo-pod-ezhednevnik-i-ruchku-bordovaya-163955/" , "1639.55 Коробка Duo под ежедневник и ручку, бордовая")</f>
      </c>
      <c r="C31511" s="4" t="n">
        <v>488.00</v>
      </c>
      <c r="D31511" s="4"/>
    </row>
    <row collapsed="" customFormat="false" customHeight="1" hidden="" ht="14" outlineLevel="0" r="31512">
      <c r="A31512" s="3" t="inlineStr">
        <is>
          <t>31336</t>
        </is>
      </c>
      <c r="B31512" s="4" t="s">
        <f>=HYPERLINK("http://anyluxury.ru/shop/ezhednevniki-i-bloknoty/korobki-dlya-ezhednevnikov/korobka-duo-pod-ezhednevnik-i-ruchku-serebristaya-163910/" , "1639.10 Коробка Duo под ежедневник и ручку, серая")</f>
      </c>
      <c r="C31512" s="4" t="n">
        <v>488.00</v>
      </c>
      <c r="D31512" s="4"/>
    </row>
    <row collapsed="" customFormat="false" customHeight="1" hidden="" ht="14" outlineLevel="0" r="31513">
      <c r="A31513" s="3" t="inlineStr">
        <is>
          <t>31337</t>
        </is>
      </c>
      <c r="B31513" s="4" t="s">
        <f>=HYPERLINK("http://anyluxury.ru/shop/ezhednevniki-i-bloknoty/korobki-dlya-ezhednevnikov/shuber-dlya-ezhednevnika-beliy-1699/" , "1699 Шубер Enfold, белый")</f>
      </c>
      <c r="C31513" s="4" t="n">
        <v>29.00</v>
      </c>
      <c r="D31513" s="4"/>
    </row>
    <row collapsed="" customFormat="false" customHeight="1" hidden="" ht="14" outlineLevel="0" r="31514">
      <c r="A31514" s="3" t="inlineStr">
        <is>
          <t>31338</t>
        </is>
      </c>
      <c r="B31514" s="4" t="s">
        <f>=HYPERLINK("http://anyluxury.ru/shop/ezhednevniki-i-bloknoty/korobki-dlya-ezhednevnikov/korobka-duo-pod-ezhednevnik-i-ruchku-chernaya-163930/" , "1639.30 Коробка Duo под ежедневник и ручку, черная")</f>
      </c>
      <c r="C31514" s="4" t="n">
        <v>488.00</v>
      </c>
      <c r="D31514" s="4"/>
    </row>
    <row collapsed="" customFormat="false" customHeight="1" hidden="" ht="14" outlineLevel="0" r="31515">
      <c r="A31515" s="3" t="inlineStr">
        <is>
          <t>31339</t>
        </is>
      </c>
      <c r="B31515" s="4" t="s">
        <f>=HYPERLINK("http://anyluxury.ru/shop/ezhednevniki-i-bloknoty/korobki-dlya-ezhednevnikov/korobka-in-form-pod-ezhednevnik-fleshku-ruchku-serebristaya-1006710/" , "10067.10 Коробка In Form под ежедневник, флешку, ручку, серая")</f>
      </c>
      <c r="C31515" s="4" t="n">
        <v>752.00</v>
      </c>
      <c r="D31515" s="4"/>
    </row>
    <row collapsed="" customFormat="false" customHeight="1" hidden="" ht="14" outlineLevel="0" r="31516">
      <c r="A31516" s="3" t="inlineStr">
        <is>
          <t>31340</t>
        </is>
      </c>
      <c r="B31516" s="4" t="s">
        <f>=HYPERLINK("http://anyluxury.ru/shop/ezhednevniki-i-bloknoty/korobki-dlya-ezhednevnikov/korobka-in-form-pod-ezhednevnik-fleshku-ruchku-sinyaya-1006740/" , "10067.40 Коробка In Form под ежедневник, флешку, ручку, синяя")</f>
      </c>
      <c r="C31516" s="4" t="n">
        <v>752.00</v>
      </c>
      <c r="D31516" s="4"/>
    </row>
    <row collapsed="" customFormat="false" customHeight="1" hidden="" ht="14" outlineLevel="0" r="31517">
      <c r="A31517" s="3" t="inlineStr">
        <is>
          <t>31341</t>
        </is>
      </c>
      <c r="B31517" s="4" t="s">
        <f>=HYPERLINK("http://anyluxury.ru/shop/ezhednevniki-i-bloknoty/korobki-dlya-ezhednevnikov/korobka-in-form-pod-ezhednevnik-fleshku-ruchku-krasnaya-1006750/" , "10067.50 Коробка In Form под ежедневник, флешку, ручку, красная")</f>
      </c>
      <c r="C31517" s="4" t="n">
        <v>752.00</v>
      </c>
      <c r="D31517" s="4"/>
    </row>
    <row collapsed="" customFormat="false" customHeight="1" hidden="" ht="14" outlineLevel="0" r="31518">
      <c r="A31518" s="3" t="inlineStr">
        <is>
          <t>31342</t>
        </is>
      </c>
      <c r="B31518" s="4" t="s">
        <f>=HYPERLINK("http://anyluxury.ru/shop/ezhednevniki-i-bloknoty/korobki-dlya-ezhednevnikov/korobka-adviser-pod-ezhednevnik-ruchku-serebristaya-1007110/" , "10071.10 Коробка Adviser под ежедневник, ручку, серая")</f>
      </c>
      <c r="C31518" s="4" t="n">
        <v>752.00</v>
      </c>
      <c r="D31518" s="4"/>
    </row>
    <row collapsed="" customFormat="false" customHeight="1" hidden="" ht="14" outlineLevel="0" r="31519">
      <c r="A31519" s="3" t="inlineStr">
        <is>
          <t>31343</t>
        </is>
      </c>
      <c r="B31519" s="4" t="s">
        <f>=HYPERLINK("http://anyluxury.ru/shop/ezhednevniki-i-bloknoty/korobki-dlya-ezhednevnikov/korobka-adviser-pod-ezhednevnik-ruchku-sinyaya-1007140/" , "10071.40 Коробка Adviser под ежедневник, ручку, синяя")</f>
      </c>
      <c r="C31519" s="4" t="n">
        <v>752.00</v>
      </c>
      <c r="D31519" s="4"/>
    </row>
    <row collapsed="" customFormat="false" customHeight="1" hidden="" ht="14" outlineLevel="0" r="31520">
      <c r="A31520" s="3" t="inlineStr">
        <is>
          <t>31344</t>
        </is>
      </c>
      <c r="B31520" s="4" t="s">
        <f>=HYPERLINK("http://anyluxury.ru/shop/ezhednevniki-i-bloknoty/korobki-dlya-ezhednevnikov/korobka-adviser-pod-ezhednevnik-ruchku-krasnaya-1007150/" , "10071.50 Коробка Adviser под ежедневник, ручку, красная")</f>
      </c>
      <c r="C31520" s="4" t="n">
        <v>752.00</v>
      </c>
      <c r="D31520" s="4"/>
    </row>
    <row collapsed="" customFormat="false" customHeight="1" hidden="" ht="14" outlineLevel="0" r="31521">
      <c r="A31521" s="3" t="inlineStr">
        <is>
          <t>31345</t>
        </is>
      </c>
      <c r="B31521" s="4" t="s">
        <f>=HYPERLINK("http://anyluxury.ru/shop/ezhednevniki-i-bloknoty/korobki-dlya-ezhednevnikov/korobka-pod-bloknot-i-ruchku-shade-sinyaya-1202240/" , "12022.40 Коробка Shade под блокнот и ручку, синяя")</f>
      </c>
      <c r="C31521" s="4" t="n">
        <v>359.00</v>
      </c>
      <c r="D31521" s="4"/>
    </row>
    <row collapsed="" customFormat="false" customHeight="1" hidden="" ht="14" outlineLevel="0" r="31522">
      <c r="A31522" s="3" t="inlineStr">
        <is>
          <t>31346</t>
        </is>
      </c>
      <c r="B31522" s="4" t="s">
        <f>=HYPERLINK("http://anyluxury.ru/shop/ezhednevniki-i-bloknoty/korobki-dlya-ezhednevnikov/korobka-memoria-pod-ezhednevnik-i-ruchku-seraya-1170210/" , "11702.10 Коробка Memoria под ежедневник и ручку, серая")</f>
      </c>
      <c r="C31522" s="4" t="n">
        <v>987.00</v>
      </c>
      <c r="D31522" s="4"/>
    </row>
    <row collapsed="" customFormat="false" customHeight="1" hidden="" ht="14" outlineLevel="0" r="31523">
      <c r="A31523" s="3" t="inlineStr">
        <is>
          <t>31347</t>
        </is>
      </c>
      <c r="B31523" s="4" t="s">
        <f>=HYPERLINK("http://anyluxury.ru/shop/ezhednevniki-i-bloknoty/korobki-dlya-ezhednevnikov/korobka-memoria-pod-ezhednevnik-i-ruchku-chernaya-1170230/" , "11702.30 Коробка Memoria под ежедневник и ручку, черная")</f>
      </c>
      <c r="C31523" s="4" t="n">
        <v>987.00</v>
      </c>
      <c r="D31523" s="4"/>
    </row>
    <row collapsed="" customFormat="false" customHeight="1" hidden="" ht="14" outlineLevel="0" r="31524">
      <c r="A31524" s="3" t="inlineStr">
        <is>
          <t>31348</t>
        </is>
      </c>
      <c r="B31524" s="4" t="s">
        <f>=HYPERLINK("http://anyluxury.ru/shop/ezhednevniki-i-bloknoty/korobki-dlya-ezhednevnikov/korobka-memoria-pod-ezhednevnik-akkumulyator-i-ruchku-seraya-1170110/" , "11701.10 Коробка Memoria под ежедневник, аккумулятор и ручку, серая")</f>
      </c>
      <c r="C31524" s="4" t="n">
        <v>1005.00</v>
      </c>
      <c r="D31524" s="4"/>
    </row>
    <row collapsed="" customFormat="false" customHeight="1" hidden="" ht="14" outlineLevel="0" r="31525">
      <c r="A31525" s="3" t="inlineStr">
        <is>
          <t>31349</t>
        </is>
      </c>
      <c r="B31525" s="4" t="s">
        <f>=HYPERLINK("http://anyluxury.ru/shop/ezhednevniki-i-bloknoty/korobki-dlya-ezhednevnikov/korobka-memoria-pod-ezhednevnik-akkumulyator-i-ruchku-chernaya-1170130/" , "11701.30 Коробка Memoria под ежедневник, аккумулятор и ручку, черная")</f>
      </c>
      <c r="C31525" s="4" t="n">
        <v>1005.00</v>
      </c>
      <c r="D31525" s="4"/>
    </row>
    <row collapsed="" customFormat="false" customHeight="1" hidden="" ht="14" outlineLevel="0" r="31526">
      <c r="A31526" s="3" t="inlineStr">
        <is>
          <t>31350</t>
        </is>
      </c>
      <c r="B31526" s="4" t="s">
        <f>=HYPERLINK("http://anyluxury.ru/shop/ezhednevniki-i-bloknoty/korobki-dlya-ezhednevnikov/korobka-arbor-pod-ezhednevnik-i-ruchku-seraya-1170410/" , "11704.10 Коробка Arbor под ежедневник и ручку, серая")</f>
      </c>
      <c r="C31526" s="4" t="n">
        <v>829.00</v>
      </c>
      <c r="D31526" s="4"/>
    </row>
    <row collapsed="" customFormat="false" customHeight="1" hidden="" ht="14" outlineLevel="0" r="31527">
      <c r="A31527" s="3" t="inlineStr">
        <is>
          <t>31351</t>
        </is>
      </c>
      <c r="B31527" s="4" t="s">
        <f>=HYPERLINK("http://anyluxury.ru/shop/ezhednevniki-i-bloknoty/korobki-dlya-ezhednevnikov/korobka-memo-pad-dlya-bloknota-fleshki-i-ruchki-serebristaya-1242810/" , "12428.10 Коробка Memo Pad для блокнота, флешки и ручки, серебристая")</f>
      </c>
      <c r="C31527" s="4" t="n">
        <v>583.00</v>
      </c>
      <c r="D31527" s="4"/>
    </row>
    <row collapsed="" customFormat="false" customHeight="1" hidden="" ht="14" outlineLevel="0" r="31528">
      <c r="A31528" s="3" t="inlineStr">
        <is>
          <t>31352</t>
        </is>
      </c>
      <c r="B31528" s="4" t="s">
        <f>=HYPERLINK("http://anyluxury.ru/shop/ezhednevniki-i-bloknoty/korobki-dlya-ezhednevnikov/korobka-triplet-pod-ezhednevnik-fleshku-i-ruchku-chernaya-1246730/" , "12467.30 Коробка Triplet под ежедневник, флешку и ручку, черная")</f>
      </c>
      <c r="C31528" s="4" t="n">
        <v>805.00</v>
      </c>
      <c r="D31528" s="4"/>
    </row>
    <row collapsed="" customFormat="false" customHeight="1" hidden="" ht="14" outlineLevel="0" r="31529">
      <c r="A31529" s="3" t="inlineStr">
        <is>
          <t>31353</t>
        </is>
      </c>
      <c r="B31529" s="4" t="s">
        <f>=HYPERLINK("http://anyluxury.ru/shop/ezhednevniki-i-bloknoty/korobki-dlya-ezhednevnikov/korobka-in-form-pod-ezhednevnik-fleshku-ruchku-chernaya-1006730/" , "10067.30 Коробка In Form под ежедневник, флешку, ручку, черная")</f>
      </c>
      <c r="C31529" s="4" t="n">
        <v>752.00</v>
      </c>
      <c r="D31529" s="4"/>
    </row>
    <row collapsed="" customFormat="false" customHeight="1" hidden="" ht="14" outlineLevel="0" r="31530">
      <c r="A31530" s="3" t="inlineStr">
        <is>
          <t>31354</t>
        </is>
      </c>
      <c r="B31530" s="4" t="s">
        <f>=HYPERLINK("http://anyluxury.ru/shop/ezhednevniki-i-bloknoty/korobki-dlya-ezhednevnikov/korobka-adviser-pod-ezhednevnik-ruchku-chernaya-1007130/" , "10071.30 Коробка Adviser под ежедневник, ручку, черная")</f>
      </c>
      <c r="C31530" s="4" t="n">
        <v>752.00</v>
      </c>
      <c r="D31530" s="4"/>
    </row>
    <row collapsed="" customFormat="false" customHeight="1" hidden="" ht="14" outlineLevel="0" r="31531">
      <c r="A31531" s="3" t="inlineStr">
        <is>
          <t>31355</t>
        </is>
      </c>
      <c r="B31531" s="4" t="s">
        <f>=HYPERLINK("http://anyluxury.ru/shop/ezhednevniki-i-bloknoty/korobki-dlya-ezhednevnikov/korobka-memoria-pod-ezhednevnik-akkumulyator-i-ruchku-sinyaya-1170140/" , "11701.40 Коробка Memoria под ежедневник, аккумулятор и ручку, синяя")</f>
      </c>
      <c r="C31531" s="4" t="n">
        <v>1005.00</v>
      </c>
      <c r="D31531" s="4"/>
    </row>
    <row collapsed="" customFormat="false" customHeight="1" hidden="" ht="14" outlineLevel="0" r="31532">
      <c r="A31532" s="3" t="inlineStr">
        <is>
          <t>31356</t>
        </is>
      </c>
      <c r="B31532" s="4" t="s">
        <f>=HYPERLINK("http://anyluxury.ru/shop/ezhednevniki-i-bloknoty/korobki-dlya-ezhednevnikov/korobka-memoria-pod-ezhednevnik-i-ruchku-sinyaya-1170240/" , "11702.40 Коробка Memoria под ежедневник и ручку, синяя")</f>
      </c>
      <c r="C31532" s="4" t="n">
        <v>987.00</v>
      </c>
      <c r="D31532" s="4"/>
    </row>
    <row collapsed="" customFormat="false" customHeight="1" hidden="" ht="14" outlineLevel="0" r="31533">
      <c r="A31533" s="3" t="inlineStr">
        <is>
          <t>31357</t>
        </is>
      </c>
      <c r="B31533" s="4" t="s">
        <f>=HYPERLINK("http://anyluxury.ru/shop/ezhednevniki-i-bloknoty/korobki-dlya-ezhednevnikov/korobka-samosbornaya-enfold-belaya-7628/" , "7628 Коробка самосборная Enfold, белая")</f>
      </c>
      <c r="C31533" s="4" t="n">
        <v>88.30</v>
      </c>
      <c r="D31533" s="4"/>
    </row>
    <row collapsed="" customFormat="false" customHeight="1" hidden="" ht="14" outlineLevel="0" r="31534">
      <c r="A31534" s="3" t="inlineStr">
        <is>
          <t>31358</t>
        </is>
      </c>
      <c r="B31534" s="4" t="s">
        <f>=HYPERLINK("http://anyluxury.ru/shop/ezhednevniki-i-bloknoty/korobki-dlya-ezhednevnikov/korobka-samosbornaya-flacky-slim-serebristaya-1220710/" , "12207.10 Коробка самосборная Flacky Slim, серебристая")</f>
      </c>
      <c r="C31534" s="4" t="n">
        <v>132.00</v>
      </c>
      <c r="D31534" s="4"/>
    </row>
    <row collapsed="" customFormat="false" customHeight="1" hidden="" ht="14" outlineLevel="0" r="31535">
      <c r="A31535" s="3" t="inlineStr">
        <is>
          <t>31359</t>
        </is>
      </c>
      <c r="B31535" s="4" t="s">
        <f>=HYPERLINK("http://anyluxury.ru/shop/ezhednevniki-i-bloknoty/korobki-dlya-ezhednevnikov/korobka-samosbornaya-flacky-slim-sinyaya-1220740/" , "12207.40 Коробка самосборная Flacky Slim, синяя")</f>
      </c>
      <c r="C31535" s="4" t="n">
        <v>132.00</v>
      </c>
      <c r="D31535" s="4"/>
    </row>
    <row collapsed="" customFormat="false" customHeight="1" hidden="" ht="14" outlineLevel="0" r="31536">
      <c r="A31536" s="3" t="inlineStr">
        <is>
          <t>31360</t>
        </is>
      </c>
      <c r="B31536" s="4" t="s">
        <f>=HYPERLINK("http://anyluxury.ru/shop/ezhednevniki-i-bloknoty/korobki-dlya-ezhednevnikov/korobka-samosbornaya-flacky-slim-chernaya-1220730/" , "12207.30 Коробка самосборная Flacky Slim, черная")</f>
      </c>
      <c r="C31536" s="4" t="n">
        <v>132.00</v>
      </c>
      <c r="D31536" s="4"/>
    </row>
    <row collapsed="" customFormat="false" customHeight="1" hidden="" ht="14" outlineLevel="0" r="31537">
      <c r="A31537" s="3" t="inlineStr">
        <is>
          <t>31361</t>
        </is>
      </c>
      <c r="B31537" s="4" t="s">
        <f>=HYPERLINK("http://anyluxury.ru/shop/ezhednevniki-i-bloknoty/korobki-dlya-ezhednevnikov/korobka-samosbornaya-flacky-slim-krasnaya-1220750/" , "12207.50 Коробка самосборная Flacky Slim, красная")</f>
      </c>
      <c r="C31537" s="4" t="n">
        <v>132.00</v>
      </c>
      <c r="D31537" s="4"/>
    </row>
    <row collapsed="" customFormat="false" customHeight="1" hidden="" ht="14" outlineLevel="0" r="31538">
      <c r="A31538" s="3" t="inlineStr">
        <is>
          <t>31362</t>
        </is>
      </c>
      <c r="B31538" s="4" t="s">
        <f>=HYPERLINK("http://anyluxury.ru/shop/ezhednevniki-i-bloknoty/korobki-dlya-ezhednevnikov/korobka-samosbornaya-flacky-slim-oranzhevaya-1220720/" , "12207.20 Коробка самосборная Flacky Slim, оранжевая")</f>
      </c>
      <c r="C31538" s="4" t="n">
        <v>132.00</v>
      </c>
      <c r="D31538" s="4"/>
    </row>
    <row collapsed="" customFormat="false" customHeight="1" hidden="" ht="14" outlineLevel="0" r="31539">
      <c r="A31539" s="3" t="inlineStr">
        <is>
          <t>31363</t>
        </is>
      </c>
      <c r="B31539" s="4" t="s">
        <f>=HYPERLINK("http://anyluxury.ru/shop/ezhednevniki-i-bloknoty/korobki-dlya-ezhednevnikov/shuber-flacky-slim-serebristiy-1220910/" , "12209.10 Шубер Flacky Slim, серебристый")</f>
      </c>
      <c r="C31539" s="4" t="n">
        <v>48.90</v>
      </c>
      <c r="D31539" s="4"/>
    </row>
    <row collapsed="" customFormat="false" customHeight="1" hidden="" ht="14" outlineLevel="0" r="31540">
      <c r="A31540" s="3" t="inlineStr">
        <is>
          <t>31364</t>
        </is>
      </c>
      <c r="B31540" s="4" t="s">
        <f>=HYPERLINK("http://anyluxury.ru/shop/ezhednevniki-i-bloknoty/korobki-dlya-ezhednevnikov/shuber-flacky-slim-siniy-1220940/" , "12209.40 Шубер Flacky Slim, синий")</f>
      </c>
      <c r="C31540" s="4" t="n">
        <v>49.00</v>
      </c>
      <c r="D31540" s="4"/>
    </row>
    <row collapsed="" customFormat="false" customHeight="1" hidden="" ht="14" outlineLevel="0" r="31541">
      <c r="A31541" s="3" t="inlineStr">
        <is>
          <t>31365</t>
        </is>
      </c>
      <c r="B31541" s="4" t="s">
        <f>=HYPERLINK("http://anyluxury.ru/shop/ezhednevniki-i-bloknoty/korobki-dlya-ezhednevnikov/shuber-flacky-slim-krasniy-1220950/" , "12209.50 Шубер Flacky Slim, красный")</f>
      </c>
      <c r="C31541" s="4" t="n">
        <v>49.00</v>
      </c>
      <c r="D31541" s="4"/>
    </row>
    <row collapsed="" customFormat="false" customHeight="1" hidden="" ht="14" outlineLevel="0" r="31542">
      <c r="A31542" s="3" t="inlineStr">
        <is>
          <t>31366</t>
        </is>
      </c>
      <c r="B31542" s="4" t="s">
        <f>=HYPERLINK("http://anyluxury.ru/shop/ezhednevniki-i-bloknoty/korobki-dlya-ezhednevnikov/shuber-flacky-slim-oranzheviy-1220920/" , "12209.20 Шубер Flacky Slim, оранжевый")</f>
      </c>
      <c r="C31542" s="4" t="n">
        <v>49.00</v>
      </c>
      <c r="D31542" s="4"/>
    </row>
    <row collapsed="" customFormat="false" customHeight="1" hidden="" ht="14" outlineLevel="0" r="31543">
      <c r="A31543" s="3" t="inlineStr">
        <is>
          <t>31367</t>
        </is>
      </c>
      <c r="B31543" s="4" t="s">
        <f>=HYPERLINK("http://anyluxury.ru/shop/ezhednevniki-i-bloknoty/korobki-dlya-ezhednevnikov/shuber-flacky-slim-zeleniy-1220990/" , "12209.90 Шубер Flacky Slim, зеленый")</f>
      </c>
      <c r="C31543" s="4" t="n">
        <v>49.00</v>
      </c>
      <c r="D31543" s="4"/>
    </row>
    <row collapsed="" customFormat="false" customHeight="1" hidden="" ht="14" outlineLevel="0" r="31544">
      <c r="A31544" s="3" t="inlineStr">
        <is>
          <t>31368</t>
        </is>
      </c>
      <c r="B31544" s="4" t="s">
        <f>=HYPERLINK("http://anyluxury.ru/shop/ezhednevniki-i-bloknoty/korobki-dlya-ezhednevnikov/shuber-flacky-siniy-1221040/" , "12210.40 Шубер Flacky, синий")</f>
      </c>
      <c r="C31544" s="4" t="n">
        <v>75.00</v>
      </c>
      <c r="D31544" s="4"/>
    </row>
    <row collapsed="" customFormat="false" customHeight="1" hidden="" ht="14" outlineLevel="0" r="31545">
      <c r="A31545" s="3" t="inlineStr">
        <is>
          <t>31369</t>
        </is>
      </c>
      <c r="B31545" s="4" t="s">
        <f>=HYPERLINK("http://anyluxury.ru/shop/ezhednevniki-i-bloknoty/korobki-dlya-ezhednevnikov/shuber-flacky-cherniy-1221030/" , "12210.30 Шубер Flacky, черный")</f>
      </c>
      <c r="C31545" s="4" t="n">
        <v>75.00</v>
      </c>
      <c r="D31545" s="4"/>
    </row>
    <row collapsed="" customFormat="false" customHeight="1" hidden="" ht="14" outlineLevel="0" r="31546">
      <c r="A31546" s="3" t="inlineStr">
        <is>
          <t>31370</t>
        </is>
      </c>
      <c r="B31546" s="4" t="s">
        <f>=HYPERLINK("http://anyluxury.ru/shop/ezhednevniki-i-bloknoty/korobki-dlya-ezhednevnikov/shuber-flacky-krasniy-1221050/" , "12210.50 Шубер Flacky, красный")</f>
      </c>
      <c r="C31546" s="4" t="n">
        <v>75.00</v>
      </c>
      <c r="D31546" s="4"/>
    </row>
    <row collapsed="" customFormat="false" customHeight="1" hidden="" ht="14" outlineLevel="0" r="31547">
      <c r="A31547" s="3" t="inlineStr">
        <is>
          <t>31371</t>
        </is>
      </c>
      <c r="B31547" s="4" t="s">
        <f>=HYPERLINK("http://anyluxury.ru/shop/ezhednevniki-i-bloknoty/korobki-dlya-ezhednevnikov/shuber-flacky-zeleniy-1221090/" , "12210.90 Шубер Flacky, зеленый")</f>
      </c>
      <c r="C31547" s="4" t="n">
        <v>58.00</v>
      </c>
      <c r="D31547" s="4"/>
    </row>
    <row collapsed="" customFormat="false" customHeight="1" hidden="" ht="14" outlineLevel="0" r="31548">
      <c r="A31548" s="3" t="inlineStr">
        <is>
          <t>31372</t>
        </is>
      </c>
      <c r="B31548" s="4" t="s">
        <f>=HYPERLINK("http://anyluxury.ru/shop/ezhednevniki-i-bloknoty/korobki-dlya-ezhednevnikov/korobka-samosbornaya-flacky-sinyaya-1220840/" , "12208.40 Коробка самосборная Flacky, синяя")</f>
      </c>
      <c r="C31548" s="4" t="n">
        <v>138.00</v>
      </c>
      <c r="D31548" s="4"/>
    </row>
    <row collapsed="" customFormat="false" customHeight="1" hidden="" ht="14" outlineLevel="0" r="31549">
      <c r="A31549" s="3" t="inlineStr">
        <is>
          <t>31373</t>
        </is>
      </c>
      <c r="B31549" s="4" t="s">
        <f>=HYPERLINK("http://anyluxury.ru/shop/ezhednevniki-i-bloknoty/korobki-dlya-ezhednevnikov/korobka-samosbornaya-flacky-chernaya-1220830/" , "12208.30 Коробка самосборная Flacky, черная")</f>
      </c>
      <c r="C31549" s="4" t="n">
        <v>138.00</v>
      </c>
      <c r="D31549" s="4"/>
    </row>
    <row collapsed="" customFormat="false" customHeight="1" hidden="" ht="14" outlineLevel="0" r="31550">
      <c r="A31550" s="3" t="inlineStr">
        <is>
          <t>31374</t>
        </is>
      </c>
      <c r="B31550" s="4" t="s">
        <f>=HYPERLINK("http://anyluxury.ru/shop/ezhednevniki-i-bloknoty/korobki-dlya-ezhednevnikov/korobka-samosbornaya-flacky-krasnaya-1220850/" , "12208.50 Коробка самосборная Flacky, красная")</f>
      </c>
      <c r="C31550" s="4" t="n">
        <v>138.00</v>
      </c>
      <c r="D31550" s="4"/>
    </row>
    <row collapsed="" customFormat="false" customHeight="1" hidden="" ht="14" outlineLevel="0" r="31551">
      <c r="A31551" s="3" t="inlineStr">
        <is>
          <t>31375</t>
        </is>
      </c>
      <c r="B31551" s="4" t="s">
        <f>=HYPERLINK("http://anyluxury.ru/shop/ezhednevniki-i-bloknoty/korobki-dlya-ezhednevnikov/korobka-samosbornaya-flacky-oranzhevaya-1220820/" , "12208.20 Коробка самосборная Flacky, оранжевая")</f>
      </c>
      <c r="C31551" s="4" t="n">
        <v>138.00</v>
      </c>
      <c r="D31551" s="4"/>
    </row>
    <row collapsed="" customFormat="false" customHeight="1" hidden="" ht="14" outlineLevel="0" r="31552">
      <c r="A31552" s="3" t="inlineStr">
        <is>
          <t>31376</t>
        </is>
      </c>
      <c r="B31552" s="4" t="s">
        <f>=HYPERLINK("http://anyluxury.ru/shop/ezhednevniki-i-bloknoty/korobki-dlya-ezhednevnikov/korobka-samosbornaya-flacky-slim-belaya-1220760/" , "12207.60 Коробка самосборная Flacky Slim, белая")</f>
      </c>
      <c r="C31552" s="4" t="n">
        <v>104.00</v>
      </c>
      <c r="D31552" s="4"/>
    </row>
    <row collapsed="" customFormat="false" customHeight="1" hidden="" ht="14" outlineLevel="0" r="31553">
      <c r="A31553" s="3" t="inlineStr">
        <is>
          <t>31377</t>
        </is>
      </c>
      <c r="B31553" s="4" t="s">
        <f>=HYPERLINK("http://anyluxury.ru/shop/ezhednevniki-i-bloknoty/korobki-dlya-ezhednevnikov/upakovka-pod-ezhednevnik-cover-up-seraya-1062610/" , "10626.10 Упаковка под ежедневник Cover Up, серая")</f>
      </c>
      <c r="C31553" s="4" t="n">
        <v>132.00</v>
      </c>
      <c r="D31553" s="4"/>
    </row>
    <row collapsed="" customFormat="false" customHeight="1" hidden="" ht="14" outlineLevel="0" r="31554">
      <c r="A31554" s="3" t="inlineStr">
        <is>
          <t>31378</t>
        </is>
      </c>
      <c r="B31554" s="4" t="s">
        <f>=HYPERLINK("http://anyluxury.ru/shop/ezhednevniki-i-bloknoty/korobki-dlya-ezhednevnikov/shuber-dlya-ezhednevnika-runway-385601/" , "3856.01 Шубер для ежедневника 13х21 см")</f>
      </c>
      <c r="C31554" s="4" t="n">
        <v>25.60</v>
      </c>
      <c r="D31554" s="4"/>
    </row>
    <row collapsed="" customFormat="false" customHeight="1" hidden="" ht="14" outlineLevel="0" r="31555">
      <c r="A31555" s="3" t="inlineStr">
        <is>
          <t>31379</t>
        </is>
      </c>
      <c r="B31555" s="4" t="s">
        <f>=HYPERLINK("http://anyluxury.ru/shop/ezhednevniki-i-bloknoty/korobki-dlya-ezhednevnikov/korobka-pod-ezhednevnik-belaya-485860/" , "4858.60 Коробка под ежедневник Startpoint, белая")</f>
      </c>
      <c r="C31555" s="4" t="n">
        <v>304.00</v>
      </c>
      <c r="D31555" s="4"/>
    </row>
    <row collapsed="" customFormat="false" customHeight="1" hidden="" ht="14" outlineLevel="0" r="31556">
      <c r="A31556" s="3" t="inlineStr">
        <is>
          <t>31380</t>
        </is>
      </c>
      <c r="B31556" s="4" t="s">
        <f>=HYPERLINK("http://anyluxury.ru/shop/ezhednevniki-i-bloknoty/korobki-dlya-ezhednevnikov/korobka-samosbornaya-flacky-serebristaya-1220810/" , "12208.10 Коробка самосборная Flacky, серебристая")</f>
      </c>
      <c r="C31556" s="4" t="n">
        <v>138.00</v>
      </c>
      <c r="D31556" s="4"/>
    </row>
    <row collapsed="" customFormat="false" customHeight="1" hidden="" ht="14" outlineLevel="0" r="31557">
      <c r="A31557" s="3" t="inlineStr">
        <is>
          <t>31381</t>
        </is>
      </c>
      <c r="B31557" s="4" t="s">
        <f>=HYPERLINK("http://anyluxury.ru/shop/ezhednevniki-i-bloknoty/korobki-dlya-ezhednevnikov/korobka-triplet-pod-ezhednevnik-fleshku-i-ruchku-belaya-1246760/" , "12467.60 Коробка Triplet под ежедневник, флешку и ручку, белая")</f>
      </c>
      <c r="C31557" s="4" t="n">
        <v>805.00</v>
      </c>
      <c r="D31557" s="4"/>
    </row>
    <row collapsed="" customFormat="false" customHeight="1" hidden="" ht="14" outlineLevel="0" r="31558">
      <c r="A31558" s="3" t="inlineStr">
        <is>
          <t>31382</t>
        </is>
      </c>
      <c r="B31558" s="4" t="s">
        <f>=HYPERLINK("http://anyluxury.ru/shop/ezhednevniki-i-bloknoty/korobki-dlya-ezhednevnikov/shuber-flacky-beliy-1221060/" , "12210.60 Шубер Flacky, белый")</f>
      </c>
      <c r="C31558" s="4" t="n">
        <v>36.00</v>
      </c>
      <c r="D31558" s="4"/>
    </row>
    <row collapsed="" customFormat="false" customHeight="1" hidden="" ht="14" outlineLevel="0" r="31559">
      <c r="A31559" s="3" t="inlineStr">
        <is>
          <t>31383</t>
        </is>
      </c>
      <c r="B31559" s="4" t="s">
        <f>=HYPERLINK("http://anyluxury.ru/shop/ezhednevniki-i-bloknoty/korobki-dlya-ezhednevnikov/korobka-in-form-pod-ezhednevnik-fleshku-ruchku-belaya-1006760/" , "10067.60 Коробка In Form под ежедневник, флешку, ручку, белая")</f>
      </c>
      <c r="C31559" s="4" t="n">
        <v>752.00</v>
      </c>
      <c r="D31559" s="4"/>
    </row>
    <row collapsed="" customFormat="false" customHeight="1" hidden="" ht="14" outlineLevel="0" r="31560">
      <c r="A31560" s="3" t="inlineStr">
        <is>
          <t>31384</t>
        </is>
      </c>
      <c r="B31560" s="4" t="s">
        <f>=HYPERLINK("http://anyluxury.ru/shop/ezhednevniki-i-bloknoty/korobki-dlya-ezhednevnikov/korobka-adviser-pod-ezhednevnik-ruchku-belaya-1007160/" , "10071.60 Коробка Adviser под ежедневник, ручку, белая")</f>
      </c>
      <c r="C31560" s="4" t="n">
        <v>752.00</v>
      </c>
      <c r="D31560" s="4"/>
    </row>
    <row collapsed="" customFormat="false" customHeight="1" hidden="" ht="14" outlineLevel="0" r="31561">
      <c r="A31561" s="3" t="inlineStr">
        <is>
          <t>31385</t>
        </is>
      </c>
      <c r="B31561" s="4" t="s">
        <f>=HYPERLINK("http://anyluxury.ru/shop/ezhednevniki-i-bloknoty/korobki-dlya-ezhednevnikov/korobka-pod-ezhednevnik-seraya-485811/" , "4858.11 Коробка под ежедневник Startpoint, серая")</f>
      </c>
      <c r="C31561" s="4" t="n">
        <v>304.00</v>
      </c>
      <c r="D31561" s="4"/>
    </row>
    <row collapsed="" customFormat="false" customHeight="1" hidden="" ht="14" outlineLevel="0" r="31562">
      <c r="A31562" s="3" t="inlineStr">
        <is>
          <t>31386</t>
        </is>
      </c>
      <c r="B31562" s="4" t="s">
        <f>=HYPERLINK("http://anyluxury.ru/shop/ezhednevniki-i-bloknoty/korobki-dlya-ezhednevnikov/korobka-arbor-pod-ezhednevnik-akkumulyator-i-ruchku-svetloseraya-1170311/" , "11703.11 Коробка Arbor под ежедневник, аккумулятор и ручку, светло-серая")</f>
      </c>
      <c r="C31562" s="4" t="n">
        <v>828.00</v>
      </c>
      <c r="D31562" s="4"/>
    </row>
    <row collapsed="" customFormat="false" customHeight="1" hidden="" ht="14" outlineLevel="0" r="31563">
      <c r="A31563" s="3" t="inlineStr">
        <is>
          <t>31387</t>
        </is>
      </c>
      <c r="B31563" s="4" t="s">
        <f>=HYPERLINK("http://anyluxury.ru/shop/ezhednevniki-i-bloknoty/korobki-dlya-ezhednevnikov/korobka-arbor-pod-ezhednevnik-i-ruchku-svetloseraya-1170411/" , "11704.11 Коробка Arbor под ежедневник и ручку, светло-серая")</f>
      </c>
      <c r="C31563" s="4" t="n">
        <v>890.00</v>
      </c>
      <c r="D31563" s="4"/>
    </row>
    <row collapsed="" customFormat="false" customHeight="1" hidden="" ht="14" outlineLevel="0" r="31564">
      <c r="A31564" s="3" t="inlineStr">
        <is>
          <t>31388</t>
        </is>
      </c>
      <c r="B31564" s="4" t="s">
        <f>=HYPERLINK("http://anyluxury.ru/shop/ezhednevniki-i-bloknoty/korobki-dlya-ezhednevnikov/korobka-my-day-pod-ezhednevnik-akkumulyator-i-ruchku-1637402/" , "16374.02 Коробка My Day под ежедневник, аккумулятор и ручку")</f>
      </c>
      <c r="C31564" s="4" t="n">
        <v>692.00</v>
      </c>
      <c r="D31564" s="4"/>
    </row>
    <row collapsed="" customFormat="false" customHeight="1" hidden="" ht="14" outlineLevel="0" r="31565">
      <c r="A31565" s="3" t="inlineStr">
        <is>
          <t>31389</t>
        </is>
      </c>
      <c r="B31565" s="4" t="s">
        <f>=HYPERLINK("http://anyluxury.ru/shop/ezhednevniki-i-bloknoty/korobki-dlya-ezhednevnikov/korobka-planning-s-lozhementom-pod-nabor-s-planingom-serebristaya-1961910/" , "19619.10 Коробка Planning с ложементом под набор с планингом, ежедневником и ручкой, серебристая")</f>
      </c>
      <c r="C31565" s="4" t="n">
        <v>955.00</v>
      </c>
      <c r="D31565" s="4"/>
    </row>
    <row collapsed="" customFormat="false" customHeight="1" hidden="" ht="14" outlineLevel="0" r="31566">
      <c r="A31566" s="3" t="inlineStr">
        <is>
          <t>31390</t>
        </is>
      </c>
      <c r="B31566" s="4" t="s">
        <f>=HYPERLINK("http://anyluxury.ru/shop/ezhednevniki-i-bloknoty/korobki-dlya-ezhednevnikov/shuber-folks-15923/" , "15923 Шубер Folks")</f>
      </c>
      <c r="C31566" s="4" t="n">
        <v>82.50</v>
      </c>
      <c r="D31566" s="4"/>
    </row>
    <row collapsed="" customFormat="false" customHeight="1" hidden="" ht="14" outlineLevel="0" r="31567">
      <c r="A31567" s="3" t="inlineStr">
        <is>
          <t>31391</t>
        </is>
      </c>
      <c r="B31567" s="4" t="s">
        <f>=HYPERLINK("http://anyluxury.ru/shop/ezhednevniki-i-bloknoty/korobki-dlya-ezhednevnikov/korobka-pod-nabor-plus-oranzhevaya-1660220/" , "16602.20 Коробка под набор Plus, черная с оранжевым")</f>
      </c>
      <c r="C31567" s="4" t="n">
        <v>649.00</v>
      </c>
      <c r="D31567" s="4"/>
    </row>
    <row collapsed="" customFormat="false" customHeight="1" hidden="" ht="14" outlineLevel="0" r="31568">
      <c r="A31568" s="3" t="inlineStr">
        <is>
          <t>31392</t>
        </is>
      </c>
      <c r="B31568" s="4" t="s">
        <f>=HYPERLINK("http://anyluxury.ru/shop/ezhednevniki-i-bloknoty/korobki-dlya-ezhednevnikov/korobka-silk-s-lozhementom-pod-ezhednevnik-13x21-sm-i-ruchku-belaya-1620560/" , "16205.60 Коробка Silk с ложементом под ежедневник 13x21 см и ручку, белая")</f>
      </c>
      <c r="C31568" s="4" t="n">
        <v>660.00</v>
      </c>
      <c r="D31568" s="4"/>
    </row>
    <row collapsed="" customFormat="false" customHeight="1" hidden="" ht="14" outlineLevel="0" r="31569">
      <c r="A31569" s="3" t="inlineStr">
        <is>
          <t>31393</t>
        </is>
      </c>
      <c r="B31569" s="4" t="s">
        <f>=HYPERLINK("http://anyluxury.ru/shop/ezhednevniki-i-bloknoty/korobki-dlya-ezhednevnikov/korobka-silk-s-lozhementom-pod-ezhednevnik-13x21-i-ruchku-serebristaya-1620510/" , "16205.10 Коробка Silk с ложементом под ежедневник 13x21 и ручку, серебристая")</f>
      </c>
      <c r="C31569" s="4" t="n">
        <v>660.00</v>
      </c>
      <c r="D31569" s="4"/>
    </row>
    <row collapsed="" customFormat="false" customHeight="1" hidden="" ht="14" outlineLevel="0" r="31570">
      <c r="A31570" s="3" t="inlineStr">
        <is>
          <t>31394</t>
        </is>
      </c>
      <c r="B31570" s="4" t="s">
        <f>=HYPERLINK("http://anyluxury.ru/shop/ezhednevniki-i-bloknoty/korobki-dlya-ezhednevnikov/korobka-silk-s-lozhementom-pod-ezhednevnik-13x21-sm-i-ruchku-chernaya-1620530/" , "16205.30 Коробка Silk с ложементом под ежедневник 13x21 см и ручку, черная")</f>
      </c>
      <c r="C31570" s="4" t="n">
        <v>660.00</v>
      </c>
      <c r="D31570" s="4"/>
    </row>
    <row collapsed="" customFormat="false" customHeight="1" hidden="" ht="14" outlineLevel="0" r="31571">
      <c r="A31571" s="3" t="inlineStr">
        <is>
          <t>31395</t>
        </is>
      </c>
      <c r="B31571" s="4" t="s">
        <f>=HYPERLINK("http://anyluxury.ru/shop/ezhednevniki-i-bloknoty/korobki-dlya-ezhednevnikov/korobka-silk-s-lozhementom-pod-ezhednevnik-fleshku-i-ruchku-belaya-1620660/" , "16206.60 Коробка Silk с ложементом под ежедневник 13x21 см, флешку и ручку, белая")</f>
      </c>
      <c r="C31571" s="4" t="n">
        <v>708.00</v>
      </c>
      <c r="D31571" s="4"/>
    </row>
    <row collapsed="" customFormat="false" customHeight="1" hidden="" ht="14" outlineLevel="0" r="31572">
      <c r="A31572" s="3" t="inlineStr">
        <is>
          <t>31396</t>
        </is>
      </c>
      <c r="B31572" s="4" t="s">
        <f>=HYPERLINK("http://anyluxury.ru/shop/ezhednevniki-i-bloknoty/korobki-dlya-ezhednevnikov/korobka-silk-s-lozhementom-pod-ezhednevnik-fleshku-i-ruchku-serebristaya-1620610/" , "16206.10 Коробка Silk с ложементом под ежедневник 13x21 см, флешку и ручку, серебристая")</f>
      </c>
      <c r="C31572" s="4" t="n">
        <v>708.00</v>
      </c>
      <c r="D31572" s="4"/>
    </row>
    <row collapsed="" customFormat="false" customHeight="1" hidden="" ht="14" outlineLevel="0" r="31573">
      <c r="A31573" s="3" t="inlineStr">
        <is>
          <t>31397</t>
        </is>
      </c>
      <c r="B31573" s="4" t="s">
        <f>=HYPERLINK("http://anyluxury.ru/shop/ezhednevniki-i-bloknoty/korobki-dlya-ezhednevnikov/korobka-silk-s-lozhementom-pod-ezhednevnik-fleshku-i-ruchku-chernaya-1620630/" , "16206.30 Коробка Silk с ложементом под ежедневник 13x21 см, флешку и ручку, черная")</f>
      </c>
      <c r="C31573" s="4" t="n">
        <v>708.00</v>
      </c>
      <c r="D31573" s="4"/>
    </row>
    <row collapsed="" customFormat="false" customHeight="1" hidden="" ht="14" outlineLevel="0" r="31574">
      <c r="A31574" s="3" t="inlineStr">
        <is>
          <t>31398</t>
        </is>
      </c>
      <c r="B31574" s="4" t="s">
        <f>=HYPERLINK("http://anyluxury.ru/shop/ezhednevniki-i-bloknoty/korobki-dlya-ezhednevnikov/korobka-silk-s-lozhementom-pod-ezhednevnik-akkumulyator-i-ruchku-belaya-1620760/" , "16207.60 Коробка Silk с ложементом под ежедневник 10x16 см, аккумулятор и ручку, белая")</f>
      </c>
      <c r="C31574" s="4" t="n">
        <v>708.00</v>
      </c>
      <c r="D31574" s="4"/>
    </row>
    <row collapsed="" customFormat="false" customHeight="1" hidden="" ht="14" outlineLevel="0" r="31575">
      <c r="A31575" s="3" t="inlineStr">
        <is>
          <t>31399</t>
        </is>
      </c>
      <c r="B31575" s="4" t="s">
        <f>=HYPERLINK("http://anyluxury.ru/shop/ezhednevniki-i-bloknoty/korobki-dlya-ezhednevnikov/korobka-silk-s-lozhementom-pod-ezhednevnik-akkumulyator-i-ruchku-serebristaya-1620710/" , "16207.10 Коробка Silk с ложементом под ежедневник 10x16 см, аккумулятор и ручку, серебристая")</f>
      </c>
      <c r="C31575" s="4" t="n">
        <v>708.00</v>
      </c>
      <c r="D31575" s="4"/>
    </row>
    <row collapsed="" customFormat="false" customHeight="1" hidden="" ht="14" outlineLevel="0" r="31576">
      <c r="A31576" s="3" t="inlineStr">
        <is>
          <t>31400</t>
        </is>
      </c>
      <c r="B31576" s="4" t="s">
        <f>=HYPERLINK("http://anyluxury.ru/shop/ezhednevniki-i-bloknoty/korobki-dlya-ezhednevnikov/korobka-silk-s-lozhementom-pod-ezhednevnik-akkumulyator-i-ruchku-chernaya-1620730/" , "16207.30 Коробка Silk с ложементом под ежедневник 10x16 см, аккумулятор и ручку, черная")</f>
      </c>
      <c r="C31576" s="4" t="n">
        <v>708.00</v>
      </c>
      <c r="D31576" s="4"/>
    </row>
    <row collapsed="" customFormat="false" customHeight="" hidden="" ht="12.1" outlineLevel="0" r="31577">
      <c r="A31577" s="5" t="inlineStr">
        <is>
          <t> -  - Планинги</t>
        </is>
      </c>
      <c r="B31577" s="6"/>
      <c r="C31577" s="6"/>
      <c r="D31577" s="6"/>
    </row>
    <row collapsed="" customFormat="false" customHeight="1" hidden="" ht="14" outlineLevel="0" r="31578">
      <c r="A31578" s="3" t="inlineStr">
        <is>
          <t>31401</t>
        </is>
      </c>
      <c r="B31578" s="4" t="s">
        <f>=HYPERLINK("http://anyluxury.ru/shop/ezhednevniki-i-bloknoty/planingi/nedatirovanniy-planing-birmingham-794-298h140-mm-bez-kalendarya-burgundi-00102051/" , "00102.051 Планинг Birmingham 794 недатированный без календаря, бургунди")</f>
      </c>
      <c r="C31578" s="4" t="n">
        <v>679.00</v>
      </c>
      <c r="D31578" s="4"/>
    </row>
    <row collapsed="" customFormat="false" customHeight="1" hidden="" ht="14" outlineLevel="0" r="31579">
      <c r="A31579" s="3" t="inlineStr">
        <is>
          <t>31402</t>
        </is>
      </c>
      <c r="B31579" s="4" t="s">
        <f>=HYPERLINK("http://anyluxury.ru/shop/ezhednevniki-i-bloknoty/planingi/nedatirovanniy-planing-manchester-298h140-mm-bez-kalendarya-burgundi-00225050/" , "00225.050 Планинг Manchester недатированный без календаря, бургунди")</f>
      </c>
      <c r="C31579" s="4" t="n">
        <v>496.00</v>
      </c>
      <c r="D31579" s="4"/>
    </row>
    <row collapsed="" customFormat="false" customHeight="1" hidden="" ht="14" outlineLevel="0" r="31580">
      <c r="A31580" s="3" t="inlineStr">
        <is>
          <t>31403</t>
        </is>
      </c>
      <c r="B31580" s="4" t="s">
        <f>=HYPERLINK("http://anyluxury.ru/shop/ezhednevniki-i-bloknoty/planingi/planing-birmingham-datirovanniy-2024-g-siniy-24101031/" , "24101.031 Планинг Birmingham, датированный (2024 г.), синий")</f>
      </c>
      <c r="C31580" s="4" t="n">
        <v>730.00</v>
      </c>
      <c r="D31580" s="4"/>
    </row>
    <row collapsed="" customFormat="false" customHeight="1" hidden="" ht="14" outlineLevel="0" r="31581">
      <c r="A31581" s="3" t="inlineStr">
        <is>
          <t>31404</t>
        </is>
      </c>
      <c r="B31581" s="4" t="s">
        <f>=HYPERLINK("http://anyluxury.ru/shop/ezhednevniki-i-bloknoty/planingi/planing-birmingham-datirovanniy-2024-g-cherniy-24101011/" , "24101.011 Планинг Birmingham датированный, черный (2024 г.)")</f>
      </c>
      <c r="C31581" s="4" t="n">
        <v>730.00</v>
      </c>
      <c r="D31581" s="4"/>
    </row>
    <row collapsed="" customFormat="false" customHeight="1" hidden="" ht="14" outlineLevel="0" r="31582">
      <c r="A31582" s="3" t="inlineStr">
        <is>
          <t>31405</t>
        </is>
      </c>
      <c r="B31582" s="4" t="s">
        <f>=HYPERLINK("http://anyluxury.ru/shop/ezhednevniki-i-bloknoty/planingi/planing-marseille-datirovanniy-2024-g-cherniy-24103011/" , "24103.011 Планинг Marseille датированный, черный (2024 г.)")</f>
      </c>
      <c r="C31582" s="4" t="n">
        <v>730.00</v>
      </c>
      <c r="D31582" s="4"/>
    </row>
    <row collapsed="" customFormat="false" customHeight="1" hidden="" ht="14" outlineLevel="0" r="31583">
      <c r="A31583" s="3" t="inlineStr">
        <is>
          <t>31406</t>
        </is>
      </c>
      <c r="B31583" s="4" t="s">
        <f>=HYPERLINK("http://anyluxury.ru/shop//" , " ")</f>
      </c>
      <c r="C31583" s="4"/>
      <c r="D31583" s="4"/>
    </row>
    <row collapsed="" customFormat="false" customHeight="1" hidden="" ht="14" outlineLevel="0" r="31584">
      <c r="A31584" s="3" t="inlineStr">
        <is>
          <t>31407</t>
        </is>
      </c>
      <c r="B31584" s="4" t="s">
        <f>=HYPERLINK("http://anyluxury.ru/shop//" , " ")</f>
      </c>
      <c r="C31584" s="4"/>
      <c r="D31584" s="4"/>
    </row>
    <row collapsed="" customFormat="false" customHeight="1" hidden="" ht="14" outlineLevel="0" r="31585">
      <c r="A31585" s="3" t="inlineStr">
        <is>
          <t>31408</t>
        </is>
      </c>
      <c r="B31585" s="4" t="s">
        <f>=HYPERLINK("http://anyluxury.ru/shop//" , " ")</f>
      </c>
      <c r="C31585" s="4"/>
      <c r="D31585" s="4"/>
    </row>
    <row collapsed="" customFormat="false" customHeight="1" hidden="" ht="14" outlineLevel="0" r="31586">
      <c r="A31586" s="3" t="inlineStr">
        <is>
          <t>31409</t>
        </is>
      </c>
      <c r="B31586" s="4" t="s">
        <f>=HYPERLINK("http://anyluxury.ru/shop//" , " ")</f>
      </c>
      <c r="C31586" s="4"/>
      <c r="D31586" s="4"/>
    </row>
    <row collapsed="" customFormat="false" customHeight="1" hidden="" ht="14" outlineLevel="0" r="31587">
      <c r="A31587" s="3" t="inlineStr">
        <is>
          <t>31410</t>
        </is>
      </c>
      <c r="B31587" s="4" t="s">
        <f>=HYPERLINK("http://anyluxury.ru/shop//" , " ")</f>
      </c>
      <c r="C31587" s="4"/>
      <c r="D31587" s="4"/>
    </row>
    <row collapsed="" customFormat="false" customHeight="1" hidden="" ht="14" outlineLevel="0" r="31588">
      <c r="A31588" s="3" t="inlineStr">
        <is>
          <t>31411</t>
        </is>
      </c>
      <c r="B31588" s="4" t="s">
        <f>=HYPERLINK("http://anyluxury.ru/shop//" , " ")</f>
      </c>
      <c r="C31588" s="4"/>
      <c r="D31588" s="4"/>
    </row>
    <row collapsed="" customFormat="false" customHeight="1" hidden="" ht="14" outlineLevel="0" r="31589">
      <c r="A31589" s="3" t="inlineStr">
        <is>
          <t>31412</t>
        </is>
      </c>
      <c r="B31589" s="4" t="s">
        <f>=HYPERLINK("http://anyluxury.ru/shop//" , " ")</f>
      </c>
      <c r="C31589" s="4"/>
      <c r="D31589" s="4"/>
    </row>
    <row collapsed="" customFormat="false" customHeight="1" hidden="" ht="14" outlineLevel="0" r="31590">
      <c r="A31590" s="3" t="inlineStr">
        <is>
          <t>31413</t>
        </is>
      </c>
      <c r="B31590" s="4" t="s">
        <f>=HYPERLINK("http://anyluxury.ru/shop//" , " ")</f>
      </c>
      <c r="C31590" s="4"/>
      <c r="D31590" s="4"/>
    </row>
    <row collapsed="" customFormat="false" customHeight="1" hidden="" ht="14" outlineLevel="0" r="31591">
      <c r="A31591" s="3" t="inlineStr">
        <is>
          <t>31414</t>
        </is>
      </c>
      <c r="B31591" s="4" t="s">
        <f>=HYPERLINK("http://anyluxury.ru/shop//" , " ")</f>
      </c>
      <c r="C31591" s="4"/>
      <c r="D31591" s="4"/>
    </row>
    <row collapsed="" customFormat="false" customHeight="1" hidden="" ht="14" outlineLevel="0" r="31592">
      <c r="A31592" s="3" t="inlineStr">
        <is>
          <t>31415</t>
        </is>
      </c>
      <c r="B31592" s="4" t="s">
        <f>=HYPERLINK("http://anyluxury.ru/shop//" , " ")</f>
      </c>
      <c r="C31592" s="4"/>
      <c r="D31592" s="4"/>
    </row>
    <row collapsed="" customFormat="false" customHeight="1" hidden="" ht="14" outlineLevel="0" r="31593">
      <c r="A31593" s="3" t="inlineStr">
        <is>
          <t>31416</t>
        </is>
      </c>
      <c r="B31593" s="4" t="s">
        <f>=HYPERLINK("http://anyluxury.ru/shop//" , " ")</f>
      </c>
      <c r="C31593" s="4"/>
      <c r="D31593" s="4"/>
    </row>
    <row collapsed="" customFormat="false" customHeight="1" hidden="" ht="14" outlineLevel="0" r="31594">
      <c r="A31594" s="3" t="inlineStr">
        <is>
          <t>31417</t>
        </is>
      </c>
      <c r="B31594" s="4" t="s">
        <f>=HYPERLINK("http://anyluxury.ru/shop//" , " ")</f>
      </c>
      <c r="C31594" s="4"/>
      <c r="D31594" s="4"/>
    </row>
    <row collapsed="" customFormat="false" customHeight="1" hidden="" ht="14" outlineLevel="0" r="31595">
      <c r="A31595" s="3" t="inlineStr">
        <is>
          <t>31418</t>
        </is>
      </c>
      <c r="B31595" s="4" t="s">
        <f>=HYPERLINK("http://anyluxury.ru/shop//" , " ")</f>
      </c>
      <c r="C31595" s="4"/>
      <c r="D31595" s="4"/>
    </row>
    <row collapsed="" customFormat="false" customHeight="1" hidden="" ht="14" outlineLevel="0" r="31596">
      <c r="A31596" s="3" t="inlineStr">
        <is>
          <t>31419</t>
        </is>
      </c>
      <c r="B31596" s="4" t="s">
        <f>=HYPERLINK("http://anyluxury.ru/shop//" , " ")</f>
      </c>
      <c r="C31596" s="4"/>
      <c r="D31596" s="4"/>
    </row>
    <row collapsed="" customFormat="false" customHeight="1" hidden="" ht="14" outlineLevel="0" r="31597">
      <c r="A31597" s="3" t="inlineStr">
        <is>
          <t>31420</t>
        </is>
      </c>
      <c r="B31597" s="4" t="s">
        <f>=HYPERLINK("http://anyluxury.ru/shop//" , " ")</f>
      </c>
      <c r="C31597" s="4"/>
      <c r="D31597" s="4"/>
    </row>
    <row collapsed="" customFormat="false" customHeight="1" hidden="" ht="14" outlineLevel="0" r="31598">
      <c r="A31598" s="3" t="inlineStr">
        <is>
          <t>31421</t>
        </is>
      </c>
      <c r="B31598" s="4" t="s">
        <f>=HYPERLINK("http://anyluxury.ru/shop//" , " ")</f>
      </c>
      <c r="C31598" s="4"/>
      <c r="D31598" s="4"/>
    </row>
    <row collapsed="" customFormat="false" customHeight="1" hidden="" ht="14" outlineLevel="0" r="31599">
      <c r="A31599" s="3" t="inlineStr">
        <is>
          <t>31422</t>
        </is>
      </c>
      <c r="B31599" s="4" t="s">
        <f>=HYPERLINK("http://anyluxury.ru/shop//" , " ")</f>
      </c>
      <c r="C31599" s="4"/>
      <c r="D31599" s="4"/>
    </row>
    <row collapsed="" customFormat="false" customHeight="1" hidden="" ht="14" outlineLevel="0" r="31600">
      <c r="A31600" s="3" t="inlineStr">
        <is>
          <t>31423</t>
        </is>
      </c>
      <c r="B31600" s="4" t="s">
        <f>=HYPERLINK("http://anyluxury.ru/shop//" , " ")</f>
      </c>
      <c r="C31600" s="4"/>
      <c r="D31600" s="4"/>
    </row>
    <row collapsed="" customFormat="false" customHeight="1" hidden="" ht="14" outlineLevel="0" r="31601">
      <c r="A31601" s="3" t="inlineStr">
        <is>
          <t>31424</t>
        </is>
      </c>
      <c r="B31601" s="4" t="s">
        <f>=HYPERLINK("http://anyluxury.ru/shop//" , " ")</f>
      </c>
      <c r="C31601" s="4"/>
      <c r="D31601" s="4"/>
    </row>
    <row collapsed="" customFormat="false" customHeight="1" hidden="" ht="14" outlineLevel="0" r="31602">
      <c r="A31602" s="3" t="inlineStr">
        <is>
          <t>31425</t>
        </is>
      </c>
      <c r="B31602" s="4" t="s">
        <f>=HYPERLINK("http://anyluxury.ru/shop//" , " ")</f>
      </c>
      <c r="C31602" s="4"/>
      <c r="D31602" s="4"/>
    </row>
    <row collapsed="" customFormat="false" customHeight="1" hidden="" ht="14" outlineLevel="0" r="31603">
      <c r="A31603" s="3" t="inlineStr">
        <is>
          <t>31426</t>
        </is>
      </c>
      <c r="B31603" s="4" t="s">
        <f>=HYPERLINK("http://anyluxury.ru/shop//" , " ")</f>
      </c>
      <c r="C31603" s="4"/>
      <c r="D31603" s="4"/>
    </row>
    <row collapsed="" customFormat="false" customHeight="1" hidden="" ht="14" outlineLevel="0" r="31604">
      <c r="A31604" s="3" t="inlineStr">
        <is>
          <t>31427</t>
        </is>
      </c>
      <c r="B31604" s="4" t="s">
        <f>=HYPERLINK("http://anyluxury.ru/shop//" , " ")</f>
      </c>
      <c r="C31604" s="4"/>
      <c r="D31604" s="4"/>
    </row>
    <row collapsed="" customFormat="false" customHeight="1" hidden="" ht="14" outlineLevel="0" r="31605">
      <c r="A31605" s="3" t="inlineStr">
        <is>
          <t>31428</t>
        </is>
      </c>
      <c r="B31605" s="4" t="s">
        <f>=HYPERLINK("http://anyluxury.ru/shop//" , " ")</f>
      </c>
      <c r="C31605" s="4"/>
      <c r="D31605" s="4"/>
    </row>
    <row collapsed="" customFormat="false" customHeight="1" hidden="" ht="14" outlineLevel="0" r="31606">
      <c r="A31606" s="3" t="inlineStr">
        <is>
          <t>31429</t>
        </is>
      </c>
      <c r="B31606" s="4" t="s">
        <f>=HYPERLINK("http://anyluxury.ru/shop//" , " ")</f>
      </c>
      <c r="C31606" s="4"/>
      <c r="D31606" s="4"/>
    </row>
    <row collapsed="" customFormat="false" customHeight="1" hidden="" ht="14" outlineLevel="0" r="31607">
      <c r="A31607" s="3" t="inlineStr">
        <is>
          <t>31430</t>
        </is>
      </c>
      <c r="B31607" s="4" t="s">
        <f>=HYPERLINK("http://anyluxury.ru/shop//" , " ")</f>
      </c>
      <c r="C31607" s="4"/>
      <c r="D31607" s="4"/>
    </row>
    <row collapsed="" customFormat="false" customHeight="1" hidden="" ht="14" outlineLevel="0" r="31608">
      <c r="A31608" s="3" t="inlineStr">
        <is>
          <t>31431</t>
        </is>
      </c>
      <c r="B31608" s="4" t="s">
        <f>=HYPERLINK("http://anyluxury.ru/shop//" , " ")</f>
      </c>
      <c r="C31608" s="4"/>
      <c r="D31608" s="4"/>
    </row>
    <row collapsed="" customFormat="false" customHeight="1" hidden="" ht="14" outlineLevel="0" r="31609">
      <c r="A31609" s="3" t="inlineStr">
        <is>
          <t>31432</t>
        </is>
      </c>
      <c r="B31609" s="4" t="s">
        <f>=HYPERLINK("http://anyluxury.ru/shop//" , " ")</f>
      </c>
      <c r="C31609" s="4"/>
      <c r="D31609" s="4"/>
    </row>
    <row collapsed="" customFormat="false" customHeight="1" hidden="" ht="14" outlineLevel="0" r="31610">
      <c r="A31610" s="3" t="inlineStr">
        <is>
          <t>31433</t>
        </is>
      </c>
      <c r="B31610" s="4" t="s">
        <f>=HYPERLINK("http://anyluxury.ru/shop//" , " ")</f>
      </c>
      <c r="C31610" s="4"/>
      <c r="D31610" s="4"/>
    </row>
    <row collapsed="" customFormat="false" customHeight="1" hidden="" ht="14" outlineLevel="0" r="31611">
      <c r="A31611" s="3" t="inlineStr">
        <is>
          <t>31434</t>
        </is>
      </c>
      <c r="B31611" s="4" t="s">
        <f>=HYPERLINK("http://anyluxury.ru/shop//" , " ")</f>
      </c>
      <c r="C31611" s="4"/>
      <c r="D31611" s="4"/>
    </row>
    <row collapsed="" customFormat="false" customHeight="1" hidden="" ht="14" outlineLevel="0" r="31612">
      <c r="A31612" s="3" t="inlineStr">
        <is>
          <t>31435</t>
        </is>
      </c>
      <c r="B31612" s="4" t="s">
        <f>=HYPERLINK("http://anyluxury.ru/shop//" , " ")</f>
      </c>
      <c r="C31612" s="4"/>
      <c r="D31612" s="4"/>
    </row>
    <row collapsed="" customFormat="false" customHeight="1" hidden="" ht="14" outlineLevel="0" r="31613">
      <c r="A31613" s="3" t="inlineStr">
        <is>
          <t>31436</t>
        </is>
      </c>
      <c r="B31613" s="4" t="s">
        <f>=HYPERLINK("http://anyluxury.ru/shop//" , " ")</f>
      </c>
      <c r="C31613" s="4"/>
      <c r="D31613" s="4"/>
    </row>
    <row collapsed="" customFormat="false" customHeight="1" hidden="" ht="14" outlineLevel="0" r="31614">
      <c r="A31614" s="3" t="inlineStr">
        <is>
          <t>31437</t>
        </is>
      </c>
      <c r="B31614" s="4" t="s">
        <f>=HYPERLINK("http://anyluxury.ru/shop//" , " ")</f>
      </c>
      <c r="C31614" s="4"/>
      <c r="D31614" s="4"/>
    </row>
    <row collapsed="" customFormat="false" customHeight="1" hidden="" ht="14" outlineLevel="0" r="31615">
      <c r="A31615" s="3" t="inlineStr">
        <is>
          <t>31438</t>
        </is>
      </c>
      <c r="B31615" s="4" t="s">
        <f>=HYPERLINK("http://anyluxury.ru/shop//" , " ")</f>
      </c>
      <c r="C31615" s="4"/>
      <c r="D31615" s="4"/>
    </row>
    <row collapsed="" customFormat="false" customHeight="1" hidden="" ht="14" outlineLevel="0" r="31616">
      <c r="A31616" s="3" t="inlineStr">
        <is>
          <t>31439</t>
        </is>
      </c>
      <c r="B31616" s="4" t="s">
        <f>=HYPERLINK("http://anyluxury.ru/shop//" , " ")</f>
      </c>
      <c r="C31616" s="4"/>
      <c r="D31616" s="4"/>
    </row>
    <row collapsed="" customFormat="false" customHeight="1" hidden="" ht="14" outlineLevel="0" r="31617">
      <c r="A31617" s="3" t="inlineStr">
        <is>
          <t>31440</t>
        </is>
      </c>
      <c r="B31617" s="4" t="s">
        <f>=HYPERLINK("http://anyluxury.ru/shop//" , " ")</f>
      </c>
      <c r="C31617" s="4"/>
      <c r="D31617" s="4"/>
    </row>
    <row collapsed="" customFormat="false" customHeight="1" hidden="" ht="14" outlineLevel="0" r="31618">
      <c r="A31618" s="3" t="inlineStr">
        <is>
          <t>31441</t>
        </is>
      </c>
      <c r="B31618" s="4" t="s">
        <f>=HYPERLINK("http://anyluxury.ru/shop//" , " ")</f>
      </c>
      <c r="C31618" s="4"/>
      <c r="D31618" s="4"/>
    </row>
    <row collapsed="" customFormat="false" customHeight="1" hidden="" ht="14" outlineLevel="0" r="31619">
      <c r="A31619" s="3" t="inlineStr">
        <is>
          <t>31442</t>
        </is>
      </c>
      <c r="B31619" s="4" t="s">
        <f>=HYPERLINK("http://anyluxury.ru/shop//" , " ")</f>
      </c>
      <c r="C31619" s="4"/>
      <c r="D31619" s="4"/>
    </row>
    <row collapsed="" customFormat="false" customHeight="1" hidden="" ht="14" outlineLevel="0" r="31620">
      <c r="A31620" s="3" t="inlineStr">
        <is>
          <t>31443</t>
        </is>
      </c>
      <c r="B31620" s="4" t="s">
        <f>=HYPERLINK("http://anyluxury.ru/shop//" , " ")</f>
      </c>
      <c r="C31620" s="4"/>
      <c r="D31620" s="4"/>
    </row>
    <row collapsed="" customFormat="false" customHeight="1" hidden="" ht="14" outlineLevel="0" r="31621">
      <c r="A31621" s="3" t="inlineStr">
        <is>
          <t>31444</t>
        </is>
      </c>
      <c r="B31621" s="4" t="s">
        <f>=HYPERLINK("http://anyluxury.ru/shop//" , " ")</f>
      </c>
      <c r="C31621" s="4"/>
      <c r="D31621" s="4"/>
    </row>
    <row collapsed="" customFormat="false" customHeight="1" hidden="" ht="14" outlineLevel="0" r="31622">
      <c r="A31622" s="3" t="inlineStr">
        <is>
          <t>31445</t>
        </is>
      </c>
      <c r="B31622" s="4" t="s">
        <f>=HYPERLINK("http://anyluxury.ru/shop//" , " ")</f>
      </c>
      <c r="C31622" s="4"/>
      <c r="D31622" s="4"/>
    </row>
    <row collapsed="" customFormat="false" customHeight="1" hidden="" ht="14" outlineLevel="0" r="31623">
      <c r="A31623" s="3" t="inlineStr">
        <is>
          <t>31446</t>
        </is>
      </c>
      <c r="B31623" s="4" t="s">
        <f>=HYPERLINK("http://anyluxury.ru/shop//" , " ")</f>
      </c>
      <c r="C31623" s="4"/>
      <c r="D31623" s="4"/>
    </row>
    <row collapsed="" customFormat="false" customHeight="1" hidden="" ht="14" outlineLevel="0" r="31624">
      <c r="A31624" s="3" t="inlineStr">
        <is>
          <t>31447</t>
        </is>
      </c>
      <c r="B31624" s="4" t="s">
        <f>=HYPERLINK("http://anyluxury.ru/shop//" , " ")</f>
      </c>
      <c r="C31624" s="4"/>
      <c r="D31624" s="4"/>
    </row>
    <row collapsed="" customFormat="false" customHeight="1" hidden="" ht="14" outlineLevel="0" r="31625">
      <c r="A31625" s="3" t="inlineStr">
        <is>
          <t>31448</t>
        </is>
      </c>
      <c r="B31625" s="4" t="s">
        <f>=HYPERLINK("http://anyluxury.ru/shop//" , " ")</f>
      </c>
      <c r="C31625" s="4"/>
      <c r="D31625" s="4"/>
    </row>
    <row collapsed="" customFormat="false" customHeight="1" hidden="" ht="14" outlineLevel="0" r="31626">
      <c r="A31626" s="3" t="inlineStr">
        <is>
          <t>31449</t>
        </is>
      </c>
      <c r="B31626" s="4" t="s">
        <f>=HYPERLINK("http://anyluxury.ru/shop//" , " ")</f>
      </c>
      <c r="C31626" s="4"/>
      <c r="D31626" s="4"/>
    </row>
    <row collapsed="" customFormat="false" customHeight="1" hidden="" ht="14" outlineLevel="0" r="31627">
      <c r="A31627" s="3" t="inlineStr">
        <is>
          <t>31450</t>
        </is>
      </c>
      <c r="B31627" s="4" t="s">
        <f>=HYPERLINK("http://anyluxury.ru/shop//" , " ")</f>
      </c>
      <c r="C31627" s="4"/>
      <c r="D31627" s="4"/>
    </row>
    <row collapsed="" customFormat="false" customHeight="1" hidden="" ht="14" outlineLevel="0" r="31628">
      <c r="A31628" s="3" t="inlineStr">
        <is>
          <t>31451</t>
        </is>
      </c>
      <c r="B31628" s="4" t="s">
        <f>=HYPERLINK("http://anyluxury.ru/shop//" , " ")</f>
      </c>
      <c r="C31628" s="4"/>
      <c r="D31628" s="4"/>
    </row>
    <row collapsed="" customFormat="false" customHeight="1" hidden="" ht="14" outlineLevel="0" r="31629">
      <c r="A31629" s="3" t="inlineStr">
        <is>
          <t>31452</t>
        </is>
      </c>
      <c r="B31629" s="4" t="s">
        <f>=HYPERLINK("http://anyluxury.ru/shop//" , " ")</f>
      </c>
      <c r="C31629" s="4"/>
      <c r="D31629" s="4"/>
    </row>
    <row collapsed="" customFormat="false" customHeight="1" hidden="" ht="14" outlineLevel="0" r="31630">
      <c r="A31630" s="3" t="inlineStr">
        <is>
          <t>31453</t>
        </is>
      </c>
      <c r="B31630" s="4" t="s">
        <f>=HYPERLINK("http://anyluxury.ru/shop//" , " ")</f>
      </c>
      <c r="C31630" s="4"/>
      <c r="D31630" s="4"/>
    </row>
    <row collapsed="" customFormat="false" customHeight="1" hidden="" ht="14" outlineLevel="0" r="31631">
      <c r="A31631" s="3" t="inlineStr">
        <is>
          <t>31454</t>
        </is>
      </c>
      <c r="B31631" s="4" t="s">
        <f>=HYPERLINK("http://anyluxury.ru/shop//" , " ")</f>
      </c>
      <c r="C31631" s="4"/>
      <c r="D31631" s="4"/>
    </row>
    <row collapsed="" customFormat="false" customHeight="1" hidden="" ht="14" outlineLevel="0" r="31632">
      <c r="A31632" s="3" t="inlineStr">
        <is>
          <t>31455</t>
        </is>
      </c>
      <c r="B31632" s="4" t="s">
        <f>=HYPERLINK("http://anyluxury.ru/shop//" , " ")</f>
      </c>
      <c r="C31632" s="4"/>
      <c r="D31632" s="4"/>
    </row>
    <row collapsed="" customFormat="false" customHeight="1" hidden="" ht="14" outlineLevel="0" r="31633">
      <c r="A31633" s="3" t="inlineStr">
        <is>
          <t>31456</t>
        </is>
      </c>
      <c r="B31633" s="4" t="s">
        <f>=HYPERLINK("http://anyluxury.ru/shop//" , " ")</f>
      </c>
      <c r="C31633" s="4"/>
      <c r="D31633" s="4"/>
    </row>
    <row collapsed="" customFormat="false" customHeight="1" hidden="" ht="14" outlineLevel="0" r="31634">
      <c r="A31634" s="3" t="inlineStr">
        <is>
          <t>31457</t>
        </is>
      </c>
      <c r="B31634" s="4" t="s">
        <f>=HYPERLINK("http://anyluxury.ru/shop//" , " ")</f>
      </c>
      <c r="C31634" s="4"/>
      <c r="D31634" s="4"/>
    </row>
    <row collapsed="" customFormat="false" customHeight="1" hidden="" ht="14" outlineLevel="0" r="31635">
      <c r="A31635" s="3" t="inlineStr">
        <is>
          <t>31458</t>
        </is>
      </c>
      <c r="B31635" s="4" t="s">
        <f>=HYPERLINK("http://anyluxury.ru/shop//" , " ")</f>
      </c>
      <c r="C31635" s="4"/>
      <c r="D31635" s="4"/>
    </row>
    <row collapsed="" customFormat="false" customHeight="1" hidden="" ht="14" outlineLevel="0" r="31636">
      <c r="A31636" s="3" t="inlineStr">
        <is>
          <t>31459</t>
        </is>
      </c>
      <c r="B31636" s="4" t="s">
        <f>=HYPERLINK("http://anyluxury.ru/shop//" , " ")</f>
      </c>
      <c r="C31636" s="4"/>
      <c r="D31636" s="4"/>
    </row>
    <row collapsed="" customFormat="false" customHeight="1" hidden="" ht="14" outlineLevel="0" r="31637">
      <c r="A31637" s="3" t="inlineStr">
        <is>
          <t>31460</t>
        </is>
      </c>
      <c r="B31637" s="4" t="s">
        <f>=HYPERLINK("http://anyluxury.ru/shop//" , " ")</f>
      </c>
      <c r="C31637" s="4"/>
      <c r="D31637" s="4"/>
    </row>
    <row collapsed="" customFormat="false" customHeight="1" hidden="" ht="14" outlineLevel="0" r="31638">
      <c r="A31638" s="3" t="inlineStr">
        <is>
          <t>31461</t>
        </is>
      </c>
      <c r="B31638" s="4" t="s">
        <f>=HYPERLINK("http://anyluxury.ru/shop//" , " ")</f>
      </c>
      <c r="C31638" s="4"/>
      <c r="D31638" s="4"/>
    </row>
    <row collapsed="" customFormat="false" customHeight="1" hidden="" ht="14" outlineLevel="0" r="31639">
      <c r="A31639" s="3" t="inlineStr">
        <is>
          <t>31462</t>
        </is>
      </c>
      <c r="B31639" s="4" t="s">
        <f>=HYPERLINK("http://anyluxury.ru/shop//" , " ")</f>
      </c>
      <c r="C31639" s="4"/>
      <c r="D31639" s="4"/>
    </row>
    <row collapsed="" customFormat="false" customHeight="1" hidden="" ht="14" outlineLevel="0" r="31640">
      <c r="A31640" s="3" t="inlineStr">
        <is>
          <t>31463</t>
        </is>
      </c>
      <c r="B31640" s="4" t="s">
        <f>=HYPERLINK("http://anyluxury.ru/shop//" , " ")</f>
      </c>
      <c r="C31640" s="4"/>
      <c r="D31640" s="4"/>
    </row>
    <row collapsed="" customFormat="false" customHeight="1" hidden="" ht="14" outlineLevel="0" r="31641">
      <c r="A31641" s="3" t="inlineStr">
        <is>
          <t>31464</t>
        </is>
      </c>
      <c r="B31641" s="4" t="s">
        <f>=HYPERLINK("http://anyluxury.ru/shop//" , " ")</f>
      </c>
      <c r="C31641" s="4"/>
      <c r="D31641" s="4"/>
    </row>
    <row collapsed="" customFormat="false" customHeight="1" hidden="" ht="14" outlineLevel="0" r="31642">
      <c r="A31642" s="3" t="inlineStr">
        <is>
          <t>31465</t>
        </is>
      </c>
      <c r="B31642" s="4" t="s">
        <f>=HYPERLINK("http://anyluxury.ru/shop//" , " ")</f>
      </c>
      <c r="C31642" s="4"/>
      <c r="D31642" s="4"/>
    </row>
    <row collapsed="" customFormat="false" customHeight="1" hidden="" ht="14" outlineLevel="0" r="31643">
      <c r="A31643" s="3" t="inlineStr">
        <is>
          <t>31466</t>
        </is>
      </c>
      <c r="B31643" s="4" t="s">
        <f>=HYPERLINK("http://anyluxury.ru/shop//" , " ")</f>
      </c>
      <c r="C31643" s="4"/>
      <c r="D31643" s="4"/>
    </row>
    <row collapsed="" customFormat="false" customHeight="1" hidden="" ht="14" outlineLevel="0" r="31644">
      <c r="A31644" s="3" t="inlineStr">
        <is>
          <t>31467</t>
        </is>
      </c>
      <c r="B31644" s="4" t="s">
        <f>=HYPERLINK("http://anyluxury.ru/shop//" , " ")</f>
      </c>
      <c r="C31644" s="4"/>
      <c r="D31644" s="4"/>
    </row>
    <row collapsed="" customFormat="false" customHeight="1" hidden="" ht="14" outlineLevel="0" r="31645">
      <c r="A31645" s="3" t="inlineStr">
        <is>
          <t>31468</t>
        </is>
      </c>
      <c r="B31645" s="4" t="s">
        <f>=HYPERLINK("http://anyluxury.ru/shop//" , " ")</f>
      </c>
      <c r="C31645" s="4"/>
      <c r="D31645" s="4"/>
    </row>
  </sheetData>
  <mergeCells>
    <mergeCell ref="A1:D1"/>
    <mergeCell ref="A3:D3"/>
    <mergeCell ref="A4:D4"/>
    <mergeCell ref="A10:D10"/>
    <mergeCell ref="A327:D327"/>
    <mergeCell ref="A602:D602"/>
    <mergeCell ref="A603:D603"/>
    <mergeCell ref="A766:D766"/>
    <mergeCell ref="A819:D819"/>
    <mergeCell ref="A848:D848"/>
    <mergeCell ref="A849:D849"/>
    <mergeCell ref="A872:D872"/>
    <mergeCell ref="A924:D924"/>
    <mergeCell ref="A1038:D1038"/>
    <mergeCell ref="A1106:D1106"/>
    <mergeCell ref="A1159:D1159"/>
    <mergeCell ref="A1189:D1189"/>
    <mergeCell ref="A1261:D1261"/>
    <mergeCell ref="A1374:D1374"/>
    <mergeCell ref="A1378:D1378"/>
    <mergeCell ref="A1409:D1409"/>
    <mergeCell ref="A1464:D1464"/>
    <mergeCell ref="A1491:D1491"/>
    <mergeCell ref="A1540:D1540"/>
    <mergeCell ref="A1556:D1556"/>
    <mergeCell ref="A1579:D1579"/>
    <mergeCell ref="A1580:D1580"/>
    <mergeCell ref="A1674:D1674"/>
    <mergeCell ref="A2065:D2065"/>
    <mergeCell ref="A2128:D2128"/>
    <mergeCell ref="A7655:D7655"/>
    <mergeCell ref="A7978:D7978"/>
    <mergeCell ref="A8674:D8674"/>
    <mergeCell ref="A8698:D8698"/>
    <mergeCell ref="A8948:D8948"/>
    <mergeCell ref="A9803:D9803"/>
    <mergeCell ref="A10234:D10234"/>
    <mergeCell ref="A10306:D10306"/>
    <mergeCell ref="A10312:D10312"/>
    <mergeCell ref="A10462:D10462"/>
    <mergeCell ref="A12434:D12434"/>
    <mergeCell ref="A12667:D12667"/>
    <mergeCell ref="A12744:D12744"/>
    <mergeCell ref="A15722:D15722"/>
    <mergeCell ref="A17305:D17305"/>
    <mergeCell ref="A17983:D17983"/>
    <mergeCell ref="A18174:D18174"/>
    <mergeCell ref="A20652:D20652"/>
    <mergeCell ref="A20653:D20653"/>
    <mergeCell ref="A20791:D20791"/>
    <mergeCell ref="A20954:D20954"/>
    <mergeCell ref="A20983:D20983"/>
    <mergeCell ref="A21121:D21121"/>
    <mergeCell ref="A21263:D21263"/>
    <mergeCell ref="A21459:D21459"/>
    <mergeCell ref="A21460:D21460"/>
    <mergeCell ref="A21461:D21461"/>
    <mergeCell ref="A21465:D21465"/>
    <mergeCell ref="A21485:D21485"/>
    <mergeCell ref="A21501:D21501"/>
    <mergeCell ref="A21590:D21590"/>
    <mergeCell ref="A21591:D21591"/>
    <mergeCell ref="A21636:D21636"/>
    <mergeCell ref="A21637:D21637"/>
    <mergeCell ref="A21640:D21640"/>
    <mergeCell ref="A21652:D21652"/>
    <mergeCell ref="A21659:D21659"/>
    <mergeCell ref="A22395:D22395"/>
    <mergeCell ref="A22409:D22409"/>
    <mergeCell ref="A22442:D22442"/>
    <mergeCell ref="A22443:D22443"/>
    <mergeCell ref="A22471:D22471"/>
    <mergeCell ref="A22568:D22568"/>
    <mergeCell ref="A22588:D22588"/>
    <mergeCell ref="A22679:D22679"/>
    <mergeCell ref="A23191:D23191"/>
    <mergeCell ref="A23201:D23201"/>
    <mergeCell ref="A23410:D23410"/>
    <mergeCell ref="A23412:D23412"/>
    <mergeCell ref="A23534:D23534"/>
    <mergeCell ref="A23537:D23537"/>
    <mergeCell ref="A23569:D23569"/>
    <mergeCell ref="A23610:D23610"/>
    <mergeCell ref="A23618:D23618"/>
    <mergeCell ref="A23663:D23663"/>
    <mergeCell ref="A23903:D23903"/>
    <mergeCell ref="A23908:D23908"/>
    <mergeCell ref="A23917:D23917"/>
    <mergeCell ref="A23955:D23955"/>
    <mergeCell ref="A23986:D23986"/>
    <mergeCell ref="A24098:D24098"/>
    <mergeCell ref="A24193:D24193"/>
    <mergeCell ref="A24209:D24209"/>
    <mergeCell ref="A24221:D24221"/>
    <mergeCell ref="A24246:D24246"/>
    <mergeCell ref="A24276:D24276"/>
    <mergeCell ref="A24284:D24284"/>
    <mergeCell ref="A24293:D24293"/>
    <mergeCell ref="A24294:D24294"/>
    <mergeCell ref="A24369:D24369"/>
    <mergeCell ref="A24598:D24598"/>
    <mergeCell ref="A24991:D24991"/>
    <mergeCell ref="A25017:D25017"/>
    <mergeCell ref="A25406:D25406"/>
    <mergeCell ref="A25829:D25829"/>
    <mergeCell ref="A25904:D25904"/>
    <mergeCell ref="A26009:D26009"/>
    <mergeCell ref="A26214:D26214"/>
    <mergeCell ref="A26215:D26215"/>
    <mergeCell ref="A26282:D26282"/>
    <mergeCell ref="A26644:D26644"/>
    <mergeCell ref="A26874:D26874"/>
    <mergeCell ref="A26875:D26875"/>
    <mergeCell ref="A26965:D26965"/>
    <mergeCell ref="A27001:D27001"/>
    <mergeCell ref="A27130:D27130"/>
    <mergeCell ref="A27131:D27131"/>
    <mergeCell ref="A27187:D27187"/>
    <mergeCell ref="A27208:D27208"/>
    <mergeCell ref="A27214:D27214"/>
    <mergeCell ref="A27215:D27215"/>
    <mergeCell ref="A27423:D27423"/>
    <mergeCell ref="A28188:D28188"/>
    <mergeCell ref="A28190:D28190"/>
    <mergeCell ref="A28246:D28246"/>
    <mergeCell ref="A28350:D28350"/>
    <mergeCell ref="A28439:D28439"/>
    <mergeCell ref="A28598:D28598"/>
    <mergeCell ref="A28599:D28599"/>
    <mergeCell ref="A28725:D28725"/>
    <mergeCell ref="A29140:D29140"/>
    <mergeCell ref="A29210:D29210"/>
    <mergeCell ref="A29211:D29211"/>
    <mergeCell ref="A29327:D29327"/>
    <mergeCell ref="A29515:D29515"/>
    <mergeCell ref="A29516:D29516"/>
    <mergeCell ref="A29665:D29665"/>
    <mergeCell ref="A29811:D29811"/>
    <mergeCell ref="A29884:D29884"/>
    <mergeCell ref="A29987:D29987"/>
    <mergeCell ref="A30005:D30005"/>
    <mergeCell ref="A30137:D30137"/>
    <mergeCell ref="A30145:D30145"/>
    <mergeCell ref="A30151:D30151"/>
    <mergeCell ref="A30187:D30187"/>
    <mergeCell ref="A30342:D30342"/>
    <mergeCell ref="A30476:D30476"/>
    <mergeCell ref="A30497:D30497"/>
    <mergeCell ref="A30512:D30512"/>
    <mergeCell ref="A30560:D30560"/>
    <mergeCell ref="A30566:D30566"/>
    <mergeCell ref="A30599:D30599"/>
    <mergeCell ref="A30623:D30623"/>
    <mergeCell ref="A30633:D30633"/>
    <mergeCell ref="A30745:D30745"/>
    <mergeCell ref="A30751:D30751"/>
    <mergeCell ref="A30759:D30759"/>
    <mergeCell ref="A30784:D30784"/>
    <mergeCell ref="A30794:D30794"/>
    <mergeCell ref="A30804:D30804"/>
    <mergeCell ref="A30858:D30858"/>
    <mergeCell ref="A30875:D30875"/>
    <mergeCell ref="A30889:D30889"/>
    <mergeCell ref="A30900:D30900"/>
    <mergeCell ref="A30914:D30914"/>
    <mergeCell ref="A31095:D31095"/>
    <mergeCell ref="A31114:D31114"/>
    <mergeCell ref="A31135:D31135"/>
    <mergeCell ref="A31138:D31138"/>
    <mergeCell ref="A31149:D31149"/>
    <mergeCell ref="A31151:D31151"/>
    <mergeCell ref="A31152:D31152"/>
    <mergeCell ref="A31316:D31316"/>
    <mergeCell ref="A31503:D31503"/>
    <mergeCell ref="A31509:D31509"/>
    <mergeCell ref="A31577:D31577"/>
  </mergeCells>
  <printOptions headings="false" gridLines="false" gridLinesSet="true" horizontalCentered="false" verticalCentered="false"/>
  <pageMargins left="0.5" right="0.5" top="1.0" bottom="1.0" header="0.5" footer="0.5"/>
  <pageSetup blackAndWhite="false" cellComments="none" copies="1" draft="false" firstPageNumber="1" fitToHeight="1" fitToWidth="1" horizontalDpi="300" orientation="portrait" pageOrder="downThenOver" paperSize="1" scale="100" useFirstPageNumber="tru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Company/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2024-03-19T00:01:08.00Z</dcterms:created>
  <dc:title>Цены на продукциию компании</dc:title>
  <dc:subject>Прайс-лист</dc:subject>
  <dc:creator>ООО "ЭниЛакшери"</dc:creator>
  <dc:description/>
  <cp:revision>0</cp:revision>
</cp:coreProperties>
</file>